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135" windowWidth="20340" windowHeight="7635"/>
  </bookViews>
  <sheets>
    <sheet name="Tồn kho thuốc đến 31-12-2021" sheetId="38" r:id="rId1"/>
    <sheet name="BC tổng hợp 2021" sheetId="18" state="hidden" r:id="rId2"/>
    <sheet name="nhập liệu 2020" sheetId="35" state="hidden" r:id="rId3"/>
    <sheet name="Thầu 2020" sheetId="36" state="hidden" r:id="rId4"/>
    <sheet name="thầu 2019" sheetId="32" state="hidden" r:id="rId5"/>
    <sheet name="thầu 2018" sheetId="33" state="hidden" r:id="rId6"/>
    <sheet name="Thầu 2017" sheetId="34" state="hidden" r:id="rId7"/>
    <sheet name="XNT PM 2021 (2)" sheetId="30" state="hidden" r:id="rId8"/>
    <sheet name="XNT PM 2021" sheetId="29" state="hidden" r:id="rId9"/>
    <sheet name="Bc nhập liệu 2019" sheetId="16" state="hidden" r:id="rId10"/>
  </sheets>
  <externalReferences>
    <externalReference r:id="rId11"/>
    <externalReference r:id="rId12"/>
  </externalReferences>
  <definedNames>
    <definedName name="_xlnm._FilterDatabase" localSheetId="9" hidden="1">'Bc nhập liệu 2019'!$A$9:$AA$934</definedName>
    <definedName name="_xlnm._FilterDatabase" localSheetId="1" hidden="1">'BC tổng hợp 2021'!$A$9:$S$1143</definedName>
    <definedName name="_xlnm._FilterDatabase" localSheetId="3" hidden="1">'Thầu 2020'!$A$3:$BO$931</definedName>
    <definedName name="_xlnm._FilterDatabase" localSheetId="0" hidden="1">'Tồn kho thuốc đến 31-12-2021'!$A$8:$M$8</definedName>
    <definedName name="_xlnm.Print_Titles" localSheetId="0">'Tồn kho thuốc đến 31-12-2021'!$8:$8</definedName>
    <definedName name="TEN_THUOC" localSheetId="9">#REF!</definedName>
    <definedName name="TEN_THUOC" localSheetId="1">#REF!</definedName>
    <definedName name="TEN_THUOC" localSheetId="6">#REF!</definedName>
    <definedName name="TEN_THUOC" localSheetId="5">#REF!</definedName>
    <definedName name="TEN_THUOC" localSheetId="3">#REF!</definedName>
    <definedName name="TEN_THUOC" localSheetId="0">#REF!</definedName>
    <definedName name="TEN_THUOC" localSheetId="7">#REF!</definedName>
    <definedName name="TEN_THUOC">#REF!</definedName>
  </definedNames>
  <calcPr calcId="162913"/>
</workbook>
</file>

<file path=xl/calcChain.xml><?xml version="1.0" encoding="utf-8"?>
<calcChain xmlns="http://schemas.openxmlformats.org/spreadsheetml/2006/main">
  <c r="BA931" i="36"/>
  <c r="AY931"/>
  <c r="AW931"/>
  <c r="AQ931"/>
  <c r="AO931"/>
  <c r="AI931"/>
  <c r="BB930"/>
  <c r="AZ930"/>
  <c r="AX930"/>
  <c r="AV930"/>
  <c r="AT930"/>
  <c r="AH930"/>
  <c r="AF930"/>
  <c r="AD930"/>
  <c r="AA930"/>
  <c r="M930"/>
  <c r="AC930" s="1"/>
  <c r="BB929"/>
  <c r="AZ929"/>
  <c r="AX929"/>
  <c r="AV929"/>
  <c r="AT929"/>
  <c r="AH929"/>
  <c r="AF929"/>
  <c r="AA929"/>
  <c r="M929"/>
  <c r="AD929" s="1"/>
  <c r="BB928"/>
  <c r="AZ928"/>
  <c r="AX928"/>
  <c r="AV928"/>
  <c r="AT928"/>
  <c r="AH928"/>
  <c r="AF928"/>
  <c r="AD928"/>
  <c r="AA928"/>
  <c r="M928"/>
  <c r="AC928" s="1"/>
  <c r="BB927"/>
  <c r="AZ927"/>
  <c r="AX927"/>
  <c r="AV927"/>
  <c r="AT927"/>
  <c r="AH927"/>
  <c r="AF927"/>
  <c r="AA927"/>
  <c r="M927"/>
  <c r="AD927" s="1"/>
  <c r="BB926"/>
  <c r="AZ926"/>
  <c r="AX926"/>
  <c r="AV926"/>
  <c r="AT926"/>
  <c r="AH926"/>
  <c r="AF926"/>
  <c r="AD926"/>
  <c r="AA926"/>
  <c r="M926"/>
  <c r="AC926" s="1"/>
  <c r="BB925"/>
  <c r="AZ925"/>
  <c r="AX925"/>
  <c r="AV925"/>
  <c r="AT925"/>
  <c r="AH925"/>
  <c r="AF925"/>
  <c r="AA925"/>
  <c r="M925"/>
  <c r="AD925" s="1"/>
  <c r="F925"/>
  <c r="BB924"/>
  <c r="AZ924"/>
  <c r="AX924"/>
  <c r="AV924"/>
  <c r="AT924"/>
  <c r="AR924"/>
  <c r="AH924"/>
  <c r="AF924"/>
  <c r="AD924"/>
  <c r="AA924"/>
  <c r="M924"/>
  <c r="AC924" s="1"/>
  <c r="BB923"/>
  <c r="AZ923"/>
  <c r="AX923"/>
  <c r="AV923"/>
  <c r="AT923"/>
  <c r="AR923"/>
  <c r="AH923"/>
  <c r="AF923"/>
  <c r="AD923"/>
  <c r="AA923"/>
  <c r="M923"/>
  <c r="AC923" s="1"/>
  <c r="BB922"/>
  <c r="AZ922"/>
  <c r="AX922"/>
  <c r="AV922"/>
  <c r="AT922"/>
  <c r="AR922"/>
  <c r="AH922"/>
  <c r="AF922"/>
  <c r="AD922"/>
  <c r="AA922"/>
  <c r="M922"/>
  <c r="AC922" s="1"/>
  <c r="BB921"/>
  <c r="AZ921"/>
  <c r="AX921"/>
  <c r="AV921"/>
  <c r="AT921"/>
  <c r="AR921"/>
  <c r="AH921"/>
  <c r="AF921"/>
  <c r="AD921"/>
  <c r="AA921"/>
  <c r="M921"/>
  <c r="AC921" s="1"/>
  <c r="BB920"/>
  <c r="AZ920"/>
  <c r="AX920"/>
  <c r="AV920"/>
  <c r="AT920"/>
  <c r="AR920"/>
  <c r="AH920"/>
  <c r="AF920"/>
  <c r="AD920"/>
  <c r="AA920"/>
  <c r="M920"/>
  <c r="AC920" s="1"/>
  <c r="BB919"/>
  <c r="AZ919"/>
  <c r="AX919"/>
  <c r="AV919"/>
  <c r="AT919"/>
  <c r="AR919"/>
  <c r="AH919"/>
  <c r="AF919"/>
  <c r="AD919"/>
  <c r="AA919"/>
  <c r="M919"/>
  <c r="AC919" s="1"/>
  <c r="BB918"/>
  <c r="AZ918"/>
  <c r="AX918"/>
  <c r="AV918"/>
  <c r="AT918"/>
  <c r="AR918"/>
  <c r="AH918"/>
  <c r="AF918"/>
  <c r="AD918"/>
  <c r="AA918"/>
  <c r="M918"/>
  <c r="AC918" s="1"/>
  <c r="BB917"/>
  <c r="AZ917"/>
  <c r="AX917"/>
  <c r="AV917"/>
  <c r="AT917"/>
  <c r="AR917"/>
  <c r="AH917"/>
  <c r="AF917"/>
  <c r="AD917"/>
  <c r="AA917"/>
  <c r="M917"/>
  <c r="AC917" s="1"/>
  <c r="BB916"/>
  <c r="AZ916"/>
  <c r="AX916"/>
  <c r="AV916"/>
  <c r="AT916"/>
  <c r="AR916"/>
  <c r="AH916"/>
  <c r="AF916"/>
  <c r="AD916"/>
  <c r="AA916"/>
  <c r="M916"/>
  <c r="AC916" s="1"/>
  <c r="BB915"/>
  <c r="AZ915"/>
  <c r="AX915"/>
  <c r="AV915"/>
  <c r="AT915"/>
  <c r="AR915"/>
  <c r="AH915"/>
  <c r="AF915"/>
  <c r="AD915"/>
  <c r="AA915"/>
  <c r="M915"/>
  <c r="AC915" s="1"/>
  <c r="BB914"/>
  <c r="AZ914"/>
  <c r="AX914"/>
  <c r="AV914"/>
  <c r="AT914"/>
  <c r="AR914"/>
  <c r="AH914"/>
  <c r="AF914"/>
  <c r="AD914"/>
  <c r="AA914"/>
  <c r="M914"/>
  <c r="AC914" s="1"/>
  <c r="BB913"/>
  <c r="AZ913"/>
  <c r="AX913"/>
  <c r="AV913"/>
  <c r="AT913"/>
  <c r="AR913"/>
  <c r="AH913"/>
  <c r="AF913"/>
  <c r="AD913"/>
  <c r="AA913"/>
  <c r="M913"/>
  <c r="AC913" s="1"/>
  <c r="BB912"/>
  <c r="AZ912"/>
  <c r="AX912"/>
  <c r="AV912"/>
  <c r="AT912"/>
  <c r="AR912"/>
  <c r="AH912"/>
  <c r="AF912"/>
  <c r="AD912"/>
  <c r="AA912"/>
  <c r="M912"/>
  <c r="AC912" s="1"/>
  <c r="BB911"/>
  <c r="AZ911"/>
  <c r="AX911"/>
  <c r="AV911"/>
  <c r="AT911"/>
  <c r="AR911"/>
  <c r="AH911"/>
  <c r="AF911"/>
  <c r="AD911"/>
  <c r="AA911"/>
  <c r="M911"/>
  <c r="AC911" s="1"/>
  <c r="BB910"/>
  <c r="AZ910"/>
  <c r="AX910"/>
  <c r="AV910"/>
  <c r="AT910"/>
  <c r="AR910"/>
  <c r="AH910"/>
  <c r="AF910"/>
  <c r="AD910"/>
  <c r="AA910"/>
  <c r="M910"/>
  <c r="AC910" s="1"/>
  <c r="BB909"/>
  <c r="AZ909"/>
  <c r="AX909"/>
  <c r="AV909"/>
  <c r="AT909"/>
  <c r="AR909"/>
  <c r="AH909"/>
  <c r="AF909"/>
  <c r="AD909"/>
  <c r="AA909"/>
  <c r="M909"/>
  <c r="AC909" s="1"/>
  <c r="BB908"/>
  <c r="AZ908"/>
  <c r="AX908"/>
  <c r="AV908"/>
  <c r="AT908"/>
  <c r="AR908"/>
  <c r="AH908"/>
  <c r="AF908"/>
  <c r="AD908"/>
  <c r="AA908"/>
  <c r="M908"/>
  <c r="AC908" s="1"/>
  <c r="BB907"/>
  <c r="AZ907"/>
  <c r="AX907"/>
  <c r="AV907"/>
  <c r="AT907"/>
  <c r="AR907"/>
  <c r="AH907"/>
  <c r="AF907"/>
  <c r="AD907"/>
  <c r="AA907"/>
  <c r="M907"/>
  <c r="AC907" s="1"/>
  <c r="BB906"/>
  <c r="AZ906"/>
  <c r="AX906"/>
  <c r="AV906"/>
  <c r="AT906"/>
  <c r="AR906"/>
  <c r="AH906"/>
  <c r="AF906"/>
  <c r="AD906"/>
  <c r="AA906"/>
  <c r="M906"/>
  <c r="AC906" s="1"/>
  <c r="BB905"/>
  <c r="AZ905"/>
  <c r="AX905"/>
  <c r="AV905"/>
  <c r="AT905"/>
  <c r="AR905"/>
  <c r="AH905"/>
  <c r="AF905"/>
  <c r="AD905"/>
  <c r="AA905"/>
  <c r="M905"/>
  <c r="AC905" s="1"/>
  <c r="BB904"/>
  <c r="AZ904"/>
  <c r="AX904"/>
  <c r="AV904"/>
  <c r="AT904"/>
  <c r="AR904"/>
  <c r="AH904"/>
  <c r="AF904"/>
  <c r="AD904"/>
  <c r="AA904"/>
  <c r="M904"/>
  <c r="AC904" s="1"/>
  <c r="BB903"/>
  <c r="AZ903"/>
  <c r="AX903"/>
  <c r="AV903"/>
  <c r="AT903"/>
  <c r="AR903"/>
  <c r="AH903"/>
  <c r="AF903"/>
  <c r="AD903"/>
  <c r="AA903"/>
  <c r="M903"/>
  <c r="AC903" s="1"/>
  <c r="BB902"/>
  <c r="AZ902"/>
  <c r="AX902"/>
  <c r="AV902"/>
  <c r="AT902"/>
  <c r="AR902"/>
  <c r="AH902"/>
  <c r="AF902"/>
  <c r="AD902"/>
  <c r="AA902"/>
  <c r="M902"/>
  <c r="AC902" s="1"/>
  <c r="BB901"/>
  <c r="AZ901"/>
  <c r="AX901"/>
  <c r="AV901"/>
  <c r="AT901"/>
  <c r="AR901"/>
  <c r="AH901"/>
  <c r="AF901"/>
  <c r="AD901"/>
  <c r="AA901"/>
  <c r="M901"/>
  <c r="AC901" s="1"/>
  <c r="BB900"/>
  <c r="AZ900"/>
  <c r="AX900"/>
  <c r="AV900"/>
  <c r="AT900"/>
  <c r="AR900"/>
  <c r="AH900"/>
  <c r="AF900"/>
  <c r="AD900"/>
  <c r="AA900"/>
  <c r="M900"/>
  <c r="AC900" s="1"/>
  <c r="BB899"/>
  <c r="AZ899"/>
  <c r="AX899"/>
  <c r="AV899"/>
  <c r="AT899"/>
  <c r="AR899"/>
  <c r="AH899"/>
  <c r="AF899"/>
  <c r="AD899"/>
  <c r="AA899"/>
  <c r="M899"/>
  <c r="AC899" s="1"/>
  <c r="BB898"/>
  <c r="AZ898"/>
  <c r="AX898"/>
  <c r="AV898"/>
  <c r="AT898"/>
  <c r="AR898"/>
  <c r="AH898"/>
  <c r="AF898"/>
  <c r="AD898"/>
  <c r="AA898"/>
  <c r="M898"/>
  <c r="AC898" s="1"/>
  <c r="BB897"/>
  <c r="AZ897"/>
  <c r="AX897"/>
  <c r="AV897"/>
  <c r="AT897"/>
  <c r="AR897"/>
  <c r="AH897"/>
  <c r="AF897"/>
  <c r="AD897"/>
  <c r="AA897"/>
  <c r="M897"/>
  <c r="AC897" s="1"/>
  <c r="BB896"/>
  <c r="AZ896"/>
  <c r="AX896"/>
  <c r="AV896"/>
  <c r="AT896"/>
  <c r="AR896"/>
  <c r="AH896"/>
  <c r="AF896"/>
  <c r="AD896"/>
  <c r="AA896"/>
  <c r="M896"/>
  <c r="AC896" s="1"/>
  <c r="BB895"/>
  <c r="AZ895"/>
  <c r="AX895"/>
  <c r="AV895"/>
  <c r="AT895"/>
  <c r="AR895"/>
  <c r="AH895"/>
  <c r="AF895"/>
  <c r="AD895"/>
  <c r="AA895"/>
  <c r="M895"/>
  <c r="AC895" s="1"/>
  <c r="BB894"/>
  <c r="AZ894"/>
  <c r="AX894"/>
  <c r="AV894"/>
  <c r="AT894"/>
  <c r="AR894"/>
  <c r="AH894"/>
  <c r="AF894"/>
  <c r="AD894"/>
  <c r="AA894"/>
  <c r="M894"/>
  <c r="AC894" s="1"/>
  <c r="BB893"/>
  <c r="AZ893"/>
  <c r="AX893"/>
  <c r="AV893"/>
  <c r="AT893"/>
  <c r="AR893"/>
  <c r="AH893"/>
  <c r="AF893"/>
  <c r="AD893"/>
  <c r="AA893"/>
  <c r="M893"/>
  <c r="AC893" s="1"/>
  <c r="BB892"/>
  <c r="AZ892"/>
  <c r="AX892"/>
  <c r="AV892"/>
  <c r="AT892"/>
  <c r="AR892"/>
  <c r="AH892"/>
  <c r="AF892"/>
  <c r="AD892"/>
  <c r="AA892"/>
  <c r="M892"/>
  <c r="AC892" s="1"/>
  <c r="BB891"/>
  <c r="AZ891"/>
  <c r="AX891"/>
  <c r="AV891"/>
  <c r="AT891"/>
  <c r="AR891"/>
  <c r="AH891"/>
  <c r="AF891"/>
  <c r="AD891"/>
  <c r="AA891"/>
  <c r="M891"/>
  <c r="AC891" s="1"/>
  <c r="BB890"/>
  <c r="AZ890"/>
  <c r="AX890"/>
  <c r="AV890"/>
  <c r="AT890"/>
  <c r="AR890"/>
  <c r="AH890"/>
  <c r="AF890"/>
  <c r="AD890"/>
  <c r="AA890"/>
  <c r="M890"/>
  <c r="AC890" s="1"/>
  <c r="BB889"/>
  <c r="AZ889"/>
  <c r="AX889"/>
  <c r="AV889"/>
  <c r="AT889"/>
  <c r="AR889"/>
  <c r="AH889"/>
  <c r="AF889"/>
  <c r="AD889"/>
  <c r="AA889"/>
  <c r="M889"/>
  <c r="AC889" s="1"/>
  <c r="BB888"/>
  <c r="AZ888"/>
  <c r="AX888"/>
  <c r="AV888"/>
  <c r="AT888"/>
  <c r="AR888"/>
  <c r="AH888"/>
  <c r="AF888"/>
  <c r="AD888"/>
  <c r="AA888"/>
  <c r="M888"/>
  <c r="AC888" s="1"/>
  <c r="BB887"/>
  <c r="AZ887"/>
  <c r="AX887"/>
  <c r="AV887"/>
  <c r="AT887"/>
  <c r="AR887"/>
  <c r="AH887"/>
  <c r="AF887"/>
  <c r="AD887"/>
  <c r="AA887"/>
  <c r="M887"/>
  <c r="AC887" s="1"/>
  <c r="BB886"/>
  <c r="AZ886"/>
  <c r="AX886"/>
  <c r="AV886"/>
  <c r="AT886"/>
  <c r="AR886"/>
  <c r="AH886"/>
  <c r="AF886"/>
  <c r="AD886"/>
  <c r="AA886"/>
  <c r="M886"/>
  <c r="AC886" s="1"/>
  <c r="BB885"/>
  <c r="AZ885"/>
  <c r="AX885"/>
  <c r="AV885"/>
  <c r="AT885"/>
  <c r="AR885"/>
  <c r="AH885"/>
  <c r="AF885"/>
  <c r="AD885"/>
  <c r="AA885"/>
  <c r="M885"/>
  <c r="AC885" s="1"/>
  <c r="BB884"/>
  <c r="AZ884"/>
  <c r="AX884"/>
  <c r="AV884"/>
  <c r="AT884"/>
  <c r="AR884"/>
  <c r="AH884"/>
  <c r="AF884"/>
  <c r="AD884"/>
  <c r="AA884"/>
  <c r="M884"/>
  <c r="AC884" s="1"/>
  <c r="BB883"/>
  <c r="AZ883"/>
  <c r="AX883"/>
  <c r="AV883"/>
  <c r="AT883"/>
  <c r="AR883"/>
  <c r="AH883"/>
  <c r="AF883"/>
  <c r="AD883"/>
  <c r="AA883"/>
  <c r="M883"/>
  <c r="AC883" s="1"/>
  <c r="BB882"/>
  <c r="AZ882"/>
  <c r="AX882"/>
  <c r="AV882"/>
  <c r="AT882"/>
  <c r="AR882"/>
  <c r="AH882"/>
  <c r="AF882"/>
  <c r="AD882"/>
  <c r="AA882"/>
  <c r="M882"/>
  <c r="AC882" s="1"/>
  <c r="BB881"/>
  <c r="AZ881"/>
  <c r="AX881"/>
  <c r="AV881"/>
  <c r="AT881"/>
  <c r="AR881"/>
  <c r="AH881"/>
  <c r="AF881"/>
  <c r="AD881"/>
  <c r="AA881"/>
  <c r="M881"/>
  <c r="AC881" s="1"/>
  <c r="BB880"/>
  <c r="AZ880"/>
  <c r="AX880"/>
  <c r="AV880"/>
  <c r="AT880"/>
  <c r="AR880"/>
  <c r="AH880"/>
  <c r="AF880"/>
  <c r="AD880"/>
  <c r="AA880"/>
  <c r="M880"/>
  <c r="AC880" s="1"/>
  <c r="BB879"/>
  <c r="AZ879"/>
  <c r="AX879"/>
  <c r="AV879"/>
  <c r="AT879"/>
  <c r="AR879"/>
  <c r="AH879"/>
  <c r="AF879"/>
  <c r="AD879"/>
  <c r="AA879"/>
  <c r="M879"/>
  <c r="AC879" s="1"/>
  <c r="BB878"/>
  <c r="AZ878"/>
  <c r="AX878"/>
  <c r="AV878"/>
  <c r="AT878"/>
  <c r="AR878"/>
  <c r="AH878"/>
  <c r="AF878"/>
  <c r="AD878"/>
  <c r="AA878"/>
  <c r="M878"/>
  <c r="AC878" s="1"/>
  <c r="BB877"/>
  <c r="AZ877"/>
  <c r="AX877"/>
  <c r="AV877"/>
  <c r="AT877"/>
  <c r="AR877"/>
  <c r="AH877"/>
  <c r="AF877"/>
  <c r="AD877"/>
  <c r="AA877"/>
  <c r="M877"/>
  <c r="AC877" s="1"/>
  <c r="BB876"/>
  <c r="AZ876"/>
  <c r="AX876"/>
  <c r="AV876"/>
  <c r="AT876"/>
  <c r="AR876"/>
  <c r="AH876"/>
  <c r="AF876"/>
  <c r="AD876"/>
  <c r="AA876"/>
  <c r="M876"/>
  <c r="AC876" s="1"/>
  <c r="BB875"/>
  <c r="AZ875"/>
  <c r="AX875"/>
  <c r="AV875"/>
  <c r="AT875"/>
  <c r="AR875"/>
  <c r="AH875"/>
  <c r="AF875"/>
  <c r="AD875"/>
  <c r="AA875"/>
  <c r="M875"/>
  <c r="AC875" s="1"/>
  <c r="BB874"/>
  <c r="AZ874"/>
  <c r="AX874"/>
  <c r="AV874"/>
  <c r="AT874"/>
  <c r="AR874"/>
  <c r="AH874"/>
  <c r="AF874"/>
  <c r="AD874"/>
  <c r="AA874"/>
  <c r="M874"/>
  <c r="AC874" s="1"/>
  <c r="BB873"/>
  <c r="AZ873"/>
  <c r="AX873"/>
  <c r="AV873"/>
  <c r="AT873"/>
  <c r="AR873"/>
  <c r="AH873"/>
  <c r="AF873"/>
  <c r="AD873"/>
  <c r="AA873"/>
  <c r="M873"/>
  <c r="AC873" s="1"/>
  <c r="BB872"/>
  <c r="AZ872"/>
  <c r="AX872"/>
  <c r="AV872"/>
  <c r="AT872"/>
  <c r="AR872"/>
  <c r="AH872"/>
  <c r="AF872"/>
  <c r="AD872"/>
  <c r="AA872"/>
  <c r="M872"/>
  <c r="AC872" s="1"/>
  <c r="BB871"/>
  <c r="AZ871"/>
  <c r="AX871"/>
  <c r="AV871"/>
  <c r="AT871"/>
  <c r="AR871"/>
  <c r="AH871"/>
  <c r="AF871"/>
  <c r="AD871"/>
  <c r="AA871"/>
  <c r="M871"/>
  <c r="AC871" s="1"/>
  <c r="BB870"/>
  <c r="AZ870"/>
  <c r="AX870"/>
  <c r="AV870"/>
  <c r="AT870"/>
  <c r="AR870"/>
  <c r="AH870"/>
  <c r="AF870"/>
  <c r="AD870"/>
  <c r="AA870"/>
  <c r="M870"/>
  <c r="AC870" s="1"/>
  <c r="BB869"/>
  <c r="AZ869"/>
  <c r="AX869"/>
  <c r="AV869"/>
  <c r="AT869"/>
  <c r="AR869"/>
  <c r="AH869"/>
  <c r="AF869"/>
  <c r="AD869"/>
  <c r="AA869"/>
  <c r="M869"/>
  <c r="AC869" s="1"/>
  <c r="BB868"/>
  <c r="AZ868"/>
  <c r="AX868"/>
  <c r="AV868"/>
  <c r="AT868"/>
  <c r="AR868"/>
  <c r="AH868"/>
  <c r="AF868"/>
  <c r="AD868"/>
  <c r="AA868"/>
  <c r="M868"/>
  <c r="AC868" s="1"/>
  <c r="BB867"/>
  <c r="AZ867"/>
  <c r="AX867"/>
  <c r="AV867"/>
  <c r="AT867"/>
  <c r="AR867"/>
  <c r="AH867"/>
  <c r="AF867"/>
  <c r="AD867"/>
  <c r="AA867"/>
  <c r="M867"/>
  <c r="AC867" s="1"/>
  <c r="BB866"/>
  <c r="AZ866"/>
  <c r="AX866"/>
  <c r="AV866"/>
  <c r="AT866"/>
  <c r="AR866"/>
  <c r="AH866"/>
  <c r="AF866"/>
  <c r="AD866"/>
  <c r="AA866"/>
  <c r="M866"/>
  <c r="AC866" s="1"/>
  <c r="BB865"/>
  <c r="AZ865"/>
  <c r="AX865"/>
  <c r="AV865"/>
  <c r="AT865"/>
  <c r="AR865"/>
  <c r="AH865"/>
  <c r="AF865"/>
  <c r="AD865"/>
  <c r="AA865"/>
  <c r="M865"/>
  <c r="AC865" s="1"/>
  <c r="BB864"/>
  <c r="AZ864"/>
  <c r="AX864"/>
  <c r="AV864"/>
  <c r="AT864"/>
  <c r="AR864"/>
  <c r="AH864"/>
  <c r="AF864"/>
  <c r="AD864"/>
  <c r="AA864"/>
  <c r="M864"/>
  <c r="AC864" s="1"/>
  <c r="BB863"/>
  <c r="AZ863"/>
  <c r="AX863"/>
  <c r="AV863"/>
  <c r="AT863"/>
  <c r="AR863"/>
  <c r="AH863"/>
  <c r="AF863"/>
  <c r="AD863"/>
  <c r="AA863"/>
  <c r="M863"/>
  <c r="AC863" s="1"/>
  <c r="BB862"/>
  <c r="AZ862"/>
  <c r="AX862"/>
  <c r="AV862"/>
  <c r="AT862"/>
  <c r="AR862"/>
  <c r="AH862"/>
  <c r="AF862"/>
  <c r="AD862"/>
  <c r="AA862"/>
  <c r="M862"/>
  <c r="AC862" s="1"/>
  <c r="BB861"/>
  <c r="AZ861"/>
  <c r="AX861"/>
  <c r="AV861"/>
  <c r="AT861"/>
  <c r="AR861"/>
  <c r="AH861"/>
  <c r="AF861"/>
  <c r="AD861"/>
  <c r="AA861"/>
  <c r="M861"/>
  <c r="AC861" s="1"/>
  <c r="BB860"/>
  <c r="AZ860"/>
  <c r="AX860"/>
  <c r="AV860"/>
  <c r="AT860"/>
  <c r="AR860"/>
  <c r="AH860"/>
  <c r="AF860"/>
  <c r="AD860"/>
  <c r="AA860"/>
  <c r="M860"/>
  <c r="AC860" s="1"/>
  <c r="BB859"/>
  <c r="AZ859"/>
  <c r="AX859"/>
  <c r="AV859"/>
  <c r="AT859"/>
  <c r="AR859"/>
  <c r="AH859"/>
  <c r="AF859"/>
  <c r="AD859"/>
  <c r="AA859"/>
  <c r="M859"/>
  <c r="AC859" s="1"/>
  <c r="BB858"/>
  <c r="AZ858"/>
  <c r="AX858"/>
  <c r="AV858"/>
  <c r="AT858"/>
  <c r="AR858"/>
  <c r="AH858"/>
  <c r="AF858"/>
  <c r="AD858"/>
  <c r="AA858"/>
  <c r="M858"/>
  <c r="AC858" s="1"/>
  <c r="BB857"/>
  <c r="AZ857"/>
  <c r="AX857"/>
  <c r="AV857"/>
  <c r="AT857"/>
  <c r="AR857"/>
  <c r="AH857"/>
  <c r="AF857"/>
  <c r="AD857"/>
  <c r="AA857"/>
  <c r="M857"/>
  <c r="AC857" s="1"/>
  <c r="BB856"/>
  <c r="AZ856"/>
  <c r="AX856"/>
  <c r="AV856"/>
  <c r="AT856"/>
  <c r="AR856"/>
  <c r="AH856"/>
  <c r="AF856"/>
  <c r="AD856"/>
  <c r="AA856"/>
  <c r="M856"/>
  <c r="AC856" s="1"/>
  <c r="BB855"/>
  <c r="AZ855"/>
  <c r="AX855"/>
  <c r="AV855"/>
  <c r="AT855"/>
  <c r="AR855"/>
  <c r="AH855"/>
  <c r="AF855"/>
  <c r="AD855"/>
  <c r="AA855"/>
  <c r="M855"/>
  <c r="AC855" s="1"/>
  <c r="BB854"/>
  <c r="AZ854"/>
  <c r="AX854"/>
  <c r="AV854"/>
  <c r="AT854"/>
  <c r="AR854"/>
  <c r="AH854"/>
  <c r="AF854"/>
  <c r="AD854"/>
  <c r="AA854"/>
  <c r="M854"/>
  <c r="AC854" s="1"/>
  <c r="BB853"/>
  <c r="AZ853"/>
  <c r="AX853"/>
  <c r="AV853"/>
  <c r="AT853"/>
  <c r="AR853"/>
  <c r="AH853"/>
  <c r="AF853"/>
  <c r="AA853"/>
  <c r="M853"/>
  <c r="AC853" s="1"/>
  <c r="BB852"/>
  <c r="AZ852"/>
  <c r="AX852"/>
  <c r="AV852"/>
  <c r="AT852"/>
  <c r="AR852"/>
  <c r="AH852"/>
  <c r="AF852"/>
  <c r="AA852"/>
  <c r="M852"/>
  <c r="AD852" s="1"/>
  <c r="BB851"/>
  <c r="AZ851"/>
  <c r="AX851"/>
  <c r="AV851"/>
  <c r="AT851"/>
  <c r="AR851"/>
  <c r="AH851"/>
  <c r="AF851"/>
  <c r="AA851"/>
  <c r="M851"/>
  <c r="AD851" s="1"/>
  <c r="BB850"/>
  <c r="AZ850"/>
  <c r="AX850"/>
  <c r="AV850"/>
  <c r="AT850"/>
  <c r="AR850"/>
  <c r="AH850"/>
  <c r="AF850"/>
  <c r="AA850"/>
  <c r="M850"/>
  <c r="AD850" s="1"/>
  <c r="BB849"/>
  <c r="AZ849"/>
  <c r="AX849"/>
  <c r="AV849"/>
  <c r="AT849"/>
  <c r="AR849"/>
  <c r="AH849"/>
  <c r="AF849"/>
  <c r="AA849"/>
  <c r="M849"/>
  <c r="AD849" s="1"/>
  <c r="BB848"/>
  <c r="AZ848"/>
  <c r="AX848"/>
  <c r="AV848"/>
  <c r="AT848"/>
  <c r="AR848"/>
  <c r="AH848"/>
  <c r="AF848"/>
  <c r="AA848"/>
  <c r="M848"/>
  <c r="AD848" s="1"/>
  <c r="BB847"/>
  <c r="AZ847"/>
  <c r="AX847"/>
  <c r="AV847"/>
  <c r="AT847"/>
  <c r="AR847"/>
  <c r="AH847"/>
  <c r="AF847"/>
  <c r="AA847"/>
  <c r="M847"/>
  <c r="AD847" s="1"/>
  <c r="BB846"/>
  <c r="AZ846"/>
  <c r="AX846"/>
  <c r="AV846"/>
  <c r="AT846"/>
  <c r="AR846"/>
  <c r="AH846"/>
  <c r="AF846"/>
  <c r="AA846"/>
  <c r="M846"/>
  <c r="AD846" s="1"/>
  <c r="BB845"/>
  <c r="AZ845"/>
  <c r="AX845"/>
  <c r="AV845"/>
  <c r="AT845"/>
  <c r="AR845"/>
  <c r="AH845"/>
  <c r="AF845"/>
  <c r="AA845"/>
  <c r="M845"/>
  <c r="AD845" s="1"/>
  <c r="BB844"/>
  <c r="AZ844"/>
  <c r="AX844"/>
  <c r="AV844"/>
  <c r="AT844"/>
  <c r="AR844"/>
  <c r="AH844"/>
  <c r="AF844"/>
  <c r="AA844"/>
  <c r="M844"/>
  <c r="AD844" s="1"/>
  <c r="BB843"/>
  <c r="AZ843"/>
  <c r="AX843"/>
  <c r="AV843"/>
  <c r="AT843"/>
  <c r="AR843"/>
  <c r="AH843"/>
  <c r="AF843"/>
  <c r="AA843"/>
  <c r="M843"/>
  <c r="AD843" s="1"/>
  <c r="BB842"/>
  <c r="AZ842"/>
  <c r="AX842"/>
  <c r="AV842"/>
  <c r="AT842"/>
  <c r="AR842"/>
  <c r="AH842"/>
  <c r="AF842"/>
  <c r="AA842"/>
  <c r="M842"/>
  <c r="AD842" s="1"/>
  <c r="BB841"/>
  <c r="AZ841"/>
  <c r="AX841"/>
  <c r="AV841"/>
  <c r="AT841"/>
  <c r="AR841"/>
  <c r="AH841"/>
  <c r="AF841"/>
  <c r="AA841"/>
  <c r="M841"/>
  <c r="AD841" s="1"/>
  <c r="BB840"/>
  <c r="AZ840"/>
  <c r="AX840"/>
  <c r="AV840"/>
  <c r="AT840"/>
  <c r="AR840"/>
  <c r="AH840"/>
  <c r="AF840"/>
  <c r="AA840"/>
  <c r="M840"/>
  <c r="AD840" s="1"/>
  <c r="BB839"/>
  <c r="AZ839"/>
  <c r="AX839"/>
  <c r="AV839"/>
  <c r="AT839"/>
  <c r="AR839"/>
  <c r="AH839"/>
  <c r="AF839"/>
  <c r="AA839"/>
  <c r="M839"/>
  <c r="AD839" s="1"/>
  <c r="BB838"/>
  <c r="AZ838"/>
  <c r="AX838"/>
  <c r="AV838"/>
  <c r="AT838"/>
  <c r="AR838"/>
  <c r="AH838"/>
  <c r="AF838"/>
  <c r="AA838"/>
  <c r="M838"/>
  <c r="AD838" s="1"/>
  <c r="BB837"/>
  <c r="AZ837"/>
  <c r="AX837"/>
  <c r="AV837"/>
  <c r="AT837"/>
  <c r="AR837"/>
  <c r="AH837"/>
  <c r="AF837"/>
  <c r="AA837"/>
  <c r="M837"/>
  <c r="AD837" s="1"/>
  <c r="BB836"/>
  <c r="AZ836"/>
  <c r="AX836"/>
  <c r="AV836"/>
  <c r="AT836"/>
  <c r="AR836"/>
  <c r="AH836"/>
  <c r="AF836"/>
  <c r="AA836"/>
  <c r="M836"/>
  <c r="AD836" s="1"/>
  <c r="BB835"/>
  <c r="AZ835"/>
  <c r="AX835"/>
  <c r="AV835"/>
  <c r="AT835"/>
  <c r="AR835"/>
  <c r="AH835"/>
  <c r="AF835"/>
  <c r="AA835"/>
  <c r="M835"/>
  <c r="AD835" s="1"/>
  <c r="BB834"/>
  <c r="AZ834"/>
  <c r="AX834"/>
  <c r="AV834"/>
  <c r="AT834"/>
  <c r="AR834"/>
  <c r="AH834"/>
  <c r="AF834"/>
  <c r="AA834"/>
  <c r="M834"/>
  <c r="AD834" s="1"/>
  <c r="BB833"/>
  <c r="AZ833"/>
  <c r="AX833"/>
  <c r="AV833"/>
  <c r="AT833"/>
  <c r="AR833"/>
  <c r="AH833"/>
  <c r="AF833"/>
  <c r="AA833"/>
  <c r="M833"/>
  <c r="AD833" s="1"/>
  <c r="BB832"/>
  <c r="AZ832"/>
  <c r="AX832"/>
  <c r="AV832"/>
  <c r="AT832"/>
  <c r="AR832"/>
  <c r="AP832"/>
  <c r="AN832"/>
  <c r="AL832"/>
  <c r="AJ832"/>
  <c r="AH832"/>
  <c r="AF832"/>
  <c r="AA832"/>
  <c r="M832"/>
  <c r="AD832" s="1"/>
  <c r="BB831"/>
  <c r="AZ831"/>
  <c r="AX831"/>
  <c r="AV831"/>
  <c r="AT831"/>
  <c r="AR831"/>
  <c r="AP831"/>
  <c r="AN831"/>
  <c r="AL831"/>
  <c r="AJ831"/>
  <c r="AH831"/>
  <c r="AF831"/>
  <c r="AA831"/>
  <c r="M831"/>
  <c r="AD831" s="1"/>
  <c r="BB830"/>
  <c r="AZ830"/>
  <c r="AX830"/>
  <c r="AV830"/>
  <c r="AT830"/>
  <c r="AR830"/>
  <c r="AP830"/>
  <c r="AN830"/>
  <c r="AL830"/>
  <c r="AJ830"/>
  <c r="AH830"/>
  <c r="AF830"/>
  <c r="AA830"/>
  <c r="M830"/>
  <c r="AD830" s="1"/>
  <c r="BB829"/>
  <c r="AZ829"/>
  <c r="AX829"/>
  <c r="AV829"/>
  <c r="AT829"/>
  <c r="AR829"/>
  <c r="AP829"/>
  <c r="AN829"/>
  <c r="AL829"/>
  <c r="AJ829"/>
  <c r="AH829"/>
  <c r="AF829"/>
  <c r="AA829"/>
  <c r="M829"/>
  <c r="AD829" s="1"/>
  <c r="BB828"/>
  <c r="AZ828"/>
  <c r="AX828"/>
  <c r="AV828"/>
  <c r="AT828"/>
  <c r="AR828"/>
  <c r="AP828"/>
  <c r="AN828"/>
  <c r="AL828"/>
  <c r="AJ828"/>
  <c r="AH828"/>
  <c r="AF828"/>
  <c r="AA828"/>
  <c r="M828"/>
  <c r="AD828" s="1"/>
  <c r="BB827"/>
  <c r="AZ827"/>
  <c r="AX827"/>
  <c r="AV827"/>
  <c r="AT827"/>
  <c r="AR827"/>
  <c r="AP827"/>
  <c r="AN827"/>
  <c r="AL827"/>
  <c r="AJ827"/>
  <c r="AH827"/>
  <c r="AF827"/>
  <c r="AA827"/>
  <c r="M827"/>
  <c r="AD827" s="1"/>
  <c r="BB826"/>
  <c r="AZ826"/>
  <c r="AX826"/>
  <c r="AV826"/>
  <c r="AT826"/>
  <c r="AR826"/>
  <c r="AP826"/>
  <c r="AN826"/>
  <c r="AL826"/>
  <c r="AJ826"/>
  <c r="AH826"/>
  <c r="AF826"/>
  <c r="AA826"/>
  <c r="M826"/>
  <c r="AD826" s="1"/>
  <c r="BB825"/>
  <c r="AZ825"/>
  <c r="AX825"/>
  <c r="AV825"/>
  <c r="AT825"/>
  <c r="AR825"/>
  <c r="AP825"/>
  <c r="AN825"/>
  <c r="AL825"/>
  <c r="AJ825"/>
  <c r="AH825"/>
  <c r="AF825"/>
  <c r="AA825"/>
  <c r="M825"/>
  <c r="AD825" s="1"/>
  <c r="BB824"/>
  <c r="AZ824"/>
  <c r="AX824"/>
  <c r="AV824"/>
  <c r="AT824"/>
  <c r="AR824"/>
  <c r="AP824"/>
  <c r="AN824"/>
  <c r="AL824"/>
  <c r="AJ824"/>
  <c r="AH824"/>
  <c r="AF824"/>
  <c r="AA824"/>
  <c r="M824"/>
  <c r="AD824" s="1"/>
  <c r="BB823"/>
  <c r="AZ823"/>
  <c r="AX823"/>
  <c r="AV823"/>
  <c r="AT823"/>
  <c r="AR823"/>
  <c r="AP823"/>
  <c r="AN823"/>
  <c r="AL823"/>
  <c r="AJ823"/>
  <c r="AH823"/>
  <c r="AF823"/>
  <c r="AA823"/>
  <c r="M823"/>
  <c r="AD823" s="1"/>
  <c r="BB822"/>
  <c r="AZ822"/>
  <c r="AX822"/>
  <c r="AV822"/>
  <c r="AT822"/>
  <c r="AR822"/>
  <c r="AP822"/>
  <c r="AN822"/>
  <c r="AL822"/>
  <c r="AJ822"/>
  <c r="AH822"/>
  <c r="AF822"/>
  <c r="AA822"/>
  <c r="M822"/>
  <c r="AD822" s="1"/>
  <c r="BB821"/>
  <c r="AZ821"/>
  <c r="AX821"/>
  <c r="AV821"/>
  <c r="AT821"/>
  <c r="AR821"/>
  <c r="AP821"/>
  <c r="AN821"/>
  <c r="AL821"/>
  <c r="AJ821"/>
  <c r="AH821"/>
  <c r="AF821"/>
  <c r="AA821"/>
  <c r="M821"/>
  <c r="AD821" s="1"/>
  <c r="BB820"/>
  <c r="AZ820"/>
  <c r="AX820"/>
  <c r="AV820"/>
  <c r="AT820"/>
  <c r="AR820"/>
  <c r="AP820"/>
  <c r="AN820"/>
  <c r="AL820"/>
  <c r="AJ820"/>
  <c r="AH820"/>
  <c r="AF820"/>
  <c r="AA820"/>
  <c r="M820"/>
  <c r="AD820" s="1"/>
  <c r="BB819"/>
  <c r="AZ819"/>
  <c r="AX819"/>
  <c r="AV819"/>
  <c r="AT819"/>
  <c r="AR819"/>
  <c r="AP819"/>
  <c r="AN819"/>
  <c r="AL819"/>
  <c r="AJ819"/>
  <c r="AH819"/>
  <c r="AF819"/>
  <c r="AA819"/>
  <c r="M819"/>
  <c r="AD819" s="1"/>
  <c r="BB818"/>
  <c r="AZ818"/>
  <c r="AX818"/>
  <c r="AV818"/>
  <c r="AT818"/>
  <c r="AR818"/>
  <c r="AP818"/>
  <c r="AN818"/>
  <c r="AL818"/>
  <c r="AJ818"/>
  <c r="AH818"/>
  <c r="AF818"/>
  <c r="AA818"/>
  <c r="M818"/>
  <c r="AD818" s="1"/>
  <c r="BB817"/>
  <c r="AZ817"/>
  <c r="AX817"/>
  <c r="AV817"/>
  <c r="AT817"/>
  <c r="AR817"/>
  <c r="AP817"/>
  <c r="AN817"/>
  <c r="AL817"/>
  <c r="AJ817"/>
  <c r="AH817"/>
  <c r="AF817"/>
  <c r="AA817"/>
  <c r="M817"/>
  <c r="AD817" s="1"/>
  <c r="BB816"/>
  <c r="AZ816"/>
  <c r="AX816"/>
  <c r="AV816"/>
  <c r="AT816"/>
  <c r="AR816"/>
  <c r="AP816"/>
  <c r="AN816"/>
  <c r="AL816"/>
  <c r="AJ816"/>
  <c r="AH816"/>
  <c r="AF816"/>
  <c r="AA816"/>
  <c r="M816"/>
  <c r="AD816" s="1"/>
  <c r="BB815"/>
  <c r="AZ815"/>
  <c r="AX815"/>
  <c r="AV815"/>
  <c r="AT815"/>
  <c r="AR815"/>
  <c r="AP815"/>
  <c r="AN815"/>
  <c r="AL815"/>
  <c r="AJ815"/>
  <c r="AH815"/>
  <c r="AF815"/>
  <c r="AA815"/>
  <c r="M815"/>
  <c r="AD815" s="1"/>
  <c r="BB814"/>
  <c r="AZ814"/>
  <c r="AX814"/>
  <c r="AV814"/>
  <c r="AT814"/>
  <c r="AR814"/>
  <c r="AP814"/>
  <c r="AN814"/>
  <c r="AL814"/>
  <c r="AJ814"/>
  <c r="AH814"/>
  <c r="AF814"/>
  <c r="AA814"/>
  <c r="M814"/>
  <c r="AD814" s="1"/>
  <c r="BB813"/>
  <c r="AZ813"/>
  <c r="AX813"/>
  <c r="AV813"/>
  <c r="AT813"/>
  <c r="AR813"/>
  <c r="AP813"/>
  <c r="AN813"/>
  <c r="AL813"/>
  <c r="AJ813"/>
  <c r="AH813"/>
  <c r="AF813"/>
  <c r="AA813"/>
  <c r="M813"/>
  <c r="AD813" s="1"/>
  <c r="BB812"/>
  <c r="AZ812"/>
  <c r="AX812"/>
  <c r="AV812"/>
  <c r="AT812"/>
  <c r="AR812"/>
  <c r="AP812"/>
  <c r="AN812"/>
  <c r="AL812"/>
  <c r="AJ812"/>
  <c r="AH812"/>
  <c r="AF812"/>
  <c r="AA812"/>
  <c r="M812"/>
  <c r="AD812" s="1"/>
  <c r="BB811"/>
  <c r="AZ811"/>
  <c r="AX811"/>
  <c r="AV811"/>
  <c r="AT811"/>
  <c r="AR811"/>
  <c r="AP811"/>
  <c r="AN811"/>
  <c r="AL811"/>
  <c r="AJ811"/>
  <c r="AH811"/>
  <c r="AF811"/>
  <c r="AA811"/>
  <c r="M811"/>
  <c r="AD811" s="1"/>
  <c r="BB810"/>
  <c r="AZ810"/>
  <c r="AX810"/>
  <c r="AV810"/>
  <c r="AT810"/>
  <c r="AR810"/>
  <c r="AP810"/>
  <c r="AN810"/>
  <c r="AL810"/>
  <c r="AJ810"/>
  <c r="AH810"/>
  <c r="AF810"/>
  <c r="AA810"/>
  <c r="M810"/>
  <c r="AD810" s="1"/>
  <c r="BB809"/>
  <c r="AZ809"/>
  <c r="AX809"/>
  <c r="AV809"/>
  <c r="AT809"/>
  <c r="AR809"/>
  <c r="AP809"/>
  <c r="AN809"/>
  <c r="AL809"/>
  <c r="AJ809"/>
  <c r="AH809"/>
  <c r="AF809"/>
  <c r="AA809"/>
  <c r="M809"/>
  <c r="AD809" s="1"/>
  <c r="BB808"/>
  <c r="AZ808"/>
  <c r="AX808"/>
  <c r="AV808"/>
  <c r="AT808"/>
  <c r="AR808"/>
  <c r="AP808"/>
  <c r="AN808"/>
  <c r="AL808"/>
  <c r="AJ808"/>
  <c r="AH808"/>
  <c r="AF808"/>
  <c r="AA808"/>
  <c r="M808"/>
  <c r="AD808" s="1"/>
  <c r="BB807"/>
  <c r="AZ807"/>
  <c r="AX807"/>
  <c r="AV807"/>
  <c r="AT807"/>
  <c r="AR807"/>
  <c r="AP807"/>
  <c r="AN807"/>
  <c r="AL807"/>
  <c r="AJ807"/>
  <c r="AH807"/>
  <c r="AF807"/>
  <c r="AA807"/>
  <c r="M807"/>
  <c r="AD807" s="1"/>
  <c r="BB806"/>
  <c r="AZ806"/>
  <c r="AX806"/>
  <c r="AV806"/>
  <c r="AT806"/>
  <c r="AR806"/>
  <c r="AP806"/>
  <c r="AN806"/>
  <c r="AL806"/>
  <c r="AJ806"/>
  <c r="AH806"/>
  <c r="AF806"/>
  <c r="AA806"/>
  <c r="M806"/>
  <c r="AD806" s="1"/>
  <c r="BB805"/>
  <c r="AZ805"/>
  <c r="AX805"/>
  <c r="AV805"/>
  <c r="AT805"/>
  <c r="AR805"/>
  <c r="AP805"/>
  <c r="AN805"/>
  <c r="AL805"/>
  <c r="AJ805"/>
  <c r="AH805"/>
  <c r="AF805"/>
  <c r="AA805"/>
  <c r="M805"/>
  <c r="AD805" s="1"/>
  <c r="BB804"/>
  <c r="AZ804"/>
  <c r="AX804"/>
  <c r="AV804"/>
  <c r="AT804"/>
  <c r="AR804"/>
  <c r="AP804"/>
  <c r="AN804"/>
  <c r="AL804"/>
  <c r="AJ804"/>
  <c r="AH804"/>
  <c r="AF804"/>
  <c r="AA804"/>
  <c r="M804"/>
  <c r="AD804" s="1"/>
  <c r="BB803"/>
  <c r="AZ803"/>
  <c r="AX803"/>
  <c r="AV803"/>
  <c r="AT803"/>
  <c r="AR803"/>
  <c r="AP803"/>
  <c r="AN803"/>
  <c r="AL803"/>
  <c r="AJ803"/>
  <c r="AH803"/>
  <c r="AF803"/>
  <c r="AA803"/>
  <c r="M803"/>
  <c r="AD803" s="1"/>
  <c r="BB802"/>
  <c r="AZ802"/>
  <c r="AX802"/>
  <c r="AV802"/>
  <c r="AT802"/>
  <c r="AR802"/>
  <c r="AP802"/>
  <c r="AN802"/>
  <c r="AL802"/>
  <c r="AJ802"/>
  <c r="AH802"/>
  <c r="AF802"/>
  <c r="AA802"/>
  <c r="M802"/>
  <c r="AD802" s="1"/>
  <c r="BB801"/>
  <c r="AZ801"/>
  <c r="AX801"/>
  <c r="AV801"/>
  <c r="AT801"/>
  <c r="AR801"/>
  <c r="AP801"/>
  <c r="AN801"/>
  <c r="AL801"/>
  <c r="AJ801"/>
  <c r="AH801"/>
  <c r="AF801"/>
  <c r="AA801"/>
  <c r="M801"/>
  <c r="AD801" s="1"/>
  <c r="BB800"/>
  <c r="AZ800"/>
  <c r="AX800"/>
  <c r="AV800"/>
  <c r="AT800"/>
  <c r="AR800"/>
  <c r="AP800"/>
  <c r="AN800"/>
  <c r="AL800"/>
  <c r="AJ800"/>
  <c r="AH800"/>
  <c r="AF800"/>
  <c r="AA800"/>
  <c r="M800"/>
  <c r="AD800" s="1"/>
  <c r="BB799"/>
  <c r="AZ799"/>
  <c r="AX799"/>
  <c r="AV799"/>
  <c r="AT799"/>
  <c r="AR799"/>
  <c r="AP799"/>
  <c r="AN799"/>
  <c r="AL799"/>
  <c r="AJ799"/>
  <c r="AH799"/>
  <c r="AF799"/>
  <c r="AA799"/>
  <c r="M799"/>
  <c r="AD799" s="1"/>
  <c r="BB798"/>
  <c r="AZ798"/>
  <c r="AX798"/>
  <c r="AV798"/>
  <c r="AT798"/>
  <c r="AR798"/>
  <c r="AP798"/>
  <c r="AN798"/>
  <c r="AL798"/>
  <c r="AJ798"/>
  <c r="AH798"/>
  <c r="AF798"/>
  <c r="AA798"/>
  <c r="M798"/>
  <c r="AD798" s="1"/>
  <c r="BB797"/>
  <c r="AZ797"/>
  <c r="AX797"/>
  <c r="AV797"/>
  <c r="AT797"/>
  <c r="AR797"/>
  <c r="AP797"/>
  <c r="AN797"/>
  <c r="AL797"/>
  <c r="AJ797"/>
  <c r="AH797"/>
  <c r="AF797"/>
  <c r="AA797"/>
  <c r="M797"/>
  <c r="AD797" s="1"/>
  <c r="BB796"/>
  <c r="AZ796"/>
  <c r="AX796"/>
  <c r="AV796"/>
  <c r="AT796"/>
  <c r="AR796"/>
  <c r="AP796"/>
  <c r="AN796"/>
  <c r="AL796"/>
  <c r="AJ796"/>
  <c r="AH796"/>
  <c r="AF796"/>
  <c r="AA796"/>
  <c r="M796"/>
  <c r="AD796" s="1"/>
  <c r="BB795"/>
  <c r="AZ795"/>
  <c r="AX795"/>
  <c r="AV795"/>
  <c r="AT795"/>
  <c r="AR795"/>
  <c r="AP795"/>
  <c r="AN795"/>
  <c r="AL795"/>
  <c r="AJ795"/>
  <c r="AH795"/>
  <c r="AF795"/>
  <c r="AA795"/>
  <c r="M795"/>
  <c r="AD795" s="1"/>
  <c r="BB794"/>
  <c r="AZ794"/>
  <c r="AX794"/>
  <c r="AV794"/>
  <c r="AT794"/>
  <c r="AR794"/>
  <c r="AP794"/>
  <c r="AN794"/>
  <c r="AL794"/>
  <c r="AJ794"/>
  <c r="AH794"/>
  <c r="AF794"/>
  <c r="AA794"/>
  <c r="M794"/>
  <c r="AD794" s="1"/>
  <c r="BB793"/>
  <c r="AZ793"/>
  <c r="AX793"/>
  <c r="AV793"/>
  <c r="AT793"/>
  <c r="AR793"/>
  <c r="AP793"/>
  <c r="AN793"/>
  <c r="AL793"/>
  <c r="AJ793"/>
  <c r="AH793"/>
  <c r="AF793"/>
  <c r="AA793"/>
  <c r="M793"/>
  <c r="AD793" s="1"/>
  <c r="BB792"/>
  <c r="AZ792"/>
  <c r="AX792"/>
  <c r="AV792"/>
  <c r="AT792"/>
  <c r="AR792"/>
  <c r="AP792"/>
  <c r="AN792"/>
  <c r="AL792"/>
  <c r="AJ792"/>
  <c r="AH792"/>
  <c r="AF792"/>
  <c r="AA792"/>
  <c r="M792"/>
  <c r="AD792" s="1"/>
  <c r="BB791"/>
  <c r="AZ791"/>
  <c r="AX791"/>
  <c r="AV791"/>
  <c r="AT791"/>
  <c r="AR791"/>
  <c r="AP791"/>
  <c r="AN791"/>
  <c r="AL791"/>
  <c r="AJ791"/>
  <c r="AH791"/>
  <c r="AF791"/>
  <c r="AA791"/>
  <c r="M791"/>
  <c r="AD791" s="1"/>
  <c r="BB790"/>
  <c r="AZ790"/>
  <c r="AX790"/>
  <c r="AV790"/>
  <c r="AT790"/>
  <c r="AR790"/>
  <c r="AP790"/>
  <c r="AN790"/>
  <c r="AL790"/>
  <c r="AJ790"/>
  <c r="AH790"/>
  <c r="AF790"/>
  <c r="AA790"/>
  <c r="M790"/>
  <c r="AD790" s="1"/>
  <c r="BB789"/>
  <c r="AZ789"/>
  <c r="AX789"/>
  <c r="AV789"/>
  <c r="AT789"/>
  <c r="AR789"/>
  <c r="AP789"/>
  <c r="AN789"/>
  <c r="AL789"/>
  <c r="AJ789"/>
  <c r="AH789"/>
  <c r="AF789"/>
  <c r="AA789"/>
  <c r="M789"/>
  <c r="AD789" s="1"/>
  <c r="BB788"/>
  <c r="AZ788"/>
  <c r="AX788"/>
  <c r="AV788"/>
  <c r="AT788"/>
  <c r="AR788"/>
  <c r="AP788"/>
  <c r="AN788"/>
  <c r="AL788"/>
  <c r="AJ788"/>
  <c r="AH788"/>
  <c r="AF788"/>
  <c r="AA788"/>
  <c r="M788"/>
  <c r="AD788" s="1"/>
  <c r="BB787"/>
  <c r="AZ787"/>
  <c r="AX787"/>
  <c r="AV787"/>
  <c r="AT787"/>
  <c r="AR787"/>
  <c r="AP787"/>
  <c r="AN787"/>
  <c r="AL787"/>
  <c r="AJ787"/>
  <c r="AH787"/>
  <c r="AF787"/>
  <c r="AA787"/>
  <c r="M787"/>
  <c r="AD787" s="1"/>
  <c r="BB786"/>
  <c r="AZ786"/>
  <c r="AX786"/>
  <c r="AV786"/>
  <c r="AT786"/>
  <c r="AR786"/>
  <c r="AP786"/>
  <c r="AN786"/>
  <c r="AL786"/>
  <c r="AJ786"/>
  <c r="AH786"/>
  <c r="AF786"/>
  <c r="AA786"/>
  <c r="M786"/>
  <c r="AD786" s="1"/>
  <c r="BB785"/>
  <c r="AZ785"/>
  <c r="AX785"/>
  <c r="AV785"/>
  <c r="AT785"/>
  <c r="AR785"/>
  <c r="AP785"/>
  <c r="AN785"/>
  <c r="AL785"/>
  <c r="AJ785"/>
  <c r="AH785"/>
  <c r="AF785"/>
  <c r="AA785"/>
  <c r="M785"/>
  <c r="AD785" s="1"/>
  <c r="BB784"/>
  <c r="AZ784"/>
  <c r="AX784"/>
  <c r="AV784"/>
  <c r="AT784"/>
  <c r="AR784"/>
  <c r="AP784"/>
  <c r="AN784"/>
  <c r="AL784"/>
  <c r="AJ784"/>
  <c r="AH784"/>
  <c r="AF784"/>
  <c r="AA784"/>
  <c r="M784"/>
  <c r="AD784" s="1"/>
  <c r="BB783"/>
  <c r="AZ783"/>
  <c r="AX783"/>
  <c r="AV783"/>
  <c r="AT783"/>
  <c r="AR783"/>
  <c r="AP783"/>
  <c r="AN783"/>
  <c r="AL783"/>
  <c r="AJ783"/>
  <c r="AH783"/>
  <c r="AF783"/>
  <c r="AA783"/>
  <c r="M783"/>
  <c r="AD783" s="1"/>
  <c r="BB782"/>
  <c r="AZ782"/>
  <c r="AX782"/>
  <c r="AV782"/>
  <c r="AT782"/>
  <c r="AR782"/>
  <c r="AP782"/>
  <c r="AN782"/>
  <c r="AL782"/>
  <c r="AJ782"/>
  <c r="AH782"/>
  <c r="AF782"/>
  <c r="AA782"/>
  <c r="M782"/>
  <c r="AD782" s="1"/>
  <c r="BB781"/>
  <c r="AZ781"/>
  <c r="AX781"/>
  <c r="AV781"/>
  <c r="AT781"/>
  <c r="AR781"/>
  <c r="AP781"/>
  <c r="AN781"/>
  <c r="AM781"/>
  <c r="AL781"/>
  <c r="AJ781"/>
  <c r="AH781"/>
  <c r="AF781"/>
  <c r="AD781"/>
  <c r="AA781"/>
  <c r="M781"/>
  <c r="AC781" s="1"/>
  <c r="BB780"/>
  <c r="AZ780"/>
  <c r="AX780"/>
  <c r="AV780"/>
  <c r="AT780"/>
  <c r="AR780"/>
  <c r="AP780"/>
  <c r="AN780"/>
  <c r="AL780"/>
  <c r="AJ780"/>
  <c r="AH780"/>
  <c r="AF780"/>
  <c r="AD780"/>
  <c r="AA780"/>
  <c r="M780"/>
  <c r="AC780" s="1"/>
  <c r="BB779"/>
  <c r="AZ779"/>
  <c r="AX779"/>
  <c r="AV779"/>
  <c r="AT779"/>
  <c r="AR779"/>
  <c r="AP779"/>
  <c r="AN779"/>
  <c r="AL779"/>
  <c r="AJ779"/>
  <c r="AH779"/>
  <c r="AF779"/>
  <c r="AD779"/>
  <c r="AA779"/>
  <c r="M779"/>
  <c r="AC779" s="1"/>
  <c r="BB778"/>
  <c r="AZ778"/>
  <c r="AX778"/>
  <c r="AV778"/>
  <c r="AT778"/>
  <c r="AR778"/>
  <c r="AP778"/>
  <c r="AN778"/>
  <c r="AL778"/>
  <c r="AJ778"/>
  <c r="AH778"/>
  <c r="AF778"/>
  <c r="AD778"/>
  <c r="AA778"/>
  <c r="M778"/>
  <c r="AC778" s="1"/>
  <c r="BB777"/>
  <c r="AZ777"/>
  <c r="AX777"/>
  <c r="AV777"/>
  <c r="AT777"/>
  <c r="AR777"/>
  <c r="AP777"/>
  <c r="AN777"/>
  <c r="AL777"/>
  <c r="AJ777"/>
  <c r="AH777"/>
  <c r="AF777"/>
  <c r="AD777"/>
  <c r="AA777"/>
  <c r="M777"/>
  <c r="AC777" s="1"/>
  <c r="BB776"/>
  <c r="AZ776"/>
  <c r="AX776"/>
  <c r="AV776"/>
  <c r="AT776"/>
  <c r="AR776"/>
  <c r="AP776"/>
  <c r="AN776"/>
  <c r="AL776"/>
  <c r="AJ776"/>
  <c r="AH776"/>
  <c r="AF776"/>
  <c r="AD776"/>
  <c r="AA776"/>
  <c r="M776"/>
  <c r="AC776" s="1"/>
  <c r="BB775"/>
  <c r="AZ775"/>
  <c r="AX775"/>
  <c r="AV775"/>
  <c r="AT775"/>
  <c r="AR775"/>
  <c r="AP775"/>
  <c r="AN775"/>
  <c r="AL775"/>
  <c r="AJ775"/>
  <c r="AH775"/>
  <c r="AF775"/>
  <c r="AD775"/>
  <c r="AA775"/>
  <c r="M775"/>
  <c r="AC775" s="1"/>
  <c r="BB774"/>
  <c r="AZ774"/>
  <c r="AX774"/>
  <c r="AV774"/>
  <c r="AT774"/>
  <c r="AR774"/>
  <c r="AP774"/>
  <c r="AN774"/>
  <c r="AL774"/>
  <c r="AJ774"/>
  <c r="AH774"/>
  <c r="AF774"/>
  <c r="AD774"/>
  <c r="AA774"/>
  <c r="M774"/>
  <c r="AC774" s="1"/>
  <c r="BB773"/>
  <c r="AZ773"/>
  <c r="AX773"/>
  <c r="AV773"/>
  <c r="AT773"/>
  <c r="AR773"/>
  <c r="AP773"/>
  <c r="AN773"/>
  <c r="AL773"/>
  <c r="AJ773"/>
  <c r="AH773"/>
  <c r="AF773"/>
  <c r="AD773"/>
  <c r="AA773"/>
  <c r="M773"/>
  <c r="AC773" s="1"/>
  <c r="BB772"/>
  <c r="AZ772"/>
  <c r="AX772"/>
  <c r="AV772"/>
  <c r="AT772"/>
  <c r="AR772"/>
  <c r="AP772"/>
  <c r="AN772"/>
  <c r="AL772"/>
  <c r="AJ772"/>
  <c r="AH772"/>
  <c r="AF772"/>
  <c r="AD772"/>
  <c r="AA772"/>
  <c r="M772"/>
  <c r="AC772" s="1"/>
  <c r="BB771"/>
  <c r="AZ771"/>
  <c r="AX771"/>
  <c r="AV771"/>
  <c r="AT771"/>
  <c r="AR771"/>
  <c r="AP771"/>
  <c r="AN771"/>
  <c r="AL771"/>
  <c r="AJ771"/>
  <c r="AH771"/>
  <c r="AF771"/>
  <c r="AD771"/>
  <c r="AA771"/>
  <c r="M771"/>
  <c r="AC771" s="1"/>
  <c r="BB770"/>
  <c r="AZ770"/>
  <c r="AX770"/>
  <c r="AV770"/>
  <c r="AT770"/>
  <c r="AR770"/>
  <c r="AP770"/>
  <c r="AN770"/>
  <c r="AL770"/>
  <c r="AJ770"/>
  <c r="AH770"/>
  <c r="AF770"/>
  <c r="AD770"/>
  <c r="AA770"/>
  <c r="M770"/>
  <c r="AC770" s="1"/>
  <c r="BB769"/>
  <c r="AZ769"/>
  <c r="AX769"/>
  <c r="AV769"/>
  <c r="AT769"/>
  <c r="AR769"/>
  <c r="AP769"/>
  <c r="AN769"/>
  <c r="AL769"/>
  <c r="AJ769"/>
  <c r="AH769"/>
  <c r="AF769"/>
  <c r="AD769"/>
  <c r="AA769"/>
  <c r="M769"/>
  <c r="AC769" s="1"/>
  <c r="BB768"/>
  <c r="AZ768"/>
  <c r="AX768"/>
  <c r="AV768"/>
  <c r="AT768"/>
  <c r="AR768"/>
  <c r="AP768"/>
  <c r="AN768"/>
  <c r="AL768"/>
  <c r="AJ768"/>
  <c r="AH768"/>
  <c r="AF768"/>
  <c r="AD768"/>
  <c r="AA768"/>
  <c r="M768"/>
  <c r="AC768" s="1"/>
  <c r="BB767"/>
  <c r="AZ767"/>
  <c r="AX767"/>
  <c r="AV767"/>
  <c r="AT767"/>
  <c r="AR767"/>
  <c r="AP767"/>
  <c r="AN767"/>
  <c r="AL767"/>
  <c r="AJ767"/>
  <c r="AH767"/>
  <c r="AF767"/>
  <c r="AD767"/>
  <c r="AA767"/>
  <c r="M767"/>
  <c r="AC767" s="1"/>
  <c r="BB766"/>
  <c r="AZ766"/>
  <c r="AX766"/>
  <c r="AV766"/>
  <c r="AT766"/>
  <c r="AR766"/>
  <c r="AP766"/>
  <c r="AN766"/>
  <c r="AL766"/>
  <c r="AJ766"/>
  <c r="AH766"/>
  <c r="AF766"/>
  <c r="AD766"/>
  <c r="AA766"/>
  <c r="M766"/>
  <c r="AC766" s="1"/>
  <c r="BB765"/>
  <c r="AZ765"/>
  <c r="AX765"/>
  <c r="AV765"/>
  <c r="AT765"/>
  <c r="AR765"/>
  <c r="AP765"/>
  <c r="AN765"/>
  <c r="AL765"/>
  <c r="AJ765"/>
  <c r="AH765"/>
  <c r="AF765"/>
  <c r="AD765"/>
  <c r="AA765"/>
  <c r="M765"/>
  <c r="AC765" s="1"/>
  <c r="BB764"/>
  <c r="AZ764"/>
  <c r="AX764"/>
  <c r="AV764"/>
  <c r="AT764"/>
  <c r="AR764"/>
  <c r="AP764"/>
  <c r="AN764"/>
  <c r="AL764"/>
  <c r="AJ764"/>
  <c r="AH764"/>
  <c r="AF764"/>
  <c r="AD764"/>
  <c r="AA764"/>
  <c r="M764"/>
  <c r="AC764" s="1"/>
  <c r="BB763"/>
  <c r="AZ763"/>
  <c r="AX763"/>
  <c r="AV763"/>
  <c r="AT763"/>
  <c r="AR763"/>
  <c r="AP763"/>
  <c r="AN763"/>
  <c r="AL763"/>
  <c r="AJ763"/>
  <c r="AH763"/>
  <c r="AF763"/>
  <c r="AD763"/>
  <c r="AA763"/>
  <c r="M763"/>
  <c r="AC763" s="1"/>
  <c r="BB762"/>
  <c r="AZ762"/>
  <c r="AX762"/>
  <c r="AV762"/>
  <c r="AT762"/>
  <c r="AR762"/>
  <c r="AP762"/>
  <c r="AN762"/>
  <c r="AL762"/>
  <c r="AJ762"/>
  <c r="AH762"/>
  <c r="AF762"/>
  <c r="AD762"/>
  <c r="AA762"/>
  <c r="M762"/>
  <c r="AC762" s="1"/>
  <c r="BB761"/>
  <c r="AZ761"/>
  <c r="AX761"/>
  <c r="AV761"/>
  <c r="AT761"/>
  <c r="AR761"/>
  <c r="AP761"/>
  <c r="AN761"/>
  <c r="AL761"/>
  <c r="AJ761"/>
  <c r="AH761"/>
  <c r="AF761"/>
  <c r="AD761"/>
  <c r="AA761"/>
  <c r="M761"/>
  <c r="AC761" s="1"/>
  <c r="BB760"/>
  <c r="AZ760"/>
  <c r="AX760"/>
  <c r="AV760"/>
  <c r="AT760"/>
  <c r="AR760"/>
  <c r="AP760"/>
  <c r="AN760"/>
  <c r="AL760"/>
  <c r="AJ760"/>
  <c r="AH760"/>
  <c r="AF760"/>
  <c r="AD760"/>
  <c r="AA760"/>
  <c r="M760"/>
  <c r="AC760" s="1"/>
  <c r="BB759"/>
  <c r="AZ759"/>
  <c r="AX759"/>
  <c r="AV759"/>
  <c r="AT759"/>
  <c r="AR759"/>
  <c r="AP759"/>
  <c r="AN759"/>
  <c r="AL759"/>
  <c r="AJ759"/>
  <c r="AH759"/>
  <c r="AF759"/>
  <c r="AD759"/>
  <c r="AA759"/>
  <c r="M759"/>
  <c r="AC759" s="1"/>
  <c r="BB758"/>
  <c r="AZ758"/>
  <c r="AX758"/>
  <c r="AV758"/>
  <c r="AT758"/>
  <c r="AR758"/>
  <c r="AP758"/>
  <c r="AN758"/>
  <c r="AL758"/>
  <c r="AJ758"/>
  <c r="AH758"/>
  <c r="AF758"/>
  <c r="AD758"/>
  <c r="AA758"/>
  <c r="M758"/>
  <c r="AC758" s="1"/>
  <c r="BB757"/>
  <c r="AZ757"/>
  <c r="AX757"/>
  <c r="AV757"/>
  <c r="AT757"/>
  <c r="AR757"/>
  <c r="AP757"/>
  <c r="AN757"/>
  <c r="AL757"/>
  <c r="AJ757"/>
  <c r="AH757"/>
  <c r="AF757"/>
  <c r="AD757"/>
  <c r="AA757"/>
  <c r="M757"/>
  <c r="AC757" s="1"/>
  <c r="BB756"/>
  <c r="AZ756"/>
  <c r="AX756"/>
  <c r="AV756"/>
  <c r="AT756"/>
  <c r="AS756"/>
  <c r="AR756"/>
  <c r="AP756"/>
  <c r="AN756"/>
  <c r="AL756"/>
  <c r="AJ756"/>
  <c r="AH756"/>
  <c r="AF756"/>
  <c r="AA756"/>
  <c r="M756"/>
  <c r="AD756" s="1"/>
  <c r="BB755"/>
  <c r="AZ755"/>
  <c r="AX755"/>
  <c r="AV755"/>
  <c r="AT755"/>
  <c r="AR755"/>
  <c r="AP755"/>
  <c r="AN755"/>
  <c r="AL755"/>
  <c r="AJ755"/>
  <c r="AH755"/>
  <c r="AF755"/>
  <c r="AA755"/>
  <c r="M755"/>
  <c r="AD755" s="1"/>
  <c r="BB754"/>
  <c r="AZ754"/>
  <c r="AX754"/>
  <c r="AV754"/>
  <c r="AT754"/>
  <c r="AR754"/>
  <c r="AP754"/>
  <c r="AN754"/>
  <c r="AL754"/>
  <c r="AJ754"/>
  <c r="AH754"/>
  <c r="AF754"/>
  <c r="AA754"/>
  <c r="M754"/>
  <c r="AD754" s="1"/>
  <c r="BB753"/>
  <c r="AZ753"/>
  <c r="AX753"/>
  <c r="AV753"/>
  <c r="AT753"/>
  <c r="AR753"/>
  <c r="AP753"/>
  <c r="AN753"/>
  <c r="AL753"/>
  <c r="AJ753"/>
  <c r="AH753"/>
  <c r="AF753"/>
  <c r="AA753"/>
  <c r="M753"/>
  <c r="AD753" s="1"/>
  <c r="BB752"/>
  <c r="AZ752"/>
  <c r="AX752"/>
  <c r="AV752"/>
  <c r="AT752"/>
  <c r="AR752"/>
  <c r="AP752"/>
  <c r="AN752"/>
  <c r="AL752"/>
  <c r="AJ752"/>
  <c r="AH752"/>
  <c r="AF752"/>
  <c r="AA752"/>
  <c r="M752"/>
  <c r="AD752" s="1"/>
  <c r="BB751"/>
  <c r="AZ751"/>
  <c r="AX751"/>
  <c r="AV751"/>
  <c r="AT751"/>
  <c r="AR751"/>
  <c r="AP751"/>
  <c r="AN751"/>
  <c r="AL751"/>
  <c r="AJ751"/>
  <c r="AH751"/>
  <c r="AF751"/>
  <c r="AA751"/>
  <c r="M751"/>
  <c r="AD751" s="1"/>
  <c r="BB750"/>
  <c r="AZ750"/>
  <c r="AX750"/>
  <c r="AV750"/>
  <c r="AT750"/>
  <c r="AR750"/>
  <c r="AP750"/>
  <c r="AN750"/>
  <c r="AL750"/>
  <c r="AJ750"/>
  <c r="AH750"/>
  <c r="AF750"/>
  <c r="AA750"/>
  <c r="M750"/>
  <c r="AD750" s="1"/>
  <c r="BB749"/>
  <c r="AZ749"/>
  <c r="AX749"/>
  <c r="AV749"/>
  <c r="AT749"/>
  <c r="AR749"/>
  <c r="AP749"/>
  <c r="AN749"/>
  <c r="AL749"/>
  <c r="AJ749"/>
  <c r="AH749"/>
  <c r="AF749"/>
  <c r="AA749"/>
  <c r="M749"/>
  <c r="AD749" s="1"/>
  <c r="BB748"/>
  <c r="AZ748"/>
  <c r="AX748"/>
  <c r="AV748"/>
  <c r="AT748"/>
  <c r="AR748"/>
  <c r="AP748"/>
  <c r="AN748"/>
  <c r="AL748"/>
  <c r="AJ748"/>
  <c r="AH748"/>
  <c r="AF748"/>
  <c r="AA748"/>
  <c r="M748"/>
  <c r="AD748" s="1"/>
  <c r="BB747"/>
  <c r="AZ747"/>
  <c r="AX747"/>
  <c r="AV747"/>
  <c r="AT747"/>
  <c r="AR747"/>
  <c r="AP747"/>
  <c r="AN747"/>
  <c r="AL747"/>
  <c r="AJ747"/>
  <c r="AH747"/>
  <c r="AF747"/>
  <c r="AA747"/>
  <c r="M747"/>
  <c r="AD747" s="1"/>
  <c r="BB746"/>
  <c r="AZ746"/>
  <c r="AX746"/>
  <c r="AV746"/>
  <c r="AT746"/>
  <c r="AR746"/>
  <c r="AP746"/>
  <c r="AN746"/>
  <c r="AL746"/>
  <c r="AJ746"/>
  <c r="AH746"/>
  <c r="AF746"/>
  <c r="AA746"/>
  <c r="M746"/>
  <c r="AD746" s="1"/>
  <c r="BB745"/>
  <c r="AZ745"/>
  <c r="AX745"/>
  <c r="AV745"/>
  <c r="AT745"/>
  <c r="AR745"/>
  <c r="AP745"/>
  <c r="AN745"/>
  <c r="AL745"/>
  <c r="AJ745"/>
  <c r="AH745"/>
  <c r="AF745"/>
  <c r="AA745"/>
  <c r="M745"/>
  <c r="AD745" s="1"/>
  <c r="BB744"/>
  <c r="AZ744"/>
  <c r="AX744"/>
  <c r="AV744"/>
  <c r="AT744"/>
  <c r="AR744"/>
  <c r="AP744"/>
  <c r="AN744"/>
  <c r="AL744"/>
  <c r="AJ744"/>
  <c r="AH744"/>
  <c r="AF744"/>
  <c r="AA744"/>
  <c r="M744"/>
  <c r="AD744" s="1"/>
  <c r="BB743"/>
  <c r="AZ743"/>
  <c r="AX743"/>
  <c r="AV743"/>
  <c r="AT743"/>
  <c r="AR743"/>
  <c r="AP743"/>
  <c r="AN743"/>
  <c r="AL743"/>
  <c r="AJ743"/>
  <c r="AH743"/>
  <c r="AF743"/>
  <c r="AA743"/>
  <c r="M743"/>
  <c r="AD743" s="1"/>
  <c r="BB742"/>
  <c r="AZ742"/>
  <c r="AX742"/>
  <c r="AV742"/>
  <c r="AT742"/>
  <c r="AR742"/>
  <c r="AP742"/>
  <c r="AN742"/>
  <c r="AL742"/>
  <c r="AJ742"/>
  <c r="AH742"/>
  <c r="AF742"/>
  <c r="AA742"/>
  <c r="M742"/>
  <c r="AD742" s="1"/>
  <c r="BB741"/>
  <c r="AZ741"/>
  <c r="AX741"/>
  <c r="AV741"/>
  <c r="AT741"/>
  <c r="AR741"/>
  <c r="AP741"/>
  <c r="AN741"/>
  <c r="AL741"/>
  <c r="AJ741"/>
  <c r="AH741"/>
  <c r="AF741"/>
  <c r="AA741"/>
  <c r="M741"/>
  <c r="AD741" s="1"/>
  <c r="BB740"/>
  <c r="AZ740"/>
  <c r="AX740"/>
  <c r="AV740"/>
  <c r="AT740"/>
  <c r="AR740"/>
  <c r="AP740"/>
  <c r="AN740"/>
  <c r="AL740"/>
  <c r="AJ740"/>
  <c r="AH740"/>
  <c r="AF740"/>
  <c r="AA740"/>
  <c r="M740"/>
  <c r="AD740" s="1"/>
  <c r="BB739"/>
  <c r="AZ739"/>
  <c r="AX739"/>
  <c r="AV739"/>
  <c r="AT739"/>
  <c r="AR739"/>
  <c r="AP739"/>
  <c r="AN739"/>
  <c r="AL739"/>
  <c r="AJ739"/>
  <c r="AH739"/>
  <c r="AF739"/>
  <c r="AA739"/>
  <c r="M739"/>
  <c r="AD739" s="1"/>
  <c r="BB738"/>
  <c r="AZ738"/>
  <c r="AX738"/>
  <c r="AV738"/>
  <c r="AT738"/>
  <c r="AR738"/>
  <c r="AP738"/>
  <c r="AN738"/>
  <c r="AL738"/>
  <c r="AJ738"/>
  <c r="AH738"/>
  <c r="AF738"/>
  <c r="AA738"/>
  <c r="M738"/>
  <c r="AD738" s="1"/>
  <c r="BB737"/>
  <c r="AZ737"/>
  <c r="AX737"/>
  <c r="AV737"/>
  <c r="AT737"/>
  <c r="AR737"/>
  <c r="AP737"/>
  <c r="AN737"/>
  <c r="AL737"/>
  <c r="AJ737"/>
  <c r="AH737"/>
  <c r="AF737"/>
  <c r="AA737"/>
  <c r="M737"/>
  <c r="AD737" s="1"/>
  <c r="BB736"/>
  <c r="AZ736"/>
  <c r="AX736"/>
  <c r="AV736"/>
  <c r="AT736"/>
  <c r="AR736"/>
  <c r="AP736"/>
  <c r="AN736"/>
  <c r="AL736"/>
  <c r="AJ736"/>
  <c r="AH736"/>
  <c r="AF736"/>
  <c r="AA736"/>
  <c r="M736"/>
  <c r="AD736" s="1"/>
  <c r="BB735"/>
  <c r="AZ735"/>
  <c r="AX735"/>
  <c r="AV735"/>
  <c r="AT735"/>
  <c r="AR735"/>
  <c r="AP735"/>
  <c r="AN735"/>
  <c r="AL735"/>
  <c r="AJ735"/>
  <c r="AH735"/>
  <c r="AF735"/>
  <c r="AA735"/>
  <c r="M735"/>
  <c r="AD735" s="1"/>
  <c r="BB734"/>
  <c r="AZ734"/>
  <c r="AX734"/>
  <c r="AV734"/>
  <c r="AT734"/>
  <c r="AR734"/>
  <c r="AP734"/>
  <c r="AN734"/>
  <c r="AL734"/>
  <c r="AJ734"/>
  <c r="AH734"/>
  <c r="AF734"/>
  <c r="AA734"/>
  <c r="M734"/>
  <c r="AD734" s="1"/>
  <c r="BB733"/>
  <c r="AZ733"/>
  <c r="AX733"/>
  <c r="AV733"/>
  <c r="AT733"/>
  <c r="AR733"/>
  <c r="AP733"/>
  <c r="AN733"/>
  <c r="AL733"/>
  <c r="AJ733"/>
  <c r="AH733"/>
  <c r="AF733"/>
  <c r="AA733"/>
  <c r="M733"/>
  <c r="AD733" s="1"/>
  <c r="BB732"/>
  <c r="AZ732"/>
  <c r="AX732"/>
  <c r="AV732"/>
  <c r="AT732"/>
  <c r="AR732"/>
  <c r="AP732"/>
  <c r="AN732"/>
  <c r="AL732"/>
  <c r="AJ732"/>
  <c r="AH732"/>
  <c r="AF732"/>
  <c r="AA732"/>
  <c r="M732"/>
  <c r="AD732" s="1"/>
  <c r="BB731"/>
  <c r="AZ731"/>
  <c r="AX731"/>
  <c r="AV731"/>
  <c r="AT731"/>
  <c r="AR731"/>
  <c r="AP731"/>
  <c r="AN731"/>
  <c r="AL731"/>
  <c r="AJ731"/>
  <c r="AH731"/>
  <c r="AF731"/>
  <c r="AA731"/>
  <c r="M731"/>
  <c r="AD731" s="1"/>
  <c r="BB730"/>
  <c r="AZ730"/>
  <c r="AX730"/>
  <c r="AV730"/>
  <c r="AT730"/>
  <c r="AR730"/>
  <c r="AP730"/>
  <c r="AN730"/>
  <c r="AL730"/>
  <c r="AJ730"/>
  <c r="AH730"/>
  <c r="AF730"/>
  <c r="AA730"/>
  <c r="M730"/>
  <c r="AD730" s="1"/>
  <c r="BB729"/>
  <c r="AZ729"/>
  <c r="AX729"/>
  <c r="AV729"/>
  <c r="AT729"/>
  <c r="AR729"/>
  <c r="AP729"/>
  <c r="AN729"/>
  <c r="AL729"/>
  <c r="AJ729"/>
  <c r="AH729"/>
  <c r="AF729"/>
  <c r="AA729"/>
  <c r="M729"/>
  <c r="AD729" s="1"/>
  <c r="BB728"/>
  <c r="AZ728"/>
  <c r="AX728"/>
  <c r="AV728"/>
  <c r="AT728"/>
  <c r="AR728"/>
  <c r="AP728"/>
  <c r="AN728"/>
  <c r="AL728"/>
  <c r="AJ728"/>
  <c r="AH728"/>
  <c r="AF728"/>
  <c r="AA728"/>
  <c r="M728"/>
  <c r="AD728" s="1"/>
  <c r="BB727"/>
  <c r="AZ727"/>
  <c r="AX727"/>
  <c r="AV727"/>
  <c r="AT727"/>
  <c r="AR727"/>
  <c r="AP727"/>
  <c r="AN727"/>
  <c r="AL727"/>
  <c r="AJ727"/>
  <c r="AH727"/>
  <c r="AF727"/>
  <c r="AA727"/>
  <c r="M727"/>
  <c r="AD727" s="1"/>
  <c r="BB726"/>
  <c r="AZ726"/>
  <c r="AX726"/>
  <c r="AV726"/>
  <c r="AT726"/>
  <c r="AR726"/>
  <c r="AP726"/>
  <c r="AN726"/>
  <c r="AL726"/>
  <c r="AJ726"/>
  <c r="AH726"/>
  <c r="AF726"/>
  <c r="AA726"/>
  <c r="M726"/>
  <c r="AD726" s="1"/>
  <c r="BB725"/>
  <c r="AZ725"/>
  <c r="AX725"/>
  <c r="AV725"/>
  <c r="AT725"/>
  <c r="AR725"/>
  <c r="AP725"/>
  <c r="AN725"/>
  <c r="AL725"/>
  <c r="AJ725"/>
  <c r="AH725"/>
  <c r="AF725"/>
  <c r="AA725"/>
  <c r="M725"/>
  <c r="AD725" s="1"/>
  <c r="BB724"/>
  <c r="AZ724"/>
  <c r="AX724"/>
  <c r="AV724"/>
  <c r="AT724"/>
  <c r="AR724"/>
  <c r="AP724"/>
  <c r="AN724"/>
  <c r="AL724"/>
  <c r="AJ724"/>
  <c r="AH724"/>
  <c r="AF724"/>
  <c r="AA724"/>
  <c r="M724"/>
  <c r="AD724" s="1"/>
  <c r="BB723"/>
  <c r="AZ723"/>
  <c r="AX723"/>
  <c r="AV723"/>
  <c r="AT723"/>
  <c r="AR723"/>
  <c r="AP723"/>
  <c r="AN723"/>
  <c r="AL723"/>
  <c r="AJ723"/>
  <c r="AH723"/>
  <c r="AF723"/>
  <c r="AA723"/>
  <c r="M723"/>
  <c r="AD723" s="1"/>
  <c r="BB722"/>
  <c r="AZ722"/>
  <c r="AX722"/>
  <c r="AV722"/>
  <c r="AT722"/>
  <c r="AR722"/>
  <c r="AP722"/>
  <c r="AN722"/>
  <c r="AL722"/>
  <c r="AJ722"/>
  <c r="AH722"/>
  <c r="AF722"/>
  <c r="AA722"/>
  <c r="M722"/>
  <c r="AD722" s="1"/>
  <c r="BB721"/>
  <c r="AZ721"/>
  <c r="AX721"/>
  <c r="AV721"/>
  <c r="AT721"/>
  <c r="AR721"/>
  <c r="AP721"/>
  <c r="AN721"/>
  <c r="AL721"/>
  <c r="AJ721"/>
  <c r="AH721"/>
  <c r="AF721"/>
  <c r="AA721"/>
  <c r="M721"/>
  <c r="AD721" s="1"/>
  <c r="BB720"/>
  <c r="AZ720"/>
  <c r="AX720"/>
  <c r="AV720"/>
  <c r="AT720"/>
  <c r="AR720"/>
  <c r="AP720"/>
  <c r="AN720"/>
  <c r="AL720"/>
  <c r="AJ720"/>
  <c r="AH720"/>
  <c r="AF720"/>
  <c r="AA720"/>
  <c r="M720"/>
  <c r="AD720" s="1"/>
  <c r="BB719"/>
  <c r="AZ719"/>
  <c r="AX719"/>
  <c r="AV719"/>
  <c r="AT719"/>
  <c r="AR719"/>
  <c r="AP719"/>
  <c r="AN719"/>
  <c r="AL719"/>
  <c r="AJ719"/>
  <c r="AH719"/>
  <c r="AF719"/>
  <c r="AA719"/>
  <c r="M719"/>
  <c r="AD719" s="1"/>
  <c r="BB718"/>
  <c r="AZ718"/>
  <c r="AX718"/>
  <c r="AV718"/>
  <c r="AT718"/>
  <c r="AR718"/>
  <c r="AP718"/>
  <c r="AN718"/>
  <c r="AL718"/>
  <c r="AJ718"/>
  <c r="AH718"/>
  <c r="AF718"/>
  <c r="AA718"/>
  <c r="M718"/>
  <c r="AD718" s="1"/>
  <c r="BB717"/>
  <c r="AZ717"/>
  <c r="AX717"/>
  <c r="AV717"/>
  <c r="AT717"/>
  <c r="AR717"/>
  <c r="AP717"/>
  <c r="AN717"/>
  <c r="AK717"/>
  <c r="AJ717"/>
  <c r="AH717"/>
  <c r="AF717"/>
  <c r="AA717"/>
  <c r="BB716"/>
  <c r="AZ716"/>
  <c r="AX716"/>
  <c r="AV716"/>
  <c r="AT716"/>
  <c r="AR716"/>
  <c r="AP716"/>
  <c r="AN716"/>
  <c r="AL716"/>
  <c r="AJ716"/>
  <c r="AH716"/>
  <c r="AF716"/>
  <c r="AD716"/>
  <c r="AA716"/>
  <c r="M716"/>
  <c r="AC716" s="1"/>
  <c r="BB715"/>
  <c r="AZ715"/>
  <c r="AX715"/>
  <c r="AV715"/>
  <c r="AT715"/>
  <c r="AR715"/>
  <c r="AP715"/>
  <c r="AN715"/>
  <c r="AL715"/>
  <c r="AJ715"/>
  <c r="AH715"/>
  <c r="AF715"/>
  <c r="AD715"/>
  <c r="AA715"/>
  <c r="M715"/>
  <c r="AC715" s="1"/>
  <c r="BB714"/>
  <c r="AZ714"/>
  <c r="AX714"/>
  <c r="AV714"/>
  <c r="AT714"/>
  <c r="AR714"/>
  <c r="AP714"/>
  <c r="AN714"/>
  <c r="AL714"/>
  <c r="AJ714"/>
  <c r="AH714"/>
  <c r="AF714"/>
  <c r="AD714"/>
  <c r="AA714"/>
  <c r="M714"/>
  <c r="AC714" s="1"/>
  <c r="BB713"/>
  <c r="AZ713"/>
  <c r="AX713"/>
  <c r="AV713"/>
  <c r="AT713"/>
  <c r="AR713"/>
  <c r="AP713"/>
  <c r="AN713"/>
  <c r="AL713"/>
  <c r="AJ713"/>
  <c r="AH713"/>
  <c r="AF713"/>
  <c r="AD713"/>
  <c r="AA713"/>
  <c r="M713"/>
  <c r="AC713" s="1"/>
  <c r="BB712"/>
  <c r="AZ712"/>
  <c r="AX712"/>
  <c r="AV712"/>
  <c r="AT712"/>
  <c r="AR712"/>
  <c r="AP712"/>
  <c r="AN712"/>
  <c r="AL712"/>
  <c r="AJ712"/>
  <c r="AH712"/>
  <c r="AF712"/>
  <c r="AD712"/>
  <c r="AA712"/>
  <c r="M712"/>
  <c r="AC712" s="1"/>
  <c r="BB711"/>
  <c r="AZ711"/>
  <c r="AX711"/>
  <c r="AV711"/>
  <c r="AT711"/>
  <c r="AR711"/>
  <c r="AP711"/>
  <c r="AN711"/>
  <c r="AL711"/>
  <c r="AJ711"/>
  <c r="AH711"/>
  <c r="AF711"/>
  <c r="AD711"/>
  <c r="AA711"/>
  <c r="M711"/>
  <c r="AC711" s="1"/>
  <c r="BB710"/>
  <c r="AZ710"/>
  <c r="AX710"/>
  <c r="AV710"/>
  <c r="AT710"/>
  <c r="AR710"/>
  <c r="AP710"/>
  <c r="AN710"/>
  <c r="AL710"/>
  <c r="AJ710"/>
  <c r="AH710"/>
  <c r="AF710"/>
  <c r="AD710"/>
  <c r="AA710"/>
  <c r="M710"/>
  <c r="AC710" s="1"/>
  <c r="BB709"/>
  <c r="AZ709"/>
  <c r="AX709"/>
  <c r="AV709"/>
  <c r="AT709"/>
  <c r="AR709"/>
  <c r="AP709"/>
  <c r="AN709"/>
  <c r="AL709"/>
  <c r="AJ709"/>
  <c r="AH709"/>
  <c r="AF709"/>
  <c r="AD709"/>
  <c r="AA709"/>
  <c r="M709"/>
  <c r="AC709" s="1"/>
  <c r="BB708"/>
  <c r="AZ708"/>
  <c r="AX708"/>
  <c r="AV708"/>
  <c r="AT708"/>
  <c r="AR708"/>
  <c r="AP708"/>
  <c r="AN708"/>
  <c r="AL708"/>
  <c r="AJ708"/>
  <c r="AH708"/>
  <c r="AF708"/>
  <c r="AD708"/>
  <c r="AA708"/>
  <c r="M708"/>
  <c r="AC708" s="1"/>
  <c r="BB707"/>
  <c r="AZ707"/>
  <c r="AX707"/>
  <c r="AV707"/>
  <c r="AT707"/>
  <c r="AR707"/>
  <c r="AP707"/>
  <c r="AN707"/>
  <c r="AL707"/>
  <c r="AJ707"/>
  <c r="AH707"/>
  <c r="AF707"/>
  <c r="AD707"/>
  <c r="AA707"/>
  <c r="M707"/>
  <c r="AC707" s="1"/>
  <c r="BB706"/>
  <c r="AZ706"/>
  <c r="AX706"/>
  <c r="AV706"/>
  <c r="AT706"/>
  <c r="AR706"/>
  <c r="AP706"/>
  <c r="AN706"/>
  <c r="AL706"/>
  <c r="AJ706"/>
  <c r="AH706"/>
  <c r="AF706"/>
  <c r="AD706"/>
  <c r="AA706"/>
  <c r="M706"/>
  <c r="AC706" s="1"/>
  <c r="BB705"/>
  <c r="AZ705"/>
  <c r="AX705"/>
  <c r="AV705"/>
  <c r="AT705"/>
  <c r="AR705"/>
  <c r="AP705"/>
  <c r="AN705"/>
  <c r="AL705"/>
  <c r="AJ705"/>
  <c r="AH705"/>
  <c r="AF705"/>
  <c r="AD705"/>
  <c r="AA705"/>
  <c r="M705"/>
  <c r="AC705" s="1"/>
  <c r="BB704"/>
  <c r="AZ704"/>
  <c r="AX704"/>
  <c r="AV704"/>
  <c r="AT704"/>
  <c r="AR704"/>
  <c r="AP704"/>
  <c r="AN704"/>
  <c r="AL704"/>
  <c r="AJ704"/>
  <c r="AH704"/>
  <c r="AF704"/>
  <c r="AD704"/>
  <c r="AA704"/>
  <c r="M704"/>
  <c r="AC704" s="1"/>
  <c r="BB703"/>
  <c r="AZ703"/>
  <c r="AX703"/>
  <c r="AV703"/>
  <c r="AT703"/>
  <c r="AR703"/>
  <c r="AP703"/>
  <c r="AN703"/>
  <c r="AL703"/>
  <c r="AJ703"/>
  <c r="AH703"/>
  <c r="AF703"/>
  <c r="AD703"/>
  <c r="AA703"/>
  <c r="M703"/>
  <c r="AC703" s="1"/>
  <c r="BB702"/>
  <c r="AZ702"/>
  <c r="AX702"/>
  <c r="AV702"/>
  <c r="AT702"/>
  <c r="AR702"/>
  <c r="AP702"/>
  <c r="AN702"/>
  <c r="AL702"/>
  <c r="AJ702"/>
  <c r="AH702"/>
  <c r="AF702"/>
  <c r="AD702"/>
  <c r="AA702"/>
  <c r="M702"/>
  <c r="AC702" s="1"/>
  <c r="BB701"/>
  <c r="AZ701"/>
  <c r="AX701"/>
  <c r="AV701"/>
  <c r="AT701"/>
  <c r="AR701"/>
  <c r="AP701"/>
  <c r="AN701"/>
  <c r="AL701"/>
  <c r="AJ701"/>
  <c r="AH701"/>
  <c r="AF701"/>
  <c r="AD701"/>
  <c r="AA701"/>
  <c r="M701"/>
  <c r="AC701" s="1"/>
  <c r="BB700"/>
  <c r="AZ700"/>
  <c r="AX700"/>
  <c r="AV700"/>
  <c r="AT700"/>
  <c r="AR700"/>
  <c r="AP700"/>
  <c r="AN700"/>
  <c r="AL700"/>
  <c r="AJ700"/>
  <c r="AH700"/>
  <c r="AF700"/>
  <c r="AD700"/>
  <c r="AA700"/>
  <c r="M700"/>
  <c r="AC700" s="1"/>
  <c r="BB699"/>
  <c r="AZ699"/>
  <c r="AX699"/>
  <c r="AV699"/>
  <c r="AT699"/>
  <c r="AR699"/>
  <c r="AP699"/>
  <c r="AN699"/>
  <c r="AL699"/>
  <c r="AJ699"/>
  <c r="AH699"/>
  <c r="AF699"/>
  <c r="AD699"/>
  <c r="AA699"/>
  <c r="M699"/>
  <c r="AC699" s="1"/>
  <c r="BB698"/>
  <c r="AZ698"/>
  <c r="AX698"/>
  <c r="AV698"/>
  <c r="AT698"/>
  <c r="AR698"/>
  <c r="AP698"/>
  <c r="AN698"/>
  <c r="AL698"/>
  <c r="AJ698"/>
  <c r="AH698"/>
  <c r="AF698"/>
  <c r="AD698"/>
  <c r="AA698"/>
  <c r="M698"/>
  <c r="AC698" s="1"/>
  <c r="BB697"/>
  <c r="AZ697"/>
  <c r="AX697"/>
  <c r="AV697"/>
  <c r="AT697"/>
  <c r="AR697"/>
  <c r="AP697"/>
  <c r="AN697"/>
  <c r="AL697"/>
  <c r="AJ697"/>
  <c r="AH697"/>
  <c r="AF697"/>
  <c r="AD697"/>
  <c r="AA697"/>
  <c r="M697"/>
  <c r="AC697" s="1"/>
  <c r="BB696"/>
  <c r="AZ696"/>
  <c r="AX696"/>
  <c r="AV696"/>
  <c r="AT696"/>
  <c r="AR696"/>
  <c r="AP696"/>
  <c r="AN696"/>
  <c r="AL696"/>
  <c r="AJ696"/>
  <c r="AH696"/>
  <c r="AF696"/>
  <c r="AD696"/>
  <c r="AA696"/>
  <c r="M696"/>
  <c r="AC696" s="1"/>
  <c r="BB695"/>
  <c r="AZ695"/>
  <c r="AX695"/>
  <c r="AV695"/>
  <c r="AT695"/>
  <c r="AR695"/>
  <c r="AP695"/>
  <c r="AN695"/>
  <c r="AL695"/>
  <c r="AJ695"/>
  <c r="AH695"/>
  <c r="AF695"/>
  <c r="AD695"/>
  <c r="AA695"/>
  <c r="M695"/>
  <c r="AC695" s="1"/>
  <c r="BB694"/>
  <c r="AZ694"/>
  <c r="AX694"/>
  <c r="AV694"/>
  <c r="AT694"/>
  <c r="AR694"/>
  <c r="AP694"/>
  <c r="AN694"/>
  <c r="AL694"/>
  <c r="AJ694"/>
  <c r="AH694"/>
  <c r="AF694"/>
  <c r="AD694"/>
  <c r="AA694"/>
  <c r="M694"/>
  <c r="AC694" s="1"/>
  <c r="BB693"/>
  <c r="AZ693"/>
  <c r="AX693"/>
  <c r="AV693"/>
  <c r="AT693"/>
  <c r="AR693"/>
  <c r="AP693"/>
  <c r="AN693"/>
  <c r="AL693"/>
  <c r="AJ693"/>
  <c r="AH693"/>
  <c r="AF693"/>
  <c r="AD693"/>
  <c r="AA693"/>
  <c r="M693"/>
  <c r="AC693" s="1"/>
  <c r="BB692"/>
  <c r="AZ692"/>
  <c r="AX692"/>
  <c r="AV692"/>
  <c r="AT692"/>
  <c r="AR692"/>
  <c r="AP692"/>
  <c r="AN692"/>
  <c r="AL692"/>
  <c r="AJ692"/>
  <c r="AH692"/>
  <c r="AF692"/>
  <c r="AA692"/>
  <c r="M692"/>
  <c r="AC692" s="1"/>
  <c r="BB691"/>
  <c r="AZ691"/>
  <c r="AX691"/>
  <c r="AV691"/>
  <c r="AT691"/>
  <c r="AR691"/>
  <c r="AP691"/>
  <c r="AN691"/>
  <c r="AL691"/>
  <c r="AJ691"/>
  <c r="AH691"/>
  <c r="AF691"/>
  <c r="AD691"/>
  <c r="AA691"/>
  <c r="M691"/>
  <c r="AC691" s="1"/>
  <c r="BB690"/>
  <c r="AZ690"/>
  <c r="AX690"/>
  <c r="AV690"/>
  <c r="AT690"/>
  <c r="AR690"/>
  <c r="AP690"/>
  <c r="AN690"/>
  <c r="AL690"/>
  <c r="AJ690"/>
  <c r="AH690"/>
  <c r="AF690"/>
  <c r="AD690"/>
  <c r="AA690"/>
  <c r="M690"/>
  <c r="AC690" s="1"/>
  <c r="BB689"/>
  <c r="AZ689"/>
  <c r="AX689"/>
  <c r="AV689"/>
  <c r="AT689"/>
  <c r="AR689"/>
  <c r="AP689"/>
  <c r="AN689"/>
  <c r="AL689"/>
  <c r="AJ689"/>
  <c r="AH689"/>
  <c r="AF689"/>
  <c r="AD689"/>
  <c r="AA689"/>
  <c r="M689"/>
  <c r="AC689" s="1"/>
  <c r="BB688"/>
  <c r="AZ688"/>
  <c r="AX688"/>
  <c r="AV688"/>
  <c r="AT688"/>
  <c r="AR688"/>
  <c r="AP688"/>
  <c r="AN688"/>
  <c r="AL688"/>
  <c r="AJ688"/>
  <c r="AH688"/>
  <c r="AF688"/>
  <c r="AD688"/>
  <c r="AA688"/>
  <c r="M688"/>
  <c r="AC688" s="1"/>
  <c r="BB687"/>
  <c r="AZ687"/>
  <c r="AX687"/>
  <c r="AV687"/>
  <c r="AT687"/>
  <c r="AR687"/>
  <c r="AP687"/>
  <c r="AN687"/>
  <c r="AL687"/>
  <c r="AJ687"/>
  <c r="AH687"/>
  <c r="AF687"/>
  <c r="AD687"/>
  <c r="AA687"/>
  <c r="M687"/>
  <c r="AC687" s="1"/>
  <c r="BB686"/>
  <c r="AZ686"/>
  <c r="AX686"/>
  <c r="AV686"/>
  <c r="AT686"/>
  <c r="AR686"/>
  <c r="AP686"/>
  <c r="AN686"/>
  <c r="AL686"/>
  <c r="AJ686"/>
  <c r="AH686"/>
  <c r="AF686"/>
  <c r="AD686"/>
  <c r="AA686"/>
  <c r="M686"/>
  <c r="AC686" s="1"/>
  <c r="BB685"/>
  <c r="AZ685"/>
  <c r="AX685"/>
  <c r="AV685"/>
  <c r="AT685"/>
  <c r="AR685"/>
  <c r="AP685"/>
  <c r="AN685"/>
  <c r="AL685"/>
  <c r="AJ685"/>
  <c r="AH685"/>
  <c r="AF685"/>
  <c r="AD685"/>
  <c r="AA685"/>
  <c r="M685"/>
  <c r="AC685" s="1"/>
  <c r="BB684"/>
  <c r="AZ684"/>
  <c r="AX684"/>
  <c r="AV684"/>
  <c r="AT684"/>
  <c r="AR684"/>
  <c r="AP684"/>
  <c r="AN684"/>
  <c r="AL684"/>
  <c r="AJ684"/>
  <c r="AH684"/>
  <c r="AF684"/>
  <c r="AD684"/>
  <c r="AA684"/>
  <c r="M684"/>
  <c r="AC684" s="1"/>
  <c r="BB683"/>
  <c r="AZ683"/>
  <c r="AX683"/>
  <c r="AV683"/>
  <c r="AT683"/>
  <c r="AR683"/>
  <c r="AP683"/>
  <c r="AN683"/>
  <c r="AL683"/>
  <c r="AJ683"/>
  <c r="AH683"/>
  <c r="AF683"/>
  <c r="AD683"/>
  <c r="AA683"/>
  <c r="M683"/>
  <c r="AC683" s="1"/>
  <c r="BB682"/>
  <c r="AZ682"/>
  <c r="AX682"/>
  <c r="AV682"/>
  <c r="AT682"/>
  <c r="AR682"/>
  <c r="AP682"/>
  <c r="AN682"/>
  <c r="AL682"/>
  <c r="AJ682"/>
  <c r="AH682"/>
  <c r="AG682"/>
  <c r="AF682"/>
  <c r="AA682"/>
  <c r="M682"/>
  <c r="AC682" s="1"/>
  <c r="BB681"/>
  <c r="AZ681"/>
  <c r="AX681"/>
  <c r="AV681"/>
  <c r="AT681"/>
  <c r="AR681"/>
  <c r="AP681"/>
  <c r="AN681"/>
  <c r="AL681"/>
  <c r="AJ681"/>
  <c r="AH681"/>
  <c r="AF681"/>
  <c r="AA681"/>
  <c r="M681"/>
  <c r="AC681" s="1"/>
  <c r="BB680"/>
  <c r="AZ680"/>
  <c r="AX680"/>
  <c r="AV680"/>
  <c r="AT680"/>
  <c r="AR680"/>
  <c r="AP680"/>
  <c r="AN680"/>
  <c r="AL680"/>
  <c r="AJ680"/>
  <c r="AH680"/>
  <c r="AF680"/>
  <c r="AA680"/>
  <c r="M680"/>
  <c r="AC680" s="1"/>
  <c r="BB679"/>
  <c r="AZ679"/>
  <c r="AX679"/>
  <c r="AV679"/>
  <c r="AT679"/>
  <c r="AR679"/>
  <c r="AP679"/>
  <c r="AN679"/>
  <c r="AL679"/>
  <c r="AJ679"/>
  <c r="AH679"/>
  <c r="AF679"/>
  <c r="AA679"/>
  <c r="M679"/>
  <c r="AC679" s="1"/>
  <c r="BB678"/>
  <c r="AZ678"/>
  <c r="AX678"/>
  <c r="AV678"/>
  <c r="AT678"/>
  <c r="AR678"/>
  <c r="AP678"/>
  <c r="AN678"/>
  <c r="AL678"/>
  <c r="AJ678"/>
  <c r="AH678"/>
  <c r="AF678"/>
  <c r="AA678"/>
  <c r="M678"/>
  <c r="AC678" s="1"/>
  <c r="BB677"/>
  <c r="AZ677"/>
  <c r="AX677"/>
  <c r="AV677"/>
  <c r="AT677"/>
  <c r="AR677"/>
  <c r="AP677"/>
  <c r="AN677"/>
  <c r="AL677"/>
  <c r="AJ677"/>
  <c r="AH677"/>
  <c r="AF677"/>
  <c r="AA677"/>
  <c r="M677"/>
  <c r="AC677" s="1"/>
  <c r="BB676"/>
  <c r="AZ676"/>
  <c r="AX676"/>
  <c r="AV676"/>
  <c r="AT676"/>
  <c r="AR676"/>
  <c r="AP676"/>
  <c r="AN676"/>
  <c r="AL676"/>
  <c r="AJ676"/>
  <c r="AH676"/>
  <c r="AF676"/>
  <c r="AA676"/>
  <c r="M676"/>
  <c r="AC676" s="1"/>
  <c r="BB675"/>
  <c r="AZ675"/>
  <c r="AX675"/>
  <c r="AV675"/>
  <c r="AT675"/>
  <c r="AR675"/>
  <c r="AP675"/>
  <c r="AN675"/>
  <c r="AL675"/>
  <c r="AJ675"/>
  <c r="AH675"/>
  <c r="AF675"/>
  <c r="AA675"/>
  <c r="M675"/>
  <c r="AC675" s="1"/>
  <c r="BB674"/>
  <c r="AZ674"/>
  <c r="AX674"/>
  <c r="AV674"/>
  <c r="AT674"/>
  <c r="AR674"/>
  <c r="AP674"/>
  <c r="AN674"/>
  <c r="AL674"/>
  <c r="AJ674"/>
  <c r="AH674"/>
  <c r="AF674"/>
  <c r="AA674"/>
  <c r="M674"/>
  <c r="AC674" s="1"/>
  <c r="BB673"/>
  <c r="AZ673"/>
  <c r="AX673"/>
  <c r="AV673"/>
  <c r="AT673"/>
  <c r="AR673"/>
  <c r="AP673"/>
  <c r="AN673"/>
  <c r="AL673"/>
  <c r="AJ673"/>
  <c r="AH673"/>
  <c r="AF673"/>
  <c r="AA673"/>
  <c r="M673"/>
  <c r="AC673" s="1"/>
  <c r="BB672"/>
  <c r="AZ672"/>
  <c r="AX672"/>
  <c r="AV672"/>
  <c r="AT672"/>
  <c r="AR672"/>
  <c r="AP672"/>
  <c r="AN672"/>
  <c r="AL672"/>
  <c r="AJ672"/>
  <c r="AH672"/>
  <c r="AF672"/>
  <c r="AA672"/>
  <c r="M672"/>
  <c r="AC672" s="1"/>
  <c r="BB671"/>
  <c r="AZ671"/>
  <c r="AX671"/>
  <c r="AV671"/>
  <c r="AT671"/>
  <c r="AR671"/>
  <c r="AP671"/>
  <c r="AN671"/>
  <c r="AL671"/>
  <c r="AJ671"/>
  <c r="AH671"/>
  <c r="AF671"/>
  <c r="AA671"/>
  <c r="M671"/>
  <c r="AC671" s="1"/>
  <c r="BB670"/>
  <c r="AZ670"/>
  <c r="AX670"/>
  <c r="AV670"/>
  <c r="AT670"/>
  <c r="AR670"/>
  <c r="AP670"/>
  <c r="AN670"/>
  <c r="AL670"/>
  <c r="AJ670"/>
  <c r="AH670"/>
  <c r="AF670"/>
  <c r="AA670"/>
  <c r="M670"/>
  <c r="AC670" s="1"/>
  <c r="BB669"/>
  <c r="AZ669"/>
  <c r="AX669"/>
  <c r="AV669"/>
  <c r="AT669"/>
  <c r="AR669"/>
  <c r="AP669"/>
  <c r="AN669"/>
  <c r="AL669"/>
  <c r="AJ669"/>
  <c r="AH669"/>
  <c r="AF669"/>
  <c r="AA669"/>
  <c r="M669"/>
  <c r="AC669" s="1"/>
  <c r="BB668"/>
  <c r="AZ668"/>
  <c r="AX668"/>
  <c r="AV668"/>
  <c r="AT668"/>
  <c r="AR668"/>
  <c r="AP668"/>
  <c r="AN668"/>
  <c r="AL668"/>
  <c r="AJ668"/>
  <c r="AH668"/>
  <c r="AF668"/>
  <c r="AA668"/>
  <c r="M668"/>
  <c r="AC668" s="1"/>
  <c r="BB667"/>
  <c r="AZ667"/>
  <c r="AX667"/>
  <c r="AV667"/>
  <c r="AT667"/>
  <c r="AR667"/>
  <c r="AP667"/>
  <c r="AN667"/>
  <c r="AL667"/>
  <c r="AJ667"/>
  <c r="AH667"/>
  <c r="AF667"/>
  <c r="AA667"/>
  <c r="M667"/>
  <c r="AC667" s="1"/>
  <c r="BB666"/>
  <c r="AZ666"/>
  <c r="AX666"/>
  <c r="AV666"/>
  <c r="AT666"/>
  <c r="AR666"/>
  <c r="AP666"/>
  <c r="AN666"/>
  <c r="AL666"/>
  <c r="AJ666"/>
  <c r="AH666"/>
  <c r="AF666"/>
  <c r="AA666"/>
  <c r="M666"/>
  <c r="AC666" s="1"/>
  <c r="BB665"/>
  <c r="AZ665"/>
  <c r="AX665"/>
  <c r="AV665"/>
  <c r="AT665"/>
  <c r="AR665"/>
  <c r="AP665"/>
  <c r="AN665"/>
  <c r="AL665"/>
  <c r="AJ665"/>
  <c r="AH665"/>
  <c r="AF665"/>
  <c r="AA665"/>
  <c r="M665"/>
  <c r="AC665" s="1"/>
  <c r="BB664"/>
  <c r="AZ664"/>
  <c r="AX664"/>
  <c r="AV664"/>
  <c r="AT664"/>
  <c r="AR664"/>
  <c r="AP664"/>
  <c r="AN664"/>
  <c r="AL664"/>
  <c r="AJ664"/>
  <c r="AH664"/>
  <c r="AF664"/>
  <c r="AA664"/>
  <c r="M664"/>
  <c r="AC664" s="1"/>
  <c r="BB663"/>
  <c r="AZ663"/>
  <c r="AX663"/>
  <c r="AV663"/>
  <c r="AT663"/>
  <c r="AR663"/>
  <c r="AP663"/>
  <c r="AN663"/>
  <c r="AL663"/>
  <c r="AJ663"/>
  <c r="AH663"/>
  <c r="AF663"/>
  <c r="AA663"/>
  <c r="M663"/>
  <c r="AC663" s="1"/>
  <c r="BB662"/>
  <c r="AZ662"/>
  <c r="AX662"/>
  <c r="AV662"/>
  <c r="AT662"/>
  <c r="AR662"/>
  <c r="AP662"/>
  <c r="AN662"/>
  <c r="AL662"/>
  <c r="AJ662"/>
  <c r="AH662"/>
  <c r="AF662"/>
  <c r="AA662"/>
  <c r="M662"/>
  <c r="AD662" s="1"/>
  <c r="BB661"/>
  <c r="AZ661"/>
  <c r="AX661"/>
  <c r="AV661"/>
  <c r="AT661"/>
  <c r="AR661"/>
  <c r="AP661"/>
  <c r="AN661"/>
  <c r="AL661"/>
  <c r="AJ661"/>
  <c r="AH661"/>
  <c r="AF661"/>
  <c r="AA661"/>
  <c r="M661"/>
  <c r="AD661" s="1"/>
  <c r="BB660"/>
  <c r="AZ660"/>
  <c r="AX660"/>
  <c r="AV660"/>
  <c r="AT660"/>
  <c r="AR660"/>
  <c r="AP660"/>
  <c r="AN660"/>
  <c r="AL660"/>
  <c r="AJ660"/>
  <c r="AH660"/>
  <c r="AF660"/>
  <c r="AA660"/>
  <c r="M660"/>
  <c r="AD660" s="1"/>
  <c r="BB659"/>
  <c r="AZ659"/>
  <c r="AX659"/>
  <c r="AV659"/>
  <c r="AT659"/>
  <c r="AR659"/>
  <c r="AP659"/>
  <c r="AN659"/>
  <c r="AL659"/>
  <c r="AJ659"/>
  <c r="AH659"/>
  <c r="AF659"/>
  <c r="AA659"/>
  <c r="M659"/>
  <c r="AD659" s="1"/>
  <c r="BB658"/>
  <c r="AZ658"/>
  <c r="AX658"/>
  <c r="AV658"/>
  <c r="AT658"/>
  <c r="AR658"/>
  <c r="AP658"/>
  <c r="AN658"/>
  <c r="AL658"/>
  <c r="AJ658"/>
  <c r="AH658"/>
  <c r="AF658"/>
  <c r="AA658"/>
  <c r="M658"/>
  <c r="AD658" s="1"/>
  <c r="BB657"/>
  <c r="AZ657"/>
  <c r="AX657"/>
  <c r="AV657"/>
  <c r="AT657"/>
  <c r="AR657"/>
  <c r="AP657"/>
  <c r="AN657"/>
  <c r="AL657"/>
  <c r="AJ657"/>
  <c r="AH657"/>
  <c r="AF657"/>
  <c r="AA657"/>
  <c r="M657"/>
  <c r="AD657" s="1"/>
  <c r="BB656"/>
  <c r="AZ656"/>
  <c r="AX656"/>
  <c r="AV656"/>
  <c r="AT656"/>
  <c r="AR656"/>
  <c r="AP656"/>
  <c r="AN656"/>
  <c r="AL656"/>
  <c r="AJ656"/>
  <c r="AH656"/>
  <c r="AF656"/>
  <c r="AA656"/>
  <c r="M656"/>
  <c r="AD656" s="1"/>
  <c r="BB655"/>
  <c r="AZ655"/>
  <c r="AX655"/>
  <c r="AV655"/>
  <c r="AT655"/>
  <c r="AR655"/>
  <c r="AP655"/>
  <c r="AN655"/>
  <c r="AL655"/>
  <c r="AJ655"/>
  <c r="AH655"/>
  <c r="AF655"/>
  <c r="AA655"/>
  <c r="M655"/>
  <c r="AD655" s="1"/>
  <c r="BB654"/>
  <c r="AZ654"/>
  <c r="AX654"/>
  <c r="AV654"/>
  <c r="AT654"/>
  <c r="AR654"/>
  <c r="AP654"/>
  <c r="AN654"/>
  <c r="AL654"/>
  <c r="AJ654"/>
  <c r="AH654"/>
  <c r="AF654"/>
  <c r="AA654"/>
  <c r="M654"/>
  <c r="AD654" s="1"/>
  <c r="BB653"/>
  <c r="AZ653"/>
  <c r="AX653"/>
  <c r="AV653"/>
  <c r="AT653"/>
  <c r="AR653"/>
  <c r="AP653"/>
  <c r="AN653"/>
  <c r="AL653"/>
  <c r="AJ653"/>
  <c r="AH653"/>
  <c r="AF653"/>
  <c r="AD653"/>
  <c r="AA653"/>
  <c r="M653"/>
  <c r="AC653" s="1"/>
  <c r="BB652"/>
  <c r="AZ652"/>
  <c r="AX652"/>
  <c r="AV652"/>
  <c r="AT652"/>
  <c r="AR652"/>
  <c r="AP652"/>
  <c r="AN652"/>
  <c r="AL652"/>
  <c r="AJ652"/>
  <c r="AH652"/>
  <c r="AF652"/>
  <c r="AD652"/>
  <c r="AA652"/>
  <c r="M652"/>
  <c r="AC652" s="1"/>
  <c r="BB651"/>
  <c r="AZ651"/>
  <c r="AX651"/>
  <c r="AV651"/>
  <c r="AT651"/>
  <c r="AR651"/>
  <c r="AP651"/>
  <c r="AN651"/>
  <c r="AL651"/>
  <c r="AJ651"/>
  <c r="AH651"/>
  <c r="AF651"/>
  <c r="AD651"/>
  <c r="AA651"/>
  <c r="M651"/>
  <c r="AC651" s="1"/>
  <c r="BB650"/>
  <c r="AZ650"/>
  <c r="AX650"/>
  <c r="AV650"/>
  <c r="AT650"/>
  <c r="AR650"/>
  <c r="AP650"/>
  <c r="AN650"/>
  <c r="AL650"/>
  <c r="AJ650"/>
  <c r="AH650"/>
  <c r="AF650"/>
  <c r="AD650"/>
  <c r="AA650"/>
  <c r="M650"/>
  <c r="AC650" s="1"/>
  <c r="BB649"/>
  <c r="AZ649"/>
  <c r="AX649"/>
  <c r="AV649"/>
  <c r="AT649"/>
  <c r="AR649"/>
  <c r="AP649"/>
  <c r="AN649"/>
  <c r="AL649"/>
  <c r="AJ649"/>
  <c r="AH649"/>
  <c r="AF649"/>
  <c r="AD649"/>
  <c r="AA649"/>
  <c r="M649"/>
  <c r="AC649" s="1"/>
  <c r="BB648"/>
  <c r="AZ648"/>
  <c r="AX648"/>
  <c r="AV648"/>
  <c r="AT648"/>
  <c r="AR648"/>
  <c r="AP648"/>
  <c r="AN648"/>
  <c r="AL648"/>
  <c r="AJ648"/>
  <c r="AH648"/>
  <c r="AF648"/>
  <c r="AD648"/>
  <c r="AA648"/>
  <c r="M648"/>
  <c r="AC648" s="1"/>
  <c r="BB647"/>
  <c r="AZ647"/>
  <c r="AX647"/>
  <c r="AV647"/>
  <c r="AT647"/>
  <c r="AR647"/>
  <c r="AP647"/>
  <c r="AN647"/>
  <c r="AL647"/>
  <c r="AJ647"/>
  <c r="AH647"/>
  <c r="AF647"/>
  <c r="AD647"/>
  <c r="AA647"/>
  <c r="M647"/>
  <c r="AC647" s="1"/>
  <c r="BB646"/>
  <c r="AZ646"/>
  <c r="AX646"/>
  <c r="AV646"/>
  <c r="AT646"/>
  <c r="AR646"/>
  <c r="AP646"/>
  <c r="AN646"/>
  <c r="AL646"/>
  <c r="AJ646"/>
  <c r="AH646"/>
  <c r="AF646"/>
  <c r="AD646"/>
  <c r="AA646"/>
  <c r="M646"/>
  <c r="AC646" s="1"/>
  <c r="BB645"/>
  <c r="AZ645"/>
  <c r="AX645"/>
  <c r="AV645"/>
  <c r="AT645"/>
  <c r="AR645"/>
  <c r="AP645"/>
  <c r="AN645"/>
  <c r="AL645"/>
  <c r="AJ645"/>
  <c r="AH645"/>
  <c r="AF645"/>
  <c r="AD645"/>
  <c r="AA645"/>
  <c r="M645"/>
  <c r="AC645" s="1"/>
  <c r="BB644"/>
  <c r="AZ644"/>
  <c r="AX644"/>
  <c r="AV644"/>
  <c r="AT644"/>
  <c r="AR644"/>
  <c r="AP644"/>
  <c r="AN644"/>
  <c r="AL644"/>
  <c r="AJ644"/>
  <c r="AH644"/>
  <c r="AF644"/>
  <c r="AA644"/>
  <c r="M644"/>
  <c r="AD644" s="1"/>
  <c r="BB643"/>
  <c r="AZ643"/>
  <c r="AX643"/>
  <c r="AV643"/>
  <c r="AT643"/>
  <c r="AR643"/>
  <c r="AP643"/>
  <c r="AN643"/>
  <c r="AL643"/>
  <c r="AJ643"/>
  <c r="AH643"/>
  <c r="AF643"/>
  <c r="AA643"/>
  <c r="M643"/>
  <c r="AD643" s="1"/>
  <c r="BB642"/>
  <c r="AZ642"/>
  <c r="AX642"/>
  <c r="AV642"/>
  <c r="AT642"/>
  <c r="AR642"/>
  <c r="AP642"/>
  <c r="AN642"/>
  <c r="AL642"/>
  <c r="AJ642"/>
  <c r="AH642"/>
  <c r="AF642"/>
  <c r="AA642"/>
  <c r="M642"/>
  <c r="AD642" s="1"/>
  <c r="BB641"/>
  <c r="AZ641"/>
  <c r="AX641"/>
  <c r="AV641"/>
  <c r="AT641"/>
  <c r="AR641"/>
  <c r="AP641"/>
  <c r="AN641"/>
  <c r="AL641"/>
  <c r="AJ641"/>
  <c r="AH641"/>
  <c r="AF641"/>
  <c r="AA641"/>
  <c r="M641"/>
  <c r="AD641" s="1"/>
  <c r="BB640"/>
  <c r="AZ640"/>
  <c r="AX640"/>
  <c r="AV640"/>
  <c r="AT640"/>
  <c r="AR640"/>
  <c r="AP640"/>
  <c r="AN640"/>
  <c r="AL640"/>
  <c r="AJ640"/>
  <c r="AH640"/>
  <c r="AF640"/>
  <c r="AA640"/>
  <c r="M640"/>
  <c r="AD640" s="1"/>
  <c r="BB639"/>
  <c r="AZ639"/>
  <c r="AX639"/>
  <c r="AV639"/>
  <c r="AT639"/>
  <c r="AR639"/>
  <c r="AP639"/>
  <c r="AN639"/>
  <c r="AL639"/>
  <c r="AJ639"/>
  <c r="AH639"/>
  <c r="AF639"/>
  <c r="AA639"/>
  <c r="M639"/>
  <c r="AD639" s="1"/>
  <c r="BB638"/>
  <c r="AZ638"/>
  <c r="AX638"/>
  <c r="AV638"/>
  <c r="AT638"/>
  <c r="AR638"/>
  <c r="AP638"/>
  <c r="AN638"/>
  <c r="AL638"/>
  <c r="AJ638"/>
  <c r="AH638"/>
  <c r="AF638"/>
  <c r="AA638"/>
  <c r="M638"/>
  <c r="AD638" s="1"/>
  <c r="BB637"/>
  <c r="AZ637"/>
  <c r="AX637"/>
  <c r="AV637"/>
  <c r="AT637"/>
  <c r="AR637"/>
  <c r="AP637"/>
  <c r="AN637"/>
  <c r="AL637"/>
  <c r="AJ637"/>
  <c r="AH637"/>
  <c r="AF637"/>
  <c r="AA637"/>
  <c r="M637"/>
  <c r="AD637" s="1"/>
  <c r="BB636"/>
  <c r="AZ636"/>
  <c r="AX636"/>
  <c r="AV636"/>
  <c r="AT636"/>
  <c r="AR636"/>
  <c r="AP636"/>
  <c r="AN636"/>
  <c r="AL636"/>
  <c r="AJ636"/>
  <c r="AH636"/>
  <c r="AF636"/>
  <c r="AA636"/>
  <c r="M636"/>
  <c r="AD636" s="1"/>
  <c r="BB635"/>
  <c r="AZ635"/>
  <c r="AX635"/>
  <c r="AV635"/>
  <c r="AT635"/>
  <c r="AR635"/>
  <c r="AP635"/>
  <c r="AN635"/>
  <c r="AL635"/>
  <c r="AJ635"/>
  <c r="AH635"/>
  <c r="AF635"/>
  <c r="AA635"/>
  <c r="M635"/>
  <c r="AD635" s="1"/>
  <c r="BB634"/>
  <c r="AZ634"/>
  <c r="AX634"/>
  <c r="AV634"/>
  <c r="AT634"/>
  <c r="AR634"/>
  <c r="AP634"/>
  <c r="AN634"/>
  <c r="AL634"/>
  <c r="AJ634"/>
  <c r="AH634"/>
  <c r="AF634"/>
  <c r="AA634"/>
  <c r="M634"/>
  <c r="AD634" s="1"/>
  <c r="BB633"/>
  <c r="AZ633"/>
  <c r="AX633"/>
  <c r="AV633"/>
  <c r="AT633"/>
  <c r="AR633"/>
  <c r="AP633"/>
  <c r="AN633"/>
  <c r="AL633"/>
  <c r="AJ633"/>
  <c r="AH633"/>
  <c r="AF633"/>
  <c r="AA633"/>
  <c r="M633"/>
  <c r="AD633" s="1"/>
  <c r="BB632"/>
  <c r="AZ632"/>
  <c r="AX632"/>
  <c r="AV632"/>
  <c r="AT632"/>
  <c r="AR632"/>
  <c r="AP632"/>
  <c r="AN632"/>
  <c r="AL632"/>
  <c r="AJ632"/>
  <c r="AH632"/>
  <c r="AF632"/>
  <c r="AA632"/>
  <c r="M632"/>
  <c r="AD632" s="1"/>
  <c r="BB631"/>
  <c r="AZ631"/>
  <c r="AX631"/>
  <c r="AV631"/>
  <c r="AT631"/>
  <c r="AR631"/>
  <c r="AP631"/>
  <c r="AN631"/>
  <c r="AL631"/>
  <c r="AJ631"/>
  <c r="AH631"/>
  <c r="AF631"/>
  <c r="AA631"/>
  <c r="M631"/>
  <c r="AD631" s="1"/>
  <c r="BB630"/>
  <c r="AZ630"/>
  <c r="AX630"/>
  <c r="AV630"/>
  <c r="AT630"/>
  <c r="AR630"/>
  <c r="AP630"/>
  <c r="AN630"/>
  <c r="AL630"/>
  <c r="AJ630"/>
  <c r="AH630"/>
  <c r="AF630"/>
  <c r="AA630"/>
  <c r="M630"/>
  <c r="AD630" s="1"/>
  <c r="BB629"/>
  <c r="AZ629"/>
  <c r="AX629"/>
  <c r="AV629"/>
  <c r="AT629"/>
  <c r="AR629"/>
  <c r="AP629"/>
  <c r="AN629"/>
  <c r="AL629"/>
  <c r="AJ629"/>
  <c r="AH629"/>
  <c r="AF629"/>
  <c r="AA629"/>
  <c r="M629"/>
  <c r="AD629" s="1"/>
  <c r="BB628"/>
  <c r="AZ628"/>
  <c r="AX628"/>
  <c r="AV628"/>
  <c r="AT628"/>
  <c r="AR628"/>
  <c r="AP628"/>
  <c r="AN628"/>
  <c r="AL628"/>
  <c r="AJ628"/>
  <c r="AH628"/>
  <c r="AF628"/>
  <c r="AA628"/>
  <c r="M628"/>
  <c r="AD628" s="1"/>
  <c r="BB627"/>
  <c r="AZ627"/>
  <c r="AX627"/>
  <c r="AV627"/>
  <c r="AT627"/>
  <c r="AR627"/>
  <c r="AP627"/>
  <c r="AN627"/>
  <c r="AL627"/>
  <c r="AJ627"/>
  <c r="AH627"/>
  <c r="AF627"/>
  <c r="AA627"/>
  <c r="M627"/>
  <c r="AD627" s="1"/>
  <c r="BB626"/>
  <c r="AZ626"/>
  <c r="AX626"/>
  <c r="AV626"/>
  <c r="AT626"/>
  <c r="AR626"/>
  <c r="AP626"/>
  <c r="AN626"/>
  <c r="AL626"/>
  <c r="AJ626"/>
  <c r="AH626"/>
  <c r="AF626"/>
  <c r="AA626"/>
  <c r="M626"/>
  <c r="AD626" s="1"/>
  <c r="BB625"/>
  <c r="AZ625"/>
  <c r="AX625"/>
  <c r="AV625"/>
  <c r="AT625"/>
  <c r="AR625"/>
  <c r="AP625"/>
  <c r="AN625"/>
  <c r="AL625"/>
  <c r="AJ625"/>
  <c r="AH625"/>
  <c r="AF625"/>
  <c r="AA625"/>
  <c r="M625"/>
  <c r="AD625" s="1"/>
  <c r="BB624"/>
  <c r="AZ624"/>
  <c r="AX624"/>
  <c r="AV624"/>
  <c r="AT624"/>
  <c r="AR624"/>
  <c r="AP624"/>
  <c r="AN624"/>
  <c r="AK624"/>
  <c r="AK931" s="1"/>
  <c r="AJ624"/>
  <c r="AH624"/>
  <c r="AF624"/>
  <c r="AA624"/>
  <c r="BB623"/>
  <c r="AZ623"/>
  <c r="AX623"/>
  <c r="AV623"/>
  <c r="AT623"/>
  <c r="AR623"/>
  <c r="AP623"/>
  <c r="AN623"/>
  <c r="AL623"/>
  <c r="AJ623"/>
  <c r="AH623"/>
  <c r="AF623"/>
  <c r="AD623"/>
  <c r="AA623"/>
  <c r="M623"/>
  <c r="AC623" s="1"/>
  <c r="BB622"/>
  <c r="AZ622"/>
  <c r="AX622"/>
  <c r="AV622"/>
  <c r="AT622"/>
  <c r="AR622"/>
  <c r="AP622"/>
  <c r="AN622"/>
  <c r="AL622"/>
  <c r="AJ622"/>
  <c r="AH622"/>
  <c r="AF622"/>
  <c r="AD622"/>
  <c r="AA622"/>
  <c r="M622"/>
  <c r="AC622" s="1"/>
  <c r="BB621"/>
  <c r="AZ621"/>
  <c r="AX621"/>
  <c r="AV621"/>
  <c r="AT621"/>
  <c r="AR621"/>
  <c r="AP621"/>
  <c r="AN621"/>
  <c r="AL621"/>
  <c r="AJ621"/>
  <c r="AH621"/>
  <c r="AF621"/>
  <c r="AD621"/>
  <c r="AA621"/>
  <c r="M621"/>
  <c r="AC621" s="1"/>
  <c r="BB620"/>
  <c r="AZ620"/>
  <c r="AX620"/>
  <c r="AV620"/>
  <c r="AT620"/>
  <c r="AR620"/>
  <c r="AP620"/>
  <c r="AN620"/>
  <c r="AL620"/>
  <c r="AJ620"/>
  <c r="AH620"/>
  <c r="AF620"/>
  <c r="AD620"/>
  <c r="AA620"/>
  <c r="M620"/>
  <c r="AC620" s="1"/>
  <c r="BB619"/>
  <c r="AZ619"/>
  <c r="AX619"/>
  <c r="AV619"/>
  <c r="AT619"/>
  <c r="AR619"/>
  <c r="AP619"/>
  <c r="AN619"/>
  <c r="AL619"/>
  <c r="AJ619"/>
  <c r="AH619"/>
  <c r="AF619"/>
  <c r="AD619"/>
  <c r="AA619"/>
  <c r="M619"/>
  <c r="AC619" s="1"/>
  <c r="BB618"/>
  <c r="AZ618"/>
  <c r="AX618"/>
  <c r="AV618"/>
  <c r="AT618"/>
  <c r="AR618"/>
  <c r="AP618"/>
  <c r="AN618"/>
  <c r="AL618"/>
  <c r="AJ618"/>
  <c r="AH618"/>
  <c r="AF618"/>
  <c r="AD618"/>
  <c r="AA618"/>
  <c r="M618"/>
  <c r="AC618" s="1"/>
  <c r="BB617"/>
  <c r="AZ617"/>
  <c r="AX617"/>
  <c r="AV617"/>
  <c r="AT617"/>
  <c r="AR617"/>
  <c r="AP617"/>
  <c r="AN617"/>
  <c r="AL617"/>
  <c r="AJ617"/>
  <c r="AH617"/>
  <c r="AF617"/>
  <c r="AD617"/>
  <c r="AA617"/>
  <c r="M617"/>
  <c r="AC617" s="1"/>
  <c r="BB616"/>
  <c r="AZ616"/>
  <c r="AX616"/>
  <c r="AV616"/>
  <c r="AT616"/>
  <c r="AR616"/>
  <c r="AP616"/>
  <c r="AN616"/>
  <c r="AL616"/>
  <c r="AJ616"/>
  <c r="AH616"/>
  <c r="AF616"/>
  <c r="AD616"/>
  <c r="AA616"/>
  <c r="M616"/>
  <c r="AC616" s="1"/>
  <c r="BB615"/>
  <c r="AZ615"/>
  <c r="AX615"/>
  <c r="AV615"/>
  <c r="AT615"/>
  <c r="AR615"/>
  <c r="AP615"/>
  <c r="AN615"/>
  <c r="AL615"/>
  <c r="AJ615"/>
  <c r="AH615"/>
  <c r="AF615"/>
  <c r="AD615"/>
  <c r="AA615"/>
  <c r="M615"/>
  <c r="AC615" s="1"/>
  <c r="BB614"/>
  <c r="AZ614"/>
  <c r="AX614"/>
  <c r="AV614"/>
  <c r="AT614"/>
  <c r="AR614"/>
  <c r="AP614"/>
  <c r="AN614"/>
  <c r="AL614"/>
  <c r="AJ614"/>
  <c r="AH614"/>
  <c r="AF614"/>
  <c r="AD614"/>
  <c r="AA614"/>
  <c r="M614"/>
  <c r="AC614" s="1"/>
  <c r="BB613"/>
  <c r="AZ613"/>
  <c r="AX613"/>
  <c r="AV613"/>
  <c r="AT613"/>
  <c r="AR613"/>
  <c r="AP613"/>
  <c r="AN613"/>
  <c r="AL613"/>
  <c r="AJ613"/>
  <c r="AH613"/>
  <c r="AF613"/>
  <c r="AD613"/>
  <c r="AA613"/>
  <c r="M613"/>
  <c r="AC613" s="1"/>
  <c r="BB612"/>
  <c r="AZ612"/>
  <c r="AX612"/>
  <c r="AV612"/>
  <c r="AT612"/>
  <c r="AR612"/>
  <c r="AP612"/>
  <c r="AN612"/>
  <c r="AL612"/>
  <c r="AJ612"/>
  <c r="AH612"/>
  <c r="AF612"/>
  <c r="AD612"/>
  <c r="AA612"/>
  <c r="M612"/>
  <c r="AC612" s="1"/>
  <c r="BB611"/>
  <c r="AZ611"/>
  <c r="AX611"/>
  <c r="AV611"/>
  <c r="AT611"/>
  <c r="AR611"/>
  <c r="AP611"/>
  <c r="AN611"/>
  <c r="AL611"/>
  <c r="AJ611"/>
  <c r="AH611"/>
  <c r="AF611"/>
  <c r="AD611"/>
  <c r="AA611"/>
  <c r="M611"/>
  <c r="AC611" s="1"/>
  <c r="BB610"/>
  <c r="AZ610"/>
  <c r="AX610"/>
  <c r="AV610"/>
  <c r="AT610"/>
  <c r="AR610"/>
  <c r="AP610"/>
  <c r="AN610"/>
  <c r="AL610"/>
  <c r="AJ610"/>
  <c r="AH610"/>
  <c r="AF610"/>
  <c r="AD610"/>
  <c r="AA610"/>
  <c r="M610"/>
  <c r="AC610" s="1"/>
  <c r="BB609"/>
  <c r="AZ609"/>
  <c r="AX609"/>
  <c r="AV609"/>
  <c r="AT609"/>
  <c r="AR609"/>
  <c r="AP609"/>
  <c r="AN609"/>
  <c r="AL609"/>
  <c r="AJ609"/>
  <c r="AH609"/>
  <c r="AF609"/>
  <c r="AD609"/>
  <c r="AA609"/>
  <c r="M609"/>
  <c r="AC609" s="1"/>
  <c r="BB608"/>
  <c r="AZ608"/>
  <c r="AX608"/>
  <c r="AV608"/>
  <c r="AT608"/>
  <c r="AR608"/>
  <c r="AP608"/>
  <c r="AN608"/>
  <c r="AL608"/>
  <c r="AJ608"/>
  <c r="AH608"/>
  <c r="AF608"/>
  <c r="AD608"/>
  <c r="AA608"/>
  <c r="M608"/>
  <c r="AC608" s="1"/>
  <c r="BB607"/>
  <c r="AZ607"/>
  <c r="AX607"/>
  <c r="AV607"/>
  <c r="AT607"/>
  <c r="AR607"/>
  <c r="AP607"/>
  <c r="AN607"/>
  <c r="AL607"/>
  <c r="AJ607"/>
  <c r="AH607"/>
  <c r="AF607"/>
  <c r="AD607"/>
  <c r="AA607"/>
  <c r="M607"/>
  <c r="AC607" s="1"/>
  <c r="BB606"/>
  <c r="AZ606"/>
  <c r="AX606"/>
  <c r="AV606"/>
  <c r="AT606"/>
  <c r="AR606"/>
  <c r="AP606"/>
  <c r="AN606"/>
  <c r="AL606"/>
  <c r="AJ606"/>
  <c r="AH606"/>
  <c r="AF606"/>
  <c r="AD606"/>
  <c r="AA606"/>
  <c r="M606"/>
  <c r="AC606" s="1"/>
  <c r="BB605"/>
  <c r="AZ605"/>
  <c r="AX605"/>
  <c r="AV605"/>
  <c r="AT605"/>
  <c r="AR605"/>
  <c r="AP605"/>
  <c r="AN605"/>
  <c r="AL605"/>
  <c r="AJ605"/>
  <c r="AH605"/>
  <c r="AF605"/>
  <c r="AD605"/>
  <c r="AA605"/>
  <c r="M605"/>
  <c r="AC605" s="1"/>
  <c r="BB604"/>
  <c r="AZ604"/>
  <c r="AX604"/>
  <c r="AV604"/>
  <c r="AT604"/>
  <c r="AR604"/>
  <c r="AP604"/>
  <c r="AN604"/>
  <c r="AL604"/>
  <c r="AJ604"/>
  <c r="AH604"/>
  <c r="AF604"/>
  <c r="AD604"/>
  <c r="AA604"/>
  <c r="M604"/>
  <c r="AC604" s="1"/>
  <c r="BB603"/>
  <c r="AZ603"/>
  <c r="AX603"/>
  <c r="AV603"/>
  <c r="AT603"/>
  <c r="AR603"/>
  <c r="AP603"/>
  <c r="AN603"/>
  <c r="AL603"/>
  <c r="AJ603"/>
  <c r="AH603"/>
  <c r="AF603"/>
  <c r="AD603"/>
  <c r="AA603"/>
  <c r="M603"/>
  <c r="AC603" s="1"/>
  <c r="BB602"/>
  <c r="AZ602"/>
  <c r="AX602"/>
  <c r="AV602"/>
  <c r="AT602"/>
  <c r="AR602"/>
  <c r="AP602"/>
  <c r="AN602"/>
  <c r="AL602"/>
  <c r="AJ602"/>
  <c r="AH602"/>
  <c r="AF602"/>
  <c r="AD602"/>
  <c r="AA602"/>
  <c r="M602"/>
  <c r="AC602" s="1"/>
  <c r="BB601"/>
  <c r="AZ601"/>
  <c r="AX601"/>
  <c r="AV601"/>
  <c r="AT601"/>
  <c r="AR601"/>
  <c r="AP601"/>
  <c r="AN601"/>
  <c r="AL601"/>
  <c r="AJ601"/>
  <c r="AH601"/>
  <c r="AF601"/>
  <c r="AD601"/>
  <c r="AA601"/>
  <c r="M601"/>
  <c r="AC601" s="1"/>
  <c r="BB600"/>
  <c r="AZ600"/>
  <c r="AX600"/>
  <c r="AV600"/>
  <c r="AT600"/>
  <c r="AR600"/>
  <c r="AP600"/>
  <c r="AN600"/>
  <c r="AL600"/>
  <c r="AJ600"/>
  <c r="AH600"/>
  <c r="AF600"/>
  <c r="AD600"/>
  <c r="AA600"/>
  <c r="M600"/>
  <c r="AC600" s="1"/>
  <c r="BB599"/>
  <c r="AZ599"/>
  <c r="AX599"/>
  <c r="AV599"/>
  <c r="AT599"/>
  <c r="AR599"/>
  <c r="AP599"/>
  <c r="AM599"/>
  <c r="AN599" s="1"/>
  <c r="AL599"/>
  <c r="AJ599"/>
  <c r="AH599"/>
  <c r="AF599"/>
  <c r="AA599"/>
  <c r="M599"/>
  <c r="AD599" s="1"/>
  <c r="BB598"/>
  <c r="AZ598"/>
  <c r="AX598"/>
  <c r="AV598"/>
  <c r="AT598"/>
  <c r="AR598"/>
  <c r="AP598"/>
  <c r="AN598"/>
  <c r="AL598"/>
  <c r="AJ598"/>
  <c r="AH598"/>
  <c r="AF598"/>
  <c r="AA598"/>
  <c r="M598"/>
  <c r="AD598" s="1"/>
  <c r="BB597"/>
  <c r="AZ597"/>
  <c r="AX597"/>
  <c r="AV597"/>
  <c r="AT597"/>
  <c r="AR597"/>
  <c r="AP597"/>
  <c r="AN597"/>
  <c r="AL597"/>
  <c r="AJ597"/>
  <c r="AH597"/>
  <c r="AF597"/>
  <c r="AA597"/>
  <c r="M597"/>
  <c r="AD597" s="1"/>
  <c r="BB596"/>
  <c r="AZ596"/>
  <c r="AX596"/>
  <c r="AV596"/>
  <c r="AT596"/>
  <c r="AR596"/>
  <c r="AP596"/>
  <c r="AN596"/>
  <c r="AL596"/>
  <c r="AJ596"/>
  <c r="AH596"/>
  <c r="AF596"/>
  <c r="AA596"/>
  <c r="M596"/>
  <c r="AD596" s="1"/>
  <c r="BB595"/>
  <c r="AZ595"/>
  <c r="AX595"/>
  <c r="AV595"/>
  <c r="AT595"/>
  <c r="AR595"/>
  <c r="AP595"/>
  <c r="AN595"/>
  <c r="AL595"/>
  <c r="AJ595"/>
  <c r="AH595"/>
  <c r="AF595"/>
  <c r="AA595"/>
  <c r="M595"/>
  <c r="AD595" s="1"/>
  <c r="BB594"/>
  <c r="AZ594"/>
  <c r="AX594"/>
  <c r="AV594"/>
  <c r="AT594"/>
  <c r="AR594"/>
  <c r="AP594"/>
  <c r="AN594"/>
  <c r="AL594"/>
  <c r="AJ594"/>
  <c r="AH594"/>
  <c r="AF594"/>
  <c r="AA594"/>
  <c r="M594"/>
  <c r="AD594" s="1"/>
  <c r="BB593"/>
  <c r="AZ593"/>
  <c r="AX593"/>
  <c r="AV593"/>
  <c r="AT593"/>
  <c r="AR593"/>
  <c r="AP593"/>
  <c r="AN593"/>
  <c r="AL593"/>
  <c r="AJ593"/>
  <c r="AH593"/>
  <c r="AF593"/>
  <c r="AA593"/>
  <c r="M593"/>
  <c r="AD593" s="1"/>
  <c r="BB592"/>
  <c r="AZ592"/>
  <c r="AX592"/>
  <c r="AV592"/>
  <c r="AT592"/>
  <c r="AR592"/>
  <c r="AP592"/>
  <c r="AN592"/>
  <c r="AL592"/>
  <c r="AJ592"/>
  <c r="AH592"/>
  <c r="AF592"/>
  <c r="AA592"/>
  <c r="M592"/>
  <c r="AD592" s="1"/>
  <c r="BB591"/>
  <c r="AZ591"/>
  <c r="AX591"/>
  <c r="AV591"/>
  <c r="AT591"/>
  <c r="AR591"/>
  <c r="AP591"/>
  <c r="AN591"/>
  <c r="AL591"/>
  <c r="AJ591"/>
  <c r="AH591"/>
  <c r="AF591"/>
  <c r="AA591"/>
  <c r="M591"/>
  <c r="AD591" s="1"/>
  <c r="BB590"/>
  <c r="AZ590"/>
  <c r="AX590"/>
  <c r="AV590"/>
  <c r="AT590"/>
  <c r="AR590"/>
  <c r="AP590"/>
  <c r="AN590"/>
  <c r="AL590"/>
  <c r="AJ590"/>
  <c r="AH590"/>
  <c r="AF590"/>
  <c r="AA590"/>
  <c r="M590"/>
  <c r="AD590" s="1"/>
  <c r="BB589"/>
  <c r="AZ589"/>
  <c r="AX589"/>
  <c r="AV589"/>
  <c r="AT589"/>
  <c r="AR589"/>
  <c r="AP589"/>
  <c r="AN589"/>
  <c r="AL589"/>
  <c r="AJ589"/>
  <c r="AH589"/>
  <c r="AF589"/>
  <c r="AA589"/>
  <c r="M589"/>
  <c r="AD589" s="1"/>
  <c r="BB588"/>
  <c r="AZ588"/>
  <c r="AX588"/>
  <c r="AV588"/>
  <c r="AT588"/>
  <c r="AR588"/>
  <c r="AP588"/>
  <c r="AN588"/>
  <c r="AL588"/>
  <c r="AJ588"/>
  <c r="AH588"/>
  <c r="AF588"/>
  <c r="AA588"/>
  <c r="M588"/>
  <c r="AD588" s="1"/>
  <c r="BB587"/>
  <c r="AZ587"/>
  <c r="AX587"/>
  <c r="AV587"/>
  <c r="AT587"/>
  <c r="AR587"/>
  <c r="AP587"/>
  <c r="AN587"/>
  <c r="AL587"/>
  <c r="AJ587"/>
  <c r="AH587"/>
  <c r="AF587"/>
  <c r="AA587"/>
  <c r="M587"/>
  <c r="AD587" s="1"/>
  <c r="BB586"/>
  <c r="AZ586"/>
  <c r="AX586"/>
  <c r="AV586"/>
  <c r="AT586"/>
  <c r="AR586"/>
  <c r="AP586"/>
  <c r="AN586"/>
  <c r="AL586"/>
  <c r="AJ586"/>
  <c r="AH586"/>
  <c r="AF586"/>
  <c r="AA586"/>
  <c r="M586"/>
  <c r="AD586" s="1"/>
  <c r="BB585"/>
  <c r="AZ585"/>
  <c r="AX585"/>
  <c r="AV585"/>
  <c r="AT585"/>
  <c r="AR585"/>
  <c r="AP585"/>
  <c r="AN585"/>
  <c r="AL585"/>
  <c r="AJ585"/>
  <c r="AH585"/>
  <c r="AF585"/>
  <c r="AA585"/>
  <c r="M585"/>
  <c r="AD585" s="1"/>
  <c r="BB584"/>
  <c r="AZ584"/>
  <c r="AX584"/>
  <c r="AV584"/>
  <c r="AT584"/>
  <c r="AR584"/>
  <c r="AP584"/>
  <c r="AN584"/>
  <c r="AL584"/>
  <c r="AJ584"/>
  <c r="AH584"/>
  <c r="AF584"/>
  <c r="AA584"/>
  <c r="M584"/>
  <c r="AD584" s="1"/>
  <c r="BB583"/>
  <c r="AZ583"/>
  <c r="AX583"/>
  <c r="AV583"/>
  <c r="AT583"/>
  <c r="AR583"/>
  <c r="AP583"/>
  <c r="AN583"/>
  <c r="AL583"/>
  <c r="AJ583"/>
  <c r="AH583"/>
  <c r="AF583"/>
  <c r="AA583"/>
  <c r="M583"/>
  <c r="AD583" s="1"/>
  <c r="BB582"/>
  <c r="AZ582"/>
  <c r="AX582"/>
  <c r="AV582"/>
  <c r="AT582"/>
  <c r="AR582"/>
  <c r="AP582"/>
  <c r="AN582"/>
  <c r="AL582"/>
  <c r="AJ582"/>
  <c r="AH582"/>
  <c r="AF582"/>
  <c r="AA582"/>
  <c r="M582"/>
  <c r="AD582" s="1"/>
  <c r="BB581"/>
  <c r="AZ581"/>
  <c r="AX581"/>
  <c r="AV581"/>
  <c r="AT581"/>
  <c r="AR581"/>
  <c r="AP581"/>
  <c r="AN581"/>
  <c r="AL581"/>
  <c r="AJ581"/>
  <c r="AH581"/>
  <c r="AF581"/>
  <c r="AA581"/>
  <c r="M581"/>
  <c r="AD581" s="1"/>
  <c r="BB580"/>
  <c r="AZ580"/>
  <c r="AX580"/>
  <c r="AV580"/>
  <c r="AT580"/>
  <c r="AR580"/>
  <c r="AP580"/>
  <c r="AN580"/>
  <c r="AL580"/>
  <c r="AJ580"/>
  <c r="AH580"/>
  <c r="AF580"/>
  <c r="AA580"/>
  <c r="M580"/>
  <c r="AD580" s="1"/>
  <c r="BB579"/>
  <c r="AZ579"/>
  <c r="AX579"/>
  <c r="AV579"/>
  <c r="AT579"/>
  <c r="AR579"/>
  <c r="AP579"/>
  <c r="AN579"/>
  <c r="AL579"/>
  <c r="AJ579"/>
  <c r="AH579"/>
  <c r="AF579"/>
  <c r="AA579"/>
  <c r="M579"/>
  <c r="AD579" s="1"/>
  <c r="BB578"/>
  <c r="AZ578"/>
  <c r="AX578"/>
  <c r="AV578"/>
  <c r="AT578"/>
  <c r="AR578"/>
  <c r="AP578"/>
  <c r="AN578"/>
  <c r="AL578"/>
  <c r="AJ578"/>
  <c r="AH578"/>
  <c r="AF578"/>
  <c r="AA578"/>
  <c r="M578"/>
  <c r="AD578" s="1"/>
  <c r="BB577"/>
  <c r="AZ577"/>
  <c r="AX577"/>
  <c r="AV577"/>
  <c r="AT577"/>
  <c r="AR577"/>
  <c r="AP577"/>
  <c r="AN577"/>
  <c r="AL577"/>
  <c r="AJ577"/>
  <c r="AH577"/>
  <c r="AF577"/>
  <c r="AA577"/>
  <c r="M577"/>
  <c r="AD577" s="1"/>
  <c r="BB576"/>
  <c r="AZ576"/>
  <c r="AX576"/>
  <c r="AV576"/>
  <c r="AT576"/>
  <c r="AR576"/>
  <c r="AP576"/>
  <c r="AN576"/>
  <c r="AL576"/>
  <c r="AJ576"/>
  <c r="AH576"/>
  <c r="AF576"/>
  <c r="AA576"/>
  <c r="M576"/>
  <c r="AD576" s="1"/>
  <c r="BB575"/>
  <c r="AZ575"/>
  <c r="AX575"/>
  <c r="AV575"/>
  <c r="AT575"/>
  <c r="AR575"/>
  <c r="AP575"/>
  <c r="AN575"/>
  <c r="AL575"/>
  <c r="AJ575"/>
  <c r="AH575"/>
  <c r="AF575"/>
  <c r="AA575"/>
  <c r="M575"/>
  <c r="AD575" s="1"/>
  <c r="BB574"/>
  <c r="AZ574"/>
  <c r="AX574"/>
  <c r="AV574"/>
  <c r="AT574"/>
  <c r="AR574"/>
  <c r="AP574"/>
  <c r="AN574"/>
  <c r="AL574"/>
  <c r="AJ574"/>
  <c r="AH574"/>
  <c r="AF574"/>
  <c r="AA574"/>
  <c r="M574"/>
  <c r="AD574" s="1"/>
  <c r="BB573"/>
  <c r="AZ573"/>
  <c r="AX573"/>
  <c r="AV573"/>
  <c r="AT573"/>
  <c r="AR573"/>
  <c r="AP573"/>
  <c r="AN573"/>
  <c r="AL573"/>
  <c r="AJ573"/>
  <c r="AH573"/>
  <c r="AF573"/>
  <c r="AA573"/>
  <c r="M573"/>
  <c r="AD573" s="1"/>
  <c r="BB572"/>
  <c r="AZ572"/>
  <c r="AX572"/>
  <c r="AV572"/>
  <c r="AT572"/>
  <c r="AR572"/>
  <c r="AP572"/>
  <c r="AN572"/>
  <c r="AL572"/>
  <c r="AJ572"/>
  <c r="AH572"/>
  <c r="AF572"/>
  <c r="AA572"/>
  <c r="M572"/>
  <c r="AD572" s="1"/>
  <c r="BB571"/>
  <c r="AZ571"/>
  <c r="AX571"/>
  <c r="AV571"/>
  <c r="AT571"/>
  <c r="AR571"/>
  <c r="AP571"/>
  <c r="AN571"/>
  <c r="AM571"/>
  <c r="AL571"/>
  <c r="AJ571"/>
  <c r="AH571"/>
  <c r="AF571"/>
  <c r="AD571"/>
  <c r="AA571"/>
  <c r="M571"/>
  <c r="AC571" s="1"/>
  <c r="BB570"/>
  <c r="AZ570"/>
  <c r="AX570"/>
  <c r="AV570"/>
  <c r="AT570"/>
  <c r="AR570"/>
  <c r="AP570"/>
  <c r="AN570"/>
  <c r="AL570"/>
  <c r="AJ570"/>
  <c r="AH570"/>
  <c r="AF570"/>
  <c r="AD570"/>
  <c r="AA570"/>
  <c r="M570"/>
  <c r="AC570" s="1"/>
  <c r="BB569"/>
  <c r="AZ569"/>
  <c r="AX569"/>
  <c r="AV569"/>
  <c r="AT569"/>
  <c r="AR569"/>
  <c r="AP569"/>
  <c r="AN569"/>
  <c r="AL569"/>
  <c r="AJ569"/>
  <c r="AH569"/>
  <c r="AF569"/>
  <c r="AD569"/>
  <c r="AA569"/>
  <c r="M569"/>
  <c r="AC569" s="1"/>
  <c r="BB568"/>
  <c r="AZ568"/>
  <c r="AX568"/>
  <c r="AV568"/>
  <c r="AT568"/>
  <c r="AR568"/>
  <c r="AP568"/>
  <c r="AN568"/>
  <c r="AL568"/>
  <c r="AJ568"/>
  <c r="AH568"/>
  <c r="AF568"/>
  <c r="AD568"/>
  <c r="AA568"/>
  <c r="M568"/>
  <c r="AC568" s="1"/>
  <c r="BB567"/>
  <c r="AZ567"/>
  <c r="AX567"/>
  <c r="AV567"/>
  <c r="AT567"/>
  <c r="AR567"/>
  <c r="AP567"/>
  <c r="AN567"/>
  <c r="AL567"/>
  <c r="AJ567"/>
  <c r="AH567"/>
  <c r="AF567"/>
  <c r="AD567"/>
  <c r="AA567"/>
  <c r="M567"/>
  <c r="AC567" s="1"/>
  <c r="BB566"/>
  <c r="AZ566"/>
  <c r="AX566"/>
  <c r="AV566"/>
  <c r="AT566"/>
  <c r="AR566"/>
  <c r="AP566"/>
  <c r="AN566"/>
  <c r="AL566"/>
  <c r="AJ566"/>
  <c r="AH566"/>
  <c r="AF566"/>
  <c r="AD566"/>
  <c r="AA566"/>
  <c r="M566"/>
  <c r="AC566" s="1"/>
  <c r="BB565"/>
  <c r="AZ565"/>
  <c r="AX565"/>
  <c r="AV565"/>
  <c r="AT565"/>
  <c r="AR565"/>
  <c r="AP565"/>
  <c r="AN565"/>
  <c r="AL565"/>
  <c r="AJ565"/>
  <c r="AH565"/>
  <c r="AF565"/>
  <c r="AD565"/>
  <c r="AA565"/>
  <c r="M565"/>
  <c r="AC565" s="1"/>
  <c r="BB564"/>
  <c r="AZ564"/>
  <c r="AX564"/>
  <c r="AV564"/>
  <c r="AT564"/>
  <c r="AR564"/>
  <c r="AP564"/>
  <c r="AN564"/>
  <c r="AL564"/>
  <c r="AJ564"/>
  <c r="AH564"/>
  <c r="AF564"/>
  <c r="AD564"/>
  <c r="AA564"/>
  <c r="M564"/>
  <c r="AC564" s="1"/>
  <c r="BB563"/>
  <c r="AZ563"/>
  <c r="AX563"/>
  <c r="AV563"/>
  <c r="AT563"/>
  <c r="AR563"/>
  <c r="AP563"/>
  <c r="AN563"/>
  <c r="AL563"/>
  <c r="AJ563"/>
  <c r="AH563"/>
  <c r="AF563"/>
  <c r="AD563"/>
  <c r="AA563"/>
  <c r="M563"/>
  <c r="AC563" s="1"/>
  <c r="BB562"/>
  <c r="AZ562"/>
  <c r="AX562"/>
  <c r="AV562"/>
  <c r="AT562"/>
  <c r="AR562"/>
  <c r="AP562"/>
  <c r="AN562"/>
  <c r="AL562"/>
  <c r="AJ562"/>
  <c r="AH562"/>
  <c r="AF562"/>
  <c r="AD562"/>
  <c r="AA562"/>
  <c r="M562"/>
  <c r="AC562" s="1"/>
  <c r="BB561"/>
  <c r="AZ561"/>
  <c r="AX561"/>
  <c r="AV561"/>
  <c r="AT561"/>
  <c r="AR561"/>
  <c r="AP561"/>
  <c r="AN561"/>
  <c r="AL561"/>
  <c r="AJ561"/>
  <c r="AH561"/>
  <c r="AF561"/>
  <c r="AD561"/>
  <c r="AA561"/>
  <c r="M561"/>
  <c r="AC561" s="1"/>
  <c r="BB560"/>
  <c r="AZ560"/>
  <c r="AX560"/>
  <c r="AV560"/>
  <c r="AT560"/>
  <c r="AR560"/>
  <c r="AP560"/>
  <c r="AN560"/>
  <c r="AL560"/>
  <c r="AJ560"/>
  <c r="AH560"/>
  <c r="AF560"/>
  <c r="AD560"/>
  <c r="AA560"/>
  <c r="M560"/>
  <c r="AC560" s="1"/>
  <c r="BB559"/>
  <c r="AZ559"/>
  <c r="AX559"/>
  <c r="AV559"/>
  <c r="AT559"/>
  <c r="AR559"/>
  <c r="AP559"/>
  <c r="AN559"/>
  <c r="AL559"/>
  <c r="AJ559"/>
  <c r="AH559"/>
  <c r="AF559"/>
  <c r="AD559"/>
  <c r="AA559"/>
  <c r="M559"/>
  <c r="AC559" s="1"/>
  <c r="BB558"/>
  <c r="AZ558"/>
  <c r="AX558"/>
  <c r="AV558"/>
  <c r="AT558"/>
  <c r="AR558"/>
  <c r="AP558"/>
  <c r="AN558"/>
  <c r="AL558"/>
  <c r="AJ558"/>
  <c r="AH558"/>
  <c r="AF558"/>
  <c r="AD558"/>
  <c r="AA558"/>
  <c r="M558"/>
  <c r="AC558" s="1"/>
  <c r="BB557"/>
  <c r="AZ557"/>
  <c r="AX557"/>
  <c r="AV557"/>
  <c r="AT557"/>
  <c r="AR557"/>
  <c r="AP557"/>
  <c r="AN557"/>
  <c r="AL557"/>
  <c r="AJ557"/>
  <c r="AH557"/>
  <c r="AF557"/>
  <c r="AD557"/>
  <c r="AA557"/>
  <c r="M557"/>
  <c r="AC557" s="1"/>
  <c r="BB556"/>
  <c r="AZ556"/>
  <c r="AX556"/>
  <c r="AV556"/>
  <c r="AT556"/>
  <c r="AR556"/>
  <c r="AP556"/>
  <c r="AN556"/>
  <c r="AL556"/>
  <c r="AJ556"/>
  <c r="AH556"/>
  <c r="AF556"/>
  <c r="AD556"/>
  <c r="AA556"/>
  <c r="M556"/>
  <c r="AC556" s="1"/>
  <c r="BB555"/>
  <c r="AZ555"/>
  <c r="AX555"/>
  <c r="AV555"/>
  <c r="AT555"/>
  <c r="AR555"/>
  <c r="AP555"/>
  <c r="AN555"/>
  <c r="AL555"/>
  <c r="AJ555"/>
  <c r="AH555"/>
  <c r="AF555"/>
  <c r="AD555"/>
  <c r="AA555"/>
  <c r="M555"/>
  <c r="AC555" s="1"/>
  <c r="BB554"/>
  <c r="AZ554"/>
  <c r="AX554"/>
  <c r="AV554"/>
  <c r="AT554"/>
  <c r="AR554"/>
  <c r="AP554"/>
  <c r="AN554"/>
  <c r="AL554"/>
  <c r="AJ554"/>
  <c r="AH554"/>
  <c r="AF554"/>
  <c r="AD554"/>
  <c r="AA554"/>
  <c r="M554"/>
  <c r="AC554" s="1"/>
  <c r="BB553"/>
  <c r="AZ553"/>
  <c r="AX553"/>
  <c r="AV553"/>
  <c r="AT553"/>
  <c r="AR553"/>
  <c r="AP553"/>
  <c r="AN553"/>
  <c r="AL553"/>
  <c r="AJ553"/>
  <c r="AH553"/>
  <c r="AF553"/>
  <c r="AD553"/>
  <c r="AA553"/>
  <c r="M553"/>
  <c r="AC553" s="1"/>
  <c r="BB552"/>
  <c r="AZ552"/>
  <c r="AX552"/>
  <c r="AV552"/>
  <c r="AT552"/>
  <c r="AR552"/>
  <c r="AP552"/>
  <c r="AN552"/>
  <c r="AL552"/>
  <c r="AJ552"/>
  <c r="AH552"/>
  <c r="AF552"/>
  <c r="AD552"/>
  <c r="AA552"/>
  <c r="M552"/>
  <c r="AC552" s="1"/>
  <c r="BB551"/>
  <c r="AZ551"/>
  <c r="AX551"/>
  <c r="AV551"/>
  <c r="AT551"/>
  <c r="AR551"/>
  <c r="AP551"/>
  <c r="AN551"/>
  <c r="AL551"/>
  <c r="AJ551"/>
  <c r="AH551"/>
  <c r="AF551"/>
  <c r="AD551"/>
  <c r="AA551"/>
  <c r="M551"/>
  <c r="AC551" s="1"/>
  <c r="BB550"/>
  <c r="AZ550"/>
  <c r="AX550"/>
  <c r="AV550"/>
  <c r="AT550"/>
  <c r="AR550"/>
  <c r="AP550"/>
  <c r="AN550"/>
  <c r="AL550"/>
  <c r="AJ550"/>
  <c r="AH550"/>
  <c r="AF550"/>
  <c r="AD550"/>
  <c r="AA550"/>
  <c r="M550"/>
  <c r="AC550" s="1"/>
  <c r="BB549"/>
  <c r="AZ549"/>
  <c r="AX549"/>
  <c r="AV549"/>
  <c r="AT549"/>
  <c r="AR549"/>
  <c r="AP549"/>
  <c r="AN549"/>
  <c r="AL549"/>
  <c r="AJ549"/>
  <c r="AH549"/>
  <c r="AF549"/>
  <c r="AD549"/>
  <c r="AA549"/>
  <c r="M549"/>
  <c r="AC549" s="1"/>
  <c r="BB548"/>
  <c r="AZ548"/>
  <c r="AX548"/>
  <c r="AV548"/>
  <c r="AT548"/>
  <c r="AR548"/>
  <c r="AP548"/>
  <c r="AN548"/>
  <c r="AL548"/>
  <c r="AJ548"/>
  <c r="AH548"/>
  <c r="AF548"/>
  <c r="AD548"/>
  <c r="AA548"/>
  <c r="M548"/>
  <c r="AC548" s="1"/>
  <c r="BB547"/>
  <c r="AZ547"/>
  <c r="AX547"/>
  <c r="AV547"/>
  <c r="AT547"/>
  <c r="AR547"/>
  <c r="AP547"/>
  <c r="AN547"/>
  <c r="AL547"/>
  <c r="AJ547"/>
  <c r="AH547"/>
  <c r="AF547"/>
  <c r="AD547"/>
  <c r="AA547"/>
  <c r="M547"/>
  <c r="AC547" s="1"/>
  <c r="BB546"/>
  <c r="AZ546"/>
  <c r="AX546"/>
  <c r="AV546"/>
  <c r="AT546"/>
  <c r="AR546"/>
  <c r="AP546"/>
  <c r="AN546"/>
  <c r="AL546"/>
  <c r="AJ546"/>
  <c r="AH546"/>
  <c r="AF546"/>
  <c r="AD546"/>
  <c r="AA546"/>
  <c r="M546"/>
  <c r="AC546" s="1"/>
  <c r="BB545"/>
  <c r="AZ545"/>
  <c r="AX545"/>
  <c r="AV545"/>
  <c r="AT545"/>
  <c r="AR545"/>
  <c r="AP545"/>
  <c r="AN545"/>
  <c r="AL545"/>
  <c r="AJ545"/>
  <c r="AH545"/>
  <c r="AF545"/>
  <c r="AD545"/>
  <c r="AA545"/>
  <c r="M545"/>
  <c r="AC545" s="1"/>
  <c r="BB544"/>
  <c r="AZ544"/>
  <c r="AX544"/>
  <c r="AV544"/>
  <c r="AT544"/>
  <c r="AR544"/>
  <c r="AP544"/>
  <c r="AN544"/>
  <c r="AL544"/>
  <c r="AJ544"/>
  <c r="AH544"/>
  <c r="AF544"/>
  <c r="AD544"/>
  <c r="AA544"/>
  <c r="M544"/>
  <c r="AC544" s="1"/>
  <c r="BB543"/>
  <c r="AZ543"/>
  <c r="AX543"/>
  <c r="AV543"/>
  <c r="AT543"/>
  <c r="AR543"/>
  <c r="AP543"/>
  <c r="AN543"/>
  <c r="AL543"/>
  <c r="AJ543"/>
  <c r="AH543"/>
  <c r="AF543"/>
  <c r="AD543"/>
  <c r="AA543"/>
  <c r="M543"/>
  <c r="AC543" s="1"/>
  <c r="BB542"/>
  <c r="AZ542"/>
  <c r="AX542"/>
  <c r="AV542"/>
  <c r="AT542"/>
  <c r="AR542"/>
  <c r="AP542"/>
  <c r="AN542"/>
  <c r="AL542"/>
  <c r="AJ542"/>
  <c r="AH542"/>
  <c r="AF542"/>
  <c r="AD542"/>
  <c r="AA542"/>
  <c r="M542"/>
  <c r="AC542" s="1"/>
  <c r="BB541"/>
  <c r="AZ541"/>
  <c r="AX541"/>
  <c r="AV541"/>
  <c r="AT541"/>
  <c r="AR541"/>
  <c r="AP541"/>
  <c r="AN541"/>
  <c r="AL541"/>
  <c r="AJ541"/>
  <c r="AH541"/>
  <c r="AF541"/>
  <c r="AD541"/>
  <c r="AA541"/>
  <c r="M541"/>
  <c r="AC541" s="1"/>
  <c r="BB540"/>
  <c r="AZ540"/>
  <c r="AX540"/>
  <c r="AV540"/>
  <c r="AT540"/>
  <c r="AR540"/>
  <c r="AP540"/>
  <c r="AN540"/>
  <c r="AL540"/>
  <c r="AJ540"/>
  <c r="AH540"/>
  <c r="AF540"/>
  <c r="AD540"/>
  <c r="AA540"/>
  <c r="M540"/>
  <c r="AC540" s="1"/>
  <c r="BB539"/>
  <c r="AZ539"/>
  <c r="AX539"/>
  <c r="AV539"/>
  <c r="AT539"/>
  <c r="AR539"/>
  <c r="AP539"/>
  <c r="AN539"/>
  <c r="AL539"/>
  <c r="AJ539"/>
  <c r="AH539"/>
  <c r="AF539"/>
  <c r="AD539"/>
  <c r="AA539"/>
  <c r="M539"/>
  <c r="AC539" s="1"/>
  <c r="BB538"/>
  <c r="AZ538"/>
  <c r="AX538"/>
  <c r="AV538"/>
  <c r="AT538"/>
  <c r="AR538"/>
  <c r="AP538"/>
  <c r="AN538"/>
  <c r="AL538"/>
  <c r="AJ538"/>
  <c r="AH538"/>
  <c r="AF538"/>
  <c r="AD538"/>
  <c r="AA538"/>
  <c r="M538"/>
  <c r="AC538" s="1"/>
  <c r="BB537"/>
  <c r="AZ537"/>
  <c r="AX537"/>
  <c r="AV537"/>
  <c r="AT537"/>
  <c r="AR537"/>
  <c r="AP537"/>
  <c r="AN537"/>
  <c r="AL537"/>
  <c r="AJ537"/>
  <c r="AH537"/>
  <c r="AF537"/>
  <c r="AD537"/>
  <c r="AA537"/>
  <c r="M537"/>
  <c r="AC537" s="1"/>
  <c r="BB536"/>
  <c r="AZ536"/>
  <c r="AX536"/>
  <c r="AV536"/>
  <c r="AT536"/>
  <c r="AR536"/>
  <c r="AP536"/>
  <c r="AN536"/>
  <c r="AL536"/>
  <c r="AJ536"/>
  <c r="AH536"/>
  <c r="AF536"/>
  <c r="AD536"/>
  <c r="AA536"/>
  <c r="M536"/>
  <c r="AC536" s="1"/>
  <c r="BB535"/>
  <c r="AZ535"/>
  <c r="AX535"/>
  <c r="AV535"/>
  <c r="AT535"/>
  <c r="AR535"/>
  <c r="AP535"/>
  <c r="AN535"/>
  <c r="AL535"/>
  <c r="AJ535"/>
  <c r="AH535"/>
  <c r="AF535"/>
  <c r="AD535"/>
  <c r="AA535"/>
  <c r="M535"/>
  <c r="AC535" s="1"/>
  <c r="BB534"/>
  <c r="AZ534"/>
  <c r="AX534"/>
  <c r="AV534"/>
  <c r="AT534"/>
  <c r="AR534"/>
  <c r="AP534"/>
  <c r="AN534"/>
  <c r="AL534"/>
  <c r="AJ534"/>
  <c r="AH534"/>
  <c r="AF534"/>
  <c r="AD534"/>
  <c r="AA534"/>
  <c r="M534"/>
  <c r="AC534" s="1"/>
  <c r="BB533"/>
  <c r="AZ533"/>
  <c r="AX533"/>
  <c r="AV533"/>
  <c r="AT533"/>
  <c r="AR533"/>
  <c r="AP533"/>
  <c r="AN533"/>
  <c r="AL533"/>
  <c r="AJ533"/>
  <c r="AH533"/>
  <c r="AF533"/>
  <c r="AD533"/>
  <c r="AA533"/>
  <c r="M533"/>
  <c r="AC533" s="1"/>
  <c r="BB532"/>
  <c r="AZ532"/>
  <c r="AX532"/>
  <c r="AV532"/>
  <c r="AT532"/>
  <c r="AR532"/>
  <c r="AP532"/>
  <c r="AN532"/>
  <c r="AL532"/>
  <c r="AJ532"/>
  <c r="AH532"/>
  <c r="AF532"/>
  <c r="AD532"/>
  <c r="AA532"/>
  <c r="M532"/>
  <c r="AC532" s="1"/>
  <c r="BB531"/>
  <c r="AZ531"/>
  <c r="AX531"/>
  <c r="AV531"/>
  <c r="AT531"/>
  <c r="AR531"/>
  <c r="AP531"/>
  <c r="AN531"/>
  <c r="AL531"/>
  <c r="AJ531"/>
  <c r="AH531"/>
  <c r="AF531"/>
  <c r="AD531"/>
  <c r="AA531"/>
  <c r="M531"/>
  <c r="AC531" s="1"/>
  <c r="BB530"/>
  <c r="AZ530"/>
  <c r="AX530"/>
  <c r="AV530"/>
  <c r="AT530"/>
  <c r="AR530"/>
  <c r="AP530"/>
  <c r="AN530"/>
  <c r="AL530"/>
  <c r="AJ530"/>
  <c r="AH530"/>
  <c r="AF530"/>
  <c r="AD530"/>
  <c r="AA530"/>
  <c r="M530"/>
  <c r="AC530" s="1"/>
  <c r="BB529"/>
  <c r="AZ529"/>
  <c r="AX529"/>
  <c r="AV529"/>
  <c r="AT529"/>
  <c r="AR529"/>
  <c r="AP529"/>
  <c r="AN529"/>
  <c r="AL529"/>
  <c r="AJ529"/>
  <c r="AH529"/>
  <c r="AF529"/>
  <c r="AD529"/>
  <c r="AA529"/>
  <c r="M529"/>
  <c r="AC529" s="1"/>
  <c r="BB528"/>
  <c r="AZ528"/>
  <c r="AX528"/>
  <c r="AV528"/>
  <c r="AT528"/>
  <c r="AR528"/>
  <c r="AP528"/>
  <c r="AN528"/>
  <c r="AL528"/>
  <c r="AJ528"/>
  <c r="AH528"/>
  <c r="AF528"/>
  <c r="AD528"/>
  <c r="AA528"/>
  <c r="M528"/>
  <c r="AC528" s="1"/>
  <c r="BB527"/>
  <c r="AZ527"/>
  <c r="AX527"/>
  <c r="AV527"/>
  <c r="AT527"/>
  <c r="AR527"/>
  <c r="AP527"/>
  <c r="AN527"/>
  <c r="AL527"/>
  <c r="AJ527"/>
  <c r="AH527"/>
  <c r="AF527"/>
  <c r="AD527"/>
  <c r="AA527"/>
  <c r="M527"/>
  <c r="AC527" s="1"/>
  <c r="BB526"/>
  <c r="AZ526"/>
  <c r="AX526"/>
  <c r="AV526"/>
  <c r="AT526"/>
  <c r="AR526"/>
  <c r="AP526"/>
  <c r="AN526"/>
  <c r="AL526"/>
  <c r="AJ526"/>
  <c r="AH526"/>
  <c r="AF526"/>
  <c r="AD526"/>
  <c r="AA526"/>
  <c r="M526"/>
  <c r="AC526" s="1"/>
  <c r="BB525"/>
  <c r="AZ525"/>
  <c r="AX525"/>
  <c r="AV525"/>
  <c r="AT525"/>
  <c r="AR525"/>
  <c r="AP525"/>
  <c r="AN525"/>
  <c r="AL525"/>
  <c r="AJ525"/>
  <c r="AH525"/>
  <c r="AF525"/>
  <c r="AD525"/>
  <c r="AA525"/>
  <c r="M525"/>
  <c r="AC525" s="1"/>
  <c r="BB524"/>
  <c r="AZ524"/>
  <c r="AX524"/>
  <c r="AV524"/>
  <c r="AT524"/>
  <c r="AR524"/>
  <c r="AP524"/>
  <c r="AN524"/>
  <c r="AL524"/>
  <c r="AJ524"/>
  <c r="AH524"/>
  <c r="AF524"/>
  <c r="AD524"/>
  <c r="AA524"/>
  <c r="M524"/>
  <c r="AC524" s="1"/>
  <c r="BB523"/>
  <c r="AZ523"/>
  <c r="AX523"/>
  <c r="AV523"/>
  <c r="AT523"/>
  <c r="AR523"/>
  <c r="AP523"/>
  <c r="AN523"/>
  <c r="AL523"/>
  <c r="AJ523"/>
  <c r="AH523"/>
  <c r="AF523"/>
  <c r="AD523"/>
  <c r="AA523"/>
  <c r="M523"/>
  <c r="AC523" s="1"/>
  <c r="BB522"/>
  <c r="AZ522"/>
  <c r="AX522"/>
  <c r="AV522"/>
  <c r="AT522"/>
  <c r="AR522"/>
  <c r="AP522"/>
  <c r="AN522"/>
  <c r="AL522"/>
  <c r="AJ522"/>
  <c r="AH522"/>
  <c r="AF522"/>
  <c r="AD522"/>
  <c r="AA522"/>
  <c r="M522"/>
  <c r="AC522" s="1"/>
  <c r="BB521"/>
  <c r="AZ521"/>
  <c r="AX521"/>
  <c r="AV521"/>
  <c r="AT521"/>
  <c r="AR521"/>
  <c r="AP521"/>
  <c r="AN521"/>
  <c r="AL521"/>
  <c r="AJ521"/>
  <c r="AH521"/>
  <c r="AF521"/>
  <c r="AD521"/>
  <c r="AA521"/>
  <c r="M521"/>
  <c r="AC521" s="1"/>
  <c r="BB520"/>
  <c r="AZ520"/>
  <c r="AX520"/>
  <c r="AV520"/>
  <c r="AT520"/>
  <c r="AR520"/>
  <c r="AP520"/>
  <c r="AN520"/>
  <c r="AL520"/>
  <c r="AJ520"/>
  <c r="AH520"/>
  <c r="AF520"/>
  <c r="AD520"/>
  <c r="AA520"/>
  <c r="M520"/>
  <c r="AC520" s="1"/>
  <c r="BB519"/>
  <c r="AZ519"/>
  <c r="AX519"/>
  <c r="AV519"/>
  <c r="AT519"/>
  <c r="AR519"/>
  <c r="AP519"/>
  <c r="AN519"/>
  <c r="AL519"/>
  <c r="AJ519"/>
  <c r="AH519"/>
  <c r="AF519"/>
  <c r="AD519"/>
  <c r="AA519"/>
  <c r="M519"/>
  <c r="AC519" s="1"/>
  <c r="BB518"/>
  <c r="AZ518"/>
  <c r="AX518"/>
  <c r="AV518"/>
  <c r="AT518"/>
  <c r="AR518"/>
  <c r="AP518"/>
  <c r="AN518"/>
  <c r="AL518"/>
  <c r="AJ518"/>
  <c r="AH518"/>
  <c r="AF518"/>
  <c r="AD518"/>
  <c r="AA518"/>
  <c r="M518"/>
  <c r="AC518" s="1"/>
  <c r="BB517"/>
  <c r="AZ517"/>
  <c r="AX517"/>
  <c r="AV517"/>
  <c r="AT517"/>
  <c r="AR517"/>
  <c r="AP517"/>
  <c r="AN517"/>
  <c r="AL517"/>
  <c r="AJ517"/>
  <c r="AH517"/>
  <c r="AF517"/>
  <c r="AD517"/>
  <c r="AA517"/>
  <c r="M517"/>
  <c r="AC517" s="1"/>
  <c r="BB516"/>
  <c r="AZ516"/>
  <c r="AX516"/>
  <c r="AV516"/>
  <c r="AT516"/>
  <c r="AR516"/>
  <c r="AP516"/>
  <c r="AN516"/>
  <c r="AL516"/>
  <c r="AJ516"/>
  <c r="AH516"/>
  <c r="AF516"/>
  <c r="AD516"/>
  <c r="AA516"/>
  <c r="M516"/>
  <c r="AC516" s="1"/>
  <c r="BB515"/>
  <c r="AZ515"/>
  <c r="AX515"/>
  <c r="AV515"/>
  <c r="AT515"/>
  <c r="AR515"/>
  <c r="AP515"/>
  <c r="AN515"/>
  <c r="AL515"/>
  <c r="AJ515"/>
  <c r="AH515"/>
  <c r="AF515"/>
  <c r="AD515"/>
  <c r="AA515"/>
  <c r="M515"/>
  <c r="AC515" s="1"/>
  <c r="BB514"/>
  <c r="AZ514"/>
  <c r="AX514"/>
  <c r="AV514"/>
  <c r="AT514"/>
  <c r="AR514"/>
  <c r="AP514"/>
  <c r="AN514"/>
  <c r="AL514"/>
  <c r="AJ514"/>
  <c r="AH514"/>
  <c r="AF514"/>
  <c r="AD514"/>
  <c r="AA514"/>
  <c r="M514"/>
  <c r="AC514" s="1"/>
  <c r="BB513"/>
  <c r="AZ513"/>
  <c r="AX513"/>
  <c r="AV513"/>
  <c r="AT513"/>
  <c r="AR513"/>
  <c r="AP513"/>
  <c r="AN513"/>
  <c r="AL513"/>
  <c r="AJ513"/>
  <c r="AH513"/>
  <c r="AF513"/>
  <c r="AD513"/>
  <c r="AA513"/>
  <c r="M513"/>
  <c r="AC513" s="1"/>
  <c r="BB512"/>
  <c r="AZ512"/>
  <c r="AX512"/>
  <c r="AV512"/>
  <c r="AT512"/>
  <c r="AR512"/>
  <c r="AP512"/>
  <c r="AN512"/>
  <c r="AL512"/>
  <c r="AJ512"/>
  <c r="AH512"/>
  <c r="AF512"/>
  <c r="AD512"/>
  <c r="AA512"/>
  <c r="M512"/>
  <c r="AC512" s="1"/>
  <c r="BB511"/>
  <c r="AZ511"/>
  <c r="AX511"/>
  <c r="AV511"/>
  <c r="AT511"/>
  <c r="AR511"/>
  <c r="AP511"/>
  <c r="AN511"/>
  <c r="AL511"/>
  <c r="AJ511"/>
  <c r="AH511"/>
  <c r="AF511"/>
  <c r="AD511"/>
  <c r="AA511"/>
  <c r="M511"/>
  <c r="AC511" s="1"/>
  <c r="BB510"/>
  <c r="AZ510"/>
  <c r="AX510"/>
  <c r="AV510"/>
  <c r="AT510"/>
  <c r="AR510"/>
  <c r="AP510"/>
  <c r="AN510"/>
  <c r="AL510"/>
  <c r="AJ510"/>
  <c r="AH510"/>
  <c r="AF510"/>
  <c r="AD510"/>
  <c r="AA510"/>
  <c r="M510"/>
  <c r="AC510" s="1"/>
  <c r="BB509"/>
  <c r="AZ509"/>
  <c r="AX509"/>
  <c r="AV509"/>
  <c r="AT509"/>
  <c r="AR509"/>
  <c r="AP509"/>
  <c r="AN509"/>
  <c r="AL509"/>
  <c r="AJ509"/>
  <c r="AH509"/>
  <c r="AF509"/>
  <c r="AD509"/>
  <c r="AA509"/>
  <c r="M509"/>
  <c r="AC509" s="1"/>
  <c r="BB508"/>
  <c r="AZ508"/>
  <c r="AX508"/>
  <c r="AV508"/>
  <c r="AT508"/>
  <c r="AR508"/>
  <c r="AP508"/>
  <c r="AN508"/>
  <c r="AL508"/>
  <c r="AJ508"/>
  <c r="AH508"/>
  <c r="AF508"/>
  <c r="AD508"/>
  <c r="AA508"/>
  <c r="M508"/>
  <c r="AC508" s="1"/>
  <c r="BB507"/>
  <c r="AZ507"/>
  <c r="AX507"/>
  <c r="AV507"/>
  <c r="AT507"/>
  <c r="AR507"/>
  <c r="AP507"/>
  <c r="AN507"/>
  <c r="AL507"/>
  <c r="AJ507"/>
  <c r="AH507"/>
  <c r="AF507"/>
  <c r="AD507"/>
  <c r="AA507"/>
  <c r="M507"/>
  <c r="AC507" s="1"/>
  <c r="BB506"/>
  <c r="AZ506"/>
  <c r="AX506"/>
  <c r="AV506"/>
  <c r="AT506"/>
  <c r="AR506"/>
  <c r="AP506"/>
  <c r="AN506"/>
  <c r="AL506"/>
  <c r="AJ506"/>
  <c r="AH506"/>
  <c r="AF506"/>
  <c r="AD506"/>
  <c r="AA506"/>
  <c r="M506"/>
  <c r="AC506" s="1"/>
  <c r="BB505"/>
  <c r="AZ505"/>
  <c r="AX505"/>
  <c r="AV505"/>
  <c r="AT505"/>
  <c r="AR505"/>
  <c r="AP505"/>
  <c r="AN505"/>
  <c r="AL505"/>
  <c r="AJ505"/>
  <c r="AH505"/>
  <c r="AF505"/>
  <c r="AD505"/>
  <c r="AA505"/>
  <c r="M505"/>
  <c r="AC505" s="1"/>
  <c r="BB504"/>
  <c r="AZ504"/>
  <c r="AX504"/>
  <c r="AV504"/>
  <c r="AT504"/>
  <c r="AR504"/>
  <c r="AP504"/>
  <c r="AN504"/>
  <c r="AL504"/>
  <c r="AJ504"/>
  <c r="AH504"/>
  <c r="AF504"/>
  <c r="AD504"/>
  <c r="AA504"/>
  <c r="M504"/>
  <c r="AC504" s="1"/>
  <c r="BB503"/>
  <c r="AZ503"/>
  <c r="AX503"/>
  <c r="AV503"/>
  <c r="AT503"/>
  <c r="AR503"/>
  <c r="AP503"/>
  <c r="AN503"/>
  <c r="AL503"/>
  <c r="AJ503"/>
  <c r="AH503"/>
  <c r="AF503"/>
  <c r="AA503"/>
  <c r="M503"/>
  <c r="AC503" s="1"/>
  <c r="BB502"/>
  <c r="AZ502"/>
  <c r="AX502"/>
  <c r="AV502"/>
  <c r="AT502"/>
  <c r="AR502"/>
  <c r="AP502"/>
  <c r="AN502"/>
  <c r="AL502"/>
  <c r="AJ502"/>
  <c r="AH502"/>
  <c r="AF502"/>
  <c r="AA502"/>
  <c r="M502"/>
  <c r="AC502" s="1"/>
  <c r="BB501"/>
  <c r="AZ501"/>
  <c r="AX501"/>
  <c r="AV501"/>
  <c r="AT501"/>
  <c r="AR501"/>
  <c r="AP501"/>
  <c r="AN501"/>
  <c r="AL501"/>
  <c r="AJ501"/>
  <c r="AH501"/>
  <c r="AF501"/>
  <c r="AA501"/>
  <c r="M501"/>
  <c r="AC501" s="1"/>
  <c r="BB500"/>
  <c r="AZ500"/>
  <c r="AX500"/>
  <c r="AV500"/>
  <c r="AT500"/>
  <c r="AR500"/>
  <c r="AP500"/>
  <c r="AN500"/>
  <c r="AL500"/>
  <c r="AJ500"/>
  <c r="AH500"/>
  <c r="AF500"/>
  <c r="AA500"/>
  <c r="M500"/>
  <c r="AC500" s="1"/>
  <c r="BB499"/>
  <c r="AZ499"/>
  <c r="AX499"/>
  <c r="AV499"/>
  <c r="AT499"/>
  <c r="AR499"/>
  <c r="AP499"/>
  <c r="AN499"/>
  <c r="AL499"/>
  <c r="AJ499"/>
  <c r="AH499"/>
  <c r="AF499"/>
  <c r="AA499"/>
  <c r="M499"/>
  <c r="AC499" s="1"/>
  <c r="BB498"/>
  <c r="AZ498"/>
  <c r="AX498"/>
  <c r="AV498"/>
  <c r="AT498"/>
  <c r="AR498"/>
  <c r="AP498"/>
  <c r="AN498"/>
  <c r="AL498"/>
  <c r="AJ498"/>
  <c r="AH498"/>
  <c r="AF498"/>
  <c r="AA498"/>
  <c r="M498"/>
  <c r="AC498" s="1"/>
  <c r="BB497"/>
  <c r="AZ497"/>
  <c r="AX497"/>
  <c r="AV497"/>
  <c r="AT497"/>
  <c r="AR497"/>
  <c r="AP497"/>
  <c r="AN497"/>
  <c r="AL497"/>
  <c r="AJ497"/>
  <c r="AH497"/>
  <c r="AF497"/>
  <c r="AA497"/>
  <c r="M497"/>
  <c r="AC497" s="1"/>
  <c r="BB496"/>
  <c r="AZ496"/>
  <c r="AX496"/>
  <c r="AV496"/>
  <c r="AT496"/>
  <c r="AR496"/>
  <c r="AP496"/>
  <c r="AN496"/>
  <c r="AL496"/>
  <c r="AJ496"/>
  <c r="AH496"/>
  <c r="AF496"/>
  <c r="AA496"/>
  <c r="M496"/>
  <c r="AC496" s="1"/>
  <c r="BB495"/>
  <c r="AZ495"/>
  <c r="AX495"/>
  <c r="AV495"/>
  <c r="AT495"/>
  <c r="AR495"/>
  <c r="AP495"/>
  <c r="AN495"/>
  <c r="AL495"/>
  <c r="AJ495"/>
  <c r="AH495"/>
  <c r="AF495"/>
  <c r="AA495"/>
  <c r="M495"/>
  <c r="AC495" s="1"/>
  <c r="BB494"/>
  <c r="AZ494"/>
  <c r="AX494"/>
  <c r="AV494"/>
  <c r="AT494"/>
  <c r="AR494"/>
  <c r="AP494"/>
  <c r="AN494"/>
  <c r="AL494"/>
  <c r="AJ494"/>
  <c r="AH494"/>
  <c r="AF494"/>
  <c r="AA494"/>
  <c r="M494"/>
  <c r="AC494" s="1"/>
  <c r="BB493"/>
  <c r="AZ493"/>
  <c r="AX493"/>
  <c r="AV493"/>
  <c r="AT493"/>
  <c r="AR493"/>
  <c r="AP493"/>
  <c r="AN493"/>
  <c r="AL493"/>
  <c r="AJ493"/>
  <c r="AH493"/>
  <c r="AF493"/>
  <c r="AA493"/>
  <c r="M493"/>
  <c r="AC493" s="1"/>
  <c r="BB492"/>
  <c r="AZ492"/>
  <c r="AX492"/>
  <c r="AV492"/>
  <c r="AT492"/>
  <c r="AR492"/>
  <c r="AP492"/>
  <c r="AN492"/>
  <c r="AL492"/>
  <c r="AJ492"/>
  <c r="AH492"/>
  <c r="AF492"/>
  <c r="AA492"/>
  <c r="M492"/>
  <c r="AC492" s="1"/>
  <c r="BB491"/>
  <c r="AZ491"/>
  <c r="AX491"/>
  <c r="AV491"/>
  <c r="AT491"/>
  <c r="AR491"/>
  <c r="AP491"/>
  <c r="AN491"/>
  <c r="AM491"/>
  <c r="AL491"/>
  <c r="AJ491"/>
  <c r="AH491"/>
  <c r="AF491"/>
  <c r="AD491"/>
  <c r="AA491"/>
  <c r="M491"/>
  <c r="AC491" s="1"/>
  <c r="BB490"/>
  <c r="AZ490"/>
  <c r="AX490"/>
  <c r="AV490"/>
  <c r="AT490"/>
  <c r="AR490"/>
  <c r="AP490"/>
  <c r="AN490"/>
  <c r="AL490"/>
  <c r="AJ490"/>
  <c r="AH490"/>
  <c r="AF490"/>
  <c r="AD490"/>
  <c r="AA490"/>
  <c r="M490"/>
  <c r="AC490" s="1"/>
  <c r="BB489"/>
  <c r="AZ489"/>
  <c r="AX489"/>
  <c r="AV489"/>
  <c r="AT489"/>
  <c r="AR489"/>
  <c r="AP489"/>
  <c r="AN489"/>
  <c r="AL489"/>
  <c r="AJ489"/>
  <c r="AH489"/>
  <c r="AF489"/>
  <c r="AD489"/>
  <c r="AA489"/>
  <c r="M489"/>
  <c r="AC489" s="1"/>
  <c r="BB488"/>
  <c r="AZ488"/>
  <c r="AX488"/>
  <c r="AV488"/>
  <c r="AT488"/>
  <c r="AR488"/>
  <c r="AP488"/>
  <c r="AN488"/>
  <c r="AL488"/>
  <c r="AJ488"/>
  <c r="AH488"/>
  <c r="AF488"/>
  <c r="AD488"/>
  <c r="AA488"/>
  <c r="M488"/>
  <c r="AC488" s="1"/>
  <c r="BB487"/>
  <c r="AZ487"/>
  <c r="AX487"/>
  <c r="AV487"/>
  <c r="AT487"/>
  <c r="AR487"/>
  <c r="AP487"/>
  <c r="AN487"/>
  <c r="AL487"/>
  <c r="AJ487"/>
  <c r="AH487"/>
  <c r="AF487"/>
  <c r="AD487"/>
  <c r="AA487"/>
  <c r="M487"/>
  <c r="AC487" s="1"/>
  <c r="BB486"/>
  <c r="AZ486"/>
  <c r="AX486"/>
  <c r="AV486"/>
  <c r="AT486"/>
  <c r="AR486"/>
  <c r="AP486"/>
  <c r="AN486"/>
  <c r="AL486"/>
  <c r="AJ486"/>
  <c r="AH486"/>
  <c r="AF486"/>
  <c r="AD486"/>
  <c r="AA486"/>
  <c r="M486"/>
  <c r="AC486" s="1"/>
  <c r="BB485"/>
  <c r="AZ485"/>
  <c r="AX485"/>
  <c r="AV485"/>
  <c r="AT485"/>
  <c r="AR485"/>
  <c r="AP485"/>
  <c r="AN485"/>
  <c r="AL485"/>
  <c r="AJ485"/>
  <c r="AH485"/>
  <c r="AF485"/>
  <c r="AD485"/>
  <c r="AA485"/>
  <c r="M485"/>
  <c r="AC485" s="1"/>
  <c r="BB484"/>
  <c r="AZ484"/>
  <c r="AX484"/>
  <c r="AV484"/>
  <c r="AT484"/>
  <c r="AR484"/>
  <c r="AP484"/>
  <c r="AN484"/>
  <c r="AL484"/>
  <c r="AJ484"/>
  <c r="AH484"/>
  <c r="AF484"/>
  <c r="AD484"/>
  <c r="AA484"/>
  <c r="M484"/>
  <c r="AC484" s="1"/>
  <c r="BB483"/>
  <c r="AZ483"/>
  <c r="AX483"/>
  <c r="AV483"/>
  <c r="AT483"/>
  <c r="AR483"/>
  <c r="AP483"/>
  <c r="AN483"/>
  <c r="AL483"/>
  <c r="AJ483"/>
  <c r="AH483"/>
  <c r="AF483"/>
  <c r="AA483"/>
  <c r="M483"/>
  <c r="AD483" s="1"/>
  <c r="BB482"/>
  <c r="AZ482"/>
  <c r="AX482"/>
  <c r="AV482"/>
  <c r="AT482"/>
  <c r="AR482"/>
  <c r="AP482"/>
  <c r="AN482"/>
  <c r="AL482"/>
  <c r="AJ482"/>
  <c r="AH482"/>
  <c r="AF482"/>
  <c r="AA482"/>
  <c r="M482"/>
  <c r="AD482" s="1"/>
  <c r="BB481"/>
  <c r="AZ481"/>
  <c r="AX481"/>
  <c r="AV481"/>
  <c r="AT481"/>
  <c r="AR481"/>
  <c r="AP481"/>
  <c r="AN481"/>
  <c r="AL481"/>
  <c r="AJ481"/>
  <c r="AH481"/>
  <c r="AF481"/>
  <c r="AA481"/>
  <c r="M481"/>
  <c r="AD481" s="1"/>
  <c r="BB480"/>
  <c r="AZ480"/>
  <c r="AX480"/>
  <c r="AV480"/>
  <c r="AT480"/>
  <c r="AR480"/>
  <c r="AP480"/>
  <c r="AN480"/>
  <c r="AL480"/>
  <c r="AJ480"/>
  <c r="AH480"/>
  <c r="AF480"/>
  <c r="AA480"/>
  <c r="M480"/>
  <c r="AD480" s="1"/>
  <c r="BB479"/>
  <c r="AZ479"/>
  <c r="AX479"/>
  <c r="AV479"/>
  <c r="AT479"/>
  <c r="AR479"/>
  <c r="AP479"/>
  <c r="AN479"/>
  <c r="AL479"/>
  <c r="AJ479"/>
  <c r="AH479"/>
  <c r="AF479"/>
  <c r="AA479"/>
  <c r="M479"/>
  <c r="AD479" s="1"/>
  <c r="BB478"/>
  <c r="AZ478"/>
  <c r="AX478"/>
  <c r="AV478"/>
  <c r="AT478"/>
  <c r="AR478"/>
  <c r="AP478"/>
  <c r="AN478"/>
  <c r="AL478"/>
  <c r="AJ478"/>
  <c r="AH478"/>
  <c r="AF478"/>
  <c r="AA478"/>
  <c r="M478"/>
  <c r="AD478" s="1"/>
  <c r="BB477"/>
  <c r="AZ477"/>
  <c r="AX477"/>
  <c r="AV477"/>
  <c r="AT477"/>
  <c r="AR477"/>
  <c r="AP477"/>
  <c r="AN477"/>
  <c r="AL477"/>
  <c r="AJ477"/>
  <c r="AH477"/>
  <c r="AF477"/>
  <c r="AA477"/>
  <c r="M477"/>
  <c r="AD477" s="1"/>
  <c r="BB476"/>
  <c r="AZ476"/>
  <c r="AX476"/>
  <c r="AV476"/>
  <c r="AT476"/>
  <c r="AR476"/>
  <c r="AP476"/>
  <c r="AN476"/>
  <c r="AL476"/>
  <c r="AJ476"/>
  <c r="AH476"/>
  <c r="AF476"/>
  <c r="AA476"/>
  <c r="M476"/>
  <c r="AD476" s="1"/>
  <c r="BB475"/>
  <c r="AZ475"/>
  <c r="AX475"/>
  <c r="AV475"/>
  <c r="AT475"/>
  <c r="AR475"/>
  <c r="AP475"/>
  <c r="AN475"/>
  <c r="AL475"/>
  <c r="AJ475"/>
  <c r="AH475"/>
  <c r="AF475"/>
  <c r="AA475"/>
  <c r="M475"/>
  <c r="AD475" s="1"/>
  <c r="BB474"/>
  <c r="AZ474"/>
  <c r="AX474"/>
  <c r="AV474"/>
  <c r="AT474"/>
  <c r="AR474"/>
  <c r="AP474"/>
  <c r="AN474"/>
  <c r="AL474"/>
  <c r="AJ474"/>
  <c r="AH474"/>
  <c r="AF474"/>
  <c r="AA474"/>
  <c r="M474"/>
  <c r="AD474" s="1"/>
  <c r="BB473"/>
  <c r="AZ473"/>
  <c r="AX473"/>
  <c r="AV473"/>
  <c r="AT473"/>
  <c r="AR473"/>
  <c r="AP473"/>
  <c r="AN473"/>
  <c r="AL473"/>
  <c r="AJ473"/>
  <c r="AH473"/>
  <c r="AF473"/>
  <c r="AA473"/>
  <c r="M473"/>
  <c r="AD473" s="1"/>
  <c r="BB472"/>
  <c r="AZ472"/>
  <c r="AX472"/>
  <c r="AV472"/>
  <c r="AT472"/>
  <c r="AR472"/>
  <c r="AP472"/>
  <c r="AN472"/>
  <c r="AL472"/>
  <c r="AJ472"/>
  <c r="AH472"/>
  <c r="AF472"/>
  <c r="AA472"/>
  <c r="M472"/>
  <c r="AD472" s="1"/>
  <c r="BB471"/>
  <c r="AZ471"/>
  <c r="AX471"/>
  <c r="AV471"/>
  <c r="AT471"/>
  <c r="AR471"/>
  <c r="AP471"/>
  <c r="AN471"/>
  <c r="AL471"/>
  <c r="AJ471"/>
  <c r="AH471"/>
  <c r="AF471"/>
  <c r="AA471"/>
  <c r="M471"/>
  <c r="AD471" s="1"/>
  <c r="BB470"/>
  <c r="AZ470"/>
  <c r="AX470"/>
  <c r="AV470"/>
  <c r="AT470"/>
  <c r="AR470"/>
  <c r="AP470"/>
  <c r="AN470"/>
  <c r="AL470"/>
  <c r="AJ470"/>
  <c r="AH470"/>
  <c r="AF470"/>
  <c r="AA470"/>
  <c r="M470"/>
  <c r="AD470" s="1"/>
  <c r="BB469"/>
  <c r="AZ469"/>
  <c r="AX469"/>
  <c r="AV469"/>
  <c r="AT469"/>
  <c r="AR469"/>
  <c r="AP469"/>
  <c r="AN469"/>
  <c r="AL469"/>
  <c r="AJ469"/>
  <c r="AH469"/>
  <c r="AF469"/>
  <c r="AA469"/>
  <c r="M469"/>
  <c r="AD469" s="1"/>
  <c r="BB468"/>
  <c r="AZ468"/>
  <c r="AX468"/>
  <c r="AV468"/>
  <c r="AT468"/>
  <c r="AR468"/>
  <c r="AP468"/>
  <c r="AN468"/>
  <c r="AL468"/>
  <c r="AJ468"/>
  <c r="AH468"/>
  <c r="AF468"/>
  <c r="AA468"/>
  <c r="M468"/>
  <c r="AD468" s="1"/>
  <c r="BB467"/>
  <c r="AZ467"/>
  <c r="AX467"/>
  <c r="AV467"/>
  <c r="AT467"/>
  <c r="AR467"/>
  <c r="AP467"/>
  <c r="AN467"/>
  <c r="AL467"/>
  <c r="AJ467"/>
  <c r="AH467"/>
  <c r="AF467"/>
  <c r="AA467"/>
  <c r="M467"/>
  <c r="AD467" s="1"/>
  <c r="BB466"/>
  <c r="AZ466"/>
  <c r="AX466"/>
  <c r="AV466"/>
  <c r="AT466"/>
  <c r="AR466"/>
  <c r="AP466"/>
  <c r="AN466"/>
  <c r="AL466"/>
  <c r="AJ466"/>
  <c r="AH466"/>
  <c r="AF466"/>
  <c r="AA466"/>
  <c r="M466"/>
  <c r="AD466" s="1"/>
  <c r="BB465"/>
  <c r="AZ465"/>
  <c r="AX465"/>
  <c r="AV465"/>
  <c r="AT465"/>
  <c r="AR465"/>
  <c r="AP465"/>
  <c r="AN465"/>
  <c r="AL465"/>
  <c r="AJ465"/>
  <c r="AH465"/>
  <c r="AF465"/>
  <c r="AA465"/>
  <c r="M465"/>
  <c r="AD465" s="1"/>
  <c r="BB464"/>
  <c r="AZ464"/>
  <c r="AX464"/>
  <c r="AV464"/>
  <c r="AT464"/>
  <c r="AR464"/>
  <c r="AP464"/>
  <c r="AN464"/>
  <c r="AL464"/>
  <c r="AJ464"/>
  <c r="AH464"/>
  <c r="AF464"/>
  <c r="AA464"/>
  <c r="M464"/>
  <c r="AD464" s="1"/>
  <c r="BB463"/>
  <c r="AZ463"/>
  <c r="AX463"/>
  <c r="AV463"/>
  <c r="AT463"/>
  <c r="AR463"/>
  <c r="AP463"/>
  <c r="AN463"/>
  <c r="AL463"/>
  <c r="AJ463"/>
  <c r="AH463"/>
  <c r="AF463"/>
  <c r="AA463"/>
  <c r="M463"/>
  <c r="AD463" s="1"/>
  <c r="BB462"/>
  <c r="AZ462"/>
  <c r="AX462"/>
  <c r="AV462"/>
  <c r="AT462"/>
  <c r="AR462"/>
  <c r="AP462"/>
  <c r="AN462"/>
  <c r="AL462"/>
  <c r="AJ462"/>
  <c r="AH462"/>
  <c r="AF462"/>
  <c r="AA462"/>
  <c r="M462"/>
  <c r="AD462" s="1"/>
  <c r="BB461"/>
  <c r="AZ461"/>
  <c r="AX461"/>
  <c r="AV461"/>
  <c r="AT461"/>
  <c r="AR461"/>
  <c r="AP461"/>
  <c r="AN461"/>
  <c r="AL461"/>
  <c r="AJ461"/>
  <c r="AH461"/>
  <c r="AF461"/>
  <c r="AA461"/>
  <c r="M461"/>
  <c r="AD461" s="1"/>
  <c r="BB460"/>
  <c r="AZ460"/>
  <c r="AX460"/>
  <c r="AV460"/>
  <c r="AT460"/>
  <c r="AR460"/>
  <c r="AP460"/>
  <c r="AN460"/>
  <c r="AL460"/>
  <c r="AJ460"/>
  <c r="AH460"/>
  <c r="AF460"/>
  <c r="AA460"/>
  <c r="M460"/>
  <c r="AD460" s="1"/>
  <c r="BB459"/>
  <c r="AZ459"/>
  <c r="AX459"/>
  <c r="AV459"/>
  <c r="AT459"/>
  <c r="AR459"/>
  <c r="AP459"/>
  <c r="AN459"/>
  <c r="AL459"/>
  <c r="AJ459"/>
  <c r="AH459"/>
  <c r="AF459"/>
  <c r="AA459"/>
  <c r="M459"/>
  <c r="AD459" s="1"/>
  <c r="BB458"/>
  <c r="AZ458"/>
  <c r="AX458"/>
  <c r="AV458"/>
  <c r="AT458"/>
  <c r="AR458"/>
  <c r="AP458"/>
  <c r="AN458"/>
  <c r="AL458"/>
  <c r="AJ458"/>
  <c r="AH458"/>
  <c r="AF458"/>
  <c r="AA458"/>
  <c r="M458"/>
  <c r="AD458" s="1"/>
  <c r="BB457"/>
  <c r="AZ457"/>
  <c r="AX457"/>
  <c r="AV457"/>
  <c r="AT457"/>
  <c r="AR457"/>
  <c r="AP457"/>
  <c r="AN457"/>
  <c r="AL457"/>
  <c r="AJ457"/>
  <c r="AH457"/>
  <c r="AF457"/>
  <c r="AA457"/>
  <c r="M457"/>
  <c r="AD457" s="1"/>
  <c r="BB456"/>
  <c r="AZ456"/>
  <c r="AX456"/>
  <c r="AV456"/>
  <c r="AT456"/>
  <c r="AR456"/>
  <c r="AP456"/>
  <c r="AN456"/>
  <c r="AL456"/>
  <c r="AJ456"/>
  <c r="AH456"/>
  <c r="AF456"/>
  <c r="AA456"/>
  <c r="M456"/>
  <c r="AD456" s="1"/>
  <c r="BB455"/>
  <c r="AZ455"/>
  <c r="AX455"/>
  <c r="AV455"/>
  <c r="AT455"/>
  <c r="AR455"/>
  <c r="AP455"/>
  <c r="AN455"/>
  <c r="AL455"/>
  <c r="AJ455"/>
  <c r="AH455"/>
  <c r="AF455"/>
  <c r="AA455"/>
  <c r="M455"/>
  <c r="AD455" s="1"/>
  <c r="BB454"/>
  <c r="AZ454"/>
  <c r="AX454"/>
  <c r="AV454"/>
  <c r="AT454"/>
  <c r="AR454"/>
  <c r="AP454"/>
  <c r="AN454"/>
  <c r="AL454"/>
  <c r="AJ454"/>
  <c r="AH454"/>
  <c r="AF454"/>
  <c r="AA454"/>
  <c r="M454"/>
  <c r="AD454" s="1"/>
  <c r="BB453"/>
  <c r="AZ453"/>
  <c r="AX453"/>
  <c r="AV453"/>
  <c r="AT453"/>
  <c r="AR453"/>
  <c r="AP453"/>
  <c r="AN453"/>
  <c r="AL453"/>
  <c r="AJ453"/>
  <c r="AH453"/>
  <c r="AF453"/>
  <c r="AA453"/>
  <c r="M453"/>
  <c r="AD453" s="1"/>
  <c r="BB452"/>
  <c r="AZ452"/>
  <c r="AX452"/>
  <c r="AV452"/>
  <c r="AT452"/>
  <c r="AR452"/>
  <c r="AP452"/>
  <c r="AN452"/>
  <c r="AL452"/>
  <c r="AJ452"/>
  <c r="AH452"/>
  <c r="AF452"/>
  <c r="AA452"/>
  <c r="M452"/>
  <c r="AD452" s="1"/>
  <c r="BB451"/>
  <c r="AZ451"/>
  <c r="AX451"/>
  <c r="AV451"/>
  <c r="AT451"/>
  <c r="AR451"/>
  <c r="AP451"/>
  <c r="AN451"/>
  <c r="AL451"/>
  <c r="AJ451"/>
  <c r="AH451"/>
  <c r="AF451"/>
  <c r="AA451"/>
  <c r="M451"/>
  <c r="AD451" s="1"/>
  <c r="BB450"/>
  <c r="AZ450"/>
  <c r="AX450"/>
  <c r="AV450"/>
  <c r="AT450"/>
  <c r="AR450"/>
  <c r="AP450"/>
  <c r="AN450"/>
  <c r="AL450"/>
  <c r="AJ450"/>
  <c r="AH450"/>
  <c r="AF450"/>
  <c r="AA450"/>
  <c r="M450"/>
  <c r="AD450" s="1"/>
  <c r="BB449"/>
  <c r="AZ449"/>
  <c r="AX449"/>
  <c r="AV449"/>
  <c r="AT449"/>
  <c r="AR449"/>
  <c r="AP449"/>
  <c r="AN449"/>
  <c r="AL449"/>
  <c r="AJ449"/>
  <c r="AH449"/>
  <c r="AF449"/>
  <c r="AA449"/>
  <c r="M449"/>
  <c r="AD449" s="1"/>
  <c r="BB448"/>
  <c r="AZ448"/>
  <c r="AX448"/>
  <c r="AV448"/>
  <c r="AT448"/>
  <c r="AR448"/>
  <c r="AP448"/>
  <c r="AN448"/>
  <c r="AL448"/>
  <c r="AJ448"/>
  <c r="AH448"/>
  <c r="AF448"/>
  <c r="AA448"/>
  <c r="M448"/>
  <c r="AD448" s="1"/>
  <c r="BB447"/>
  <c r="AZ447"/>
  <c r="AX447"/>
  <c r="AV447"/>
  <c r="AT447"/>
  <c r="AR447"/>
  <c r="AP447"/>
  <c r="AN447"/>
  <c r="AL447"/>
  <c r="AJ447"/>
  <c r="AH447"/>
  <c r="AF447"/>
  <c r="AA447"/>
  <c r="M447"/>
  <c r="AD447" s="1"/>
  <c r="BB446"/>
  <c r="AZ446"/>
  <c r="AX446"/>
  <c r="AV446"/>
  <c r="AT446"/>
  <c r="AR446"/>
  <c r="AP446"/>
  <c r="AN446"/>
  <c r="AL446"/>
  <c r="AJ446"/>
  <c r="AH446"/>
  <c r="AF446"/>
  <c r="AA446"/>
  <c r="M446"/>
  <c r="AD446" s="1"/>
  <c r="BB445"/>
  <c r="AZ445"/>
  <c r="AX445"/>
  <c r="AV445"/>
  <c r="AT445"/>
  <c r="AR445"/>
  <c r="AP445"/>
  <c r="AN445"/>
  <c r="AL445"/>
  <c r="AJ445"/>
  <c r="AH445"/>
  <c r="AF445"/>
  <c r="AA445"/>
  <c r="M445"/>
  <c r="AD445" s="1"/>
  <c r="BB444"/>
  <c r="AZ444"/>
  <c r="AX444"/>
  <c r="AV444"/>
  <c r="AT444"/>
  <c r="AR444"/>
  <c r="AP444"/>
  <c r="AN444"/>
  <c r="AL444"/>
  <c r="AJ444"/>
  <c r="AH444"/>
  <c r="AF444"/>
  <c r="AA444"/>
  <c r="M444"/>
  <c r="AD444" s="1"/>
  <c r="BB443"/>
  <c r="AZ443"/>
  <c r="AX443"/>
  <c r="AV443"/>
  <c r="AT443"/>
  <c r="AR443"/>
  <c r="AP443"/>
  <c r="AN443"/>
  <c r="AL443"/>
  <c r="AJ443"/>
  <c r="AH443"/>
  <c r="AF443"/>
  <c r="AA443"/>
  <c r="M443"/>
  <c r="AD443" s="1"/>
  <c r="BB442"/>
  <c r="AZ442"/>
  <c r="AX442"/>
  <c r="AV442"/>
  <c r="AT442"/>
  <c r="AR442"/>
  <c r="AP442"/>
  <c r="AN442"/>
  <c r="AL442"/>
  <c r="AJ442"/>
  <c r="AH442"/>
  <c r="AF442"/>
  <c r="AA442"/>
  <c r="M442"/>
  <c r="AD442" s="1"/>
  <c r="BB441"/>
  <c r="AZ441"/>
  <c r="AX441"/>
  <c r="AV441"/>
  <c r="AT441"/>
  <c r="AR441"/>
  <c r="AP441"/>
  <c r="AN441"/>
  <c r="AL441"/>
  <c r="AJ441"/>
  <c r="AH441"/>
  <c r="AF441"/>
  <c r="AA441"/>
  <c r="M441"/>
  <c r="AD441" s="1"/>
  <c r="BB440"/>
  <c r="AZ440"/>
  <c r="AX440"/>
  <c r="AV440"/>
  <c r="AT440"/>
  <c r="AR440"/>
  <c r="AP440"/>
  <c r="AN440"/>
  <c r="AL440"/>
  <c r="AJ440"/>
  <c r="AH440"/>
  <c r="AF440"/>
  <c r="AA440"/>
  <c r="M440"/>
  <c r="AD440" s="1"/>
  <c r="BB439"/>
  <c r="AZ439"/>
  <c r="AX439"/>
  <c r="AV439"/>
  <c r="AT439"/>
  <c r="AR439"/>
  <c r="AP439"/>
  <c r="AN439"/>
  <c r="AL439"/>
  <c r="AJ439"/>
  <c r="AH439"/>
  <c r="AF439"/>
  <c r="AA439"/>
  <c r="M439"/>
  <c r="AD439" s="1"/>
  <c r="BB438"/>
  <c r="AZ438"/>
  <c r="AX438"/>
  <c r="AV438"/>
  <c r="AT438"/>
  <c r="AR438"/>
  <c r="AP438"/>
  <c r="AN438"/>
  <c r="AL438"/>
  <c r="AJ438"/>
  <c r="AH438"/>
  <c r="AF438"/>
  <c r="AA438"/>
  <c r="M438"/>
  <c r="AD438" s="1"/>
  <c r="BB437"/>
  <c r="AZ437"/>
  <c r="AX437"/>
  <c r="AV437"/>
  <c r="AT437"/>
  <c r="AR437"/>
  <c r="AP437"/>
  <c r="AN437"/>
  <c r="AL437"/>
  <c r="AJ437"/>
  <c r="AH437"/>
  <c r="AF437"/>
  <c r="AA437"/>
  <c r="M437"/>
  <c r="AD437" s="1"/>
  <c r="BB436"/>
  <c r="AZ436"/>
  <c r="AX436"/>
  <c r="AV436"/>
  <c r="AT436"/>
  <c r="AR436"/>
  <c r="AP436"/>
  <c r="AN436"/>
  <c r="AL436"/>
  <c r="AJ436"/>
  <c r="AH436"/>
  <c r="AF436"/>
  <c r="AA436"/>
  <c r="M436"/>
  <c r="AD436" s="1"/>
  <c r="BB435"/>
  <c r="AZ435"/>
  <c r="AX435"/>
  <c r="AV435"/>
  <c r="AT435"/>
  <c r="AR435"/>
  <c r="AP435"/>
  <c r="AN435"/>
  <c r="AL435"/>
  <c r="AJ435"/>
  <c r="AH435"/>
  <c r="AF435"/>
  <c r="AA435"/>
  <c r="M435"/>
  <c r="AD435" s="1"/>
  <c r="BB434"/>
  <c r="AZ434"/>
  <c r="AX434"/>
  <c r="AV434"/>
  <c r="AT434"/>
  <c r="AR434"/>
  <c r="AP434"/>
  <c r="AN434"/>
  <c r="AL434"/>
  <c r="AJ434"/>
  <c r="AH434"/>
  <c r="AF434"/>
  <c r="AA434"/>
  <c r="M434"/>
  <c r="AD434" s="1"/>
  <c r="BB433"/>
  <c r="AZ433"/>
  <c r="AX433"/>
  <c r="AV433"/>
  <c r="AT433"/>
  <c r="AR433"/>
  <c r="AP433"/>
  <c r="AN433"/>
  <c r="AL433"/>
  <c r="AJ433"/>
  <c r="AH433"/>
  <c r="AF433"/>
  <c r="AA433"/>
  <c r="M433"/>
  <c r="AD433" s="1"/>
  <c r="BB432"/>
  <c r="AZ432"/>
  <c r="AX432"/>
  <c r="AV432"/>
  <c r="AT432"/>
  <c r="AR432"/>
  <c r="AP432"/>
  <c r="AN432"/>
  <c r="AL432"/>
  <c r="AJ432"/>
  <c r="AH432"/>
  <c r="AF432"/>
  <c r="AA432"/>
  <c r="M432"/>
  <c r="AD432" s="1"/>
  <c r="BB431"/>
  <c r="AZ431"/>
  <c r="AX431"/>
  <c r="AV431"/>
  <c r="AT431"/>
  <c r="AR431"/>
  <c r="AP431"/>
  <c r="AN431"/>
  <c r="AL431"/>
  <c r="AJ431"/>
  <c r="AH431"/>
  <c r="AF431"/>
  <c r="AA431"/>
  <c r="M431"/>
  <c r="AD431" s="1"/>
  <c r="BB430"/>
  <c r="AZ430"/>
  <c r="AX430"/>
  <c r="AV430"/>
  <c r="AT430"/>
  <c r="AR430"/>
  <c r="AP430"/>
  <c r="AN430"/>
  <c r="AL430"/>
  <c r="AJ430"/>
  <c r="AH430"/>
  <c r="AF430"/>
  <c r="AA430"/>
  <c r="M430"/>
  <c r="AD430" s="1"/>
  <c r="BB429"/>
  <c r="AZ429"/>
  <c r="AX429"/>
  <c r="AV429"/>
  <c r="AT429"/>
  <c r="AR429"/>
  <c r="AP429"/>
  <c r="AN429"/>
  <c r="AL429"/>
  <c r="AJ429"/>
  <c r="AH429"/>
  <c r="AF429"/>
  <c r="AA429"/>
  <c r="M429"/>
  <c r="AD429" s="1"/>
  <c r="BB428"/>
  <c r="AZ428"/>
  <c r="AX428"/>
  <c r="AV428"/>
  <c r="AT428"/>
  <c r="AR428"/>
  <c r="AP428"/>
  <c r="AN428"/>
  <c r="AL428"/>
  <c r="AJ428"/>
  <c r="AH428"/>
  <c r="AF428"/>
  <c r="AA428"/>
  <c r="M428"/>
  <c r="AD428" s="1"/>
  <c r="BB427"/>
  <c r="AZ427"/>
  <c r="AX427"/>
  <c r="AV427"/>
  <c r="AT427"/>
  <c r="AR427"/>
  <c r="AP427"/>
  <c r="AN427"/>
  <c r="AL427"/>
  <c r="AJ427"/>
  <c r="AH427"/>
  <c r="AF427"/>
  <c r="AA427"/>
  <c r="M427"/>
  <c r="AD427" s="1"/>
  <c r="BB426"/>
  <c r="AZ426"/>
  <c r="AX426"/>
  <c r="AV426"/>
  <c r="AT426"/>
  <c r="AR426"/>
  <c r="AP426"/>
  <c r="AN426"/>
  <c r="AL426"/>
  <c r="AJ426"/>
  <c r="AH426"/>
  <c r="AF426"/>
  <c r="AA426"/>
  <c r="M426"/>
  <c r="AD426" s="1"/>
  <c r="BB425"/>
  <c r="AZ425"/>
  <c r="AX425"/>
  <c r="AV425"/>
  <c r="AT425"/>
  <c r="AR425"/>
  <c r="AP425"/>
  <c r="AN425"/>
  <c r="AL425"/>
  <c r="AJ425"/>
  <c r="AH425"/>
  <c r="AF425"/>
  <c r="AA425"/>
  <c r="M425"/>
  <c r="AD425" s="1"/>
  <c r="BB424"/>
  <c r="AZ424"/>
  <c r="AX424"/>
  <c r="AV424"/>
  <c r="AT424"/>
  <c r="AR424"/>
  <c r="AP424"/>
  <c r="AN424"/>
  <c r="AL424"/>
  <c r="AJ424"/>
  <c r="AH424"/>
  <c r="AF424"/>
  <c r="AA424"/>
  <c r="M424"/>
  <c r="AD424" s="1"/>
  <c r="BB423"/>
  <c r="AZ423"/>
  <c r="AX423"/>
  <c r="AV423"/>
  <c r="AT423"/>
  <c r="AR423"/>
  <c r="AP423"/>
  <c r="AN423"/>
  <c r="AL423"/>
  <c r="AJ423"/>
  <c r="AH423"/>
  <c r="AF423"/>
  <c r="AA423"/>
  <c r="M423"/>
  <c r="AD423" s="1"/>
  <c r="BB422"/>
  <c r="AZ422"/>
  <c r="AX422"/>
  <c r="AV422"/>
  <c r="AT422"/>
  <c r="AR422"/>
  <c r="AP422"/>
  <c r="AN422"/>
  <c r="AL422"/>
  <c r="AJ422"/>
  <c r="AH422"/>
  <c r="AF422"/>
  <c r="AA422"/>
  <c r="M422"/>
  <c r="AD422" s="1"/>
  <c r="BB421"/>
  <c r="AZ421"/>
  <c r="AX421"/>
  <c r="AV421"/>
  <c r="AT421"/>
  <c r="AR421"/>
  <c r="AP421"/>
  <c r="AN421"/>
  <c r="AL421"/>
  <c r="AJ421"/>
  <c r="AH421"/>
  <c r="AF421"/>
  <c r="AA421"/>
  <c r="M421"/>
  <c r="AD421" s="1"/>
  <c r="BB420"/>
  <c r="AZ420"/>
  <c r="AX420"/>
  <c r="AV420"/>
  <c r="AT420"/>
  <c r="AR420"/>
  <c r="AP420"/>
  <c r="AN420"/>
  <c r="AL420"/>
  <c r="AJ420"/>
  <c r="AH420"/>
  <c r="AF420"/>
  <c r="AA420"/>
  <c r="M420"/>
  <c r="AD420" s="1"/>
  <c r="BB419"/>
  <c r="AZ419"/>
  <c r="AX419"/>
  <c r="AV419"/>
  <c r="AT419"/>
  <c r="AR419"/>
  <c r="AP419"/>
  <c r="AN419"/>
  <c r="AL419"/>
  <c r="AJ419"/>
  <c r="AH419"/>
  <c r="AF419"/>
  <c r="AA419"/>
  <c r="M419"/>
  <c r="AD419" s="1"/>
  <c r="BB418"/>
  <c r="AZ418"/>
  <c r="AX418"/>
  <c r="AV418"/>
  <c r="AT418"/>
  <c r="AR418"/>
  <c r="AP418"/>
  <c r="AN418"/>
  <c r="AL418"/>
  <c r="AJ418"/>
  <c r="AH418"/>
  <c r="AF418"/>
  <c r="AA418"/>
  <c r="M418"/>
  <c r="AD418" s="1"/>
  <c r="BB417"/>
  <c r="AZ417"/>
  <c r="AX417"/>
  <c r="AV417"/>
  <c r="AT417"/>
  <c r="AR417"/>
  <c r="AP417"/>
  <c r="AN417"/>
  <c r="AL417"/>
  <c r="AJ417"/>
  <c r="AH417"/>
  <c r="AF417"/>
  <c r="AA417"/>
  <c r="M417"/>
  <c r="AD417" s="1"/>
  <c r="BB416"/>
  <c r="AZ416"/>
  <c r="AX416"/>
  <c r="AV416"/>
  <c r="AT416"/>
  <c r="AR416"/>
  <c r="AP416"/>
  <c r="AN416"/>
  <c r="AL416"/>
  <c r="AJ416"/>
  <c r="AH416"/>
  <c r="AF416"/>
  <c r="AA416"/>
  <c r="M416"/>
  <c r="AD416" s="1"/>
  <c r="BB415"/>
  <c r="AZ415"/>
  <c r="AX415"/>
  <c r="AV415"/>
  <c r="AT415"/>
  <c r="AR415"/>
  <c r="AP415"/>
  <c r="AN415"/>
  <c r="AL415"/>
  <c r="AJ415"/>
  <c r="AH415"/>
  <c r="AF415"/>
  <c r="AA415"/>
  <c r="M415"/>
  <c r="AD415" s="1"/>
  <c r="BB414"/>
  <c r="AZ414"/>
  <c r="AX414"/>
  <c r="AV414"/>
  <c r="AT414"/>
  <c r="AR414"/>
  <c r="AP414"/>
  <c r="AN414"/>
  <c r="AL414"/>
  <c r="AJ414"/>
  <c r="AH414"/>
  <c r="AF414"/>
  <c r="AA414"/>
  <c r="M414"/>
  <c r="AD414" s="1"/>
  <c r="BB413"/>
  <c r="AZ413"/>
  <c r="AX413"/>
  <c r="AV413"/>
  <c r="AT413"/>
  <c r="AR413"/>
  <c r="AP413"/>
  <c r="AN413"/>
  <c r="AL413"/>
  <c r="AJ413"/>
  <c r="AH413"/>
  <c r="AF413"/>
  <c r="AA413"/>
  <c r="M413"/>
  <c r="AD413" s="1"/>
  <c r="BB412"/>
  <c r="AZ412"/>
  <c r="AX412"/>
  <c r="AV412"/>
  <c r="AT412"/>
  <c r="AR412"/>
  <c r="AP412"/>
  <c r="AN412"/>
  <c r="AL412"/>
  <c r="AJ412"/>
  <c r="AH412"/>
  <c r="AF412"/>
  <c r="AA412"/>
  <c r="M412"/>
  <c r="AD412" s="1"/>
  <c r="BB411"/>
  <c r="AZ411"/>
  <c r="AX411"/>
  <c r="AV411"/>
  <c r="AT411"/>
  <c r="AR411"/>
  <c r="AP411"/>
  <c r="AN411"/>
  <c r="AL411"/>
  <c r="AJ411"/>
  <c r="AH411"/>
  <c r="AF411"/>
  <c r="AA411"/>
  <c r="M411"/>
  <c r="AD411" s="1"/>
  <c r="BB410"/>
  <c r="AZ410"/>
  <c r="AX410"/>
  <c r="AV410"/>
  <c r="AT410"/>
  <c r="AR410"/>
  <c r="AP410"/>
  <c r="AN410"/>
  <c r="AL410"/>
  <c r="AJ410"/>
  <c r="AH410"/>
  <c r="AF410"/>
  <c r="AA410"/>
  <c r="M410"/>
  <c r="AD410" s="1"/>
  <c r="BB409"/>
  <c r="AZ409"/>
  <c r="AX409"/>
  <c r="AV409"/>
  <c r="AT409"/>
  <c r="AR409"/>
  <c r="AP409"/>
  <c r="AN409"/>
  <c r="AL409"/>
  <c r="AJ409"/>
  <c r="AH409"/>
  <c r="AF409"/>
  <c r="AA409"/>
  <c r="M409"/>
  <c r="AD409" s="1"/>
  <c r="BB408"/>
  <c r="AZ408"/>
  <c r="AX408"/>
  <c r="AV408"/>
  <c r="AT408"/>
  <c r="AR408"/>
  <c r="AP408"/>
  <c r="AN408"/>
  <c r="AL408"/>
  <c r="AJ408"/>
  <c r="AH408"/>
  <c r="AF408"/>
  <c r="AA408"/>
  <c r="M408"/>
  <c r="AD408" s="1"/>
  <c r="BB407"/>
  <c r="AZ407"/>
  <c r="AX407"/>
  <c r="AV407"/>
  <c r="AT407"/>
  <c r="AR407"/>
  <c r="AP407"/>
  <c r="AN407"/>
  <c r="AL407"/>
  <c r="AJ407"/>
  <c r="AH407"/>
  <c r="AF407"/>
  <c r="AA407"/>
  <c r="M407"/>
  <c r="AD407" s="1"/>
  <c r="BB406"/>
  <c r="AZ406"/>
  <c r="AX406"/>
  <c r="AV406"/>
  <c r="AT406"/>
  <c r="AR406"/>
  <c r="AP406"/>
  <c r="AN406"/>
  <c r="AL406"/>
  <c r="AJ406"/>
  <c r="AH406"/>
  <c r="AF406"/>
  <c r="AA406"/>
  <c r="M406"/>
  <c r="AD406" s="1"/>
  <c r="BB405"/>
  <c r="AZ405"/>
  <c r="AX405"/>
  <c r="AV405"/>
  <c r="AT405"/>
  <c r="AR405"/>
  <c r="AP405"/>
  <c r="AN405"/>
  <c r="AL405"/>
  <c r="AJ405"/>
  <c r="AH405"/>
  <c r="AF405"/>
  <c r="AA405"/>
  <c r="M405"/>
  <c r="AD405" s="1"/>
  <c r="BB404"/>
  <c r="AZ404"/>
  <c r="AX404"/>
  <c r="AV404"/>
  <c r="AT404"/>
  <c r="AR404"/>
  <c r="AP404"/>
  <c r="AN404"/>
  <c r="AL404"/>
  <c r="AJ404"/>
  <c r="AH404"/>
  <c r="AF404"/>
  <c r="AA404"/>
  <c r="M404"/>
  <c r="AD404" s="1"/>
  <c r="BB403"/>
  <c r="AZ403"/>
  <c r="AX403"/>
  <c r="AV403"/>
  <c r="AT403"/>
  <c r="AR403"/>
  <c r="AP403"/>
  <c r="AN403"/>
  <c r="AL403"/>
  <c r="AJ403"/>
  <c r="AH403"/>
  <c r="AF403"/>
  <c r="AA403"/>
  <c r="M403"/>
  <c r="AD403" s="1"/>
  <c r="BB402"/>
  <c r="AZ402"/>
  <c r="AX402"/>
  <c r="AV402"/>
  <c r="AT402"/>
  <c r="AR402"/>
  <c r="AP402"/>
  <c r="AN402"/>
  <c r="AL402"/>
  <c r="AJ402"/>
  <c r="AH402"/>
  <c r="AF402"/>
  <c r="AA402"/>
  <c r="M402"/>
  <c r="AD402" s="1"/>
  <c r="BB401"/>
  <c r="AZ401"/>
  <c r="AX401"/>
  <c r="AV401"/>
  <c r="AT401"/>
  <c r="AR401"/>
  <c r="AP401"/>
  <c r="AN401"/>
  <c r="AL401"/>
  <c r="AJ401"/>
  <c r="AH401"/>
  <c r="AF401"/>
  <c r="AA401"/>
  <c r="M401"/>
  <c r="AD401" s="1"/>
  <c r="BB400"/>
  <c r="AZ400"/>
  <c r="AX400"/>
  <c r="AV400"/>
  <c r="AT400"/>
  <c r="AR400"/>
  <c r="AP400"/>
  <c r="AN400"/>
  <c r="AM400"/>
  <c r="AL400"/>
  <c r="AJ400"/>
  <c r="AH400"/>
  <c r="AF400"/>
  <c r="AD400"/>
  <c r="AA400"/>
  <c r="M400"/>
  <c r="AC400" s="1"/>
  <c r="BB399"/>
  <c r="AZ399"/>
  <c r="AX399"/>
  <c r="AV399"/>
  <c r="AT399"/>
  <c r="AR399"/>
  <c r="AP399"/>
  <c r="AN399"/>
  <c r="AL399"/>
  <c r="AJ399"/>
  <c r="AH399"/>
  <c r="AF399"/>
  <c r="AD399"/>
  <c r="AA399"/>
  <c r="M399"/>
  <c r="AC399" s="1"/>
  <c r="BB398"/>
  <c r="AZ398"/>
  <c r="AX398"/>
  <c r="AV398"/>
  <c r="AT398"/>
  <c r="AR398"/>
  <c r="AP398"/>
  <c r="AN398"/>
  <c r="AL398"/>
  <c r="AJ398"/>
  <c r="AH398"/>
  <c r="AF398"/>
  <c r="AD398"/>
  <c r="AA398"/>
  <c r="M398"/>
  <c r="AC398" s="1"/>
  <c r="BB397"/>
  <c r="AZ397"/>
  <c r="AX397"/>
  <c r="AV397"/>
  <c r="AT397"/>
  <c r="AR397"/>
  <c r="AP397"/>
  <c r="AN397"/>
  <c r="AL397"/>
  <c r="AJ397"/>
  <c r="AH397"/>
  <c r="AF397"/>
  <c r="AD397"/>
  <c r="AA397"/>
  <c r="M397"/>
  <c r="AC397" s="1"/>
  <c r="BB396"/>
  <c r="AZ396"/>
  <c r="AX396"/>
  <c r="AV396"/>
  <c r="AT396"/>
  <c r="AR396"/>
  <c r="AP396"/>
  <c r="AN396"/>
  <c r="AL396"/>
  <c r="AJ396"/>
  <c r="AH396"/>
  <c r="AF396"/>
  <c r="AD396"/>
  <c r="AA396"/>
  <c r="M396"/>
  <c r="AC396" s="1"/>
  <c r="BB395"/>
  <c r="AZ395"/>
  <c r="AX395"/>
  <c r="AV395"/>
  <c r="AT395"/>
  <c r="AR395"/>
  <c r="AP395"/>
  <c r="AN395"/>
  <c r="AL395"/>
  <c r="AJ395"/>
  <c r="AH395"/>
  <c r="AF395"/>
  <c r="AD395"/>
  <c r="AA395"/>
  <c r="M395"/>
  <c r="AC395" s="1"/>
  <c r="BB394"/>
  <c r="AZ394"/>
  <c r="AX394"/>
  <c r="AV394"/>
  <c r="AT394"/>
  <c r="AR394"/>
  <c r="AP394"/>
  <c r="AN394"/>
  <c r="AL394"/>
  <c r="AJ394"/>
  <c r="AH394"/>
  <c r="AF394"/>
  <c r="AD394"/>
  <c r="AA394"/>
  <c r="M394"/>
  <c r="AC394" s="1"/>
  <c r="BB393"/>
  <c r="AZ393"/>
  <c r="AX393"/>
  <c r="AV393"/>
  <c r="AT393"/>
  <c r="AR393"/>
  <c r="AP393"/>
  <c r="AN393"/>
  <c r="AL393"/>
  <c r="AJ393"/>
  <c r="AH393"/>
  <c r="AF393"/>
  <c r="AD393"/>
  <c r="AA393"/>
  <c r="M393"/>
  <c r="AC393" s="1"/>
  <c r="BB392"/>
  <c r="AZ392"/>
  <c r="AX392"/>
  <c r="AV392"/>
  <c r="AT392"/>
  <c r="AR392"/>
  <c r="AP392"/>
  <c r="AN392"/>
  <c r="AL392"/>
  <c r="AJ392"/>
  <c r="AH392"/>
  <c r="AF392"/>
  <c r="AD392"/>
  <c r="AA392"/>
  <c r="M392"/>
  <c r="AC392" s="1"/>
  <c r="BB391"/>
  <c r="AZ391"/>
  <c r="AX391"/>
  <c r="AV391"/>
  <c r="AT391"/>
  <c r="AR391"/>
  <c r="AP391"/>
  <c r="AN391"/>
  <c r="AL391"/>
  <c r="AJ391"/>
  <c r="AH391"/>
  <c r="AF391"/>
  <c r="AD391"/>
  <c r="AA391"/>
  <c r="M391"/>
  <c r="AC391" s="1"/>
  <c r="BB390"/>
  <c r="AZ390"/>
  <c r="AX390"/>
  <c r="AV390"/>
  <c r="AT390"/>
  <c r="AR390"/>
  <c r="AP390"/>
  <c r="AM390"/>
  <c r="AN390" s="1"/>
  <c r="AL390"/>
  <c r="AJ390"/>
  <c r="AH390"/>
  <c r="AF390"/>
  <c r="AA390"/>
  <c r="M390"/>
  <c r="AD390" s="1"/>
  <c r="BB389"/>
  <c r="AZ389"/>
  <c r="AX389"/>
  <c r="AV389"/>
  <c r="AT389"/>
  <c r="AR389"/>
  <c r="AP389"/>
  <c r="AN389"/>
  <c r="AL389"/>
  <c r="AJ389"/>
  <c r="AH389"/>
  <c r="AF389"/>
  <c r="AA389"/>
  <c r="M389"/>
  <c r="AD389" s="1"/>
  <c r="BB388"/>
  <c r="AZ388"/>
  <c r="AX388"/>
  <c r="AV388"/>
  <c r="AT388"/>
  <c r="AR388"/>
  <c r="AP388"/>
  <c r="AN388"/>
  <c r="AL388"/>
  <c r="AJ388"/>
  <c r="AH388"/>
  <c r="AF388"/>
  <c r="AA388"/>
  <c r="M388"/>
  <c r="AD388" s="1"/>
  <c r="BB387"/>
  <c r="AZ387"/>
  <c r="AX387"/>
  <c r="AV387"/>
  <c r="AT387"/>
  <c r="AR387"/>
  <c r="AP387"/>
  <c r="AN387"/>
  <c r="AL387"/>
  <c r="AJ387"/>
  <c r="AH387"/>
  <c r="AF387"/>
  <c r="AA387"/>
  <c r="M387"/>
  <c r="BB386"/>
  <c r="AZ386"/>
  <c r="AX386"/>
  <c r="AV386"/>
  <c r="AT386"/>
  <c r="AR386"/>
  <c r="AP386"/>
  <c r="AN386"/>
  <c r="AL386"/>
  <c r="AJ386"/>
  <c r="AH386"/>
  <c r="AF386"/>
  <c r="AA386"/>
  <c r="M386"/>
  <c r="AD386" s="1"/>
  <c r="BB385"/>
  <c r="AZ385"/>
  <c r="AX385"/>
  <c r="AV385"/>
  <c r="AT385"/>
  <c r="AR385"/>
  <c r="AP385"/>
  <c r="AN385"/>
  <c r="AL385"/>
  <c r="AJ385"/>
  <c r="AH385"/>
  <c r="AF385"/>
  <c r="AA385"/>
  <c r="M385"/>
  <c r="AD385" s="1"/>
  <c r="BB384"/>
  <c r="AZ384"/>
  <c r="AX384"/>
  <c r="AV384"/>
  <c r="AT384"/>
  <c r="AR384"/>
  <c r="AP384"/>
  <c r="AN384"/>
  <c r="AL384"/>
  <c r="AJ384"/>
  <c r="AH384"/>
  <c r="AF384"/>
  <c r="AA384"/>
  <c r="M384"/>
  <c r="AD384" s="1"/>
  <c r="BB383"/>
  <c r="AZ383"/>
  <c r="AX383"/>
  <c r="AV383"/>
  <c r="AT383"/>
  <c r="AR383"/>
  <c r="AP383"/>
  <c r="AN383"/>
  <c r="AL383"/>
  <c r="AJ383"/>
  <c r="AH383"/>
  <c r="AF383"/>
  <c r="AA383"/>
  <c r="M383"/>
  <c r="AD383" s="1"/>
  <c r="BB382"/>
  <c r="AZ382"/>
  <c r="AX382"/>
  <c r="AV382"/>
  <c r="AT382"/>
  <c r="AR382"/>
  <c r="AP382"/>
  <c r="AN382"/>
  <c r="AL382"/>
  <c r="AJ382"/>
  <c r="AH382"/>
  <c r="AF382"/>
  <c r="AA382"/>
  <c r="M382"/>
  <c r="AD382" s="1"/>
  <c r="BB381"/>
  <c r="AZ381"/>
  <c r="AX381"/>
  <c r="AV381"/>
  <c r="AT381"/>
  <c r="AR381"/>
  <c r="AP381"/>
  <c r="AN381"/>
  <c r="AL381"/>
  <c r="AJ381"/>
  <c r="AH381"/>
  <c r="AF381"/>
  <c r="AA381"/>
  <c r="M381"/>
  <c r="AD381" s="1"/>
  <c r="BB380"/>
  <c r="AZ380"/>
  <c r="AX380"/>
  <c r="AV380"/>
  <c r="AT380"/>
  <c r="AR380"/>
  <c r="AP380"/>
  <c r="AN380"/>
  <c r="AL380"/>
  <c r="AJ380"/>
  <c r="AH380"/>
  <c r="AF380"/>
  <c r="AA380"/>
  <c r="M380"/>
  <c r="AD380" s="1"/>
  <c r="BB379"/>
  <c r="AZ379"/>
  <c r="AX379"/>
  <c r="AV379"/>
  <c r="AT379"/>
  <c r="AR379"/>
  <c r="AP379"/>
  <c r="AN379"/>
  <c r="AL379"/>
  <c r="AJ379"/>
  <c r="AH379"/>
  <c r="AF379"/>
  <c r="AA379"/>
  <c r="M379"/>
  <c r="AD379" s="1"/>
  <c r="BB378"/>
  <c r="AZ378"/>
  <c r="AX378"/>
  <c r="AV378"/>
  <c r="AT378"/>
  <c r="AR378"/>
  <c r="AP378"/>
  <c r="AN378"/>
  <c r="AL378"/>
  <c r="AJ378"/>
  <c r="AH378"/>
  <c r="AF378"/>
  <c r="AA378"/>
  <c r="M378"/>
  <c r="AD378" s="1"/>
  <c r="BB377"/>
  <c r="AZ377"/>
  <c r="AX377"/>
  <c r="AV377"/>
  <c r="AT377"/>
  <c r="AR377"/>
  <c r="AP377"/>
  <c r="AN377"/>
  <c r="AL377"/>
  <c r="AJ377"/>
  <c r="AH377"/>
  <c r="AF377"/>
  <c r="AA377"/>
  <c r="M377"/>
  <c r="AD377" s="1"/>
  <c r="BB376"/>
  <c r="AZ376"/>
  <c r="AX376"/>
  <c r="AV376"/>
  <c r="AT376"/>
  <c r="AR376"/>
  <c r="AP376"/>
  <c r="AN376"/>
  <c r="AL376"/>
  <c r="AJ376"/>
  <c r="AH376"/>
  <c r="AF376"/>
  <c r="AA376"/>
  <c r="M376"/>
  <c r="AD376" s="1"/>
  <c r="BB375"/>
  <c r="AZ375"/>
  <c r="AX375"/>
  <c r="AV375"/>
  <c r="AT375"/>
  <c r="AR375"/>
  <c r="AP375"/>
  <c r="AN375"/>
  <c r="AL375"/>
  <c r="AJ375"/>
  <c r="AH375"/>
  <c r="AF375"/>
  <c r="AA375"/>
  <c r="M375"/>
  <c r="AD375" s="1"/>
  <c r="BB374"/>
  <c r="AZ374"/>
  <c r="AX374"/>
  <c r="AV374"/>
  <c r="AT374"/>
  <c r="AR374"/>
  <c r="AP374"/>
  <c r="AN374"/>
  <c r="AL374"/>
  <c r="AJ374"/>
  <c r="AH374"/>
  <c r="AF374"/>
  <c r="AA374"/>
  <c r="M374"/>
  <c r="AD374" s="1"/>
  <c r="BB373"/>
  <c r="AZ373"/>
  <c r="AX373"/>
  <c r="AV373"/>
  <c r="AT373"/>
  <c r="AR373"/>
  <c r="AP373"/>
  <c r="AN373"/>
  <c r="AL373"/>
  <c r="AJ373"/>
  <c r="AH373"/>
  <c r="AF373"/>
  <c r="AA373"/>
  <c r="M373"/>
  <c r="AD373" s="1"/>
  <c r="BB372"/>
  <c r="AZ372"/>
  <c r="AX372"/>
  <c r="AV372"/>
  <c r="AT372"/>
  <c r="AR372"/>
  <c r="AP372"/>
  <c r="AN372"/>
  <c r="AL372"/>
  <c r="AJ372"/>
  <c r="AH372"/>
  <c r="AF372"/>
  <c r="AA372"/>
  <c r="M372"/>
  <c r="AD372" s="1"/>
  <c r="BB371"/>
  <c r="AZ371"/>
  <c r="AX371"/>
  <c r="AV371"/>
  <c r="AT371"/>
  <c r="AR371"/>
  <c r="AP371"/>
  <c r="AN371"/>
  <c r="AL371"/>
  <c r="AJ371"/>
  <c r="AH371"/>
  <c r="AF371"/>
  <c r="AA371"/>
  <c r="M371"/>
  <c r="AD371" s="1"/>
  <c r="BB370"/>
  <c r="AZ370"/>
  <c r="AX370"/>
  <c r="AV370"/>
  <c r="AT370"/>
  <c r="AR370"/>
  <c r="AP370"/>
  <c r="AN370"/>
  <c r="AL370"/>
  <c r="AJ370"/>
  <c r="AH370"/>
  <c r="AF370"/>
  <c r="AA370"/>
  <c r="M370"/>
  <c r="AD370" s="1"/>
  <c r="BB369"/>
  <c r="AZ369"/>
  <c r="AX369"/>
  <c r="AV369"/>
  <c r="AT369"/>
  <c r="AR369"/>
  <c r="AP369"/>
  <c r="AN369"/>
  <c r="AL369"/>
  <c r="AJ369"/>
  <c r="AH369"/>
  <c r="AF369"/>
  <c r="AA369"/>
  <c r="M369"/>
  <c r="AD369" s="1"/>
  <c r="BB368"/>
  <c r="AZ368"/>
  <c r="AX368"/>
  <c r="AV368"/>
  <c r="AT368"/>
  <c r="AR368"/>
  <c r="AP368"/>
  <c r="AN368"/>
  <c r="AL368"/>
  <c r="AJ368"/>
  <c r="AH368"/>
  <c r="AF368"/>
  <c r="AA368"/>
  <c r="M368"/>
  <c r="AD368" s="1"/>
  <c r="BB367"/>
  <c r="AZ367"/>
  <c r="AX367"/>
  <c r="AV367"/>
  <c r="AT367"/>
  <c r="AR367"/>
  <c r="AP367"/>
  <c r="AN367"/>
  <c r="AL367"/>
  <c r="AJ367"/>
  <c r="AH367"/>
  <c r="AF367"/>
  <c r="AA367"/>
  <c r="M367"/>
  <c r="AD367" s="1"/>
  <c r="BB366"/>
  <c r="AZ366"/>
  <c r="AX366"/>
  <c r="AV366"/>
  <c r="AT366"/>
  <c r="AR366"/>
  <c r="AP366"/>
  <c r="AN366"/>
  <c r="AL366"/>
  <c r="AJ366"/>
  <c r="AH366"/>
  <c r="AF366"/>
  <c r="AA366"/>
  <c r="M366"/>
  <c r="AD366" s="1"/>
  <c r="BB365"/>
  <c r="AZ365"/>
  <c r="AX365"/>
  <c r="AV365"/>
  <c r="AT365"/>
  <c r="AR365"/>
  <c r="AP365"/>
  <c r="AN365"/>
  <c r="AL365"/>
  <c r="AJ365"/>
  <c r="AH365"/>
  <c r="AF365"/>
  <c r="AA365"/>
  <c r="M365"/>
  <c r="AD365" s="1"/>
  <c r="BB364"/>
  <c r="AZ364"/>
  <c r="AX364"/>
  <c r="AV364"/>
  <c r="AT364"/>
  <c r="AR364"/>
  <c r="AP364"/>
  <c r="AN364"/>
  <c r="AL364"/>
  <c r="AJ364"/>
  <c r="AH364"/>
  <c r="AF364"/>
  <c r="AA364"/>
  <c r="M364"/>
  <c r="AD364" s="1"/>
  <c r="BB363"/>
  <c r="AZ363"/>
  <c r="AX363"/>
  <c r="AV363"/>
  <c r="AT363"/>
  <c r="AR363"/>
  <c r="AP363"/>
  <c r="AN363"/>
  <c r="AL363"/>
  <c r="AJ363"/>
  <c r="AH363"/>
  <c r="AF363"/>
  <c r="AA363"/>
  <c r="M363"/>
  <c r="AD363" s="1"/>
  <c r="BB362"/>
  <c r="AZ362"/>
  <c r="AX362"/>
  <c r="AV362"/>
  <c r="AT362"/>
  <c r="AR362"/>
  <c r="AP362"/>
  <c r="AN362"/>
  <c r="AL362"/>
  <c r="AJ362"/>
  <c r="AH362"/>
  <c r="AF362"/>
  <c r="AA362"/>
  <c r="M362"/>
  <c r="AD362" s="1"/>
  <c r="BB361"/>
  <c r="AZ361"/>
  <c r="AX361"/>
  <c r="AV361"/>
  <c r="AT361"/>
  <c r="AR361"/>
  <c r="AP361"/>
  <c r="AN361"/>
  <c r="AL361"/>
  <c r="AJ361"/>
  <c r="AH361"/>
  <c r="AF361"/>
  <c r="AA361"/>
  <c r="M361"/>
  <c r="AC361" s="1"/>
  <c r="BB360"/>
  <c r="AZ360"/>
  <c r="AX360"/>
  <c r="AV360"/>
  <c r="AT360"/>
  <c r="AR360"/>
  <c r="AP360"/>
  <c r="AN360"/>
  <c r="AL360"/>
  <c r="AJ360"/>
  <c r="AH360"/>
  <c r="AF360"/>
  <c r="AA360"/>
  <c r="M360"/>
  <c r="AC360" s="1"/>
  <c r="BB359"/>
  <c r="AZ359"/>
  <c r="AX359"/>
  <c r="AV359"/>
  <c r="AT359"/>
  <c r="AR359"/>
  <c r="AP359"/>
  <c r="AN359"/>
  <c r="AL359"/>
  <c r="AJ359"/>
  <c r="AH359"/>
  <c r="AF359"/>
  <c r="AA359"/>
  <c r="M359"/>
  <c r="AC359" s="1"/>
  <c r="BB358"/>
  <c r="AZ358"/>
  <c r="AX358"/>
  <c r="AV358"/>
  <c r="AT358"/>
  <c r="AR358"/>
  <c r="AP358"/>
  <c r="AN358"/>
  <c r="AL358"/>
  <c r="AJ358"/>
  <c r="AH358"/>
  <c r="AF358"/>
  <c r="AA358"/>
  <c r="M358"/>
  <c r="AC358" s="1"/>
  <c r="BB357"/>
  <c r="AZ357"/>
  <c r="AX357"/>
  <c r="AV357"/>
  <c r="AT357"/>
  <c r="AR357"/>
  <c r="AP357"/>
  <c r="AN357"/>
  <c r="AL357"/>
  <c r="AJ357"/>
  <c r="AH357"/>
  <c r="AF357"/>
  <c r="AA357"/>
  <c r="M357"/>
  <c r="AC357" s="1"/>
  <c r="BB356"/>
  <c r="AZ356"/>
  <c r="AX356"/>
  <c r="AV356"/>
  <c r="AT356"/>
  <c r="AR356"/>
  <c r="AP356"/>
  <c r="AN356"/>
  <c r="AM356"/>
  <c r="AL356"/>
  <c r="AJ356"/>
  <c r="AH356"/>
  <c r="AF356"/>
  <c r="AD356"/>
  <c r="AA356"/>
  <c r="M356"/>
  <c r="AC356" s="1"/>
  <c r="BB355"/>
  <c r="AZ355"/>
  <c r="AX355"/>
  <c r="AV355"/>
  <c r="AT355"/>
  <c r="AR355"/>
  <c r="AP355"/>
  <c r="AN355"/>
  <c r="AL355"/>
  <c r="AJ355"/>
  <c r="AH355"/>
  <c r="AF355"/>
  <c r="AD355"/>
  <c r="AA355"/>
  <c r="M355"/>
  <c r="AC355" s="1"/>
  <c r="BB354"/>
  <c r="AZ354"/>
  <c r="AX354"/>
  <c r="AV354"/>
  <c r="AT354"/>
  <c r="AR354"/>
  <c r="AP354"/>
  <c r="AN354"/>
  <c r="AL354"/>
  <c r="AJ354"/>
  <c r="AH354"/>
  <c r="AF354"/>
  <c r="AD354"/>
  <c r="AA354"/>
  <c r="M354"/>
  <c r="AC354" s="1"/>
  <c r="BB353"/>
  <c r="AZ353"/>
  <c r="AX353"/>
  <c r="AV353"/>
  <c r="AT353"/>
  <c r="AR353"/>
  <c r="AP353"/>
  <c r="AN353"/>
  <c r="AL353"/>
  <c r="AJ353"/>
  <c r="AH353"/>
  <c r="AF353"/>
  <c r="AD353"/>
  <c r="AA353"/>
  <c r="M353"/>
  <c r="AC353" s="1"/>
  <c r="BB352"/>
  <c r="AZ352"/>
  <c r="AX352"/>
  <c r="AV352"/>
  <c r="AT352"/>
  <c r="AR352"/>
  <c r="AP352"/>
  <c r="AN352"/>
  <c r="AL352"/>
  <c r="AJ352"/>
  <c r="AH352"/>
  <c r="AF352"/>
  <c r="AD352"/>
  <c r="AA352"/>
  <c r="M352"/>
  <c r="AC352" s="1"/>
  <c r="BB351"/>
  <c r="AZ351"/>
  <c r="AX351"/>
  <c r="AV351"/>
  <c r="AT351"/>
  <c r="AR351"/>
  <c r="AP351"/>
  <c r="AN351"/>
  <c r="AL351"/>
  <c r="AJ351"/>
  <c r="AH351"/>
  <c r="AF351"/>
  <c r="AD351"/>
  <c r="AA351"/>
  <c r="M351"/>
  <c r="AC351" s="1"/>
  <c r="BB350"/>
  <c r="AZ350"/>
  <c r="AX350"/>
  <c r="AV350"/>
  <c r="AT350"/>
  <c r="AR350"/>
  <c r="AP350"/>
  <c r="AN350"/>
  <c r="AL350"/>
  <c r="AJ350"/>
  <c r="AH350"/>
  <c r="AF350"/>
  <c r="AD350"/>
  <c r="AA350"/>
  <c r="M350"/>
  <c r="AC350" s="1"/>
  <c r="BB349"/>
  <c r="AZ349"/>
  <c r="AX349"/>
  <c r="AV349"/>
  <c r="AT349"/>
  <c r="AR349"/>
  <c r="AP349"/>
  <c r="AN349"/>
  <c r="AL349"/>
  <c r="AJ349"/>
  <c r="AH349"/>
  <c r="AF349"/>
  <c r="AD349"/>
  <c r="AA349"/>
  <c r="M349"/>
  <c r="AC349" s="1"/>
  <c r="BB348"/>
  <c r="AZ348"/>
  <c r="AX348"/>
  <c r="AV348"/>
  <c r="AT348"/>
  <c r="AR348"/>
  <c r="AP348"/>
  <c r="AN348"/>
  <c r="AL348"/>
  <c r="AJ348"/>
  <c r="AH348"/>
  <c r="AF348"/>
  <c r="AD348"/>
  <c r="AA348"/>
  <c r="M348"/>
  <c r="AC348" s="1"/>
  <c r="BB347"/>
  <c r="AZ347"/>
  <c r="AX347"/>
  <c r="AV347"/>
  <c r="AT347"/>
  <c r="AR347"/>
  <c r="AP347"/>
  <c r="AN347"/>
  <c r="AL347"/>
  <c r="AJ347"/>
  <c r="AH347"/>
  <c r="AF347"/>
  <c r="AD347"/>
  <c r="AA347"/>
  <c r="M347"/>
  <c r="AC347" s="1"/>
  <c r="BB346"/>
  <c r="AZ346"/>
  <c r="AX346"/>
  <c r="AV346"/>
  <c r="AT346"/>
  <c r="AR346"/>
  <c r="AP346"/>
  <c r="AN346"/>
  <c r="AL346"/>
  <c r="AJ346"/>
  <c r="AH346"/>
  <c r="AF346"/>
  <c r="AD346"/>
  <c r="AA346"/>
  <c r="M346"/>
  <c r="AC346" s="1"/>
  <c r="BB345"/>
  <c r="AZ345"/>
  <c r="AX345"/>
  <c r="AV345"/>
  <c r="AT345"/>
  <c r="AR345"/>
  <c r="AP345"/>
  <c r="AN345"/>
  <c r="AL345"/>
  <c r="AJ345"/>
  <c r="AH345"/>
  <c r="AG345"/>
  <c r="AF345"/>
  <c r="AA345"/>
  <c r="M345"/>
  <c r="AC345" s="1"/>
  <c r="BB344"/>
  <c r="AZ344"/>
  <c r="AX344"/>
  <c r="AV344"/>
  <c r="AT344"/>
  <c r="AR344"/>
  <c r="AP344"/>
  <c r="AN344"/>
  <c r="AL344"/>
  <c r="AJ344"/>
  <c r="AH344"/>
  <c r="AF344"/>
  <c r="AA344"/>
  <c r="M344"/>
  <c r="AC344" s="1"/>
  <c r="BB343"/>
  <c r="AZ343"/>
  <c r="AX343"/>
  <c r="AV343"/>
  <c r="AT343"/>
  <c r="AR343"/>
  <c r="AP343"/>
  <c r="AN343"/>
  <c r="AL343"/>
  <c r="AJ343"/>
  <c r="AH343"/>
  <c r="AF343"/>
  <c r="AA343"/>
  <c r="M343"/>
  <c r="AC343" s="1"/>
  <c r="BB342"/>
  <c r="AZ342"/>
  <c r="AX342"/>
  <c r="AV342"/>
  <c r="AT342"/>
  <c r="AR342"/>
  <c r="AP342"/>
  <c r="AN342"/>
  <c r="AL342"/>
  <c r="AJ342"/>
  <c r="AH342"/>
  <c r="AF342"/>
  <c r="AA342"/>
  <c r="M342"/>
  <c r="AC342" s="1"/>
  <c r="BB341"/>
  <c r="AZ341"/>
  <c r="AX341"/>
  <c r="AV341"/>
  <c r="AT341"/>
  <c r="AR341"/>
  <c r="AP341"/>
  <c r="AN341"/>
  <c r="AL341"/>
  <c r="AJ341"/>
  <c r="AH341"/>
  <c r="AF341"/>
  <c r="AA341"/>
  <c r="M341"/>
  <c r="AC341" s="1"/>
  <c r="BB340"/>
  <c r="AZ340"/>
  <c r="AX340"/>
  <c r="AV340"/>
  <c r="AT340"/>
  <c r="AR340"/>
  <c r="AP340"/>
  <c r="AN340"/>
  <c r="AL340"/>
  <c r="AJ340"/>
  <c r="AH340"/>
  <c r="AF340"/>
  <c r="AA340"/>
  <c r="M340"/>
  <c r="AC340" s="1"/>
  <c r="BB339"/>
  <c r="AZ339"/>
  <c r="AX339"/>
  <c r="AV339"/>
  <c r="AT339"/>
  <c r="AR339"/>
  <c r="AP339"/>
  <c r="AN339"/>
  <c r="AL339"/>
  <c r="AJ339"/>
  <c r="AH339"/>
  <c r="AF339"/>
  <c r="AA339"/>
  <c r="M339"/>
  <c r="AC339" s="1"/>
  <c r="BB338"/>
  <c r="AZ338"/>
  <c r="AX338"/>
  <c r="AV338"/>
  <c r="AT338"/>
  <c r="AR338"/>
  <c r="AP338"/>
  <c r="AN338"/>
  <c r="AL338"/>
  <c r="AJ338"/>
  <c r="AH338"/>
  <c r="AF338"/>
  <c r="AA338"/>
  <c r="M338"/>
  <c r="AC338" s="1"/>
  <c r="BB337"/>
  <c r="AZ337"/>
  <c r="AX337"/>
  <c r="AV337"/>
  <c r="AT337"/>
  <c r="AR337"/>
  <c r="AP337"/>
  <c r="AN337"/>
  <c r="AL337"/>
  <c r="AJ337"/>
  <c r="AH337"/>
  <c r="AF337"/>
  <c r="AA337"/>
  <c r="M337"/>
  <c r="AC337" s="1"/>
  <c r="BB336"/>
  <c r="AZ336"/>
  <c r="AX336"/>
  <c r="AV336"/>
  <c r="AT336"/>
  <c r="AR336"/>
  <c r="AP336"/>
  <c r="AN336"/>
  <c r="AL336"/>
  <c r="AJ336"/>
  <c r="AH336"/>
  <c r="AF336"/>
  <c r="AA336"/>
  <c r="M336"/>
  <c r="AC336" s="1"/>
  <c r="BB335"/>
  <c r="AZ335"/>
  <c r="AX335"/>
  <c r="AV335"/>
  <c r="AT335"/>
  <c r="AR335"/>
  <c r="AP335"/>
  <c r="AN335"/>
  <c r="AL335"/>
  <c r="AJ335"/>
  <c r="AH335"/>
  <c r="AF335"/>
  <c r="AA335"/>
  <c r="M335"/>
  <c r="AC335" s="1"/>
  <c r="BB334"/>
  <c r="AZ334"/>
  <c r="AX334"/>
  <c r="AV334"/>
  <c r="AT334"/>
  <c r="AR334"/>
  <c r="AP334"/>
  <c r="AN334"/>
  <c r="AL334"/>
  <c r="AJ334"/>
  <c r="AH334"/>
  <c r="AF334"/>
  <c r="AA334"/>
  <c r="M334"/>
  <c r="AC334" s="1"/>
  <c r="BB333"/>
  <c r="AZ333"/>
  <c r="AX333"/>
  <c r="AV333"/>
  <c r="AT333"/>
  <c r="AR333"/>
  <c r="AP333"/>
  <c r="AN333"/>
  <c r="AL333"/>
  <c r="AJ333"/>
  <c r="AH333"/>
  <c r="AF333"/>
  <c r="AA333"/>
  <c r="M333"/>
  <c r="AC333" s="1"/>
  <c r="BB332"/>
  <c r="AZ332"/>
  <c r="AX332"/>
  <c r="AV332"/>
  <c r="AT332"/>
  <c r="AR332"/>
  <c r="AP332"/>
  <c r="AN332"/>
  <c r="AL332"/>
  <c r="AJ332"/>
  <c r="AH332"/>
  <c r="AF332"/>
  <c r="AA332"/>
  <c r="M332"/>
  <c r="AC332" s="1"/>
  <c r="BB331"/>
  <c r="AZ331"/>
  <c r="AX331"/>
  <c r="AV331"/>
  <c r="AT331"/>
  <c r="AR331"/>
  <c r="AP331"/>
  <c r="AN331"/>
  <c r="AL331"/>
  <c r="AJ331"/>
  <c r="AH331"/>
  <c r="AF331"/>
  <c r="AA331"/>
  <c r="M331"/>
  <c r="AC331" s="1"/>
  <c r="BB330"/>
  <c r="AZ330"/>
  <c r="AX330"/>
  <c r="AV330"/>
  <c r="AT330"/>
  <c r="AR330"/>
  <c r="AP330"/>
  <c r="AN330"/>
  <c r="AL330"/>
  <c r="AJ330"/>
  <c r="AH330"/>
  <c r="AF330"/>
  <c r="AA330"/>
  <c r="M330"/>
  <c r="AC330" s="1"/>
  <c r="BB329"/>
  <c r="AZ329"/>
  <c r="AX329"/>
  <c r="AV329"/>
  <c r="AT329"/>
  <c r="AR329"/>
  <c r="AP329"/>
  <c r="AN329"/>
  <c r="AL329"/>
  <c r="AJ329"/>
  <c r="AH329"/>
  <c r="AF329"/>
  <c r="AA329"/>
  <c r="M329"/>
  <c r="AC329" s="1"/>
  <c r="BB328"/>
  <c r="AZ328"/>
  <c r="AX328"/>
  <c r="AV328"/>
  <c r="AT328"/>
  <c r="AR328"/>
  <c r="AP328"/>
  <c r="AN328"/>
  <c r="AL328"/>
  <c r="AJ328"/>
  <c r="AH328"/>
  <c r="AF328"/>
  <c r="AA328"/>
  <c r="M328"/>
  <c r="AC328" s="1"/>
  <c r="BB327"/>
  <c r="AZ327"/>
  <c r="AX327"/>
  <c r="AV327"/>
  <c r="AT327"/>
  <c r="AR327"/>
  <c r="AP327"/>
  <c r="AN327"/>
  <c r="AL327"/>
  <c r="AJ327"/>
  <c r="AH327"/>
  <c r="AF327"/>
  <c r="AA327"/>
  <c r="M327"/>
  <c r="AC327" s="1"/>
  <c r="BB326"/>
  <c r="AZ326"/>
  <c r="AX326"/>
  <c r="AV326"/>
  <c r="AT326"/>
  <c r="AR326"/>
  <c r="AP326"/>
  <c r="AN326"/>
  <c r="AL326"/>
  <c r="AJ326"/>
  <c r="AH326"/>
  <c r="AF326"/>
  <c r="AA326"/>
  <c r="M326"/>
  <c r="AC326" s="1"/>
  <c r="BB325"/>
  <c r="AZ325"/>
  <c r="AX325"/>
  <c r="AV325"/>
  <c r="AT325"/>
  <c r="AR325"/>
  <c r="AP325"/>
  <c r="AN325"/>
  <c r="AL325"/>
  <c r="AJ325"/>
  <c r="AH325"/>
  <c r="AF325"/>
  <c r="AA325"/>
  <c r="M325"/>
  <c r="AC325" s="1"/>
  <c r="BB324"/>
  <c r="AZ324"/>
  <c r="AX324"/>
  <c r="AV324"/>
  <c r="AT324"/>
  <c r="AR324"/>
  <c r="AP324"/>
  <c r="AN324"/>
  <c r="AL324"/>
  <c r="AJ324"/>
  <c r="AH324"/>
  <c r="AF324"/>
  <c r="AA324"/>
  <c r="M324"/>
  <c r="AC324" s="1"/>
  <c r="BB323"/>
  <c r="AZ323"/>
  <c r="AX323"/>
  <c r="AV323"/>
  <c r="AT323"/>
  <c r="AR323"/>
  <c r="AP323"/>
  <c r="AN323"/>
  <c r="AL323"/>
  <c r="AJ323"/>
  <c r="AH323"/>
  <c r="AF323"/>
  <c r="AA323"/>
  <c r="M323"/>
  <c r="AC323" s="1"/>
  <c r="BB322"/>
  <c r="AZ322"/>
  <c r="AX322"/>
  <c r="AV322"/>
  <c r="AT322"/>
  <c r="AR322"/>
  <c r="AP322"/>
  <c r="AN322"/>
  <c r="AL322"/>
  <c r="AJ322"/>
  <c r="AH322"/>
  <c r="AF322"/>
  <c r="AA322"/>
  <c r="M322"/>
  <c r="AC322" s="1"/>
  <c r="BB321"/>
  <c r="AZ321"/>
  <c r="AX321"/>
  <c r="AV321"/>
  <c r="AT321"/>
  <c r="AR321"/>
  <c r="AP321"/>
  <c r="AN321"/>
  <c r="AL321"/>
  <c r="AJ321"/>
  <c r="AH321"/>
  <c r="AF321"/>
  <c r="AA321"/>
  <c r="M321"/>
  <c r="AC321" s="1"/>
  <c r="BB320"/>
  <c r="AZ320"/>
  <c r="AX320"/>
  <c r="AV320"/>
  <c r="AT320"/>
  <c r="AR320"/>
  <c r="AP320"/>
  <c r="AN320"/>
  <c r="AL320"/>
  <c r="AJ320"/>
  <c r="AH320"/>
  <c r="AF320"/>
  <c r="AA320"/>
  <c r="M320"/>
  <c r="AC320" s="1"/>
  <c r="BB319"/>
  <c r="AZ319"/>
  <c r="AX319"/>
  <c r="AV319"/>
  <c r="AT319"/>
  <c r="AR319"/>
  <c r="AP319"/>
  <c r="AN319"/>
  <c r="AL319"/>
  <c r="AJ319"/>
  <c r="AH319"/>
  <c r="AF319"/>
  <c r="AA319"/>
  <c r="M319"/>
  <c r="AC319" s="1"/>
  <c r="BB318"/>
  <c r="AZ318"/>
  <c r="AX318"/>
  <c r="AV318"/>
  <c r="AT318"/>
  <c r="AR318"/>
  <c r="AP318"/>
  <c r="AN318"/>
  <c r="AL318"/>
  <c r="AJ318"/>
  <c r="AH318"/>
  <c r="AF318"/>
  <c r="AA318"/>
  <c r="M318"/>
  <c r="AC318" s="1"/>
  <c r="BB317"/>
  <c r="AZ317"/>
  <c r="AX317"/>
  <c r="AV317"/>
  <c r="AT317"/>
  <c r="AR317"/>
  <c r="AP317"/>
  <c r="AN317"/>
  <c r="AL317"/>
  <c r="AJ317"/>
  <c r="AH317"/>
  <c r="AF317"/>
  <c r="AA317"/>
  <c r="M317"/>
  <c r="AC317" s="1"/>
  <c r="BB316"/>
  <c r="AZ316"/>
  <c r="AX316"/>
  <c r="AV316"/>
  <c r="AT316"/>
  <c r="AR316"/>
  <c r="AP316"/>
  <c r="AN316"/>
  <c r="AL316"/>
  <c r="AJ316"/>
  <c r="AH316"/>
  <c r="AF316"/>
  <c r="AA316"/>
  <c r="M316"/>
  <c r="AC316" s="1"/>
  <c r="BB315"/>
  <c r="AZ315"/>
  <c r="AX315"/>
  <c r="AV315"/>
  <c r="AT315"/>
  <c r="AR315"/>
  <c r="AP315"/>
  <c r="AN315"/>
  <c r="AL315"/>
  <c r="AJ315"/>
  <c r="AH315"/>
  <c r="AF315"/>
  <c r="AA315"/>
  <c r="M315"/>
  <c r="AC315" s="1"/>
  <c r="BB314"/>
  <c r="AZ314"/>
  <c r="AX314"/>
  <c r="AV314"/>
  <c r="AT314"/>
  <c r="AR314"/>
  <c r="AP314"/>
  <c r="AN314"/>
  <c r="AL314"/>
  <c r="AJ314"/>
  <c r="AH314"/>
  <c r="AF314"/>
  <c r="AA314"/>
  <c r="M314"/>
  <c r="AC314" s="1"/>
  <c r="BB313"/>
  <c r="AZ313"/>
  <c r="AX313"/>
  <c r="AV313"/>
  <c r="AT313"/>
  <c r="AR313"/>
  <c r="AP313"/>
  <c r="AN313"/>
  <c r="AL313"/>
  <c r="AJ313"/>
  <c r="AH313"/>
  <c r="AF313"/>
  <c r="AA313"/>
  <c r="M313"/>
  <c r="AC313" s="1"/>
  <c r="BB312"/>
  <c r="AZ312"/>
  <c r="AX312"/>
  <c r="AV312"/>
  <c r="AT312"/>
  <c r="AR312"/>
  <c r="AP312"/>
  <c r="AN312"/>
  <c r="AL312"/>
  <c r="AJ312"/>
  <c r="AH312"/>
  <c r="AF312"/>
  <c r="AA312"/>
  <c r="M312"/>
  <c r="AC312" s="1"/>
  <c r="BB311"/>
  <c r="AZ311"/>
  <c r="AX311"/>
  <c r="AV311"/>
  <c r="AT311"/>
  <c r="AR311"/>
  <c r="AP311"/>
  <c r="AN311"/>
  <c r="AL311"/>
  <c r="AJ311"/>
  <c r="AH311"/>
  <c r="AF311"/>
  <c r="AA311"/>
  <c r="M311"/>
  <c r="AC311" s="1"/>
  <c r="BB310"/>
  <c r="AZ310"/>
  <c r="AX310"/>
  <c r="AV310"/>
  <c r="AT310"/>
  <c r="AR310"/>
  <c r="AP310"/>
  <c r="AN310"/>
  <c r="AL310"/>
  <c r="AJ310"/>
  <c r="AH310"/>
  <c r="AF310"/>
  <c r="AA310"/>
  <c r="M310"/>
  <c r="AC310" s="1"/>
  <c r="BB309"/>
  <c r="AZ309"/>
  <c r="AX309"/>
  <c r="AV309"/>
  <c r="AT309"/>
  <c r="AR309"/>
  <c r="AP309"/>
  <c r="AN309"/>
  <c r="AL309"/>
  <c r="AJ309"/>
  <c r="AH309"/>
  <c r="AF309"/>
  <c r="AA309"/>
  <c r="M309"/>
  <c r="AC309" s="1"/>
  <c r="BB308"/>
  <c r="AZ308"/>
  <c r="AX308"/>
  <c r="AV308"/>
  <c r="AT308"/>
  <c r="AR308"/>
  <c r="AP308"/>
  <c r="AN308"/>
  <c r="AL308"/>
  <c r="AJ308"/>
  <c r="AH308"/>
  <c r="AF308"/>
  <c r="AA308"/>
  <c r="M308"/>
  <c r="AC308" s="1"/>
  <c r="BB307"/>
  <c r="AZ307"/>
  <c r="AX307"/>
  <c r="AV307"/>
  <c r="AT307"/>
  <c r="AR307"/>
  <c r="AP307"/>
  <c r="AN307"/>
  <c r="AL307"/>
  <c r="AJ307"/>
  <c r="AH307"/>
  <c r="AF307"/>
  <c r="AA307"/>
  <c r="M307"/>
  <c r="AC307" s="1"/>
  <c r="BB306"/>
  <c r="AZ306"/>
  <c r="AX306"/>
  <c r="AV306"/>
  <c r="AT306"/>
  <c r="AR306"/>
  <c r="AP306"/>
  <c r="AN306"/>
  <c r="AL306"/>
  <c r="AJ306"/>
  <c r="AH306"/>
  <c r="AF306"/>
  <c r="AA306"/>
  <c r="M306"/>
  <c r="AC306" s="1"/>
  <c r="BB305"/>
  <c r="AZ305"/>
  <c r="AX305"/>
  <c r="AV305"/>
  <c r="AT305"/>
  <c r="AR305"/>
  <c r="AP305"/>
  <c r="AN305"/>
  <c r="AL305"/>
  <c r="AJ305"/>
  <c r="AH305"/>
  <c r="AF305"/>
  <c r="AA305"/>
  <c r="M305"/>
  <c r="AC305" s="1"/>
  <c r="BB304"/>
  <c r="AZ304"/>
  <c r="AX304"/>
  <c r="AV304"/>
  <c r="AT304"/>
  <c r="AR304"/>
  <c r="AP304"/>
  <c r="AN304"/>
  <c r="AL304"/>
  <c r="AJ304"/>
  <c r="AH304"/>
  <c r="AF304"/>
  <c r="AA304"/>
  <c r="M304"/>
  <c r="AC304" s="1"/>
  <c r="BB303"/>
  <c r="AZ303"/>
  <c r="AX303"/>
  <c r="AV303"/>
  <c r="AT303"/>
  <c r="AR303"/>
  <c r="AP303"/>
  <c r="AN303"/>
  <c r="AL303"/>
  <c r="AJ303"/>
  <c r="AH303"/>
  <c r="AF303"/>
  <c r="AA303"/>
  <c r="M303"/>
  <c r="AC303" s="1"/>
  <c r="BB302"/>
  <c r="AZ302"/>
  <c r="AX302"/>
  <c r="AV302"/>
  <c r="AT302"/>
  <c r="AR302"/>
  <c r="AP302"/>
  <c r="AN302"/>
  <c r="AL302"/>
  <c r="AJ302"/>
  <c r="AH302"/>
  <c r="AF302"/>
  <c r="AA302"/>
  <c r="M302"/>
  <c r="AC302" s="1"/>
  <c r="BB301"/>
  <c r="AZ301"/>
  <c r="AX301"/>
  <c r="AV301"/>
  <c r="AT301"/>
  <c r="AR301"/>
  <c r="AP301"/>
  <c r="AN301"/>
  <c r="AL301"/>
  <c r="AJ301"/>
  <c r="AH301"/>
  <c r="AF301"/>
  <c r="AA301"/>
  <c r="M301"/>
  <c r="AC301" s="1"/>
  <c r="BB300"/>
  <c r="AZ300"/>
  <c r="AX300"/>
  <c r="AV300"/>
  <c r="AT300"/>
  <c r="AR300"/>
  <c r="AP300"/>
  <c r="AN300"/>
  <c r="AL300"/>
  <c r="AJ300"/>
  <c r="AH300"/>
  <c r="AF300"/>
  <c r="AA300"/>
  <c r="M300"/>
  <c r="AC300" s="1"/>
  <c r="BB299"/>
  <c r="AZ299"/>
  <c r="AX299"/>
  <c r="AV299"/>
  <c r="AT299"/>
  <c r="AR299"/>
  <c r="AP299"/>
  <c r="AN299"/>
  <c r="AL299"/>
  <c r="AJ299"/>
  <c r="AH299"/>
  <c r="AF299"/>
  <c r="AA299"/>
  <c r="M299"/>
  <c r="AC299" s="1"/>
  <c r="BB298"/>
  <c r="AZ298"/>
  <c r="AX298"/>
  <c r="AV298"/>
  <c r="AT298"/>
  <c r="AR298"/>
  <c r="AP298"/>
  <c r="AN298"/>
  <c r="AL298"/>
  <c r="AJ298"/>
  <c r="AH298"/>
  <c r="AF298"/>
  <c r="AA298"/>
  <c r="M298"/>
  <c r="AC298" s="1"/>
  <c r="BB297"/>
  <c r="AZ297"/>
  <c r="AX297"/>
  <c r="AV297"/>
  <c r="AT297"/>
  <c r="AR297"/>
  <c r="AP297"/>
  <c r="AN297"/>
  <c r="AL297"/>
  <c r="AJ297"/>
  <c r="AH297"/>
  <c r="AF297"/>
  <c r="AA297"/>
  <c r="M297"/>
  <c r="AC297" s="1"/>
  <c r="BB296"/>
  <c r="AZ296"/>
  <c r="AX296"/>
  <c r="AV296"/>
  <c r="AT296"/>
  <c r="AR296"/>
  <c r="AP296"/>
  <c r="AN296"/>
  <c r="AL296"/>
  <c r="AJ296"/>
  <c r="AH296"/>
  <c r="AF296"/>
  <c r="AA296"/>
  <c r="M296"/>
  <c r="AC296" s="1"/>
  <c r="BB295"/>
  <c r="AZ295"/>
  <c r="AX295"/>
  <c r="AV295"/>
  <c r="AT295"/>
  <c r="AR295"/>
  <c r="AP295"/>
  <c r="AN295"/>
  <c r="AL295"/>
  <c r="AJ295"/>
  <c r="AH295"/>
  <c r="AF295"/>
  <c r="AA295"/>
  <c r="M295"/>
  <c r="AC295" s="1"/>
  <c r="BB294"/>
  <c r="AZ294"/>
  <c r="AX294"/>
  <c r="AV294"/>
  <c r="AT294"/>
  <c r="AR294"/>
  <c r="AP294"/>
  <c r="AN294"/>
  <c r="AL294"/>
  <c r="AJ294"/>
  <c r="AH294"/>
  <c r="AF294"/>
  <c r="AA294"/>
  <c r="M294"/>
  <c r="AC294" s="1"/>
  <c r="BB293"/>
  <c r="AZ293"/>
  <c r="AX293"/>
  <c r="AV293"/>
  <c r="AT293"/>
  <c r="AR293"/>
  <c r="AP293"/>
  <c r="AN293"/>
  <c r="AL293"/>
  <c r="AJ293"/>
  <c r="AH293"/>
  <c r="AF293"/>
  <c r="AA293"/>
  <c r="M293"/>
  <c r="AC293" s="1"/>
  <c r="BB292"/>
  <c r="AZ292"/>
  <c r="AX292"/>
  <c r="AV292"/>
  <c r="AT292"/>
  <c r="AR292"/>
  <c r="AP292"/>
  <c r="AN292"/>
  <c r="AL292"/>
  <c r="AJ292"/>
  <c r="AH292"/>
  <c r="AF292"/>
  <c r="AA292"/>
  <c r="M292"/>
  <c r="AC292" s="1"/>
  <c r="BB291"/>
  <c r="AZ291"/>
  <c r="AX291"/>
  <c r="AV291"/>
  <c r="AT291"/>
  <c r="AR291"/>
  <c r="AP291"/>
  <c r="AN291"/>
  <c r="AL291"/>
  <c r="AJ291"/>
  <c r="AH291"/>
  <c r="AF291"/>
  <c r="AA291"/>
  <c r="M291"/>
  <c r="AC291" s="1"/>
  <c r="BB290"/>
  <c r="AZ290"/>
  <c r="AX290"/>
  <c r="AV290"/>
  <c r="AT290"/>
  <c r="AR290"/>
  <c r="AP290"/>
  <c r="AN290"/>
  <c r="AL290"/>
  <c r="AJ290"/>
  <c r="AH290"/>
  <c r="AF290"/>
  <c r="AA290"/>
  <c r="M290"/>
  <c r="AC290" s="1"/>
  <c r="BB289"/>
  <c r="AZ289"/>
  <c r="AX289"/>
  <c r="AV289"/>
  <c r="AT289"/>
  <c r="AR289"/>
  <c r="AP289"/>
  <c r="AN289"/>
  <c r="AL289"/>
  <c r="AJ289"/>
  <c r="AH289"/>
  <c r="AF289"/>
  <c r="AA289"/>
  <c r="M289"/>
  <c r="AC289" s="1"/>
  <c r="BB288"/>
  <c r="AZ288"/>
  <c r="AX288"/>
  <c r="AV288"/>
  <c r="AT288"/>
  <c r="AR288"/>
  <c r="AP288"/>
  <c r="AN288"/>
  <c r="AL288"/>
  <c r="AJ288"/>
  <c r="AH288"/>
  <c r="AF288"/>
  <c r="AA288"/>
  <c r="M288"/>
  <c r="AC288" s="1"/>
  <c r="BB287"/>
  <c r="AZ287"/>
  <c r="AX287"/>
  <c r="AV287"/>
  <c r="AT287"/>
  <c r="AR287"/>
  <c r="AP287"/>
  <c r="AN287"/>
  <c r="AL287"/>
  <c r="AJ287"/>
  <c r="AH287"/>
  <c r="AF287"/>
  <c r="AA287"/>
  <c r="M287"/>
  <c r="AC287" s="1"/>
  <c r="BB286"/>
  <c r="AZ286"/>
  <c r="AX286"/>
  <c r="AV286"/>
  <c r="AT286"/>
  <c r="AR286"/>
  <c r="AP286"/>
  <c r="AN286"/>
  <c r="AL286"/>
  <c r="AJ286"/>
  <c r="AH286"/>
  <c r="AF286"/>
  <c r="AA286"/>
  <c r="M286"/>
  <c r="AC286" s="1"/>
  <c r="BB285"/>
  <c r="AZ285"/>
  <c r="AX285"/>
  <c r="AV285"/>
  <c r="AT285"/>
  <c r="AR285"/>
  <c r="AP285"/>
  <c r="AN285"/>
  <c r="AL285"/>
  <c r="AJ285"/>
  <c r="AH285"/>
  <c r="AF285"/>
  <c r="AA285"/>
  <c r="M285"/>
  <c r="AC285" s="1"/>
  <c r="BB284"/>
  <c r="AZ284"/>
  <c r="AX284"/>
  <c r="AV284"/>
  <c r="AT284"/>
  <c r="AR284"/>
  <c r="AP284"/>
  <c r="AN284"/>
  <c r="AL284"/>
  <c r="AJ284"/>
  <c r="AH284"/>
  <c r="AF284"/>
  <c r="AA284"/>
  <c r="M284"/>
  <c r="AC284" s="1"/>
  <c r="BB283"/>
  <c r="AZ283"/>
  <c r="AX283"/>
  <c r="AV283"/>
  <c r="AT283"/>
  <c r="AR283"/>
  <c r="AP283"/>
  <c r="AN283"/>
  <c r="AL283"/>
  <c r="AJ283"/>
  <c r="AH283"/>
  <c r="AF283"/>
  <c r="AA283"/>
  <c r="M283"/>
  <c r="AC283" s="1"/>
  <c r="BB282"/>
  <c r="AZ282"/>
  <c r="AX282"/>
  <c r="AV282"/>
  <c r="AT282"/>
  <c r="AR282"/>
  <c r="AP282"/>
  <c r="AN282"/>
  <c r="AL282"/>
  <c r="AJ282"/>
  <c r="AH282"/>
  <c r="AF282"/>
  <c r="AA282"/>
  <c r="M282"/>
  <c r="AC282" s="1"/>
  <c r="BB281"/>
  <c r="AZ281"/>
  <c r="AX281"/>
  <c r="AV281"/>
  <c r="AT281"/>
  <c r="AR281"/>
  <c r="AP281"/>
  <c r="AN281"/>
  <c r="AL281"/>
  <c r="AJ281"/>
  <c r="AH281"/>
  <c r="AF281"/>
  <c r="AA281"/>
  <c r="M281"/>
  <c r="AC281" s="1"/>
  <c r="BB280"/>
  <c r="AZ280"/>
  <c r="AX280"/>
  <c r="AV280"/>
  <c r="AT280"/>
  <c r="AR280"/>
  <c r="AP280"/>
  <c r="AN280"/>
  <c r="AL280"/>
  <c r="AJ280"/>
  <c r="AH280"/>
  <c r="AF280"/>
  <c r="AA280"/>
  <c r="M280"/>
  <c r="AC280" s="1"/>
  <c r="BB279"/>
  <c r="AZ279"/>
  <c r="AX279"/>
  <c r="AV279"/>
  <c r="AT279"/>
  <c r="AR279"/>
  <c r="AP279"/>
  <c r="AN279"/>
  <c r="AL279"/>
  <c r="AJ279"/>
  <c r="AH279"/>
  <c r="AF279"/>
  <c r="AA279"/>
  <c r="M279"/>
  <c r="AC279" s="1"/>
  <c r="BB278"/>
  <c r="AZ278"/>
  <c r="AX278"/>
  <c r="AV278"/>
  <c r="AT278"/>
  <c r="AR278"/>
  <c r="AP278"/>
  <c r="AN278"/>
  <c r="AL278"/>
  <c r="AJ278"/>
  <c r="AH278"/>
  <c r="AF278"/>
  <c r="AA278"/>
  <c r="M278"/>
  <c r="AC278" s="1"/>
  <c r="BB277"/>
  <c r="AZ277"/>
  <c r="AX277"/>
  <c r="AV277"/>
  <c r="AT277"/>
  <c r="AR277"/>
  <c r="AP277"/>
  <c r="AN277"/>
  <c r="AL277"/>
  <c r="AJ277"/>
  <c r="AH277"/>
  <c r="AF277"/>
  <c r="AA277"/>
  <c r="M277"/>
  <c r="AC277" s="1"/>
  <c r="BB276"/>
  <c r="AZ276"/>
  <c r="AX276"/>
  <c r="AV276"/>
  <c r="AT276"/>
  <c r="AR276"/>
  <c r="AP276"/>
  <c r="AN276"/>
  <c r="AL276"/>
  <c r="AJ276"/>
  <c r="AH276"/>
  <c r="AF276"/>
  <c r="AA276"/>
  <c r="M276"/>
  <c r="AC276" s="1"/>
  <c r="BB275"/>
  <c r="AZ275"/>
  <c r="AX275"/>
  <c r="AV275"/>
  <c r="AT275"/>
  <c r="AR275"/>
  <c r="AP275"/>
  <c r="AN275"/>
  <c r="AL275"/>
  <c r="AJ275"/>
  <c r="AH275"/>
  <c r="AF275"/>
  <c r="AA275"/>
  <c r="M275"/>
  <c r="AC275" s="1"/>
  <c r="BB274"/>
  <c r="AZ274"/>
  <c r="AX274"/>
  <c r="AV274"/>
  <c r="AT274"/>
  <c r="AR274"/>
  <c r="AP274"/>
  <c r="AN274"/>
  <c r="AL274"/>
  <c r="AJ274"/>
  <c r="AH274"/>
  <c r="AF274"/>
  <c r="AA274"/>
  <c r="M274"/>
  <c r="AC274" s="1"/>
  <c r="BB273"/>
  <c r="AZ273"/>
  <c r="AX273"/>
  <c r="AV273"/>
  <c r="AT273"/>
  <c r="AR273"/>
  <c r="AP273"/>
  <c r="AN273"/>
  <c r="AL273"/>
  <c r="AJ273"/>
  <c r="AH273"/>
  <c r="AF273"/>
  <c r="AA273"/>
  <c r="M273"/>
  <c r="AC273" s="1"/>
  <c r="BB272"/>
  <c r="AZ272"/>
  <c r="AX272"/>
  <c r="AV272"/>
  <c r="AT272"/>
  <c r="AR272"/>
  <c r="AP272"/>
  <c r="AN272"/>
  <c r="AL272"/>
  <c r="AJ272"/>
  <c r="AH272"/>
  <c r="AF272"/>
  <c r="AA272"/>
  <c r="M272"/>
  <c r="AC272" s="1"/>
  <c r="BB271"/>
  <c r="AZ271"/>
  <c r="AX271"/>
  <c r="AV271"/>
  <c r="AT271"/>
  <c r="AR271"/>
  <c r="AP271"/>
  <c r="AN271"/>
  <c r="AL271"/>
  <c r="AJ271"/>
  <c r="AH271"/>
  <c r="AF271"/>
  <c r="AA271"/>
  <c r="M271"/>
  <c r="AC271" s="1"/>
  <c r="BB270"/>
  <c r="AZ270"/>
  <c r="AX270"/>
  <c r="AV270"/>
  <c r="AT270"/>
  <c r="AR270"/>
  <c r="AP270"/>
  <c r="AN270"/>
  <c r="AL270"/>
  <c r="AJ270"/>
  <c r="AH270"/>
  <c r="AF270"/>
  <c r="AA270"/>
  <c r="M270"/>
  <c r="AC270" s="1"/>
  <c r="BB269"/>
  <c r="AZ269"/>
  <c r="AX269"/>
  <c r="AV269"/>
  <c r="AT269"/>
  <c r="AR269"/>
  <c r="AP269"/>
  <c r="AN269"/>
  <c r="AM269"/>
  <c r="AL269"/>
  <c r="AJ269"/>
  <c r="AH269"/>
  <c r="AF269"/>
  <c r="AD269"/>
  <c r="AA269"/>
  <c r="M269"/>
  <c r="AC269" s="1"/>
  <c r="BB268"/>
  <c r="AZ268"/>
  <c r="AX268"/>
  <c r="AU268"/>
  <c r="AU931" s="1"/>
  <c r="AT268"/>
  <c r="AR268"/>
  <c r="AP268"/>
  <c r="AN268"/>
  <c r="AL268"/>
  <c r="AJ268"/>
  <c r="AH268"/>
  <c r="AF268"/>
  <c r="AA268"/>
  <c r="M268"/>
  <c r="AC268" s="1"/>
  <c r="BB267"/>
  <c r="AZ267"/>
  <c r="AX267"/>
  <c r="AV267"/>
  <c r="AT267"/>
  <c r="AR267"/>
  <c r="AP267"/>
  <c r="AN267"/>
  <c r="AL267"/>
  <c r="AJ267"/>
  <c r="AH267"/>
  <c r="AF267"/>
  <c r="AA267"/>
  <c r="M267"/>
  <c r="AC267" s="1"/>
  <c r="BB266"/>
  <c r="AZ266"/>
  <c r="AX266"/>
  <c r="AV266"/>
  <c r="AT266"/>
  <c r="AR266"/>
  <c r="AP266"/>
  <c r="AN266"/>
  <c r="AL266"/>
  <c r="AJ266"/>
  <c r="AH266"/>
  <c r="AF266"/>
  <c r="AA266"/>
  <c r="M266"/>
  <c r="AC266" s="1"/>
  <c r="BB265"/>
  <c r="AZ265"/>
  <c r="AX265"/>
  <c r="AV265"/>
  <c r="AS265"/>
  <c r="AT265" s="1"/>
  <c r="AR265"/>
  <c r="AP265"/>
  <c r="AN265"/>
  <c r="AL265"/>
  <c r="AJ265"/>
  <c r="AH265"/>
  <c r="AF265"/>
  <c r="AA265"/>
  <c r="BB264"/>
  <c r="AZ264"/>
  <c r="AX264"/>
  <c r="AV264"/>
  <c r="AT264"/>
  <c r="AR264"/>
  <c r="AP264"/>
  <c r="AN264"/>
  <c r="AL264"/>
  <c r="AJ264"/>
  <c r="AH264"/>
  <c r="AF264"/>
  <c r="AD264"/>
  <c r="AA264"/>
  <c r="M264"/>
  <c r="AC264" s="1"/>
  <c r="BB263"/>
  <c r="AZ263"/>
  <c r="AX263"/>
  <c r="AV263"/>
  <c r="AT263"/>
  <c r="AR263"/>
  <c r="AP263"/>
  <c r="AN263"/>
  <c r="AL263"/>
  <c r="AJ263"/>
  <c r="AH263"/>
  <c r="AF263"/>
  <c r="AD263"/>
  <c r="AA263"/>
  <c r="M263"/>
  <c r="AC263" s="1"/>
  <c r="BB262"/>
  <c r="AZ262"/>
  <c r="AX262"/>
  <c r="AV262"/>
  <c r="AT262"/>
  <c r="AR262"/>
  <c r="AP262"/>
  <c r="AN262"/>
  <c r="AL262"/>
  <c r="AJ262"/>
  <c r="AH262"/>
  <c r="AF262"/>
  <c r="AD262"/>
  <c r="AA262"/>
  <c r="M262"/>
  <c r="AC262" s="1"/>
  <c r="BB261"/>
  <c r="AZ261"/>
  <c r="AX261"/>
  <c r="AV261"/>
  <c r="AT261"/>
  <c r="AR261"/>
  <c r="AP261"/>
  <c r="AN261"/>
  <c r="AL261"/>
  <c r="AJ261"/>
  <c r="AH261"/>
  <c r="AF261"/>
  <c r="AD261"/>
  <c r="AA261"/>
  <c r="M261"/>
  <c r="AC261" s="1"/>
  <c r="BB260"/>
  <c r="AZ260"/>
  <c r="AX260"/>
  <c r="AV260"/>
  <c r="AT260"/>
  <c r="AR260"/>
  <c r="AP260"/>
  <c r="AN260"/>
  <c r="AL260"/>
  <c r="AJ260"/>
  <c r="AH260"/>
  <c r="AF260"/>
  <c r="AD260"/>
  <c r="AA260"/>
  <c r="M260"/>
  <c r="AC260" s="1"/>
  <c r="BB259"/>
  <c r="AZ259"/>
  <c r="AX259"/>
  <c r="AV259"/>
  <c r="AT259"/>
  <c r="AR259"/>
  <c r="AP259"/>
  <c r="AN259"/>
  <c r="AL259"/>
  <c r="AJ259"/>
  <c r="AH259"/>
  <c r="AF259"/>
  <c r="AD259"/>
  <c r="AA259"/>
  <c r="M259"/>
  <c r="AC259" s="1"/>
  <c r="BB258"/>
  <c r="AZ258"/>
  <c r="AX258"/>
  <c r="AV258"/>
  <c r="AT258"/>
  <c r="AR258"/>
  <c r="AP258"/>
  <c r="AN258"/>
  <c r="AL258"/>
  <c r="AJ258"/>
  <c r="AH258"/>
  <c r="AF258"/>
  <c r="AD258"/>
  <c r="AA258"/>
  <c r="M258"/>
  <c r="AC258" s="1"/>
  <c r="BB257"/>
  <c r="AZ257"/>
  <c r="AX257"/>
  <c r="AV257"/>
  <c r="AT257"/>
  <c r="AR257"/>
  <c r="AP257"/>
  <c r="AN257"/>
  <c r="AL257"/>
  <c r="AJ257"/>
  <c r="AH257"/>
  <c r="AF257"/>
  <c r="AD257"/>
  <c r="AA257"/>
  <c r="M257"/>
  <c r="AC257" s="1"/>
  <c r="BB256"/>
  <c r="AZ256"/>
  <c r="AX256"/>
  <c r="AV256"/>
  <c r="AT256"/>
  <c r="AR256"/>
  <c r="AP256"/>
  <c r="AN256"/>
  <c r="AL256"/>
  <c r="AJ256"/>
  <c r="AH256"/>
  <c r="AF256"/>
  <c r="AD256"/>
  <c r="AA256"/>
  <c r="M256"/>
  <c r="AC256" s="1"/>
  <c r="BB255"/>
  <c r="AZ255"/>
  <c r="AX255"/>
  <c r="AV255"/>
  <c r="AT255"/>
  <c r="AR255"/>
  <c r="AP255"/>
  <c r="AN255"/>
  <c r="AL255"/>
  <c r="AJ255"/>
  <c r="AH255"/>
  <c r="AF255"/>
  <c r="AD255"/>
  <c r="AA255"/>
  <c r="M255"/>
  <c r="AC255" s="1"/>
  <c r="BB254"/>
  <c r="AZ254"/>
  <c r="AX254"/>
  <c r="AV254"/>
  <c r="AT254"/>
  <c r="AR254"/>
  <c r="AP254"/>
  <c r="AN254"/>
  <c r="AL254"/>
  <c r="AJ254"/>
  <c r="AH254"/>
  <c r="AF254"/>
  <c r="AD254"/>
  <c r="AA254"/>
  <c r="M254"/>
  <c r="AC254" s="1"/>
  <c r="BB253"/>
  <c r="AZ253"/>
  <c r="AX253"/>
  <c r="AV253"/>
  <c r="AT253"/>
  <c r="AR253"/>
  <c r="AP253"/>
  <c r="AN253"/>
  <c r="AL253"/>
  <c r="AJ253"/>
  <c r="AH253"/>
  <c r="AF253"/>
  <c r="AD253"/>
  <c r="AA253"/>
  <c r="M253"/>
  <c r="AC253" s="1"/>
  <c r="BB252"/>
  <c r="AZ252"/>
  <c r="AX252"/>
  <c r="AV252"/>
  <c r="AT252"/>
  <c r="AR252"/>
  <c r="AP252"/>
  <c r="AN252"/>
  <c r="AL252"/>
  <c r="AJ252"/>
  <c r="AH252"/>
  <c r="AF252"/>
  <c r="AD252"/>
  <c r="AA252"/>
  <c r="M252"/>
  <c r="AC252" s="1"/>
  <c r="BB251"/>
  <c r="AZ251"/>
  <c r="AX251"/>
  <c r="AV251"/>
  <c r="AT251"/>
  <c r="AR251"/>
  <c r="AP251"/>
  <c r="AN251"/>
  <c r="AL251"/>
  <c r="AJ251"/>
  <c r="AH251"/>
  <c r="AF251"/>
  <c r="AD251"/>
  <c r="AA251"/>
  <c r="M251"/>
  <c r="AC251" s="1"/>
  <c r="BB250"/>
  <c r="AZ250"/>
  <c r="AX250"/>
  <c r="AV250"/>
  <c r="AT250"/>
  <c r="AR250"/>
  <c r="AP250"/>
  <c r="AN250"/>
  <c r="AL250"/>
  <c r="AJ250"/>
  <c r="AH250"/>
  <c r="AF250"/>
  <c r="AD250"/>
  <c r="AA250"/>
  <c r="M250"/>
  <c r="AC250" s="1"/>
  <c r="BB249"/>
  <c r="AZ249"/>
  <c r="AX249"/>
  <c r="AV249"/>
  <c r="AT249"/>
  <c r="AR249"/>
  <c r="AP249"/>
  <c r="AN249"/>
  <c r="AL249"/>
  <c r="AJ249"/>
  <c r="AH249"/>
  <c r="AF249"/>
  <c r="AD249"/>
  <c r="AA249"/>
  <c r="M249"/>
  <c r="AC249" s="1"/>
  <c r="BB248"/>
  <c r="AZ248"/>
  <c r="AX248"/>
  <c r="AV248"/>
  <c r="AT248"/>
  <c r="AR248"/>
  <c r="AP248"/>
  <c r="AN248"/>
  <c r="AL248"/>
  <c r="AJ248"/>
  <c r="AH248"/>
  <c r="AF248"/>
  <c r="AD248"/>
  <c r="AA248"/>
  <c r="M248"/>
  <c r="AC248" s="1"/>
  <c r="BB247"/>
  <c r="AZ247"/>
  <c r="AX247"/>
  <c r="AV247"/>
  <c r="AT247"/>
  <c r="AR247"/>
  <c r="AP247"/>
  <c r="AN247"/>
  <c r="AL247"/>
  <c r="AJ247"/>
  <c r="AH247"/>
  <c r="AF247"/>
  <c r="AD247"/>
  <c r="AA247"/>
  <c r="M247"/>
  <c r="AC247" s="1"/>
  <c r="BB246"/>
  <c r="AZ246"/>
  <c r="AX246"/>
  <c r="AV246"/>
  <c r="AT246"/>
  <c r="AR246"/>
  <c r="AP246"/>
  <c r="AN246"/>
  <c r="AL246"/>
  <c r="AJ246"/>
  <c r="AH246"/>
  <c r="AF246"/>
  <c r="AD246"/>
  <c r="AA246"/>
  <c r="M246"/>
  <c r="AC246" s="1"/>
  <c r="BB245"/>
  <c r="AZ245"/>
  <c r="AX245"/>
  <c r="AV245"/>
  <c r="AT245"/>
  <c r="AR245"/>
  <c r="AP245"/>
  <c r="AN245"/>
  <c r="AL245"/>
  <c r="AJ245"/>
  <c r="AH245"/>
  <c r="AF245"/>
  <c r="AD245"/>
  <c r="AA245"/>
  <c r="M245"/>
  <c r="AC245" s="1"/>
  <c r="BB244"/>
  <c r="AZ244"/>
  <c r="AX244"/>
  <c r="AV244"/>
  <c r="AT244"/>
  <c r="AR244"/>
  <c r="AP244"/>
  <c r="AN244"/>
  <c r="AL244"/>
  <c r="AJ244"/>
  <c r="AH244"/>
  <c r="AF244"/>
  <c r="AD244"/>
  <c r="AA244"/>
  <c r="M244"/>
  <c r="AC244" s="1"/>
  <c r="BB243"/>
  <c r="AZ243"/>
  <c r="AX243"/>
  <c r="AV243"/>
  <c r="AT243"/>
  <c r="AR243"/>
  <c r="AP243"/>
  <c r="AN243"/>
  <c r="AL243"/>
  <c r="AJ243"/>
  <c r="AH243"/>
  <c r="AF243"/>
  <c r="AD243"/>
  <c r="AA243"/>
  <c r="M243"/>
  <c r="AC243" s="1"/>
  <c r="BB242"/>
  <c r="AZ242"/>
  <c r="AX242"/>
  <c r="AV242"/>
  <c r="AT242"/>
  <c r="AR242"/>
  <c r="AP242"/>
  <c r="AN242"/>
  <c r="AL242"/>
  <c r="AJ242"/>
  <c r="AH242"/>
  <c r="AF242"/>
  <c r="AD242"/>
  <c r="AA242"/>
  <c r="M242"/>
  <c r="AC242" s="1"/>
  <c r="BB241"/>
  <c r="AZ241"/>
  <c r="AX241"/>
  <c r="AV241"/>
  <c r="AT241"/>
  <c r="AR241"/>
  <c r="AP241"/>
  <c r="AN241"/>
  <c r="AL241"/>
  <c r="AJ241"/>
  <c r="AH241"/>
  <c r="AF241"/>
  <c r="AD241"/>
  <c r="AA241"/>
  <c r="M241"/>
  <c r="AC241" s="1"/>
  <c r="BB240"/>
  <c r="AZ240"/>
  <c r="AX240"/>
  <c r="AV240"/>
  <c r="AT240"/>
  <c r="AR240"/>
  <c r="AP240"/>
  <c r="AN240"/>
  <c r="AL240"/>
  <c r="AJ240"/>
  <c r="AH240"/>
  <c r="AF240"/>
  <c r="AD240"/>
  <c r="AA240"/>
  <c r="M240"/>
  <c r="AC240" s="1"/>
  <c r="BB239"/>
  <c r="AZ239"/>
  <c r="AX239"/>
  <c r="AV239"/>
  <c r="AT239"/>
  <c r="AR239"/>
  <c r="AP239"/>
  <c r="AN239"/>
  <c r="AL239"/>
  <c r="AJ239"/>
  <c r="AH239"/>
  <c r="AF239"/>
  <c r="AD239"/>
  <c r="AA239"/>
  <c r="M239"/>
  <c r="AC239" s="1"/>
  <c r="BB238"/>
  <c r="AZ238"/>
  <c r="AX238"/>
  <c r="AV238"/>
  <c r="AT238"/>
  <c r="AR238"/>
  <c r="AP238"/>
  <c r="AN238"/>
  <c r="AL238"/>
  <c r="AJ238"/>
  <c r="AH238"/>
  <c r="AF238"/>
  <c r="AD238"/>
  <c r="AA238"/>
  <c r="M238"/>
  <c r="AC238" s="1"/>
  <c r="BB237"/>
  <c r="AZ237"/>
  <c r="AX237"/>
  <c r="AV237"/>
  <c r="AT237"/>
  <c r="AR237"/>
  <c r="AP237"/>
  <c r="AN237"/>
  <c r="AL237"/>
  <c r="AJ237"/>
  <c r="AH237"/>
  <c r="AF237"/>
  <c r="AD237"/>
  <c r="AA237"/>
  <c r="M237"/>
  <c r="AC237" s="1"/>
  <c r="BB236"/>
  <c r="AZ236"/>
  <c r="AX236"/>
  <c r="AV236"/>
  <c r="AT236"/>
  <c r="AR236"/>
  <c r="AP236"/>
  <c r="AN236"/>
  <c r="AL236"/>
  <c r="AJ236"/>
  <c r="AH236"/>
  <c r="AF236"/>
  <c r="AD236"/>
  <c r="AA236"/>
  <c r="M236"/>
  <c r="AC236" s="1"/>
  <c r="BB235"/>
  <c r="AZ235"/>
  <c r="AX235"/>
  <c r="AV235"/>
  <c r="AT235"/>
  <c r="AR235"/>
  <c r="AP235"/>
  <c r="AN235"/>
  <c r="AL235"/>
  <c r="AJ235"/>
  <c r="AH235"/>
  <c r="AF235"/>
  <c r="AD235"/>
  <c r="AA235"/>
  <c r="M235"/>
  <c r="AC235" s="1"/>
  <c r="BB234"/>
  <c r="AZ234"/>
  <c r="AX234"/>
  <c r="AV234"/>
  <c r="AT234"/>
  <c r="AR234"/>
  <c r="AP234"/>
  <c r="AN234"/>
  <c r="AL234"/>
  <c r="AJ234"/>
  <c r="AH234"/>
  <c r="AF234"/>
  <c r="AD234"/>
  <c r="AA234"/>
  <c r="M234"/>
  <c r="AC234" s="1"/>
  <c r="BB233"/>
  <c r="AZ233"/>
  <c r="AX233"/>
  <c r="AV233"/>
  <c r="AT233"/>
  <c r="AR233"/>
  <c r="AP233"/>
  <c r="AN233"/>
  <c r="AL233"/>
  <c r="AJ233"/>
  <c r="AH233"/>
  <c r="AF233"/>
  <c r="AD233"/>
  <c r="AA233"/>
  <c r="M233"/>
  <c r="AC233" s="1"/>
  <c r="BB232"/>
  <c r="AZ232"/>
  <c r="AX232"/>
  <c r="AV232"/>
  <c r="AT232"/>
  <c r="AR232"/>
  <c r="AP232"/>
  <c r="AN232"/>
  <c r="AL232"/>
  <c r="AJ232"/>
  <c r="AH232"/>
  <c r="AF232"/>
  <c r="AD232"/>
  <c r="AA232"/>
  <c r="M232"/>
  <c r="AC232" s="1"/>
  <c r="BB231"/>
  <c r="AZ231"/>
  <c r="AX231"/>
  <c r="AV231"/>
  <c r="AT231"/>
  <c r="AR231"/>
  <c r="AP231"/>
  <c r="AN231"/>
  <c r="AL231"/>
  <c r="AJ231"/>
  <c r="AH231"/>
  <c r="AF231"/>
  <c r="AD231"/>
  <c r="AA231"/>
  <c r="M231"/>
  <c r="AC231" s="1"/>
  <c r="BB230"/>
  <c r="AZ230"/>
  <c r="AX230"/>
  <c r="AV230"/>
  <c r="AT230"/>
  <c r="AR230"/>
  <c r="AP230"/>
  <c r="AN230"/>
  <c r="AL230"/>
  <c r="AJ230"/>
  <c r="AH230"/>
  <c r="AF230"/>
  <c r="AD230"/>
  <c r="AA230"/>
  <c r="M230"/>
  <c r="AC230" s="1"/>
  <c r="BB229"/>
  <c r="AZ229"/>
  <c r="AX229"/>
  <c r="AV229"/>
  <c r="AT229"/>
  <c r="AR229"/>
  <c r="AP229"/>
  <c r="AN229"/>
  <c r="AL229"/>
  <c r="AJ229"/>
  <c r="AH229"/>
  <c r="AF229"/>
  <c r="AD229"/>
  <c r="AA229"/>
  <c r="M229"/>
  <c r="AC229" s="1"/>
  <c r="BB228"/>
  <c r="AZ228"/>
  <c r="AX228"/>
  <c r="AV228"/>
  <c r="AT228"/>
  <c r="AR228"/>
  <c r="AP228"/>
  <c r="AN228"/>
  <c r="AL228"/>
  <c r="AJ228"/>
  <c r="AH228"/>
  <c r="AF228"/>
  <c r="AD228"/>
  <c r="AA228"/>
  <c r="M228"/>
  <c r="AC228" s="1"/>
  <c r="BB227"/>
  <c r="AZ227"/>
  <c r="AX227"/>
  <c r="AV227"/>
  <c r="AT227"/>
  <c r="AR227"/>
  <c r="AP227"/>
  <c r="AN227"/>
  <c r="AL227"/>
  <c r="AJ227"/>
  <c r="AH227"/>
  <c r="AF227"/>
  <c r="AD227"/>
  <c r="AA227"/>
  <c r="M227"/>
  <c r="AC227" s="1"/>
  <c r="BB226"/>
  <c r="AZ226"/>
  <c r="AX226"/>
  <c r="AV226"/>
  <c r="AT226"/>
  <c r="AR226"/>
  <c r="AP226"/>
  <c r="AN226"/>
  <c r="AL226"/>
  <c r="AJ226"/>
  <c r="AH226"/>
  <c r="AF226"/>
  <c r="AD226"/>
  <c r="AA226"/>
  <c r="M226"/>
  <c r="AC226" s="1"/>
  <c r="BB225"/>
  <c r="AZ225"/>
  <c r="AX225"/>
  <c r="AV225"/>
  <c r="AT225"/>
  <c r="AR225"/>
  <c r="AP225"/>
  <c r="AN225"/>
  <c r="AL225"/>
  <c r="AJ225"/>
  <c r="AH225"/>
  <c r="AF225"/>
  <c r="AD225"/>
  <c r="AA225"/>
  <c r="M225"/>
  <c r="AC225" s="1"/>
  <c r="BB224"/>
  <c r="AZ224"/>
  <c r="AX224"/>
  <c r="AV224"/>
  <c r="AT224"/>
  <c r="AR224"/>
  <c r="AP224"/>
  <c r="AN224"/>
  <c r="AL224"/>
  <c r="AJ224"/>
  <c r="AH224"/>
  <c r="AF224"/>
  <c r="AD224"/>
  <c r="AA224"/>
  <c r="M224"/>
  <c r="AC224" s="1"/>
  <c r="BB223"/>
  <c r="AZ223"/>
  <c r="AX223"/>
  <c r="AV223"/>
  <c r="AT223"/>
  <c r="AR223"/>
  <c r="AP223"/>
  <c r="AN223"/>
  <c r="AL223"/>
  <c r="AJ223"/>
  <c r="AH223"/>
  <c r="AF223"/>
  <c r="AD223"/>
  <c r="AA223"/>
  <c r="M223"/>
  <c r="AC223" s="1"/>
  <c r="BB222"/>
  <c r="AZ222"/>
  <c r="AX222"/>
  <c r="AV222"/>
  <c r="AT222"/>
  <c r="AR222"/>
  <c r="AP222"/>
  <c r="AN222"/>
  <c r="AL222"/>
  <c r="AJ222"/>
  <c r="AH222"/>
  <c r="AF222"/>
  <c r="AD222"/>
  <c r="AA222"/>
  <c r="M222"/>
  <c r="AC222" s="1"/>
  <c r="BB221"/>
  <c r="AZ221"/>
  <c r="AX221"/>
  <c r="AV221"/>
  <c r="AT221"/>
  <c r="AR221"/>
  <c r="AP221"/>
  <c r="AN221"/>
  <c r="AL221"/>
  <c r="AJ221"/>
  <c r="AH221"/>
  <c r="AF221"/>
  <c r="AD221"/>
  <c r="AA221"/>
  <c r="M221"/>
  <c r="AC221" s="1"/>
  <c r="BB220"/>
  <c r="AZ220"/>
  <c r="AX220"/>
  <c r="AV220"/>
  <c r="AT220"/>
  <c r="AR220"/>
  <c r="AP220"/>
  <c r="AN220"/>
  <c r="AL220"/>
  <c r="AJ220"/>
  <c r="AH220"/>
  <c r="AF220"/>
  <c r="AD220"/>
  <c r="AA220"/>
  <c r="M220"/>
  <c r="AC220" s="1"/>
  <c r="BB219"/>
  <c r="AZ219"/>
  <c r="AX219"/>
  <c r="AV219"/>
  <c r="AT219"/>
  <c r="AR219"/>
  <c r="AP219"/>
  <c r="AN219"/>
  <c r="AL219"/>
  <c r="AJ219"/>
  <c r="AH219"/>
  <c r="AF219"/>
  <c r="AD219"/>
  <c r="AA219"/>
  <c r="M219"/>
  <c r="AC219" s="1"/>
  <c r="BB218"/>
  <c r="AZ218"/>
  <c r="AX218"/>
  <c r="AV218"/>
  <c r="AT218"/>
  <c r="AR218"/>
  <c r="AP218"/>
  <c r="AN218"/>
  <c r="AL218"/>
  <c r="AJ218"/>
  <c r="AH218"/>
  <c r="AF218"/>
  <c r="AD218"/>
  <c r="AA218"/>
  <c r="M218"/>
  <c r="AC218" s="1"/>
  <c r="BB217"/>
  <c r="AZ217"/>
  <c r="AX217"/>
  <c r="AV217"/>
  <c r="AT217"/>
  <c r="AR217"/>
  <c r="AP217"/>
  <c r="AN217"/>
  <c r="AL217"/>
  <c r="AJ217"/>
  <c r="AH217"/>
  <c r="AF217"/>
  <c r="AD217"/>
  <c r="AA217"/>
  <c r="M217"/>
  <c r="AC217" s="1"/>
  <c r="BB216"/>
  <c r="AZ216"/>
  <c r="AX216"/>
  <c r="AV216"/>
  <c r="AT216"/>
  <c r="AR216"/>
  <c r="AP216"/>
  <c r="AN216"/>
  <c r="AL216"/>
  <c r="AJ216"/>
  <c r="AH216"/>
  <c r="AF216"/>
  <c r="AD216"/>
  <c r="AA216"/>
  <c r="M216"/>
  <c r="AC216" s="1"/>
  <c r="BB215"/>
  <c r="AZ215"/>
  <c r="AX215"/>
  <c r="AV215"/>
  <c r="AT215"/>
  <c r="AR215"/>
  <c r="AP215"/>
  <c r="AN215"/>
  <c r="AL215"/>
  <c r="AJ215"/>
  <c r="AH215"/>
  <c r="AF215"/>
  <c r="AD215"/>
  <c r="AA215"/>
  <c r="M215"/>
  <c r="AC215" s="1"/>
  <c r="BB214"/>
  <c r="AZ214"/>
  <c r="AX214"/>
  <c r="AV214"/>
  <c r="AT214"/>
  <c r="AR214"/>
  <c r="AP214"/>
  <c r="AN214"/>
  <c r="AL214"/>
  <c r="AJ214"/>
  <c r="AH214"/>
  <c r="AF214"/>
  <c r="AD214"/>
  <c r="AA214"/>
  <c r="M214"/>
  <c r="AC214" s="1"/>
  <c r="BB213"/>
  <c r="AZ213"/>
  <c r="AX213"/>
  <c r="AV213"/>
  <c r="AT213"/>
  <c r="AR213"/>
  <c r="AP213"/>
  <c r="AN213"/>
  <c r="AL213"/>
  <c r="AJ213"/>
  <c r="AH213"/>
  <c r="AF213"/>
  <c r="AD213"/>
  <c r="AA213"/>
  <c r="M213"/>
  <c r="AC213" s="1"/>
  <c r="BB212"/>
  <c r="AZ212"/>
  <c r="AX212"/>
  <c r="AV212"/>
  <c r="AT212"/>
  <c r="AR212"/>
  <c r="AP212"/>
  <c r="AN212"/>
  <c r="AL212"/>
  <c r="AJ212"/>
  <c r="AH212"/>
  <c r="AF212"/>
  <c r="AD212"/>
  <c r="AA212"/>
  <c r="M212"/>
  <c r="AC212" s="1"/>
  <c r="BB211"/>
  <c r="AZ211"/>
  <c r="AX211"/>
  <c r="AV211"/>
  <c r="AT211"/>
  <c r="AR211"/>
  <c r="AP211"/>
  <c r="AN211"/>
  <c r="AL211"/>
  <c r="AJ211"/>
  <c r="AH211"/>
  <c r="AF211"/>
  <c r="AD211"/>
  <c r="AA211"/>
  <c r="M211"/>
  <c r="AC211" s="1"/>
  <c r="BB210"/>
  <c r="AZ210"/>
  <c r="AX210"/>
  <c r="AV210"/>
  <c r="AT210"/>
  <c r="AR210"/>
  <c r="AP210"/>
  <c r="AN210"/>
  <c r="AL210"/>
  <c r="AJ210"/>
  <c r="AH210"/>
  <c r="AF210"/>
  <c r="AD210"/>
  <c r="AA210"/>
  <c r="M210"/>
  <c r="AC210" s="1"/>
  <c r="BB209"/>
  <c r="AZ209"/>
  <c r="AX209"/>
  <c r="AV209"/>
  <c r="AT209"/>
  <c r="AR209"/>
  <c r="AP209"/>
  <c r="AN209"/>
  <c r="AL209"/>
  <c r="AJ209"/>
  <c r="AH209"/>
  <c r="AF209"/>
  <c r="AD209"/>
  <c r="AA209"/>
  <c r="M209"/>
  <c r="AC209" s="1"/>
  <c r="BB208"/>
  <c r="AZ208"/>
  <c r="AX208"/>
  <c r="AV208"/>
  <c r="AT208"/>
  <c r="AR208"/>
  <c r="AP208"/>
  <c r="AN208"/>
  <c r="AL208"/>
  <c r="AJ208"/>
  <c r="AH208"/>
  <c r="AF208"/>
  <c r="AD208"/>
  <c r="AA208"/>
  <c r="M208"/>
  <c r="AC208" s="1"/>
  <c r="BB207"/>
  <c r="AZ207"/>
  <c r="AX207"/>
  <c r="AV207"/>
  <c r="AT207"/>
  <c r="AR207"/>
  <c r="AP207"/>
  <c r="AN207"/>
  <c r="AL207"/>
  <c r="AJ207"/>
  <c r="AH207"/>
  <c r="AF207"/>
  <c r="AD207"/>
  <c r="AA207"/>
  <c r="M207"/>
  <c r="AC207" s="1"/>
  <c r="BB206"/>
  <c r="AZ206"/>
  <c r="AX206"/>
  <c r="AV206"/>
  <c r="AT206"/>
  <c r="AR206"/>
  <c r="AP206"/>
  <c r="AN206"/>
  <c r="AL206"/>
  <c r="AJ206"/>
  <c r="AH206"/>
  <c r="AF206"/>
  <c r="AD206"/>
  <c r="AA206"/>
  <c r="M206"/>
  <c r="AC206" s="1"/>
  <c r="BB205"/>
  <c r="AZ205"/>
  <c r="AX205"/>
  <c r="AV205"/>
  <c r="AT205"/>
  <c r="AR205"/>
  <c r="AP205"/>
  <c r="AN205"/>
  <c r="AL205"/>
  <c r="AJ205"/>
  <c r="AH205"/>
  <c r="AF205"/>
  <c r="AD205"/>
  <c r="AA205"/>
  <c r="M205"/>
  <c r="AC205" s="1"/>
  <c r="BB204"/>
  <c r="AZ204"/>
  <c r="AX204"/>
  <c r="AV204"/>
  <c r="AT204"/>
  <c r="AR204"/>
  <c r="AP204"/>
  <c r="AN204"/>
  <c r="AL204"/>
  <c r="AJ204"/>
  <c r="AH204"/>
  <c r="AF204"/>
  <c r="AD204"/>
  <c r="AA204"/>
  <c r="M204"/>
  <c r="AC204" s="1"/>
  <c r="BB203"/>
  <c r="AZ203"/>
  <c r="AX203"/>
  <c r="AV203"/>
  <c r="AT203"/>
  <c r="AR203"/>
  <c r="AP203"/>
  <c r="AN203"/>
  <c r="AL203"/>
  <c r="AJ203"/>
  <c r="AH203"/>
  <c r="AF203"/>
  <c r="AD203"/>
  <c r="AA203"/>
  <c r="M203"/>
  <c r="AC203" s="1"/>
  <c r="BB202"/>
  <c r="AZ202"/>
  <c r="AX202"/>
  <c r="AV202"/>
  <c r="AT202"/>
  <c r="AR202"/>
  <c r="AP202"/>
  <c r="AN202"/>
  <c r="AL202"/>
  <c r="AJ202"/>
  <c r="AH202"/>
  <c r="AF202"/>
  <c r="AD202"/>
  <c r="AA202"/>
  <c r="M202"/>
  <c r="AC202" s="1"/>
  <c r="BB201"/>
  <c r="AZ201"/>
  <c r="AX201"/>
  <c r="AV201"/>
  <c r="AT201"/>
  <c r="AR201"/>
  <c r="AP201"/>
  <c r="AN201"/>
  <c r="AL201"/>
  <c r="AJ201"/>
  <c r="AH201"/>
  <c r="AF201"/>
  <c r="AD201"/>
  <c r="AA201"/>
  <c r="M201"/>
  <c r="AC201" s="1"/>
  <c r="BB200"/>
  <c r="AZ200"/>
  <c r="AX200"/>
  <c r="AV200"/>
  <c r="AT200"/>
  <c r="AR200"/>
  <c r="AP200"/>
  <c r="AN200"/>
  <c r="AL200"/>
  <c r="AJ200"/>
  <c r="AH200"/>
  <c r="AF200"/>
  <c r="AD200"/>
  <c r="AA200"/>
  <c r="M200"/>
  <c r="AC200" s="1"/>
  <c r="BB199"/>
  <c r="AZ199"/>
  <c r="AX199"/>
  <c r="AV199"/>
  <c r="AT199"/>
  <c r="AR199"/>
  <c r="AP199"/>
  <c r="AN199"/>
  <c r="AL199"/>
  <c r="AJ199"/>
  <c r="AH199"/>
  <c r="AF199"/>
  <c r="AD199"/>
  <c r="AA199"/>
  <c r="M199"/>
  <c r="AC199" s="1"/>
  <c r="BB198"/>
  <c r="AZ198"/>
  <c r="AX198"/>
  <c r="AV198"/>
  <c r="AT198"/>
  <c r="AR198"/>
  <c r="AP198"/>
  <c r="AN198"/>
  <c r="AL198"/>
  <c r="AJ198"/>
  <c r="AH198"/>
  <c r="AF198"/>
  <c r="AD198"/>
  <c r="AA198"/>
  <c r="M198"/>
  <c r="AC198" s="1"/>
  <c r="BB197"/>
  <c r="AZ197"/>
  <c r="AX197"/>
  <c r="AV197"/>
  <c r="AT197"/>
  <c r="AR197"/>
  <c r="AP197"/>
  <c r="AN197"/>
  <c r="AL197"/>
  <c r="AJ197"/>
  <c r="AH197"/>
  <c r="AF197"/>
  <c r="AD197"/>
  <c r="AA197"/>
  <c r="M197"/>
  <c r="AC197" s="1"/>
  <c r="BB196"/>
  <c r="AZ196"/>
  <c r="AX196"/>
  <c r="AV196"/>
  <c r="AT196"/>
  <c r="AR196"/>
  <c r="AP196"/>
  <c r="AN196"/>
  <c r="AL196"/>
  <c r="AJ196"/>
  <c r="AH196"/>
  <c r="AF196"/>
  <c r="AD196"/>
  <c r="AA196"/>
  <c r="M196"/>
  <c r="AC196" s="1"/>
  <c r="BB195"/>
  <c r="AZ195"/>
  <c r="AX195"/>
  <c r="AV195"/>
  <c r="AT195"/>
  <c r="AR195"/>
  <c r="AP195"/>
  <c r="AN195"/>
  <c r="AL195"/>
  <c r="AJ195"/>
  <c r="AH195"/>
  <c r="AF195"/>
  <c r="AD195"/>
  <c r="AA195"/>
  <c r="M195"/>
  <c r="AC195" s="1"/>
  <c r="BB194"/>
  <c r="AZ194"/>
  <c r="AX194"/>
  <c r="AV194"/>
  <c r="AT194"/>
  <c r="AR194"/>
  <c r="AP194"/>
  <c r="AN194"/>
  <c r="AL194"/>
  <c r="AJ194"/>
  <c r="AH194"/>
  <c r="AF194"/>
  <c r="AD194"/>
  <c r="AA194"/>
  <c r="M194"/>
  <c r="AC194" s="1"/>
  <c r="BB193"/>
  <c r="AZ193"/>
  <c r="AX193"/>
  <c r="AV193"/>
  <c r="AT193"/>
  <c r="AR193"/>
  <c r="AP193"/>
  <c r="AN193"/>
  <c r="AL193"/>
  <c r="AJ193"/>
  <c r="AH193"/>
  <c r="AF193"/>
  <c r="AD193"/>
  <c r="AA193"/>
  <c r="M193"/>
  <c r="AC193" s="1"/>
  <c r="BB192"/>
  <c r="AZ192"/>
  <c r="AX192"/>
  <c r="AV192"/>
  <c r="AT192"/>
  <c r="AR192"/>
  <c r="AP192"/>
  <c r="AN192"/>
  <c r="AL192"/>
  <c r="AJ192"/>
  <c r="AH192"/>
  <c r="AF192"/>
  <c r="AD192"/>
  <c r="AA192"/>
  <c r="M192"/>
  <c r="AC192" s="1"/>
  <c r="BB191"/>
  <c r="AZ191"/>
  <c r="AX191"/>
  <c r="AV191"/>
  <c r="AT191"/>
  <c r="AR191"/>
  <c r="AP191"/>
  <c r="AN191"/>
  <c r="AL191"/>
  <c r="AJ191"/>
  <c r="AH191"/>
  <c r="AF191"/>
  <c r="AD191"/>
  <c r="AA191"/>
  <c r="M191"/>
  <c r="AC191" s="1"/>
  <c r="BB190"/>
  <c r="AZ190"/>
  <c r="AX190"/>
  <c r="AV190"/>
  <c r="AT190"/>
  <c r="AR190"/>
  <c r="AP190"/>
  <c r="AN190"/>
  <c r="AL190"/>
  <c r="AJ190"/>
  <c r="AH190"/>
  <c r="AF190"/>
  <c r="AD190"/>
  <c r="AA190"/>
  <c r="M190"/>
  <c r="AC190" s="1"/>
  <c r="BB189"/>
  <c r="AZ189"/>
  <c r="AX189"/>
  <c r="AV189"/>
  <c r="AT189"/>
  <c r="AR189"/>
  <c r="AP189"/>
  <c r="AN189"/>
  <c r="AL189"/>
  <c r="AJ189"/>
  <c r="AH189"/>
  <c r="AF189"/>
  <c r="AD189"/>
  <c r="AA189"/>
  <c r="M189"/>
  <c r="AC189" s="1"/>
  <c r="BB188"/>
  <c r="AZ188"/>
  <c r="AX188"/>
  <c r="AV188"/>
  <c r="AT188"/>
  <c r="AR188"/>
  <c r="AP188"/>
  <c r="AN188"/>
  <c r="AL188"/>
  <c r="AJ188"/>
  <c r="AH188"/>
  <c r="AF188"/>
  <c r="AD188"/>
  <c r="AA188"/>
  <c r="M188"/>
  <c r="AC188" s="1"/>
  <c r="BB187"/>
  <c r="AZ187"/>
  <c r="AX187"/>
  <c r="AV187"/>
  <c r="AT187"/>
  <c r="AR187"/>
  <c r="AP187"/>
  <c r="AN187"/>
  <c r="AL187"/>
  <c r="AJ187"/>
  <c r="AH187"/>
  <c r="AF187"/>
  <c r="AD187"/>
  <c r="AA187"/>
  <c r="M187"/>
  <c r="AC187" s="1"/>
  <c r="BB186"/>
  <c r="AZ186"/>
  <c r="AX186"/>
  <c r="AV186"/>
  <c r="AT186"/>
  <c r="AR186"/>
  <c r="AP186"/>
  <c r="AN186"/>
  <c r="AL186"/>
  <c r="AJ186"/>
  <c r="AH186"/>
  <c r="AF186"/>
  <c r="AD186"/>
  <c r="AA186"/>
  <c r="M186"/>
  <c r="AC186" s="1"/>
  <c r="BB185"/>
  <c r="AZ185"/>
  <c r="AX185"/>
  <c r="AV185"/>
  <c r="AT185"/>
  <c r="AR185"/>
  <c r="AP185"/>
  <c r="AN185"/>
  <c r="AL185"/>
  <c r="AJ185"/>
  <c r="AH185"/>
  <c r="AF185"/>
  <c r="AD185"/>
  <c r="AA185"/>
  <c r="M185"/>
  <c r="AC185" s="1"/>
  <c r="BB184"/>
  <c r="AZ184"/>
  <c r="AX184"/>
  <c r="AV184"/>
  <c r="AT184"/>
  <c r="AR184"/>
  <c r="AP184"/>
  <c r="AN184"/>
  <c r="AL184"/>
  <c r="AJ184"/>
  <c r="AH184"/>
  <c r="AF184"/>
  <c r="AD184"/>
  <c r="AA184"/>
  <c r="M184"/>
  <c r="AC184" s="1"/>
  <c r="BB183"/>
  <c r="AZ183"/>
  <c r="AX183"/>
  <c r="AV183"/>
  <c r="AT183"/>
  <c r="AR183"/>
  <c r="AP183"/>
  <c r="AN183"/>
  <c r="AL183"/>
  <c r="AJ183"/>
  <c r="AH183"/>
  <c r="AF183"/>
  <c r="AD183"/>
  <c r="AA183"/>
  <c r="M183"/>
  <c r="AC183" s="1"/>
  <c r="BB182"/>
  <c r="AZ182"/>
  <c r="AX182"/>
  <c r="AV182"/>
  <c r="AT182"/>
  <c r="AR182"/>
  <c r="AP182"/>
  <c r="AN182"/>
  <c r="AL182"/>
  <c r="AJ182"/>
  <c r="AH182"/>
  <c r="AF182"/>
  <c r="AD182"/>
  <c r="AA182"/>
  <c r="M182"/>
  <c r="AC182" s="1"/>
  <c r="BB181"/>
  <c r="AZ181"/>
  <c r="AX181"/>
  <c r="AV181"/>
  <c r="AT181"/>
  <c r="AR181"/>
  <c r="AP181"/>
  <c r="AN181"/>
  <c r="AL181"/>
  <c r="AJ181"/>
  <c r="AH181"/>
  <c r="AF181"/>
  <c r="AD181"/>
  <c r="AA181"/>
  <c r="M181"/>
  <c r="AC181" s="1"/>
  <c r="BB180"/>
  <c r="AZ180"/>
  <c r="AX180"/>
  <c r="AV180"/>
  <c r="AT180"/>
  <c r="AR180"/>
  <c r="AP180"/>
  <c r="AN180"/>
  <c r="AL180"/>
  <c r="AJ180"/>
  <c r="AH180"/>
  <c r="AF180"/>
  <c r="AD180"/>
  <c r="AA180"/>
  <c r="M180"/>
  <c r="AC180" s="1"/>
  <c r="BB179"/>
  <c r="AZ179"/>
  <c r="AX179"/>
  <c r="AV179"/>
  <c r="AT179"/>
  <c r="AR179"/>
  <c r="AP179"/>
  <c r="AN179"/>
  <c r="AL179"/>
  <c r="AJ179"/>
  <c r="AH179"/>
  <c r="AF179"/>
  <c r="AD179"/>
  <c r="AA179"/>
  <c r="M179"/>
  <c r="AC179" s="1"/>
  <c r="BB178"/>
  <c r="AZ178"/>
  <c r="AX178"/>
  <c r="AV178"/>
  <c r="AT178"/>
  <c r="AR178"/>
  <c r="AP178"/>
  <c r="AN178"/>
  <c r="AL178"/>
  <c r="AJ178"/>
  <c r="AH178"/>
  <c r="AF178"/>
  <c r="AD178"/>
  <c r="AA178"/>
  <c r="M178"/>
  <c r="AC178" s="1"/>
  <c r="BB177"/>
  <c r="AZ177"/>
  <c r="AX177"/>
  <c r="AV177"/>
  <c r="AT177"/>
  <c r="AR177"/>
  <c r="AP177"/>
  <c r="AN177"/>
  <c r="AL177"/>
  <c r="AJ177"/>
  <c r="AH177"/>
  <c r="AF177"/>
  <c r="AD177"/>
  <c r="AA177"/>
  <c r="M177"/>
  <c r="AC177" s="1"/>
  <c r="BB176"/>
  <c r="AZ176"/>
  <c r="AX176"/>
  <c r="AV176"/>
  <c r="AT176"/>
  <c r="AS176"/>
  <c r="AS931" s="1"/>
  <c r="AR176"/>
  <c r="AP176"/>
  <c r="AN176"/>
  <c r="AL176"/>
  <c r="AJ176"/>
  <c r="AG176"/>
  <c r="AH176" s="1"/>
  <c r="AF176"/>
  <c r="AA176"/>
  <c r="BB175"/>
  <c r="AZ175"/>
  <c r="AX175"/>
  <c r="AV175"/>
  <c r="AT175"/>
  <c r="AR175"/>
  <c r="AP175"/>
  <c r="AN175"/>
  <c r="AL175"/>
  <c r="AJ175"/>
  <c r="AH175"/>
  <c r="AF175"/>
  <c r="AD175"/>
  <c r="AA175"/>
  <c r="M175"/>
  <c r="AC175" s="1"/>
  <c r="BB174"/>
  <c r="AZ174"/>
  <c r="AX174"/>
  <c r="AV174"/>
  <c r="AT174"/>
  <c r="AR174"/>
  <c r="AP174"/>
  <c r="AN174"/>
  <c r="AL174"/>
  <c r="AJ174"/>
  <c r="AH174"/>
  <c r="AF174"/>
  <c r="AA174"/>
  <c r="M174"/>
  <c r="AD174" s="1"/>
  <c r="BB173"/>
  <c r="AZ173"/>
  <c r="AX173"/>
  <c r="AV173"/>
  <c r="AT173"/>
  <c r="AR173"/>
  <c r="AP173"/>
  <c r="AN173"/>
  <c r="AL173"/>
  <c r="AJ173"/>
  <c r="AH173"/>
  <c r="AF173"/>
  <c r="AA173"/>
  <c r="M173"/>
  <c r="AD173" s="1"/>
  <c r="BB172"/>
  <c r="AZ172"/>
  <c r="AX172"/>
  <c r="AV172"/>
  <c r="AT172"/>
  <c r="AR172"/>
  <c r="AP172"/>
  <c r="AN172"/>
  <c r="AL172"/>
  <c r="AJ172"/>
  <c r="AH172"/>
  <c r="AF172"/>
  <c r="AA172"/>
  <c r="M172"/>
  <c r="AD172" s="1"/>
  <c r="BB171"/>
  <c r="AZ171"/>
  <c r="AX171"/>
  <c r="AV171"/>
  <c r="AT171"/>
  <c r="AR171"/>
  <c r="AP171"/>
  <c r="AN171"/>
  <c r="AL171"/>
  <c r="AJ171"/>
  <c r="AH171"/>
  <c r="AF171"/>
  <c r="AA171"/>
  <c r="M171"/>
  <c r="AD171" s="1"/>
  <c r="BB170"/>
  <c r="AZ170"/>
  <c r="AX170"/>
  <c r="AV170"/>
  <c r="AT170"/>
  <c r="AR170"/>
  <c r="AP170"/>
  <c r="AN170"/>
  <c r="AL170"/>
  <c r="AJ170"/>
  <c r="AH170"/>
  <c r="AF170"/>
  <c r="AA170"/>
  <c r="M170"/>
  <c r="AD170" s="1"/>
  <c r="BB169"/>
  <c r="AZ169"/>
  <c r="AX169"/>
  <c r="AV169"/>
  <c r="AT169"/>
  <c r="AR169"/>
  <c r="AP169"/>
  <c r="AN169"/>
  <c r="AL169"/>
  <c r="AJ169"/>
  <c r="AH169"/>
  <c r="AF169"/>
  <c r="AA169"/>
  <c r="M169"/>
  <c r="AD169" s="1"/>
  <c r="AC168"/>
  <c r="Y168"/>
  <c r="M168"/>
  <c r="K168"/>
  <c r="BB168" s="1"/>
  <c r="BB167"/>
  <c r="AZ167"/>
  <c r="AX167"/>
  <c r="AV167"/>
  <c r="AT167"/>
  <c r="AR167"/>
  <c r="AP167"/>
  <c r="AN167"/>
  <c r="AL167"/>
  <c r="AJ167"/>
  <c r="AH167"/>
  <c r="AF167"/>
  <c r="AA167"/>
  <c r="M167"/>
  <c r="AD167" s="1"/>
  <c r="BB166"/>
  <c r="AZ166"/>
  <c r="AX166"/>
  <c r="AV166"/>
  <c r="AT166"/>
  <c r="AR166"/>
  <c r="AP166"/>
  <c r="AN166"/>
  <c r="AL166"/>
  <c r="AJ166"/>
  <c r="AH166"/>
  <c r="AF166"/>
  <c r="AA166"/>
  <c r="M166"/>
  <c r="AD166" s="1"/>
  <c r="AC165"/>
  <c r="Y165"/>
  <c r="M165"/>
  <c r="K165"/>
  <c r="BB165" s="1"/>
  <c r="BB164"/>
  <c r="AZ164"/>
  <c r="AX164"/>
  <c r="AV164"/>
  <c r="AT164"/>
  <c r="AR164"/>
  <c r="AP164"/>
  <c r="AN164"/>
  <c r="AL164"/>
  <c r="AJ164"/>
  <c r="AH164"/>
  <c r="AF164"/>
  <c r="AA164"/>
  <c r="M164"/>
  <c r="AD164" s="1"/>
  <c r="BB163"/>
  <c r="AZ163"/>
  <c r="AX163"/>
  <c r="AV163"/>
  <c r="AT163"/>
  <c r="AR163"/>
  <c r="AP163"/>
  <c r="AN163"/>
  <c r="AL163"/>
  <c r="AJ163"/>
  <c r="AH163"/>
  <c r="AF163"/>
  <c r="AA163"/>
  <c r="M163"/>
  <c r="AD163" s="1"/>
  <c r="AC162"/>
  <c r="Y162"/>
  <c r="M162"/>
  <c r="K162"/>
  <c r="BB162" s="1"/>
  <c r="BB161"/>
  <c r="AZ161"/>
  <c r="AX161"/>
  <c r="AV161"/>
  <c r="AT161"/>
  <c r="AR161"/>
  <c r="AP161"/>
  <c r="AN161"/>
  <c r="AL161"/>
  <c r="AJ161"/>
  <c r="AH161"/>
  <c r="AF161"/>
  <c r="AA161"/>
  <c r="M161"/>
  <c r="AD161" s="1"/>
  <c r="BB160"/>
  <c r="AZ160"/>
  <c r="AX160"/>
  <c r="AV160"/>
  <c r="AT160"/>
  <c r="AR160"/>
  <c r="AP160"/>
  <c r="AN160"/>
  <c r="AL160"/>
  <c r="AJ160"/>
  <c r="AH160"/>
  <c r="AF160"/>
  <c r="AA160"/>
  <c r="M160"/>
  <c r="AD160" s="1"/>
  <c r="BB159"/>
  <c r="AZ159"/>
  <c r="AX159"/>
  <c r="AV159"/>
  <c r="AT159"/>
  <c r="AR159"/>
  <c r="AP159"/>
  <c r="AN159"/>
  <c r="AL159"/>
  <c r="AJ159"/>
  <c r="AH159"/>
  <c r="AF159"/>
  <c r="AA159"/>
  <c r="M159"/>
  <c r="AD159" s="1"/>
  <c r="BB158"/>
  <c r="AZ158"/>
  <c r="AX158"/>
  <c r="AV158"/>
  <c r="AT158"/>
  <c r="AR158"/>
  <c r="AP158"/>
  <c r="AN158"/>
  <c r="AL158"/>
  <c r="AJ158"/>
  <c r="AH158"/>
  <c r="AF158"/>
  <c r="AA158"/>
  <c r="M158"/>
  <c r="AD158" s="1"/>
  <c r="BB157"/>
  <c r="AZ157"/>
  <c r="AX157"/>
  <c r="AV157"/>
  <c r="AT157"/>
  <c r="AR157"/>
  <c r="AP157"/>
  <c r="AN157"/>
  <c r="AL157"/>
  <c r="AJ157"/>
  <c r="AH157"/>
  <c r="AF157"/>
  <c r="AA157"/>
  <c r="M157"/>
  <c r="AD157" s="1"/>
  <c r="BB156"/>
  <c r="AZ156"/>
  <c r="AX156"/>
  <c r="AV156"/>
  <c r="AT156"/>
  <c r="AR156"/>
  <c r="AP156"/>
  <c r="AN156"/>
  <c r="AL156"/>
  <c r="AJ156"/>
  <c r="AH156"/>
  <c r="AF156"/>
  <c r="AA156"/>
  <c r="M156"/>
  <c r="AD156" s="1"/>
  <c r="BB155"/>
  <c r="AZ155"/>
  <c r="AX155"/>
  <c r="AV155"/>
  <c r="AT155"/>
  <c r="AR155"/>
  <c r="AP155"/>
  <c r="AN155"/>
  <c r="AL155"/>
  <c r="AJ155"/>
  <c r="AH155"/>
  <c r="AF155"/>
  <c r="AA155"/>
  <c r="M155"/>
  <c r="AD155" s="1"/>
  <c r="BB154"/>
  <c r="AZ154"/>
  <c r="AX154"/>
  <c r="AV154"/>
  <c r="AT154"/>
  <c r="AR154"/>
  <c r="AP154"/>
  <c r="AN154"/>
  <c r="AL154"/>
  <c r="AJ154"/>
  <c r="AH154"/>
  <c r="AF154"/>
  <c r="AA154"/>
  <c r="M154"/>
  <c r="AD154" s="1"/>
  <c r="BB153"/>
  <c r="AZ153"/>
  <c r="AX153"/>
  <c r="AV153"/>
  <c r="AT153"/>
  <c r="AR153"/>
  <c r="AP153"/>
  <c r="AN153"/>
  <c r="AL153"/>
  <c r="AJ153"/>
  <c r="AH153"/>
  <c r="AF153"/>
  <c r="AA153"/>
  <c r="M153"/>
  <c r="AD153" s="1"/>
  <c r="BB152"/>
  <c r="AZ152"/>
  <c r="AX152"/>
  <c r="AV152"/>
  <c r="AT152"/>
  <c r="AR152"/>
  <c r="AP152"/>
  <c r="AN152"/>
  <c r="AL152"/>
  <c r="AJ152"/>
  <c r="AH152"/>
  <c r="AF152"/>
  <c r="AA152"/>
  <c r="M152"/>
  <c r="AD152" s="1"/>
  <c r="BB151"/>
  <c r="AZ151"/>
  <c r="AX151"/>
  <c r="AV151"/>
  <c r="AT151"/>
  <c r="AR151"/>
  <c r="AP151"/>
  <c r="AN151"/>
  <c r="AL151"/>
  <c r="AJ151"/>
  <c r="AH151"/>
  <c r="AF151"/>
  <c r="AA151"/>
  <c r="M151"/>
  <c r="AD151" s="1"/>
  <c r="BB150"/>
  <c r="AZ150"/>
  <c r="AX150"/>
  <c r="AV150"/>
  <c r="AT150"/>
  <c r="AR150"/>
  <c r="AP150"/>
  <c r="AN150"/>
  <c r="AL150"/>
  <c r="AJ150"/>
  <c r="AH150"/>
  <c r="AF150"/>
  <c r="AA150"/>
  <c r="M150"/>
  <c r="AD150" s="1"/>
  <c r="BB149"/>
  <c r="AZ149"/>
  <c r="AX149"/>
  <c r="AV149"/>
  <c r="AT149"/>
  <c r="AR149"/>
  <c r="AP149"/>
  <c r="AN149"/>
  <c r="AL149"/>
  <c r="AJ149"/>
  <c r="AH149"/>
  <c r="AF149"/>
  <c r="AA149"/>
  <c r="M149"/>
  <c r="AD149" s="1"/>
  <c r="BB148"/>
  <c r="AZ148"/>
  <c r="AX148"/>
  <c r="AV148"/>
  <c r="AT148"/>
  <c r="AR148"/>
  <c r="AP148"/>
  <c r="AN148"/>
  <c r="AL148"/>
  <c r="AJ148"/>
  <c r="AH148"/>
  <c r="AF148"/>
  <c r="AA148"/>
  <c r="M148"/>
  <c r="AD148" s="1"/>
  <c r="BB147"/>
  <c r="AZ147"/>
  <c r="AX147"/>
  <c r="AV147"/>
  <c r="AT147"/>
  <c r="AR147"/>
  <c r="AP147"/>
  <c r="AN147"/>
  <c r="AL147"/>
  <c r="AJ147"/>
  <c r="AH147"/>
  <c r="AF147"/>
  <c r="AA147"/>
  <c r="M147"/>
  <c r="AD147" s="1"/>
  <c r="BB146"/>
  <c r="AZ146"/>
  <c r="AX146"/>
  <c r="AV146"/>
  <c r="AT146"/>
  <c r="AR146"/>
  <c r="AP146"/>
  <c r="AN146"/>
  <c r="AL146"/>
  <c r="AJ146"/>
  <c r="AH146"/>
  <c r="AF146"/>
  <c r="AA146"/>
  <c r="M146"/>
  <c r="AD146" s="1"/>
  <c r="BB145"/>
  <c r="AZ145"/>
  <c r="AX145"/>
  <c r="AV145"/>
  <c r="AT145"/>
  <c r="AR145"/>
  <c r="AP145"/>
  <c r="AN145"/>
  <c r="AL145"/>
  <c r="AJ145"/>
  <c r="AH145"/>
  <c r="AF145"/>
  <c r="AA145"/>
  <c r="M145"/>
  <c r="AD145" s="1"/>
  <c r="BB144"/>
  <c r="AZ144"/>
  <c r="AX144"/>
  <c r="AV144"/>
  <c r="AT144"/>
  <c r="AR144"/>
  <c r="AP144"/>
  <c r="AN144"/>
  <c r="AL144"/>
  <c r="AJ144"/>
  <c r="AH144"/>
  <c r="AF144"/>
  <c r="AA144"/>
  <c r="M144"/>
  <c r="AD144" s="1"/>
  <c r="BB143"/>
  <c r="AZ143"/>
  <c r="AX143"/>
  <c r="AV143"/>
  <c r="AT143"/>
  <c r="AR143"/>
  <c r="AP143"/>
  <c r="AN143"/>
  <c r="AL143"/>
  <c r="AJ143"/>
  <c r="AH143"/>
  <c r="AF143"/>
  <c r="AA143"/>
  <c r="M143"/>
  <c r="AD143" s="1"/>
  <c r="BB142"/>
  <c r="AZ142"/>
  <c r="AX142"/>
  <c r="AV142"/>
  <c r="AT142"/>
  <c r="AR142"/>
  <c r="AP142"/>
  <c r="AN142"/>
  <c r="AL142"/>
  <c r="AJ142"/>
  <c r="AH142"/>
  <c r="AF142"/>
  <c r="AA142"/>
  <c r="M142"/>
  <c r="AD142" s="1"/>
  <c r="BB141"/>
  <c r="AZ141"/>
  <c r="AX141"/>
  <c r="AV141"/>
  <c r="AT141"/>
  <c r="AR141"/>
  <c r="AP141"/>
  <c r="AN141"/>
  <c r="AL141"/>
  <c r="AJ141"/>
  <c r="AH141"/>
  <c r="AF141"/>
  <c r="AA141"/>
  <c r="M141"/>
  <c r="AD141" s="1"/>
  <c r="BB140"/>
  <c r="AZ140"/>
  <c r="AX140"/>
  <c r="AV140"/>
  <c r="AT140"/>
  <c r="AR140"/>
  <c r="AP140"/>
  <c r="AN140"/>
  <c r="AL140"/>
  <c r="AJ140"/>
  <c r="AH140"/>
  <c r="AF140"/>
  <c r="AA140"/>
  <c r="M140"/>
  <c r="AD140" s="1"/>
  <c r="BB139"/>
  <c r="AZ139"/>
  <c r="AX139"/>
  <c r="AV139"/>
  <c r="AT139"/>
  <c r="AR139"/>
  <c r="AP139"/>
  <c r="AN139"/>
  <c r="AL139"/>
  <c r="AJ139"/>
  <c r="AH139"/>
  <c r="AF139"/>
  <c r="AA139"/>
  <c r="M139"/>
  <c r="AD139" s="1"/>
  <c r="BB138"/>
  <c r="AZ138"/>
  <c r="AX138"/>
  <c r="AV138"/>
  <c r="AT138"/>
  <c r="AR138"/>
  <c r="AP138"/>
  <c r="AN138"/>
  <c r="AL138"/>
  <c r="AJ138"/>
  <c r="AH138"/>
  <c r="AF138"/>
  <c r="AA138"/>
  <c r="M138"/>
  <c r="AD138" s="1"/>
  <c r="BB137"/>
  <c r="AZ137"/>
  <c r="AX137"/>
  <c r="AV137"/>
  <c r="AT137"/>
  <c r="AR137"/>
  <c r="AP137"/>
  <c r="AN137"/>
  <c r="AL137"/>
  <c r="AJ137"/>
  <c r="AH137"/>
  <c r="AF137"/>
  <c r="AA137"/>
  <c r="M137"/>
  <c r="AD137" s="1"/>
  <c r="BB136"/>
  <c r="AZ136"/>
  <c r="AX136"/>
  <c r="AV136"/>
  <c r="AT136"/>
  <c r="AR136"/>
  <c r="AP136"/>
  <c r="AN136"/>
  <c r="AL136"/>
  <c r="AJ136"/>
  <c r="AH136"/>
  <c r="AF136"/>
  <c r="AA136"/>
  <c r="M136"/>
  <c r="AD136" s="1"/>
  <c r="BB135"/>
  <c r="AZ135"/>
  <c r="AX135"/>
  <c r="AV135"/>
  <c r="AT135"/>
  <c r="AR135"/>
  <c r="AP135"/>
  <c r="AN135"/>
  <c r="AL135"/>
  <c r="AJ135"/>
  <c r="AH135"/>
  <c r="AF135"/>
  <c r="AA135"/>
  <c r="M135"/>
  <c r="AD135" s="1"/>
  <c r="BB134"/>
  <c r="AZ134"/>
  <c r="AX134"/>
  <c r="AV134"/>
  <c r="AT134"/>
  <c r="AR134"/>
  <c r="AP134"/>
  <c r="AN134"/>
  <c r="AL134"/>
  <c r="AJ134"/>
  <c r="AH134"/>
  <c r="AF134"/>
  <c r="AA134"/>
  <c r="M134"/>
  <c r="AD134" s="1"/>
  <c r="BB133"/>
  <c r="AZ133"/>
  <c r="AX133"/>
  <c r="AV133"/>
  <c r="AT133"/>
  <c r="AR133"/>
  <c r="AP133"/>
  <c r="AN133"/>
  <c r="AM133"/>
  <c r="AL133"/>
  <c r="AJ133"/>
  <c r="AH133"/>
  <c r="AF133"/>
  <c r="AD133"/>
  <c r="AA133"/>
  <c r="M133"/>
  <c r="AC133" s="1"/>
  <c r="BB132"/>
  <c r="AZ132"/>
  <c r="AX132"/>
  <c r="AV132"/>
  <c r="AT132"/>
  <c r="AR132"/>
  <c r="AP132"/>
  <c r="AN132"/>
  <c r="AL132"/>
  <c r="AJ132"/>
  <c r="AH132"/>
  <c r="AF132"/>
  <c r="AD132"/>
  <c r="AA132"/>
  <c r="M132"/>
  <c r="AC132" s="1"/>
  <c r="BB131"/>
  <c r="AZ131"/>
  <c r="AX131"/>
  <c r="AV131"/>
  <c r="AT131"/>
  <c r="AR131"/>
  <c r="AP131"/>
  <c r="AN131"/>
  <c r="AL131"/>
  <c r="AJ131"/>
  <c r="AH131"/>
  <c r="AF131"/>
  <c r="AD131"/>
  <c r="AA131"/>
  <c r="M131"/>
  <c r="AC131" s="1"/>
  <c r="BB130"/>
  <c r="AZ130"/>
  <c r="AX130"/>
  <c r="AV130"/>
  <c r="AT130"/>
  <c r="AR130"/>
  <c r="AP130"/>
  <c r="AN130"/>
  <c r="AL130"/>
  <c r="AJ130"/>
  <c r="AH130"/>
  <c r="AF130"/>
  <c r="AD130"/>
  <c r="AA130"/>
  <c r="M130"/>
  <c r="AC130" s="1"/>
  <c r="BB129"/>
  <c r="AZ129"/>
  <c r="AX129"/>
  <c r="AV129"/>
  <c r="AT129"/>
  <c r="AR129"/>
  <c r="AP129"/>
  <c r="AN129"/>
  <c r="AL129"/>
  <c r="AJ129"/>
  <c r="AH129"/>
  <c r="AF129"/>
  <c r="AD129"/>
  <c r="AA129"/>
  <c r="M129"/>
  <c r="AC129" s="1"/>
  <c r="BB128"/>
  <c r="AZ128"/>
  <c r="AX128"/>
  <c r="AV128"/>
  <c r="AT128"/>
  <c r="AR128"/>
  <c r="AP128"/>
  <c r="AN128"/>
  <c r="AL128"/>
  <c r="AJ128"/>
  <c r="AH128"/>
  <c r="AF128"/>
  <c r="AD128"/>
  <c r="AA128"/>
  <c r="M128"/>
  <c r="AC128" s="1"/>
  <c r="BB127"/>
  <c r="AZ127"/>
  <c r="AX127"/>
  <c r="AV127"/>
  <c r="AT127"/>
  <c r="AR127"/>
  <c r="AP127"/>
  <c r="AN127"/>
  <c r="AL127"/>
  <c r="AJ127"/>
  <c r="AH127"/>
  <c r="AF127"/>
  <c r="AD127"/>
  <c r="AA127"/>
  <c r="M127"/>
  <c r="AC127" s="1"/>
  <c r="BB126"/>
  <c r="AZ126"/>
  <c r="AX126"/>
  <c r="AV126"/>
  <c r="AT126"/>
  <c r="AR126"/>
  <c r="AP126"/>
  <c r="AM126"/>
  <c r="AN126" s="1"/>
  <c r="AL126"/>
  <c r="AJ126"/>
  <c r="AH126"/>
  <c r="AF126"/>
  <c r="AA126"/>
  <c r="M126"/>
  <c r="AD126" s="1"/>
  <c r="BB125"/>
  <c r="AZ125"/>
  <c r="AX125"/>
  <c r="AV125"/>
  <c r="AT125"/>
  <c r="AR125"/>
  <c r="AP125"/>
  <c r="AN125"/>
  <c r="AL125"/>
  <c r="AJ125"/>
  <c r="AH125"/>
  <c r="AF125"/>
  <c r="AA125"/>
  <c r="M125"/>
  <c r="AD125" s="1"/>
  <c r="BB124"/>
  <c r="AZ124"/>
  <c r="AX124"/>
  <c r="AV124"/>
  <c r="AT124"/>
  <c r="AR124"/>
  <c r="AP124"/>
  <c r="AN124"/>
  <c r="AL124"/>
  <c r="AJ124"/>
  <c r="AH124"/>
  <c r="AF124"/>
  <c r="AC124"/>
  <c r="AB124"/>
  <c r="AA124"/>
  <c r="M124"/>
  <c r="AD124" s="1"/>
  <c r="BB123"/>
  <c r="AZ123"/>
  <c r="AX123"/>
  <c r="AV123"/>
  <c r="AT123"/>
  <c r="AR123"/>
  <c r="AP123"/>
  <c r="AN123"/>
  <c r="AL123"/>
  <c r="AJ123"/>
  <c r="AH123"/>
  <c r="AF123"/>
  <c r="AD123"/>
  <c r="AA123"/>
  <c r="M123"/>
  <c r="AC123" s="1"/>
  <c r="BB122"/>
  <c r="AZ122"/>
  <c r="AX122"/>
  <c r="AV122"/>
  <c r="AT122"/>
  <c r="AR122"/>
  <c r="AP122"/>
  <c r="AN122"/>
  <c r="AL122"/>
  <c r="AJ122"/>
  <c r="AH122"/>
  <c r="AF122"/>
  <c r="AD122"/>
  <c r="AA122"/>
  <c r="M122"/>
  <c r="AC122" s="1"/>
  <c r="BB121"/>
  <c r="AZ121"/>
  <c r="AX121"/>
  <c r="AV121"/>
  <c r="AT121"/>
  <c r="AR121"/>
  <c r="AP121"/>
  <c r="AN121"/>
  <c r="AL121"/>
  <c r="AJ121"/>
  <c r="AH121"/>
  <c r="AF121"/>
  <c r="AD121"/>
  <c r="AA121"/>
  <c r="M121"/>
  <c r="AC121" s="1"/>
  <c r="BB120"/>
  <c r="AZ120"/>
  <c r="AX120"/>
  <c r="AV120"/>
  <c r="AT120"/>
  <c r="AR120"/>
  <c r="AP120"/>
  <c r="AN120"/>
  <c r="AL120"/>
  <c r="AJ120"/>
  <c r="AH120"/>
  <c r="AF120"/>
  <c r="AD120"/>
  <c r="AA120"/>
  <c r="M120"/>
  <c r="AC120" s="1"/>
  <c r="BB119"/>
  <c r="AZ119"/>
  <c r="AX119"/>
  <c r="AV119"/>
  <c r="AT119"/>
  <c r="AR119"/>
  <c r="AP119"/>
  <c r="AN119"/>
  <c r="AL119"/>
  <c r="AJ119"/>
  <c r="AH119"/>
  <c r="AF119"/>
  <c r="AD119"/>
  <c r="AA119"/>
  <c r="M119"/>
  <c r="AC119" s="1"/>
  <c r="BB118"/>
  <c r="AZ118"/>
  <c r="AX118"/>
  <c r="AV118"/>
  <c r="AT118"/>
  <c r="AR118"/>
  <c r="AP118"/>
  <c r="AN118"/>
  <c r="AL118"/>
  <c r="AJ118"/>
  <c r="AH118"/>
  <c r="AF118"/>
  <c r="AD118"/>
  <c r="AA118"/>
  <c r="M118"/>
  <c r="AC118" s="1"/>
  <c r="BB117"/>
  <c r="AZ117"/>
  <c r="AX117"/>
  <c r="AV117"/>
  <c r="AT117"/>
  <c r="AR117"/>
  <c r="AP117"/>
  <c r="AN117"/>
  <c r="AL117"/>
  <c r="AJ117"/>
  <c r="AH117"/>
  <c r="AF117"/>
  <c r="AD117"/>
  <c r="AA117"/>
  <c r="M117"/>
  <c r="AC117" s="1"/>
  <c r="BB116"/>
  <c r="AZ116"/>
  <c r="AX116"/>
  <c r="AV116"/>
  <c r="AT116"/>
  <c r="AR116"/>
  <c r="AP116"/>
  <c r="AN116"/>
  <c r="AL116"/>
  <c r="AJ116"/>
  <c r="AH116"/>
  <c r="AF116"/>
  <c r="AD116"/>
  <c r="AA116"/>
  <c r="M116"/>
  <c r="AC116" s="1"/>
  <c r="BB115"/>
  <c r="AZ115"/>
  <c r="AX115"/>
  <c r="AV115"/>
  <c r="AT115"/>
  <c r="AR115"/>
  <c r="AP115"/>
  <c r="AN115"/>
  <c r="AL115"/>
  <c r="AJ115"/>
  <c r="AH115"/>
  <c r="AF115"/>
  <c r="AD115"/>
  <c r="AA115"/>
  <c r="M115"/>
  <c r="AC115" s="1"/>
  <c r="BB114"/>
  <c r="AZ114"/>
  <c r="AX114"/>
  <c r="AV114"/>
  <c r="AT114"/>
  <c r="AR114"/>
  <c r="AP114"/>
  <c r="AN114"/>
  <c r="AL114"/>
  <c r="AJ114"/>
  <c r="AH114"/>
  <c r="AF114"/>
  <c r="AD114"/>
  <c r="AA114"/>
  <c r="M114"/>
  <c r="AC114" s="1"/>
  <c r="BB113"/>
  <c r="AZ113"/>
  <c r="AX113"/>
  <c r="AV113"/>
  <c r="AT113"/>
  <c r="AR113"/>
  <c r="AP113"/>
  <c r="AN113"/>
  <c r="AL113"/>
  <c r="AJ113"/>
  <c r="AH113"/>
  <c r="AF113"/>
  <c r="AD113"/>
  <c r="AA113"/>
  <c r="M113"/>
  <c r="AC113" s="1"/>
  <c r="BB112"/>
  <c r="AZ112"/>
  <c r="AX112"/>
  <c r="AV112"/>
  <c r="AT112"/>
  <c r="AR112"/>
  <c r="AP112"/>
  <c r="AN112"/>
  <c r="AL112"/>
  <c r="AJ112"/>
  <c r="AH112"/>
  <c r="AF112"/>
  <c r="AD112"/>
  <c r="AA112"/>
  <c r="M112"/>
  <c r="AC112" s="1"/>
  <c r="BB111"/>
  <c r="AZ111"/>
  <c r="AX111"/>
  <c r="AV111"/>
  <c r="AT111"/>
  <c r="AR111"/>
  <c r="AP111"/>
  <c r="AN111"/>
  <c r="AL111"/>
  <c r="AJ111"/>
  <c r="AH111"/>
  <c r="AF111"/>
  <c r="AD111"/>
  <c r="AA111"/>
  <c r="M111"/>
  <c r="AC111" s="1"/>
  <c r="BB110"/>
  <c r="AZ110"/>
  <c r="AX110"/>
  <c r="AV110"/>
  <c r="AT110"/>
  <c r="AR110"/>
  <c r="AP110"/>
  <c r="AN110"/>
  <c r="AL110"/>
  <c r="AJ110"/>
  <c r="AH110"/>
  <c r="AF110"/>
  <c r="AD110"/>
  <c r="AA110"/>
  <c r="M110"/>
  <c r="AC110" s="1"/>
  <c r="BB109"/>
  <c r="AZ109"/>
  <c r="AX109"/>
  <c r="AV109"/>
  <c r="AT109"/>
  <c r="AR109"/>
  <c r="AP109"/>
  <c r="AN109"/>
  <c r="AL109"/>
  <c r="AJ109"/>
  <c r="AH109"/>
  <c r="AF109"/>
  <c r="AD109"/>
  <c r="AA109"/>
  <c r="M109"/>
  <c r="AC109" s="1"/>
  <c r="BB108"/>
  <c r="AZ108"/>
  <c r="AX108"/>
  <c r="AV108"/>
  <c r="AT108"/>
  <c r="AR108"/>
  <c r="AP108"/>
  <c r="AN108"/>
  <c r="AL108"/>
  <c r="AJ108"/>
  <c r="AH108"/>
  <c r="AF108"/>
  <c r="AD108"/>
  <c r="AA108"/>
  <c r="M108"/>
  <c r="AC108" s="1"/>
  <c r="BB107"/>
  <c r="AZ107"/>
  <c r="AX107"/>
  <c r="AV107"/>
  <c r="AT107"/>
  <c r="AR107"/>
  <c r="AP107"/>
  <c r="AM107"/>
  <c r="AN107" s="1"/>
  <c r="AL107"/>
  <c r="AJ107"/>
  <c r="AH107"/>
  <c r="AF107"/>
  <c r="AA107"/>
  <c r="M107"/>
  <c r="AD107" s="1"/>
  <c r="BB106"/>
  <c r="AZ106"/>
  <c r="AX106"/>
  <c r="AV106"/>
  <c r="AT106"/>
  <c r="AR106"/>
  <c r="AP106"/>
  <c r="AN106"/>
  <c r="AL106"/>
  <c r="AJ106"/>
  <c r="AH106"/>
  <c r="AF106"/>
  <c r="AA106"/>
  <c r="M106"/>
  <c r="AD106" s="1"/>
  <c r="BB105"/>
  <c r="AZ105"/>
  <c r="AX105"/>
  <c r="AV105"/>
  <c r="AT105"/>
  <c r="AR105"/>
  <c r="AP105"/>
  <c r="AN105"/>
  <c r="AL105"/>
  <c r="AJ105"/>
  <c r="AH105"/>
  <c r="AF105"/>
  <c r="AA105"/>
  <c r="M105"/>
  <c r="AD105" s="1"/>
  <c r="BB104"/>
  <c r="AZ104"/>
  <c r="AX104"/>
  <c r="AV104"/>
  <c r="AT104"/>
  <c r="AR104"/>
  <c r="AP104"/>
  <c r="AN104"/>
  <c r="AL104"/>
  <c r="AJ104"/>
  <c r="AH104"/>
  <c r="AF104"/>
  <c r="AA104"/>
  <c r="M104"/>
  <c r="AD104" s="1"/>
  <c r="BB103"/>
  <c r="AZ103"/>
  <c r="AX103"/>
  <c r="AV103"/>
  <c r="AT103"/>
  <c r="AR103"/>
  <c r="AP103"/>
  <c r="AN103"/>
  <c r="AL103"/>
  <c r="AJ103"/>
  <c r="AH103"/>
  <c r="AF103"/>
  <c r="AA103"/>
  <c r="M103"/>
  <c r="AD103" s="1"/>
  <c r="BB102"/>
  <c r="AZ102"/>
  <c r="AX102"/>
  <c r="AV102"/>
  <c r="AT102"/>
  <c r="AR102"/>
  <c r="AP102"/>
  <c r="AN102"/>
  <c r="AL102"/>
  <c r="AJ102"/>
  <c r="AH102"/>
  <c r="AF102"/>
  <c r="AA102"/>
  <c r="M102"/>
  <c r="AD102" s="1"/>
  <c r="BB101"/>
  <c r="AZ101"/>
  <c r="AX101"/>
  <c r="AV101"/>
  <c r="AT101"/>
  <c r="AR101"/>
  <c r="AP101"/>
  <c r="AN101"/>
  <c r="AL101"/>
  <c r="AJ101"/>
  <c r="AH101"/>
  <c r="AF101"/>
  <c r="AA101"/>
  <c r="M101"/>
  <c r="AD101" s="1"/>
  <c r="BB100"/>
  <c r="AZ100"/>
  <c r="AX100"/>
  <c r="AV100"/>
  <c r="AT100"/>
  <c r="AR100"/>
  <c r="AP100"/>
  <c r="AN100"/>
  <c r="AL100"/>
  <c r="AJ100"/>
  <c r="AH100"/>
  <c r="AF100"/>
  <c r="AA100"/>
  <c r="M100"/>
  <c r="AD100" s="1"/>
  <c r="BB99"/>
  <c r="AZ99"/>
  <c r="AX99"/>
  <c r="AV99"/>
  <c r="AT99"/>
  <c r="AR99"/>
  <c r="AP99"/>
  <c r="AN99"/>
  <c r="AL99"/>
  <c r="AJ99"/>
  <c r="AH99"/>
  <c r="AF99"/>
  <c r="AA99"/>
  <c r="M99"/>
  <c r="AD99" s="1"/>
  <c r="BB98"/>
  <c r="AZ98"/>
  <c r="AX98"/>
  <c r="AV98"/>
  <c r="AT98"/>
  <c r="AR98"/>
  <c r="AP98"/>
  <c r="AN98"/>
  <c r="AL98"/>
  <c r="AJ98"/>
  <c r="AH98"/>
  <c r="AF98"/>
  <c r="AA98"/>
  <c r="M98"/>
  <c r="AD98" s="1"/>
  <c r="BB97"/>
  <c r="AZ97"/>
  <c r="AX97"/>
  <c r="AV97"/>
  <c r="AT97"/>
  <c r="AR97"/>
  <c r="AP97"/>
  <c r="AN97"/>
  <c r="AM97"/>
  <c r="AL97"/>
  <c r="AJ97"/>
  <c r="AH97"/>
  <c r="AF97"/>
  <c r="AD97"/>
  <c r="AA97"/>
  <c r="M97"/>
  <c r="AC97" s="1"/>
  <c r="BB96"/>
  <c r="AZ96"/>
  <c r="AX96"/>
  <c r="AV96"/>
  <c r="AT96"/>
  <c r="AR96"/>
  <c r="AP96"/>
  <c r="AN96"/>
  <c r="AL96"/>
  <c r="AJ96"/>
  <c r="AH96"/>
  <c r="AF96"/>
  <c r="AD96"/>
  <c r="AA96"/>
  <c r="M96"/>
  <c r="AC96" s="1"/>
  <c r="BB95"/>
  <c r="AZ95"/>
  <c r="AX95"/>
  <c r="AV95"/>
  <c r="AT95"/>
  <c r="AR95"/>
  <c r="AP95"/>
  <c r="AN95"/>
  <c r="AL95"/>
  <c r="AJ95"/>
  <c r="AH95"/>
  <c r="AF95"/>
  <c r="AD95"/>
  <c r="AA95"/>
  <c r="M95"/>
  <c r="AC95" s="1"/>
  <c r="BB94"/>
  <c r="AZ94"/>
  <c r="AX94"/>
  <c r="AV94"/>
  <c r="AT94"/>
  <c r="AR94"/>
  <c r="AP94"/>
  <c r="AN94"/>
  <c r="AL94"/>
  <c r="AJ94"/>
  <c r="AH94"/>
  <c r="AF94"/>
  <c r="AD94"/>
  <c r="AA94"/>
  <c r="M94"/>
  <c r="AC94" s="1"/>
  <c r="BB93"/>
  <c r="AZ93"/>
  <c r="AX93"/>
  <c r="AV93"/>
  <c r="AT93"/>
  <c r="AR93"/>
  <c r="AP93"/>
  <c r="AN93"/>
  <c r="AL93"/>
  <c r="AJ93"/>
  <c r="AH93"/>
  <c r="AF93"/>
  <c r="AD93"/>
  <c r="AA93"/>
  <c r="M93"/>
  <c r="AC93" s="1"/>
  <c r="BB92"/>
  <c r="AZ92"/>
  <c r="AX92"/>
  <c r="AV92"/>
  <c r="AT92"/>
  <c r="AR92"/>
  <c r="AP92"/>
  <c r="AN92"/>
  <c r="AL92"/>
  <c r="AJ92"/>
  <c r="AH92"/>
  <c r="AF92"/>
  <c r="AD92"/>
  <c r="AA92"/>
  <c r="M92"/>
  <c r="AC92" s="1"/>
  <c r="BB91"/>
  <c r="AZ91"/>
  <c r="AX91"/>
  <c r="AV91"/>
  <c r="AT91"/>
  <c r="AR91"/>
  <c r="AP91"/>
  <c r="AN91"/>
  <c r="AL91"/>
  <c r="AJ91"/>
  <c r="AH91"/>
  <c r="AF91"/>
  <c r="AD91"/>
  <c r="AA91"/>
  <c r="M91"/>
  <c r="AC91" s="1"/>
  <c r="BB90"/>
  <c r="AZ90"/>
  <c r="AX90"/>
  <c r="AV90"/>
  <c r="AT90"/>
  <c r="AR90"/>
  <c r="AP90"/>
  <c r="AN90"/>
  <c r="AL90"/>
  <c r="AJ90"/>
  <c r="AH90"/>
  <c r="AF90"/>
  <c r="AD90"/>
  <c r="AA90"/>
  <c r="M90"/>
  <c r="AC90" s="1"/>
  <c r="BB89"/>
  <c r="AZ89"/>
  <c r="AX89"/>
  <c r="AV89"/>
  <c r="AT89"/>
  <c r="AR89"/>
  <c r="AP89"/>
  <c r="AN89"/>
  <c r="AL89"/>
  <c r="AJ89"/>
  <c r="AH89"/>
  <c r="AF89"/>
  <c r="AD89"/>
  <c r="AA89"/>
  <c r="M89"/>
  <c r="AC89" s="1"/>
  <c r="BB88"/>
  <c r="AZ88"/>
  <c r="AX88"/>
  <c r="AV88"/>
  <c r="AT88"/>
  <c r="AR88"/>
  <c r="AP88"/>
  <c r="AN88"/>
  <c r="AL88"/>
  <c r="AJ88"/>
  <c r="AH88"/>
  <c r="AF88"/>
  <c r="AD88"/>
  <c r="AA88"/>
  <c r="M88"/>
  <c r="AC88" s="1"/>
  <c r="BB87"/>
  <c r="AZ87"/>
  <c r="AX87"/>
  <c r="AV87"/>
  <c r="AT87"/>
  <c r="AR87"/>
  <c r="AP87"/>
  <c r="AN87"/>
  <c r="AL87"/>
  <c r="AJ87"/>
  <c r="AH87"/>
  <c r="AF87"/>
  <c r="AD87"/>
  <c r="AA87"/>
  <c r="M87"/>
  <c r="AC87" s="1"/>
  <c r="BB86"/>
  <c r="AZ86"/>
  <c r="AX86"/>
  <c r="AV86"/>
  <c r="AT86"/>
  <c r="AR86"/>
  <c r="AP86"/>
  <c r="AN86"/>
  <c r="AL86"/>
  <c r="AJ86"/>
  <c r="AH86"/>
  <c r="AF86"/>
  <c r="AD86"/>
  <c r="AA86"/>
  <c r="M86"/>
  <c r="AC86" s="1"/>
  <c r="BB85"/>
  <c r="AZ85"/>
  <c r="AX85"/>
  <c r="AV85"/>
  <c r="AT85"/>
  <c r="AR85"/>
  <c r="AP85"/>
  <c r="AN85"/>
  <c r="AL85"/>
  <c r="AJ85"/>
  <c r="AH85"/>
  <c r="AF85"/>
  <c r="AD85"/>
  <c r="AA85"/>
  <c r="M85"/>
  <c r="AC85" s="1"/>
  <c r="BB84"/>
  <c r="AZ84"/>
  <c r="AX84"/>
  <c r="AV84"/>
  <c r="AT84"/>
  <c r="AR84"/>
  <c r="AP84"/>
  <c r="AN84"/>
  <c r="AL84"/>
  <c r="AJ84"/>
  <c r="AH84"/>
  <c r="AF84"/>
  <c r="AD84"/>
  <c r="AA84"/>
  <c r="M84"/>
  <c r="AC84" s="1"/>
  <c r="BB83"/>
  <c r="AZ83"/>
  <c r="AX83"/>
  <c r="AV83"/>
  <c r="AT83"/>
  <c r="AR83"/>
  <c r="AP83"/>
  <c r="AM83"/>
  <c r="AN83" s="1"/>
  <c r="AL83"/>
  <c r="AJ83"/>
  <c r="AH83"/>
  <c r="AF83"/>
  <c r="AA83"/>
  <c r="M83"/>
  <c r="AD83" s="1"/>
  <c r="BB82"/>
  <c r="AZ82"/>
  <c r="AX82"/>
  <c r="AV82"/>
  <c r="AT82"/>
  <c r="AR82"/>
  <c r="AP82"/>
  <c r="AN82"/>
  <c r="AL82"/>
  <c r="AJ82"/>
  <c r="AH82"/>
  <c r="AF82"/>
  <c r="AA82"/>
  <c r="M82"/>
  <c r="AD82" s="1"/>
  <c r="BB81"/>
  <c r="AZ81"/>
  <c r="AX81"/>
  <c r="AV81"/>
  <c r="AT81"/>
  <c r="AR81"/>
  <c r="AP81"/>
  <c r="AN81"/>
  <c r="AL81"/>
  <c r="AJ81"/>
  <c r="AH81"/>
  <c r="AF81"/>
  <c r="AA81"/>
  <c r="M81"/>
  <c r="AD81" s="1"/>
  <c r="BB80"/>
  <c r="AZ80"/>
  <c r="AX80"/>
  <c r="AV80"/>
  <c r="AT80"/>
  <c r="AR80"/>
  <c r="AP80"/>
  <c r="AN80"/>
  <c r="AL80"/>
  <c r="AJ80"/>
  <c r="AH80"/>
  <c r="AF80"/>
  <c r="AA80"/>
  <c r="M80"/>
  <c r="AD80" s="1"/>
  <c r="BB79"/>
  <c r="AZ79"/>
  <c r="AX79"/>
  <c r="AV79"/>
  <c r="AT79"/>
  <c r="AR79"/>
  <c r="AP79"/>
  <c r="AN79"/>
  <c r="AL79"/>
  <c r="AJ79"/>
  <c r="AH79"/>
  <c r="AF79"/>
  <c r="AA79"/>
  <c r="M79"/>
  <c r="AD79" s="1"/>
  <c r="BB78"/>
  <c r="AZ78"/>
  <c r="AX78"/>
  <c r="AV78"/>
  <c r="AT78"/>
  <c r="AR78"/>
  <c r="AP78"/>
  <c r="AN78"/>
  <c r="AL78"/>
  <c r="AJ78"/>
  <c r="AH78"/>
  <c r="AF78"/>
  <c r="AA78"/>
  <c r="M78"/>
  <c r="AD78" s="1"/>
  <c r="BB77"/>
  <c r="AZ77"/>
  <c r="AX77"/>
  <c r="AV77"/>
  <c r="AT77"/>
  <c r="AR77"/>
  <c r="AP77"/>
  <c r="AN77"/>
  <c r="AL77"/>
  <c r="AJ77"/>
  <c r="AH77"/>
  <c r="AF77"/>
  <c r="AA77"/>
  <c r="M77"/>
  <c r="AD77" s="1"/>
  <c r="BB76"/>
  <c r="AZ76"/>
  <c r="AX76"/>
  <c r="AV76"/>
  <c r="AT76"/>
  <c r="AR76"/>
  <c r="AP76"/>
  <c r="AN76"/>
  <c r="AL76"/>
  <c r="AJ76"/>
  <c r="AH76"/>
  <c r="AF76"/>
  <c r="AA76"/>
  <c r="M76"/>
  <c r="AD76" s="1"/>
  <c r="BB75"/>
  <c r="AZ75"/>
  <c r="AX75"/>
  <c r="AV75"/>
  <c r="AT75"/>
  <c r="AR75"/>
  <c r="AP75"/>
  <c r="AN75"/>
  <c r="AL75"/>
  <c r="AJ75"/>
  <c r="AH75"/>
  <c r="AF75"/>
  <c r="AA75"/>
  <c r="M75"/>
  <c r="AD75" s="1"/>
  <c r="BB74"/>
  <c r="AZ74"/>
  <c r="AX74"/>
  <c r="AV74"/>
  <c r="AT74"/>
  <c r="AR74"/>
  <c r="AP74"/>
  <c r="AN74"/>
  <c r="AL74"/>
  <c r="AJ74"/>
  <c r="AH74"/>
  <c r="AF74"/>
  <c r="AA74"/>
  <c r="M74"/>
  <c r="AD74" s="1"/>
  <c r="BB73"/>
  <c r="AZ73"/>
  <c r="AX73"/>
  <c r="AV73"/>
  <c r="AT73"/>
  <c r="AR73"/>
  <c r="AP73"/>
  <c r="AN73"/>
  <c r="AL73"/>
  <c r="AJ73"/>
  <c r="AH73"/>
  <c r="AF73"/>
  <c r="AA73"/>
  <c r="M73"/>
  <c r="AD73" s="1"/>
  <c r="BB72"/>
  <c r="AZ72"/>
  <c r="AX72"/>
  <c r="AV72"/>
  <c r="AT72"/>
  <c r="AR72"/>
  <c r="AP72"/>
  <c r="AN72"/>
  <c r="AL72"/>
  <c r="AJ72"/>
  <c r="AH72"/>
  <c r="AF72"/>
  <c r="AA72"/>
  <c r="M72"/>
  <c r="AD72" s="1"/>
  <c r="BB71"/>
  <c r="AZ71"/>
  <c r="AX71"/>
  <c r="AV71"/>
  <c r="AT71"/>
  <c r="AR71"/>
  <c r="AP71"/>
  <c r="AN71"/>
  <c r="AL71"/>
  <c r="AJ71"/>
  <c r="AH71"/>
  <c r="AF71"/>
  <c r="AA71"/>
  <c r="M71"/>
  <c r="AD71" s="1"/>
  <c r="BB70"/>
  <c r="AZ70"/>
  <c r="AX70"/>
  <c r="AV70"/>
  <c r="AT70"/>
  <c r="AR70"/>
  <c r="AP70"/>
  <c r="AN70"/>
  <c r="AL70"/>
  <c r="AJ70"/>
  <c r="AH70"/>
  <c r="AF70"/>
  <c r="AA70"/>
  <c r="M70"/>
  <c r="AD70" s="1"/>
  <c r="BB69"/>
  <c r="AZ69"/>
  <c r="AX69"/>
  <c r="AV69"/>
  <c r="AT69"/>
  <c r="AR69"/>
  <c r="AP69"/>
  <c r="AN69"/>
  <c r="AL69"/>
  <c r="AJ69"/>
  <c r="AH69"/>
  <c r="AF69"/>
  <c r="AA69"/>
  <c r="M69"/>
  <c r="AD69" s="1"/>
  <c r="BB68"/>
  <c r="AZ68"/>
  <c r="AX68"/>
  <c r="AV68"/>
  <c r="AT68"/>
  <c r="AR68"/>
  <c r="AP68"/>
  <c r="AN68"/>
  <c r="AL68"/>
  <c r="AJ68"/>
  <c r="AH68"/>
  <c r="AF68"/>
  <c r="AA68"/>
  <c r="M68"/>
  <c r="AD68" s="1"/>
  <c r="BB67"/>
  <c r="AZ67"/>
  <c r="AX67"/>
  <c r="AV67"/>
  <c r="AT67"/>
  <c r="AR67"/>
  <c r="AP67"/>
  <c r="AN67"/>
  <c r="AL67"/>
  <c r="AJ67"/>
  <c r="AH67"/>
  <c r="AF67"/>
  <c r="AA67"/>
  <c r="M67"/>
  <c r="AD67" s="1"/>
  <c r="BB66"/>
  <c r="AZ66"/>
  <c r="AX66"/>
  <c r="AV66"/>
  <c r="AT66"/>
  <c r="AR66"/>
  <c r="AP66"/>
  <c r="AN66"/>
  <c r="AL66"/>
  <c r="AJ66"/>
  <c r="AH66"/>
  <c r="AF66"/>
  <c r="AA66"/>
  <c r="M66"/>
  <c r="AD66" s="1"/>
  <c r="BB65"/>
  <c r="AZ65"/>
  <c r="AX65"/>
  <c r="AV65"/>
  <c r="AT65"/>
  <c r="AR65"/>
  <c r="AP65"/>
  <c r="AN65"/>
  <c r="AM65"/>
  <c r="AL65"/>
  <c r="AJ65"/>
  <c r="AH65"/>
  <c r="AF65"/>
  <c r="AD65"/>
  <c r="AA65"/>
  <c r="M65"/>
  <c r="AC65" s="1"/>
  <c r="BB64"/>
  <c r="AZ64"/>
  <c r="AX64"/>
  <c r="AV64"/>
  <c r="AT64"/>
  <c r="AR64"/>
  <c r="AP64"/>
  <c r="AN64"/>
  <c r="AL64"/>
  <c r="AJ64"/>
  <c r="AH64"/>
  <c r="AF64"/>
  <c r="AD64"/>
  <c r="AA64"/>
  <c r="M64"/>
  <c r="AC64" s="1"/>
  <c r="BB63"/>
  <c r="AZ63"/>
  <c r="AX63"/>
  <c r="AV63"/>
  <c r="AT63"/>
  <c r="AR63"/>
  <c r="AP63"/>
  <c r="AN63"/>
  <c r="AL63"/>
  <c r="AJ63"/>
  <c r="AH63"/>
  <c r="AF63"/>
  <c r="AD63"/>
  <c r="AA63"/>
  <c r="M63"/>
  <c r="AC63" s="1"/>
  <c r="BB62"/>
  <c r="AZ62"/>
  <c r="AX62"/>
  <c r="AV62"/>
  <c r="AT62"/>
  <c r="AR62"/>
  <c r="AP62"/>
  <c r="AN62"/>
  <c r="AL62"/>
  <c r="AJ62"/>
  <c r="AH62"/>
  <c r="AF62"/>
  <c r="AD62"/>
  <c r="AA62"/>
  <c r="M62"/>
  <c r="AC62" s="1"/>
  <c r="BB61"/>
  <c r="AZ61"/>
  <c r="AX61"/>
  <c r="AV61"/>
  <c r="AT61"/>
  <c r="AR61"/>
  <c r="AP61"/>
  <c r="AN61"/>
  <c r="AL61"/>
  <c r="AJ61"/>
  <c r="AH61"/>
  <c r="AF61"/>
  <c r="AD61"/>
  <c r="AA61"/>
  <c r="M61"/>
  <c r="AC61" s="1"/>
  <c r="BB60"/>
  <c r="AZ60"/>
  <c r="AX60"/>
  <c r="AV60"/>
  <c r="AT60"/>
  <c r="AR60"/>
  <c r="AP60"/>
  <c r="AN60"/>
  <c r="AL60"/>
  <c r="AJ60"/>
  <c r="AH60"/>
  <c r="AF60"/>
  <c r="AD60"/>
  <c r="AA60"/>
  <c r="M60"/>
  <c r="AC60" s="1"/>
  <c r="BB59"/>
  <c r="AZ59"/>
  <c r="AX59"/>
  <c r="AV59"/>
  <c r="AT59"/>
  <c r="AR59"/>
  <c r="AP59"/>
  <c r="AN59"/>
  <c r="AL59"/>
  <c r="AJ59"/>
  <c r="AH59"/>
  <c r="AF59"/>
  <c r="AD59"/>
  <c r="AA59"/>
  <c r="M59"/>
  <c r="AC59" s="1"/>
  <c r="BB58"/>
  <c r="AZ58"/>
  <c r="AX58"/>
  <c r="AV58"/>
  <c r="AT58"/>
  <c r="AR58"/>
  <c r="AP58"/>
  <c r="AN58"/>
  <c r="AL58"/>
  <c r="AJ58"/>
  <c r="AH58"/>
  <c r="AF58"/>
  <c r="AD58"/>
  <c r="AA58"/>
  <c r="M58"/>
  <c r="AC58" s="1"/>
  <c r="BB57"/>
  <c r="AZ57"/>
  <c r="AX57"/>
  <c r="AV57"/>
  <c r="AT57"/>
  <c r="AR57"/>
  <c r="AP57"/>
  <c r="AN57"/>
  <c r="AL57"/>
  <c r="AJ57"/>
  <c r="AH57"/>
  <c r="AF57"/>
  <c r="AD57"/>
  <c r="AA57"/>
  <c r="M57"/>
  <c r="AC57" s="1"/>
  <c r="BB56"/>
  <c r="AZ56"/>
  <c r="AX56"/>
  <c r="AV56"/>
  <c r="AT56"/>
  <c r="AR56"/>
  <c r="AP56"/>
  <c r="AN56"/>
  <c r="AL56"/>
  <c r="AJ56"/>
  <c r="AH56"/>
  <c r="AF56"/>
  <c r="AD56"/>
  <c r="AA56"/>
  <c r="M56"/>
  <c r="AC56" s="1"/>
  <c r="BB55"/>
  <c r="AZ55"/>
  <c r="AX55"/>
  <c r="AV55"/>
  <c r="AT55"/>
  <c r="AR55"/>
  <c r="AP55"/>
  <c r="AN55"/>
  <c r="AL55"/>
  <c r="AJ55"/>
  <c r="AH55"/>
  <c r="AF55"/>
  <c r="AD55"/>
  <c r="AA55"/>
  <c r="M55"/>
  <c r="AC55" s="1"/>
  <c r="BB54"/>
  <c r="AZ54"/>
  <c r="AX54"/>
  <c r="AV54"/>
  <c r="AT54"/>
  <c r="AR54"/>
  <c r="AP54"/>
  <c r="AN54"/>
  <c r="AL54"/>
  <c r="AJ54"/>
  <c r="AH54"/>
  <c r="AF54"/>
  <c r="AD54"/>
  <c r="AA54"/>
  <c r="M54"/>
  <c r="AC54" s="1"/>
  <c r="BB53"/>
  <c r="AZ53"/>
  <c r="AX53"/>
  <c r="AV53"/>
  <c r="AT53"/>
  <c r="AR53"/>
  <c r="AP53"/>
  <c r="AN53"/>
  <c r="AL53"/>
  <c r="AJ53"/>
  <c r="AH53"/>
  <c r="AF53"/>
  <c r="AD53"/>
  <c r="AA53"/>
  <c r="M53"/>
  <c r="AC53" s="1"/>
  <c r="BB52"/>
  <c r="AZ52"/>
  <c r="AX52"/>
  <c r="AV52"/>
  <c r="AT52"/>
  <c r="AR52"/>
  <c r="AP52"/>
  <c r="AN52"/>
  <c r="AL52"/>
  <c r="AJ52"/>
  <c r="AH52"/>
  <c r="AF52"/>
  <c r="AD52"/>
  <c r="AA52"/>
  <c r="M52"/>
  <c r="AC52" s="1"/>
  <c r="BB51"/>
  <c r="AZ51"/>
  <c r="AX51"/>
  <c r="AV51"/>
  <c r="AT51"/>
  <c r="AR51"/>
  <c r="AP51"/>
  <c r="AN51"/>
  <c r="AL51"/>
  <c r="AJ51"/>
  <c r="AH51"/>
  <c r="AF51"/>
  <c r="AD51"/>
  <c r="AA51"/>
  <c r="M51"/>
  <c r="AC51" s="1"/>
  <c r="BB50"/>
  <c r="AZ50"/>
  <c r="AX50"/>
  <c r="AV50"/>
  <c r="AT50"/>
  <c r="AR50"/>
  <c r="AP50"/>
  <c r="AN50"/>
  <c r="AL50"/>
  <c r="AJ50"/>
  <c r="AH50"/>
  <c r="AF50"/>
  <c r="AD50"/>
  <c r="AA50"/>
  <c r="M50"/>
  <c r="AC50" s="1"/>
  <c r="BB49"/>
  <c r="AZ49"/>
  <c r="AX49"/>
  <c r="AV49"/>
  <c r="AT49"/>
  <c r="AR49"/>
  <c r="AP49"/>
  <c r="AN49"/>
  <c r="AL49"/>
  <c r="AJ49"/>
  <c r="AH49"/>
  <c r="AF49"/>
  <c r="AD49"/>
  <c r="AA49"/>
  <c r="M49"/>
  <c r="AC49" s="1"/>
  <c r="BB48"/>
  <c r="AZ48"/>
  <c r="AX48"/>
  <c r="AV48"/>
  <c r="AT48"/>
  <c r="AR48"/>
  <c r="AP48"/>
  <c r="AN48"/>
  <c r="AL48"/>
  <c r="AJ48"/>
  <c r="AH48"/>
  <c r="AF48"/>
  <c r="AD48"/>
  <c r="AA48"/>
  <c r="M48"/>
  <c r="AC48" s="1"/>
  <c r="BB47"/>
  <c r="AZ47"/>
  <c r="AX47"/>
  <c r="AV47"/>
  <c r="AT47"/>
  <c r="AR47"/>
  <c r="AP47"/>
  <c r="AN47"/>
  <c r="AL47"/>
  <c r="AJ47"/>
  <c r="AH47"/>
  <c r="AF47"/>
  <c r="AD47"/>
  <c r="AA47"/>
  <c r="M47"/>
  <c r="AC47" s="1"/>
  <c r="BB46"/>
  <c r="AZ46"/>
  <c r="AX46"/>
  <c r="AV46"/>
  <c r="AT46"/>
  <c r="AR46"/>
  <c r="AP46"/>
  <c r="AN46"/>
  <c r="AL46"/>
  <c r="AJ46"/>
  <c r="AH46"/>
  <c r="AF46"/>
  <c r="AD46"/>
  <c r="AA46"/>
  <c r="M46"/>
  <c r="AC46" s="1"/>
  <c r="BB45"/>
  <c r="AZ45"/>
  <c r="AX45"/>
  <c r="AV45"/>
  <c r="AT45"/>
  <c r="AR45"/>
  <c r="AP45"/>
  <c r="AN45"/>
  <c r="AL45"/>
  <c r="AJ45"/>
  <c r="AH45"/>
  <c r="AF45"/>
  <c r="AD45"/>
  <c r="AA45"/>
  <c r="M45"/>
  <c r="AC45" s="1"/>
  <c r="BB44"/>
  <c r="AZ44"/>
  <c r="AX44"/>
  <c r="AV44"/>
  <c r="AT44"/>
  <c r="AR44"/>
  <c r="AP44"/>
  <c r="AN44"/>
  <c r="AL44"/>
  <c r="AJ44"/>
  <c r="AH44"/>
  <c r="AF44"/>
  <c r="AD44"/>
  <c r="AA44"/>
  <c r="M44"/>
  <c r="AC44" s="1"/>
  <c r="BB43"/>
  <c r="AZ43"/>
  <c r="AX43"/>
  <c r="AV43"/>
  <c r="AT43"/>
  <c r="AR43"/>
  <c r="AP43"/>
  <c r="AN43"/>
  <c r="AL43"/>
  <c r="AJ43"/>
  <c r="AH43"/>
  <c r="AF43"/>
  <c r="AD43"/>
  <c r="AA43"/>
  <c r="M43"/>
  <c r="AC43" s="1"/>
  <c r="BB42"/>
  <c r="AZ42"/>
  <c r="AX42"/>
  <c r="AV42"/>
  <c r="AT42"/>
  <c r="AR42"/>
  <c r="AP42"/>
  <c r="AN42"/>
  <c r="AL42"/>
  <c r="AJ42"/>
  <c r="AH42"/>
  <c r="AF42"/>
  <c r="AD42"/>
  <c r="AA42"/>
  <c r="M42"/>
  <c r="AC42" s="1"/>
  <c r="BB41"/>
  <c r="AZ41"/>
  <c r="AX41"/>
  <c r="AV41"/>
  <c r="AT41"/>
  <c r="AR41"/>
  <c r="AP41"/>
  <c r="AN41"/>
  <c r="AL41"/>
  <c r="AJ41"/>
  <c r="AH41"/>
  <c r="AF41"/>
  <c r="AD41"/>
  <c r="AA41"/>
  <c r="M41"/>
  <c r="AC41" s="1"/>
  <c r="BB40"/>
  <c r="AZ40"/>
  <c r="AX40"/>
  <c r="AV40"/>
  <c r="AT40"/>
  <c r="AR40"/>
  <c r="AP40"/>
  <c r="AN40"/>
  <c r="AL40"/>
  <c r="AJ40"/>
  <c r="AH40"/>
  <c r="AF40"/>
  <c r="AD40"/>
  <c r="AA40"/>
  <c r="M40"/>
  <c r="AC40" s="1"/>
  <c r="BB39"/>
  <c r="AZ39"/>
  <c r="AX39"/>
  <c r="AV39"/>
  <c r="AT39"/>
  <c r="AR39"/>
  <c r="AP39"/>
  <c r="AN39"/>
  <c r="AL39"/>
  <c r="AJ39"/>
  <c r="AH39"/>
  <c r="AF39"/>
  <c r="AD39"/>
  <c r="AA39"/>
  <c r="M39"/>
  <c r="AC39" s="1"/>
  <c r="BB38"/>
  <c r="AZ38"/>
  <c r="AX38"/>
  <c r="AV38"/>
  <c r="AT38"/>
  <c r="AR38"/>
  <c r="AP38"/>
  <c r="AN38"/>
  <c r="AL38"/>
  <c r="AJ38"/>
  <c r="AH38"/>
  <c r="AF38"/>
  <c r="AD38"/>
  <c r="AA38"/>
  <c r="M38"/>
  <c r="AC38" s="1"/>
  <c r="BB37"/>
  <c r="AZ37"/>
  <c r="AX37"/>
  <c r="AV37"/>
  <c r="AT37"/>
  <c r="AR37"/>
  <c r="AP37"/>
  <c r="AN37"/>
  <c r="AL37"/>
  <c r="AJ37"/>
  <c r="AH37"/>
  <c r="AF37"/>
  <c r="AD37"/>
  <c r="AA37"/>
  <c r="M37"/>
  <c r="AC37" s="1"/>
  <c r="BB36"/>
  <c r="AZ36"/>
  <c r="AX36"/>
  <c r="AV36"/>
  <c r="AT36"/>
  <c r="AR36"/>
  <c r="AP36"/>
  <c r="AN36"/>
  <c r="AL36"/>
  <c r="AJ36"/>
  <c r="AH36"/>
  <c r="AF36"/>
  <c r="AD36"/>
  <c r="AA36"/>
  <c r="M36"/>
  <c r="AC36" s="1"/>
  <c r="BB35"/>
  <c r="AZ35"/>
  <c r="AX35"/>
  <c r="AV35"/>
  <c r="AT35"/>
  <c r="AR35"/>
  <c r="AP35"/>
  <c r="AN35"/>
  <c r="AL35"/>
  <c r="AJ35"/>
  <c r="AH35"/>
  <c r="AF35"/>
  <c r="AD35"/>
  <c r="AA35"/>
  <c r="M35"/>
  <c r="AC35" s="1"/>
  <c r="BB34"/>
  <c r="AZ34"/>
  <c r="AX34"/>
  <c r="AV34"/>
  <c r="AT34"/>
  <c r="AR34"/>
  <c r="AP34"/>
  <c r="AN34"/>
  <c r="AL34"/>
  <c r="AJ34"/>
  <c r="AH34"/>
  <c r="AG34"/>
  <c r="AF34"/>
  <c r="AA34"/>
  <c r="M34"/>
  <c r="AD34" s="1"/>
  <c r="BB33"/>
  <c r="AZ33"/>
  <c r="AX33"/>
  <c r="AV33"/>
  <c r="AT33"/>
  <c r="AR33"/>
  <c r="AP33"/>
  <c r="AN33"/>
  <c r="AL33"/>
  <c r="AJ33"/>
  <c r="AH33"/>
  <c r="AF33"/>
  <c r="AA33"/>
  <c r="M33"/>
  <c r="AD33" s="1"/>
  <c r="BB32"/>
  <c r="AZ32"/>
  <c r="AX32"/>
  <c r="AV32"/>
  <c r="AT32"/>
  <c r="AR32"/>
  <c r="AP32"/>
  <c r="AN32"/>
  <c r="AL32"/>
  <c r="AJ32"/>
  <c r="AH32"/>
  <c r="AF32"/>
  <c r="AA32"/>
  <c r="M32"/>
  <c r="AD32" s="1"/>
  <c r="BB31"/>
  <c r="AZ31"/>
  <c r="AX31"/>
  <c r="AV31"/>
  <c r="AT31"/>
  <c r="AR31"/>
  <c r="AP31"/>
  <c r="AN31"/>
  <c r="AL31"/>
  <c r="AJ31"/>
  <c r="AH31"/>
  <c r="AF31"/>
  <c r="AA31"/>
  <c r="M31"/>
  <c r="AD31" s="1"/>
  <c r="BB30"/>
  <c r="AZ30"/>
  <c r="AX30"/>
  <c r="AV30"/>
  <c r="AT30"/>
  <c r="AR30"/>
  <c r="AP30"/>
  <c r="AN30"/>
  <c r="AL30"/>
  <c r="AJ30"/>
  <c r="AH30"/>
  <c r="AF30"/>
  <c r="AA30"/>
  <c r="M30"/>
  <c r="AD30" s="1"/>
  <c r="BB29"/>
  <c r="AZ29"/>
  <c r="AX29"/>
  <c r="AV29"/>
  <c r="AT29"/>
  <c r="AR29"/>
  <c r="AP29"/>
  <c r="AN29"/>
  <c r="AL29"/>
  <c r="AJ29"/>
  <c r="AH29"/>
  <c r="AF29"/>
  <c r="AA29"/>
  <c r="M29"/>
  <c r="AD29" s="1"/>
  <c r="BB28"/>
  <c r="AZ28"/>
  <c r="AX28"/>
  <c r="AV28"/>
  <c r="AT28"/>
  <c r="AR28"/>
  <c r="AP28"/>
  <c r="AN28"/>
  <c r="AL28"/>
  <c r="AJ28"/>
  <c r="AH28"/>
  <c r="AF28"/>
  <c r="AA28"/>
  <c r="M28"/>
  <c r="AD28" s="1"/>
  <c r="BB27"/>
  <c r="AZ27"/>
  <c r="AX27"/>
  <c r="AV27"/>
  <c r="AT27"/>
  <c r="AR27"/>
  <c r="AP27"/>
  <c r="AN27"/>
  <c r="AL27"/>
  <c r="AJ27"/>
  <c r="AH27"/>
  <c r="AF27"/>
  <c r="AA27"/>
  <c r="M27"/>
  <c r="AD27" s="1"/>
  <c r="BB26"/>
  <c r="AZ26"/>
  <c r="AX26"/>
  <c r="AV26"/>
  <c r="AT26"/>
  <c r="AR26"/>
  <c r="AP26"/>
  <c r="AN26"/>
  <c r="AL26"/>
  <c r="AJ26"/>
  <c r="AH26"/>
  <c r="AF26"/>
  <c r="AA26"/>
  <c r="M26"/>
  <c r="AD26" s="1"/>
  <c r="BB25"/>
  <c r="AZ25"/>
  <c r="AX25"/>
  <c r="AV25"/>
  <c r="AT25"/>
  <c r="AR25"/>
  <c r="AP25"/>
  <c r="AN25"/>
  <c r="AL25"/>
  <c r="AJ25"/>
  <c r="AH25"/>
  <c r="AF25"/>
  <c r="AA25"/>
  <c r="M25"/>
  <c r="AD25" s="1"/>
  <c r="BB24"/>
  <c r="AZ24"/>
  <c r="AX24"/>
  <c r="AV24"/>
  <c r="AT24"/>
  <c r="AR24"/>
  <c r="AP24"/>
  <c r="AN24"/>
  <c r="AL24"/>
  <c r="AJ24"/>
  <c r="AH24"/>
  <c r="AF24"/>
  <c r="AA24"/>
  <c r="M24"/>
  <c r="AD24" s="1"/>
  <c r="BB23"/>
  <c r="AZ23"/>
  <c r="AX23"/>
  <c r="AV23"/>
  <c r="AT23"/>
  <c r="AR23"/>
  <c r="AP23"/>
  <c r="AN23"/>
  <c r="AL23"/>
  <c r="AJ23"/>
  <c r="AH23"/>
  <c r="AF23"/>
  <c r="AA23"/>
  <c r="M23"/>
  <c r="AD23" s="1"/>
  <c r="BB22"/>
  <c r="AZ22"/>
  <c r="AX22"/>
  <c r="AV22"/>
  <c r="AT22"/>
  <c r="AR22"/>
  <c r="AP22"/>
  <c r="AN22"/>
  <c r="AL22"/>
  <c r="AJ22"/>
  <c r="AH22"/>
  <c r="AF22"/>
  <c r="AA22"/>
  <c r="M22"/>
  <c r="AD22" s="1"/>
  <c r="BB21"/>
  <c r="AZ21"/>
  <c r="AX21"/>
  <c r="AV21"/>
  <c r="AT21"/>
  <c r="AR21"/>
  <c r="AP21"/>
  <c r="AN21"/>
  <c r="AL21"/>
  <c r="AJ21"/>
  <c r="AH21"/>
  <c r="AF21"/>
  <c r="AA21"/>
  <c r="M21"/>
  <c r="AD21" s="1"/>
  <c r="BB20"/>
  <c r="AZ20"/>
  <c r="AX20"/>
  <c r="AV20"/>
  <c r="AT20"/>
  <c r="AR20"/>
  <c r="AP20"/>
  <c r="AN20"/>
  <c r="AL20"/>
  <c r="AJ20"/>
  <c r="AH20"/>
  <c r="AF20"/>
  <c r="AA20"/>
  <c r="M20"/>
  <c r="AD20" s="1"/>
  <c r="BB19"/>
  <c r="AZ19"/>
  <c r="AX19"/>
  <c r="AV19"/>
  <c r="AT19"/>
  <c r="AR19"/>
  <c r="AP19"/>
  <c r="AN19"/>
  <c r="AL19"/>
  <c r="AJ19"/>
  <c r="AH19"/>
  <c r="AF19"/>
  <c r="AA19"/>
  <c r="M19"/>
  <c r="AD19" s="1"/>
  <c r="BB18"/>
  <c r="AZ18"/>
  <c r="AX18"/>
  <c r="AV18"/>
  <c r="AT18"/>
  <c r="AR18"/>
  <c r="AP18"/>
  <c r="AN18"/>
  <c r="AL18"/>
  <c r="AJ18"/>
  <c r="AH18"/>
  <c r="AF18"/>
  <c r="AA18"/>
  <c r="M18"/>
  <c r="AD18" s="1"/>
  <c r="BB17"/>
  <c r="AZ17"/>
  <c r="AX17"/>
  <c r="AV17"/>
  <c r="AT17"/>
  <c r="AR17"/>
  <c r="AP17"/>
  <c r="AN17"/>
  <c r="AL17"/>
  <c r="AJ17"/>
  <c r="AH17"/>
  <c r="AF17"/>
  <c r="AA17"/>
  <c r="M17"/>
  <c r="AD17" s="1"/>
  <c r="BB16"/>
  <c r="AZ16"/>
  <c r="AX16"/>
  <c r="AV16"/>
  <c r="AT16"/>
  <c r="AR16"/>
  <c r="AP16"/>
  <c r="AN16"/>
  <c r="AL16"/>
  <c r="AJ16"/>
  <c r="AH16"/>
  <c r="AF16"/>
  <c r="AA16"/>
  <c r="M16"/>
  <c r="AD16" s="1"/>
  <c r="BB15"/>
  <c r="AZ15"/>
  <c r="AX15"/>
  <c r="AV15"/>
  <c r="AT15"/>
  <c r="AR15"/>
  <c r="AP15"/>
  <c r="AN15"/>
  <c r="AL15"/>
  <c r="AJ15"/>
  <c r="AH15"/>
  <c r="AF15"/>
  <c r="AA15"/>
  <c r="M15"/>
  <c r="AD15" s="1"/>
  <c r="BB14"/>
  <c r="AZ14"/>
  <c r="AX14"/>
  <c r="AV14"/>
  <c r="AT14"/>
  <c r="AR14"/>
  <c r="AP14"/>
  <c r="AN14"/>
  <c r="AL14"/>
  <c r="AJ14"/>
  <c r="AH14"/>
  <c r="AF14"/>
  <c r="AA14"/>
  <c r="M14"/>
  <c r="AD14" s="1"/>
  <c r="BB13"/>
  <c r="AZ13"/>
  <c r="AX13"/>
  <c r="AV13"/>
  <c r="AT13"/>
  <c r="AR13"/>
  <c r="AP13"/>
  <c r="AN13"/>
  <c r="AL13"/>
  <c r="AJ13"/>
  <c r="AH13"/>
  <c r="AF13"/>
  <c r="AA13"/>
  <c r="M13"/>
  <c r="AD13" s="1"/>
  <c r="BB12"/>
  <c r="AZ12"/>
  <c r="AX12"/>
  <c r="AV12"/>
  <c r="AT12"/>
  <c r="AR12"/>
  <c r="AP12"/>
  <c r="AN12"/>
  <c r="AL12"/>
  <c r="AJ12"/>
  <c r="AH12"/>
  <c r="AF12"/>
  <c r="AA12"/>
  <c r="M12"/>
  <c r="AD12" s="1"/>
  <c r="BB11"/>
  <c r="AZ11"/>
  <c r="AX11"/>
  <c r="AV11"/>
  <c r="AT11"/>
  <c r="AR11"/>
  <c r="AP11"/>
  <c r="AN11"/>
  <c r="AL11"/>
  <c r="AJ11"/>
  <c r="AH11"/>
  <c r="AF11"/>
  <c r="AA11"/>
  <c r="M11"/>
  <c r="AD11" s="1"/>
  <c r="BB10"/>
  <c r="AZ10"/>
  <c r="AX10"/>
  <c r="AV10"/>
  <c r="AT10"/>
  <c r="AR10"/>
  <c r="AP10"/>
  <c r="AN10"/>
  <c r="AL10"/>
  <c r="AJ10"/>
  <c r="AH10"/>
  <c r="AF10"/>
  <c r="AA10"/>
  <c r="M10"/>
  <c r="AD10" s="1"/>
  <c r="BB9"/>
  <c r="AZ9"/>
  <c r="AX9"/>
  <c r="AV9"/>
  <c r="AT9"/>
  <c r="AR9"/>
  <c r="AP9"/>
  <c r="AN9"/>
  <c r="AL9"/>
  <c r="AJ9"/>
  <c r="AH9"/>
  <c r="AF9"/>
  <c r="AA9"/>
  <c r="M9"/>
  <c r="AD9" s="1"/>
  <c r="BB8"/>
  <c r="AZ8"/>
  <c r="AX8"/>
  <c r="AV8"/>
  <c r="AT8"/>
  <c r="AR8"/>
  <c r="AP8"/>
  <c r="AN8"/>
  <c r="AL8"/>
  <c r="AJ8"/>
  <c r="AH8"/>
  <c r="AF8"/>
  <c r="AA8"/>
  <c r="M8"/>
  <c r="AD8" s="1"/>
  <c r="BB7"/>
  <c r="AZ7"/>
  <c r="AX7"/>
  <c r="AV7"/>
  <c r="AT7"/>
  <c r="AR7"/>
  <c r="AP7"/>
  <c r="AN7"/>
  <c r="AL7"/>
  <c r="AJ7"/>
  <c r="AH7"/>
  <c r="AF7"/>
  <c r="AA7"/>
  <c r="M7"/>
  <c r="AD7" s="1"/>
  <c r="BB6"/>
  <c r="AZ6"/>
  <c r="AX6"/>
  <c r="AV6"/>
  <c r="AT6"/>
  <c r="AR6"/>
  <c r="AP6"/>
  <c r="AN6"/>
  <c r="AL6"/>
  <c r="AJ6"/>
  <c r="AH6"/>
  <c r="AF6"/>
  <c r="AA6"/>
  <c r="M6"/>
  <c r="AD6" s="1"/>
  <c r="BB5"/>
  <c r="AZ5"/>
  <c r="AX5"/>
  <c r="AV5"/>
  <c r="AT5"/>
  <c r="AR5"/>
  <c r="AP5"/>
  <c r="AN5"/>
  <c r="AL5"/>
  <c r="AJ5"/>
  <c r="AH5"/>
  <c r="AF5"/>
  <c r="AA5"/>
  <c r="M5"/>
  <c r="AD5" s="1"/>
  <c r="BB4"/>
  <c r="AZ4"/>
  <c r="AX4"/>
  <c r="AV4"/>
  <c r="AT4"/>
  <c r="AR4"/>
  <c r="AP4"/>
  <c r="AN4"/>
  <c r="AL4"/>
  <c r="AJ4"/>
  <c r="AH4"/>
  <c r="AF4"/>
  <c r="AA4"/>
  <c r="M4"/>
  <c r="AD4" s="1"/>
  <c r="AD162" l="1"/>
  <c r="AD165"/>
  <c r="AD168"/>
  <c r="AC5"/>
  <c r="AC6"/>
  <c r="AC9"/>
  <c r="AC11"/>
  <c r="AC12"/>
  <c r="AC14"/>
  <c r="AC15"/>
  <c r="AC16"/>
  <c r="AC18"/>
  <c r="AC21"/>
  <c r="AC22"/>
  <c r="AC23"/>
  <c r="AC24"/>
  <c r="AC25"/>
  <c r="AC26"/>
  <c r="AC27"/>
  <c r="AC28"/>
  <c r="AC29"/>
  <c r="AC30"/>
  <c r="AC31"/>
  <c r="AC32"/>
  <c r="AC33"/>
  <c r="AC34"/>
  <c r="AC66"/>
  <c r="AC67"/>
  <c r="AC68"/>
  <c r="AC69"/>
  <c r="AC70"/>
  <c r="AC71"/>
  <c r="AC72"/>
  <c r="AC73"/>
  <c r="AC74"/>
  <c r="AC75"/>
  <c r="AC76"/>
  <c r="AC77"/>
  <c r="AC78"/>
  <c r="AC79"/>
  <c r="AC80"/>
  <c r="AC81"/>
  <c r="AC82"/>
  <c r="AC83"/>
  <c r="AC98"/>
  <c r="AC99"/>
  <c r="AC100"/>
  <c r="AC101"/>
  <c r="AC102"/>
  <c r="AC103"/>
  <c r="AC104"/>
  <c r="AC105"/>
  <c r="AC106"/>
  <c r="AC107"/>
  <c r="AC125"/>
  <c r="AC126"/>
  <c r="AC134"/>
  <c r="AC135"/>
  <c r="AC136"/>
  <c r="AC137"/>
  <c r="AC138"/>
  <c r="AC139"/>
  <c r="AC140"/>
  <c r="AC141"/>
  <c r="AC142"/>
  <c r="AC143"/>
  <c r="AC144"/>
  <c r="AC145"/>
  <c r="AC146"/>
  <c r="AC147"/>
  <c r="AC148"/>
  <c r="AC149"/>
  <c r="AC150"/>
  <c r="AC151"/>
  <c r="AC152"/>
  <c r="AC153"/>
  <c r="AC154"/>
  <c r="AC155"/>
  <c r="AC156"/>
  <c r="AC157"/>
  <c r="AC158"/>
  <c r="AC159"/>
  <c r="AC160"/>
  <c r="AC161"/>
  <c r="AF162"/>
  <c r="AJ162"/>
  <c r="AN162"/>
  <c r="AN931" s="1"/>
  <c r="AN933" s="1"/>
  <c r="AR162"/>
  <c r="AV162"/>
  <c r="AZ162"/>
  <c r="AC163"/>
  <c r="AC164"/>
  <c r="AF165"/>
  <c r="AJ165"/>
  <c r="AN165"/>
  <c r="AR165"/>
  <c r="AV165"/>
  <c r="AZ165"/>
  <c r="AC166"/>
  <c r="AC167"/>
  <c r="AF168"/>
  <c r="AJ168"/>
  <c r="AN168"/>
  <c r="AR168"/>
  <c r="AV168"/>
  <c r="AZ168"/>
  <c r="AC169"/>
  <c r="AC170"/>
  <c r="AC171"/>
  <c r="AC172"/>
  <c r="AC173"/>
  <c r="AC174"/>
  <c r="M176"/>
  <c r="M265"/>
  <c r="AD266"/>
  <c r="AD267"/>
  <c r="AD268"/>
  <c r="AV268"/>
  <c r="AD270"/>
  <c r="AD271"/>
  <c r="AD272"/>
  <c r="AD273"/>
  <c r="AD274"/>
  <c r="AD275"/>
  <c r="AD276"/>
  <c r="AD277"/>
  <c r="AD278"/>
  <c r="AD279"/>
  <c r="AD280"/>
  <c r="AD281"/>
  <c r="AD282"/>
  <c r="AD283"/>
  <c r="AD284"/>
  <c r="AD285"/>
  <c r="AD286"/>
  <c r="AD287"/>
  <c r="AD288"/>
  <c r="AD289"/>
  <c r="AD290"/>
  <c r="AD291"/>
  <c r="AD292"/>
  <c r="AD293"/>
  <c r="AD294"/>
  <c r="AD295"/>
  <c r="AD296"/>
  <c r="AD297"/>
  <c r="AD298"/>
  <c r="AD299"/>
  <c r="AD300"/>
  <c r="AD301"/>
  <c r="AD302"/>
  <c r="AD303"/>
  <c r="AD304"/>
  <c r="AD305"/>
  <c r="AD306"/>
  <c r="AD307"/>
  <c r="AD308"/>
  <c r="AD309"/>
  <c r="AD310"/>
  <c r="AD311"/>
  <c r="AD312"/>
  <c r="AD313"/>
  <c r="AD314"/>
  <c r="AD315"/>
  <c r="AD316"/>
  <c r="AD317"/>
  <c r="AD318"/>
  <c r="AD319"/>
  <c r="AD320"/>
  <c r="AD321"/>
  <c r="AD322"/>
  <c r="AD323"/>
  <c r="AD324"/>
  <c r="AD325"/>
  <c r="AD326"/>
  <c r="AD327"/>
  <c r="AD328"/>
  <c r="AD329"/>
  <c r="AD330"/>
  <c r="AD331"/>
  <c r="AD332"/>
  <c r="AD333"/>
  <c r="AD334"/>
  <c r="AD335"/>
  <c r="AD336"/>
  <c r="AD337"/>
  <c r="AD338"/>
  <c r="AD339"/>
  <c r="AD340"/>
  <c r="AD341"/>
  <c r="AD342"/>
  <c r="AD343"/>
  <c r="AD344"/>
  <c r="AD345"/>
  <c r="AD357"/>
  <c r="AD358"/>
  <c r="AD359"/>
  <c r="AD360"/>
  <c r="AD361"/>
  <c r="AC363"/>
  <c r="AC365"/>
  <c r="AC367"/>
  <c r="AC369"/>
  <c r="AC371"/>
  <c r="AC373"/>
  <c r="AC375"/>
  <c r="AC377"/>
  <c r="AC379"/>
  <c r="AC381"/>
  <c r="AC383"/>
  <c r="AC385"/>
  <c r="AD387"/>
  <c r="AC387"/>
  <c r="AC4"/>
  <c r="AJ931"/>
  <c r="AV931"/>
  <c r="AC7"/>
  <c r="AC8"/>
  <c r="AC10"/>
  <c r="AC13"/>
  <c r="AC17"/>
  <c r="AC19"/>
  <c r="AC20"/>
  <c r="BB931"/>
  <c r="AM931"/>
  <c r="AA162"/>
  <c r="AH162"/>
  <c r="AL162"/>
  <c r="AP162"/>
  <c r="AT162"/>
  <c r="AX162"/>
  <c r="AA165"/>
  <c r="AH165"/>
  <c r="AL165"/>
  <c r="AP165"/>
  <c r="AT165"/>
  <c r="AX165"/>
  <c r="AA168"/>
  <c r="AH168"/>
  <c r="AL168"/>
  <c r="AP168"/>
  <c r="AT168"/>
  <c r="AX168"/>
  <c r="AC362"/>
  <c r="AC364"/>
  <c r="AC366"/>
  <c r="AC368"/>
  <c r="AC370"/>
  <c r="AC372"/>
  <c r="AC374"/>
  <c r="AC376"/>
  <c r="AC378"/>
  <c r="AC380"/>
  <c r="AC382"/>
  <c r="AC384"/>
  <c r="AC386"/>
  <c r="AC388"/>
  <c r="AC389"/>
  <c r="AC39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D492"/>
  <c r="AD493"/>
  <c r="AD494"/>
  <c r="AD495"/>
  <c r="AD496"/>
  <c r="AD497"/>
  <c r="AD498"/>
  <c r="AD499"/>
  <c r="AD500"/>
  <c r="AD501"/>
  <c r="AD502"/>
  <c r="AD503"/>
  <c r="AC572"/>
  <c r="AC573"/>
  <c r="AC574"/>
  <c r="AC575"/>
  <c r="AC576"/>
  <c r="AC577"/>
  <c r="AC578"/>
  <c r="AC579"/>
  <c r="AC580"/>
  <c r="AC581"/>
  <c r="AC582"/>
  <c r="AC583"/>
  <c r="AC584"/>
  <c r="AC585"/>
  <c r="AC586"/>
  <c r="AC587"/>
  <c r="AC588"/>
  <c r="AC589"/>
  <c r="AC590"/>
  <c r="AC591"/>
  <c r="AC592"/>
  <c r="AC593"/>
  <c r="AC594"/>
  <c r="AC595"/>
  <c r="AC596"/>
  <c r="AC597"/>
  <c r="AC598"/>
  <c r="AC599"/>
  <c r="AC625"/>
  <c r="AC626"/>
  <c r="AC627"/>
  <c r="AC628"/>
  <c r="AC629"/>
  <c r="AC630"/>
  <c r="AC631"/>
  <c r="AC632"/>
  <c r="AC633"/>
  <c r="AC634"/>
  <c r="AC635"/>
  <c r="AC636"/>
  <c r="AC637"/>
  <c r="AC638"/>
  <c r="AC639"/>
  <c r="AC640"/>
  <c r="AC641"/>
  <c r="AC642"/>
  <c r="AC643"/>
  <c r="AC644"/>
  <c r="AC654"/>
  <c r="AC656"/>
  <c r="AC658"/>
  <c r="AC660"/>
  <c r="AC662"/>
  <c r="M624"/>
  <c r="AL624"/>
  <c r="AC655"/>
  <c r="AC657"/>
  <c r="AC659"/>
  <c r="AC661"/>
  <c r="AD663"/>
  <c r="AD664"/>
  <c r="AD665"/>
  <c r="AD666"/>
  <c r="AD667"/>
  <c r="AD668"/>
  <c r="AD669"/>
  <c r="AD670"/>
  <c r="AD671"/>
  <c r="AD672"/>
  <c r="AD673"/>
  <c r="AD674"/>
  <c r="AD675"/>
  <c r="AD676"/>
  <c r="AD677"/>
  <c r="AD678"/>
  <c r="AD679"/>
  <c r="AD680"/>
  <c r="AD681"/>
  <c r="AD682"/>
  <c r="AD692"/>
  <c r="AL717"/>
  <c r="M717"/>
  <c r="AC719"/>
  <c r="AC721"/>
  <c r="AC723"/>
  <c r="AC725"/>
  <c r="AC727"/>
  <c r="AC729"/>
  <c r="AC731"/>
  <c r="AC733"/>
  <c r="AC735"/>
  <c r="AC737"/>
  <c r="AC739"/>
  <c r="AC741"/>
  <c r="AC743"/>
  <c r="AC745"/>
  <c r="AC747"/>
  <c r="AC749"/>
  <c r="AC751"/>
  <c r="AC753"/>
  <c r="AC755"/>
  <c r="AC783"/>
  <c r="AC785"/>
  <c r="AC787"/>
  <c r="AC789"/>
  <c r="AC791"/>
  <c r="AC793"/>
  <c r="AC795"/>
  <c r="AC797"/>
  <c r="AC799"/>
  <c r="AC801"/>
  <c r="AC803"/>
  <c r="AC805"/>
  <c r="AC807"/>
  <c r="AC809"/>
  <c r="AC811"/>
  <c r="AC813"/>
  <c r="AC815"/>
  <c r="AC817"/>
  <c r="AC819"/>
  <c r="AC821"/>
  <c r="AC823"/>
  <c r="AC825"/>
  <c r="AC827"/>
  <c r="AC829"/>
  <c r="AC831"/>
  <c r="AC833"/>
  <c r="AC718"/>
  <c r="AC720"/>
  <c r="AC722"/>
  <c r="AC724"/>
  <c r="AC726"/>
  <c r="AC728"/>
  <c r="AC730"/>
  <c r="AC732"/>
  <c r="AC734"/>
  <c r="AC736"/>
  <c r="AC738"/>
  <c r="AC740"/>
  <c r="AC742"/>
  <c r="AC744"/>
  <c r="AC746"/>
  <c r="AC748"/>
  <c r="AC750"/>
  <c r="AC752"/>
  <c r="AC754"/>
  <c r="AC756"/>
  <c r="AC782"/>
  <c r="AC784"/>
  <c r="AC786"/>
  <c r="AC788"/>
  <c r="AC790"/>
  <c r="AC792"/>
  <c r="AC794"/>
  <c r="AC796"/>
  <c r="AC798"/>
  <c r="AC800"/>
  <c r="AC802"/>
  <c r="AC804"/>
  <c r="AC806"/>
  <c r="AC808"/>
  <c r="AC810"/>
  <c r="AC812"/>
  <c r="AC814"/>
  <c r="AC816"/>
  <c r="AC818"/>
  <c r="AC820"/>
  <c r="AC822"/>
  <c r="AC824"/>
  <c r="AC826"/>
  <c r="AC828"/>
  <c r="AC830"/>
  <c r="AC832"/>
  <c r="AC834"/>
  <c r="AC835"/>
  <c r="AC836"/>
  <c r="AC837"/>
  <c r="AC838"/>
  <c r="AC839"/>
  <c r="AC840"/>
  <c r="AC841"/>
  <c r="AC842"/>
  <c r="AC843"/>
  <c r="AC844"/>
  <c r="AC845"/>
  <c r="AC846"/>
  <c r="AC847"/>
  <c r="AC848"/>
  <c r="AC849"/>
  <c r="AC850"/>
  <c r="AC851"/>
  <c r="AC852"/>
  <c r="AD853"/>
  <c r="AC925"/>
  <c r="AC927"/>
  <c r="AC929"/>
  <c r="R757" i="35"/>
  <c r="R756"/>
  <c r="R755"/>
  <c r="R754"/>
  <c r="R753"/>
  <c r="O752"/>
  <c r="M752"/>
  <c r="R752" s="1"/>
  <c r="O751"/>
  <c r="M751"/>
  <c r="R751" s="1"/>
  <c r="O750"/>
  <c r="L750"/>
  <c r="R750" s="1"/>
  <c r="O749"/>
  <c r="M749"/>
  <c r="R749" s="1"/>
  <c r="O748"/>
  <c r="L748"/>
  <c r="R748" s="1"/>
  <c r="O747"/>
  <c r="M747"/>
  <c r="R747" s="1"/>
  <c r="O746"/>
  <c r="L746"/>
  <c r="R746" s="1"/>
  <c r="O745"/>
  <c r="R745" s="1"/>
  <c r="R744"/>
  <c r="R743"/>
  <c r="R742"/>
  <c r="R741"/>
  <c r="O740"/>
  <c r="M740"/>
  <c r="R740" s="1"/>
  <c r="R739"/>
  <c r="O738"/>
  <c r="M738"/>
  <c r="R738" s="1"/>
  <c r="R737"/>
  <c r="R736"/>
  <c r="R735"/>
  <c r="R734"/>
  <c r="R733"/>
  <c r="R732"/>
  <c r="R731"/>
  <c r="R730"/>
  <c r="R729"/>
  <c r="R728"/>
  <c r="R727"/>
  <c r="R726"/>
  <c r="R725"/>
  <c r="O724"/>
  <c r="R724" s="1"/>
  <c r="O723"/>
  <c r="L723"/>
  <c r="R723" s="1"/>
  <c r="R722"/>
  <c r="R721"/>
  <c r="R720"/>
  <c r="O719"/>
  <c r="L719"/>
  <c r="R719" s="1"/>
  <c r="O718"/>
  <c r="L718"/>
  <c r="R718" s="1"/>
  <c r="R717"/>
  <c r="R716"/>
  <c r="R715"/>
  <c r="O714"/>
  <c r="M714"/>
  <c r="R714" s="1"/>
  <c r="R713"/>
  <c r="R712"/>
  <c r="R711"/>
  <c r="R710"/>
  <c r="O709"/>
  <c r="L709"/>
  <c r="O708"/>
  <c r="M708"/>
  <c r="R708" s="1"/>
  <c r="O707"/>
  <c r="R707" s="1"/>
  <c r="R706"/>
  <c r="R705"/>
  <c r="R704"/>
  <c r="R703"/>
  <c r="O702"/>
  <c r="L702"/>
  <c r="R701"/>
  <c r="R700"/>
  <c r="R699"/>
  <c r="R698"/>
  <c r="R697"/>
  <c r="R696"/>
  <c r="R695"/>
  <c r="O695"/>
  <c r="R694"/>
  <c r="R693"/>
  <c r="R692"/>
  <c r="R691"/>
  <c r="R690"/>
  <c r="L689"/>
  <c r="R689" s="1"/>
  <c r="R688"/>
  <c r="R687"/>
  <c r="R686"/>
  <c r="R685"/>
  <c r="L685"/>
  <c r="R684"/>
  <c r="R683"/>
  <c r="R682"/>
  <c r="O682"/>
  <c r="R681"/>
  <c r="R680"/>
  <c r="R679"/>
  <c r="R678"/>
  <c r="R677"/>
  <c r="R676"/>
  <c r="R675"/>
  <c r="R674"/>
  <c r="O673"/>
  <c r="M673"/>
  <c r="R673" s="1"/>
  <c r="R672"/>
  <c r="R671"/>
  <c r="O670"/>
  <c r="L670"/>
  <c r="O669"/>
  <c r="M669"/>
  <c r="R669" s="1"/>
  <c r="O668"/>
  <c r="R668" s="1"/>
  <c r="R667"/>
  <c r="R666"/>
  <c r="O665"/>
  <c r="L665"/>
  <c r="R664"/>
  <c r="R663"/>
  <c r="O662"/>
  <c r="L662"/>
  <c r="R662" s="1"/>
  <c r="O661"/>
  <c r="R661" s="1"/>
  <c r="R660"/>
  <c r="R659"/>
  <c r="M658"/>
  <c r="R658" s="1"/>
  <c r="R657"/>
  <c r="R656"/>
  <c r="M655"/>
  <c r="R655" s="1"/>
  <c r="O654"/>
  <c r="M654"/>
  <c r="O653"/>
  <c r="L653"/>
  <c r="R653" s="1"/>
  <c r="O652"/>
  <c r="M652"/>
  <c r="R652" s="1"/>
  <c r="R651"/>
  <c r="R650"/>
  <c r="O649"/>
  <c r="M649"/>
  <c r="R649" s="1"/>
  <c r="L649"/>
  <c r="R648"/>
  <c r="R647"/>
  <c r="O646"/>
  <c r="L646"/>
  <c r="R646" s="1"/>
  <c r="R645"/>
  <c r="O644"/>
  <c r="M644"/>
  <c r="R644" s="1"/>
  <c r="R643"/>
  <c r="R642"/>
  <c r="R641"/>
  <c r="R640"/>
  <c r="O640"/>
  <c r="R639"/>
  <c r="R638"/>
  <c r="R637"/>
  <c r="R636"/>
  <c r="R635"/>
  <c r="R634"/>
  <c r="O633"/>
  <c r="L633"/>
  <c r="R633" s="1"/>
  <c r="O632"/>
  <c r="M632"/>
  <c r="R631"/>
  <c r="O631"/>
  <c r="R630"/>
  <c r="R629"/>
  <c r="R628"/>
  <c r="R627"/>
  <c r="R626"/>
  <c r="R625"/>
  <c r="R624"/>
  <c r="R623"/>
  <c r="R622"/>
  <c r="R621"/>
  <c r="R620"/>
  <c r="O619"/>
  <c r="M619"/>
  <c r="R619" s="1"/>
  <c r="R618"/>
  <c r="O618"/>
  <c r="R617"/>
  <c r="R616"/>
  <c r="R615"/>
  <c r="M614"/>
  <c r="R614" s="1"/>
  <c r="R613"/>
  <c r="R612"/>
  <c r="M612"/>
  <c r="R611"/>
  <c r="O610"/>
  <c r="M610"/>
  <c r="R610" s="1"/>
  <c r="R609"/>
  <c r="O608"/>
  <c r="L608"/>
  <c r="O607"/>
  <c r="M607"/>
  <c r="R607" s="1"/>
  <c r="R606"/>
  <c r="R605"/>
  <c r="R604"/>
  <c r="O603"/>
  <c r="M603"/>
  <c r="R603" s="1"/>
  <c r="R602"/>
  <c r="R601"/>
  <c r="R600"/>
  <c r="R599"/>
  <c r="M598"/>
  <c r="R598" s="1"/>
  <c r="R597"/>
  <c r="O596"/>
  <c r="M596"/>
  <c r="R596" s="1"/>
  <c r="R595"/>
  <c r="R594"/>
  <c r="R593"/>
  <c r="R592"/>
  <c r="R591"/>
  <c r="R590"/>
  <c r="R589"/>
  <c r="O588"/>
  <c r="L588"/>
  <c r="R588" s="1"/>
  <c r="R587"/>
  <c r="R586"/>
  <c r="R585"/>
  <c r="R584"/>
  <c r="R583"/>
  <c r="R582"/>
  <c r="R581"/>
  <c r="R580"/>
  <c r="R579"/>
  <c r="O578"/>
  <c r="L578"/>
  <c r="R578" s="1"/>
  <c r="R577"/>
  <c r="R576"/>
  <c r="R575"/>
  <c r="R574"/>
  <c r="R573"/>
  <c r="R572"/>
  <c r="R571"/>
  <c r="R570"/>
  <c r="R569"/>
  <c r="R568"/>
  <c r="O567"/>
  <c r="M567"/>
  <c r="R566"/>
  <c r="O565"/>
  <c r="M565"/>
  <c r="R565" s="1"/>
  <c r="O564"/>
  <c r="L564"/>
  <c r="R564" s="1"/>
  <c r="R563"/>
  <c r="R562"/>
  <c r="O561"/>
  <c r="R561" s="1"/>
  <c r="R560"/>
  <c r="R559"/>
  <c r="R558"/>
  <c r="R557"/>
  <c r="R556"/>
  <c r="R555"/>
  <c r="R554"/>
  <c r="R553"/>
  <c r="R552"/>
  <c r="R551"/>
  <c r="R550"/>
  <c r="O549"/>
  <c r="M549"/>
  <c r="R549" s="1"/>
  <c r="R548"/>
  <c r="R547"/>
  <c r="R546"/>
  <c r="R545"/>
  <c r="O544"/>
  <c r="M544"/>
  <c r="R544" s="1"/>
  <c r="O543"/>
  <c r="M543"/>
  <c r="R543" s="1"/>
  <c r="O542"/>
  <c r="M542"/>
  <c r="R541"/>
  <c r="R540"/>
  <c r="R539"/>
  <c r="R538"/>
  <c r="R537"/>
  <c r="R536"/>
  <c r="R535"/>
  <c r="L535"/>
  <c r="R534"/>
  <c r="R533"/>
  <c r="R532"/>
  <c r="L531"/>
  <c r="R531" s="1"/>
  <c r="R530"/>
  <c r="R529"/>
  <c r="R528"/>
  <c r="R527"/>
  <c r="R526"/>
  <c r="P525"/>
  <c r="O525"/>
  <c r="R525" s="1"/>
  <c r="P524"/>
  <c r="O524"/>
  <c r="M524"/>
  <c r="L524"/>
  <c r="R523"/>
  <c r="L523"/>
  <c r="R522"/>
  <c r="O522"/>
  <c r="O521"/>
  <c r="L521"/>
  <c r="R521" s="1"/>
  <c r="R520"/>
  <c r="R519"/>
  <c r="R518"/>
  <c r="R517"/>
  <c r="O516"/>
  <c r="L516"/>
  <c r="R516" s="1"/>
  <c r="R515"/>
  <c r="O514"/>
  <c r="M514"/>
  <c r="L514"/>
  <c r="R514" s="1"/>
  <c r="R513"/>
  <c r="O512"/>
  <c r="L512"/>
  <c r="R512" s="1"/>
  <c r="R511"/>
  <c r="R510"/>
  <c r="R509"/>
  <c r="R508"/>
  <c r="O507"/>
  <c r="R507" s="1"/>
  <c r="R506"/>
  <c r="O505"/>
  <c r="L505"/>
  <c r="R505" s="1"/>
  <c r="O504"/>
  <c r="M504"/>
  <c r="R503"/>
  <c r="O503"/>
  <c r="O502"/>
  <c r="M502"/>
  <c r="R502" s="1"/>
  <c r="R501"/>
  <c r="R500"/>
  <c r="R499"/>
  <c r="R498"/>
  <c r="R497"/>
  <c r="R496"/>
  <c r="R495"/>
  <c r="R494"/>
  <c r="L493"/>
  <c r="R493" s="1"/>
  <c r="R492"/>
  <c r="R491"/>
  <c r="R490"/>
  <c r="R489"/>
  <c r="R488"/>
  <c r="R487"/>
  <c r="O486"/>
  <c r="M486"/>
  <c r="O485"/>
  <c r="L485"/>
  <c r="R485" s="1"/>
  <c r="R484"/>
  <c r="R483"/>
  <c r="O482"/>
  <c r="R482" s="1"/>
  <c r="R481"/>
  <c r="R480"/>
  <c r="R479"/>
  <c r="R478"/>
  <c r="R477"/>
  <c r="R476"/>
  <c r="O475"/>
  <c r="M475"/>
  <c r="R474"/>
  <c r="R473"/>
  <c r="R472"/>
  <c r="O471"/>
  <c r="M471"/>
  <c r="L471"/>
  <c r="R471" s="1"/>
  <c r="O470"/>
  <c r="M470"/>
  <c r="O469"/>
  <c r="M469"/>
  <c r="R469" s="1"/>
  <c r="R468"/>
  <c r="R467"/>
  <c r="R466"/>
  <c r="R465"/>
  <c r="R464"/>
  <c r="O463"/>
  <c r="L463"/>
  <c r="R463" s="1"/>
  <c r="R462"/>
  <c r="R461"/>
  <c r="R460"/>
  <c r="R459"/>
  <c r="R458"/>
  <c r="R457"/>
  <c r="R456"/>
  <c r="O455"/>
  <c r="M455"/>
  <c r="R455" s="1"/>
  <c r="R454"/>
  <c r="R453"/>
  <c r="R452"/>
  <c r="R451"/>
  <c r="R450"/>
  <c r="R449"/>
  <c r="O448"/>
  <c r="L448"/>
  <c r="R448" s="1"/>
  <c r="O447"/>
  <c r="M447"/>
  <c r="R447" s="1"/>
  <c r="R446"/>
  <c r="R445"/>
  <c r="R444"/>
  <c r="R443"/>
  <c r="O443"/>
  <c r="R442"/>
  <c r="R441"/>
  <c r="R440"/>
  <c r="R439"/>
  <c r="R438"/>
  <c r="R437"/>
  <c r="P436"/>
  <c r="O436"/>
  <c r="R436" s="1"/>
  <c r="R435"/>
  <c r="R434"/>
  <c r="R433"/>
  <c r="R432"/>
  <c r="R431"/>
  <c r="R430"/>
  <c r="R429"/>
  <c r="R428"/>
  <c r="R427"/>
  <c r="R426"/>
  <c r="R425"/>
  <c r="R424"/>
  <c r="R423"/>
  <c r="R422"/>
  <c r="R421"/>
  <c r="R420"/>
  <c r="R419"/>
  <c r="R418"/>
  <c r="R417"/>
  <c r="R416"/>
  <c r="R415"/>
  <c r="R414"/>
  <c r="O413"/>
  <c r="M413"/>
  <c r="R412"/>
  <c r="R411"/>
  <c r="R410"/>
  <c r="R409"/>
  <c r="R408"/>
  <c r="M407"/>
  <c r="R407" s="1"/>
  <c r="R406"/>
  <c r="O405"/>
  <c r="M405"/>
  <c r="R405" s="1"/>
  <c r="L405"/>
  <c r="R404"/>
  <c r="O403"/>
  <c r="R403" s="1"/>
  <c r="R402"/>
  <c r="R401"/>
  <c r="R400"/>
  <c r="R399"/>
  <c r="M398"/>
  <c r="R398" s="1"/>
  <c r="R397"/>
  <c r="R396"/>
  <c r="M395"/>
  <c r="R395" s="1"/>
  <c r="O394"/>
  <c r="M394"/>
  <c r="R394" s="1"/>
  <c r="R393"/>
  <c r="O392"/>
  <c r="M392"/>
  <c r="L392"/>
  <c r="R392" s="1"/>
  <c r="R391"/>
  <c r="R390"/>
  <c r="R389"/>
  <c r="R388"/>
  <c r="R387"/>
  <c r="R386"/>
  <c r="R385"/>
  <c r="R384"/>
  <c r="R383"/>
  <c r="R382"/>
  <c r="O382"/>
  <c r="O381"/>
  <c r="L381"/>
  <c r="R381" s="1"/>
  <c r="R380"/>
  <c r="R379"/>
  <c r="O378"/>
  <c r="R378" s="1"/>
  <c r="R377"/>
  <c r="O376"/>
  <c r="M376"/>
  <c r="R376" s="1"/>
  <c r="L376"/>
  <c r="R375"/>
  <c r="L375"/>
  <c r="R374"/>
  <c r="R373"/>
  <c r="R372"/>
  <c r="R371"/>
  <c r="R370"/>
  <c r="M369"/>
  <c r="R369" s="1"/>
  <c r="R368"/>
  <c r="R367"/>
  <c r="R366"/>
  <c r="R365"/>
  <c r="O364"/>
  <c r="L364"/>
  <c r="R364" s="1"/>
  <c r="R363"/>
  <c r="R362"/>
  <c r="O361"/>
  <c r="L361"/>
  <c r="R361" s="1"/>
  <c r="R360"/>
  <c r="R359"/>
  <c r="R358"/>
  <c r="R357"/>
  <c r="R356"/>
  <c r="R355"/>
  <c r="L354"/>
  <c r="R354" s="1"/>
  <c r="R353"/>
  <c r="R352"/>
  <c r="R351"/>
  <c r="R350"/>
  <c r="R349"/>
  <c r="R348"/>
  <c r="R347"/>
  <c r="R346"/>
  <c r="R345"/>
  <c r="R344"/>
  <c r="R343"/>
  <c r="R342"/>
  <c r="R341"/>
  <c r="R340"/>
  <c r="R339"/>
  <c r="O338"/>
  <c r="M338"/>
  <c r="R338" s="1"/>
  <c r="R337"/>
  <c r="R336"/>
  <c r="R335"/>
  <c r="R334"/>
  <c r="R333"/>
  <c r="R332"/>
  <c r="R331"/>
  <c r="R330"/>
  <c r="L330"/>
  <c r="R329"/>
  <c r="R328"/>
  <c r="O327"/>
  <c r="L327"/>
  <c r="R327" s="1"/>
  <c r="R326"/>
  <c r="R325"/>
  <c r="R324"/>
  <c r="R323"/>
  <c r="O322"/>
  <c r="M322"/>
  <c r="R322" s="1"/>
  <c r="R321"/>
  <c r="R320"/>
  <c r="R319"/>
  <c r="R318"/>
  <c r="R317"/>
  <c r="R316"/>
  <c r="R315"/>
  <c r="R314"/>
  <c r="R313"/>
  <c r="O312"/>
  <c r="L312"/>
  <c r="R311"/>
  <c r="R310"/>
  <c r="R309"/>
  <c r="R308"/>
  <c r="R307"/>
  <c r="R306"/>
  <c r="R305"/>
  <c r="R304"/>
  <c r="R303"/>
  <c r="R302"/>
  <c r="O301"/>
  <c r="L301"/>
  <c r="R301" s="1"/>
  <c r="R300"/>
  <c r="R299"/>
  <c r="R298"/>
  <c r="R297"/>
  <c r="R296"/>
  <c r="R295"/>
  <c r="R294"/>
  <c r="R293"/>
  <c r="R292"/>
  <c r="R291"/>
  <c r="R290"/>
  <c r="R289"/>
  <c r="O288"/>
  <c r="R288" s="1"/>
  <c r="R287"/>
  <c r="R286"/>
  <c r="R285"/>
  <c r="R284"/>
  <c r="M284"/>
  <c r="O283"/>
  <c r="M283"/>
  <c r="R283" s="1"/>
  <c r="R282"/>
  <c r="R281"/>
  <c r="R280"/>
  <c r="R279"/>
  <c r="R278"/>
  <c r="R277"/>
  <c r="R276"/>
  <c r="O275"/>
  <c r="M275"/>
  <c r="R275" s="1"/>
  <c r="R274"/>
  <c r="R273"/>
  <c r="R272"/>
  <c r="R271"/>
  <c r="R270"/>
  <c r="R269"/>
  <c r="O268"/>
  <c r="M268"/>
  <c r="R267"/>
  <c r="O266"/>
  <c r="R266" s="1"/>
  <c r="R265"/>
  <c r="R264"/>
  <c r="R263"/>
  <c r="R262"/>
  <c r="R261"/>
  <c r="R260"/>
  <c r="R259"/>
  <c r="R258"/>
  <c r="R257"/>
  <c r="R256"/>
  <c r="R255"/>
  <c r="R254"/>
  <c r="O254"/>
  <c r="R253"/>
  <c r="R252"/>
  <c r="R251"/>
  <c r="R250"/>
  <c r="R249"/>
  <c r="R248"/>
  <c r="R247"/>
  <c r="R246"/>
  <c r="R245"/>
  <c r="R244"/>
  <c r="R243"/>
  <c r="R242"/>
  <c r="R241"/>
  <c r="R240"/>
  <c r="R239"/>
  <c r="M239"/>
  <c r="O238"/>
  <c r="M238"/>
  <c r="R238" s="1"/>
  <c r="O237"/>
  <c r="M237"/>
  <c r="R236"/>
  <c r="R235"/>
  <c r="R234"/>
  <c r="M234"/>
  <c r="R233"/>
  <c r="R232"/>
  <c r="R231"/>
  <c r="O230"/>
  <c r="L230"/>
  <c r="R230" s="1"/>
  <c r="R229"/>
  <c r="O228"/>
  <c r="L228"/>
  <c r="R227"/>
  <c r="R226"/>
  <c r="R225"/>
  <c r="R224"/>
  <c r="R223"/>
  <c r="R222"/>
  <c r="R221"/>
  <c r="R220"/>
  <c r="R219"/>
  <c r="M219"/>
  <c r="R218"/>
  <c r="R217"/>
  <c r="R216"/>
  <c r="R215"/>
  <c r="R214"/>
  <c r="R213"/>
  <c r="R212"/>
  <c r="O211"/>
  <c r="M211"/>
  <c r="L211"/>
  <c r="R211" s="1"/>
  <c r="R210"/>
  <c r="R209"/>
  <c r="R208"/>
  <c r="R207"/>
  <c r="R206"/>
  <c r="O205"/>
  <c r="M205"/>
  <c r="R205" s="1"/>
  <c r="R204"/>
  <c r="R203"/>
  <c r="R202"/>
  <c r="R201"/>
  <c r="R200"/>
  <c r="R199"/>
  <c r="R198"/>
  <c r="R197"/>
  <c r="O196"/>
  <c r="R196" s="1"/>
  <c r="O195"/>
  <c r="L195"/>
  <c r="R195" s="1"/>
  <c r="R194"/>
  <c r="R193"/>
  <c r="O192"/>
  <c r="L192"/>
  <c r="R192" s="1"/>
  <c r="R191"/>
  <c r="R190"/>
  <c r="R189"/>
  <c r="R188"/>
  <c r="R187"/>
  <c r="O186"/>
  <c r="L186"/>
  <c r="R186" s="1"/>
  <c r="R185"/>
  <c r="R184"/>
  <c r="R183"/>
  <c r="R182"/>
  <c r="R181"/>
  <c r="O180"/>
  <c r="M180"/>
  <c r="R180" s="1"/>
  <c r="R179"/>
  <c r="R178"/>
  <c r="R177"/>
  <c r="R176"/>
  <c r="R175"/>
  <c r="R174"/>
  <c r="R173"/>
  <c r="R172"/>
  <c r="R171"/>
  <c r="R170"/>
  <c r="R169"/>
  <c r="R168"/>
  <c r="R167"/>
  <c r="R166"/>
  <c r="R165"/>
  <c r="R164"/>
  <c r="R163"/>
  <c r="R162"/>
  <c r="R161"/>
  <c r="R160"/>
  <c r="R159"/>
  <c r="R158"/>
  <c r="O157"/>
  <c r="M157"/>
  <c r="L157"/>
  <c r="R157" s="1"/>
  <c r="R156"/>
  <c r="R155"/>
  <c r="R154"/>
  <c r="R153"/>
  <c r="R152"/>
  <c r="R151"/>
  <c r="R150"/>
  <c r="R149"/>
  <c r="R148"/>
  <c r="R147"/>
  <c r="R146"/>
  <c r="R145"/>
  <c r="R144"/>
  <c r="O143"/>
  <c r="M143"/>
  <c r="R143" s="1"/>
  <c r="O142"/>
  <c r="M142"/>
  <c r="R142" s="1"/>
  <c r="R141"/>
  <c r="R140"/>
  <c r="R139"/>
  <c r="O138"/>
  <c r="M138"/>
  <c r="R137"/>
  <c r="R136"/>
  <c r="R135"/>
  <c r="R134"/>
  <c r="R133"/>
  <c r="R132"/>
  <c r="R131"/>
  <c r="O130"/>
  <c r="L130"/>
  <c r="R130" s="1"/>
  <c r="O129"/>
  <c r="M129"/>
  <c r="R129" s="1"/>
  <c r="R128"/>
  <c r="R127"/>
  <c r="R126"/>
  <c r="R125"/>
  <c r="R124"/>
  <c r="R123"/>
  <c r="R122"/>
  <c r="R121"/>
  <c r="R120"/>
  <c r="R119"/>
  <c r="R118"/>
  <c r="R117"/>
  <c r="R116"/>
  <c r="R115"/>
  <c r="O114"/>
  <c r="L114"/>
  <c r="R113"/>
  <c r="R112"/>
  <c r="R111"/>
  <c r="O110"/>
  <c r="M110"/>
  <c r="L110"/>
  <c r="R110" s="1"/>
  <c r="R109"/>
  <c r="R108"/>
  <c r="M108"/>
  <c r="R107"/>
  <c r="R106"/>
  <c r="R105"/>
  <c r="R104"/>
  <c r="R103"/>
  <c r="R102"/>
  <c r="R101"/>
  <c r="R100"/>
  <c r="R99"/>
  <c r="M99"/>
  <c r="R98"/>
  <c r="R97"/>
  <c r="R96"/>
  <c r="R95"/>
  <c r="R94"/>
  <c r="R93"/>
  <c r="R92"/>
  <c r="R91"/>
  <c r="R90"/>
  <c r="R89"/>
  <c r="R88"/>
  <c r="R87"/>
  <c r="R86"/>
  <c r="R85"/>
  <c r="R84"/>
  <c r="R83"/>
  <c r="O82"/>
  <c r="L82"/>
  <c r="R82" s="1"/>
  <c r="R81"/>
  <c r="O80"/>
  <c r="M80"/>
  <c r="R80" s="1"/>
  <c r="R79"/>
  <c r="R78"/>
  <c r="R77"/>
  <c r="R76"/>
  <c r="R75"/>
  <c r="R74"/>
  <c r="R73"/>
  <c r="O72"/>
  <c r="M72"/>
  <c r="R72" s="1"/>
  <c r="O71"/>
  <c r="M71"/>
  <c r="R70"/>
  <c r="R69"/>
  <c r="R68"/>
  <c r="R67"/>
  <c r="O66"/>
  <c r="M66"/>
  <c r="R66" s="1"/>
  <c r="R65"/>
  <c r="R64"/>
  <c r="R63"/>
  <c r="O62"/>
  <c r="M62"/>
  <c r="R62" s="1"/>
  <c r="O61"/>
  <c r="R61" s="1"/>
  <c r="R60"/>
  <c r="R59"/>
  <c r="O58"/>
  <c r="R58" s="1"/>
  <c r="R57"/>
  <c r="R56"/>
  <c r="R55"/>
  <c r="R54"/>
  <c r="O53"/>
  <c r="R53" s="1"/>
  <c r="R52"/>
  <c r="O51"/>
  <c r="M51"/>
  <c r="R51" s="1"/>
  <c r="R50"/>
  <c r="P49"/>
  <c r="O49"/>
  <c r="R49" s="1"/>
  <c r="R48"/>
  <c r="R47"/>
  <c r="O47"/>
  <c r="R46"/>
  <c r="O46"/>
  <c r="R45"/>
  <c r="O45"/>
  <c r="R44"/>
  <c r="R43"/>
  <c r="R42"/>
  <c r="R41"/>
  <c r="R40"/>
  <c r="O39"/>
  <c r="M39"/>
  <c r="R38"/>
  <c r="R37"/>
  <c r="R36"/>
  <c r="R35"/>
  <c r="R34"/>
  <c r="R33"/>
  <c r="R32"/>
  <c r="R31"/>
  <c r="R30"/>
  <c r="M29"/>
  <c r="R29" s="1"/>
  <c r="R28"/>
  <c r="R27"/>
  <c r="R26"/>
  <c r="P25"/>
  <c r="O25"/>
  <c r="R25" s="1"/>
  <c r="R24"/>
  <c r="R23"/>
  <c r="R22"/>
  <c r="R21"/>
  <c r="R20"/>
  <c r="R19"/>
  <c r="R18"/>
  <c r="R17"/>
  <c r="O17"/>
  <c r="R16"/>
  <c r="R15"/>
  <c r="R14"/>
  <c r="R13"/>
  <c r="R12"/>
  <c r="R11"/>
  <c r="R10"/>
  <c r="AT931" i="36" l="1"/>
  <c r="AT933" s="1"/>
  <c r="AL931"/>
  <c r="AX931"/>
  <c r="AP931"/>
  <c r="AH931"/>
  <c r="AZ931"/>
  <c r="AR931"/>
  <c r="AD932" s="1"/>
  <c r="AF931"/>
  <c r="AD176"/>
  <c r="AC176"/>
  <c r="AC717"/>
  <c r="AD717"/>
  <c r="AC624"/>
  <c r="AD624"/>
  <c r="AD265"/>
  <c r="AC265"/>
  <c r="R39" i="35"/>
  <c r="R71"/>
  <c r="R114"/>
  <c r="R138"/>
  <c r="R228"/>
  <c r="R237"/>
  <c r="R268"/>
  <c r="R312"/>
  <c r="R413"/>
  <c r="R470"/>
  <c r="R475"/>
  <c r="R486"/>
  <c r="R504"/>
  <c r="R524"/>
  <c r="R542"/>
  <c r="R567"/>
  <c r="R608"/>
  <c r="R632"/>
  <c r="R654"/>
  <c r="R665"/>
  <c r="R670"/>
  <c r="R702"/>
  <c r="R709"/>
  <c r="AD931" i="36" l="1"/>
  <c r="L933" i="33"/>
  <c r="L931"/>
  <c r="P930"/>
  <c r="L902"/>
  <c r="L889"/>
  <c r="L874"/>
  <c r="L865"/>
  <c r="L860"/>
  <c r="L821"/>
  <c r="O817"/>
  <c r="L817"/>
  <c r="L816"/>
  <c r="O800"/>
  <c r="O796"/>
  <c r="L790"/>
  <c r="L781"/>
  <c r="L760"/>
  <c r="O699"/>
  <c r="L699"/>
  <c r="O675"/>
  <c r="L675"/>
  <c r="L673"/>
  <c r="O670"/>
  <c r="O665"/>
  <c r="L665"/>
  <c r="L659"/>
  <c r="L618"/>
  <c r="L605"/>
  <c r="L583"/>
  <c r="L578"/>
  <c r="L574"/>
  <c r="L573"/>
  <c r="O571"/>
  <c r="L571"/>
  <c r="L563"/>
  <c r="L562"/>
  <c r="L554"/>
  <c r="L547"/>
  <c r="O523"/>
  <c r="L523"/>
  <c r="O496"/>
  <c r="L464"/>
  <c r="L396"/>
  <c r="L358"/>
  <c r="L357"/>
  <c r="O347"/>
  <c r="O326"/>
  <c r="O313"/>
  <c r="O305"/>
  <c r="O270"/>
  <c r="O255"/>
  <c r="L255"/>
  <c r="O146"/>
  <c r="O130"/>
  <c r="O126"/>
  <c r="L126"/>
  <c r="O123"/>
  <c r="L123"/>
  <c r="AV935" i="32"/>
  <c r="AK932"/>
  <c r="AI932"/>
  <c r="AC932"/>
  <c r="AV931"/>
  <c r="AT931"/>
  <c r="AR931"/>
  <c r="AP931"/>
  <c r="AN931"/>
  <c r="AL931"/>
  <c r="AJ931"/>
  <c r="AH931"/>
  <c r="AF931"/>
  <c r="AD931"/>
  <c r="AB931"/>
  <c r="Z931"/>
  <c r="W931"/>
  <c r="S931"/>
  <c r="AV930"/>
  <c r="AT930"/>
  <c r="AR930"/>
  <c r="AP930"/>
  <c r="AN930"/>
  <c r="AL930"/>
  <c r="AJ930"/>
  <c r="AH930"/>
  <c r="AF930"/>
  <c r="AD930"/>
  <c r="AB930"/>
  <c r="Z930"/>
  <c r="W930"/>
  <c r="S930"/>
  <c r="AV929"/>
  <c r="AT929"/>
  <c r="AR929"/>
  <c r="AP929"/>
  <c r="AN929"/>
  <c r="AL929"/>
  <c r="AJ929"/>
  <c r="AH929"/>
  <c r="AF929"/>
  <c r="AD929"/>
  <c r="AB929"/>
  <c r="Z929"/>
  <c r="W929"/>
  <c r="S929"/>
  <c r="AV928"/>
  <c r="AT928"/>
  <c r="AR928"/>
  <c r="AP928"/>
  <c r="AN928"/>
  <c r="AL928"/>
  <c r="AJ928"/>
  <c r="AH928"/>
  <c r="AF928"/>
  <c r="AD928"/>
  <c r="AB928"/>
  <c r="Z928"/>
  <c r="W928"/>
  <c r="S928"/>
  <c r="AV927"/>
  <c r="AT927"/>
  <c r="AR927"/>
  <c r="AP927"/>
  <c r="AN927"/>
  <c r="AL927"/>
  <c r="AJ927"/>
  <c r="AH927"/>
  <c r="AF927"/>
  <c r="AD927"/>
  <c r="AB927"/>
  <c r="Z927"/>
  <c r="W927"/>
  <c r="S927"/>
  <c r="AV926"/>
  <c r="AT926"/>
  <c r="AR926"/>
  <c r="AP926"/>
  <c r="AN926"/>
  <c r="AL926"/>
  <c r="AJ926"/>
  <c r="AH926"/>
  <c r="AF926"/>
  <c r="AD926"/>
  <c r="AB926"/>
  <c r="Z926"/>
  <c r="W926"/>
  <c r="S926"/>
  <c r="AV925"/>
  <c r="AT925"/>
  <c r="AR925"/>
  <c r="AP925"/>
  <c r="AN925"/>
  <c r="AL925"/>
  <c r="AJ925"/>
  <c r="AH925"/>
  <c r="AF925"/>
  <c r="AD925"/>
  <c r="AB925"/>
  <c r="Z925"/>
  <c r="W925"/>
  <c r="S925"/>
  <c r="AV924"/>
  <c r="AT924"/>
  <c r="AR924"/>
  <c r="AP924"/>
  <c r="AN924"/>
  <c r="AL924"/>
  <c r="AJ924"/>
  <c r="AH924"/>
  <c r="AF924"/>
  <c r="AD924"/>
  <c r="AB924"/>
  <c r="Z924"/>
  <c r="W924"/>
  <c r="S924"/>
  <c r="AV923"/>
  <c r="AT923"/>
  <c r="AR923"/>
  <c r="AP923"/>
  <c r="AN923"/>
  <c r="AL923"/>
  <c r="AJ923"/>
  <c r="AH923"/>
  <c r="AF923"/>
  <c r="AD923"/>
  <c r="AB923"/>
  <c r="Z923"/>
  <c r="W923"/>
  <c r="S923"/>
  <c r="AV922"/>
  <c r="AT922"/>
  <c r="AR922"/>
  <c r="AP922"/>
  <c r="AN922"/>
  <c r="AL922"/>
  <c r="AJ922"/>
  <c r="AH922"/>
  <c r="AF922"/>
  <c r="AD922"/>
  <c r="AB922"/>
  <c r="Z922"/>
  <c r="W922"/>
  <c r="S922"/>
  <c r="AV921"/>
  <c r="AT921"/>
  <c r="AR921"/>
  <c r="AP921"/>
  <c r="AN921"/>
  <c r="AL921"/>
  <c r="AJ921"/>
  <c r="AH921"/>
  <c r="AF921"/>
  <c r="AD921"/>
  <c r="AB921"/>
  <c r="Z921"/>
  <c r="W921"/>
  <c r="S921"/>
  <c r="AV920"/>
  <c r="AT920"/>
  <c r="AR920"/>
  <c r="AP920"/>
  <c r="AN920"/>
  <c r="AL920"/>
  <c r="AJ920"/>
  <c r="AH920"/>
  <c r="AF920"/>
  <c r="AD920"/>
  <c r="AB920"/>
  <c r="Z920"/>
  <c r="W920"/>
  <c r="S920"/>
  <c r="AV919"/>
  <c r="AT919"/>
  <c r="AR919"/>
  <c r="AP919"/>
  <c r="AN919"/>
  <c r="AL919"/>
  <c r="AJ919"/>
  <c r="AH919"/>
  <c r="AF919"/>
  <c r="AD919"/>
  <c r="AB919"/>
  <c r="Z919"/>
  <c r="W919"/>
  <c r="S919"/>
  <c r="AV918"/>
  <c r="AT918"/>
  <c r="AR918"/>
  <c r="AP918"/>
  <c r="AN918"/>
  <c r="AL918"/>
  <c r="AJ918"/>
  <c r="AH918"/>
  <c r="AF918"/>
  <c r="AD918"/>
  <c r="AB918"/>
  <c r="Z918"/>
  <c r="W918"/>
  <c r="S918"/>
  <c r="AV917"/>
  <c r="AT917"/>
  <c r="AR917"/>
  <c r="AP917"/>
  <c r="AN917"/>
  <c r="AL917"/>
  <c r="AJ917"/>
  <c r="AH917"/>
  <c r="AF917"/>
  <c r="AD917"/>
  <c r="AB917"/>
  <c r="Z917"/>
  <c r="W917"/>
  <c r="S917"/>
  <c r="AV916"/>
  <c r="AT916"/>
  <c r="AR916"/>
  <c r="AP916"/>
  <c r="AN916"/>
  <c r="AL916"/>
  <c r="AB916"/>
  <c r="Z916"/>
  <c r="W916"/>
  <c r="S916"/>
  <c r="AV915"/>
  <c r="AT915"/>
  <c r="AR915"/>
  <c r="AP915"/>
  <c r="AN915"/>
  <c r="AL915"/>
  <c r="AJ915"/>
  <c r="AH915"/>
  <c r="AF915"/>
  <c r="AD915"/>
  <c r="AB915"/>
  <c r="Z915"/>
  <c r="W915"/>
  <c r="S915"/>
  <c r="AV914"/>
  <c r="AT914"/>
  <c r="AR914"/>
  <c r="AP914"/>
  <c r="AN914"/>
  <c r="AL914"/>
  <c r="AJ914"/>
  <c r="AH914"/>
  <c r="AF914"/>
  <c r="AD914"/>
  <c r="AB914"/>
  <c r="Z914"/>
  <c r="W914"/>
  <c r="S914"/>
  <c r="AV913"/>
  <c r="AT913"/>
  <c r="AR913"/>
  <c r="AP913"/>
  <c r="AN913"/>
  <c r="AL913"/>
  <c r="AJ913"/>
  <c r="AH913"/>
  <c r="AF913"/>
  <c r="AD913"/>
  <c r="AB913"/>
  <c r="Z913"/>
  <c r="W913"/>
  <c r="S913"/>
  <c r="AV912"/>
  <c r="AT912"/>
  <c r="AR912"/>
  <c r="AP912"/>
  <c r="AN912"/>
  <c r="AL912"/>
  <c r="AJ912"/>
  <c r="AH912"/>
  <c r="AF912"/>
  <c r="AD912"/>
  <c r="AB912"/>
  <c r="Z912"/>
  <c r="W912"/>
  <c r="S912"/>
  <c r="AV911"/>
  <c r="AT911"/>
  <c r="AR911"/>
  <c r="AP911"/>
  <c r="AN911"/>
  <c r="AL911"/>
  <c r="AJ911"/>
  <c r="AH911"/>
  <c r="AF911"/>
  <c r="AD911"/>
  <c r="AB911"/>
  <c r="Z911"/>
  <c r="W911"/>
  <c r="S911"/>
  <c r="AV910"/>
  <c r="AT910"/>
  <c r="AR910"/>
  <c r="AP910"/>
  <c r="AN910"/>
  <c r="AL910"/>
  <c r="AJ910"/>
  <c r="AH910"/>
  <c r="AF910"/>
  <c r="AD910"/>
  <c r="AB910"/>
  <c r="Z910"/>
  <c r="W910"/>
  <c r="S910"/>
  <c r="AV909"/>
  <c r="AT909"/>
  <c r="AR909"/>
  <c r="AP909"/>
  <c r="AN909"/>
  <c r="AL909"/>
  <c r="AJ909"/>
  <c r="AH909"/>
  <c r="AF909"/>
  <c r="AD909"/>
  <c r="AB909"/>
  <c r="Z909"/>
  <c r="W909"/>
  <c r="S909"/>
  <c r="AV908"/>
  <c r="AT908"/>
  <c r="AR908"/>
  <c r="AP908"/>
  <c r="AN908"/>
  <c r="AL908"/>
  <c r="AJ908"/>
  <c r="AH908"/>
  <c r="AF908"/>
  <c r="AD908"/>
  <c r="AB908"/>
  <c r="Z908"/>
  <c r="W908"/>
  <c r="S908"/>
  <c r="AV907"/>
  <c r="AT907"/>
  <c r="AR907"/>
  <c r="AP907"/>
  <c r="AM907"/>
  <c r="AL907"/>
  <c r="AJ907"/>
  <c r="AH907"/>
  <c r="AF907"/>
  <c r="AD907"/>
  <c r="AB907"/>
  <c r="Z907"/>
  <c r="S907"/>
  <c r="AV906"/>
  <c r="AT906"/>
  <c r="AR906"/>
  <c r="AP906"/>
  <c r="AN906"/>
  <c r="AL906"/>
  <c r="AJ906"/>
  <c r="AH906"/>
  <c r="AF906"/>
  <c r="AD906"/>
  <c r="AB906"/>
  <c r="Z906"/>
  <c r="X906"/>
  <c r="W906"/>
  <c r="V906"/>
  <c r="S906"/>
  <c r="AV905"/>
  <c r="AT905"/>
  <c r="AR905"/>
  <c r="AP905"/>
  <c r="AN905"/>
  <c r="AL905"/>
  <c r="AJ905"/>
  <c r="AH905"/>
  <c r="AF905"/>
  <c r="AD905"/>
  <c r="AB905"/>
  <c r="Z905"/>
  <c r="X905"/>
  <c r="W905"/>
  <c r="V905"/>
  <c r="S905"/>
  <c r="AV904"/>
  <c r="AT904"/>
  <c r="AR904"/>
  <c r="AP904"/>
  <c r="AN904"/>
  <c r="AL904"/>
  <c r="AJ904"/>
  <c r="AH904"/>
  <c r="AF904"/>
  <c r="AD904"/>
  <c r="AB904"/>
  <c r="Z904"/>
  <c r="X904"/>
  <c r="W904"/>
  <c r="V904"/>
  <c r="S904"/>
  <c r="AV903"/>
  <c r="AT903"/>
  <c r="AR903"/>
  <c r="AP903"/>
  <c r="AN903"/>
  <c r="AL903"/>
  <c r="AJ903"/>
  <c r="AH903"/>
  <c r="AF903"/>
  <c r="AD903"/>
  <c r="AB903"/>
  <c r="Z903"/>
  <c r="X903"/>
  <c r="W903"/>
  <c r="V903"/>
  <c r="S903"/>
  <c r="AV902"/>
  <c r="AT902"/>
  <c r="AR902"/>
  <c r="AP902"/>
  <c r="AN902"/>
  <c r="AL902"/>
  <c r="AJ902"/>
  <c r="AH902"/>
  <c r="AF902"/>
  <c r="AD902"/>
  <c r="AB902"/>
  <c r="Z902"/>
  <c r="X902"/>
  <c r="W902"/>
  <c r="V902"/>
  <c r="S902"/>
  <c r="AV901"/>
  <c r="AT901"/>
  <c r="AR901"/>
  <c r="AP901"/>
  <c r="AN901"/>
  <c r="AL901"/>
  <c r="AJ901"/>
  <c r="AH901"/>
  <c r="AF901"/>
  <c r="AD901"/>
  <c r="AB901"/>
  <c r="Z901"/>
  <c r="X901"/>
  <c r="W901"/>
  <c r="V901"/>
  <c r="S901"/>
  <c r="AV900"/>
  <c r="AT900"/>
  <c r="AR900"/>
  <c r="AP900"/>
  <c r="AN900"/>
  <c r="AL900"/>
  <c r="AJ900"/>
  <c r="AH900"/>
  <c r="AF900"/>
  <c r="AD900"/>
  <c r="AB900"/>
  <c r="Z900"/>
  <c r="X900"/>
  <c r="W900"/>
  <c r="V900"/>
  <c r="S900"/>
  <c r="AV899"/>
  <c r="AT899"/>
  <c r="AR899"/>
  <c r="AP899"/>
  <c r="AN899"/>
  <c r="AL899"/>
  <c r="AJ899"/>
  <c r="AH899"/>
  <c r="AF899"/>
  <c r="AD899"/>
  <c r="AB899"/>
  <c r="Z899"/>
  <c r="X899"/>
  <c r="W899"/>
  <c r="V899"/>
  <c r="S899"/>
  <c r="AV898"/>
  <c r="AT898"/>
  <c r="AR898"/>
  <c r="AP898"/>
  <c r="AN898"/>
  <c r="AL898"/>
  <c r="AJ898"/>
  <c r="AH898"/>
  <c r="AF898"/>
  <c r="AD898"/>
  <c r="AB898"/>
  <c r="Z898"/>
  <c r="X898"/>
  <c r="W898"/>
  <c r="V898"/>
  <c r="S898"/>
  <c r="AV897"/>
  <c r="AT897"/>
  <c r="AR897"/>
  <c r="AP897"/>
  <c r="AN897"/>
  <c r="AL897"/>
  <c r="AJ897"/>
  <c r="AH897"/>
  <c r="AF897"/>
  <c r="AD897"/>
  <c r="AB897"/>
  <c r="Z897"/>
  <c r="X897"/>
  <c r="W897"/>
  <c r="V897"/>
  <c r="S897"/>
  <c r="AV896"/>
  <c r="AT896"/>
  <c r="AR896"/>
  <c r="AP896"/>
  <c r="AN896"/>
  <c r="AL896"/>
  <c r="AJ896"/>
  <c r="AH896"/>
  <c r="AF896"/>
  <c r="AD896"/>
  <c r="AB896"/>
  <c r="Z896"/>
  <c r="X896"/>
  <c r="W896"/>
  <c r="V896"/>
  <c r="S896"/>
  <c r="AV895"/>
  <c r="AT895"/>
  <c r="AR895"/>
  <c r="AP895"/>
  <c r="AN895"/>
  <c r="AL895"/>
  <c r="AJ895"/>
  <c r="AH895"/>
  <c r="AF895"/>
  <c r="AD895"/>
  <c r="AB895"/>
  <c r="Z895"/>
  <c r="X895"/>
  <c r="W895"/>
  <c r="V895"/>
  <c r="S895"/>
  <c r="AV894"/>
  <c r="AT894"/>
  <c r="AR894"/>
  <c r="AP894"/>
  <c r="AN894"/>
  <c r="AL894"/>
  <c r="AJ894"/>
  <c r="AH894"/>
  <c r="AF894"/>
  <c r="AD894"/>
  <c r="AB894"/>
  <c r="Z894"/>
  <c r="X894"/>
  <c r="W894"/>
  <c r="V894"/>
  <c r="S894"/>
  <c r="AV893"/>
  <c r="AT893"/>
  <c r="AR893"/>
  <c r="AP893"/>
  <c r="AN893"/>
  <c r="AL893"/>
  <c r="AJ893"/>
  <c r="AH893"/>
  <c r="AF893"/>
  <c r="AD893"/>
  <c r="AB893"/>
  <c r="Z893"/>
  <c r="X893"/>
  <c r="W893"/>
  <c r="V893"/>
  <c r="S893"/>
  <c r="AV892"/>
  <c r="AT892"/>
  <c r="AR892"/>
  <c r="AP892"/>
  <c r="AN892"/>
  <c r="AL892"/>
  <c r="AJ892"/>
  <c r="AH892"/>
  <c r="AF892"/>
  <c r="AD892"/>
  <c r="AB892"/>
  <c r="Z892"/>
  <c r="X892"/>
  <c r="W892"/>
  <c r="V892"/>
  <c r="S892"/>
  <c r="AV891"/>
  <c r="AT891"/>
  <c r="AR891"/>
  <c r="AP891"/>
  <c r="AN891"/>
  <c r="AL891"/>
  <c r="AJ891"/>
  <c r="AH891"/>
  <c r="AF891"/>
  <c r="AD891"/>
  <c r="AB891"/>
  <c r="Z891"/>
  <c r="X891"/>
  <c r="W891"/>
  <c r="V891"/>
  <c r="S891"/>
  <c r="AV890"/>
  <c r="AT890"/>
  <c r="AR890"/>
  <c r="AP890"/>
  <c r="AN890"/>
  <c r="AL890"/>
  <c r="AJ890"/>
  <c r="AH890"/>
  <c r="AF890"/>
  <c r="AD890"/>
  <c r="AB890"/>
  <c r="Z890"/>
  <c r="X890"/>
  <c r="W890"/>
  <c r="V890"/>
  <c r="S890"/>
  <c r="AV889"/>
  <c r="AT889"/>
  <c r="AR889"/>
  <c r="AP889"/>
  <c r="AN889"/>
  <c r="AL889"/>
  <c r="AJ889"/>
  <c r="AH889"/>
  <c r="AF889"/>
  <c r="AD889"/>
  <c r="AB889"/>
  <c r="Z889"/>
  <c r="X889"/>
  <c r="W889"/>
  <c r="V889"/>
  <c r="S889"/>
  <c r="AV888"/>
  <c r="AT888"/>
  <c r="AR888"/>
  <c r="AP888"/>
  <c r="AN888"/>
  <c r="AL888"/>
  <c r="AJ888"/>
  <c r="AH888"/>
  <c r="AF888"/>
  <c r="AD888"/>
  <c r="AB888"/>
  <c r="Z888"/>
  <c r="X888"/>
  <c r="W888"/>
  <c r="V888"/>
  <c r="S888"/>
  <c r="AV887"/>
  <c r="AT887"/>
  <c r="AR887"/>
  <c r="AP887"/>
  <c r="AN887"/>
  <c r="AL887"/>
  <c r="AJ887"/>
  <c r="AH887"/>
  <c r="AF887"/>
  <c r="AD887"/>
  <c r="AB887"/>
  <c r="Z887"/>
  <c r="X887"/>
  <c r="W887"/>
  <c r="V887"/>
  <c r="S887"/>
  <c r="AV886"/>
  <c r="AT886"/>
  <c r="AR886"/>
  <c r="AP886"/>
  <c r="AN886"/>
  <c r="AL886"/>
  <c r="AJ886"/>
  <c r="AH886"/>
  <c r="AF886"/>
  <c r="AD886"/>
  <c r="AB886"/>
  <c r="Z886"/>
  <c r="X886"/>
  <c r="W886"/>
  <c r="V886"/>
  <c r="S886"/>
  <c r="AV885"/>
  <c r="AT885"/>
  <c r="AR885"/>
  <c r="AP885"/>
  <c r="AN885"/>
  <c r="AL885"/>
  <c r="AJ885"/>
  <c r="AH885"/>
  <c r="AF885"/>
  <c r="AD885"/>
  <c r="AB885"/>
  <c r="Z885"/>
  <c r="X885"/>
  <c r="W885"/>
  <c r="V885"/>
  <c r="S885"/>
  <c r="AV884"/>
  <c r="AT884"/>
  <c r="AR884"/>
  <c r="AP884"/>
  <c r="AN884"/>
  <c r="AL884"/>
  <c r="AJ884"/>
  <c r="AH884"/>
  <c r="AF884"/>
  <c r="AD884"/>
  <c r="AB884"/>
  <c r="Z884"/>
  <c r="X884"/>
  <c r="W884"/>
  <c r="V884"/>
  <c r="S884"/>
  <c r="AV883"/>
  <c r="AT883"/>
  <c r="AR883"/>
  <c r="AP883"/>
  <c r="AN883"/>
  <c r="AL883"/>
  <c r="AJ883"/>
  <c r="AH883"/>
  <c r="AF883"/>
  <c r="AD883"/>
  <c r="AB883"/>
  <c r="Z883"/>
  <c r="X883"/>
  <c r="W883"/>
  <c r="V883"/>
  <c r="S883"/>
  <c r="AV882"/>
  <c r="AT882"/>
  <c r="AR882"/>
  <c r="AP882"/>
  <c r="AN882"/>
  <c r="AL882"/>
  <c r="AJ882"/>
  <c r="AH882"/>
  <c r="AF882"/>
  <c r="AD882"/>
  <c r="AB882"/>
  <c r="Z882"/>
  <c r="X882"/>
  <c r="W882"/>
  <c r="V882"/>
  <c r="S882"/>
  <c r="AV881"/>
  <c r="AT881"/>
  <c r="AR881"/>
  <c r="AP881"/>
  <c r="AN881"/>
  <c r="AL881"/>
  <c r="AJ881"/>
  <c r="AH881"/>
  <c r="AF881"/>
  <c r="AD881"/>
  <c r="AB881"/>
  <c r="Z881"/>
  <c r="X881"/>
  <c r="W881"/>
  <c r="V881"/>
  <c r="S881"/>
  <c r="AV880"/>
  <c r="AT880"/>
  <c r="AR880"/>
  <c r="AP880"/>
  <c r="AN880"/>
  <c r="AL880"/>
  <c r="AJ880"/>
  <c r="AH880"/>
  <c r="AF880"/>
  <c r="AD880"/>
  <c r="AB880"/>
  <c r="Z880"/>
  <c r="X880"/>
  <c r="W880"/>
  <c r="V880"/>
  <c r="S880"/>
  <c r="AV879"/>
  <c r="AT879"/>
  <c r="AR879"/>
  <c r="AP879"/>
  <c r="AN879"/>
  <c r="AL879"/>
  <c r="AJ879"/>
  <c r="AH879"/>
  <c r="AF879"/>
  <c r="AD879"/>
  <c r="AB879"/>
  <c r="Z879"/>
  <c r="X879"/>
  <c r="W879"/>
  <c r="V879"/>
  <c r="S879"/>
  <c r="AV878"/>
  <c r="AT878"/>
  <c r="AR878"/>
  <c r="AP878"/>
  <c r="AN878"/>
  <c r="AL878"/>
  <c r="AJ878"/>
  <c r="AH878"/>
  <c r="AF878"/>
  <c r="AD878"/>
  <c r="AB878"/>
  <c r="Z878"/>
  <c r="X878"/>
  <c r="W878"/>
  <c r="V878"/>
  <c r="S878"/>
  <c r="AV877"/>
  <c r="AT877"/>
  <c r="AR877"/>
  <c r="AP877"/>
  <c r="AN877"/>
  <c r="AL877"/>
  <c r="AJ877"/>
  <c r="AH877"/>
  <c r="AF877"/>
  <c r="AD877"/>
  <c r="AB877"/>
  <c r="Z877"/>
  <c r="X877"/>
  <c r="W877"/>
  <c r="V877"/>
  <c r="S877"/>
  <c r="AV876"/>
  <c r="AT876"/>
  <c r="AR876"/>
  <c r="AP876"/>
  <c r="AN876"/>
  <c r="AL876"/>
  <c r="AJ876"/>
  <c r="AH876"/>
  <c r="AF876"/>
  <c r="AD876"/>
  <c r="AB876"/>
  <c r="Z876"/>
  <c r="X876"/>
  <c r="W876"/>
  <c r="V876"/>
  <c r="S876"/>
  <c r="AV875"/>
  <c r="AT875"/>
  <c r="AR875"/>
  <c r="AP875"/>
  <c r="AN875"/>
  <c r="AL875"/>
  <c r="AJ875"/>
  <c r="AH875"/>
  <c r="AF875"/>
  <c r="AD875"/>
  <c r="AB875"/>
  <c r="Z875"/>
  <c r="X875"/>
  <c r="W875"/>
  <c r="V875"/>
  <c r="S875"/>
  <c r="AV874"/>
  <c r="AT874"/>
  <c r="AR874"/>
  <c r="AP874"/>
  <c r="AN874"/>
  <c r="AL874"/>
  <c r="AJ874"/>
  <c r="AH874"/>
  <c r="AF874"/>
  <c r="AD874"/>
  <c r="AB874"/>
  <c r="Z874"/>
  <c r="X874"/>
  <c r="W874"/>
  <c r="V874"/>
  <c r="S874"/>
  <c r="AV873"/>
  <c r="AT873"/>
  <c r="AR873"/>
  <c r="AP873"/>
  <c r="AN873"/>
  <c r="AL873"/>
  <c r="AJ873"/>
  <c r="AH873"/>
  <c r="AF873"/>
  <c r="AD873"/>
  <c r="AB873"/>
  <c r="Z873"/>
  <c r="X873"/>
  <c r="W873"/>
  <c r="V873"/>
  <c r="S873"/>
  <c r="AV872"/>
  <c r="AT872"/>
  <c r="AR872"/>
  <c r="AP872"/>
  <c r="AN872"/>
  <c r="AL872"/>
  <c r="AJ872"/>
  <c r="AH872"/>
  <c r="AF872"/>
  <c r="AD872"/>
  <c r="AB872"/>
  <c r="Z872"/>
  <c r="X872"/>
  <c r="W872"/>
  <c r="V872"/>
  <c r="S872"/>
  <c r="AV871"/>
  <c r="AT871"/>
  <c r="AR871"/>
  <c r="AP871"/>
  <c r="AN871"/>
  <c r="AL871"/>
  <c r="AJ871"/>
  <c r="AH871"/>
  <c r="AF871"/>
  <c r="AD871"/>
  <c r="AB871"/>
  <c r="Z871"/>
  <c r="X871"/>
  <c r="W871"/>
  <c r="V871"/>
  <c r="S871"/>
  <c r="AV870"/>
  <c r="AT870"/>
  <c r="AR870"/>
  <c r="AP870"/>
  <c r="AN870"/>
  <c r="AL870"/>
  <c r="AJ870"/>
  <c r="AH870"/>
  <c r="AF870"/>
  <c r="AD870"/>
  <c r="AB870"/>
  <c r="Z870"/>
  <c r="X870"/>
  <c r="W870"/>
  <c r="V870"/>
  <c r="S870"/>
  <c r="AV869"/>
  <c r="AT869"/>
  <c r="AR869"/>
  <c r="AP869"/>
  <c r="AN869"/>
  <c r="AL869"/>
  <c r="AJ869"/>
  <c r="AH869"/>
  <c r="AF869"/>
  <c r="AD869"/>
  <c r="AB869"/>
  <c r="Z869"/>
  <c r="X869"/>
  <c r="W869"/>
  <c r="V869"/>
  <c r="S869"/>
  <c r="AV868"/>
  <c r="AT868"/>
  <c r="AR868"/>
  <c r="AP868"/>
  <c r="AN868"/>
  <c r="AL868"/>
  <c r="AJ868"/>
  <c r="AH868"/>
  <c r="AF868"/>
  <c r="AD868"/>
  <c r="AB868"/>
  <c r="Z868"/>
  <c r="X868"/>
  <c r="W868"/>
  <c r="V868"/>
  <c r="S868"/>
  <c r="AV867"/>
  <c r="AT867"/>
  <c r="AR867"/>
  <c r="AP867"/>
  <c r="AN867"/>
  <c r="AL867"/>
  <c r="AJ867"/>
  <c r="AH867"/>
  <c r="AF867"/>
  <c r="AD867"/>
  <c r="AB867"/>
  <c r="Z867"/>
  <c r="X867"/>
  <c r="W867"/>
  <c r="V867"/>
  <c r="S867"/>
  <c r="AV866"/>
  <c r="AT866"/>
  <c r="AR866"/>
  <c r="AP866"/>
  <c r="AN866"/>
  <c r="AL866"/>
  <c r="AJ866"/>
  <c r="AH866"/>
  <c r="AF866"/>
  <c r="AD866"/>
  <c r="AB866"/>
  <c r="Z866"/>
  <c r="X866"/>
  <c r="W866"/>
  <c r="V866"/>
  <c r="S866"/>
  <c r="AV865"/>
  <c r="AT865"/>
  <c r="AR865"/>
  <c r="AP865"/>
  <c r="AN865"/>
  <c r="AL865"/>
  <c r="AJ865"/>
  <c r="AH865"/>
  <c r="AF865"/>
  <c r="AD865"/>
  <c r="AB865"/>
  <c r="Z865"/>
  <c r="X865"/>
  <c r="W865"/>
  <c r="V865"/>
  <c r="S865"/>
  <c r="AV864"/>
  <c r="AT864"/>
  <c r="AR864"/>
  <c r="AP864"/>
  <c r="AN864"/>
  <c r="AL864"/>
  <c r="AJ864"/>
  <c r="AH864"/>
  <c r="AF864"/>
  <c r="AD864"/>
  <c r="AB864"/>
  <c r="Z864"/>
  <c r="X864"/>
  <c r="W864"/>
  <c r="V864"/>
  <c r="S864"/>
  <c r="AV863"/>
  <c r="AT863"/>
  <c r="AR863"/>
  <c r="AP863"/>
  <c r="AN863"/>
  <c r="AL863"/>
  <c r="AJ863"/>
  <c r="AH863"/>
  <c r="AF863"/>
  <c r="AD863"/>
  <c r="AB863"/>
  <c r="Z863"/>
  <c r="X863"/>
  <c r="W863"/>
  <c r="V863"/>
  <c r="S863"/>
  <c r="AV862"/>
  <c r="AT862"/>
  <c r="AR862"/>
  <c r="AP862"/>
  <c r="AN862"/>
  <c r="AL862"/>
  <c r="AJ862"/>
  <c r="AH862"/>
  <c r="AF862"/>
  <c r="AD862"/>
  <c r="AB862"/>
  <c r="Z862"/>
  <c r="X862"/>
  <c r="W862"/>
  <c r="V862"/>
  <c r="S862"/>
  <c r="AV861"/>
  <c r="AT861"/>
  <c r="AR861"/>
  <c r="AP861"/>
  <c r="AN861"/>
  <c r="AL861"/>
  <c r="AJ861"/>
  <c r="AH861"/>
  <c r="AF861"/>
  <c r="AD861"/>
  <c r="AB861"/>
  <c r="Z861"/>
  <c r="X861"/>
  <c r="W861"/>
  <c r="V861"/>
  <c r="S861"/>
  <c r="AV860"/>
  <c r="AT860"/>
  <c r="AR860"/>
  <c r="AP860"/>
  <c r="AN860"/>
  <c r="AL860"/>
  <c r="AJ860"/>
  <c r="AH860"/>
  <c r="AF860"/>
  <c r="AD860"/>
  <c r="AB860"/>
  <c r="Z860"/>
  <c r="X860"/>
  <c r="W860"/>
  <c r="V860"/>
  <c r="S860"/>
  <c r="AV859"/>
  <c r="AT859"/>
  <c r="AR859"/>
  <c r="AP859"/>
  <c r="AN859"/>
  <c r="AL859"/>
  <c r="AJ859"/>
  <c r="AH859"/>
  <c r="AF859"/>
  <c r="AD859"/>
  <c r="AB859"/>
  <c r="Z859"/>
  <c r="X859"/>
  <c r="W859"/>
  <c r="V859"/>
  <c r="S859"/>
  <c r="AV858"/>
  <c r="AT858"/>
  <c r="AR858"/>
  <c r="AP858"/>
  <c r="AN858"/>
  <c r="AL858"/>
  <c r="AJ858"/>
  <c r="AH858"/>
  <c r="AF858"/>
  <c r="AD858"/>
  <c r="AB858"/>
  <c r="Z858"/>
  <c r="X858"/>
  <c r="W858"/>
  <c r="V858"/>
  <c r="S858"/>
  <c r="AV857"/>
  <c r="AT857"/>
  <c r="AR857"/>
  <c r="AP857"/>
  <c r="AN857"/>
  <c r="AL857"/>
  <c r="AJ857"/>
  <c r="AH857"/>
  <c r="AF857"/>
  <c r="AD857"/>
  <c r="AB857"/>
  <c r="Z857"/>
  <c r="X857"/>
  <c r="W857"/>
  <c r="V857"/>
  <c r="S857"/>
  <c r="AV856"/>
  <c r="AT856"/>
  <c r="AR856"/>
  <c r="AP856"/>
  <c r="AN856"/>
  <c r="AL856"/>
  <c r="AJ856"/>
  <c r="AH856"/>
  <c r="AF856"/>
  <c r="AD856"/>
  <c r="AB856"/>
  <c r="Z856"/>
  <c r="X856"/>
  <c r="W856"/>
  <c r="V856"/>
  <c r="S856"/>
  <c r="AV855"/>
  <c r="AT855"/>
  <c r="AR855"/>
  <c r="AP855"/>
  <c r="AN855"/>
  <c r="AL855"/>
  <c r="AJ855"/>
  <c r="AH855"/>
  <c r="AF855"/>
  <c r="AD855"/>
  <c r="AB855"/>
  <c r="Z855"/>
  <c r="X855"/>
  <c r="W855"/>
  <c r="V855"/>
  <c r="S855"/>
  <c r="AV854"/>
  <c r="AT854"/>
  <c r="AR854"/>
  <c r="AP854"/>
  <c r="AN854"/>
  <c r="AL854"/>
  <c r="AJ854"/>
  <c r="AH854"/>
  <c r="AF854"/>
  <c r="AD854"/>
  <c r="AB854"/>
  <c r="Z854"/>
  <c r="X854"/>
  <c r="W854"/>
  <c r="V854"/>
  <c r="S854"/>
  <c r="AV853"/>
  <c r="AT853"/>
  <c r="AR853"/>
  <c r="AP853"/>
  <c r="AN853"/>
  <c r="AL853"/>
  <c r="AJ853"/>
  <c r="AH853"/>
  <c r="AF853"/>
  <c r="AD853"/>
  <c r="AB853"/>
  <c r="Z853"/>
  <c r="X853"/>
  <c r="W853"/>
  <c r="V853"/>
  <c r="S853"/>
  <c r="AV852"/>
  <c r="AT852"/>
  <c r="AR852"/>
  <c r="AP852"/>
  <c r="AN852"/>
  <c r="AL852"/>
  <c r="AJ852"/>
  <c r="AH852"/>
  <c r="AF852"/>
  <c r="AD852"/>
  <c r="AB852"/>
  <c r="Z852"/>
  <c r="X852"/>
  <c r="W852"/>
  <c r="V852"/>
  <c r="S852"/>
  <c r="AV851"/>
  <c r="AT851"/>
  <c r="AR851"/>
  <c r="AP851"/>
  <c r="AN851"/>
  <c r="AL851"/>
  <c r="AJ851"/>
  <c r="AH851"/>
  <c r="AF851"/>
  <c r="AD851"/>
  <c r="AB851"/>
  <c r="Z851"/>
  <c r="X851"/>
  <c r="W851"/>
  <c r="V851"/>
  <c r="S851"/>
  <c r="AV850"/>
  <c r="AT850"/>
  <c r="AR850"/>
  <c r="AP850"/>
  <c r="AN850"/>
  <c r="AL850"/>
  <c r="AJ850"/>
  <c r="AH850"/>
  <c r="AF850"/>
  <c r="AD850"/>
  <c r="AB850"/>
  <c r="Z850"/>
  <c r="X850"/>
  <c r="W850"/>
  <c r="V850"/>
  <c r="S850"/>
  <c r="AV849"/>
  <c r="AT849"/>
  <c r="AR849"/>
  <c r="AP849"/>
  <c r="AN849"/>
  <c r="AL849"/>
  <c r="AJ849"/>
  <c r="AH849"/>
  <c r="AF849"/>
  <c r="AD849"/>
  <c r="AB849"/>
  <c r="Z849"/>
  <c r="X849"/>
  <c r="W849"/>
  <c r="V849"/>
  <c r="S849"/>
  <c r="AV848"/>
  <c r="AT848"/>
  <c r="AR848"/>
  <c r="AP848"/>
  <c r="AN848"/>
  <c r="AL848"/>
  <c r="AJ848"/>
  <c r="AH848"/>
  <c r="AF848"/>
  <c r="AD848"/>
  <c r="AB848"/>
  <c r="Z848"/>
  <c r="X848"/>
  <c r="W848"/>
  <c r="V848"/>
  <c r="S848"/>
  <c r="AV847"/>
  <c r="AT847"/>
  <c r="AR847"/>
  <c r="AP847"/>
  <c r="AN847"/>
  <c r="AL847"/>
  <c r="AJ847"/>
  <c r="AH847"/>
  <c r="AF847"/>
  <c r="AD847"/>
  <c r="AB847"/>
  <c r="Z847"/>
  <c r="X847"/>
  <c r="W847"/>
  <c r="V847"/>
  <c r="S847"/>
  <c r="AV846"/>
  <c r="AT846"/>
  <c r="AR846"/>
  <c r="AP846"/>
  <c r="AN846"/>
  <c r="AL846"/>
  <c r="AJ846"/>
  <c r="AH846"/>
  <c r="AF846"/>
  <c r="AD846"/>
  <c r="AB846"/>
  <c r="Z846"/>
  <c r="X846"/>
  <c r="W846"/>
  <c r="V846"/>
  <c r="S846"/>
  <c r="AV845"/>
  <c r="AT845"/>
  <c r="AR845"/>
  <c r="AP845"/>
  <c r="AN845"/>
  <c r="AL845"/>
  <c r="AJ845"/>
  <c r="AH845"/>
  <c r="AF845"/>
  <c r="AD845"/>
  <c r="AB845"/>
  <c r="Z845"/>
  <c r="X845"/>
  <c r="W845"/>
  <c r="V845"/>
  <c r="S845"/>
  <c r="AV844"/>
  <c r="AT844"/>
  <c r="AR844"/>
  <c r="AP844"/>
  <c r="AN844"/>
  <c r="AL844"/>
  <c r="AJ844"/>
  <c r="AH844"/>
  <c r="AF844"/>
  <c r="AD844"/>
  <c r="AB844"/>
  <c r="Z844"/>
  <c r="X844"/>
  <c r="W844"/>
  <c r="V844"/>
  <c r="S844"/>
  <c r="AV843"/>
  <c r="AT843"/>
  <c r="AR843"/>
  <c r="AP843"/>
  <c r="AN843"/>
  <c r="AL843"/>
  <c r="AJ843"/>
  <c r="AH843"/>
  <c r="AF843"/>
  <c r="AD843"/>
  <c r="AB843"/>
  <c r="Z843"/>
  <c r="X843"/>
  <c r="W843"/>
  <c r="V843"/>
  <c r="S843"/>
  <c r="AV842"/>
  <c r="AT842"/>
  <c r="AR842"/>
  <c r="AP842"/>
  <c r="AN842"/>
  <c r="AL842"/>
  <c r="AJ842"/>
  <c r="AH842"/>
  <c r="AF842"/>
  <c r="AD842"/>
  <c r="AB842"/>
  <c r="Z842"/>
  <c r="X842"/>
  <c r="W842"/>
  <c r="V842"/>
  <c r="S842"/>
  <c r="AV841"/>
  <c r="AT841"/>
  <c r="AR841"/>
  <c r="AP841"/>
  <c r="AN841"/>
  <c r="AL841"/>
  <c r="AJ841"/>
  <c r="AH841"/>
  <c r="AF841"/>
  <c r="AD841"/>
  <c r="AB841"/>
  <c r="Z841"/>
  <c r="X841"/>
  <c r="W841"/>
  <c r="V841"/>
  <c r="S841"/>
  <c r="AV840"/>
  <c r="AT840"/>
  <c r="AR840"/>
  <c r="AP840"/>
  <c r="AN840"/>
  <c r="AL840"/>
  <c r="AJ840"/>
  <c r="AH840"/>
  <c r="AF840"/>
  <c r="AD840"/>
  <c r="AB840"/>
  <c r="Z840"/>
  <c r="X840"/>
  <c r="W840"/>
  <c r="V840"/>
  <c r="S840"/>
  <c r="AV839"/>
  <c r="AT839"/>
  <c r="AR839"/>
  <c r="AP839"/>
  <c r="AN839"/>
  <c r="AL839"/>
  <c r="AJ839"/>
  <c r="AH839"/>
  <c r="AF839"/>
  <c r="AD839"/>
  <c r="AB839"/>
  <c r="Z839"/>
  <c r="X839"/>
  <c r="W839"/>
  <c r="V839"/>
  <c r="S839"/>
  <c r="AV838"/>
  <c r="AT838"/>
  <c r="AR838"/>
  <c r="AP838"/>
  <c r="AN838"/>
  <c r="AL838"/>
  <c r="AJ838"/>
  <c r="AH838"/>
  <c r="AF838"/>
  <c r="AD838"/>
  <c r="AB838"/>
  <c r="Z838"/>
  <c r="X838"/>
  <c r="W838"/>
  <c r="V838"/>
  <c r="S838"/>
  <c r="AV837"/>
  <c r="AT837"/>
  <c r="AR837"/>
  <c r="AP837"/>
  <c r="AN837"/>
  <c r="AL837"/>
  <c r="AJ837"/>
  <c r="AH837"/>
  <c r="AF837"/>
  <c r="AD837"/>
  <c r="AB837"/>
  <c r="Z837"/>
  <c r="X837"/>
  <c r="W837"/>
  <c r="V837"/>
  <c r="S837"/>
  <c r="AV836"/>
  <c r="AT836"/>
  <c r="AR836"/>
  <c r="AP836"/>
  <c r="AN836"/>
  <c r="AL836"/>
  <c r="AJ836"/>
  <c r="AH836"/>
  <c r="AF836"/>
  <c r="AD836"/>
  <c r="AB836"/>
  <c r="Z836"/>
  <c r="X836"/>
  <c r="W836"/>
  <c r="V836"/>
  <c r="S836"/>
  <c r="AV835"/>
  <c r="AT835"/>
  <c r="AR835"/>
  <c r="AP835"/>
  <c r="AN835"/>
  <c r="AL835"/>
  <c r="AJ835"/>
  <c r="AH835"/>
  <c r="AF835"/>
  <c r="AD835"/>
  <c r="AB835"/>
  <c r="Z835"/>
  <c r="X835"/>
  <c r="W835"/>
  <c r="V835"/>
  <c r="S835"/>
  <c r="AV834"/>
  <c r="AT834"/>
  <c r="AR834"/>
  <c r="AP834"/>
  <c r="AN834"/>
  <c r="AL834"/>
  <c r="AJ834"/>
  <c r="AH834"/>
  <c r="AF834"/>
  <c r="AD834"/>
  <c r="AB834"/>
  <c r="Z834"/>
  <c r="X834"/>
  <c r="W834"/>
  <c r="V834"/>
  <c r="S834"/>
  <c r="AV833"/>
  <c r="AT833"/>
  <c r="AR833"/>
  <c r="AP833"/>
  <c r="AN833"/>
  <c r="AL833"/>
  <c r="AJ833"/>
  <c r="AH833"/>
  <c r="AF833"/>
  <c r="AD833"/>
  <c r="AB833"/>
  <c r="Z833"/>
  <c r="X833"/>
  <c r="W833"/>
  <c r="V833"/>
  <c r="S833"/>
  <c r="AV832"/>
  <c r="AT832"/>
  <c r="AR832"/>
  <c r="AP832"/>
  <c r="AN832"/>
  <c r="AL832"/>
  <c r="AJ832"/>
  <c r="AH832"/>
  <c r="AF832"/>
  <c r="AD832"/>
  <c r="AB832"/>
  <c r="Z832"/>
  <c r="X832"/>
  <c r="W832"/>
  <c r="V832"/>
  <c r="S832"/>
  <c r="AV831"/>
  <c r="AT831"/>
  <c r="AR831"/>
  <c r="AP831"/>
  <c r="AN831"/>
  <c r="AL831"/>
  <c r="AJ831"/>
  <c r="AH831"/>
  <c r="AF831"/>
  <c r="AD831"/>
  <c r="AB831"/>
  <c r="Z831"/>
  <c r="X831"/>
  <c r="W831"/>
  <c r="V831"/>
  <c r="S831"/>
  <c r="AV830"/>
  <c r="AT830"/>
  <c r="AR830"/>
  <c r="AP830"/>
  <c r="AN830"/>
  <c r="AL830"/>
  <c r="AJ830"/>
  <c r="AH830"/>
  <c r="AF830"/>
  <c r="AD830"/>
  <c r="AB830"/>
  <c r="Z830"/>
  <c r="X830"/>
  <c r="W830"/>
  <c r="V830"/>
  <c r="S830"/>
  <c r="AV829"/>
  <c r="AT829"/>
  <c r="AR829"/>
  <c r="AP829"/>
  <c r="AN829"/>
  <c r="AL829"/>
  <c r="AJ829"/>
  <c r="AH829"/>
  <c r="AF829"/>
  <c r="AD829"/>
  <c r="AB829"/>
  <c r="Z829"/>
  <c r="X829"/>
  <c r="W829"/>
  <c r="V829"/>
  <c r="S829"/>
  <c r="AV828"/>
  <c r="AT828"/>
  <c r="AR828"/>
  <c r="AP828"/>
  <c r="AN828"/>
  <c r="AL828"/>
  <c r="AJ828"/>
  <c r="AH828"/>
  <c r="AF828"/>
  <c r="AD828"/>
  <c r="AB828"/>
  <c r="Z828"/>
  <c r="X828"/>
  <c r="W828"/>
  <c r="V828"/>
  <c r="S828"/>
  <c r="AV827"/>
  <c r="AT827"/>
  <c r="AR827"/>
  <c r="AP827"/>
  <c r="AN827"/>
  <c r="AL827"/>
  <c r="AJ827"/>
  <c r="AH827"/>
  <c r="AF827"/>
  <c r="AD827"/>
  <c r="AB827"/>
  <c r="Z827"/>
  <c r="X827"/>
  <c r="W827"/>
  <c r="V827"/>
  <c r="S827"/>
  <c r="AV826"/>
  <c r="AT826"/>
  <c r="AR826"/>
  <c r="AP826"/>
  <c r="AN826"/>
  <c r="AL826"/>
  <c r="AJ826"/>
  <c r="AH826"/>
  <c r="AF826"/>
  <c r="AD826"/>
  <c r="AB826"/>
  <c r="Z826"/>
  <c r="X826"/>
  <c r="W826"/>
  <c r="V826"/>
  <c r="S826"/>
  <c r="AV825"/>
  <c r="AT825"/>
  <c r="AR825"/>
  <c r="AP825"/>
  <c r="AN825"/>
  <c r="AL825"/>
  <c r="AJ825"/>
  <c r="AH825"/>
  <c r="AF825"/>
  <c r="AD825"/>
  <c r="AB825"/>
  <c r="Z825"/>
  <c r="X825"/>
  <c r="W825"/>
  <c r="V825"/>
  <c r="S825"/>
  <c r="AV824"/>
  <c r="AT824"/>
  <c r="AR824"/>
  <c r="AP824"/>
  <c r="AN824"/>
  <c r="AL824"/>
  <c r="AJ824"/>
  <c r="AH824"/>
  <c r="AF824"/>
  <c r="AD824"/>
  <c r="AB824"/>
  <c r="Z824"/>
  <c r="X824"/>
  <c r="W824"/>
  <c r="V824"/>
  <c r="S824"/>
  <c r="AV823"/>
  <c r="AT823"/>
  <c r="AR823"/>
  <c r="AP823"/>
  <c r="AN823"/>
  <c r="AL823"/>
  <c r="AJ823"/>
  <c r="AH823"/>
  <c r="AF823"/>
  <c r="AD823"/>
  <c r="AB823"/>
  <c r="Z823"/>
  <c r="X823"/>
  <c r="W823"/>
  <c r="V823"/>
  <c r="S823"/>
  <c r="AV822"/>
  <c r="AT822"/>
  <c r="AR822"/>
  <c r="AP822"/>
  <c r="AN822"/>
  <c r="AL822"/>
  <c r="AJ822"/>
  <c r="AH822"/>
  <c r="AF822"/>
  <c r="AD822"/>
  <c r="AB822"/>
  <c r="Z822"/>
  <c r="X822"/>
  <c r="W822"/>
  <c r="V822"/>
  <c r="S822"/>
  <c r="AV821"/>
  <c r="AT821"/>
  <c r="AR821"/>
  <c r="AP821"/>
  <c r="AN821"/>
  <c r="AL821"/>
  <c r="AJ821"/>
  <c r="AH821"/>
  <c r="AF821"/>
  <c r="AD821"/>
  <c r="AB821"/>
  <c r="Z821"/>
  <c r="X821"/>
  <c r="W821"/>
  <c r="V821"/>
  <c r="S821"/>
  <c r="AV820"/>
  <c r="AT820"/>
  <c r="AR820"/>
  <c r="AP820"/>
  <c r="AN820"/>
  <c r="AL820"/>
  <c r="AJ820"/>
  <c r="AH820"/>
  <c r="AF820"/>
  <c r="AD820"/>
  <c r="AB820"/>
  <c r="Z820"/>
  <c r="X820"/>
  <c r="W820"/>
  <c r="V820"/>
  <c r="S820"/>
  <c r="AV819"/>
  <c r="AT819"/>
  <c r="AR819"/>
  <c r="AP819"/>
  <c r="AN819"/>
  <c r="AL819"/>
  <c r="AJ819"/>
  <c r="AH819"/>
  <c r="AF819"/>
  <c r="AD819"/>
  <c r="AB819"/>
  <c r="Z819"/>
  <c r="X819"/>
  <c r="W819"/>
  <c r="V819"/>
  <c r="S819"/>
  <c r="AV818"/>
  <c r="AS818"/>
  <c r="AR818"/>
  <c r="AP818"/>
  <c r="AN818"/>
  <c r="AL818"/>
  <c r="AJ818"/>
  <c r="AH818"/>
  <c r="AF818"/>
  <c r="AD818"/>
  <c r="AB818"/>
  <c r="Z818"/>
  <c r="S818"/>
  <c r="AV817"/>
  <c r="AT817"/>
  <c r="AR817"/>
  <c r="AP817"/>
  <c r="AN817"/>
  <c r="AL817"/>
  <c r="AJ817"/>
  <c r="AH817"/>
  <c r="AF817"/>
  <c r="AD817"/>
  <c r="AB817"/>
  <c r="Z817"/>
  <c r="W817"/>
  <c r="S817"/>
  <c r="AV816"/>
  <c r="AT816"/>
  <c r="AR816"/>
  <c r="AP816"/>
  <c r="AN816"/>
  <c r="AL816"/>
  <c r="AJ816"/>
  <c r="AH816"/>
  <c r="AF816"/>
  <c r="AD816"/>
  <c r="AB816"/>
  <c r="Z816"/>
  <c r="W816"/>
  <c r="S816"/>
  <c r="AV815"/>
  <c r="AT815"/>
  <c r="AS815"/>
  <c r="AR815"/>
  <c r="AP815"/>
  <c r="AN815"/>
  <c r="AL815"/>
  <c r="AJ815"/>
  <c r="AH815"/>
  <c r="AF815"/>
  <c r="AD815"/>
  <c r="AB815"/>
  <c r="Z815"/>
  <c r="X815"/>
  <c r="W815"/>
  <c r="V815"/>
  <c r="S815"/>
  <c r="AV814"/>
  <c r="AT814"/>
  <c r="AR814"/>
  <c r="AP814"/>
  <c r="AN814"/>
  <c r="AL814"/>
  <c r="AJ814"/>
  <c r="AH814"/>
  <c r="AF814"/>
  <c r="AD814"/>
  <c r="AB814"/>
  <c r="Z814"/>
  <c r="X814"/>
  <c r="W814"/>
  <c r="V814"/>
  <c r="S814"/>
  <c r="AV813"/>
  <c r="AT813"/>
  <c r="AR813"/>
  <c r="AP813"/>
  <c r="AN813"/>
  <c r="AL813"/>
  <c r="AJ813"/>
  <c r="AH813"/>
  <c r="AF813"/>
  <c r="AD813"/>
  <c r="AB813"/>
  <c r="Z813"/>
  <c r="X813"/>
  <c r="W813"/>
  <c r="V813"/>
  <c r="S813"/>
  <c r="AV812"/>
  <c r="AS812"/>
  <c r="AT812" s="1"/>
  <c r="AR812"/>
  <c r="AP812"/>
  <c r="AN812"/>
  <c r="AL812"/>
  <c r="AJ812"/>
  <c r="AH812"/>
  <c r="AF812"/>
  <c r="AD812"/>
  <c r="AB812"/>
  <c r="Z812"/>
  <c r="W812"/>
  <c r="S812"/>
  <c r="AV811"/>
  <c r="AT811"/>
  <c r="AR811"/>
  <c r="AP811"/>
  <c r="AN811"/>
  <c r="AL811"/>
  <c r="AJ811"/>
  <c r="AH811"/>
  <c r="AF811"/>
  <c r="AD811"/>
  <c r="AB811"/>
  <c r="Z811"/>
  <c r="W811"/>
  <c r="S811"/>
  <c r="AV810"/>
  <c r="AT810"/>
  <c r="AR810"/>
  <c r="AP810"/>
  <c r="AN810"/>
  <c r="AL810"/>
  <c r="AJ810"/>
  <c r="AH810"/>
  <c r="AF810"/>
  <c r="AD810"/>
  <c r="AB810"/>
  <c r="Z810"/>
  <c r="W810"/>
  <c r="S810"/>
  <c r="AV809"/>
  <c r="AT809"/>
  <c r="AS809"/>
  <c r="AR809"/>
  <c r="AP809"/>
  <c r="AN809"/>
  <c r="AL809"/>
  <c r="AJ809"/>
  <c r="AH809"/>
  <c r="AF809"/>
  <c r="AD809"/>
  <c r="AB809"/>
  <c r="Z809"/>
  <c r="X809"/>
  <c r="W809"/>
  <c r="V809"/>
  <c r="S809"/>
  <c r="AV808"/>
  <c r="AT808"/>
  <c r="AR808"/>
  <c r="AP808"/>
  <c r="AN808"/>
  <c r="AL808"/>
  <c r="AJ808"/>
  <c r="AH808"/>
  <c r="AF808"/>
  <c r="AD808"/>
  <c r="AB808"/>
  <c r="Z808"/>
  <c r="X808"/>
  <c r="W808"/>
  <c r="V808"/>
  <c r="S808"/>
  <c r="AV807"/>
  <c r="AT807"/>
  <c r="AR807"/>
  <c r="AP807"/>
  <c r="AN807"/>
  <c r="AL807"/>
  <c r="AJ807"/>
  <c r="AH807"/>
  <c r="AF807"/>
  <c r="AD807"/>
  <c r="AB807"/>
  <c r="Z807"/>
  <c r="X807"/>
  <c r="W807"/>
  <c r="V807"/>
  <c r="S807"/>
  <c r="AV806"/>
  <c r="AT806"/>
  <c r="AR806"/>
  <c r="AP806"/>
  <c r="AN806"/>
  <c r="AL806"/>
  <c r="AJ806"/>
  <c r="AH806"/>
  <c r="AF806"/>
  <c r="AD806"/>
  <c r="AB806"/>
  <c r="Z806"/>
  <c r="X806"/>
  <c r="W806"/>
  <c r="V806"/>
  <c r="S806"/>
  <c r="AV805"/>
  <c r="AT805"/>
  <c r="AR805"/>
  <c r="AP805"/>
  <c r="AN805"/>
  <c r="AL805"/>
  <c r="AJ805"/>
  <c r="AH805"/>
  <c r="AF805"/>
  <c r="AD805"/>
  <c r="AB805"/>
  <c r="Z805"/>
  <c r="X805"/>
  <c r="W805"/>
  <c r="V805"/>
  <c r="S805"/>
  <c r="AV804"/>
  <c r="AT804"/>
  <c r="AR804"/>
  <c r="AP804"/>
  <c r="AN804"/>
  <c r="AL804"/>
  <c r="AJ804"/>
  <c r="AH804"/>
  <c r="AF804"/>
  <c r="AD804"/>
  <c r="AB804"/>
  <c r="Z804"/>
  <c r="X804"/>
  <c r="W804"/>
  <c r="V804"/>
  <c r="S804"/>
  <c r="AW803"/>
  <c r="AU803"/>
  <c r="AT803"/>
  <c r="AR803"/>
  <c r="AP803"/>
  <c r="AN803"/>
  <c r="AL803"/>
  <c r="AJ803"/>
  <c r="AH803"/>
  <c r="AF803"/>
  <c r="AD803"/>
  <c r="AB803"/>
  <c r="Z803"/>
  <c r="S803"/>
  <c r="AV802"/>
  <c r="AT802"/>
  <c r="AR802"/>
  <c r="AP802"/>
  <c r="AN802"/>
  <c r="AL802"/>
  <c r="AJ802"/>
  <c r="AH802"/>
  <c r="AF802"/>
  <c r="AD802"/>
  <c r="AB802"/>
  <c r="Z802"/>
  <c r="X802"/>
  <c r="W802"/>
  <c r="V802"/>
  <c r="S802"/>
  <c r="AV801"/>
  <c r="AT801"/>
  <c r="AR801"/>
  <c r="AP801"/>
  <c r="AN801"/>
  <c r="AL801"/>
  <c r="AJ801"/>
  <c r="AH801"/>
  <c r="AF801"/>
  <c r="AD801"/>
  <c r="AB801"/>
  <c r="Z801"/>
  <c r="X801"/>
  <c r="W801"/>
  <c r="V801"/>
  <c r="S801"/>
  <c r="AV800"/>
  <c r="AT800"/>
  <c r="AR800"/>
  <c r="AP800"/>
  <c r="AN800"/>
  <c r="AL800"/>
  <c r="AJ800"/>
  <c r="AH800"/>
  <c r="AF800"/>
  <c r="AD800"/>
  <c r="AB800"/>
  <c r="Z800"/>
  <c r="X800"/>
  <c r="W800"/>
  <c r="V800"/>
  <c r="S800"/>
  <c r="AV799"/>
  <c r="AT799"/>
  <c r="AR799"/>
  <c r="AP799"/>
  <c r="AN799"/>
  <c r="AL799"/>
  <c r="AB799"/>
  <c r="Z799"/>
  <c r="X799"/>
  <c r="W799"/>
  <c r="V799"/>
  <c r="S799"/>
  <c r="AV798"/>
  <c r="AT798"/>
  <c r="AR798"/>
  <c r="AP798"/>
  <c r="AN798"/>
  <c r="AL798"/>
  <c r="AB798"/>
  <c r="Z798"/>
  <c r="X798"/>
  <c r="W798"/>
  <c r="V798"/>
  <c r="S798"/>
  <c r="AV797"/>
  <c r="AT797"/>
  <c r="AR797"/>
  <c r="AP797"/>
  <c r="AN797"/>
  <c r="AL797"/>
  <c r="AB797"/>
  <c r="Z797"/>
  <c r="X797"/>
  <c r="W797"/>
  <c r="V797"/>
  <c r="S797"/>
  <c r="AV796"/>
  <c r="AT796"/>
  <c r="AR796"/>
  <c r="AP796"/>
  <c r="AN796"/>
  <c r="AL796"/>
  <c r="AJ796"/>
  <c r="AH796"/>
  <c r="AF796"/>
  <c r="AD796"/>
  <c r="AB796"/>
  <c r="Z796"/>
  <c r="X796"/>
  <c r="W796"/>
  <c r="V796"/>
  <c r="S796"/>
  <c r="AV795"/>
  <c r="AT795"/>
  <c r="AR795"/>
  <c r="AP795"/>
  <c r="AN795"/>
  <c r="AL795"/>
  <c r="AJ795"/>
  <c r="AH795"/>
  <c r="AF795"/>
  <c r="AD795"/>
  <c r="AB795"/>
  <c r="Z795"/>
  <c r="X795"/>
  <c r="W795"/>
  <c r="V795"/>
  <c r="S795"/>
  <c r="AV794"/>
  <c r="AT794"/>
  <c r="AR794"/>
  <c r="AP794"/>
  <c r="AN794"/>
  <c r="AL794"/>
  <c r="AJ794"/>
  <c r="AH794"/>
  <c r="AF794"/>
  <c r="AD794"/>
  <c r="AB794"/>
  <c r="Z794"/>
  <c r="X794"/>
  <c r="W794"/>
  <c r="V794"/>
  <c r="S794"/>
  <c r="AV793"/>
  <c r="AT793"/>
  <c r="AR793"/>
  <c r="AP793"/>
  <c r="AN793"/>
  <c r="AL793"/>
  <c r="AJ793"/>
  <c r="AH793"/>
  <c r="AF793"/>
  <c r="AD793"/>
  <c r="AB793"/>
  <c r="Z793"/>
  <c r="X793"/>
  <c r="W793"/>
  <c r="V793"/>
  <c r="S793"/>
  <c r="AV792"/>
  <c r="AT792"/>
  <c r="AR792"/>
  <c r="AP792"/>
  <c r="AN792"/>
  <c r="AL792"/>
  <c r="AJ792"/>
  <c r="AH792"/>
  <c r="AF792"/>
  <c r="AD792"/>
  <c r="AB792"/>
  <c r="Z792"/>
  <c r="X792"/>
  <c r="W792"/>
  <c r="V792"/>
  <c r="S792"/>
  <c r="AV791"/>
  <c r="AT791"/>
  <c r="AR791"/>
  <c r="AP791"/>
  <c r="AN791"/>
  <c r="AL791"/>
  <c r="AJ791"/>
  <c r="AH791"/>
  <c r="AF791"/>
  <c r="AD791"/>
  <c r="AB791"/>
  <c r="Z791"/>
  <c r="X791"/>
  <c r="W791"/>
  <c r="V791"/>
  <c r="S791"/>
  <c r="AV790"/>
  <c r="AT790"/>
  <c r="AR790"/>
  <c r="AP790"/>
  <c r="AN790"/>
  <c r="AL790"/>
  <c r="AJ790"/>
  <c r="AH790"/>
  <c r="AF790"/>
  <c r="AD790"/>
  <c r="AB790"/>
  <c r="Z790"/>
  <c r="X790"/>
  <c r="W790"/>
  <c r="V790"/>
  <c r="S790"/>
  <c r="AV789"/>
  <c r="AT789"/>
  <c r="AR789"/>
  <c r="AP789"/>
  <c r="AN789"/>
  <c r="AL789"/>
  <c r="AJ789"/>
  <c r="AH789"/>
  <c r="AF789"/>
  <c r="AD789"/>
  <c r="AB789"/>
  <c r="Z789"/>
  <c r="X789"/>
  <c r="W789"/>
  <c r="V789"/>
  <c r="S789"/>
  <c r="AV788"/>
  <c r="AT788"/>
  <c r="AR788"/>
  <c r="AP788"/>
  <c r="AN788"/>
  <c r="AL788"/>
  <c r="AJ788"/>
  <c r="AH788"/>
  <c r="AF788"/>
  <c r="AD788"/>
  <c r="AB788"/>
  <c r="Z788"/>
  <c r="X788"/>
  <c r="W788"/>
  <c r="V788"/>
  <c r="S788"/>
  <c r="AV787"/>
  <c r="AT787"/>
  <c r="AR787"/>
  <c r="AP787"/>
  <c r="AN787"/>
  <c r="AL787"/>
  <c r="AJ787"/>
  <c r="AH787"/>
  <c r="AF787"/>
  <c r="AD787"/>
  <c r="AB787"/>
  <c r="Z787"/>
  <c r="X787"/>
  <c r="W787"/>
  <c r="V787"/>
  <c r="S787"/>
  <c r="AV786"/>
  <c r="AT786"/>
  <c r="AR786"/>
  <c r="AP786"/>
  <c r="AN786"/>
  <c r="AL786"/>
  <c r="AJ786"/>
  <c r="AH786"/>
  <c r="AF786"/>
  <c r="AD786"/>
  <c r="AB786"/>
  <c r="Z786"/>
  <c r="X786"/>
  <c r="W786"/>
  <c r="V786"/>
  <c r="S786"/>
  <c r="AV785"/>
  <c r="AT785"/>
  <c r="AR785"/>
  <c r="AP785"/>
  <c r="AN785"/>
  <c r="AL785"/>
  <c r="AJ785"/>
  <c r="AH785"/>
  <c r="AF785"/>
  <c r="AD785"/>
  <c r="AB785"/>
  <c r="Z785"/>
  <c r="X785"/>
  <c r="W785"/>
  <c r="V785"/>
  <c r="S785"/>
  <c r="AV784"/>
  <c r="AT784"/>
  <c r="AR784"/>
  <c r="AP784"/>
  <c r="AN784"/>
  <c r="AL784"/>
  <c r="AJ784"/>
  <c r="AH784"/>
  <c r="AF784"/>
  <c r="AD784"/>
  <c r="AB784"/>
  <c r="Z784"/>
  <c r="X784"/>
  <c r="W784"/>
  <c r="V784"/>
  <c r="S784"/>
  <c r="AV783"/>
  <c r="AT783"/>
  <c r="AR783"/>
  <c r="AP783"/>
  <c r="AN783"/>
  <c r="AL783"/>
  <c r="AJ783"/>
  <c r="AH783"/>
  <c r="AF783"/>
  <c r="AD783"/>
  <c r="AB783"/>
  <c r="Z783"/>
  <c r="X783"/>
  <c r="W783"/>
  <c r="V783"/>
  <c r="S783"/>
  <c r="AV782"/>
  <c r="AT782"/>
  <c r="AR782"/>
  <c r="AP782"/>
  <c r="AN782"/>
  <c r="AL782"/>
  <c r="AJ782"/>
  <c r="AH782"/>
  <c r="AF782"/>
  <c r="AD782"/>
  <c r="AB782"/>
  <c r="Z782"/>
  <c r="X782"/>
  <c r="W782"/>
  <c r="V782"/>
  <c r="S782"/>
  <c r="AV781"/>
  <c r="AT781"/>
  <c r="AR781"/>
  <c r="AP781"/>
  <c r="AN781"/>
  <c r="AL781"/>
  <c r="AJ781"/>
  <c r="AH781"/>
  <c r="AF781"/>
  <c r="AD781"/>
  <c r="AB781"/>
  <c r="Z781"/>
  <c r="X781"/>
  <c r="W781"/>
  <c r="V781"/>
  <c r="S781"/>
  <c r="AV780"/>
  <c r="AT780"/>
  <c r="AR780"/>
  <c r="AP780"/>
  <c r="AN780"/>
  <c r="AL780"/>
  <c r="AJ780"/>
  <c r="AH780"/>
  <c r="AF780"/>
  <c r="AD780"/>
  <c r="AB780"/>
  <c r="Z780"/>
  <c r="X780"/>
  <c r="W780"/>
  <c r="V780"/>
  <c r="S780"/>
  <c r="AV779"/>
  <c r="AT779"/>
  <c r="AR779"/>
  <c r="AP779"/>
  <c r="AN779"/>
  <c r="AL779"/>
  <c r="AJ779"/>
  <c r="AH779"/>
  <c r="AF779"/>
  <c r="AD779"/>
  <c r="AB779"/>
  <c r="Z779"/>
  <c r="X779"/>
  <c r="W779"/>
  <c r="V779"/>
  <c r="S779"/>
  <c r="AV778"/>
  <c r="AT778"/>
  <c r="AR778"/>
  <c r="AP778"/>
  <c r="AN778"/>
  <c r="AB778"/>
  <c r="Z778"/>
  <c r="W778"/>
  <c r="S778"/>
  <c r="L778"/>
  <c r="AV777"/>
  <c r="AT777"/>
  <c r="AR777"/>
  <c r="AP777"/>
  <c r="AN777"/>
  <c r="AL777"/>
  <c r="AJ777"/>
  <c r="AH777"/>
  <c r="AF777"/>
  <c r="AD777"/>
  <c r="AB777"/>
  <c r="Z777"/>
  <c r="X777"/>
  <c r="W777"/>
  <c r="V777"/>
  <c r="S777"/>
  <c r="AV776"/>
  <c r="AT776"/>
  <c r="AR776"/>
  <c r="AP776"/>
  <c r="AN776"/>
  <c r="AL776"/>
  <c r="AJ776"/>
  <c r="AH776"/>
  <c r="AF776"/>
  <c r="AD776"/>
  <c r="AB776"/>
  <c r="Z776"/>
  <c r="X776"/>
  <c r="W776"/>
  <c r="V776"/>
  <c r="S776"/>
  <c r="AV775"/>
  <c r="AT775"/>
  <c r="AR775"/>
  <c r="AP775"/>
  <c r="AN775"/>
  <c r="AL775"/>
  <c r="AJ775"/>
  <c r="AH775"/>
  <c r="AF775"/>
  <c r="AD775"/>
  <c r="AB775"/>
  <c r="Z775"/>
  <c r="X775"/>
  <c r="W775"/>
  <c r="V775"/>
  <c r="S775"/>
  <c r="AV774"/>
  <c r="AT774"/>
  <c r="AR774"/>
  <c r="AP774"/>
  <c r="AN774"/>
  <c r="AL774"/>
  <c r="AJ774"/>
  <c r="AH774"/>
  <c r="AF774"/>
  <c r="AD774"/>
  <c r="AB774"/>
  <c r="Z774"/>
  <c r="X774"/>
  <c r="W774"/>
  <c r="V774"/>
  <c r="S774"/>
  <c r="AV773"/>
  <c r="AT773"/>
  <c r="AR773"/>
  <c r="AP773"/>
  <c r="AN773"/>
  <c r="AL773"/>
  <c r="AJ773"/>
  <c r="AH773"/>
  <c r="AF773"/>
  <c r="AD773"/>
  <c r="AB773"/>
  <c r="Z773"/>
  <c r="X773"/>
  <c r="W773"/>
  <c r="V773"/>
  <c r="S773"/>
  <c r="AV772"/>
  <c r="AT772"/>
  <c r="AR772"/>
  <c r="AP772"/>
  <c r="AN772"/>
  <c r="AL772"/>
  <c r="AJ772"/>
  <c r="AH772"/>
  <c r="AF772"/>
  <c r="AD772"/>
  <c r="AB772"/>
  <c r="Z772"/>
  <c r="X772"/>
  <c r="W772"/>
  <c r="V772"/>
  <c r="S772"/>
  <c r="AV771"/>
  <c r="AT771"/>
  <c r="AR771"/>
  <c r="AP771"/>
  <c r="AN771"/>
  <c r="AL771"/>
  <c r="AJ771"/>
  <c r="AH771"/>
  <c r="AF771"/>
  <c r="AD771"/>
  <c r="AB771"/>
  <c r="Z771"/>
  <c r="X771"/>
  <c r="W771"/>
  <c r="V771"/>
  <c r="S771"/>
  <c r="AV770"/>
  <c r="AT770"/>
  <c r="AR770"/>
  <c r="AP770"/>
  <c r="AN770"/>
  <c r="AL770"/>
  <c r="AJ770"/>
  <c r="AH770"/>
  <c r="AF770"/>
  <c r="AD770"/>
  <c r="AB770"/>
  <c r="Z770"/>
  <c r="X770"/>
  <c r="W770"/>
  <c r="V770"/>
  <c r="S770"/>
  <c r="AV769"/>
  <c r="AT769"/>
  <c r="AR769"/>
  <c r="AP769"/>
  <c r="AN769"/>
  <c r="AL769"/>
  <c r="AJ769"/>
  <c r="AH769"/>
  <c r="AF769"/>
  <c r="AD769"/>
  <c r="AB769"/>
  <c r="Z769"/>
  <c r="X769"/>
  <c r="W769"/>
  <c r="V769"/>
  <c r="S769"/>
  <c r="AV768"/>
  <c r="AT768"/>
  <c r="AR768"/>
  <c r="AP768"/>
  <c r="AN768"/>
  <c r="AL768"/>
  <c r="AJ768"/>
  <c r="AH768"/>
  <c r="AF768"/>
  <c r="AD768"/>
  <c r="AB768"/>
  <c r="Z768"/>
  <c r="X768"/>
  <c r="W768"/>
  <c r="V768"/>
  <c r="S768"/>
  <c r="AV767"/>
  <c r="AT767"/>
  <c r="AR767"/>
  <c r="AP767"/>
  <c r="AN767"/>
  <c r="AL767"/>
  <c r="AJ767"/>
  <c r="AH767"/>
  <c r="AF767"/>
  <c r="AD767"/>
  <c r="AB767"/>
  <c r="Z767"/>
  <c r="X767"/>
  <c r="W767"/>
  <c r="V767"/>
  <c r="S767"/>
  <c r="AV766"/>
  <c r="AT766"/>
  <c r="AR766"/>
  <c r="AP766"/>
  <c r="AN766"/>
  <c r="AL766"/>
  <c r="AJ766"/>
  <c r="AH766"/>
  <c r="AF766"/>
  <c r="AD766"/>
  <c r="AB766"/>
  <c r="Z766"/>
  <c r="X766"/>
  <c r="W766"/>
  <c r="V766"/>
  <c r="S766"/>
  <c r="AV765"/>
  <c r="AT765"/>
  <c r="AR765"/>
  <c r="AP765"/>
  <c r="AN765"/>
  <c r="AL765"/>
  <c r="AJ765"/>
  <c r="AH765"/>
  <c r="AF765"/>
  <c r="AD765"/>
  <c r="AB765"/>
  <c r="Z765"/>
  <c r="X765"/>
  <c r="W765"/>
  <c r="V765"/>
  <c r="S765"/>
  <c r="AV764"/>
  <c r="AT764"/>
  <c r="AR764"/>
  <c r="AP764"/>
  <c r="AN764"/>
  <c r="AM764"/>
  <c r="AL764"/>
  <c r="AJ764"/>
  <c r="AH764"/>
  <c r="AF764"/>
  <c r="AD764"/>
  <c r="AB764"/>
  <c r="Z764"/>
  <c r="W764"/>
  <c r="S764"/>
  <c r="AV763"/>
  <c r="AT763"/>
  <c r="AR763"/>
  <c r="AP763"/>
  <c r="AN763"/>
  <c r="AL763"/>
  <c r="AJ763"/>
  <c r="AH763"/>
  <c r="AF763"/>
  <c r="AD763"/>
  <c r="AB763"/>
  <c r="Z763"/>
  <c r="W763"/>
  <c r="S763"/>
  <c r="AV762"/>
  <c r="AT762"/>
  <c r="AR762"/>
  <c r="AP762"/>
  <c r="AN762"/>
  <c r="AL762"/>
  <c r="AJ762"/>
  <c r="AH762"/>
  <c r="AF762"/>
  <c r="AD762"/>
  <c r="AB762"/>
  <c r="Z762"/>
  <c r="W762"/>
  <c r="S762"/>
  <c r="AV761"/>
  <c r="AT761"/>
  <c r="AR761"/>
  <c r="AP761"/>
  <c r="AN761"/>
  <c r="AL761"/>
  <c r="AJ761"/>
  <c r="AH761"/>
  <c r="AF761"/>
  <c r="AD761"/>
  <c r="AB761"/>
  <c r="Z761"/>
  <c r="W761"/>
  <c r="S761"/>
  <c r="AV760"/>
  <c r="AT760"/>
  <c r="AR760"/>
  <c r="AP760"/>
  <c r="AN760"/>
  <c r="AL760"/>
  <c r="AJ760"/>
  <c r="AH760"/>
  <c r="AF760"/>
  <c r="AD760"/>
  <c r="AB760"/>
  <c r="Z760"/>
  <c r="W760"/>
  <c r="S760"/>
  <c r="AV759"/>
  <c r="AT759"/>
  <c r="AR759"/>
  <c r="AP759"/>
  <c r="AN759"/>
  <c r="AL759"/>
  <c r="AJ759"/>
  <c r="AH759"/>
  <c r="AF759"/>
  <c r="AD759"/>
  <c r="AB759"/>
  <c r="Z759"/>
  <c r="W759"/>
  <c r="S759"/>
  <c r="AV758"/>
  <c r="AT758"/>
  <c r="AR758"/>
  <c r="AP758"/>
  <c r="AN758"/>
  <c r="AL758"/>
  <c r="AJ758"/>
  <c r="AH758"/>
  <c r="AF758"/>
  <c r="AD758"/>
  <c r="AB758"/>
  <c r="Z758"/>
  <c r="W758"/>
  <c r="S758"/>
  <c r="AV757"/>
  <c r="AT757"/>
  <c r="AR757"/>
  <c r="AP757"/>
  <c r="AN757"/>
  <c r="AL757"/>
  <c r="AJ757"/>
  <c r="AH757"/>
  <c r="AF757"/>
  <c r="AD757"/>
  <c r="AB757"/>
  <c r="Z757"/>
  <c r="W757"/>
  <c r="S757"/>
  <c r="AV756"/>
  <c r="AT756"/>
  <c r="AR756"/>
  <c r="AP756"/>
  <c r="AN756"/>
  <c r="AL756"/>
  <c r="AJ756"/>
  <c r="AH756"/>
  <c r="AF756"/>
  <c r="AD756"/>
  <c r="AB756"/>
  <c r="Z756"/>
  <c r="W756"/>
  <c r="S756"/>
  <c r="AV755"/>
  <c r="AT755"/>
  <c r="AR755"/>
  <c r="AP755"/>
  <c r="AN755"/>
  <c r="AL755"/>
  <c r="AJ755"/>
  <c r="AH755"/>
  <c r="AF755"/>
  <c r="AD755"/>
  <c r="AB755"/>
  <c r="Z755"/>
  <c r="W755"/>
  <c r="S755"/>
  <c r="AV754"/>
  <c r="AT754"/>
  <c r="AR754"/>
  <c r="AP754"/>
  <c r="AN754"/>
  <c r="AL754"/>
  <c r="AJ754"/>
  <c r="AH754"/>
  <c r="AF754"/>
  <c r="AD754"/>
  <c r="AB754"/>
  <c r="Z754"/>
  <c r="W754"/>
  <c r="S754"/>
  <c r="AV753"/>
  <c r="AT753"/>
  <c r="AR753"/>
  <c r="AP753"/>
  <c r="AN753"/>
  <c r="AL753"/>
  <c r="AJ753"/>
  <c r="AH753"/>
  <c r="AF753"/>
  <c r="AD753"/>
  <c r="AB753"/>
  <c r="Z753"/>
  <c r="W753"/>
  <c r="S753"/>
  <c r="AV752"/>
  <c r="AT752"/>
  <c r="AR752"/>
  <c r="AP752"/>
  <c r="AN752"/>
  <c r="AL752"/>
  <c r="AJ752"/>
  <c r="AH752"/>
  <c r="AF752"/>
  <c r="AD752"/>
  <c r="AB752"/>
  <c r="Z752"/>
  <c r="W752"/>
  <c r="S752"/>
  <c r="AV751"/>
  <c r="AT751"/>
  <c r="AR751"/>
  <c r="AP751"/>
  <c r="AN751"/>
  <c r="AL751"/>
  <c r="AJ751"/>
  <c r="AH751"/>
  <c r="AF751"/>
  <c r="AD751"/>
  <c r="AB751"/>
  <c r="Z751"/>
  <c r="W751"/>
  <c r="S751"/>
  <c r="AV750"/>
  <c r="AT750"/>
  <c r="AR750"/>
  <c r="AP750"/>
  <c r="AN750"/>
  <c r="AL750"/>
  <c r="AJ750"/>
  <c r="AH750"/>
  <c r="AF750"/>
  <c r="AD750"/>
  <c r="AB750"/>
  <c r="Z750"/>
  <c r="W750"/>
  <c r="S750"/>
  <c r="AV749"/>
  <c r="AT749"/>
  <c r="AR749"/>
  <c r="AP749"/>
  <c r="AN749"/>
  <c r="AL749"/>
  <c r="AJ749"/>
  <c r="AH749"/>
  <c r="AF749"/>
  <c r="AD749"/>
  <c r="AB749"/>
  <c r="Z749"/>
  <c r="W749"/>
  <c r="S749"/>
  <c r="AV748"/>
  <c r="AT748"/>
  <c r="AR748"/>
  <c r="AP748"/>
  <c r="AM748"/>
  <c r="AL748"/>
  <c r="AJ748"/>
  <c r="AH748"/>
  <c r="AF748"/>
  <c r="AD748"/>
  <c r="AB748"/>
  <c r="AA748"/>
  <c r="Z748"/>
  <c r="S748"/>
  <c r="AV747"/>
  <c r="AT747"/>
  <c r="AR747"/>
  <c r="AP747"/>
  <c r="AN747"/>
  <c r="AL747"/>
  <c r="AJ747"/>
  <c r="AH747"/>
  <c r="AF747"/>
  <c r="AD747"/>
  <c r="AB747"/>
  <c r="Z747"/>
  <c r="W747"/>
  <c r="S747"/>
  <c r="AV746"/>
  <c r="AT746"/>
  <c r="AR746"/>
  <c r="AP746"/>
  <c r="AN746"/>
  <c r="AL746"/>
  <c r="AJ746"/>
  <c r="AH746"/>
  <c r="AF746"/>
  <c r="AD746"/>
  <c r="AB746"/>
  <c r="Z746"/>
  <c r="W746"/>
  <c r="S746"/>
  <c r="AV745"/>
  <c r="AT745"/>
  <c r="AR745"/>
  <c r="AP745"/>
  <c r="AN745"/>
  <c r="AL745"/>
  <c r="AJ745"/>
  <c r="AH745"/>
  <c r="AF745"/>
  <c r="AD745"/>
  <c r="AB745"/>
  <c r="Z745"/>
  <c r="W745"/>
  <c r="S745"/>
  <c r="AV744"/>
  <c r="AT744"/>
  <c r="AR744"/>
  <c r="AP744"/>
  <c r="AN744"/>
  <c r="AL744"/>
  <c r="AJ744"/>
  <c r="AH744"/>
  <c r="AF744"/>
  <c r="AD744"/>
  <c r="AB744"/>
  <c r="Z744"/>
  <c r="W744"/>
  <c r="S744"/>
  <c r="AV743"/>
  <c r="AT743"/>
  <c r="AR743"/>
  <c r="AP743"/>
  <c r="AN743"/>
  <c r="AL743"/>
  <c r="AJ743"/>
  <c r="AH743"/>
  <c r="AF743"/>
  <c r="AD743"/>
  <c r="AB743"/>
  <c r="Z743"/>
  <c r="W743"/>
  <c r="S743"/>
  <c r="AV742"/>
  <c r="AT742"/>
  <c r="AR742"/>
  <c r="AP742"/>
  <c r="AN742"/>
  <c r="AL742"/>
  <c r="AJ742"/>
  <c r="AH742"/>
  <c r="AF742"/>
  <c r="AD742"/>
  <c r="AB742"/>
  <c r="Z742"/>
  <c r="W742"/>
  <c r="S742"/>
  <c r="AV741"/>
  <c r="AT741"/>
  <c r="AR741"/>
  <c r="AP741"/>
  <c r="AN741"/>
  <c r="AL741"/>
  <c r="AJ741"/>
  <c r="AH741"/>
  <c r="AF741"/>
  <c r="AD741"/>
  <c r="AB741"/>
  <c r="Z741"/>
  <c r="W741"/>
  <c r="S741"/>
  <c r="AV740"/>
  <c r="AT740"/>
  <c r="AR740"/>
  <c r="AP740"/>
  <c r="AN740"/>
  <c r="AL740"/>
  <c r="AJ740"/>
  <c r="AH740"/>
  <c r="AF740"/>
  <c r="AD740"/>
  <c r="AB740"/>
  <c r="Z740"/>
  <c r="W740"/>
  <c r="S740"/>
  <c r="AV739"/>
  <c r="AT739"/>
  <c r="AR739"/>
  <c r="AP739"/>
  <c r="AN739"/>
  <c r="AL739"/>
  <c r="AJ739"/>
  <c r="AH739"/>
  <c r="AF739"/>
  <c r="AD739"/>
  <c r="AB739"/>
  <c r="Z739"/>
  <c r="W739"/>
  <c r="S739"/>
  <c r="AV738"/>
  <c r="AT738"/>
  <c r="AR738"/>
  <c r="AP738"/>
  <c r="AN738"/>
  <c r="AL738"/>
  <c r="AJ738"/>
  <c r="AH738"/>
  <c r="AF738"/>
  <c r="AD738"/>
  <c r="AB738"/>
  <c r="Z738"/>
  <c r="W738"/>
  <c r="S738"/>
  <c r="AV737"/>
  <c r="AT737"/>
  <c r="AR737"/>
  <c r="AP737"/>
  <c r="AN737"/>
  <c r="AL737"/>
  <c r="AJ737"/>
  <c r="AH737"/>
  <c r="AF737"/>
  <c r="AD737"/>
  <c r="AB737"/>
  <c r="Z737"/>
  <c r="W737"/>
  <c r="S737"/>
  <c r="AV736"/>
  <c r="AT736"/>
  <c r="AR736"/>
  <c r="AP736"/>
  <c r="AN736"/>
  <c r="AL736"/>
  <c r="AJ736"/>
  <c r="AH736"/>
  <c r="AF736"/>
  <c r="AD736"/>
  <c r="AB736"/>
  <c r="Z736"/>
  <c r="W736"/>
  <c r="S736"/>
  <c r="AV735"/>
  <c r="AT735"/>
  <c r="AR735"/>
  <c r="AP735"/>
  <c r="AN735"/>
  <c r="AL735"/>
  <c r="AJ735"/>
  <c r="AH735"/>
  <c r="AF735"/>
  <c r="AD735"/>
  <c r="AB735"/>
  <c r="Z735"/>
  <c r="W735"/>
  <c r="S735"/>
  <c r="AV734"/>
  <c r="AT734"/>
  <c r="AR734"/>
  <c r="AP734"/>
  <c r="AN734"/>
  <c r="AL734"/>
  <c r="AJ734"/>
  <c r="AH734"/>
  <c r="AF734"/>
  <c r="AD734"/>
  <c r="AB734"/>
  <c r="Z734"/>
  <c r="W734"/>
  <c r="S734"/>
  <c r="AV733"/>
  <c r="AT733"/>
  <c r="AR733"/>
  <c r="AP733"/>
  <c r="AN733"/>
  <c r="AL733"/>
  <c r="AJ733"/>
  <c r="AH733"/>
  <c r="AF733"/>
  <c r="AD733"/>
  <c r="AB733"/>
  <c r="Z733"/>
  <c r="W733"/>
  <c r="S733"/>
  <c r="AV732"/>
  <c r="AT732"/>
  <c r="AR732"/>
  <c r="AP732"/>
  <c r="AN732"/>
  <c r="AL732"/>
  <c r="AJ732"/>
  <c r="AH732"/>
  <c r="AF732"/>
  <c r="AD732"/>
  <c r="AB732"/>
  <c r="Z732"/>
  <c r="W732"/>
  <c r="S732"/>
  <c r="AV731"/>
  <c r="AT731"/>
  <c r="AR731"/>
  <c r="AP731"/>
  <c r="AN731"/>
  <c r="AL731"/>
  <c r="AJ731"/>
  <c r="AH731"/>
  <c r="AF731"/>
  <c r="AD731"/>
  <c r="AB731"/>
  <c r="Z731"/>
  <c r="W731"/>
  <c r="S731"/>
  <c r="AV730"/>
  <c r="AT730"/>
  <c r="AR730"/>
  <c r="AP730"/>
  <c r="AN730"/>
  <c r="AL730"/>
  <c r="AJ730"/>
  <c r="AH730"/>
  <c r="AF730"/>
  <c r="AD730"/>
  <c r="AB730"/>
  <c r="Z730"/>
  <c r="W730"/>
  <c r="S730"/>
  <c r="AW729"/>
  <c r="AV729"/>
  <c r="AU729"/>
  <c r="AT729"/>
  <c r="AR729"/>
  <c r="AP729"/>
  <c r="AN729"/>
  <c r="AL729"/>
  <c r="AJ729"/>
  <c r="AH729"/>
  <c r="AF729"/>
  <c r="AD729"/>
  <c r="AB729"/>
  <c r="Z729"/>
  <c r="W729"/>
  <c r="S729"/>
  <c r="AV728"/>
  <c r="AT728"/>
  <c r="AR728"/>
  <c r="AP728"/>
  <c r="AN728"/>
  <c r="AL728"/>
  <c r="AJ728"/>
  <c r="AH728"/>
  <c r="AF728"/>
  <c r="AD728"/>
  <c r="AB728"/>
  <c r="Z728"/>
  <c r="W728"/>
  <c r="S728"/>
  <c r="AV727"/>
  <c r="AT727"/>
  <c r="AR727"/>
  <c r="AP727"/>
  <c r="AN727"/>
  <c r="AL727"/>
  <c r="AJ727"/>
  <c r="AH727"/>
  <c r="AF727"/>
  <c r="AD727"/>
  <c r="AB727"/>
  <c r="Z727"/>
  <c r="W727"/>
  <c r="S727"/>
  <c r="AV726"/>
  <c r="AT726"/>
  <c r="AR726"/>
  <c r="AP726"/>
  <c r="AN726"/>
  <c r="AL726"/>
  <c r="AJ726"/>
  <c r="AH726"/>
  <c r="AF726"/>
  <c r="AD726"/>
  <c r="AB726"/>
  <c r="Z726"/>
  <c r="W726"/>
  <c r="S726"/>
  <c r="AV725"/>
  <c r="AT725"/>
  <c r="AR725"/>
  <c r="AP725"/>
  <c r="AN725"/>
  <c r="AL725"/>
  <c r="AJ725"/>
  <c r="AH725"/>
  <c r="AF725"/>
  <c r="AD725"/>
  <c r="AB725"/>
  <c r="Z725"/>
  <c r="W725"/>
  <c r="S725"/>
  <c r="AV724"/>
  <c r="AT724"/>
  <c r="AR724"/>
  <c r="AP724"/>
  <c r="AN724"/>
  <c r="AL724"/>
  <c r="AJ724"/>
  <c r="AH724"/>
  <c r="AF724"/>
  <c r="AD724"/>
  <c r="AB724"/>
  <c r="Z724"/>
  <c r="W724"/>
  <c r="S724"/>
  <c r="AV723"/>
  <c r="AT723"/>
  <c r="AR723"/>
  <c r="AP723"/>
  <c r="AN723"/>
  <c r="AL723"/>
  <c r="AJ723"/>
  <c r="AH723"/>
  <c r="AF723"/>
  <c r="AD723"/>
  <c r="AB723"/>
  <c r="Z723"/>
  <c r="W723"/>
  <c r="S723"/>
  <c r="AV722"/>
  <c r="AT722"/>
  <c r="AR722"/>
  <c r="AP722"/>
  <c r="AN722"/>
  <c r="AL722"/>
  <c r="AJ722"/>
  <c r="AH722"/>
  <c r="AF722"/>
  <c r="AD722"/>
  <c r="AB722"/>
  <c r="Z722"/>
  <c r="W722"/>
  <c r="S722"/>
  <c r="AV721"/>
  <c r="AT721"/>
  <c r="AR721"/>
  <c r="AP721"/>
  <c r="AN721"/>
  <c r="AL721"/>
  <c r="AJ721"/>
  <c r="AH721"/>
  <c r="AF721"/>
  <c r="AD721"/>
  <c r="AB721"/>
  <c r="Z721"/>
  <c r="W721"/>
  <c r="S721"/>
  <c r="AV720"/>
  <c r="AT720"/>
  <c r="AR720"/>
  <c r="AP720"/>
  <c r="AN720"/>
  <c r="AL720"/>
  <c r="AJ720"/>
  <c r="AH720"/>
  <c r="AF720"/>
  <c r="AD720"/>
  <c r="AB720"/>
  <c r="Z720"/>
  <c r="W720"/>
  <c r="S720"/>
  <c r="AV719"/>
  <c r="AT719"/>
  <c r="AR719"/>
  <c r="AP719"/>
  <c r="AN719"/>
  <c r="AL719"/>
  <c r="AJ719"/>
  <c r="AH719"/>
  <c r="AF719"/>
  <c r="AD719"/>
  <c r="AB719"/>
  <c r="Z719"/>
  <c r="W719"/>
  <c r="S719"/>
  <c r="AV718"/>
  <c r="AT718"/>
  <c r="AR718"/>
  <c r="AP718"/>
  <c r="AN718"/>
  <c r="AL718"/>
  <c r="AJ718"/>
  <c r="AH718"/>
  <c r="AF718"/>
  <c r="AD718"/>
  <c r="AB718"/>
  <c r="Z718"/>
  <c r="W718"/>
  <c r="S718"/>
  <c r="AV717"/>
  <c r="AT717"/>
  <c r="AR717"/>
  <c r="AP717"/>
  <c r="AN717"/>
  <c r="AL717"/>
  <c r="AJ717"/>
  <c r="AH717"/>
  <c r="AF717"/>
  <c r="AD717"/>
  <c r="AB717"/>
  <c r="Z717"/>
  <c r="W717"/>
  <c r="S717"/>
  <c r="AV716"/>
  <c r="AT716"/>
  <c r="AR716"/>
  <c r="AP716"/>
  <c r="AN716"/>
  <c r="AL716"/>
  <c r="AJ716"/>
  <c r="AH716"/>
  <c r="AF716"/>
  <c r="AD716"/>
  <c r="AB716"/>
  <c r="Z716"/>
  <c r="W716"/>
  <c r="S716"/>
  <c r="AV715"/>
  <c r="AT715"/>
  <c r="AR715"/>
  <c r="AP715"/>
  <c r="AN715"/>
  <c r="AL715"/>
  <c r="AJ715"/>
  <c r="AH715"/>
  <c r="AF715"/>
  <c r="AD715"/>
  <c r="AB715"/>
  <c r="Z715"/>
  <c r="W715"/>
  <c r="S715"/>
  <c r="AV714"/>
  <c r="AT714"/>
  <c r="AR714"/>
  <c r="AP714"/>
  <c r="AN714"/>
  <c r="AL714"/>
  <c r="AJ714"/>
  <c r="AH714"/>
  <c r="AF714"/>
  <c r="AD714"/>
  <c r="AB714"/>
  <c r="Z714"/>
  <c r="W714"/>
  <c r="S714"/>
  <c r="AV713"/>
  <c r="AT713"/>
  <c r="AR713"/>
  <c r="AP713"/>
  <c r="AN713"/>
  <c r="AL713"/>
  <c r="AJ713"/>
  <c r="AH713"/>
  <c r="AF713"/>
  <c r="AD713"/>
  <c r="AB713"/>
  <c r="Z713"/>
  <c r="W713"/>
  <c r="S713"/>
  <c r="AV712"/>
  <c r="AT712"/>
  <c r="AR712"/>
  <c r="AP712"/>
  <c r="AN712"/>
  <c r="AL712"/>
  <c r="AJ712"/>
  <c r="AH712"/>
  <c r="AF712"/>
  <c r="AD712"/>
  <c r="AB712"/>
  <c r="Z712"/>
  <c r="W712"/>
  <c r="S712"/>
  <c r="AV711"/>
  <c r="AT711"/>
  <c r="AR711"/>
  <c r="AP711"/>
  <c r="AN711"/>
  <c r="AL711"/>
  <c r="AJ711"/>
  <c r="AH711"/>
  <c r="AF711"/>
  <c r="AD711"/>
  <c r="AB711"/>
  <c r="Z711"/>
  <c r="W711"/>
  <c r="S711"/>
  <c r="AV710"/>
  <c r="AT710"/>
  <c r="AR710"/>
  <c r="AP710"/>
  <c r="AN710"/>
  <c r="AL710"/>
  <c r="AJ710"/>
  <c r="AH710"/>
  <c r="AE710"/>
  <c r="AD710"/>
  <c r="AB710"/>
  <c r="Z710"/>
  <c r="S710"/>
  <c r="AV709"/>
  <c r="AT709"/>
  <c r="AR709"/>
  <c r="AP709"/>
  <c r="AN709"/>
  <c r="AL709"/>
  <c r="AJ709"/>
  <c r="AH709"/>
  <c r="AF709"/>
  <c r="AD709"/>
  <c r="AB709"/>
  <c r="Z709"/>
  <c r="X709"/>
  <c r="W709"/>
  <c r="V709"/>
  <c r="S709"/>
  <c r="AV708"/>
  <c r="AT708"/>
  <c r="AR708"/>
  <c r="AP708"/>
  <c r="AN708"/>
  <c r="AL708"/>
  <c r="AJ708"/>
  <c r="AH708"/>
  <c r="AF708"/>
  <c r="AD708"/>
  <c r="AB708"/>
  <c r="Z708"/>
  <c r="X708"/>
  <c r="W708"/>
  <c r="V708"/>
  <c r="S708"/>
  <c r="AV707"/>
  <c r="AT707"/>
  <c r="AR707"/>
  <c r="AP707"/>
  <c r="AN707"/>
  <c r="AL707"/>
  <c r="AJ707"/>
  <c r="AH707"/>
  <c r="AF707"/>
  <c r="AD707"/>
  <c r="AB707"/>
  <c r="AA707"/>
  <c r="Z707"/>
  <c r="W707"/>
  <c r="S707"/>
  <c r="AV706"/>
  <c r="AT706"/>
  <c r="AR706"/>
  <c r="AP706"/>
  <c r="AN706"/>
  <c r="AL706"/>
  <c r="AJ706"/>
  <c r="AH706"/>
  <c r="AF706"/>
  <c r="AD706"/>
  <c r="AB706"/>
  <c r="Z706"/>
  <c r="W706"/>
  <c r="S706"/>
  <c r="AV705"/>
  <c r="AT705"/>
  <c r="AR705"/>
  <c r="AP705"/>
  <c r="AN705"/>
  <c r="AL705"/>
  <c r="AJ705"/>
  <c r="AH705"/>
  <c r="AF705"/>
  <c r="AD705"/>
  <c r="AB705"/>
  <c r="Z705"/>
  <c r="W705"/>
  <c r="S705"/>
  <c r="AV704"/>
  <c r="AT704"/>
  <c r="AR704"/>
  <c r="AP704"/>
  <c r="AN704"/>
  <c r="AL704"/>
  <c r="AJ704"/>
  <c r="AH704"/>
  <c r="AF704"/>
  <c r="AD704"/>
  <c r="AB704"/>
  <c r="Z704"/>
  <c r="W704"/>
  <c r="S704"/>
  <c r="AV703"/>
  <c r="AT703"/>
  <c r="AR703"/>
  <c r="AP703"/>
  <c r="AN703"/>
  <c r="AL703"/>
  <c r="AJ703"/>
  <c r="AH703"/>
  <c r="AF703"/>
  <c r="AD703"/>
  <c r="AB703"/>
  <c r="Z703"/>
  <c r="W703"/>
  <c r="S703"/>
  <c r="AV702"/>
  <c r="AT702"/>
  <c r="AR702"/>
  <c r="AP702"/>
  <c r="AN702"/>
  <c r="AL702"/>
  <c r="AJ702"/>
  <c r="AH702"/>
  <c r="AF702"/>
  <c r="AD702"/>
  <c r="AB702"/>
  <c r="Z702"/>
  <c r="W702"/>
  <c r="S702"/>
  <c r="AV701"/>
  <c r="AT701"/>
  <c r="AR701"/>
  <c r="AP701"/>
  <c r="AN701"/>
  <c r="AL701"/>
  <c r="AJ701"/>
  <c r="AH701"/>
  <c r="AE701"/>
  <c r="AD701"/>
  <c r="AB701"/>
  <c r="Z701"/>
  <c r="S701"/>
  <c r="AV700"/>
  <c r="AT700"/>
  <c r="AR700"/>
  <c r="AP700"/>
  <c r="AN700"/>
  <c r="AL700"/>
  <c r="AJ700"/>
  <c r="AH700"/>
  <c r="AF700"/>
  <c r="AD700"/>
  <c r="AB700"/>
  <c r="Z700"/>
  <c r="X700"/>
  <c r="W700"/>
  <c r="V700"/>
  <c r="S700"/>
  <c r="AV699"/>
  <c r="AT699"/>
  <c r="AR699"/>
  <c r="AP699"/>
  <c r="AN699"/>
  <c r="AL699"/>
  <c r="AJ699"/>
  <c r="AH699"/>
  <c r="AF699"/>
  <c r="AD699"/>
  <c r="AB699"/>
  <c r="Z699"/>
  <c r="X699"/>
  <c r="W699"/>
  <c r="V699"/>
  <c r="S699"/>
  <c r="AV698"/>
  <c r="AT698"/>
  <c r="AR698"/>
  <c r="AP698"/>
  <c r="AN698"/>
  <c r="AL698"/>
  <c r="AJ698"/>
  <c r="AH698"/>
  <c r="AF698"/>
  <c r="AD698"/>
  <c r="AB698"/>
  <c r="Z698"/>
  <c r="X698"/>
  <c r="W698"/>
  <c r="V698"/>
  <c r="S698"/>
  <c r="AV697"/>
  <c r="AT697"/>
  <c r="AR697"/>
  <c r="AP697"/>
  <c r="AN697"/>
  <c r="AL697"/>
  <c r="AJ697"/>
  <c r="AH697"/>
  <c r="AF697"/>
  <c r="AD697"/>
  <c r="AB697"/>
  <c r="Z697"/>
  <c r="X697"/>
  <c r="W697"/>
  <c r="V697"/>
  <c r="S697"/>
  <c r="AV696"/>
  <c r="AT696"/>
  <c r="AR696"/>
  <c r="AP696"/>
  <c r="AN696"/>
  <c r="AL696"/>
  <c r="AJ696"/>
  <c r="AH696"/>
  <c r="AF696"/>
  <c r="AD696"/>
  <c r="AB696"/>
  <c r="Z696"/>
  <c r="X696"/>
  <c r="W696"/>
  <c r="V696"/>
  <c r="S696"/>
  <c r="AV695"/>
  <c r="AT695"/>
  <c r="AR695"/>
  <c r="AP695"/>
  <c r="AN695"/>
  <c r="AL695"/>
  <c r="AJ695"/>
  <c r="AH695"/>
  <c r="AF695"/>
  <c r="AD695"/>
  <c r="AB695"/>
  <c r="Z695"/>
  <c r="X695"/>
  <c r="W695"/>
  <c r="V695"/>
  <c r="S695"/>
  <c r="AV694"/>
  <c r="AT694"/>
  <c r="AR694"/>
  <c r="AP694"/>
  <c r="AN694"/>
  <c r="AL694"/>
  <c r="AJ694"/>
  <c r="AH694"/>
  <c r="AF694"/>
  <c r="AD694"/>
  <c r="AB694"/>
  <c r="Z694"/>
  <c r="X694"/>
  <c r="W694"/>
  <c r="V694"/>
  <c r="S694"/>
  <c r="AV693"/>
  <c r="AT693"/>
  <c r="AR693"/>
  <c r="AP693"/>
  <c r="AN693"/>
  <c r="AL693"/>
  <c r="AJ693"/>
  <c r="AH693"/>
  <c r="AF693"/>
  <c r="AD693"/>
  <c r="AB693"/>
  <c r="Z693"/>
  <c r="X693"/>
  <c r="W693"/>
  <c r="V693"/>
  <c r="S693"/>
  <c r="AV692"/>
  <c r="AT692"/>
  <c r="AR692"/>
  <c r="AP692"/>
  <c r="AN692"/>
  <c r="AL692"/>
  <c r="AJ692"/>
  <c r="AH692"/>
  <c r="AF692"/>
  <c r="AD692"/>
  <c r="AB692"/>
  <c r="Z692"/>
  <c r="X692"/>
  <c r="W692"/>
  <c r="V692"/>
  <c r="S692"/>
  <c r="AV691"/>
  <c r="AT691"/>
  <c r="AR691"/>
  <c r="AP691"/>
  <c r="AN691"/>
  <c r="AL691"/>
  <c r="AJ691"/>
  <c r="AH691"/>
  <c r="AF691"/>
  <c r="AD691"/>
  <c r="AB691"/>
  <c r="Z691"/>
  <c r="X691"/>
  <c r="W691"/>
  <c r="V691"/>
  <c r="S691"/>
  <c r="AV690"/>
  <c r="AT690"/>
  <c r="AR690"/>
  <c r="AP690"/>
  <c r="AN690"/>
  <c r="AL690"/>
  <c r="AJ690"/>
  <c r="AH690"/>
  <c r="AF690"/>
  <c r="AD690"/>
  <c r="AB690"/>
  <c r="Z690"/>
  <c r="X690"/>
  <c r="W690"/>
  <c r="V690"/>
  <c r="S690"/>
  <c r="AV689"/>
  <c r="AT689"/>
  <c r="AR689"/>
  <c r="AP689"/>
  <c r="AN689"/>
  <c r="AL689"/>
  <c r="AJ689"/>
  <c r="AH689"/>
  <c r="AF689"/>
  <c r="AD689"/>
  <c r="AB689"/>
  <c r="Z689"/>
  <c r="X689"/>
  <c r="W689"/>
  <c r="V689"/>
  <c r="S689"/>
  <c r="AV688"/>
  <c r="AT688"/>
  <c r="AR688"/>
  <c r="AP688"/>
  <c r="AN688"/>
  <c r="AL688"/>
  <c r="AJ688"/>
  <c r="AH688"/>
  <c r="AF688"/>
  <c r="AD688"/>
  <c r="AB688"/>
  <c r="Z688"/>
  <c r="X688"/>
  <c r="W688"/>
  <c r="V688"/>
  <c r="S688"/>
  <c r="AV687"/>
  <c r="AT687"/>
  <c r="AR687"/>
  <c r="AP687"/>
  <c r="AN687"/>
  <c r="AL687"/>
  <c r="AJ687"/>
  <c r="AH687"/>
  <c r="AF687"/>
  <c r="AD687"/>
  <c r="AB687"/>
  <c r="Z687"/>
  <c r="X687"/>
  <c r="W687"/>
  <c r="V687"/>
  <c r="S687"/>
  <c r="AV686"/>
  <c r="AT686"/>
  <c r="AR686"/>
  <c r="AP686"/>
  <c r="AN686"/>
  <c r="AL686"/>
  <c r="AJ686"/>
  <c r="AH686"/>
  <c r="AF686"/>
  <c r="AD686"/>
  <c r="AB686"/>
  <c r="Z686"/>
  <c r="X686"/>
  <c r="W686"/>
  <c r="V686"/>
  <c r="S686"/>
  <c r="AV685"/>
  <c r="AU685"/>
  <c r="AT685"/>
  <c r="AR685"/>
  <c r="AP685"/>
  <c r="AN685"/>
  <c r="AL685"/>
  <c r="AJ685"/>
  <c r="AH685"/>
  <c r="AF685"/>
  <c r="AD685"/>
  <c r="AB685"/>
  <c r="Z685"/>
  <c r="W685"/>
  <c r="S685"/>
  <c r="AV684"/>
  <c r="AT684"/>
  <c r="AR684"/>
  <c r="AP684"/>
  <c r="AN684"/>
  <c r="AL684"/>
  <c r="AJ684"/>
  <c r="AH684"/>
  <c r="AF684"/>
  <c r="AD684"/>
  <c r="AB684"/>
  <c r="Z684"/>
  <c r="W684"/>
  <c r="S684"/>
  <c r="AV683"/>
  <c r="AT683"/>
  <c r="AR683"/>
  <c r="AP683"/>
  <c r="AN683"/>
  <c r="AL683"/>
  <c r="AJ683"/>
  <c r="AH683"/>
  <c r="AF683"/>
  <c r="AD683"/>
  <c r="AB683"/>
  <c r="Z683"/>
  <c r="W683"/>
  <c r="S683"/>
  <c r="AV682"/>
  <c r="AT682"/>
  <c r="AR682"/>
  <c r="AP682"/>
  <c r="AN682"/>
  <c r="AL682"/>
  <c r="AJ682"/>
  <c r="AH682"/>
  <c r="AF682"/>
  <c r="AD682"/>
  <c r="AB682"/>
  <c r="Z682"/>
  <c r="W682"/>
  <c r="S682"/>
  <c r="AV681"/>
  <c r="AT681"/>
  <c r="AR681"/>
  <c r="AP681"/>
  <c r="AN681"/>
  <c r="AL681"/>
  <c r="AJ681"/>
  <c r="AH681"/>
  <c r="AF681"/>
  <c r="AD681"/>
  <c r="AB681"/>
  <c r="Z681"/>
  <c r="W681"/>
  <c r="S681"/>
  <c r="AV680"/>
  <c r="AT680"/>
  <c r="AR680"/>
  <c r="AP680"/>
  <c r="AN680"/>
  <c r="AL680"/>
  <c r="AJ680"/>
  <c r="AH680"/>
  <c r="AF680"/>
  <c r="AD680"/>
  <c r="AB680"/>
  <c r="Z680"/>
  <c r="W680"/>
  <c r="S680"/>
  <c r="AV679"/>
  <c r="AT679"/>
  <c r="AR679"/>
  <c r="AP679"/>
  <c r="AN679"/>
  <c r="AL679"/>
  <c r="AJ679"/>
  <c r="AH679"/>
  <c r="AF679"/>
  <c r="AD679"/>
  <c r="AB679"/>
  <c r="Z679"/>
  <c r="W679"/>
  <c r="S679"/>
  <c r="AV678"/>
  <c r="AT678"/>
  <c r="AR678"/>
  <c r="AP678"/>
  <c r="AN678"/>
  <c r="AL678"/>
  <c r="AJ678"/>
  <c r="AH678"/>
  <c r="AF678"/>
  <c r="AD678"/>
  <c r="AB678"/>
  <c r="Z678"/>
  <c r="W678"/>
  <c r="S678"/>
  <c r="AV677"/>
  <c r="AT677"/>
  <c r="AR677"/>
  <c r="AP677"/>
  <c r="AN677"/>
  <c r="AL677"/>
  <c r="AJ677"/>
  <c r="AH677"/>
  <c r="AF677"/>
  <c r="AD677"/>
  <c r="AB677"/>
  <c r="Z677"/>
  <c r="W677"/>
  <c r="S677"/>
  <c r="AV676"/>
  <c r="AT676"/>
  <c r="AR676"/>
  <c r="AP676"/>
  <c r="AN676"/>
  <c r="AL676"/>
  <c r="AJ676"/>
  <c r="AH676"/>
  <c r="AF676"/>
  <c r="AD676"/>
  <c r="AB676"/>
  <c r="Z676"/>
  <c r="W676"/>
  <c r="S676"/>
  <c r="AV675"/>
  <c r="AT675"/>
  <c r="AR675"/>
  <c r="AP675"/>
  <c r="AN675"/>
  <c r="AL675"/>
  <c r="AB675"/>
  <c r="Z675"/>
  <c r="W675"/>
  <c r="S675"/>
  <c r="AV674"/>
  <c r="AT674"/>
  <c r="AR674"/>
  <c r="AP674"/>
  <c r="AN674"/>
  <c r="AL674"/>
  <c r="AB674"/>
  <c r="Z674"/>
  <c r="W674"/>
  <c r="S674"/>
  <c r="AV673"/>
  <c r="AT673"/>
  <c r="AR673"/>
  <c r="AP673"/>
  <c r="AN673"/>
  <c r="AL673"/>
  <c r="AB673"/>
  <c r="Z673"/>
  <c r="W673"/>
  <c r="S673"/>
  <c r="AV672"/>
  <c r="AT672"/>
  <c r="AR672"/>
  <c r="AP672"/>
  <c r="AN672"/>
  <c r="AL672"/>
  <c r="AJ672"/>
  <c r="AH672"/>
  <c r="AF672"/>
  <c r="AD672"/>
  <c r="AB672"/>
  <c r="Z672"/>
  <c r="W672"/>
  <c r="S672"/>
  <c r="AV671"/>
  <c r="AT671"/>
  <c r="AR671"/>
  <c r="AP671"/>
  <c r="AN671"/>
  <c r="AL671"/>
  <c r="AJ671"/>
  <c r="AH671"/>
  <c r="AF671"/>
  <c r="AD671"/>
  <c r="AB671"/>
  <c r="Z671"/>
  <c r="W671"/>
  <c r="S671"/>
  <c r="AV670"/>
  <c r="AT670"/>
  <c r="AR670"/>
  <c r="AP670"/>
  <c r="AN670"/>
  <c r="AL670"/>
  <c r="AJ670"/>
  <c r="AH670"/>
  <c r="AF670"/>
  <c r="AD670"/>
  <c r="AB670"/>
  <c r="Z670"/>
  <c r="W670"/>
  <c r="S670"/>
  <c r="AV669"/>
  <c r="AT669"/>
  <c r="AR669"/>
  <c r="AP669"/>
  <c r="AN669"/>
  <c r="AL669"/>
  <c r="AJ669"/>
  <c r="AH669"/>
  <c r="AF669"/>
  <c r="AD669"/>
  <c r="AB669"/>
  <c r="Z669"/>
  <c r="W669"/>
  <c r="S669"/>
  <c r="AV668"/>
  <c r="AT668"/>
  <c r="AR668"/>
  <c r="AP668"/>
  <c r="AN668"/>
  <c r="AL668"/>
  <c r="AJ668"/>
  <c r="AH668"/>
  <c r="AF668"/>
  <c r="AD668"/>
  <c r="AB668"/>
  <c r="Z668"/>
  <c r="W668"/>
  <c r="S668"/>
  <c r="AV667"/>
  <c r="AT667"/>
  <c r="AR667"/>
  <c r="AP667"/>
  <c r="AN667"/>
  <c r="AL667"/>
  <c r="AJ667"/>
  <c r="AH667"/>
  <c r="AF667"/>
  <c r="AD667"/>
  <c r="AB667"/>
  <c r="Z667"/>
  <c r="W667"/>
  <c r="S667"/>
  <c r="AV666"/>
  <c r="AT666"/>
  <c r="AR666"/>
  <c r="AP666"/>
  <c r="AN666"/>
  <c r="AL666"/>
  <c r="AJ666"/>
  <c r="AH666"/>
  <c r="AF666"/>
  <c r="AD666"/>
  <c r="AB666"/>
  <c r="Z666"/>
  <c r="W666"/>
  <c r="S666"/>
  <c r="AV665"/>
  <c r="AT665"/>
  <c r="AR665"/>
  <c r="AP665"/>
  <c r="AN665"/>
  <c r="AL665"/>
  <c r="AJ665"/>
  <c r="AH665"/>
  <c r="AF665"/>
  <c r="AD665"/>
  <c r="AB665"/>
  <c r="Z665"/>
  <c r="W665"/>
  <c r="S665"/>
  <c r="AV664"/>
  <c r="AT664"/>
  <c r="AR664"/>
  <c r="AP664"/>
  <c r="AN664"/>
  <c r="AL664"/>
  <c r="AJ664"/>
  <c r="AH664"/>
  <c r="AF664"/>
  <c r="AD664"/>
  <c r="AB664"/>
  <c r="Z664"/>
  <c r="W664"/>
  <c r="S664"/>
  <c r="AV663"/>
  <c r="AT663"/>
  <c r="AR663"/>
  <c r="AP663"/>
  <c r="AN663"/>
  <c r="AL663"/>
  <c r="AJ663"/>
  <c r="AH663"/>
  <c r="AF663"/>
  <c r="AD663"/>
  <c r="AB663"/>
  <c r="Z663"/>
  <c r="W663"/>
  <c r="S663"/>
  <c r="AV662"/>
  <c r="AT662"/>
  <c r="AR662"/>
  <c r="AP662"/>
  <c r="AN662"/>
  <c r="AL662"/>
  <c r="AJ662"/>
  <c r="AH662"/>
  <c r="AF662"/>
  <c r="AD662"/>
  <c r="AB662"/>
  <c r="Z662"/>
  <c r="W662"/>
  <c r="S662"/>
  <c r="AV661"/>
  <c r="AT661"/>
  <c r="AR661"/>
  <c r="AP661"/>
  <c r="AN661"/>
  <c r="AL661"/>
  <c r="AJ661"/>
  <c r="AH661"/>
  <c r="AF661"/>
  <c r="AD661"/>
  <c r="AB661"/>
  <c r="Z661"/>
  <c r="W661"/>
  <c r="S661"/>
  <c r="AV660"/>
  <c r="AT660"/>
  <c r="AR660"/>
  <c r="AP660"/>
  <c r="AN660"/>
  <c r="AL660"/>
  <c r="AJ660"/>
  <c r="AH660"/>
  <c r="AF660"/>
  <c r="AD660"/>
  <c r="AB660"/>
  <c r="Z660"/>
  <c r="W660"/>
  <c r="S660"/>
  <c r="AV659"/>
  <c r="AT659"/>
  <c r="AR659"/>
  <c r="AP659"/>
  <c r="AN659"/>
  <c r="AL659"/>
  <c r="AJ659"/>
  <c r="AH659"/>
  <c r="AF659"/>
  <c r="AD659"/>
  <c r="AB659"/>
  <c r="Z659"/>
  <c r="W659"/>
  <c r="S659"/>
  <c r="AV658"/>
  <c r="AT658"/>
  <c r="AR658"/>
  <c r="AP658"/>
  <c r="AN658"/>
  <c r="AL658"/>
  <c r="AJ658"/>
  <c r="AH658"/>
  <c r="AF658"/>
  <c r="AD658"/>
  <c r="AB658"/>
  <c r="Z658"/>
  <c r="W658"/>
  <c r="S658"/>
  <c r="AV657"/>
  <c r="AT657"/>
  <c r="AR657"/>
  <c r="AP657"/>
  <c r="AN657"/>
  <c r="AL657"/>
  <c r="AJ657"/>
  <c r="AH657"/>
  <c r="AF657"/>
  <c r="AD657"/>
  <c r="AB657"/>
  <c r="Z657"/>
  <c r="W657"/>
  <c r="S657"/>
  <c r="AV656"/>
  <c r="AT656"/>
  <c r="AR656"/>
  <c r="AP656"/>
  <c r="AN656"/>
  <c r="AL656"/>
  <c r="AJ656"/>
  <c r="AH656"/>
  <c r="AF656"/>
  <c r="AD656"/>
  <c r="AB656"/>
  <c r="Z656"/>
  <c r="W656"/>
  <c r="S656"/>
  <c r="AV655"/>
  <c r="AT655"/>
  <c r="AR655"/>
  <c r="AP655"/>
  <c r="AN655"/>
  <c r="AL655"/>
  <c r="AJ655"/>
  <c r="AH655"/>
  <c r="AF655"/>
  <c r="AD655"/>
  <c r="AB655"/>
  <c r="Z655"/>
  <c r="W655"/>
  <c r="S655"/>
  <c r="AV654"/>
  <c r="AT654"/>
  <c r="AR654"/>
  <c r="AP654"/>
  <c r="AN654"/>
  <c r="AL654"/>
  <c r="AJ654"/>
  <c r="AH654"/>
  <c r="AF654"/>
  <c r="AD654"/>
  <c r="AB654"/>
  <c r="Z654"/>
  <c r="W654"/>
  <c r="S654"/>
  <c r="AV653"/>
  <c r="AT653"/>
  <c r="AR653"/>
  <c r="AP653"/>
  <c r="AN653"/>
  <c r="AL653"/>
  <c r="AJ653"/>
  <c r="AH653"/>
  <c r="AF653"/>
  <c r="AD653"/>
  <c r="AB653"/>
  <c r="Z653"/>
  <c r="W653"/>
  <c r="S653"/>
  <c r="AV652"/>
  <c r="AT652"/>
  <c r="AR652"/>
  <c r="AP652"/>
  <c r="AN652"/>
  <c r="AL652"/>
  <c r="AJ652"/>
  <c r="AH652"/>
  <c r="AF652"/>
  <c r="AD652"/>
  <c r="AB652"/>
  <c r="Z652"/>
  <c r="W652"/>
  <c r="S652"/>
  <c r="AV651"/>
  <c r="AT651"/>
  <c r="AR651"/>
  <c r="AP651"/>
  <c r="AN651"/>
  <c r="AL651"/>
  <c r="AJ651"/>
  <c r="AH651"/>
  <c r="AF651"/>
  <c r="AD651"/>
  <c r="AB651"/>
  <c r="Z651"/>
  <c r="W651"/>
  <c r="S651"/>
  <c r="AV650"/>
  <c r="AT650"/>
  <c r="AR650"/>
  <c r="AP650"/>
  <c r="AN650"/>
  <c r="AL650"/>
  <c r="AJ650"/>
  <c r="AH650"/>
  <c r="AF650"/>
  <c r="AD650"/>
  <c r="AB650"/>
  <c r="Z650"/>
  <c r="W650"/>
  <c r="S650"/>
  <c r="AV649"/>
  <c r="AT649"/>
  <c r="AR649"/>
  <c r="AP649"/>
  <c r="AN649"/>
  <c r="AL649"/>
  <c r="AJ649"/>
  <c r="AH649"/>
  <c r="AF649"/>
  <c r="AD649"/>
  <c r="AB649"/>
  <c r="Z649"/>
  <c r="W649"/>
  <c r="S649"/>
  <c r="AV648"/>
  <c r="AT648"/>
  <c r="AR648"/>
  <c r="AP648"/>
  <c r="AN648"/>
  <c r="AL648"/>
  <c r="AJ648"/>
  <c r="AH648"/>
  <c r="AF648"/>
  <c r="AD648"/>
  <c r="AB648"/>
  <c r="Z648"/>
  <c r="W648"/>
  <c r="S648"/>
  <c r="AV647"/>
  <c r="AT647"/>
  <c r="AQ647"/>
  <c r="AP647"/>
  <c r="AN647"/>
  <c r="AL647"/>
  <c r="AJ647"/>
  <c r="AH647"/>
  <c r="AF647"/>
  <c r="AD647"/>
  <c r="AB647"/>
  <c r="Z647"/>
  <c r="S647"/>
  <c r="AV646"/>
  <c r="AT646"/>
  <c r="AR646"/>
  <c r="AP646"/>
  <c r="AN646"/>
  <c r="AL646"/>
  <c r="AB646"/>
  <c r="Z646"/>
  <c r="X646"/>
  <c r="W646"/>
  <c r="V646"/>
  <c r="S646"/>
  <c r="AV645"/>
  <c r="AT645"/>
  <c r="AR645"/>
  <c r="AP645"/>
  <c r="AN645"/>
  <c r="AL645"/>
  <c r="AB645"/>
  <c r="Z645"/>
  <c r="X645"/>
  <c r="W645"/>
  <c r="V645"/>
  <c r="S645"/>
  <c r="AV644"/>
  <c r="AT644"/>
  <c r="AR644"/>
  <c r="AP644"/>
  <c r="AN644"/>
  <c r="AL644"/>
  <c r="AJ644"/>
  <c r="AH644"/>
  <c r="AF644"/>
  <c r="AD644"/>
  <c r="AB644"/>
  <c r="Z644"/>
  <c r="X644"/>
  <c r="W644"/>
  <c r="V644"/>
  <c r="S644"/>
  <c r="AV643"/>
  <c r="AT643"/>
  <c r="AR643"/>
  <c r="AP643"/>
  <c r="AN643"/>
  <c r="AL643"/>
  <c r="AJ643"/>
  <c r="AH643"/>
  <c r="AF643"/>
  <c r="AD643"/>
  <c r="AB643"/>
  <c r="Z643"/>
  <c r="X643"/>
  <c r="W643"/>
  <c r="V643"/>
  <c r="S643"/>
  <c r="AV642"/>
  <c r="AT642"/>
  <c r="AR642"/>
  <c r="AP642"/>
  <c r="AN642"/>
  <c r="AL642"/>
  <c r="AJ642"/>
  <c r="AH642"/>
  <c r="AF642"/>
  <c r="AD642"/>
  <c r="AB642"/>
  <c r="Z642"/>
  <c r="X642"/>
  <c r="W642"/>
  <c r="V642"/>
  <c r="S642"/>
  <c r="AV641"/>
  <c r="AT641"/>
  <c r="AR641"/>
  <c r="AP641"/>
  <c r="AN641"/>
  <c r="AL641"/>
  <c r="AB641"/>
  <c r="Z641"/>
  <c r="X641"/>
  <c r="W641"/>
  <c r="V641"/>
  <c r="S641"/>
  <c r="AV640"/>
  <c r="AT640"/>
  <c r="AR640"/>
  <c r="AP640"/>
  <c r="AN640"/>
  <c r="AL640"/>
  <c r="AB640"/>
  <c r="Z640"/>
  <c r="X640"/>
  <c r="W640"/>
  <c r="V640"/>
  <c r="S640"/>
  <c r="AV639"/>
  <c r="AT639"/>
  <c r="AR639"/>
  <c r="AP639"/>
  <c r="AN639"/>
  <c r="AL639"/>
  <c r="AJ639"/>
  <c r="AH639"/>
  <c r="AF639"/>
  <c r="AD639"/>
  <c r="AB639"/>
  <c r="Z639"/>
  <c r="X639"/>
  <c r="W639"/>
  <c r="V639"/>
  <c r="S639"/>
  <c r="AV638"/>
  <c r="AT638"/>
  <c r="AR638"/>
  <c r="AP638"/>
  <c r="AN638"/>
  <c r="AL638"/>
  <c r="AJ638"/>
  <c r="AH638"/>
  <c r="AF638"/>
  <c r="AD638"/>
  <c r="AB638"/>
  <c r="Z638"/>
  <c r="X638"/>
  <c r="W638"/>
  <c r="V638"/>
  <c r="S638"/>
  <c r="AV637"/>
  <c r="AT637"/>
  <c r="AR637"/>
  <c r="AP637"/>
  <c r="AN637"/>
  <c r="AL637"/>
  <c r="AJ637"/>
  <c r="AH637"/>
  <c r="AF637"/>
  <c r="AD637"/>
  <c r="AB637"/>
  <c r="Z637"/>
  <c r="X637"/>
  <c r="W637"/>
  <c r="V637"/>
  <c r="S637"/>
  <c r="AV636"/>
  <c r="AT636"/>
  <c r="AR636"/>
  <c r="AP636"/>
  <c r="AN636"/>
  <c r="AL636"/>
  <c r="AJ636"/>
  <c r="AH636"/>
  <c r="AF636"/>
  <c r="AD636"/>
  <c r="AB636"/>
  <c r="Z636"/>
  <c r="X636"/>
  <c r="W636"/>
  <c r="V636"/>
  <c r="S636"/>
  <c r="AV635"/>
  <c r="AT635"/>
  <c r="AR635"/>
  <c r="AP635"/>
  <c r="AN635"/>
  <c r="AL635"/>
  <c r="AJ635"/>
  <c r="AH635"/>
  <c r="AF635"/>
  <c r="AD635"/>
  <c r="AB635"/>
  <c r="Z635"/>
  <c r="X635"/>
  <c r="W635"/>
  <c r="V635"/>
  <c r="S635"/>
  <c r="AV634"/>
  <c r="AT634"/>
  <c r="AR634"/>
  <c r="AP634"/>
  <c r="AN634"/>
  <c r="AL634"/>
  <c r="AJ634"/>
  <c r="AH634"/>
  <c r="AF634"/>
  <c r="AD634"/>
  <c r="AB634"/>
  <c r="Z634"/>
  <c r="X634"/>
  <c r="W634"/>
  <c r="V634"/>
  <c r="S634"/>
  <c r="AV633"/>
  <c r="AT633"/>
  <c r="AR633"/>
  <c r="AP633"/>
  <c r="AN633"/>
  <c r="AL633"/>
  <c r="AJ633"/>
  <c r="AH633"/>
  <c r="AF633"/>
  <c r="AD633"/>
  <c r="AB633"/>
  <c r="Z633"/>
  <c r="X633"/>
  <c r="W633"/>
  <c r="V633"/>
  <c r="S633"/>
  <c r="AV632"/>
  <c r="AT632"/>
  <c r="AR632"/>
  <c r="AP632"/>
  <c r="AN632"/>
  <c r="AL632"/>
  <c r="AJ632"/>
  <c r="AH632"/>
  <c r="AF632"/>
  <c r="AD632"/>
  <c r="AB632"/>
  <c r="Z632"/>
  <c r="X632"/>
  <c r="W632"/>
  <c r="V632"/>
  <c r="S632"/>
  <c r="AV631"/>
  <c r="AT631"/>
  <c r="AR631"/>
  <c r="AP631"/>
  <c r="AN631"/>
  <c r="AL631"/>
  <c r="AJ631"/>
  <c r="AH631"/>
  <c r="AF631"/>
  <c r="AD631"/>
  <c r="AB631"/>
  <c r="Z631"/>
  <c r="X631"/>
  <c r="W631"/>
  <c r="V631"/>
  <c r="S631"/>
  <c r="AV630"/>
  <c r="AT630"/>
  <c r="AR630"/>
  <c r="AP630"/>
  <c r="AN630"/>
  <c r="AL630"/>
  <c r="AJ630"/>
  <c r="AH630"/>
  <c r="AF630"/>
  <c r="AD630"/>
  <c r="AB630"/>
  <c r="Z630"/>
  <c r="X630"/>
  <c r="W630"/>
  <c r="V630"/>
  <c r="S630"/>
  <c r="AV629"/>
  <c r="AT629"/>
  <c r="AR629"/>
  <c r="AP629"/>
  <c r="AN629"/>
  <c r="AL629"/>
  <c r="AJ629"/>
  <c r="AH629"/>
  <c r="AF629"/>
  <c r="AD629"/>
  <c r="AB629"/>
  <c r="Z629"/>
  <c r="X629"/>
  <c r="W629"/>
  <c r="V629"/>
  <c r="S629"/>
  <c r="AV628"/>
  <c r="AT628"/>
  <c r="AR628"/>
  <c r="AP628"/>
  <c r="AN628"/>
  <c r="AL628"/>
  <c r="AJ628"/>
  <c r="AH628"/>
  <c r="AF628"/>
  <c r="AD628"/>
  <c r="AB628"/>
  <c r="Z628"/>
  <c r="X628"/>
  <c r="W628"/>
  <c r="V628"/>
  <c r="S628"/>
  <c r="AV627"/>
  <c r="AT627"/>
  <c r="AR627"/>
  <c r="AP627"/>
  <c r="AN627"/>
  <c r="AL627"/>
  <c r="AJ627"/>
  <c r="AH627"/>
  <c r="AF627"/>
  <c r="AD627"/>
  <c r="AB627"/>
  <c r="Z627"/>
  <c r="X627"/>
  <c r="W627"/>
  <c r="V627"/>
  <c r="S627"/>
  <c r="AV626"/>
  <c r="AT626"/>
  <c r="AR626"/>
  <c r="AP626"/>
  <c r="AN626"/>
  <c r="AL626"/>
  <c r="AJ626"/>
  <c r="AH626"/>
  <c r="AF626"/>
  <c r="AD626"/>
  <c r="AB626"/>
  <c r="Z626"/>
  <c r="X626"/>
  <c r="W626"/>
  <c r="V626"/>
  <c r="S626"/>
  <c r="AV625"/>
  <c r="AT625"/>
  <c r="AR625"/>
  <c r="AP625"/>
  <c r="AN625"/>
  <c r="AL625"/>
  <c r="AJ625"/>
  <c r="AH625"/>
  <c r="AF625"/>
  <c r="AD625"/>
  <c r="AB625"/>
  <c r="Z625"/>
  <c r="X625"/>
  <c r="W625"/>
  <c r="V625"/>
  <c r="S625"/>
  <c r="AV624"/>
  <c r="AT624"/>
  <c r="AR624"/>
  <c r="AP624"/>
  <c r="AN624"/>
  <c r="AL624"/>
  <c r="AJ624"/>
  <c r="AH624"/>
  <c r="AF624"/>
  <c r="AD624"/>
  <c r="AB624"/>
  <c r="Z624"/>
  <c r="X624"/>
  <c r="W624"/>
  <c r="V624"/>
  <c r="S624"/>
  <c r="AV623"/>
  <c r="AT623"/>
  <c r="AR623"/>
  <c r="AP623"/>
  <c r="AN623"/>
  <c r="AL623"/>
  <c r="AJ623"/>
  <c r="AH623"/>
  <c r="AF623"/>
  <c r="AD623"/>
  <c r="AB623"/>
  <c r="Z623"/>
  <c r="X623"/>
  <c r="W623"/>
  <c r="V623"/>
  <c r="S623"/>
  <c r="AV622"/>
  <c r="AT622"/>
  <c r="AR622"/>
  <c r="AP622"/>
  <c r="AN622"/>
  <c r="AL622"/>
  <c r="AJ622"/>
  <c r="AH622"/>
  <c r="AF622"/>
  <c r="AD622"/>
  <c r="AB622"/>
  <c r="Z622"/>
  <c r="X622"/>
  <c r="W622"/>
  <c r="V622"/>
  <c r="S622"/>
  <c r="AV621"/>
  <c r="AT621"/>
  <c r="AR621"/>
  <c r="AP621"/>
  <c r="AN621"/>
  <c r="AL621"/>
  <c r="AJ621"/>
  <c r="AH621"/>
  <c r="AF621"/>
  <c r="AD621"/>
  <c r="AB621"/>
  <c r="Z621"/>
  <c r="X621"/>
  <c r="W621"/>
  <c r="V621"/>
  <c r="S621"/>
  <c r="AV620"/>
  <c r="AT620"/>
  <c r="AR620"/>
  <c r="AP620"/>
  <c r="AN620"/>
  <c r="AL620"/>
  <c r="AJ620"/>
  <c r="AH620"/>
  <c r="AF620"/>
  <c r="AD620"/>
  <c r="AB620"/>
  <c r="Z620"/>
  <c r="X620"/>
  <c r="W620"/>
  <c r="V620"/>
  <c r="S620"/>
  <c r="AV619"/>
  <c r="AT619"/>
  <c r="AR619"/>
  <c r="AP619"/>
  <c r="AN619"/>
  <c r="AL619"/>
  <c r="AJ619"/>
  <c r="AH619"/>
  <c r="AF619"/>
  <c r="AD619"/>
  <c r="AB619"/>
  <c r="Z619"/>
  <c r="X619"/>
  <c r="W619"/>
  <c r="V619"/>
  <c r="S619"/>
  <c r="AV618"/>
  <c r="AT618"/>
  <c r="AR618"/>
  <c r="AP618"/>
  <c r="AN618"/>
  <c r="AL618"/>
  <c r="AJ618"/>
  <c r="AH618"/>
  <c r="AF618"/>
  <c r="AD618"/>
  <c r="AB618"/>
  <c r="Z618"/>
  <c r="X618"/>
  <c r="W618"/>
  <c r="V618"/>
  <c r="S618"/>
  <c r="AV617"/>
  <c r="AT617"/>
  <c r="AR617"/>
  <c r="AP617"/>
  <c r="AN617"/>
  <c r="AL617"/>
  <c r="AJ617"/>
  <c r="AH617"/>
  <c r="AF617"/>
  <c r="AD617"/>
  <c r="AB617"/>
  <c r="Z617"/>
  <c r="X617"/>
  <c r="W617"/>
  <c r="V617"/>
  <c r="S617"/>
  <c r="AV616"/>
  <c r="AT616"/>
  <c r="AR616"/>
  <c r="AP616"/>
  <c r="AN616"/>
  <c r="AL616"/>
  <c r="AJ616"/>
  <c r="AG616"/>
  <c r="AH616" s="1"/>
  <c r="AF616"/>
  <c r="AD616"/>
  <c r="AB616"/>
  <c r="Z616"/>
  <c r="W616"/>
  <c r="S616"/>
  <c r="AV615"/>
  <c r="AT615"/>
  <c r="AR615"/>
  <c r="AP615"/>
  <c r="AN615"/>
  <c r="AL615"/>
  <c r="AJ615"/>
  <c r="AH615"/>
  <c r="AF615"/>
  <c r="AD615"/>
  <c r="AB615"/>
  <c r="Z615"/>
  <c r="W615"/>
  <c r="S615"/>
  <c r="AV614"/>
  <c r="AT614"/>
  <c r="AR614"/>
  <c r="AP614"/>
  <c r="AN614"/>
  <c r="AL614"/>
  <c r="AJ614"/>
  <c r="AH614"/>
  <c r="AG614"/>
  <c r="AF614"/>
  <c r="AD614"/>
  <c r="AB614"/>
  <c r="Z614"/>
  <c r="X614"/>
  <c r="W614"/>
  <c r="V614"/>
  <c r="S614"/>
  <c r="AV613"/>
  <c r="AT613"/>
  <c r="AR613"/>
  <c r="AP613"/>
  <c r="AN613"/>
  <c r="AL613"/>
  <c r="AJ613"/>
  <c r="AH613"/>
  <c r="AF613"/>
  <c r="AD613"/>
  <c r="AB613"/>
  <c r="Z613"/>
  <c r="X613"/>
  <c r="W613"/>
  <c r="V613"/>
  <c r="S613"/>
  <c r="AV612"/>
  <c r="AT612"/>
  <c r="AR612"/>
  <c r="AP612"/>
  <c r="AN612"/>
  <c r="AL612"/>
  <c r="AJ612"/>
  <c r="AH612"/>
  <c r="AF612"/>
  <c r="AD612"/>
  <c r="AB612"/>
  <c r="Z612"/>
  <c r="X612"/>
  <c r="W612"/>
  <c r="V612"/>
  <c r="S612"/>
  <c r="AV611"/>
  <c r="AT611"/>
  <c r="AR611"/>
  <c r="AP611"/>
  <c r="AN611"/>
  <c r="AL611"/>
  <c r="AJ611"/>
  <c r="AH611"/>
  <c r="AF611"/>
  <c r="AD611"/>
  <c r="AB611"/>
  <c r="Z611"/>
  <c r="X611"/>
  <c r="W611"/>
  <c r="V611"/>
  <c r="S611"/>
  <c r="AV610"/>
  <c r="AT610"/>
  <c r="AR610"/>
  <c r="AP610"/>
  <c r="AN610"/>
  <c r="AL610"/>
  <c r="AJ610"/>
  <c r="AH610"/>
  <c r="AF610"/>
  <c r="AD610"/>
  <c r="AB610"/>
  <c r="Z610"/>
  <c r="X610"/>
  <c r="W610"/>
  <c r="V610"/>
  <c r="S610"/>
  <c r="AV609"/>
  <c r="AT609"/>
  <c r="AR609"/>
  <c r="AP609"/>
  <c r="AN609"/>
  <c r="AL609"/>
  <c r="AJ609"/>
  <c r="AH609"/>
  <c r="AF609"/>
  <c r="AD609"/>
  <c r="AB609"/>
  <c r="Z609"/>
  <c r="X609"/>
  <c r="W609"/>
  <c r="V609"/>
  <c r="S609"/>
  <c r="AV608"/>
  <c r="AT608"/>
  <c r="AR608"/>
  <c r="AP608"/>
  <c r="AN608"/>
  <c r="AL608"/>
  <c r="AJ608"/>
  <c r="AH608"/>
  <c r="AF608"/>
  <c r="AD608"/>
  <c r="AB608"/>
  <c r="Z608"/>
  <c r="X608"/>
  <c r="W608"/>
  <c r="V608"/>
  <c r="S608"/>
  <c r="AV607"/>
  <c r="AT607"/>
  <c r="AR607"/>
  <c r="AP607"/>
  <c r="AN607"/>
  <c r="AL607"/>
  <c r="AJ607"/>
  <c r="AH607"/>
  <c r="AF607"/>
  <c r="AD607"/>
  <c r="AB607"/>
  <c r="Z607"/>
  <c r="X607"/>
  <c r="W607"/>
  <c r="V607"/>
  <c r="S607"/>
  <c r="AV606"/>
  <c r="AS606"/>
  <c r="AR606"/>
  <c r="AP606"/>
  <c r="AN606"/>
  <c r="AL606"/>
  <c r="AJ606"/>
  <c r="AH606"/>
  <c r="AF606"/>
  <c r="AD606"/>
  <c r="AB606"/>
  <c r="Z606"/>
  <c r="S606"/>
  <c r="AV605"/>
  <c r="AT605"/>
  <c r="AR605"/>
  <c r="AP605"/>
  <c r="AN605"/>
  <c r="AL605"/>
  <c r="AJ605"/>
  <c r="AH605"/>
  <c r="AF605"/>
  <c r="AD605"/>
  <c r="AB605"/>
  <c r="Z605"/>
  <c r="W605"/>
  <c r="S605"/>
  <c r="AV604"/>
  <c r="AT604"/>
  <c r="AR604"/>
  <c r="AP604"/>
  <c r="AN604"/>
  <c r="AL604"/>
  <c r="AJ604"/>
  <c r="AH604"/>
  <c r="AF604"/>
  <c r="AD604"/>
  <c r="AB604"/>
  <c r="Z604"/>
  <c r="W604"/>
  <c r="S604"/>
  <c r="AV603"/>
  <c r="AT603"/>
  <c r="AR603"/>
  <c r="AP603"/>
  <c r="AN603"/>
  <c r="AL603"/>
  <c r="AJ603"/>
  <c r="AH603"/>
  <c r="AF603"/>
  <c r="AD603"/>
  <c r="AB603"/>
  <c r="Z603"/>
  <c r="W603"/>
  <c r="S603"/>
  <c r="AV602"/>
  <c r="AT602"/>
  <c r="AR602"/>
  <c r="AP602"/>
  <c r="AN602"/>
  <c r="AL602"/>
  <c r="AJ602"/>
  <c r="AH602"/>
  <c r="AF602"/>
  <c r="AD602"/>
  <c r="AB602"/>
  <c r="Z602"/>
  <c r="W602"/>
  <c r="S602"/>
  <c r="AV601"/>
  <c r="AT601"/>
  <c r="AR601"/>
  <c r="AP601"/>
  <c r="AN601"/>
  <c r="AL601"/>
  <c r="AJ601"/>
  <c r="AH601"/>
  <c r="AF601"/>
  <c r="AD601"/>
  <c r="AB601"/>
  <c r="Z601"/>
  <c r="W601"/>
  <c r="S601"/>
  <c r="AV600"/>
  <c r="AT600"/>
  <c r="AR600"/>
  <c r="AP600"/>
  <c r="AN600"/>
  <c r="AL600"/>
  <c r="AJ600"/>
  <c r="AH600"/>
  <c r="AF600"/>
  <c r="AD600"/>
  <c r="AB600"/>
  <c r="Z600"/>
  <c r="W600"/>
  <c r="S600"/>
  <c r="AV599"/>
  <c r="AT599"/>
  <c r="AR599"/>
  <c r="AP599"/>
  <c r="AN599"/>
  <c r="AL599"/>
  <c r="AJ599"/>
  <c r="AH599"/>
  <c r="AF599"/>
  <c r="AD599"/>
  <c r="AB599"/>
  <c r="Z599"/>
  <c r="W599"/>
  <c r="S599"/>
  <c r="AV598"/>
  <c r="AT598"/>
  <c r="AR598"/>
  <c r="AP598"/>
  <c r="AN598"/>
  <c r="AL598"/>
  <c r="AJ598"/>
  <c r="AH598"/>
  <c r="AF598"/>
  <c r="AD598"/>
  <c r="AB598"/>
  <c r="Z598"/>
  <c r="W598"/>
  <c r="S598"/>
  <c r="AV597"/>
  <c r="AT597"/>
  <c r="AR597"/>
  <c r="AP597"/>
  <c r="AN597"/>
  <c r="AL597"/>
  <c r="AJ597"/>
  <c r="AH597"/>
  <c r="AF597"/>
  <c r="AD597"/>
  <c r="AB597"/>
  <c r="Z597"/>
  <c r="W597"/>
  <c r="S597"/>
  <c r="AV596"/>
  <c r="AT596"/>
  <c r="AR596"/>
  <c r="AP596"/>
  <c r="AN596"/>
  <c r="AL596"/>
  <c r="AJ596"/>
  <c r="AH596"/>
  <c r="AF596"/>
  <c r="AD596"/>
  <c r="AB596"/>
  <c r="Z596"/>
  <c r="W596"/>
  <c r="S596"/>
  <c r="AV595"/>
  <c r="AT595"/>
  <c r="AR595"/>
  <c r="AP595"/>
  <c r="AN595"/>
  <c r="AL595"/>
  <c r="AJ595"/>
  <c r="AH595"/>
  <c r="AF595"/>
  <c r="AD595"/>
  <c r="AB595"/>
  <c r="Z595"/>
  <c r="W595"/>
  <c r="S595"/>
  <c r="AV594"/>
  <c r="AT594"/>
  <c r="AR594"/>
  <c r="AP594"/>
  <c r="AN594"/>
  <c r="AL594"/>
  <c r="AJ594"/>
  <c r="AH594"/>
  <c r="AF594"/>
  <c r="AD594"/>
  <c r="AB594"/>
  <c r="Z594"/>
  <c r="W594"/>
  <c r="S594"/>
  <c r="AV593"/>
  <c r="AT593"/>
  <c r="AR593"/>
  <c r="AP593"/>
  <c r="AN593"/>
  <c r="AL593"/>
  <c r="AJ593"/>
  <c r="AH593"/>
  <c r="AF593"/>
  <c r="AD593"/>
  <c r="AB593"/>
  <c r="Z593"/>
  <c r="W593"/>
  <c r="S593"/>
  <c r="AV592"/>
  <c r="AT592"/>
  <c r="AR592"/>
  <c r="AP592"/>
  <c r="AN592"/>
  <c r="AL592"/>
  <c r="AJ592"/>
  <c r="AH592"/>
  <c r="AF592"/>
  <c r="AD592"/>
  <c r="AB592"/>
  <c r="Z592"/>
  <c r="W592"/>
  <c r="S592"/>
  <c r="AV591"/>
  <c r="AT591"/>
  <c r="AR591"/>
  <c r="AP591"/>
  <c r="AN591"/>
  <c r="AL591"/>
  <c r="AJ591"/>
  <c r="AH591"/>
  <c r="AF591"/>
  <c r="AD591"/>
  <c r="AB591"/>
  <c r="Z591"/>
  <c r="W591"/>
  <c r="S591"/>
  <c r="AV590"/>
  <c r="AT590"/>
  <c r="AR590"/>
  <c r="AP590"/>
  <c r="AN590"/>
  <c r="AL590"/>
  <c r="AJ590"/>
  <c r="AH590"/>
  <c r="AF590"/>
  <c r="AD590"/>
  <c r="AB590"/>
  <c r="Z590"/>
  <c r="W590"/>
  <c r="S590"/>
  <c r="AV589"/>
  <c r="AT589"/>
  <c r="AR589"/>
  <c r="AP589"/>
  <c r="AN589"/>
  <c r="AL589"/>
  <c r="AJ589"/>
  <c r="AH589"/>
  <c r="AF589"/>
  <c r="AD589"/>
  <c r="AB589"/>
  <c r="Z589"/>
  <c r="W589"/>
  <c r="S589"/>
  <c r="AV588"/>
  <c r="AT588"/>
  <c r="AR588"/>
  <c r="AP588"/>
  <c r="AN588"/>
  <c r="AL588"/>
  <c r="AJ588"/>
  <c r="AH588"/>
  <c r="AF588"/>
  <c r="AD588"/>
  <c r="AB588"/>
  <c r="Z588"/>
  <c r="W588"/>
  <c r="S588"/>
  <c r="AV587"/>
  <c r="AT587"/>
  <c r="AR587"/>
  <c r="AP587"/>
  <c r="AN587"/>
  <c r="AL587"/>
  <c r="AJ587"/>
  <c r="AH587"/>
  <c r="AG587"/>
  <c r="AF587"/>
  <c r="AD587"/>
  <c r="AB587"/>
  <c r="Z587"/>
  <c r="X587"/>
  <c r="W587"/>
  <c r="V587"/>
  <c r="S587"/>
  <c r="AV586"/>
  <c r="AT586"/>
  <c r="AR586"/>
  <c r="AP586"/>
  <c r="AN586"/>
  <c r="AL586"/>
  <c r="AJ586"/>
  <c r="AH586"/>
  <c r="AF586"/>
  <c r="AD586"/>
  <c r="AB586"/>
  <c r="Z586"/>
  <c r="X586"/>
  <c r="W586"/>
  <c r="V586"/>
  <c r="S586"/>
  <c r="AV585"/>
  <c r="AS585"/>
  <c r="AT585" s="1"/>
  <c r="AR585"/>
  <c r="AP585"/>
  <c r="AN585"/>
  <c r="AL585"/>
  <c r="AJ585"/>
  <c r="AH585"/>
  <c r="AF585"/>
  <c r="AD585"/>
  <c r="AB585"/>
  <c r="Z585"/>
  <c r="W585"/>
  <c r="X585" s="1"/>
  <c r="U585"/>
  <c r="S585"/>
  <c r="AV584"/>
  <c r="AT584"/>
  <c r="AR584"/>
  <c r="AP584"/>
  <c r="AN584"/>
  <c r="AL584"/>
  <c r="AJ584"/>
  <c r="AH584"/>
  <c r="AF584"/>
  <c r="AD584"/>
  <c r="AB584"/>
  <c r="Z584"/>
  <c r="X584"/>
  <c r="W584"/>
  <c r="V584"/>
  <c r="S584"/>
  <c r="AV583"/>
  <c r="AT583"/>
  <c r="AR583"/>
  <c r="AP583"/>
  <c r="AN583"/>
  <c r="AL583"/>
  <c r="AJ583"/>
  <c r="AH583"/>
  <c r="AF583"/>
  <c r="AD583"/>
  <c r="AB583"/>
  <c r="Z583"/>
  <c r="X583"/>
  <c r="W583"/>
  <c r="V583"/>
  <c r="S583"/>
  <c r="AW582"/>
  <c r="AU582"/>
  <c r="AT582"/>
  <c r="AR582"/>
  <c r="AP582"/>
  <c r="AN582"/>
  <c r="AL582"/>
  <c r="AJ582"/>
  <c r="AH582"/>
  <c r="AF582"/>
  <c r="AD582"/>
  <c r="AB582"/>
  <c r="Z582"/>
  <c r="S582"/>
  <c r="AV581"/>
  <c r="AT581"/>
  <c r="AR581"/>
  <c r="AP581"/>
  <c r="AN581"/>
  <c r="AL581"/>
  <c r="AJ581"/>
  <c r="AG581"/>
  <c r="AF581"/>
  <c r="AD581"/>
  <c r="AB581"/>
  <c r="Z581"/>
  <c r="S581"/>
  <c r="AV580"/>
  <c r="AT580"/>
  <c r="AR580"/>
  <c r="AP580"/>
  <c r="AN580"/>
  <c r="AL580"/>
  <c r="AJ580"/>
  <c r="AH580"/>
  <c r="AF580"/>
  <c r="AD580"/>
  <c r="AB580"/>
  <c r="Z580"/>
  <c r="W580"/>
  <c r="S580"/>
  <c r="AU579"/>
  <c r="AT579"/>
  <c r="AR579"/>
  <c r="AP579"/>
  <c r="AN579"/>
  <c r="AL579"/>
  <c r="AJ579"/>
  <c r="AH579"/>
  <c r="AF579"/>
  <c r="AD579"/>
  <c r="AB579"/>
  <c r="Z579"/>
  <c r="S579"/>
  <c r="AV578"/>
  <c r="AT578"/>
  <c r="AR578"/>
  <c r="AP578"/>
  <c r="AN578"/>
  <c r="AL578"/>
  <c r="AJ578"/>
  <c r="AH578"/>
  <c r="AF578"/>
  <c r="AD578"/>
  <c r="AB578"/>
  <c r="Z578"/>
  <c r="X578"/>
  <c r="W578"/>
  <c r="V578"/>
  <c r="S578"/>
  <c r="AV577"/>
  <c r="AT577"/>
  <c r="AR577"/>
  <c r="AP577"/>
  <c r="AN577"/>
  <c r="AL577"/>
  <c r="AJ577"/>
  <c r="AH577"/>
  <c r="AF577"/>
  <c r="AD577"/>
  <c r="AB577"/>
  <c r="Z577"/>
  <c r="X577"/>
  <c r="W577"/>
  <c r="V577"/>
  <c r="S577"/>
  <c r="AV576"/>
  <c r="AT576"/>
  <c r="AR576"/>
  <c r="AP576"/>
  <c r="AN576"/>
  <c r="AL576"/>
  <c r="AJ576"/>
  <c r="AG576"/>
  <c r="AH576" s="1"/>
  <c r="AF576"/>
  <c r="AD576"/>
  <c r="AB576"/>
  <c r="Z576"/>
  <c r="W576"/>
  <c r="S576"/>
  <c r="AV575"/>
  <c r="AT575"/>
  <c r="AR575"/>
  <c r="AP575"/>
  <c r="AN575"/>
  <c r="AL575"/>
  <c r="AJ575"/>
  <c r="AH575"/>
  <c r="AF575"/>
  <c r="AD575"/>
  <c r="AB575"/>
  <c r="Z575"/>
  <c r="W575"/>
  <c r="S575"/>
  <c r="AV574"/>
  <c r="AT574"/>
  <c r="AR574"/>
  <c r="AP574"/>
  <c r="AN574"/>
  <c r="AL574"/>
  <c r="AJ574"/>
  <c r="AH574"/>
  <c r="AF574"/>
  <c r="AD574"/>
  <c r="AB574"/>
  <c r="Z574"/>
  <c r="W574"/>
  <c r="S574"/>
  <c r="AV573"/>
  <c r="AT573"/>
  <c r="AR573"/>
  <c r="AP573"/>
  <c r="AN573"/>
  <c r="AL573"/>
  <c r="AJ573"/>
  <c r="AH573"/>
  <c r="AG573"/>
  <c r="AF573"/>
  <c r="AD573"/>
  <c r="AB573"/>
  <c r="Z573"/>
  <c r="X573"/>
  <c r="W573"/>
  <c r="V573"/>
  <c r="S573"/>
  <c r="AV572"/>
  <c r="AT572"/>
  <c r="AR572"/>
  <c r="AP572"/>
  <c r="AN572"/>
  <c r="AL572"/>
  <c r="AJ572"/>
  <c r="AH572"/>
  <c r="AF572"/>
  <c r="AD572"/>
  <c r="AB572"/>
  <c r="Z572"/>
  <c r="X572"/>
  <c r="W572"/>
  <c r="V572"/>
  <c r="S572"/>
  <c r="AV571"/>
  <c r="AT571"/>
  <c r="AR571"/>
  <c r="AP571"/>
  <c r="AN571"/>
  <c r="AL571"/>
  <c r="AJ571"/>
  <c r="AH571"/>
  <c r="AF571"/>
  <c r="AD571"/>
  <c r="AB571"/>
  <c r="Z571"/>
  <c r="X571"/>
  <c r="W571"/>
  <c r="V571"/>
  <c r="S571"/>
  <c r="AV570"/>
  <c r="AT570"/>
  <c r="AR570"/>
  <c r="AP570"/>
  <c r="AN570"/>
  <c r="AL570"/>
  <c r="AJ570"/>
  <c r="AH570"/>
  <c r="AF570"/>
  <c r="AD570"/>
  <c r="AB570"/>
  <c r="Z570"/>
  <c r="X570"/>
  <c r="W570"/>
  <c r="V570"/>
  <c r="S570"/>
  <c r="AV569"/>
  <c r="AT569"/>
  <c r="AR569"/>
  <c r="AP569"/>
  <c r="AN569"/>
  <c r="AL569"/>
  <c r="AJ569"/>
  <c r="AG569"/>
  <c r="AF569"/>
  <c r="AD569"/>
  <c r="AB569"/>
  <c r="Z569"/>
  <c r="S569"/>
  <c r="AV568"/>
  <c r="AT568"/>
  <c r="AR568"/>
  <c r="AP568"/>
  <c r="AN568"/>
  <c r="AL568"/>
  <c r="AJ568"/>
  <c r="AH568"/>
  <c r="AF568"/>
  <c r="AD568"/>
  <c r="AB568"/>
  <c r="Z568"/>
  <c r="W568"/>
  <c r="S568"/>
  <c r="AV567"/>
  <c r="AT567"/>
  <c r="AR567"/>
  <c r="AP567"/>
  <c r="AN567"/>
  <c r="AL567"/>
  <c r="AJ567"/>
  <c r="AH567"/>
  <c r="AF567"/>
  <c r="AD567"/>
  <c r="AB567"/>
  <c r="Z567"/>
  <c r="W567"/>
  <c r="S567"/>
  <c r="AV566"/>
  <c r="AT566"/>
  <c r="AR566"/>
  <c r="AP566"/>
  <c r="AN566"/>
  <c r="AL566"/>
  <c r="AJ566"/>
  <c r="AH566"/>
  <c r="AF566"/>
  <c r="AD566"/>
  <c r="AB566"/>
  <c r="Z566"/>
  <c r="W566"/>
  <c r="S566"/>
  <c r="AV565"/>
  <c r="AT565"/>
  <c r="AR565"/>
  <c r="AP565"/>
  <c r="AN565"/>
  <c r="AL565"/>
  <c r="AJ565"/>
  <c r="AH565"/>
  <c r="AF565"/>
  <c r="AD565"/>
  <c r="AB565"/>
  <c r="Z565"/>
  <c r="W565"/>
  <c r="S565"/>
  <c r="AV564"/>
  <c r="AT564"/>
  <c r="AR564"/>
  <c r="AP564"/>
  <c r="AN564"/>
  <c r="AL564"/>
  <c r="AB564"/>
  <c r="Z564"/>
  <c r="W564"/>
  <c r="S564"/>
  <c r="AV563"/>
  <c r="AT563"/>
  <c r="AR563"/>
  <c r="AP563"/>
  <c r="AN563"/>
  <c r="AL563"/>
  <c r="AB563"/>
  <c r="Z563"/>
  <c r="W563"/>
  <c r="S563"/>
  <c r="AV562"/>
  <c r="AT562"/>
  <c r="AR562"/>
  <c r="AP562"/>
  <c r="AN562"/>
  <c r="AL562"/>
  <c r="AB562"/>
  <c r="Z562"/>
  <c r="W562"/>
  <c r="S562"/>
  <c r="AV561"/>
  <c r="AT561"/>
  <c r="AR561"/>
  <c r="AP561"/>
  <c r="AN561"/>
  <c r="AL561"/>
  <c r="AB561"/>
  <c r="Z561"/>
  <c r="W561"/>
  <c r="S561"/>
  <c r="AV560"/>
  <c r="AT560"/>
  <c r="AR560"/>
  <c r="AP560"/>
  <c r="AN560"/>
  <c r="AL560"/>
  <c r="AB560"/>
  <c r="Z560"/>
  <c r="W560"/>
  <c r="S560"/>
  <c r="AV559"/>
  <c r="AT559"/>
  <c r="AR559"/>
  <c r="AP559"/>
  <c r="AN559"/>
  <c r="AL559"/>
  <c r="AJ559"/>
  <c r="AH559"/>
  <c r="AF559"/>
  <c r="AD559"/>
  <c r="AB559"/>
  <c r="Z559"/>
  <c r="W559"/>
  <c r="S559"/>
  <c r="AV558"/>
  <c r="AT558"/>
  <c r="AR558"/>
  <c r="AP558"/>
  <c r="AN558"/>
  <c r="AL558"/>
  <c r="AJ558"/>
  <c r="AH558"/>
  <c r="AF558"/>
  <c r="AD558"/>
  <c r="AB558"/>
  <c r="Z558"/>
  <c r="W558"/>
  <c r="S558"/>
  <c r="AV557"/>
  <c r="AT557"/>
  <c r="AR557"/>
  <c r="AP557"/>
  <c r="AN557"/>
  <c r="AL557"/>
  <c r="AJ557"/>
  <c r="AH557"/>
  <c r="AF557"/>
  <c r="AD557"/>
  <c r="AB557"/>
  <c r="Z557"/>
  <c r="W557"/>
  <c r="S557"/>
  <c r="AV556"/>
  <c r="AT556"/>
  <c r="AR556"/>
  <c r="AP556"/>
  <c r="AN556"/>
  <c r="AL556"/>
  <c r="AJ556"/>
  <c r="AH556"/>
  <c r="AF556"/>
  <c r="AD556"/>
  <c r="AB556"/>
  <c r="Z556"/>
  <c r="W556"/>
  <c r="S556"/>
  <c r="AV555"/>
  <c r="AT555"/>
  <c r="AR555"/>
  <c r="AP555"/>
  <c r="AN555"/>
  <c r="AL555"/>
  <c r="AJ555"/>
  <c r="AH555"/>
  <c r="AF555"/>
  <c r="AD555"/>
  <c r="AB555"/>
  <c r="Z555"/>
  <c r="W555"/>
  <c r="S555"/>
  <c r="AV554"/>
  <c r="AT554"/>
  <c r="AR554"/>
  <c r="AP554"/>
  <c r="AN554"/>
  <c r="AL554"/>
  <c r="AJ554"/>
  <c r="AH554"/>
  <c r="AF554"/>
  <c r="AD554"/>
  <c r="AB554"/>
  <c r="Z554"/>
  <c r="W554"/>
  <c r="S554"/>
  <c r="AV553"/>
  <c r="AT553"/>
  <c r="AR553"/>
  <c r="AP553"/>
  <c r="AN553"/>
  <c r="AL553"/>
  <c r="AJ553"/>
  <c r="AH553"/>
  <c r="AF553"/>
  <c r="AD553"/>
  <c r="AB553"/>
  <c r="Z553"/>
  <c r="W553"/>
  <c r="S553"/>
  <c r="AV552"/>
  <c r="AT552"/>
  <c r="AR552"/>
  <c r="AP552"/>
  <c r="AN552"/>
  <c r="AL552"/>
  <c r="AJ552"/>
  <c r="AH552"/>
  <c r="AF552"/>
  <c r="AD552"/>
  <c r="AB552"/>
  <c r="Z552"/>
  <c r="W552"/>
  <c r="S552"/>
  <c r="AV551"/>
  <c r="AT551"/>
  <c r="AR551"/>
  <c r="AP551"/>
  <c r="AN551"/>
  <c r="AL551"/>
  <c r="AJ551"/>
  <c r="AH551"/>
  <c r="AF551"/>
  <c r="AD551"/>
  <c r="AB551"/>
  <c r="Z551"/>
  <c r="W551"/>
  <c r="S551"/>
  <c r="AV550"/>
  <c r="AT550"/>
  <c r="AR550"/>
  <c r="AP550"/>
  <c r="AN550"/>
  <c r="AL550"/>
  <c r="AJ550"/>
  <c r="AH550"/>
  <c r="AF550"/>
  <c r="AD550"/>
  <c r="AB550"/>
  <c r="Z550"/>
  <c r="W550"/>
  <c r="S550"/>
  <c r="AV549"/>
  <c r="AT549"/>
  <c r="AR549"/>
  <c r="AP549"/>
  <c r="AN549"/>
  <c r="AL549"/>
  <c r="AJ549"/>
  <c r="AH549"/>
  <c r="AF549"/>
  <c r="AD549"/>
  <c r="AB549"/>
  <c r="Z549"/>
  <c r="W549"/>
  <c r="S549"/>
  <c r="AV548"/>
  <c r="AT548"/>
  <c r="AR548"/>
  <c r="AP548"/>
  <c r="AN548"/>
  <c r="AL548"/>
  <c r="AJ548"/>
  <c r="AH548"/>
  <c r="AF548"/>
  <c r="AD548"/>
  <c r="AB548"/>
  <c r="Z548"/>
  <c r="W548"/>
  <c r="S548"/>
  <c r="AV547"/>
  <c r="AT547"/>
  <c r="AR547"/>
  <c r="AP547"/>
  <c r="AN547"/>
  <c r="AL547"/>
  <c r="AJ547"/>
  <c r="AH547"/>
  <c r="AF547"/>
  <c r="AD547"/>
  <c r="AB547"/>
  <c r="Z547"/>
  <c r="W547"/>
  <c r="S547"/>
  <c r="AV546"/>
  <c r="AT546"/>
  <c r="AR546"/>
  <c r="AP546"/>
  <c r="AN546"/>
  <c r="AL546"/>
  <c r="AJ546"/>
  <c r="AH546"/>
  <c r="AF546"/>
  <c r="AD546"/>
  <c r="AB546"/>
  <c r="Z546"/>
  <c r="W546"/>
  <c r="S546"/>
  <c r="AV545"/>
  <c r="AT545"/>
  <c r="AR545"/>
  <c r="AP545"/>
  <c r="AN545"/>
  <c r="AL545"/>
  <c r="AJ545"/>
  <c r="AH545"/>
  <c r="AF545"/>
  <c r="AD545"/>
  <c r="AB545"/>
  <c r="Z545"/>
  <c r="W545"/>
  <c r="S545"/>
  <c r="AV544"/>
  <c r="AT544"/>
  <c r="AR544"/>
  <c r="AP544"/>
  <c r="AN544"/>
  <c r="AL544"/>
  <c r="AB544"/>
  <c r="Z544"/>
  <c r="W544"/>
  <c r="S544"/>
  <c r="AV543"/>
  <c r="AT543"/>
  <c r="AR543"/>
  <c r="AP543"/>
  <c r="AN543"/>
  <c r="AL543"/>
  <c r="AJ543"/>
  <c r="AH543"/>
  <c r="AF543"/>
  <c r="AD543"/>
  <c r="AB543"/>
  <c r="Z543"/>
  <c r="W543"/>
  <c r="S543"/>
  <c r="AV542"/>
  <c r="AT542"/>
  <c r="AR542"/>
  <c r="AP542"/>
  <c r="AN542"/>
  <c r="AL542"/>
  <c r="AJ542"/>
  <c r="AH542"/>
  <c r="AF542"/>
  <c r="AD542"/>
  <c r="AB542"/>
  <c r="Z542"/>
  <c r="W542"/>
  <c r="S542"/>
  <c r="AV541"/>
  <c r="AT541"/>
  <c r="AR541"/>
  <c r="AP541"/>
  <c r="AN541"/>
  <c r="AL541"/>
  <c r="AJ541"/>
  <c r="AH541"/>
  <c r="AF541"/>
  <c r="AD541"/>
  <c r="AB541"/>
  <c r="Z541"/>
  <c r="W541"/>
  <c r="S541"/>
  <c r="AV540"/>
  <c r="AT540"/>
  <c r="AR540"/>
  <c r="AP540"/>
  <c r="AN540"/>
  <c r="AL540"/>
  <c r="AB540"/>
  <c r="Z540"/>
  <c r="W540"/>
  <c r="S540"/>
  <c r="AV539"/>
  <c r="AT539"/>
  <c r="AR539"/>
  <c r="AP539"/>
  <c r="AN539"/>
  <c r="AL539"/>
  <c r="AB539"/>
  <c r="Z539"/>
  <c r="W539"/>
  <c r="S539"/>
  <c r="AV538"/>
  <c r="AT538"/>
  <c r="AR538"/>
  <c r="AP538"/>
  <c r="AN538"/>
  <c r="AL538"/>
  <c r="AJ538"/>
  <c r="AH538"/>
  <c r="AF538"/>
  <c r="AD538"/>
  <c r="AB538"/>
  <c r="Z538"/>
  <c r="W538"/>
  <c r="S538"/>
  <c r="AV537"/>
  <c r="AT537"/>
  <c r="AR537"/>
  <c r="AP537"/>
  <c r="AN537"/>
  <c r="AL537"/>
  <c r="AJ537"/>
  <c r="AH537"/>
  <c r="AF537"/>
  <c r="AD537"/>
  <c r="AB537"/>
  <c r="Z537"/>
  <c r="W537"/>
  <c r="S537"/>
  <c r="AV536"/>
  <c r="AT536"/>
  <c r="AR536"/>
  <c r="AP536"/>
  <c r="AN536"/>
  <c r="AL536"/>
  <c r="AJ536"/>
  <c r="AH536"/>
  <c r="AF536"/>
  <c r="AD536"/>
  <c r="AB536"/>
  <c r="Z536"/>
  <c r="W536"/>
  <c r="S536"/>
  <c r="AV535"/>
  <c r="AT535"/>
  <c r="AR535"/>
  <c r="AP535"/>
  <c r="AN535"/>
  <c r="AL535"/>
  <c r="AJ535"/>
  <c r="AH535"/>
  <c r="AF535"/>
  <c r="AD535"/>
  <c r="AB535"/>
  <c r="Z535"/>
  <c r="W535"/>
  <c r="S535"/>
  <c r="AV534"/>
  <c r="AT534"/>
  <c r="AR534"/>
  <c r="AP534"/>
  <c r="AN534"/>
  <c r="AL534"/>
  <c r="AJ534"/>
  <c r="AH534"/>
  <c r="AF534"/>
  <c r="AD534"/>
  <c r="AB534"/>
  <c r="Z534"/>
  <c r="W534"/>
  <c r="S534"/>
  <c r="AV533"/>
  <c r="AT533"/>
  <c r="AR533"/>
  <c r="AP533"/>
  <c r="AN533"/>
  <c r="AL533"/>
  <c r="AJ533"/>
  <c r="AH533"/>
  <c r="AF533"/>
  <c r="AD533"/>
  <c r="AB533"/>
  <c r="Z533"/>
  <c r="W533"/>
  <c r="S533"/>
  <c r="AV532"/>
  <c r="AT532"/>
  <c r="AR532"/>
  <c r="AP532"/>
  <c r="AN532"/>
  <c r="AL532"/>
  <c r="AJ532"/>
  <c r="AH532"/>
  <c r="AF532"/>
  <c r="AD532"/>
  <c r="AB532"/>
  <c r="Z532"/>
  <c r="W532"/>
  <c r="S532"/>
  <c r="AV531"/>
  <c r="AT531"/>
  <c r="AR531"/>
  <c r="AP531"/>
  <c r="AN531"/>
  <c r="AL531"/>
  <c r="AJ531"/>
  <c r="AH531"/>
  <c r="AF531"/>
  <c r="AD531"/>
  <c r="AB531"/>
  <c r="Z531"/>
  <c r="W531"/>
  <c r="S531"/>
  <c r="AV530"/>
  <c r="AT530"/>
  <c r="AR530"/>
  <c r="AP530"/>
  <c r="AN530"/>
  <c r="AL530"/>
  <c r="AJ530"/>
  <c r="AH530"/>
  <c r="AF530"/>
  <c r="AD530"/>
  <c r="AB530"/>
  <c r="Z530"/>
  <c r="W530"/>
  <c r="S530"/>
  <c r="AV529"/>
  <c r="AT529"/>
  <c r="AR529"/>
  <c r="AP529"/>
  <c r="AN529"/>
  <c r="AL529"/>
  <c r="AJ529"/>
  <c r="AH529"/>
  <c r="AF529"/>
  <c r="AD529"/>
  <c r="AB529"/>
  <c r="Z529"/>
  <c r="W529"/>
  <c r="S529"/>
  <c r="AV528"/>
  <c r="AT528"/>
  <c r="AR528"/>
  <c r="AP528"/>
  <c r="AN528"/>
  <c r="AL528"/>
  <c r="AJ528"/>
  <c r="AH528"/>
  <c r="AF528"/>
  <c r="AD528"/>
  <c r="AB528"/>
  <c r="Z528"/>
  <c r="W528"/>
  <c r="S528"/>
  <c r="AV527"/>
  <c r="AT527"/>
  <c r="AR527"/>
  <c r="AP527"/>
  <c r="AN527"/>
  <c r="AL527"/>
  <c r="AJ527"/>
  <c r="AH527"/>
  <c r="AF527"/>
  <c r="AD527"/>
  <c r="AB527"/>
  <c r="Z527"/>
  <c r="W527"/>
  <c r="S527"/>
  <c r="AV526"/>
  <c r="AT526"/>
  <c r="AR526"/>
  <c r="AP526"/>
  <c r="AN526"/>
  <c r="AL526"/>
  <c r="AJ526"/>
  <c r="AH526"/>
  <c r="AF526"/>
  <c r="AD526"/>
  <c r="AB526"/>
  <c r="Z526"/>
  <c r="W526"/>
  <c r="S526"/>
  <c r="AV525"/>
  <c r="AT525"/>
  <c r="AR525"/>
  <c r="AP525"/>
  <c r="AN525"/>
  <c r="AL525"/>
  <c r="AJ525"/>
  <c r="AH525"/>
  <c r="AF525"/>
  <c r="AD525"/>
  <c r="AB525"/>
  <c r="Z525"/>
  <c r="W525"/>
  <c r="S525"/>
  <c r="AV524"/>
  <c r="AT524"/>
  <c r="AR524"/>
  <c r="AP524"/>
  <c r="AN524"/>
  <c r="AL524"/>
  <c r="AJ524"/>
  <c r="AH524"/>
  <c r="AF524"/>
  <c r="AD524"/>
  <c r="AB524"/>
  <c r="Z524"/>
  <c r="W524"/>
  <c r="S524"/>
  <c r="AV523"/>
  <c r="AT523"/>
  <c r="AR523"/>
  <c r="AP523"/>
  <c r="AN523"/>
  <c r="AL523"/>
  <c r="AJ523"/>
  <c r="AH523"/>
  <c r="AF523"/>
  <c r="AD523"/>
  <c r="AB523"/>
  <c r="Z523"/>
  <c r="W523"/>
  <c r="S523"/>
  <c r="AV522"/>
  <c r="AT522"/>
  <c r="AR522"/>
  <c r="AP522"/>
  <c r="AN522"/>
  <c r="AL522"/>
  <c r="AJ522"/>
  <c r="AH522"/>
  <c r="AF522"/>
  <c r="AD522"/>
  <c r="AB522"/>
  <c r="Z522"/>
  <c r="W522"/>
  <c r="S522"/>
  <c r="AV521"/>
  <c r="AT521"/>
  <c r="AR521"/>
  <c r="AP521"/>
  <c r="AN521"/>
  <c r="AL521"/>
  <c r="AJ521"/>
  <c r="AH521"/>
  <c r="AF521"/>
  <c r="AD521"/>
  <c r="AB521"/>
  <c r="Z521"/>
  <c r="W521"/>
  <c r="S521"/>
  <c r="AV520"/>
  <c r="AT520"/>
  <c r="AR520"/>
  <c r="AP520"/>
  <c r="AN520"/>
  <c r="AL520"/>
  <c r="AJ520"/>
  <c r="AH520"/>
  <c r="AF520"/>
  <c r="AD520"/>
  <c r="AB520"/>
  <c r="Z520"/>
  <c r="W520"/>
  <c r="S520"/>
  <c r="AV519"/>
  <c r="AT519"/>
  <c r="AR519"/>
  <c r="AP519"/>
  <c r="AN519"/>
  <c r="AL519"/>
  <c r="AJ519"/>
  <c r="AH519"/>
  <c r="AF519"/>
  <c r="AD519"/>
  <c r="AB519"/>
  <c r="Z519"/>
  <c r="W519"/>
  <c r="S519"/>
  <c r="AV518"/>
  <c r="AT518"/>
  <c r="AR518"/>
  <c r="AP518"/>
  <c r="AN518"/>
  <c r="AL518"/>
  <c r="AJ518"/>
  <c r="AH518"/>
  <c r="AF518"/>
  <c r="AD518"/>
  <c r="AB518"/>
  <c r="Z518"/>
  <c r="W518"/>
  <c r="S518"/>
  <c r="AV517"/>
  <c r="AT517"/>
  <c r="AR517"/>
  <c r="AP517"/>
  <c r="AN517"/>
  <c r="AL517"/>
  <c r="AJ517"/>
  <c r="AH517"/>
  <c r="AF517"/>
  <c r="AD517"/>
  <c r="AB517"/>
  <c r="Z517"/>
  <c r="W517"/>
  <c r="S517"/>
  <c r="AV516"/>
  <c r="AT516"/>
  <c r="AR516"/>
  <c r="AP516"/>
  <c r="AN516"/>
  <c r="AL516"/>
  <c r="AJ516"/>
  <c r="AH516"/>
  <c r="AF516"/>
  <c r="AD516"/>
  <c r="AB516"/>
  <c r="Z516"/>
  <c r="W516"/>
  <c r="S516"/>
  <c r="AV515"/>
  <c r="AT515"/>
  <c r="AR515"/>
  <c r="AP515"/>
  <c r="AN515"/>
  <c r="AL515"/>
  <c r="AJ515"/>
  <c r="AH515"/>
  <c r="AF515"/>
  <c r="AD515"/>
  <c r="AB515"/>
  <c r="Z515"/>
  <c r="W515"/>
  <c r="S515"/>
  <c r="AV514"/>
  <c r="AT514"/>
  <c r="AR514"/>
  <c r="AP514"/>
  <c r="AN514"/>
  <c r="AL514"/>
  <c r="AJ514"/>
  <c r="AH514"/>
  <c r="AF514"/>
  <c r="AD514"/>
  <c r="AB514"/>
  <c r="Z514"/>
  <c r="W514"/>
  <c r="S514"/>
  <c r="AV513"/>
  <c r="AT513"/>
  <c r="AR513"/>
  <c r="AP513"/>
  <c r="AN513"/>
  <c r="AL513"/>
  <c r="AJ513"/>
  <c r="AH513"/>
  <c r="AF513"/>
  <c r="AD513"/>
  <c r="AB513"/>
  <c r="Z513"/>
  <c r="W513"/>
  <c r="S513"/>
  <c r="AV512"/>
  <c r="AT512"/>
  <c r="AR512"/>
  <c r="AP512"/>
  <c r="AN512"/>
  <c r="AL512"/>
  <c r="AJ512"/>
  <c r="AH512"/>
  <c r="AF512"/>
  <c r="AD512"/>
  <c r="AB512"/>
  <c r="Z512"/>
  <c r="W512"/>
  <c r="S512"/>
  <c r="AV511"/>
  <c r="AT511"/>
  <c r="AR511"/>
  <c r="AP511"/>
  <c r="AN511"/>
  <c r="AL511"/>
  <c r="AJ511"/>
  <c r="AH511"/>
  <c r="AF511"/>
  <c r="AD511"/>
  <c r="AB511"/>
  <c r="Z511"/>
  <c r="W511"/>
  <c r="S511"/>
  <c r="AV510"/>
  <c r="AT510"/>
  <c r="AR510"/>
  <c r="AP510"/>
  <c r="AN510"/>
  <c r="AL510"/>
  <c r="AJ510"/>
  <c r="AH510"/>
  <c r="AF510"/>
  <c r="AD510"/>
  <c r="AB510"/>
  <c r="Z510"/>
  <c r="W510"/>
  <c r="S510"/>
  <c r="AV509"/>
  <c r="AT509"/>
  <c r="AR509"/>
  <c r="AP509"/>
  <c r="AN509"/>
  <c r="AL509"/>
  <c r="AJ509"/>
  <c r="AH509"/>
  <c r="AF509"/>
  <c r="AD509"/>
  <c r="AB509"/>
  <c r="Z509"/>
  <c r="W509"/>
  <c r="S509"/>
  <c r="AV508"/>
  <c r="AT508"/>
  <c r="AS508"/>
  <c r="AR508"/>
  <c r="AP508"/>
  <c r="AN508"/>
  <c r="AL508"/>
  <c r="AJ508"/>
  <c r="AH508"/>
  <c r="AF508"/>
  <c r="AD508"/>
  <c r="AB508"/>
  <c r="Z508"/>
  <c r="X508"/>
  <c r="W508"/>
  <c r="V508"/>
  <c r="S508"/>
  <c r="AV507"/>
  <c r="AT507"/>
  <c r="AR507"/>
  <c r="AP507"/>
  <c r="AN507"/>
  <c r="AL507"/>
  <c r="AJ507"/>
  <c r="AH507"/>
  <c r="AF507"/>
  <c r="AD507"/>
  <c r="AB507"/>
  <c r="Z507"/>
  <c r="X507"/>
  <c r="W507"/>
  <c r="V507"/>
  <c r="S507"/>
  <c r="AV506"/>
  <c r="AT506"/>
  <c r="AR506"/>
  <c r="AP506"/>
  <c r="AN506"/>
  <c r="AL506"/>
  <c r="AJ506"/>
  <c r="AH506"/>
  <c r="AF506"/>
  <c r="AD506"/>
  <c r="AB506"/>
  <c r="Z506"/>
  <c r="X506"/>
  <c r="W506"/>
  <c r="V506"/>
  <c r="S506"/>
  <c r="AV505"/>
  <c r="AS505"/>
  <c r="AT505" s="1"/>
  <c r="AR505"/>
  <c r="AP505"/>
  <c r="AN505"/>
  <c r="AL505"/>
  <c r="AJ505"/>
  <c r="AH505"/>
  <c r="AF505"/>
  <c r="AD505"/>
  <c r="AB505"/>
  <c r="Z505"/>
  <c r="W505"/>
  <c r="S505"/>
  <c r="AV504"/>
  <c r="AT504"/>
  <c r="AR504"/>
  <c r="AP504"/>
  <c r="AN504"/>
  <c r="AL504"/>
  <c r="AJ504"/>
  <c r="AH504"/>
  <c r="AF504"/>
  <c r="AD504"/>
  <c r="AB504"/>
  <c r="Z504"/>
  <c r="W504"/>
  <c r="S504"/>
  <c r="AV503"/>
  <c r="AT503"/>
  <c r="AR503"/>
  <c r="AP503"/>
  <c r="AN503"/>
  <c r="AL503"/>
  <c r="AJ503"/>
  <c r="AH503"/>
  <c r="AF503"/>
  <c r="AD503"/>
  <c r="AB503"/>
  <c r="Z503"/>
  <c r="W503"/>
  <c r="S503"/>
  <c r="AV502"/>
  <c r="AT502"/>
  <c r="AR502"/>
  <c r="AP502"/>
  <c r="AN502"/>
  <c r="AL502"/>
  <c r="AJ502"/>
  <c r="AH502"/>
  <c r="AF502"/>
  <c r="AD502"/>
  <c r="AB502"/>
  <c r="Z502"/>
  <c r="W502"/>
  <c r="S502"/>
  <c r="AV501"/>
  <c r="AT501"/>
  <c r="AR501"/>
  <c r="AP501"/>
  <c r="AN501"/>
  <c r="AL501"/>
  <c r="AJ501"/>
  <c r="AH501"/>
  <c r="AF501"/>
  <c r="AD501"/>
  <c r="AB501"/>
  <c r="Z501"/>
  <c r="W501"/>
  <c r="S501"/>
  <c r="AV500"/>
  <c r="AT500"/>
  <c r="AR500"/>
  <c r="AP500"/>
  <c r="AN500"/>
  <c r="AL500"/>
  <c r="AJ500"/>
  <c r="AH500"/>
  <c r="AF500"/>
  <c r="AD500"/>
  <c r="AB500"/>
  <c r="Z500"/>
  <c r="W500"/>
  <c r="S500"/>
  <c r="AV499"/>
  <c r="AT499"/>
  <c r="AR499"/>
  <c r="AP499"/>
  <c r="AN499"/>
  <c r="AL499"/>
  <c r="AJ499"/>
  <c r="AH499"/>
  <c r="AF499"/>
  <c r="AD499"/>
  <c r="AB499"/>
  <c r="Z499"/>
  <c r="W499"/>
  <c r="S499"/>
  <c r="AV498"/>
  <c r="AT498"/>
  <c r="AS498"/>
  <c r="AR498"/>
  <c r="AP498"/>
  <c r="AN498"/>
  <c r="AL498"/>
  <c r="AJ498"/>
  <c r="AH498"/>
  <c r="AF498"/>
  <c r="AD498"/>
  <c r="AB498"/>
  <c r="Z498"/>
  <c r="X498"/>
  <c r="W498"/>
  <c r="V498"/>
  <c r="S498"/>
  <c r="AV497"/>
  <c r="AT497"/>
  <c r="AR497"/>
  <c r="AP497"/>
  <c r="AN497"/>
  <c r="AL497"/>
  <c r="AJ497"/>
  <c r="AH497"/>
  <c r="AF497"/>
  <c r="AD497"/>
  <c r="AB497"/>
  <c r="Z497"/>
  <c r="X497"/>
  <c r="W497"/>
  <c r="V497"/>
  <c r="S497"/>
  <c r="AV496"/>
  <c r="AS496"/>
  <c r="AR496"/>
  <c r="AP496"/>
  <c r="AN496"/>
  <c r="AL496"/>
  <c r="AJ496"/>
  <c r="AH496"/>
  <c r="AF496"/>
  <c r="AD496"/>
  <c r="AB496"/>
  <c r="Z496"/>
  <c r="S496"/>
  <c r="AV495"/>
  <c r="AT495"/>
  <c r="AR495"/>
  <c r="AP495"/>
  <c r="AN495"/>
  <c r="AL495"/>
  <c r="AJ495"/>
  <c r="AH495"/>
  <c r="AF495"/>
  <c r="AD495"/>
  <c r="AB495"/>
  <c r="Z495"/>
  <c r="W495"/>
  <c r="S495"/>
  <c r="AV494"/>
  <c r="AT494"/>
  <c r="AR494"/>
  <c r="AP494"/>
  <c r="AN494"/>
  <c r="AL494"/>
  <c r="AJ494"/>
  <c r="AH494"/>
  <c r="AF494"/>
  <c r="AD494"/>
  <c r="AB494"/>
  <c r="Z494"/>
  <c r="W494"/>
  <c r="S494"/>
  <c r="AV493"/>
  <c r="AT493"/>
  <c r="AR493"/>
  <c r="AP493"/>
  <c r="AN493"/>
  <c r="AL493"/>
  <c r="AJ493"/>
  <c r="AH493"/>
  <c r="AF493"/>
  <c r="AD493"/>
  <c r="AB493"/>
  <c r="Z493"/>
  <c r="W493"/>
  <c r="S493"/>
  <c r="AV492"/>
  <c r="AT492"/>
  <c r="AR492"/>
  <c r="AP492"/>
  <c r="AN492"/>
  <c r="AL492"/>
  <c r="AJ492"/>
  <c r="AH492"/>
  <c r="AF492"/>
  <c r="AD492"/>
  <c r="AB492"/>
  <c r="Z492"/>
  <c r="W492"/>
  <c r="S492"/>
  <c r="AV491"/>
  <c r="AT491"/>
  <c r="AR491"/>
  <c r="AP491"/>
  <c r="AN491"/>
  <c r="AL491"/>
  <c r="AJ491"/>
  <c r="AH491"/>
  <c r="AF491"/>
  <c r="AD491"/>
  <c r="AB491"/>
  <c r="Z491"/>
  <c r="W491"/>
  <c r="S491"/>
  <c r="AV490"/>
  <c r="AT490"/>
  <c r="AR490"/>
  <c r="AP490"/>
  <c r="AN490"/>
  <c r="AL490"/>
  <c r="AJ490"/>
  <c r="AH490"/>
  <c r="AF490"/>
  <c r="AD490"/>
  <c r="AB490"/>
  <c r="Z490"/>
  <c r="W490"/>
  <c r="S490"/>
  <c r="AV489"/>
  <c r="AT489"/>
  <c r="AR489"/>
  <c r="AP489"/>
  <c r="AN489"/>
  <c r="AL489"/>
  <c r="AJ489"/>
  <c r="AH489"/>
  <c r="AF489"/>
  <c r="AD489"/>
  <c r="AB489"/>
  <c r="Z489"/>
  <c r="W489"/>
  <c r="S489"/>
  <c r="AV488"/>
  <c r="AT488"/>
  <c r="AR488"/>
  <c r="AP488"/>
  <c r="AN488"/>
  <c r="AL488"/>
  <c r="AJ488"/>
  <c r="AH488"/>
  <c r="AF488"/>
  <c r="AD488"/>
  <c r="AB488"/>
  <c r="Z488"/>
  <c r="W488"/>
  <c r="S488"/>
  <c r="AV487"/>
  <c r="AT487"/>
  <c r="AR487"/>
  <c r="AP487"/>
  <c r="AN487"/>
  <c r="AL487"/>
  <c r="AB487"/>
  <c r="Z487"/>
  <c r="W487"/>
  <c r="S487"/>
  <c r="AV486"/>
  <c r="AT486"/>
  <c r="AR486"/>
  <c r="AP486"/>
  <c r="AN486"/>
  <c r="AL486"/>
  <c r="AJ486"/>
  <c r="AH486"/>
  <c r="AF486"/>
  <c r="AD486"/>
  <c r="AB486"/>
  <c r="Z486"/>
  <c r="W486"/>
  <c r="S486"/>
  <c r="AV485"/>
  <c r="AT485"/>
  <c r="AR485"/>
  <c r="AP485"/>
  <c r="AN485"/>
  <c r="AL485"/>
  <c r="AJ485"/>
  <c r="AH485"/>
  <c r="AF485"/>
  <c r="AD485"/>
  <c r="AB485"/>
  <c r="Z485"/>
  <c r="W485"/>
  <c r="S485"/>
  <c r="AV484"/>
  <c r="AT484"/>
  <c r="AR484"/>
  <c r="AP484"/>
  <c r="AN484"/>
  <c r="AL484"/>
  <c r="AJ484"/>
  <c r="AH484"/>
  <c r="AF484"/>
  <c r="AD484"/>
  <c r="AB484"/>
  <c r="Z484"/>
  <c r="W484"/>
  <c r="S484"/>
  <c r="AV483"/>
  <c r="AT483"/>
  <c r="AR483"/>
  <c r="AP483"/>
  <c r="AN483"/>
  <c r="AL483"/>
  <c r="AJ483"/>
  <c r="AH483"/>
  <c r="AF483"/>
  <c r="AD483"/>
  <c r="AB483"/>
  <c r="Z483"/>
  <c r="W483"/>
  <c r="S483"/>
  <c r="AV482"/>
  <c r="AT482"/>
  <c r="AR482"/>
  <c r="AP482"/>
  <c r="AN482"/>
  <c r="AL482"/>
  <c r="AJ482"/>
  <c r="AH482"/>
  <c r="AF482"/>
  <c r="AD482"/>
  <c r="AB482"/>
  <c r="Z482"/>
  <c r="X482"/>
  <c r="W482"/>
  <c r="V482"/>
  <c r="S482"/>
  <c r="AV481"/>
  <c r="AT481"/>
  <c r="AR481"/>
  <c r="AP481"/>
  <c r="AN481"/>
  <c r="AL481"/>
  <c r="AJ481"/>
  <c r="AH481"/>
  <c r="AF481"/>
  <c r="AD481"/>
  <c r="AB481"/>
  <c r="Z481"/>
  <c r="X481"/>
  <c r="W481"/>
  <c r="V481"/>
  <c r="S481"/>
  <c r="AV480"/>
  <c r="AT480"/>
  <c r="AR480"/>
  <c r="AP480"/>
  <c r="AN480"/>
  <c r="AL480"/>
  <c r="AJ480"/>
  <c r="AH480"/>
  <c r="AF480"/>
  <c r="AD480"/>
  <c r="AB480"/>
  <c r="Z480"/>
  <c r="X480"/>
  <c r="W480"/>
  <c r="V480"/>
  <c r="S480"/>
  <c r="AV479"/>
  <c r="AT479"/>
  <c r="AR479"/>
  <c r="AP479"/>
  <c r="AN479"/>
  <c r="AL479"/>
  <c r="AJ479"/>
  <c r="AH479"/>
  <c r="AF479"/>
  <c r="AD479"/>
  <c r="AB479"/>
  <c r="Z479"/>
  <c r="X479"/>
  <c r="W479"/>
  <c r="V479"/>
  <c r="S479"/>
  <c r="AV478"/>
  <c r="AT478"/>
  <c r="AR478"/>
  <c r="AP478"/>
  <c r="AN478"/>
  <c r="AL478"/>
  <c r="AJ478"/>
  <c r="AH478"/>
  <c r="AF478"/>
  <c r="AD478"/>
  <c r="AB478"/>
  <c r="Z478"/>
  <c r="X478"/>
  <c r="W478"/>
  <c r="V478"/>
  <c r="S478"/>
  <c r="AV477"/>
  <c r="AT477"/>
  <c r="AR477"/>
  <c r="AP477"/>
  <c r="AN477"/>
  <c r="AL477"/>
  <c r="AJ477"/>
  <c r="AH477"/>
  <c r="AF477"/>
  <c r="AD477"/>
  <c r="AB477"/>
  <c r="Z477"/>
  <c r="X477"/>
  <c r="W477"/>
  <c r="V477"/>
  <c r="S477"/>
  <c r="AV476"/>
  <c r="AT476"/>
  <c r="AR476"/>
  <c r="AP476"/>
  <c r="AN476"/>
  <c r="AL476"/>
  <c r="AJ476"/>
  <c r="AH476"/>
  <c r="AF476"/>
  <c r="AD476"/>
  <c r="AB476"/>
  <c r="Z476"/>
  <c r="X476"/>
  <c r="W476"/>
  <c r="V476"/>
  <c r="S476"/>
  <c r="AV475"/>
  <c r="AT475"/>
  <c r="AR475"/>
  <c r="AP475"/>
  <c r="AN475"/>
  <c r="AL475"/>
  <c r="AJ475"/>
  <c r="AH475"/>
  <c r="AF475"/>
  <c r="AD475"/>
  <c r="AB475"/>
  <c r="Z475"/>
  <c r="W475"/>
  <c r="X475" s="1"/>
  <c r="S475"/>
  <c r="AV474"/>
  <c r="AT474"/>
  <c r="AR474"/>
  <c r="AP474"/>
  <c r="AN474"/>
  <c r="AL474"/>
  <c r="AJ474"/>
  <c r="AH474"/>
  <c r="AF474"/>
  <c r="AD474"/>
  <c r="AB474"/>
  <c r="Z474"/>
  <c r="W474"/>
  <c r="X474" s="1"/>
  <c r="S474"/>
  <c r="AV473"/>
  <c r="AT473"/>
  <c r="AR473"/>
  <c r="AP473"/>
  <c r="AN473"/>
  <c r="AL473"/>
  <c r="AJ473"/>
  <c r="AH473"/>
  <c r="AF473"/>
  <c r="AD473"/>
  <c r="AB473"/>
  <c r="Z473"/>
  <c r="W473"/>
  <c r="X473" s="1"/>
  <c r="S473"/>
  <c r="AV472"/>
  <c r="AT472"/>
  <c r="AR472"/>
  <c r="AP472"/>
  <c r="AN472"/>
  <c r="AL472"/>
  <c r="AJ472"/>
  <c r="AH472"/>
  <c r="AF472"/>
  <c r="AD472"/>
  <c r="AB472"/>
  <c r="Z472"/>
  <c r="W472"/>
  <c r="X472" s="1"/>
  <c r="S472"/>
  <c r="AV471"/>
  <c r="AT471"/>
  <c r="AR471"/>
  <c r="AP471"/>
  <c r="AN471"/>
  <c r="AL471"/>
  <c r="AJ471"/>
  <c r="AH471"/>
  <c r="AF471"/>
  <c r="AD471"/>
  <c r="AB471"/>
  <c r="Z471"/>
  <c r="W471"/>
  <c r="X471" s="1"/>
  <c r="S471"/>
  <c r="AV470"/>
  <c r="AT470"/>
  <c r="AR470"/>
  <c r="AP470"/>
  <c r="AN470"/>
  <c r="AL470"/>
  <c r="AJ470"/>
  <c r="AH470"/>
  <c r="AF470"/>
  <c r="AD470"/>
  <c r="AB470"/>
  <c r="Z470"/>
  <c r="W470"/>
  <c r="X470" s="1"/>
  <c r="S470"/>
  <c r="AV469"/>
  <c r="AT469"/>
  <c r="AR469"/>
  <c r="AP469"/>
  <c r="AN469"/>
  <c r="AL469"/>
  <c r="AJ469"/>
  <c r="AH469"/>
  <c r="AF469"/>
  <c r="AD469"/>
  <c r="AB469"/>
  <c r="Z469"/>
  <c r="W469"/>
  <c r="X469" s="1"/>
  <c r="S469"/>
  <c r="AV468"/>
  <c r="AT468"/>
  <c r="AR468"/>
  <c r="AP468"/>
  <c r="AN468"/>
  <c r="AL468"/>
  <c r="AJ468"/>
  <c r="AH468"/>
  <c r="AF468"/>
  <c r="AD468"/>
  <c r="AB468"/>
  <c r="Z468"/>
  <c r="W468"/>
  <c r="X468" s="1"/>
  <c r="S468"/>
  <c r="AV467"/>
  <c r="AT467"/>
  <c r="AR467"/>
  <c r="AP467"/>
  <c r="AN467"/>
  <c r="AL467"/>
  <c r="AJ467"/>
  <c r="AH467"/>
  <c r="AF467"/>
  <c r="AD467"/>
  <c r="AB467"/>
  <c r="Z467"/>
  <c r="W467"/>
  <c r="X467" s="1"/>
  <c r="S467"/>
  <c r="AV466"/>
  <c r="AT466"/>
  <c r="AR466"/>
  <c r="AP466"/>
  <c r="AN466"/>
  <c r="AL466"/>
  <c r="AJ466"/>
  <c r="AH466"/>
  <c r="AF466"/>
  <c r="AD466"/>
  <c r="AB466"/>
  <c r="Z466"/>
  <c r="W466"/>
  <c r="X466" s="1"/>
  <c r="S466"/>
  <c r="AV465"/>
  <c r="AT465"/>
  <c r="AR465"/>
  <c r="AP465"/>
  <c r="AN465"/>
  <c r="AL465"/>
  <c r="AJ465"/>
  <c r="AH465"/>
  <c r="AF465"/>
  <c r="AD465"/>
  <c r="AB465"/>
  <c r="Z465"/>
  <c r="W465"/>
  <c r="X465" s="1"/>
  <c r="S465"/>
  <c r="AV464"/>
  <c r="AT464"/>
  <c r="AR464"/>
  <c r="AP464"/>
  <c r="AN464"/>
  <c r="AL464"/>
  <c r="AJ464"/>
  <c r="AH464"/>
  <c r="AF464"/>
  <c r="AD464"/>
  <c r="AB464"/>
  <c r="Z464"/>
  <c r="W464"/>
  <c r="X464" s="1"/>
  <c r="S464"/>
  <c r="AV463"/>
  <c r="AT463"/>
  <c r="AR463"/>
  <c r="AP463"/>
  <c r="AN463"/>
  <c r="AL463"/>
  <c r="AJ463"/>
  <c r="AH463"/>
  <c r="AF463"/>
  <c r="AD463"/>
  <c r="AB463"/>
  <c r="Z463"/>
  <c r="W463"/>
  <c r="X463" s="1"/>
  <c r="S463"/>
  <c r="AV462"/>
  <c r="AT462"/>
  <c r="AR462"/>
  <c r="AP462"/>
  <c r="AN462"/>
  <c r="AL462"/>
  <c r="AJ462"/>
  <c r="AH462"/>
  <c r="AF462"/>
  <c r="AD462"/>
  <c r="AB462"/>
  <c r="Z462"/>
  <c r="W462"/>
  <c r="X462" s="1"/>
  <c r="S462"/>
  <c r="AV461"/>
  <c r="AT461"/>
  <c r="AR461"/>
  <c r="AP461"/>
  <c r="AN461"/>
  <c r="AL461"/>
  <c r="AJ461"/>
  <c r="AH461"/>
  <c r="AF461"/>
  <c r="AD461"/>
  <c r="AB461"/>
  <c r="Z461"/>
  <c r="W461"/>
  <c r="X461" s="1"/>
  <c r="S461"/>
  <c r="AV460"/>
  <c r="AT460"/>
  <c r="AS460"/>
  <c r="AR460"/>
  <c r="AP460"/>
  <c r="AN460"/>
  <c r="AL460"/>
  <c r="AB460"/>
  <c r="Z460"/>
  <c r="X460"/>
  <c r="W460"/>
  <c r="V460"/>
  <c r="S460"/>
  <c r="AV459"/>
  <c r="AT459"/>
  <c r="AR459"/>
  <c r="AP459"/>
  <c r="AN459"/>
  <c r="AL459"/>
  <c r="AB459"/>
  <c r="Z459"/>
  <c r="X459"/>
  <c r="W459"/>
  <c r="V459"/>
  <c r="S459"/>
  <c r="AV458"/>
  <c r="AT458"/>
  <c r="AR458"/>
  <c r="AP458"/>
  <c r="AN458"/>
  <c r="AL458"/>
  <c r="AB458"/>
  <c r="Z458"/>
  <c r="X458"/>
  <c r="W458"/>
  <c r="V458"/>
  <c r="S458"/>
  <c r="AV457"/>
  <c r="AT457"/>
  <c r="AR457"/>
  <c r="AP457"/>
  <c r="AN457"/>
  <c r="AL457"/>
  <c r="AB457"/>
  <c r="Z457"/>
  <c r="X457"/>
  <c r="W457"/>
  <c r="V457"/>
  <c r="S457"/>
  <c r="AV456"/>
  <c r="AT456"/>
  <c r="AR456"/>
  <c r="AP456"/>
  <c r="AN456"/>
  <c r="AL456"/>
  <c r="AB456"/>
  <c r="Z456"/>
  <c r="X456"/>
  <c r="W456"/>
  <c r="V456"/>
  <c r="S456"/>
  <c r="AV455"/>
  <c r="AT455"/>
  <c r="AR455"/>
  <c r="AP455"/>
  <c r="AN455"/>
  <c r="AL455"/>
  <c r="AB455"/>
  <c r="Z455"/>
  <c r="X455"/>
  <c r="W455"/>
  <c r="V455"/>
  <c r="S455"/>
  <c r="AV454"/>
  <c r="AT454"/>
  <c r="AR454"/>
  <c r="AP454"/>
  <c r="AN454"/>
  <c r="AL454"/>
  <c r="AB454"/>
  <c r="Z454"/>
  <c r="X454"/>
  <c r="W454"/>
  <c r="V454"/>
  <c r="S454"/>
  <c r="AV453"/>
  <c r="AT453"/>
  <c r="AR453"/>
  <c r="AP453"/>
  <c r="AN453"/>
  <c r="AL453"/>
  <c r="AB453"/>
  <c r="Z453"/>
  <c r="X453"/>
  <c r="W453"/>
  <c r="V453"/>
  <c r="S453"/>
  <c r="AV452"/>
  <c r="AT452"/>
  <c r="AR452"/>
  <c r="AP452"/>
  <c r="AN452"/>
  <c r="AL452"/>
  <c r="AJ452"/>
  <c r="AH452"/>
  <c r="AF452"/>
  <c r="AD452"/>
  <c r="AB452"/>
  <c r="Z452"/>
  <c r="X452"/>
  <c r="W452"/>
  <c r="V452"/>
  <c r="S452"/>
  <c r="AV451"/>
  <c r="AT451"/>
  <c r="AR451"/>
  <c r="AQ451"/>
  <c r="AQ932" s="1"/>
  <c r="AP451"/>
  <c r="AN451"/>
  <c r="AL451"/>
  <c r="AJ451"/>
  <c r="AH451"/>
  <c r="AF451"/>
  <c r="AD451"/>
  <c r="AB451"/>
  <c r="Z451"/>
  <c r="W451"/>
  <c r="X451" s="1"/>
  <c r="S451"/>
  <c r="AV450"/>
  <c r="AT450"/>
  <c r="AR450"/>
  <c r="AP450"/>
  <c r="AN450"/>
  <c r="AL450"/>
  <c r="AJ450"/>
  <c r="AH450"/>
  <c r="AF450"/>
  <c r="AD450"/>
  <c r="AB450"/>
  <c r="Z450"/>
  <c r="W450"/>
  <c r="X450" s="1"/>
  <c r="S450"/>
  <c r="AV449"/>
  <c r="AT449"/>
  <c r="AR449"/>
  <c r="AP449"/>
  <c r="AN449"/>
  <c r="AL449"/>
  <c r="AJ449"/>
  <c r="AH449"/>
  <c r="AF449"/>
  <c r="AD449"/>
  <c r="AB449"/>
  <c r="Z449"/>
  <c r="W449"/>
  <c r="X449" s="1"/>
  <c r="S449"/>
  <c r="AV448"/>
  <c r="AT448"/>
  <c r="AR448"/>
  <c r="AP448"/>
  <c r="AN448"/>
  <c r="AL448"/>
  <c r="AJ448"/>
  <c r="AH448"/>
  <c r="AF448"/>
  <c r="AD448"/>
  <c r="AB448"/>
  <c r="Z448"/>
  <c r="W448"/>
  <c r="X448" s="1"/>
  <c r="S448"/>
  <c r="AV447"/>
  <c r="AT447"/>
  <c r="AR447"/>
  <c r="AP447"/>
  <c r="AN447"/>
  <c r="AL447"/>
  <c r="AJ447"/>
  <c r="AH447"/>
  <c r="AF447"/>
  <c r="AD447"/>
  <c r="AB447"/>
  <c r="Z447"/>
  <c r="W447"/>
  <c r="X447" s="1"/>
  <c r="S447"/>
  <c r="AV446"/>
  <c r="AT446"/>
  <c r="AR446"/>
  <c r="AP446"/>
  <c r="AN446"/>
  <c r="AL446"/>
  <c r="AJ446"/>
  <c r="AH446"/>
  <c r="AF446"/>
  <c r="AD446"/>
  <c r="AB446"/>
  <c r="Z446"/>
  <c r="W446"/>
  <c r="X446" s="1"/>
  <c r="S446"/>
  <c r="AV445"/>
  <c r="AT445"/>
  <c r="AR445"/>
  <c r="AP445"/>
  <c r="AN445"/>
  <c r="AL445"/>
  <c r="AJ445"/>
  <c r="AH445"/>
  <c r="AF445"/>
  <c r="AD445"/>
  <c r="AB445"/>
  <c r="Z445"/>
  <c r="W445"/>
  <c r="X445" s="1"/>
  <c r="S445"/>
  <c r="AV444"/>
  <c r="AT444"/>
  <c r="AR444"/>
  <c r="AP444"/>
  <c r="AN444"/>
  <c r="AL444"/>
  <c r="AJ444"/>
  <c r="AH444"/>
  <c r="AF444"/>
  <c r="AD444"/>
  <c r="AB444"/>
  <c r="Z444"/>
  <c r="W444"/>
  <c r="X444" s="1"/>
  <c r="S444"/>
  <c r="AV443"/>
  <c r="AT443"/>
  <c r="AR443"/>
  <c r="AP443"/>
  <c r="AN443"/>
  <c r="AL443"/>
  <c r="AJ443"/>
  <c r="AH443"/>
  <c r="AF443"/>
  <c r="AD443"/>
  <c r="AB443"/>
  <c r="Z443"/>
  <c r="W443"/>
  <c r="X443" s="1"/>
  <c r="S443"/>
  <c r="AV442"/>
  <c r="AT442"/>
  <c r="AR442"/>
  <c r="AP442"/>
  <c r="AN442"/>
  <c r="AL442"/>
  <c r="AJ442"/>
  <c r="AH442"/>
  <c r="AF442"/>
  <c r="AD442"/>
  <c r="AB442"/>
  <c r="Z442"/>
  <c r="W442"/>
  <c r="X442" s="1"/>
  <c r="S442"/>
  <c r="AV441"/>
  <c r="AT441"/>
  <c r="AR441"/>
  <c r="AP441"/>
  <c r="AN441"/>
  <c r="AL441"/>
  <c r="AJ441"/>
  <c r="AH441"/>
  <c r="AF441"/>
  <c r="AD441"/>
  <c r="AA441"/>
  <c r="AB441" s="1"/>
  <c r="Z441"/>
  <c r="S441"/>
  <c r="AV440"/>
  <c r="AT440"/>
  <c r="AR440"/>
  <c r="AP440"/>
  <c r="AN440"/>
  <c r="AL440"/>
  <c r="AJ440"/>
  <c r="AH440"/>
  <c r="AF440"/>
  <c r="AD440"/>
  <c r="AB440"/>
  <c r="Z440"/>
  <c r="X440"/>
  <c r="W440"/>
  <c r="V440"/>
  <c r="S440"/>
  <c r="AV439"/>
  <c r="AT439"/>
  <c r="AR439"/>
  <c r="AP439"/>
  <c r="AN439"/>
  <c r="AL439"/>
  <c r="AJ439"/>
  <c r="AH439"/>
  <c r="AF439"/>
  <c r="AD439"/>
  <c r="AB439"/>
  <c r="Z439"/>
  <c r="X439"/>
  <c r="W439"/>
  <c r="V439"/>
  <c r="S439"/>
  <c r="AV438"/>
  <c r="AS438"/>
  <c r="AT438" s="1"/>
  <c r="AR438"/>
  <c r="AP438"/>
  <c r="AN438"/>
  <c r="AL438"/>
  <c r="AJ438"/>
  <c r="AH438"/>
  <c r="AF438"/>
  <c r="AD438"/>
  <c r="AB438"/>
  <c r="Z438"/>
  <c r="W438"/>
  <c r="X438" s="1"/>
  <c r="S438"/>
  <c r="AV437"/>
  <c r="AT437"/>
  <c r="AR437"/>
  <c r="AP437"/>
  <c r="AN437"/>
  <c r="AL437"/>
  <c r="AJ437"/>
  <c r="AH437"/>
  <c r="AF437"/>
  <c r="AD437"/>
  <c r="AB437"/>
  <c r="Z437"/>
  <c r="W437"/>
  <c r="X437" s="1"/>
  <c r="S437"/>
  <c r="AV436"/>
  <c r="AT436"/>
  <c r="AR436"/>
  <c r="AP436"/>
  <c r="AN436"/>
  <c r="AL436"/>
  <c r="AJ436"/>
  <c r="AH436"/>
  <c r="AF436"/>
  <c r="AD436"/>
  <c r="AB436"/>
  <c r="Z436"/>
  <c r="W436"/>
  <c r="X436" s="1"/>
  <c r="S436"/>
  <c r="AV435"/>
  <c r="AT435"/>
  <c r="AR435"/>
  <c r="AP435"/>
  <c r="AN435"/>
  <c r="AL435"/>
  <c r="AB435"/>
  <c r="Z435"/>
  <c r="W435"/>
  <c r="X435" s="1"/>
  <c r="S435"/>
  <c r="AV434"/>
  <c r="AT434"/>
  <c r="AR434"/>
  <c r="AP434"/>
  <c r="AN434"/>
  <c r="AL434"/>
  <c r="AB434"/>
  <c r="Z434"/>
  <c r="W434"/>
  <c r="X434" s="1"/>
  <c r="S434"/>
  <c r="AV433"/>
  <c r="AT433"/>
  <c r="AR433"/>
  <c r="AP433"/>
  <c r="AN433"/>
  <c r="AL433"/>
  <c r="AJ433"/>
  <c r="AH433"/>
  <c r="AF433"/>
  <c r="AD433"/>
  <c r="AB433"/>
  <c r="Z433"/>
  <c r="W433"/>
  <c r="X433" s="1"/>
  <c r="S433"/>
  <c r="AV432"/>
  <c r="AT432"/>
  <c r="AR432"/>
  <c r="AP432"/>
  <c r="AN432"/>
  <c r="AL432"/>
  <c r="AJ432"/>
  <c r="AH432"/>
  <c r="AF432"/>
  <c r="AD432"/>
  <c r="AB432"/>
  <c r="Z432"/>
  <c r="W432"/>
  <c r="X432" s="1"/>
  <c r="S432"/>
  <c r="AV431"/>
  <c r="AT431"/>
  <c r="AR431"/>
  <c r="AP431"/>
  <c r="AN431"/>
  <c r="AL431"/>
  <c r="AJ431"/>
  <c r="AH431"/>
  <c r="AF431"/>
  <c r="AD431"/>
  <c r="AB431"/>
  <c r="Z431"/>
  <c r="W431"/>
  <c r="X431" s="1"/>
  <c r="S431"/>
  <c r="AV430"/>
  <c r="AT430"/>
  <c r="AR430"/>
  <c r="AP430"/>
  <c r="AN430"/>
  <c r="AL430"/>
  <c r="AJ430"/>
  <c r="AH430"/>
  <c r="AF430"/>
  <c r="AD430"/>
  <c r="AB430"/>
  <c r="Z430"/>
  <c r="W430"/>
  <c r="X430" s="1"/>
  <c r="S430"/>
  <c r="AV429"/>
  <c r="AT429"/>
  <c r="AR429"/>
  <c r="AP429"/>
  <c r="AN429"/>
  <c r="AL429"/>
  <c r="AJ429"/>
  <c r="AH429"/>
  <c r="AF429"/>
  <c r="AD429"/>
  <c r="AB429"/>
  <c r="Z429"/>
  <c r="W429"/>
  <c r="X429" s="1"/>
  <c r="S429"/>
  <c r="AV428"/>
  <c r="AT428"/>
  <c r="AR428"/>
  <c r="AP428"/>
  <c r="AN428"/>
  <c r="AL428"/>
  <c r="AJ428"/>
  <c r="AH428"/>
  <c r="AF428"/>
  <c r="AD428"/>
  <c r="AB428"/>
  <c r="Z428"/>
  <c r="W428"/>
  <c r="X428" s="1"/>
  <c r="S428"/>
  <c r="AV427"/>
  <c r="AT427"/>
  <c r="AR427"/>
  <c r="AP427"/>
  <c r="AN427"/>
  <c r="AL427"/>
  <c r="AJ427"/>
  <c r="AH427"/>
  <c r="AF427"/>
  <c r="AD427"/>
  <c r="AB427"/>
  <c r="Z427"/>
  <c r="W427"/>
  <c r="X427" s="1"/>
  <c r="S427"/>
  <c r="AV426"/>
  <c r="AT426"/>
  <c r="AR426"/>
  <c r="AP426"/>
  <c r="AN426"/>
  <c r="AL426"/>
  <c r="AJ426"/>
  <c r="AH426"/>
  <c r="AF426"/>
  <c r="AD426"/>
  <c r="AB426"/>
  <c r="Z426"/>
  <c r="W426"/>
  <c r="X426" s="1"/>
  <c r="S426"/>
  <c r="AV425"/>
  <c r="AT425"/>
  <c r="AR425"/>
  <c r="AP425"/>
  <c r="AN425"/>
  <c r="AL425"/>
  <c r="AJ425"/>
  <c r="AH425"/>
  <c r="AF425"/>
  <c r="AD425"/>
  <c r="AB425"/>
  <c r="Z425"/>
  <c r="W425"/>
  <c r="X425" s="1"/>
  <c r="S425"/>
  <c r="AV424"/>
  <c r="AT424"/>
  <c r="AR424"/>
  <c r="AP424"/>
  <c r="AN424"/>
  <c r="AL424"/>
  <c r="AJ424"/>
  <c r="AH424"/>
  <c r="AG424"/>
  <c r="AF424"/>
  <c r="AD424"/>
  <c r="AB424"/>
  <c r="Z424"/>
  <c r="X424"/>
  <c r="W424"/>
  <c r="V424"/>
  <c r="S424"/>
  <c r="AV423"/>
  <c r="AT423"/>
  <c r="AR423"/>
  <c r="AP423"/>
  <c r="AN423"/>
  <c r="AL423"/>
  <c r="AJ423"/>
  <c r="AH423"/>
  <c r="AF423"/>
  <c r="AD423"/>
  <c r="AB423"/>
  <c r="Z423"/>
  <c r="X423"/>
  <c r="W423"/>
  <c r="V423"/>
  <c r="S423"/>
  <c r="AV422"/>
  <c r="AT422"/>
  <c r="AR422"/>
  <c r="AP422"/>
  <c r="AN422"/>
  <c r="AL422"/>
  <c r="AJ422"/>
  <c r="AH422"/>
  <c r="AF422"/>
  <c r="AD422"/>
  <c r="AB422"/>
  <c r="Z422"/>
  <c r="X422"/>
  <c r="W422"/>
  <c r="V422"/>
  <c r="S422"/>
  <c r="AV421"/>
  <c r="AT421"/>
  <c r="AR421"/>
  <c r="AP421"/>
  <c r="AN421"/>
  <c r="AL421"/>
  <c r="AJ421"/>
  <c r="AH421"/>
  <c r="AF421"/>
  <c r="AD421"/>
  <c r="AB421"/>
  <c r="Z421"/>
  <c r="X421"/>
  <c r="W421"/>
  <c r="V421"/>
  <c r="S421"/>
  <c r="AV420"/>
  <c r="AT420"/>
  <c r="AR420"/>
  <c r="AP420"/>
  <c r="AN420"/>
  <c r="AL420"/>
  <c r="AJ420"/>
  <c r="AH420"/>
  <c r="AF420"/>
  <c r="AD420"/>
  <c r="AB420"/>
  <c r="Z420"/>
  <c r="X420"/>
  <c r="W420"/>
  <c r="V420"/>
  <c r="S420"/>
  <c r="AV419"/>
  <c r="AT419"/>
  <c r="AR419"/>
  <c r="AP419"/>
  <c r="AN419"/>
  <c r="AL419"/>
  <c r="AJ419"/>
  <c r="AH419"/>
  <c r="AF419"/>
  <c r="AD419"/>
  <c r="AB419"/>
  <c r="Z419"/>
  <c r="X419"/>
  <c r="W419"/>
  <c r="V419"/>
  <c r="S419"/>
  <c r="AV418"/>
  <c r="AT418"/>
  <c r="AR418"/>
  <c r="AP418"/>
  <c r="AN418"/>
  <c r="AL418"/>
  <c r="AJ418"/>
  <c r="AH418"/>
  <c r="AF418"/>
  <c r="AD418"/>
  <c r="AB418"/>
  <c r="Z418"/>
  <c r="X418"/>
  <c r="W418"/>
  <c r="V418"/>
  <c r="S418"/>
  <c r="AV417"/>
  <c r="AT417"/>
  <c r="AR417"/>
  <c r="AP417"/>
  <c r="AN417"/>
  <c r="AL417"/>
  <c r="AJ417"/>
  <c r="AH417"/>
  <c r="AF417"/>
  <c r="AD417"/>
  <c r="AB417"/>
  <c r="Z417"/>
  <c r="X417"/>
  <c r="W417"/>
  <c r="V417"/>
  <c r="S417"/>
  <c r="AV416"/>
  <c r="AS416"/>
  <c r="AT416" s="1"/>
  <c r="AR416"/>
  <c r="AP416"/>
  <c r="AN416"/>
  <c r="AL416"/>
  <c r="AJ416"/>
  <c r="AH416"/>
  <c r="AF416"/>
  <c r="AD416"/>
  <c r="AB416"/>
  <c r="Z416"/>
  <c r="W416"/>
  <c r="X416" s="1"/>
  <c r="S416"/>
  <c r="AV415"/>
  <c r="AT415"/>
  <c r="AR415"/>
  <c r="AP415"/>
  <c r="AN415"/>
  <c r="AL415"/>
  <c r="AJ415"/>
  <c r="AH415"/>
  <c r="AF415"/>
  <c r="AD415"/>
  <c r="AB415"/>
  <c r="Z415"/>
  <c r="W415"/>
  <c r="X415" s="1"/>
  <c r="S415"/>
  <c r="AV414"/>
  <c r="AT414"/>
  <c r="AR414"/>
  <c r="AP414"/>
  <c r="AN414"/>
  <c r="AL414"/>
  <c r="AJ414"/>
  <c r="AH414"/>
  <c r="AF414"/>
  <c r="AD414"/>
  <c r="AB414"/>
  <c r="Z414"/>
  <c r="W414"/>
  <c r="X414" s="1"/>
  <c r="S414"/>
  <c r="AV413"/>
  <c r="AT413"/>
  <c r="AR413"/>
  <c r="AP413"/>
  <c r="AN413"/>
  <c r="AL413"/>
  <c r="AJ413"/>
  <c r="AH413"/>
  <c r="AF413"/>
  <c r="AD413"/>
  <c r="AB413"/>
  <c r="Z413"/>
  <c r="W413"/>
  <c r="X413" s="1"/>
  <c r="S413"/>
  <c r="AV412"/>
  <c r="AT412"/>
  <c r="AR412"/>
  <c r="AP412"/>
  <c r="AN412"/>
  <c r="AL412"/>
  <c r="AJ412"/>
  <c r="AH412"/>
  <c r="AF412"/>
  <c r="AD412"/>
  <c r="AB412"/>
  <c r="Z412"/>
  <c r="W412"/>
  <c r="X412" s="1"/>
  <c r="S412"/>
  <c r="AV411"/>
  <c r="AT411"/>
  <c r="AR411"/>
  <c r="AP411"/>
  <c r="AN411"/>
  <c r="AL411"/>
  <c r="AJ411"/>
  <c r="AH411"/>
  <c r="AG411"/>
  <c r="AF411"/>
  <c r="AD411"/>
  <c r="AB411"/>
  <c r="Z411"/>
  <c r="X411"/>
  <c r="W411"/>
  <c r="V411"/>
  <c r="S411"/>
  <c r="AV410"/>
  <c r="AT410"/>
  <c r="AR410"/>
  <c r="AP410"/>
  <c r="AN410"/>
  <c r="AL410"/>
  <c r="AJ410"/>
  <c r="AH410"/>
  <c r="AF410"/>
  <c r="AD410"/>
  <c r="AB410"/>
  <c r="Z410"/>
  <c r="X410"/>
  <c r="W410"/>
  <c r="V410"/>
  <c r="S410"/>
  <c r="AV409"/>
  <c r="AT409"/>
  <c r="AR409"/>
  <c r="AP409"/>
  <c r="AN409"/>
  <c r="AL409"/>
  <c r="AJ409"/>
  <c r="AG409"/>
  <c r="AH409" s="1"/>
  <c r="AF409"/>
  <c r="AD409"/>
  <c r="AB409"/>
  <c r="Z409"/>
  <c r="W409"/>
  <c r="X409" s="1"/>
  <c r="S409"/>
  <c r="AV408"/>
  <c r="AT408"/>
  <c r="AR408"/>
  <c r="AP408"/>
  <c r="AN408"/>
  <c r="AL408"/>
  <c r="AJ408"/>
  <c r="AH408"/>
  <c r="AF408"/>
  <c r="AD408"/>
  <c r="AB408"/>
  <c r="Z408"/>
  <c r="W408"/>
  <c r="X408" s="1"/>
  <c r="S408"/>
  <c r="AV407"/>
  <c r="AT407"/>
  <c r="AR407"/>
  <c r="AP407"/>
  <c r="AN407"/>
  <c r="AL407"/>
  <c r="AJ407"/>
  <c r="AH407"/>
  <c r="AF407"/>
  <c r="AD407"/>
  <c r="AB407"/>
  <c r="Z407"/>
  <c r="W407"/>
  <c r="X407" s="1"/>
  <c r="S407"/>
  <c r="AU406"/>
  <c r="AV406" s="1"/>
  <c r="AT406"/>
  <c r="AR406"/>
  <c r="AP406"/>
  <c r="AN406"/>
  <c r="AL406"/>
  <c r="AJ406"/>
  <c r="AH406"/>
  <c r="AF406"/>
  <c r="AD406"/>
  <c r="AB406"/>
  <c r="Z406"/>
  <c r="S406"/>
  <c r="AW405"/>
  <c r="AV405"/>
  <c r="AT405"/>
  <c r="AR405"/>
  <c r="AP405"/>
  <c r="AN405"/>
  <c r="AL405"/>
  <c r="AJ405"/>
  <c r="AH405"/>
  <c r="AF405"/>
  <c r="AD405"/>
  <c r="AB405"/>
  <c r="Z405"/>
  <c r="W405"/>
  <c r="X405" s="1"/>
  <c r="S405"/>
  <c r="AV404"/>
  <c r="AT404"/>
  <c r="AR404"/>
  <c r="AP404"/>
  <c r="AN404"/>
  <c r="AL404"/>
  <c r="AJ404"/>
  <c r="AH404"/>
  <c r="AF404"/>
  <c r="AD404"/>
  <c r="AB404"/>
  <c r="Z404"/>
  <c r="W404"/>
  <c r="X404" s="1"/>
  <c r="S404"/>
  <c r="AV403"/>
  <c r="AT403"/>
  <c r="AR403"/>
  <c r="AP403"/>
  <c r="AN403"/>
  <c r="AL403"/>
  <c r="AJ403"/>
  <c r="AH403"/>
  <c r="AF403"/>
  <c r="AD403"/>
  <c r="AB403"/>
  <c r="Z403"/>
  <c r="W403"/>
  <c r="X403" s="1"/>
  <c r="S403"/>
  <c r="AV402"/>
  <c r="AT402"/>
  <c r="AR402"/>
  <c r="AP402"/>
  <c r="AN402"/>
  <c r="AL402"/>
  <c r="AB402"/>
  <c r="Z402"/>
  <c r="W402"/>
  <c r="X402" s="1"/>
  <c r="S402"/>
  <c r="AV401"/>
  <c r="AT401"/>
  <c r="AR401"/>
  <c r="AP401"/>
  <c r="AN401"/>
  <c r="AL401"/>
  <c r="AB401"/>
  <c r="Z401"/>
  <c r="W401"/>
  <c r="X401" s="1"/>
  <c r="S401"/>
  <c r="AV400"/>
  <c r="AT400"/>
  <c r="AR400"/>
  <c r="AP400"/>
  <c r="AN400"/>
  <c r="AL400"/>
  <c r="AJ400"/>
  <c r="AH400"/>
  <c r="AF400"/>
  <c r="AD400"/>
  <c r="AB400"/>
  <c r="Z400"/>
  <c r="W400"/>
  <c r="X400" s="1"/>
  <c r="S400"/>
  <c r="AV399"/>
  <c r="AT399"/>
  <c r="AR399"/>
  <c r="AP399"/>
  <c r="AN399"/>
  <c r="AL399"/>
  <c r="AJ399"/>
  <c r="AH399"/>
  <c r="AF399"/>
  <c r="AD399"/>
  <c r="AB399"/>
  <c r="Z399"/>
  <c r="W399"/>
  <c r="X399" s="1"/>
  <c r="S399"/>
  <c r="AW398"/>
  <c r="AV398"/>
  <c r="AU398"/>
  <c r="AT398"/>
  <c r="AR398"/>
  <c r="AP398"/>
  <c r="AN398"/>
  <c r="AL398"/>
  <c r="AJ398"/>
  <c r="AH398"/>
  <c r="AF398"/>
  <c r="AD398"/>
  <c r="AB398"/>
  <c r="Z398"/>
  <c r="W398"/>
  <c r="X398" s="1"/>
  <c r="S398"/>
  <c r="AV397"/>
  <c r="AT397"/>
  <c r="AR397"/>
  <c r="AP397"/>
  <c r="AN397"/>
  <c r="AL397"/>
  <c r="AJ397"/>
  <c r="AH397"/>
  <c r="AF397"/>
  <c r="AD397"/>
  <c r="AB397"/>
  <c r="Z397"/>
  <c r="W397"/>
  <c r="X397" s="1"/>
  <c r="S397"/>
  <c r="AV396"/>
  <c r="AT396"/>
  <c r="AR396"/>
  <c r="AP396"/>
  <c r="AN396"/>
  <c r="AL396"/>
  <c r="AJ396"/>
  <c r="AH396"/>
  <c r="AF396"/>
  <c r="AD396"/>
  <c r="AB396"/>
  <c r="Z396"/>
  <c r="W396"/>
  <c r="X396" s="1"/>
  <c r="S396"/>
  <c r="AV395"/>
  <c r="AT395"/>
  <c r="AR395"/>
  <c r="AP395"/>
  <c r="AN395"/>
  <c r="AL395"/>
  <c r="AB395"/>
  <c r="Z395"/>
  <c r="W395"/>
  <c r="X395" s="1"/>
  <c r="S395"/>
  <c r="AV394"/>
  <c r="AT394"/>
  <c r="AR394"/>
  <c r="AP394"/>
  <c r="AN394"/>
  <c r="AL394"/>
  <c r="AB394"/>
  <c r="Z394"/>
  <c r="W394"/>
  <c r="X394" s="1"/>
  <c r="S394"/>
  <c r="AV393"/>
  <c r="AT393"/>
  <c r="AR393"/>
  <c r="AP393"/>
  <c r="AN393"/>
  <c r="AL393"/>
  <c r="AB393"/>
  <c r="Z393"/>
  <c r="W393"/>
  <c r="X393" s="1"/>
  <c r="S393"/>
  <c r="AV392"/>
  <c r="AT392"/>
  <c r="AR392"/>
  <c r="AP392"/>
  <c r="AN392"/>
  <c r="AL392"/>
  <c r="AB392"/>
  <c r="Z392"/>
  <c r="W392"/>
  <c r="X392" s="1"/>
  <c r="S392"/>
  <c r="AV391"/>
  <c r="AT391"/>
  <c r="AR391"/>
  <c r="AP391"/>
  <c r="AN391"/>
  <c r="AL391"/>
  <c r="AB391"/>
  <c r="Z391"/>
  <c r="W391"/>
  <c r="X391" s="1"/>
  <c r="S391"/>
  <c r="AV390"/>
  <c r="AT390"/>
  <c r="AR390"/>
  <c r="AP390"/>
  <c r="AN390"/>
  <c r="AB390"/>
  <c r="Z390"/>
  <c r="X390"/>
  <c r="W390"/>
  <c r="V390"/>
  <c r="S390"/>
  <c r="AV389"/>
  <c r="AT389"/>
  <c r="AR389"/>
  <c r="AP389"/>
  <c r="AN389"/>
  <c r="AB389"/>
  <c r="Z389"/>
  <c r="W389"/>
  <c r="X389" s="1"/>
  <c r="S389"/>
  <c r="AV388"/>
  <c r="AT388"/>
  <c r="AR388"/>
  <c r="AP388"/>
  <c r="AN388"/>
  <c r="AB388"/>
  <c r="Z388"/>
  <c r="X388"/>
  <c r="W388"/>
  <c r="V388"/>
  <c r="S388"/>
  <c r="AV387"/>
  <c r="AT387"/>
  <c r="AR387"/>
  <c r="AP387"/>
  <c r="AN387"/>
  <c r="AB387"/>
  <c r="Z387"/>
  <c r="W387"/>
  <c r="X387" s="1"/>
  <c r="S387"/>
  <c r="AV386"/>
  <c r="AT386"/>
  <c r="AR386"/>
  <c r="AP386"/>
  <c r="AN386"/>
  <c r="AL386"/>
  <c r="AJ386"/>
  <c r="AH386"/>
  <c r="AF386"/>
  <c r="AD386"/>
  <c r="AB386"/>
  <c r="Z386"/>
  <c r="W386"/>
  <c r="X386" s="1"/>
  <c r="S386"/>
  <c r="AV385"/>
  <c r="AT385"/>
  <c r="AR385"/>
  <c r="AP385"/>
  <c r="AN385"/>
  <c r="AL385"/>
  <c r="AJ385"/>
  <c r="AH385"/>
  <c r="AF385"/>
  <c r="AD385"/>
  <c r="AB385"/>
  <c r="Z385"/>
  <c r="W385"/>
  <c r="X385" s="1"/>
  <c r="S385"/>
  <c r="AV384"/>
  <c r="AT384"/>
  <c r="AR384"/>
  <c r="AP384"/>
  <c r="AN384"/>
  <c r="AL384"/>
  <c r="AJ384"/>
  <c r="AH384"/>
  <c r="AF384"/>
  <c r="AD384"/>
  <c r="AB384"/>
  <c r="Z384"/>
  <c r="W384"/>
  <c r="X384" s="1"/>
  <c r="S384"/>
  <c r="AV383"/>
  <c r="AT383"/>
  <c r="AR383"/>
  <c r="AP383"/>
  <c r="AN383"/>
  <c r="AL383"/>
  <c r="AJ383"/>
  <c r="AH383"/>
  <c r="AF383"/>
  <c r="AD383"/>
  <c r="AB383"/>
  <c r="Z383"/>
  <c r="W383"/>
  <c r="X383" s="1"/>
  <c r="S383"/>
  <c r="AV382"/>
  <c r="AT382"/>
  <c r="AR382"/>
  <c r="AP382"/>
  <c r="AN382"/>
  <c r="AL382"/>
  <c r="AJ382"/>
  <c r="AH382"/>
  <c r="AF382"/>
  <c r="AD382"/>
  <c r="AB382"/>
  <c r="Z382"/>
  <c r="W382"/>
  <c r="X382" s="1"/>
  <c r="S382"/>
  <c r="AV381"/>
  <c r="AT381"/>
  <c r="AR381"/>
  <c r="AP381"/>
  <c r="AN381"/>
  <c r="AL381"/>
  <c r="AJ381"/>
  <c r="AH381"/>
  <c r="AF381"/>
  <c r="AD381"/>
  <c r="AB381"/>
  <c r="Z381"/>
  <c r="W381"/>
  <c r="X381" s="1"/>
  <c r="S381"/>
  <c r="AV380"/>
  <c r="AT380"/>
  <c r="AR380"/>
  <c r="AP380"/>
  <c r="AN380"/>
  <c r="AL380"/>
  <c r="AJ380"/>
  <c r="AH380"/>
  <c r="AF380"/>
  <c r="AD380"/>
  <c r="AB380"/>
  <c r="Z380"/>
  <c r="W380"/>
  <c r="X380" s="1"/>
  <c r="S380"/>
  <c r="AV379"/>
  <c r="AT379"/>
  <c r="AR379"/>
  <c r="AP379"/>
  <c r="AN379"/>
  <c r="AL379"/>
  <c r="AJ379"/>
  <c r="AH379"/>
  <c r="AF379"/>
  <c r="AD379"/>
  <c r="AB379"/>
  <c r="Z379"/>
  <c r="W379"/>
  <c r="X379" s="1"/>
  <c r="S379"/>
  <c r="AV378"/>
  <c r="AT378"/>
  <c r="AR378"/>
  <c r="AP378"/>
  <c r="AN378"/>
  <c r="AL378"/>
  <c r="AJ378"/>
  <c r="AH378"/>
  <c r="AF378"/>
  <c r="AD378"/>
  <c r="AB378"/>
  <c r="Z378"/>
  <c r="W378"/>
  <c r="X378" s="1"/>
  <c r="S378"/>
  <c r="AV377"/>
  <c r="AT377"/>
  <c r="AR377"/>
  <c r="AP377"/>
  <c r="AN377"/>
  <c r="AL377"/>
  <c r="AJ377"/>
  <c r="AH377"/>
  <c r="AF377"/>
  <c r="AD377"/>
  <c r="AB377"/>
  <c r="Z377"/>
  <c r="W377"/>
  <c r="X377" s="1"/>
  <c r="S377"/>
  <c r="AV376"/>
  <c r="AT376"/>
  <c r="AR376"/>
  <c r="AP376"/>
  <c r="AN376"/>
  <c r="AL376"/>
  <c r="AJ376"/>
  <c r="AH376"/>
  <c r="AF376"/>
  <c r="AD376"/>
  <c r="AB376"/>
  <c r="Z376"/>
  <c r="W376"/>
  <c r="X376" s="1"/>
  <c r="S376"/>
  <c r="AV375"/>
  <c r="AT375"/>
  <c r="AR375"/>
  <c r="AP375"/>
  <c r="AN375"/>
  <c r="AL375"/>
  <c r="AJ375"/>
  <c r="AH375"/>
  <c r="AF375"/>
  <c r="AD375"/>
  <c r="AB375"/>
  <c r="Z375"/>
  <c r="W375"/>
  <c r="X375" s="1"/>
  <c r="S375"/>
  <c r="AV374"/>
  <c r="AT374"/>
  <c r="AR374"/>
  <c r="AP374"/>
  <c r="AN374"/>
  <c r="AL374"/>
  <c r="AJ374"/>
  <c r="AH374"/>
  <c r="AF374"/>
  <c r="AD374"/>
  <c r="AB374"/>
  <c r="Z374"/>
  <c r="W374"/>
  <c r="X374" s="1"/>
  <c r="S374"/>
  <c r="AV373"/>
  <c r="AT373"/>
  <c r="AR373"/>
  <c r="AP373"/>
  <c r="AN373"/>
  <c r="AL373"/>
  <c r="AJ373"/>
  <c r="AH373"/>
  <c r="AF373"/>
  <c r="AD373"/>
  <c r="AB373"/>
  <c r="Z373"/>
  <c r="W373"/>
  <c r="X373" s="1"/>
  <c r="S373"/>
  <c r="AV372"/>
  <c r="AT372"/>
  <c r="AR372"/>
  <c r="AP372"/>
  <c r="AN372"/>
  <c r="AL372"/>
  <c r="AJ372"/>
  <c r="AH372"/>
  <c r="AF372"/>
  <c r="AD372"/>
  <c r="AB372"/>
  <c r="Z372"/>
  <c r="W372"/>
  <c r="X372" s="1"/>
  <c r="S372"/>
  <c r="AV371"/>
  <c r="AT371"/>
  <c r="AR371"/>
  <c r="AP371"/>
  <c r="AN371"/>
  <c r="AL371"/>
  <c r="AJ371"/>
  <c r="AH371"/>
  <c r="AF371"/>
  <c r="AD371"/>
  <c r="AB371"/>
  <c r="Z371"/>
  <c r="W371"/>
  <c r="X371" s="1"/>
  <c r="S371"/>
  <c r="AV370"/>
  <c r="AT370"/>
  <c r="AR370"/>
  <c r="AP370"/>
  <c r="AN370"/>
  <c r="AL370"/>
  <c r="AJ370"/>
  <c r="AH370"/>
  <c r="AF370"/>
  <c r="AD370"/>
  <c r="AB370"/>
  <c r="Z370"/>
  <c r="W370"/>
  <c r="X370" s="1"/>
  <c r="S370"/>
  <c r="AV369"/>
  <c r="AT369"/>
  <c r="AR369"/>
  <c r="AP369"/>
  <c r="AN369"/>
  <c r="AL369"/>
  <c r="AJ369"/>
  <c r="AH369"/>
  <c r="AF369"/>
  <c r="AD369"/>
  <c r="AB369"/>
  <c r="Z369"/>
  <c r="W369"/>
  <c r="X369" s="1"/>
  <c r="S369"/>
  <c r="AV368"/>
  <c r="AT368"/>
  <c r="AR368"/>
  <c r="AP368"/>
  <c r="AN368"/>
  <c r="AL368"/>
  <c r="AJ368"/>
  <c r="AH368"/>
  <c r="AF368"/>
  <c r="AD368"/>
  <c r="AB368"/>
  <c r="Z368"/>
  <c r="W368"/>
  <c r="X368" s="1"/>
  <c r="S368"/>
  <c r="AV367"/>
  <c r="AT367"/>
  <c r="AR367"/>
  <c r="AP367"/>
  <c r="AN367"/>
  <c r="AL367"/>
  <c r="AJ367"/>
  <c r="AH367"/>
  <c r="AF367"/>
  <c r="AD367"/>
  <c r="AB367"/>
  <c r="Z367"/>
  <c r="W367"/>
  <c r="X367" s="1"/>
  <c r="S367"/>
  <c r="AV366"/>
  <c r="AT366"/>
  <c r="AR366"/>
  <c r="AP366"/>
  <c r="AN366"/>
  <c r="AB366"/>
  <c r="Z366"/>
  <c r="X366"/>
  <c r="W366"/>
  <c r="V366"/>
  <c r="S366"/>
  <c r="AV365"/>
  <c r="AT365"/>
  <c r="AR365"/>
  <c r="AP365"/>
  <c r="AN365"/>
  <c r="AL365"/>
  <c r="AJ365"/>
  <c r="AH365"/>
  <c r="AF365"/>
  <c r="AD365"/>
  <c r="AB365"/>
  <c r="Z365"/>
  <c r="X365"/>
  <c r="W365"/>
  <c r="V365"/>
  <c r="S365"/>
  <c r="AV364"/>
  <c r="AT364"/>
  <c r="AR364"/>
  <c r="AP364"/>
  <c r="AN364"/>
  <c r="AL364"/>
  <c r="AJ364"/>
  <c r="AH364"/>
  <c r="AF364"/>
  <c r="AD364"/>
  <c r="AB364"/>
  <c r="Z364"/>
  <c r="X364"/>
  <c r="W364"/>
  <c r="V364"/>
  <c r="S364"/>
  <c r="AV363"/>
  <c r="AT363"/>
  <c r="AR363"/>
  <c r="AP363"/>
  <c r="AN363"/>
  <c r="AL363"/>
  <c r="AB363"/>
  <c r="Z363"/>
  <c r="X363"/>
  <c r="W363"/>
  <c r="V363"/>
  <c r="S363"/>
  <c r="AV362"/>
  <c r="AT362"/>
  <c r="AR362"/>
  <c r="AP362"/>
  <c r="AN362"/>
  <c r="AL362"/>
  <c r="AB362"/>
  <c r="Z362"/>
  <c r="X362"/>
  <c r="W362"/>
  <c r="V362"/>
  <c r="S362"/>
  <c r="AV361"/>
  <c r="AT361"/>
  <c r="AR361"/>
  <c r="AP361"/>
  <c r="AN361"/>
  <c r="AL361"/>
  <c r="AB361"/>
  <c r="Z361"/>
  <c r="X361"/>
  <c r="W361"/>
  <c r="V361"/>
  <c r="S361"/>
  <c r="AV360"/>
  <c r="AT360"/>
  <c r="AR360"/>
  <c r="AP360"/>
  <c r="AN360"/>
  <c r="AL360"/>
  <c r="AJ360"/>
  <c r="AH360"/>
  <c r="AF360"/>
  <c r="AD360"/>
  <c r="AB360"/>
  <c r="Z360"/>
  <c r="X360"/>
  <c r="W360"/>
  <c r="V360"/>
  <c r="S360"/>
  <c r="AV359"/>
  <c r="AT359"/>
  <c r="AR359"/>
  <c r="AP359"/>
  <c r="AN359"/>
  <c r="AL359"/>
  <c r="AB359"/>
  <c r="Z359"/>
  <c r="X359"/>
  <c r="W359"/>
  <c r="V359"/>
  <c r="S359"/>
  <c r="AV358"/>
  <c r="AT358"/>
  <c r="AR358"/>
  <c r="AP358"/>
  <c r="AN358"/>
  <c r="AL358"/>
  <c r="AJ358"/>
  <c r="AH358"/>
  <c r="AF358"/>
  <c r="AD358"/>
  <c r="AB358"/>
  <c r="Z358"/>
  <c r="X358"/>
  <c r="W358"/>
  <c r="V358"/>
  <c r="S358"/>
  <c r="AV357"/>
  <c r="AT357"/>
  <c r="AR357"/>
  <c r="AP357"/>
  <c r="AN357"/>
  <c r="AL357"/>
  <c r="AB357"/>
  <c r="Z357"/>
  <c r="X357"/>
  <c r="W357"/>
  <c r="V357"/>
  <c r="S357"/>
  <c r="AV356"/>
  <c r="AT356"/>
  <c r="AR356"/>
  <c r="AP356"/>
  <c r="AN356"/>
  <c r="AL356"/>
  <c r="AB356"/>
  <c r="Z356"/>
  <c r="X356"/>
  <c r="W356"/>
  <c r="V356"/>
  <c r="S356"/>
  <c r="AV355"/>
  <c r="AT355"/>
  <c r="AR355"/>
  <c r="AP355"/>
  <c r="AN355"/>
  <c r="AL355"/>
  <c r="AB355"/>
  <c r="Z355"/>
  <c r="X355"/>
  <c r="W355"/>
  <c r="V355"/>
  <c r="S355"/>
  <c r="AV354"/>
  <c r="AT354"/>
  <c r="AR354"/>
  <c r="AP354"/>
  <c r="AN354"/>
  <c r="AL354"/>
  <c r="AJ354"/>
  <c r="AH354"/>
  <c r="AF354"/>
  <c r="AD354"/>
  <c r="AB354"/>
  <c r="Z354"/>
  <c r="X354"/>
  <c r="W354"/>
  <c r="V354"/>
  <c r="S354"/>
  <c r="AV353"/>
  <c r="AT353"/>
  <c r="AR353"/>
  <c r="AP353"/>
  <c r="AN353"/>
  <c r="AL353"/>
  <c r="AJ353"/>
  <c r="AH353"/>
  <c r="AF353"/>
  <c r="AD353"/>
  <c r="AB353"/>
  <c r="Z353"/>
  <c r="X353"/>
  <c r="W353"/>
  <c r="V353"/>
  <c r="S353"/>
  <c r="AV352"/>
  <c r="AT352"/>
  <c r="AR352"/>
  <c r="AP352"/>
  <c r="AN352"/>
  <c r="AL352"/>
  <c r="AJ352"/>
  <c r="AH352"/>
  <c r="AF352"/>
  <c r="AD352"/>
  <c r="AB352"/>
  <c r="Z352"/>
  <c r="X352"/>
  <c r="W352"/>
  <c r="V352"/>
  <c r="S352"/>
  <c r="AV351"/>
  <c r="AT351"/>
  <c r="AR351"/>
  <c r="AP351"/>
  <c r="AN351"/>
  <c r="AL351"/>
  <c r="AJ351"/>
  <c r="AH351"/>
  <c r="AF351"/>
  <c r="AD351"/>
  <c r="AB351"/>
  <c r="Z351"/>
  <c r="X351"/>
  <c r="W351"/>
  <c r="V351"/>
  <c r="S351"/>
  <c r="AV350"/>
  <c r="AT350"/>
  <c r="AR350"/>
  <c r="AP350"/>
  <c r="AN350"/>
  <c r="AL350"/>
  <c r="AJ350"/>
  <c r="AH350"/>
  <c r="AF350"/>
  <c r="AD350"/>
  <c r="AB350"/>
  <c r="Z350"/>
  <c r="X350"/>
  <c r="W350"/>
  <c r="V350"/>
  <c r="S350"/>
  <c r="AV349"/>
  <c r="AT349"/>
  <c r="AR349"/>
  <c r="AP349"/>
  <c r="AN349"/>
  <c r="AL349"/>
  <c r="AJ349"/>
  <c r="AH349"/>
  <c r="AF349"/>
  <c r="AD349"/>
  <c r="AB349"/>
  <c r="Z349"/>
  <c r="X349"/>
  <c r="W349"/>
  <c r="V349"/>
  <c r="S349"/>
  <c r="AV348"/>
  <c r="AT348"/>
  <c r="AR348"/>
  <c r="AP348"/>
  <c r="AN348"/>
  <c r="AL348"/>
  <c r="AJ348"/>
  <c r="AH348"/>
  <c r="AF348"/>
  <c r="AD348"/>
  <c r="AB348"/>
  <c r="Z348"/>
  <c r="X348"/>
  <c r="W348"/>
  <c r="V348"/>
  <c r="S348"/>
  <c r="AV347"/>
  <c r="AT347"/>
  <c r="AR347"/>
  <c r="AP347"/>
  <c r="AN347"/>
  <c r="AL347"/>
  <c r="AJ347"/>
  <c r="AH347"/>
  <c r="AF347"/>
  <c r="AD347"/>
  <c r="AB347"/>
  <c r="Z347"/>
  <c r="X347"/>
  <c r="W347"/>
  <c r="V347"/>
  <c r="S347"/>
  <c r="AV346"/>
  <c r="AT346"/>
  <c r="AR346"/>
  <c r="AP346"/>
  <c r="AN346"/>
  <c r="AL346"/>
  <c r="AJ346"/>
  <c r="AH346"/>
  <c r="AF346"/>
  <c r="AD346"/>
  <c r="AB346"/>
  <c r="Z346"/>
  <c r="X346"/>
  <c r="W346"/>
  <c r="V346"/>
  <c r="S346"/>
  <c r="AV345"/>
  <c r="AT345"/>
  <c r="AR345"/>
  <c r="AP345"/>
  <c r="AN345"/>
  <c r="AL345"/>
  <c r="AJ345"/>
  <c r="AH345"/>
  <c r="AF345"/>
  <c r="AD345"/>
  <c r="AB345"/>
  <c r="Z345"/>
  <c r="X345"/>
  <c r="W345"/>
  <c r="V345"/>
  <c r="S345"/>
  <c r="AV344"/>
  <c r="AT344"/>
  <c r="AR344"/>
  <c r="AP344"/>
  <c r="AN344"/>
  <c r="AL344"/>
  <c r="AJ344"/>
  <c r="AH344"/>
  <c r="AF344"/>
  <c r="AD344"/>
  <c r="AB344"/>
  <c r="Z344"/>
  <c r="X344"/>
  <c r="W344"/>
  <c r="V344"/>
  <c r="S344"/>
  <c r="AV343"/>
  <c r="AT343"/>
  <c r="AR343"/>
  <c r="AP343"/>
  <c r="AN343"/>
  <c r="AL343"/>
  <c r="AJ343"/>
  <c r="AH343"/>
  <c r="AF343"/>
  <c r="AD343"/>
  <c r="AB343"/>
  <c r="Z343"/>
  <c r="X343"/>
  <c r="W343"/>
  <c r="V343"/>
  <c r="S343"/>
  <c r="AV342"/>
  <c r="AT342"/>
  <c r="AR342"/>
  <c r="AP342"/>
  <c r="AN342"/>
  <c r="AL342"/>
  <c r="AJ342"/>
  <c r="AH342"/>
  <c r="AF342"/>
  <c r="AD342"/>
  <c r="AB342"/>
  <c r="Z342"/>
  <c r="X342"/>
  <c r="W342"/>
  <c r="V342"/>
  <c r="S342"/>
  <c r="AV341"/>
  <c r="AT341"/>
  <c r="AR341"/>
  <c r="AP341"/>
  <c r="AN341"/>
  <c r="AL341"/>
  <c r="AJ341"/>
  <c r="AH341"/>
  <c r="AF341"/>
  <c r="AD341"/>
  <c r="AB341"/>
  <c r="Z341"/>
  <c r="X341"/>
  <c r="W341"/>
  <c r="V341"/>
  <c r="S341"/>
  <c r="AV340"/>
  <c r="AT340"/>
  <c r="AR340"/>
  <c r="AP340"/>
  <c r="AN340"/>
  <c r="AL340"/>
  <c r="AJ340"/>
  <c r="AH340"/>
  <c r="AF340"/>
  <c r="AD340"/>
  <c r="AB340"/>
  <c r="Z340"/>
  <c r="X340"/>
  <c r="W340"/>
  <c r="V340"/>
  <c r="S340"/>
  <c r="AV339"/>
  <c r="AT339"/>
  <c r="AR339"/>
  <c r="AP339"/>
  <c r="AN339"/>
  <c r="AL339"/>
  <c r="AJ339"/>
  <c r="AH339"/>
  <c r="AF339"/>
  <c r="AD339"/>
  <c r="AB339"/>
  <c r="Z339"/>
  <c r="X339"/>
  <c r="W339"/>
  <c r="V339"/>
  <c r="S339"/>
  <c r="AV338"/>
  <c r="AT338"/>
  <c r="AR338"/>
  <c r="AP338"/>
  <c r="AN338"/>
  <c r="AL338"/>
  <c r="AJ338"/>
  <c r="AH338"/>
  <c r="AF338"/>
  <c r="AD338"/>
  <c r="AB338"/>
  <c r="Z338"/>
  <c r="X338"/>
  <c r="W338"/>
  <c r="V338"/>
  <c r="S338"/>
  <c r="AV337"/>
  <c r="AT337"/>
  <c r="AR337"/>
  <c r="AP337"/>
  <c r="AN337"/>
  <c r="AL337"/>
  <c r="AJ337"/>
  <c r="AH337"/>
  <c r="AF337"/>
  <c r="AD337"/>
  <c r="AB337"/>
  <c r="Z337"/>
  <c r="X337"/>
  <c r="W337"/>
  <c r="V337"/>
  <c r="S337"/>
  <c r="AV336"/>
  <c r="AT336"/>
  <c r="AR336"/>
  <c r="AP336"/>
  <c r="AN336"/>
  <c r="AL336"/>
  <c r="AJ336"/>
  <c r="AH336"/>
  <c r="AF336"/>
  <c r="AD336"/>
  <c r="AB336"/>
  <c r="Z336"/>
  <c r="X336"/>
  <c r="W336"/>
  <c r="V336"/>
  <c r="S336"/>
  <c r="AV335"/>
  <c r="AT335"/>
  <c r="AR335"/>
  <c r="AP335"/>
  <c r="AN335"/>
  <c r="AL335"/>
  <c r="AJ335"/>
  <c r="AH335"/>
  <c r="AF335"/>
  <c r="AD335"/>
  <c r="AB335"/>
  <c r="Z335"/>
  <c r="X335"/>
  <c r="W335"/>
  <c r="V335"/>
  <c r="S335"/>
  <c r="AV334"/>
  <c r="AT334"/>
  <c r="AR334"/>
  <c r="AP334"/>
  <c r="AN334"/>
  <c r="AL334"/>
  <c r="AJ334"/>
  <c r="AH334"/>
  <c r="AF334"/>
  <c r="AD334"/>
  <c r="AB334"/>
  <c r="Z334"/>
  <c r="X334"/>
  <c r="W334"/>
  <c r="V334"/>
  <c r="S334"/>
  <c r="AV333"/>
  <c r="AT333"/>
  <c r="AR333"/>
  <c r="AP333"/>
  <c r="AN333"/>
  <c r="AL333"/>
  <c r="AJ333"/>
  <c r="AH333"/>
  <c r="AF333"/>
  <c r="AD333"/>
  <c r="AB333"/>
  <c r="Z333"/>
  <c r="X333"/>
  <c r="W333"/>
  <c r="V333"/>
  <c r="S333"/>
  <c r="AV332"/>
  <c r="AT332"/>
  <c r="AR332"/>
  <c r="AP332"/>
  <c r="AN332"/>
  <c r="AL332"/>
  <c r="AJ332"/>
  <c r="AH332"/>
  <c r="AF332"/>
  <c r="AD332"/>
  <c r="AB332"/>
  <c r="Z332"/>
  <c r="X332"/>
  <c r="W332"/>
  <c r="V332"/>
  <c r="S332"/>
  <c r="AV331"/>
  <c r="AT331"/>
  <c r="AR331"/>
  <c r="AP331"/>
  <c r="AN331"/>
  <c r="AL331"/>
  <c r="AJ331"/>
  <c r="AH331"/>
  <c r="AF331"/>
  <c r="AD331"/>
  <c r="AB331"/>
  <c r="Z331"/>
  <c r="X331"/>
  <c r="W331"/>
  <c r="V331"/>
  <c r="S331"/>
  <c r="AV330"/>
  <c r="AT330"/>
  <c r="AR330"/>
  <c r="AP330"/>
  <c r="AN330"/>
  <c r="AL330"/>
  <c r="AJ330"/>
  <c r="AH330"/>
  <c r="AF330"/>
  <c r="AD330"/>
  <c r="AB330"/>
  <c r="Z330"/>
  <c r="X330"/>
  <c r="W330"/>
  <c r="V330"/>
  <c r="S330"/>
  <c r="AV329"/>
  <c r="AT329"/>
  <c r="AR329"/>
  <c r="AP329"/>
  <c r="AN329"/>
  <c r="AL329"/>
  <c r="AJ329"/>
  <c r="AH329"/>
  <c r="AF329"/>
  <c r="AD329"/>
  <c r="AB329"/>
  <c r="Z329"/>
  <c r="X329"/>
  <c r="W329"/>
  <c r="V329"/>
  <c r="S329"/>
  <c r="AV328"/>
  <c r="AT328"/>
  <c r="AR328"/>
  <c r="AP328"/>
  <c r="AN328"/>
  <c r="AL328"/>
  <c r="AJ328"/>
  <c r="AH328"/>
  <c r="AF328"/>
  <c r="AD328"/>
  <c r="AB328"/>
  <c r="Z328"/>
  <c r="X328"/>
  <c r="W328"/>
  <c r="V328"/>
  <c r="S328"/>
  <c r="AV327"/>
  <c r="AT327"/>
  <c r="AR327"/>
  <c r="AP327"/>
  <c r="AN327"/>
  <c r="AL327"/>
  <c r="AJ327"/>
  <c r="AH327"/>
  <c r="AF327"/>
  <c r="AD327"/>
  <c r="AB327"/>
  <c r="Z327"/>
  <c r="X327"/>
  <c r="W327"/>
  <c r="V327"/>
  <c r="S327"/>
  <c r="AV326"/>
  <c r="AT326"/>
  <c r="AR326"/>
  <c r="AP326"/>
  <c r="AN326"/>
  <c r="AL326"/>
  <c r="AJ326"/>
  <c r="AH326"/>
  <c r="AF326"/>
  <c r="AD326"/>
  <c r="AB326"/>
  <c r="Z326"/>
  <c r="X326"/>
  <c r="W326"/>
  <c r="V326"/>
  <c r="S326"/>
  <c r="AV325"/>
  <c r="AT325"/>
  <c r="AR325"/>
  <c r="AP325"/>
  <c r="AN325"/>
  <c r="AL325"/>
  <c r="AJ325"/>
  <c r="AH325"/>
  <c r="AF325"/>
  <c r="AD325"/>
  <c r="AB325"/>
  <c r="Z325"/>
  <c r="X325"/>
  <c r="W325"/>
  <c r="V325"/>
  <c r="S325"/>
  <c r="AV324"/>
  <c r="AT324"/>
  <c r="AR324"/>
  <c r="AP324"/>
  <c r="AN324"/>
  <c r="AL324"/>
  <c r="AJ324"/>
  <c r="AH324"/>
  <c r="AF324"/>
  <c r="AD324"/>
  <c r="AB324"/>
  <c r="Z324"/>
  <c r="X324"/>
  <c r="W324"/>
  <c r="V324"/>
  <c r="S324"/>
  <c r="AV323"/>
  <c r="AT323"/>
  <c r="AR323"/>
  <c r="AP323"/>
  <c r="AN323"/>
  <c r="AL323"/>
  <c r="AJ323"/>
  <c r="AH323"/>
  <c r="AF323"/>
  <c r="AD323"/>
  <c r="AB323"/>
  <c r="Z323"/>
  <c r="X323"/>
  <c r="W323"/>
  <c r="V323"/>
  <c r="S323"/>
  <c r="AV322"/>
  <c r="AT322"/>
  <c r="AR322"/>
  <c r="AP322"/>
  <c r="AN322"/>
  <c r="AL322"/>
  <c r="AJ322"/>
  <c r="AH322"/>
  <c r="AF322"/>
  <c r="AD322"/>
  <c r="AB322"/>
  <c r="Z322"/>
  <c r="X322"/>
  <c r="W322"/>
  <c r="V322"/>
  <c r="S322"/>
  <c r="AV321"/>
  <c r="AT321"/>
  <c r="AR321"/>
  <c r="AP321"/>
  <c r="AN321"/>
  <c r="AL321"/>
  <c r="AJ321"/>
  <c r="AH321"/>
  <c r="AF321"/>
  <c r="AD321"/>
  <c r="AB321"/>
  <c r="Z321"/>
  <c r="X321"/>
  <c r="W321"/>
  <c r="V321"/>
  <c r="S321"/>
  <c r="AV320"/>
  <c r="AT320"/>
  <c r="AR320"/>
  <c r="AP320"/>
  <c r="AN320"/>
  <c r="AL320"/>
  <c r="AJ320"/>
  <c r="AH320"/>
  <c r="AF320"/>
  <c r="AD320"/>
  <c r="AB320"/>
  <c r="Z320"/>
  <c r="X320"/>
  <c r="W320"/>
  <c r="V320"/>
  <c r="S320"/>
  <c r="AV319"/>
  <c r="AT319"/>
  <c r="AR319"/>
  <c r="AP319"/>
  <c r="AN319"/>
  <c r="AL319"/>
  <c r="AJ319"/>
  <c r="AH319"/>
  <c r="AF319"/>
  <c r="AD319"/>
  <c r="AB319"/>
  <c r="Z319"/>
  <c r="X319"/>
  <c r="W319"/>
  <c r="V319"/>
  <c r="S319"/>
  <c r="AV318"/>
  <c r="AT318"/>
  <c r="AR318"/>
  <c r="AP318"/>
  <c r="AN318"/>
  <c r="AL318"/>
  <c r="AJ318"/>
  <c r="AH318"/>
  <c r="AF318"/>
  <c r="AD318"/>
  <c r="AB318"/>
  <c r="Z318"/>
  <c r="X318"/>
  <c r="W318"/>
  <c r="V318"/>
  <c r="S318"/>
  <c r="AV317"/>
  <c r="AT317"/>
  <c r="AR317"/>
  <c r="AP317"/>
  <c r="AN317"/>
  <c r="AL317"/>
  <c r="AJ317"/>
  <c r="AH317"/>
  <c r="AF317"/>
  <c r="AD317"/>
  <c r="AB317"/>
  <c r="Z317"/>
  <c r="X317"/>
  <c r="W317"/>
  <c r="V317"/>
  <c r="S317"/>
  <c r="AV316"/>
  <c r="AT316"/>
  <c r="AR316"/>
  <c r="AP316"/>
  <c r="AN316"/>
  <c r="AL316"/>
  <c r="AJ316"/>
  <c r="AH316"/>
  <c r="AF316"/>
  <c r="AD316"/>
  <c r="AB316"/>
  <c r="Z316"/>
  <c r="X316"/>
  <c r="W316"/>
  <c r="V316"/>
  <c r="S316"/>
  <c r="AV315"/>
  <c r="AT315"/>
  <c r="AR315"/>
  <c r="AP315"/>
  <c r="AN315"/>
  <c r="AL315"/>
  <c r="AJ315"/>
  <c r="AH315"/>
  <c r="AF315"/>
  <c r="AD315"/>
  <c r="AB315"/>
  <c r="Z315"/>
  <c r="X315"/>
  <c r="W315"/>
  <c r="V315"/>
  <c r="S315"/>
  <c r="AV314"/>
  <c r="AT314"/>
  <c r="AR314"/>
  <c r="AP314"/>
  <c r="AN314"/>
  <c r="AL314"/>
  <c r="AJ314"/>
  <c r="AH314"/>
  <c r="AF314"/>
  <c r="AD314"/>
  <c r="AB314"/>
  <c r="Z314"/>
  <c r="X314"/>
  <c r="W314"/>
  <c r="V314"/>
  <c r="S314"/>
  <c r="AV313"/>
  <c r="AT313"/>
  <c r="AR313"/>
  <c r="AP313"/>
  <c r="AN313"/>
  <c r="AL313"/>
  <c r="AJ313"/>
  <c r="AH313"/>
  <c r="AF313"/>
  <c r="AD313"/>
  <c r="AB313"/>
  <c r="Z313"/>
  <c r="X313"/>
  <c r="W313"/>
  <c r="V313"/>
  <c r="S313"/>
  <c r="AV312"/>
  <c r="AT312"/>
  <c r="AR312"/>
  <c r="AP312"/>
  <c r="AN312"/>
  <c r="AL312"/>
  <c r="AJ312"/>
  <c r="AH312"/>
  <c r="AF312"/>
  <c r="AD312"/>
  <c r="AB312"/>
  <c r="Z312"/>
  <c r="X312"/>
  <c r="W312"/>
  <c r="V312"/>
  <c r="S312"/>
  <c r="AV311"/>
  <c r="AT311"/>
  <c r="AR311"/>
  <c r="AP311"/>
  <c r="AN311"/>
  <c r="AL311"/>
  <c r="AJ311"/>
  <c r="AH311"/>
  <c r="AF311"/>
  <c r="AD311"/>
  <c r="AB311"/>
  <c r="Z311"/>
  <c r="X311"/>
  <c r="W311"/>
  <c r="V311"/>
  <c r="S311"/>
  <c r="AV310"/>
  <c r="AT310"/>
  <c r="AR310"/>
  <c r="AP310"/>
  <c r="AN310"/>
  <c r="AL310"/>
  <c r="AJ310"/>
  <c r="AH310"/>
  <c r="AF310"/>
  <c r="AD310"/>
  <c r="AB310"/>
  <c r="Z310"/>
  <c r="X310"/>
  <c r="W310"/>
  <c r="V310"/>
  <c r="S310"/>
  <c r="AV309"/>
  <c r="AT309"/>
  <c r="AR309"/>
  <c r="AP309"/>
  <c r="AN309"/>
  <c r="AL309"/>
  <c r="AB309"/>
  <c r="Z309"/>
  <c r="X309"/>
  <c r="W309"/>
  <c r="V309"/>
  <c r="S309"/>
  <c r="AV308"/>
  <c r="AT308"/>
  <c r="AR308"/>
  <c r="AP308"/>
  <c r="AN308"/>
  <c r="AL308"/>
  <c r="AB308"/>
  <c r="Z308"/>
  <c r="X308"/>
  <c r="W308"/>
  <c r="V308"/>
  <c r="S308"/>
  <c r="AV307"/>
  <c r="AT307"/>
  <c r="AR307"/>
  <c r="AP307"/>
  <c r="AN307"/>
  <c r="AL307"/>
  <c r="AJ307"/>
  <c r="AH307"/>
  <c r="AF307"/>
  <c r="AD307"/>
  <c r="AB307"/>
  <c r="Z307"/>
  <c r="X307"/>
  <c r="W307"/>
  <c r="V307"/>
  <c r="S307"/>
  <c r="AV306"/>
  <c r="AT306"/>
  <c r="AR306"/>
  <c r="AP306"/>
  <c r="AN306"/>
  <c r="AL306"/>
  <c r="AB306"/>
  <c r="Z306"/>
  <c r="X306"/>
  <c r="W306"/>
  <c r="V306"/>
  <c r="S306"/>
  <c r="AV305"/>
  <c r="AT305"/>
  <c r="AR305"/>
  <c r="AP305"/>
  <c r="AN305"/>
  <c r="AL305"/>
  <c r="AB305"/>
  <c r="Z305"/>
  <c r="X305"/>
  <c r="W305"/>
  <c r="V305"/>
  <c r="S305"/>
  <c r="AV304"/>
  <c r="AT304"/>
  <c r="AR304"/>
  <c r="AP304"/>
  <c r="AN304"/>
  <c r="AL304"/>
  <c r="AB304"/>
  <c r="Z304"/>
  <c r="X304"/>
  <c r="W304"/>
  <c r="V304"/>
  <c r="S304"/>
  <c r="AV303"/>
  <c r="AT303"/>
  <c r="AR303"/>
  <c r="AP303"/>
  <c r="AN303"/>
  <c r="AL303"/>
  <c r="AJ303"/>
  <c r="AH303"/>
  <c r="AF303"/>
  <c r="AD303"/>
  <c r="AB303"/>
  <c r="Z303"/>
  <c r="X303"/>
  <c r="W303"/>
  <c r="V303"/>
  <c r="S303"/>
  <c r="AV302"/>
  <c r="AT302"/>
  <c r="AR302"/>
  <c r="AP302"/>
  <c r="AN302"/>
  <c r="AL302"/>
  <c r="AJ302"/>
  <c r="AH302"/>
  <c r="AF302"/>
  <c r="AD302"/>
  <c r="AB302"/>
  <c r="Z302"/>
  <c r="X302"/>
  <c r="W302"/>
  <c r="V302"/>
  <c r="S302"/>
  <c r="AV301"/>
  <c r="AT301"/>
  <c r="AR301"/>
  <c r="AP301"/>
  <c r="AN301"/>
  <c r="AL301"/>
  <c r="AJ301"/>
  <c r="AH301"/>
  <c r="AF301"/>
  <c r="AD301"/>
  <c r="AB301"/>
  <c r="Z301"/>
  <c r="X301"/>
  <c r="W301"/>
  <c r="V301"/>
  <c r="S301"/>
  <c r="AV300"/>
  <c r="AT300"/>
  <c r="AR300"/>
  <c r="AP300"/>
  <c r="AN300"/>
  <c r="AL300"/>
  <c r="AJ300"/>
  <c r="AH300"/>
  <c r="AF300"/>
  <c r="AD300"/>
  <c r="AB300"/>
  <c r="Z300"/>
  <c r="X300"/>
  <c r="W300"/>
  <c r="V300"/>
  <c r="S300"/>
  <c r="AV299"/>
  <c r="AT299"/>
  <c r="AR299"/>
  <c r="AP299"/>
  <c r="AN299"/>
  <c r="AL299"/>
  <c r="AJ299"/>
  <c r="AH299"/>
  <c r="AF299"/>
  <c r="AD299"/>
  <c r="AB299"/>
  <c r="Z299"/>
  <c r="X299"/>
  <c r="W299"/>
  <c r="V299"/>
  <c r="S299"/>
  <c r="AV298"/>
  <c r="AT298"/>
  <c r="AR298"/>
  <c r="AP298"/>
  <c r="AN298"/>
  <c r="AL298"/>
  <c r="AJ298"/>
  <c r="AH298"/>
  <c r="AF298"/>
  <c r="AD298"/>
  <c r="AB298"/>
  <c r="Z298"/>
  <c r="X298"/>
  <c r="W298"/>
  <c r="V298"/>
  <c r="S298"/>
  <c r="AV297"/>
  <c r="AT297"/>
  <c r="AR297"/>
  <c r="AP297"/>
  <c r="AN297"/>
  <c r="AL297"/>
  <c r="AJ297"/>
  <c r="AH297"/>
  <c r="AF297"/>
  <c r="AD297"/>
  <c r="AB297"/>
  <c r="Z297"/>
  <c r="X297"/>
  <c r="W297"/>
  <c r="V297"/>
  <c r="S297"/>
  <c r="AV296"/>
  <c r="AT296"/>
  <c r="AR296"/>
  <c r="AP296"/>
  <c r="AN296"/>
  <c r="AL296"/>
  <c r="AJ296"/>
  <c r="AH296"/>
  <c r="AF296"/>
  <c r="AD296"/>
  <c r="AB296"/>
  <c r="Z296"/>
  <c r="X296"/>
  <c r="W296"/>
  <c r="V296"/>
  <c r="S296"/>
  <c r="AV295"/>
  <c r="AT295"/>
  <c r="AR295"/>
  <c r="AP295"/>
  <c r="AN295"/>
  <c r="AL295"/>
  <c r="AJ295"/>
  <c r="AH295"/>
  <c r="AF295"/>
  <c r="AD295"/>
  <c r="AB295"/>
  <c r="Z295"/>
  <c r="X295"/>
  <c r="W295"/>
  <c r="V295"/>
  <c r="S295"/>
  <c r="AV294"/>
  <c r="AT294"/>
  <c r="AR294"/>
  <c r="AP294"/>
  <c r="AN294"/>
  <c r="AL294"/>
  <c r="AJ294"/>
  <c r="AH294"/>
  <c r="AF294"/>
  <c r="AD294"/>
  <c r="AB294"/>
  <c r="Z294"/>
  <c r="X294"/>
  <c r="W294"/>
  <c r="V294"/>
  <c r="S294"/>
  <c r="AV293"/>
  <c r="AT293"/>
  <c r="AR293"/>
  <c r="AP293"/>
  <c r="AN293"/>
  <c r="AL293"/>
  <c r="AJ293"/>
  <c r="AH293"/>
  <c r="AF293"/>
  <c r="AD293"/>
  <c r="AB293"/>
  <c r="Z293"/>
  <c r="X293"/>
  <c r="W293"/>
  <c r="V293"/>
  <c r="S293"/>
  <c r="AV292"/>
  <c r="AT292"/>
  <c r="AR292"/>
  <c r="AP292"/>
  <c r="AN292"/>
  <c r="AL292"/>
  <c r="AJ292"/>
  <c r="AH292"/>
  <c r="AF292"/>
  <c r="AD292"/>
  <c r="AB292"/>
  <c r="Z292"/>
  <c r="X292"/>
  <c r="W292"/>
  <c r="V292"/>
  <c r="S292"/>
  <c r="AV291"/>
  <c r="AT291"/>
  <c r="AR291"/>
  <c r="AP291"/>
  <c r="AN291"/>
  <c r="AL291"/>
  <c r="AB291"/>
  <c r="Z291"/>
  <c r="X291"/>
  <c r="W291"/>
  <c r="V291"/>
  <c r="S291"/>
  <c r="AV290"/>
  <c r="AT290"/>
  <c r="AR290"/>
  <c r="AP290"/>
  <c r="AN290"/>
  <c r="AL290"/>
  <c r="AB290"/>
  <c r="Z290"/>
  <c r="X290"/>
  <c r="W290"/>
  <c r="V290"/>
  <c r="S290"/>
  <c r="AV289"/>
  <c r="AT289"/>
  <c r="AR289"/>
  <c r="AP289"/>
  <c r="AN289"/>
  <c r="AL289"/>
  <c r="AB289"/>
  <c r="Z289"/>
  <c r="X289"/>
  <c r="W289"/>
  <c r="V289"/>
  <c r="S289"/>
  <c r="AV288"/>
  <c r="AT288"/>
  <c r="AR288"/>
  <c r="AP288"/>
  <c r="AN288"/>
  <c r="AL288"/>
  <c r="AB288"/>
  <c r="Z288"/>
  <c r="X288"/>
  <c r="W288"/>
  <c r="V288"/>
  <c r="S288"/>
  <c r="AV287"/>
  <c r="AT287"/>
  <c r="AR287"/>
  <c r="AP287"/>
  <c r="AN287"/>
  <c r="AL287"/>
  <c r="AB287"/>
  <c r="Z287"/>
  <c r="X287"/>
  <c r="W287"/>
  <c r="V287"/>
  <c r="S287"/>
  <c r="AV286"/>
  <c r="AT286"/>
  <c r="AR286"/>
  <c r="AP286"/>
  <c r="AN286"/>
  <c r="AL286"/>
  <c r="AB286"/>
  <c r="Z286"/>
  <c r="X286"/>
  <c r="W286"/>
  <c r="V286"/>
  <c r="S286"/>
  <c r="AV285"/>
  <c r="AT285"/>
  <c r="AR285"/>
  <c r="AP285"/>
  <c r="AN285"/>
  <c r="AL285"/>
  <c r="AB285"/>
  <c r="Z285"/>
  <c r="X285"/>
  <c r="W285"/>
  <c r="V285"/>
  <c r="S285"/>
  <c r="AV284"/>
  <c r="AT284"/>
  <c r="AR284"/>
  <c r="AP284"/>
  <c r="AN284"/>
  <c r="AL284"/>
  <c r="AB284"/>
  <c r="Z284"/>
  <c r="X284"/>
  <c r="W284"/>
  <c r="V284"/>
  <c r="S284"/>
  <c r="AV283"/>
  <c r="AT283"/>
  <c r="AR283"/>
  <c r="AP283"/>
  <c r="AN283"/>
  <c r="AL283"/>
  <c r="AB283"/>
  <c r="Z283"/>
  <c r="X283"/>
  <c r="W283"/>
  <c r="V283"/>
  <c r="S283"/>
  <c r="AV282"/>
  <c r="AT282"/>
  <c r="AR282"/>
  <c r="AP282"/>
  <c r="AN282"/>
  <c r="AL282"/>
  <c r="AB282"/>
  <c r="Z282"/>
  <c r="X282"/>
  <c r="W282"/>
  <c r="V282"/>
  <c r="S282"/>
  <c r="AV281"/>
  <c r="AT281"/>
  <c r="AR281"/>
  <c r="AP281"/>
  <c r="AN281"/>
  <c r="AL281"/>
  <c r="AB281"/>
  <c r="Z281"/>
  <c r="X281"/>
  <c r="W281"/>
  <c r="V281"/>
  <c r="S281"/>
  <c r="AV280"/>
  <c r="AT280"/>
  <c r="AR280"/>
  <c r="AP280"/>
  <c r="AN280"/>
  <c r="AL280"/>
  <c r="AB280"/>
  <c r="Z280"/>
  <c r="X280"/>
  <c r="W280"/>
  <c r="V280"/>
  <c r="S280"/>
  <c r="AV279"/>
  <c r="AT279"/>
  <c r="AR279"/>
  <c r="AP279"/>
  <c r="AN279"/>
  <c r="AL279"/>
  <c r="AB279"/>
  <c r="Z279"/>
  <c r="X279"/>
  <c r="W279"/>
  <c r="V279"/>
  <c r="S279"/>
  <c r="AV278"/>
  <c r="AT278"/>
  <c r="AR278"/>
  <c r="AP278"/>
  <c r="AN278"/>
  <c r="AL278"/>
  <c r="AB278"/>
  <c r="Z278"/>
  <c r="X278"/>
  <c r="W278"/>
  <c r="V278"/>
  <c r="S278"/>
  <c r="AV277"/>
  <c r="AT277"/>
  <c r="AR277"/>
  <c r="AP277"/>
  <c r="AN277"/>
  <c r="AL277"/>
  <c r="AB277"/>
  <c r="Z277"/>
  <c r="X277"/>
  <c r="W277"/>
  <c r="V277"/>
  <c r="S277"/>
  <c r="AV276"/>
  <c r="AT276"/>
  <c r="AR276"/>
  <c r="AP276"/>
  <c r="AN276"/>
  <c r="AL276"/>
  <c r="AJ276"/>
  <c r="AH276"/>
  <c r="AF276"/>
  <c r="AD276"/>
  <c r="AB276"/>
  <c r="Z276"/>
  <c r="X276"/>
  <c r="W276"/>
  <c r="V276"/>
  <c r="S276"/>
  <c r="AV275"/>
  <c r="AT275"/>
  <c r="AR275"/>
  <c r="AP275"/>
  <c r="AN275"/>
  <c r="AL275"/>
  <c r="AJ275"/>
  <c r="AH275"/>
  <c r="AF275"/>
  <c r="AD275"/>
  <c r="AB275"/>
  <c r="Z275"/>
  <c r="X275"/>
  <c r="W275"/>
  <c r="V275"/>
  <c r="S275"/>
  <c r="AV274"/>
  <c r="AT274"/>
  <c r="AR274"/>
  <c r="AP274"/>
  <c r="AN274"/>
  <c r="AL274"/>
  <c r="AJ274"/>
  <c r="AH274"/>
  <c r="AF274"/>
  <c r="AD274"/>
  <c r="AB274"/>
  <c r="Z274"/>
  <c r="X274"/>
  <c r="W274"/>
  <c r="V274"/>
  <c r="S274"/>
  <c r="AV273"/>
  <c r="AT273"/>
  <c r="AR273"/>
  <c r="AP273"/>
  <c r="AN273"/>
  <c r="AL273"/>
  <c r="AJ273"/>
  <c r="AH273"/>
  <c r="AF273"/>
  <c r="AD273"/>
  <c r="AB273"/>
  <c r="Z273"/>
  <c r="X273"/>
  <c r="W273"/>
  <c r="V273"/>
  <c r="S273"/>
  <c r="AV272"/>
  <c r="AT272"/>
  <c r="AR272"/>
  <c r="AP272"/>
  <c r="AN272"/>
  <c r="AL272"/>
  <c r="AJ272"/>
  <c r="AH272"/>
  <c r="AF272"/>
  <c r="AD272"/>
  <c r="AB272"/>
  <c r="Z272"/>
  <c r="X272"/>
  <c r="W272"/>
  <c r="V272"/>
  <c r="S272"/>
  <c r="AV271"/>
  <c r="AT271"/>
  <c r="AR271"/>
  <c r="AP271"/>
  <c r="AN271"/>
  <c r="AL271"/>
  <c r="AJ271"/>
  <c r="AH271"/>
  <c r="AF271"/>
  <c r="AD271"/>
  <c r="AB271"/>
  <c r="Z271"/>
  <c r="X271"/>
  <c r="W271"/>
  <c r="V271"/>
  <c r="S271"/>
  <c r="AV270"/>
  <c r="AT270"/>
  <c r="AR270"/>
  <c r="AP270"/>
  <c r="AN270"/>
  <c r="AL270"/>
  <c r="AB270"/>
  <c r="Z270"/>
  <c r="X270"/>
  <c r="W270"/>
  <c r="V270"/>
  <c r="S270"/>
  <c r="AV269"/>
  <c r="AT269"/>
  <c r="AR269"/>
  <c r="AP269"/>
  <c r="AN269"/>
  <c r="AL269"/>
  <c r="AB269"/>
  <c r="Z269"/>
  <c r="X269"/>
  <c r="W269"/>
  <c r="V269"/>
  <c r="S269"/>
  <c r="AV268"/>
  <c r="AT268"/>
  <c r="AR268"/>
  <c r="AP268"/>
  <c r="AN268"/>
  <c r="AL268"/>
  <c r="AB268"/>
  <c r="Z268"/>
  <c r="X268"/>
  <c r="W268"/>
  <c r="V268"/>
  <c r="S268"/>
  <c r="AV267"/>
  <c r="AT267"/>
  <c r="AR267"/>
  <c r="AP267"/>
  <c r="AN267"/>
  <c r="AL267"/>
  <c r="AJ267"/>
  <c r="AH267"/>
  <c r="AF267"/>
  <c r="AD267"/>
  <c r="AB267"/>
  <c r="Z267"/>
  <c r="X267"/>
  <c r="W267"/>
  <c r="V267"/>
  <c r="S267"/>
  <c r="AV266"/>
  <c r="AT266"/>
  <c r="AR266"/>
  <c r="AP266"/>
  <c r="AN266"/>
  <c r="AL266"/>
  <c r="AJ266"/>
  <c r="AH266"/>
  <c r="AF266"/>
  <c r="AD266"/>
  <c r="AB266"/>
  <c r="Z266"/>
  <c r="X266"/>
  <c r="W266"/>
  <c r="V266"/>
  <c r="S266"/>
  <c r="AV265"/>
  <c r="AT265"/>
  <c r="AR265"/>
  <c r="AP265"/>
  <c r="AN265"/>
  <c r="AL265"/>
  <c r="AJ265"/>
  <c r="AH265"/>
  <c r="AF265"/>
  <c r="AD265"/>
  <c r="AB265"/>
  <c r="Z265"/>
  <c r="X265"/>
  <c r="W265"/>
  <c r="V265"/>
  <c r="S265"/>
  <c r="AV264"/>
  <c r="AT264"/>
  <c r="AR264"/>
  <c r="AP264"/>
  <c r="AN264"/>
  <c r="AL264"/>
  <c r="AJ264"/>
  <c r="AH264"/>
  <c r="AF264"/>
  <c r="AD264"/>
  <c r="AB264"/>
  <c r="Z264"/>
  <c r="X264"/>
  <c r="W264"/>
  <c r="V264"/>
  <c r="S264"/>
  <c r="AV263"/>
  <c r="AT263"/>
  <c r="AR263"/>
  <c r="AP263"/>
  <c r="AN263"/>
  <c r="AL263"/>
  <c r="AJ263"/>
  <c r="AH263"/>
  <c r="AF263"/>
  <c r="AD263"/>
  <c r="AB263"/>
  <c r="Z263"/>
  <c r="X263"/>
  <c r="W263"/>
  <c r="V263"/>
  <c r="S263"/>
  <c r="AV262"/>
  <c r="AT262"/>
  <c r="AR262"/>
  <c r="AP262"/>
  <c r="AN262"/>
  <c r="AL262"/>
  <c r="AJ262"/>
  <c r="AH262"/>
  <c r="AF262"/>
  <c r="AD262"/>
  <c r="AB262"/>
  <c r="Z262"/>
  <c r="X262"/>
  <c r="W262"/>
  <c r="V262"/>
  <c r="S262"/>
  <c r="AV261"/>
  <c r="AT261"/>
  <c r="AR261"/>
  <c r="AP261"/>
  <c r="AN261"/>
  <c r="AL261"/>
  <c r="AJ261"/>
  <c r="AG261"/>
  <c r="AH261" s="1"/>
  <c r="AF261"/>
  <c r="AD261"/>
  <c r="AB261"/>
  <c r="Z261"/>
  <c r="X261"/>
  <c r="W261"/>
  <c r="V261"/>
  <c r="S261"/>
  <c r="AV260"/>
  <c r="AT260"/>
  <c r="AR260"/>
  <c r="AP260"/>
  <c r="AN260"/>
  <c r="AL260"/>
  <c r="AJ260"/>
  <c r="AH260"/>
  <c r="AF260"/>
  <c r="AD260"/>
  <c r="AB260"/>
  <c r="Z260"/>
  <c r="X260"/>
  <c r="W260"/>
  <c r="V260"/>
  <c r="S260"/>
  <c r="AV259"/>
  <c r="AT259"/>
  <c r="AR259"/>
  <c r="AP259"/>
  <c r="AN259"/>
  <c r="AL259"/>
  <c r="AJ259"/>
  <c r="AH259"/>
  <c r="AF259"/>
  <c r="AD259"/>
  <c r="AB259"/>
  <c r="Z259"/>
  <c r="X259"/>
  <c r="W259"/>
  <c r="V259"/>
  <c r="S259"/>
  <c r="AV258"/>
  <c r="AT258"/>
  <c r="AR258"/>
  <c r="AP258"/>
  <c r="AN258"/>
  <c r="AL258"/>
  <c r="AJ258"/>
  <c r="AH258"/>
  <c r="AF258"/>
  <c r="AD258"/>
  <c r="AB258"/>
  <c r="Z258"/>
  <c r="X258"/>
  <c r="W258"/>
  <c r="V258"/>
  <c r="S258"/>
  <c r="AV257"/>
  <c r="AT257"/>
  <c r="AR257"/>
  <c r="AP257"/>
  <c r="AN257"/>
  <c r="AL257"/>
  <c r="AJ257"/>
  <c r="AH257"/>
  <c r="AF257"/>
  <c r="AD257"/>
  <c r="AB257"/>
  <c r="Z257"/>
  <c r="X257"/>
  <c r="W257"/>
  <c r="V257"/>
  <c r="S257"/>
  <c r="AV256"/>
  <c r="AT256"/>
  <c r="AR256"/>
  <c r="AP256"/>
  <c r="AN256"/>
  <c r="AL256"/>
  <c r="AJ256"/>
  <c r="AH256"/>
  <c r="AF256"/>
  <c r="AD256"/>
  <c r="AB256"/>
  <c r="Z256"/>
  <c r="X256"/>
  <c r="W256"/>
  <c r="V256"/>
  <c r="S256"/>
  <c r="AV255"/>
  <c r="AT255"/>
  <c r="AR255"/>
  <c r="AP255"/>
  <c r="AN255"/>
  <c r="AL255"/>
  <c r="AB255"/>
  <c r="Z255"/>
  <c r="X255"/>
  <c r="W255"/>
  <c r="V255"/>
  <c r="S255"/>
  <c r="AV254"/>
  <c r="AT254"/>
  <c r="AR254"/>
  <c r="AP254"/>
  <c r="AN254"/>
  <c r="AL254"/>
  <c r="AJ254"/>
  <c r="AH254"/>
  <c r="AF254"/>
  <c r="AD254"/>
  <c r="AB254"/>
  <c r="Z254"/>
  <c r="X254"/>
  <c r="W254"/>
  <c r="V254"/>
  <c r="S254"/>
  <c r="AV253"/>
  <c r="AT253"/>
  <c r="AR253"/>
  <c r="AP253"/>
  <c r="AN253"/>
  <c r="AL253"/>
  <c r="AJ253"/>
  <c r="AH253"/>
  <c r="AF253"/>
  <c r="AD253"/>
  <c r="AB253"/>
  <c r="Z253"/>
  <c r="X253"/>
  <c r="W253"/>
  <c r="V253"/>
  <c r="S253"/>
  <c r="AV252"/>
  <c r="AT252"/>
  <c r="AR252"/>
  <c r="AP252"/>
  <c r="AN252"/>
  <c r="AL252"/>
  <c r="AJ252"/>
  <c r="AH252"/>
  <c r="AF252"/>
  <c r="AD252"/>
  <c r="AB252"/>
  <c r="Z252"/>
  <c r="X252"/>
  <c r="W252"/>
  <c r="V252"/>
  <c r="S252"/>
  <c r="AV251"/>
  <c r="AT251"/>
  <c r="AR251"/>
  <c r="AP251"/>
  <c r="AN251"/>
  <c r="AL251"/>
  <c r="AJ251"/>
  <c r="AH251"/>
  <c r="AF251"/>
  <c r="AD251"/>
  <c r="AB251"/>
  <c r="Z251"/>
  <c r="X251"/>
  <c r="W251"/>
  <c r="V251"/>
  <c r="S251"/>
  <c r="AV250"/>
  <c r="AT250"/>
  <c r="AR250"/>
  <c r="AP250"/>
  <c r="AN250"/>
  <c r="AL250"/>
  <c r="AJ250"/>
  <c r="AH250"/>
  <c r="AF250"/>
  <c r="AD250"/>
  <c r="AB250"/>
  <c r="Z250"/>
  <c r="X250"/>
  <c r="W250"/>
  <c r="V250"/>
  <c r="S250"/>
  <c r="AV249"/>
  <c r="AT249"/>
  <c r="AR249"/>
  <c r="AP249"/>
  <c r="AN249"/>
  <c r="AL249"/>
  <c r="AJ249"/>
  <c r="AH249"/>
  <c r="AF249"/>
  <c r="AD249"/>
  <c r="AB249"/>
  <c r="Z249"/>
  <c r="X249"/>
  <c r="W249"/>
  <c r="V249"/>
  <c r="S249"/>
  <c r="AV248"/>
  <c r="AT248"/>
  <c r="AR248"/>
  <c r="AP248"/>
  <c r="AN248"/>
  <c r="AL248"/>
  <c r="AJ248"/>
  <c r="AH248"/>
  <c r="AF248"/>
  <c r="AD248"/>
  <c r="AB248"/>
  <c r="Z248"/>
  <c r="X248"/>
  <c r="W248"/>
  <c r="V248"/>
  <c r="S248"/>
  <c r="AV247"/>
  <c r="AT247"/>
  <c r="AR247"/>
  <c r="AP247"/>
  <c r="AN247"/>
  <c r="AL247"/>
  <c r="AJ247"/>
  <c r="AH247"/>
  <c r="AF247"/>
  <c r="AD247"/>
  <c r="AB247"/>
  <c r="Z247"/>
  <c r="X247"/>
  <c r="W247"/>
  <c r="V247"/>
  <c r="S247"/>
  <c r="AV246"/>
  <c r="AT246"/>
  <c r="AR246"/>
  <c r="AP246"/>
  <c r="AN246"/>
  <c r="AL246"/>
  <c r="AJ246"/>
  <c r="AH246"/>
  <c r="AF246"/>
  <c r="AD246"/>
  <c r="AB246"/>
  <c r="Z246"/>
  <c r="X246"/>
  <c r="W246"/>
  <c r="V246"/>
  <c r="S246"/>
  <c r="AV245"/>
  <c r="AT245"/>
  <c r="AR245"/>
  <c r="AP245"/>
  <c r="AN245"/>
  <c r="AL245"/>
  <c r="AJ245"/>
  <c r="AH245"/>
  <c r="AF245"/>
  <c r="AD245"/>
  <c r="AB245"/>
  <c r="Z245"/>
  <c r="X245"/>
  <c r="W245"/>
  <c r="V245"/>
  <c r="S245"/>
  <c r="AV244"/>
  <c r="AT244"/>
  <c r="AR244"/>
  <c r="AP244"/>
  <c r="AN244"/>
  <c r="AL244"/>
  <c r="AJ244"/>
  <c r="AH244"/>
  <c r="AF244"/>
  <c r="AD244"/>
  <c r="AB244"/>
  <c r="Z244"/>
  <c r="X244"/>
  <c r="W244"/>
  <c r="V244"/>
  <c r="S244"/>
  <c r="AV243"/>
  <c r="AT243"/>
  <c r="AR243"/>
  <c r="AP243"/>
  <c r="AN243"/>
  <c r="AL243"/>
  <c r="AJ243"/>
  <c r="AH243"/>
  <c r="AF243"/>
  <c r="AD243"/>
  <c r="AB243"/>
  <c r="Z243"/>
  <c r="X243"/>
  <c r="W243"/>
  <c r="V243"/>
  <c r="S243"/>
  <c r="AV242"/>
  <c r="AT242"/>
  <c r="AR242"/>
  <c r="AP242"/>
  <c r="AN242"/>
  <c r="AL242"/>
  <c r="AJ242"/>
  <c r="AH242"/>
  <c r="AF242"/>
  <c r="AD242"/>
  <c r="AB242"/>
  <c r="AA242"/>
  <c r="Z242"/>
  <c r="W242"/>
  <c r="S242"/>
  <c r="AV241"/>
  <c r="AT241"/>
  <c r="AR241"/>
  <c r="AP241"/>
  <c r="AN241"/>
  <c r="AL241"/>
  <c r="AJ241"/>
  <c r="AH241"/>
  <c r="AF241"/>
  <c r="AD241"/>
  <c r="AB241"/>
  <c r="Z241"/>
  <c r="W241"/>
  <c r="S241"/>
  <c r="AV240"/>
  <c r="AT240"/>
  <c r="AR240"/>
  <c r="AP240"/>
  <c r="AN240"/>
  <c r="AL240"/>
  <c r="AJ240"/>
  <c r="AH240"/>
  <c r="AF240"/>
  <c r="AD240"/>
  <c r="AB240"/>
  <c r="Z240"/>
  <c r="W240"/>
  <c r="S240"/>
  <c r="AV239"/>
  <c r="AT239"/>
  <c r="AR239"/>
  <c r="AP239"/>
  <c r="AN239"/>
  <c r="AL239"/>
  <c r="AB239"/>
  <c r="Z239"/>
  <c r="W239"/>
  <c r="S239"/>
  <c r="AV238"/>
  <c r="AT238"/>
  <c r="AR238"/>
  <c r="AP238"/>
  <c r="AO238"/>
  <c r="AO932" s="1"/>
  <c r="AN238"/>
  <c r="AL238"/>
  <c r="AJ238"/>
  <c r="AH238"/>
  <c r="AF238"/>
  <c r="AD238"/>
  <c r="AB238"/>
  <c r="Z238"/>
  <c r="X238"/>
  <c r="W238"/>
  <c r="V238"/>
  <c r="S238"/>
  <c r="AV237"/>
  <c r="AT237"/>
  <c r="AR237"/>
  <c r="AP237"/>
  <c r="AN237"/>
  <c r="AL237"/>
  <c r="AJ237"/>
  <c r="AH237"/>
  <c r="AF237"/>
  <c r="AD237"/>
  <c r="AB237"/>
  <c r="Z237"/>
  <c r="X237"/>
  <c r="W237"/>
  <c r="V237"/>
  <c r="S237"/>
  <c r="AV236"/>
  <c r="AT236"/>
  <c r="AR236"/>
  <c r="AP236"/>
  <c r="AN236"/>
  <c r="AL236"/>
  <c r="AJ236"/>
  <c r="AH236"/>
  <c r="AF236"/>
  <c r="AD236"/>
  <c r="AB236"/>
  <c r="Z236"/>
  <c r="X236"/>
  <c r="W236"/>
  <c r="V236"/>
  <c r="S236"/>
  <c r="AV235"/>
  <c r="AT235"/>
  <c r="AR235"/>
  <c r="AP235"/>
  <c r="AN235"/>
  <c r="AL235"/>
  <c r="AJ235"/>
  <c r="AH235"/>
  <c r="AF235"/>
  <c r="AD235"/>
  <c r="AB235"/>
  <c r="Z235"/>
  <c r="X235"/>
  <c r="W235"/>
  <c r="V235"/>
  <c r="S235"/>
  <c r="AV234"/>
  <c r="AT234"/>
  <c r="AR234"/>
  <c r="AP234"/>
  <c r="AN234"/>
  <c r="AL234"/>
  <c r="AJ234"/>
  <c r="AH234"/>
  <c r="AF234"/>
  <c r="AD234"/>
  <c r="AB234"/>
  <c r="Z234"/>
  <c r="X234"/>
  <c r="W234"/>
  <c r="V234"/>
  <c r="S234"/>
  <c r="AV233"/>
  <c r="AT233"/>
  <c r="AR233"/>
  <c r="AP233"/>
  <c r="AN233"/>
  <c r="AL233"/>
  <c r="AJ233"/>
  <c r="AH233"/>
  <c r="AF233"/>
  <c r="AD233"/>
  <c r="AB233"/>
  <c r="Z233"/>
  <c r="X233"/>
  <c r="W233"/>
  <c r="V233"/>
  <c r="S233"/>
  <c r="AV232"/>
  <c r="AT232"/>
  <c r="AR232"/>
  <c r="AP232"/>
  <c r="AN232"/>
  <c r="AL232"/>
  <c r="AJ232"/>
  <c r="AH232"/>
  <c r="AF232"/>
  <c r="AD232"/>
  <c r="AB232"/>
  <c r="Z232"/>
  <c r="X232"/>
  <c r="W232"/>
  <c r="V232"/>
  <c r="S232"/>
  <c r="AV231"/>
  <c r="AT231"/>
  <c r="AR231"/>
  <c r="AP231"/>
  <c r="AN231"/>
  <c r="AL231"/>
  <c r="AJ231"/>
  <c r="AH231"/>
  <c r="AF231"/>
  <c r="AD231"/>
  <c r="AB231"/>
  <c r="Z231"/>
  <c r="X231"/>
  <c r="W231"/>
  <c r="V231"/>
  <c r="S231"/>
  <c r="AV230"/>
  <c r="AT230"/>
  <c r="AR230"/>
  <c r="AP230"/>
  <c r="AN230"/>
  <c r="AL230"/>
  <c r="AJ230"/>
  <c r="AH230"/>
  <c r="AF230"/>
  <c r="AD230"/>
  <c r="AB230"/>
  <c r="Z230"/>
  <c r="X230"/>
  <c r="W230"/>
  <c r="V230"/>
  <c r="S230"/>
  <c r="AV229"/>
  <c r="AT229"/>
  <c r="AR229"/>
  <c r="AP229"/>
  <c r="AN229"/>
  <c r="AL229"/>
  <c r="AB229"/>
  <c r="Z229"/>
  <c r="X229"/>
  <c r="W229"/>
  <c r="V229"/>
  <c r="S229"/>
  <c r="AV228"/>
  <c r="AT228"/>
  <c r="AR228"/>
  <c r="AP228"/>
  <c r="AN228"/>
  <c r="AL228"/>
  <c r="AB228"/>
  <c r="Z228"/>
  <c r="X228"/>
  <c r="W228"/>
  <c r="V228"/>
  <c r="S228"/>
  <c r="AV227"/>
  <c r="AT227"/>
  <c r="AR227"/>
  <c r="AP227"/>
  <c r="AN227"/>
  <c r="AL227"/>
  <c r="AB227"/>
  <c r="Z227"/>
  <c r="X227"/>
  <c r="W227"/>
  <c r="V227"/>
  <c r="S227"/>
  <c r="AV226"/>
  <c r="AT226"/>
  <c r="AR226"/>
  <c r="AP226"/>
  <c r="AN226"/>
  <c r="AL226"/>
  <c r="AB226"/>
  <c r="Z226"/>
  <c r="X226"/>
  <c r="W226"/>
  <c r="V226"/>
  <c r="S226"/>
  <c r="AV225"/>
  <c r="AT225"/>
  <c r="AR225"/>
  <c r="AP225"/>
  <c r="AN225"/>
  <c r="AL225"/>
  <c r="AJ225"/>
  <c r="AH225"/>
  <c r="AF225"/>
  <c r="AD225"/>
  <c r="AB225"/>
  <c r="Z225"/>
  <c r="X225"/>
  <c r="W225"/>
  <c r="V225"/>
  <c r="S225"/>
  <c r="AV224"/>
  <c r="AT224"/>
  <c r="AR224"/>
  <c r="AP224"/>
  <c r="AN224"/>
  <c r="AL224"/>
  <c r="AB224"/>
  <c r="Z224"/>
  <c r="X224"/>
  <c r="W224"/>
  <c r="V224"/>
  <c r="S224"/>
  <c r="AV223"/>
  <c r="AT223"/>
  <c r="AR223"/>
  <c r="AP223"/>
  <c r="AN223"/>
  <c r="AL223"/>
  <c r="AB223"/>
  <c r="Z223"/>
  <c r="X223"/>
  <c r="W223"/>
  <c r="V223"/>
  <c r="S223"/>
  <c r="AV222"/>
  <c r="AT222"/>
  <c r="AR222"/>
  <c r="AP222"/>
  <c r="AN222"/>
  <c r="AL222"/>
  <c r="AB222"/>
  <c r="Z222"/>
  <c r="X222"/>
  <c r="W222"/>
  <c r="V222"/>
  <c r="S222"/>
  <c r="AV221"/>
  <c r="AT221"/>
  <c r="AR221"/>
  <c r="AP221"/>
  <c r="AN221"/>
  <c r="AL221"/>
  <c r="AJ221"/>
  <c r="AH221"/>
  <c r="AF221"/>
  <c r="AD221"/>
  <c r="AB221"/>
  <c r="Z221"/>
  <c r="X221"/>
  <c r="W221"/>
  <c r="V221"/>
  <c r="S221"/>
  <c r="AV220"/>
  <c r="AT220"/>
  <c r="AR220"/>
  <c r="AP220"/>
  <c r="AN220"/>
  <c r="AL220"/>
  <c r="AJ220"/>
  <c r="AH220"/>
  <c r="AF220"/>
  <c r="AD220"/>
  <c r="AB220"/>
  <c r="Z220"/>
  <c r="X220"/>
  <c r="W220"/>
  <c r="V220"/>
  <c r="S220"/>
  <c r="AV219"/>
  <c r="AT219"/>
  <c r="AR219"/>
  <c r="AP219"/>
  <c r="AN219"/>
  <c r="AL219"/>
  <c r="AJ219"/>
  <c r="AH219"/>
  <c r="AF219"/>
  <c r="AD219"/>
  <c r="AB219"/>
  <c r="Z219"/>
  <c r="X219"/>
  <c r="W219"/>
  <c r="V219"/>
  <c r="S219"/>
  <c r="AV218"/>
  <c r="AT218"/>
  <c r="AR218"/>
  <c r="AP218"/>
  <c r="AN218"/>
  <c r="AL218"/>
  <c r="AJ218"/>
  <c r="AH218"/>
  <c r="AF218"/>
  <c r="AD218"/>
  <c r="AB218"/>
  <c r="Z218"/>
  <c r="X218"/>
  <c r="W218"/>
  <c r="V218"/>
  <c r="S218"/>
  <c r="AV217"/>
  <c r="AT217"/>
  <c r="AR217"/>
  <c r="AP217"/>
  <c r="AN217"/>
  <c r="AL217"/>
  <c r="AJ217"/>
  <c r="AH217"/>
  <c r="AF217"/>
  <c r="AD217"/>
  <c r="AB217"/>
  <c r="Z217"/>
  <c r="X217"/>
  <c r="W217"/>
  <c r="V217"/>
  <c r="S217"/>
  <c r="AV216"/>
  <c r="AT216"/>
  <c r="AR216"/>
  <c r="AP216"/>
  <c r="AN216"/>
  <c r="AL216"/>
  <c r="AJ216"/>
  <c r="AH216"/>
  <c r="AF216"/>
  <c r="AD216"/>
  <c r="AB216"/>
  <c r="Z216"/>
  <c r="X216"/>
  <c r="W216"/>
  <c r="V216"/>
  <c r="S216"/>
  <c r="AV215"/>
  <c r="AT215"/>
  <c r="AR215"/>
  <c r="AP215"/>
  <c r="AN215"/>
  <c r="AL215"/>
  <c r="AJ215"/>
  <c r="AH215"/>
  <c r="AF215"/>
  <c r="AD215"/>
  <c r="AB215"/>
  <c r="Z215"/>
  <c r="X215"/>
  <c r="W215"/>
  <c r="V215"/>
  <c r="S215"/>
  <c r="AV214"/>
  <c r="AT214"/>
  <c r="AR214"/>
  <c r="AP214"/>
  <c r="AN214"/>
  <c r="AL214"/>
  <c r="AJ214"/>
  <c r="AH214"/>
  <c r="AF214"/>
  <c r="AD214"/>
  <c r="AB214"/>
  <c r="Z214"/>
  <c r="X214"/>
  <c r="W214"/>
  <c r="V214"/>
  <c r="S214"/>
  <c r="AV213"/>
  <c r="AT213"/>
  <c r="AR213"/>
  <c r="AP213"/>
  <c r="AN213"/>
  <c r="AL213"/>
  <c r="AJ213"/>
  <c r="AH213"/>
  <c r="AF213"/>
  <c r="AD213"/>
  <c r="AB213"/>
  <c r="Z213"/>
  <c r="X213"/>
  <c r="W213"/>
  <c r="V213"/>
  <c r="S213"/>
  <c r="AV212"/>
  <c r="AT212"/>
  <c r="AR212"/>
  <c r="AP212"/>
  <c r="AN212"/>
  <c r="AL212"/>
  <c r="AJ212"/>
  <c r="AH212"/>
  <c r="AF212"/>
  <c r="AD212"/>
  <c r="AB212"/>
  <c r="Z212"/>
  <c r="X212"/>
  <c r="W212"/>
  <c r="V212"/>
  <c r="S212"/>
  <c r="AV211"/>
  <c r="AT211"/>
  <c r="AR211"/>
  <c r="AP211"/>
  <c r="AN211"/>
  <c r="AL211"/>
  <c r="AJ211"/>
  <c r="AH211"/>
  <c r="AF211"/>
  <c r="AD211"/>
  <c r="AB211"/>
  <c r="Z211"/>
  <c r="X211"/>
  <c r="W211"/>
  <c r="V211"/>
  <c r="S211"/>
  <c r="AV210"/>
  <c r="AT210"/>
  <c r="AR210"/>
  <c r="AP210"/>
  <c r="AN210"/>
  <c r="AL210"/>
  <c r="AJ210"/>
  <c r="AH210"/>
  <c r="AF210"/>
  <c r="AD210"/>
  <c r="AB210"/>
  <c r="Z210"/>
  <c r="X210"/>
  <c r="W210"/>
  <c r="V210"/>
  <c r="S210"/>
  <c r="AV209"/>
  <c r="AT209"/>
  <c r="AR209"/>
  <c r="AP209"/>
  <c r="AN209"/>
  <c r="AL209"/>
  <c r="AJ209"/>
  <c r="AH209"/>
  <c r="AF209"/>
  <c r="AD209"/>
  <c r="AB209"/>
  <c r="Z209"/>
  <c r="X209"/>
  <c r="W209"/>
  <c r="V209"/>
  <c r="S209"/>
  <c r="AV208"/>
  <c r="AT208"/>
  <c r="AR208"/>
  <c r="AP208"/>
  <c r="AN208"/>
  <c r="AL208"/>
  <c r="AJ208"/>
  <c r="AH208"/>
  <c r="AF208"/>
  <c r="AD208"/>
  <c r="AB208"/>
  <c r="Z208"/>
  <c r="X208"/>
  <c r="W208"/>
  <c r="V208"/>
  <c r="S208"/>
  <c r="AV207"/>
  <c r="AT207"/>
  <c r="AR207"/>
  <c r="AP207"/>
  <c r="AN207"/>
  <c r="AL207"/>
  <c r="AJ207"/>
  <c r="AH207"/>
  <c r="AF207"/>
  <c r="AD207"/>
  <c r="AB207"/>
  <c r="Z207"/>
  <c r="X207"/>
  <c r="W207"/>
  <c r="V207"/>
  <c r="S207"/>
  <c r="AV206"/>
  <c r="AT206"/>
  <c r="AR206"/>
  <c r="AP206"/>
  <c r="AN206"/>
  <c r="AL206"/>
  <c r="AJ206"/>
  <c r="AH206"/>
  <c r="AF206"/>
  <c r="AD206"/>
  <c r="AB206"/>
  <c r="Z206"/>
  <c r="X206"/>
  <c r="W206"/>
  <c r="V206"/>
  <c r="S206"/>
  <c r="AV205"/>
  <c r="AT205"/>
  <c r="AR205"/>
  <c r="AP205"/>
  <c r="AN205"/>
  <c r="AL205"/>
  <c r="AJ205"/>
  <c r="AH205"/>
  <c r="AF205"/>
  <c r="AD205"/>
  <c r="AB205"/>
  <c r="Z205"/>
  <c r="X205"/>
  <c r="W205"/>
  <c r="V205"/>
  <c r="S205"/>
  <c r="AV204"/>
  <c r="AT204"/>
  <c r="AR204"/>
  <c r="AP204"/>
  <c r="AN204"/>
  <c r="AL204"/>
  <c r="AJ204"/>
  <c r="AH204"/>
  <c r="AF204"/>
  <c r="AD204"/>
  <c r="AB204"/>
  <c r="Z204"/>
  <c r="X204"/>
  <c r="W204"/>
  <c r="V204"/>
  <c r="S204"/>
  <c r="AV203"/>
  <c r="AT203"/>
  <c r="AR203"/>
  <c r="AP203"/>
  <c r="AN203"/>
  <c r="AL203"/>
  <c r="AJ203"/>
  <c r="AH203"/>
  <c r="AF203"/>
  <c r="AD203"/>
  <c r="AB203"/>
  <c r="Z203"/>
  <c r="X203"/>
  <c r="W203"/>
  <c r="V203"/>
  <c r="S203"/>
  <c r="AV202"/>
  <c r="AT202"/>
  <c r="AR202"/>
  <c r="AP202"/>
  <c r="AN202"/>
  <c r="AL202"/>
  <c r="AJ202"/>
  <c r="AH202"/>
  <c r="AF202"/>
  <c r="AD202"/>
  <c r="AB202"/>
  <c r="Z202"/>
  <c r="X202"/>
  <c r="W202"/>
  <c r="V202"/>
  <c r="S202"/>
  <c r="AV201"/>
  <c r="AT201"/>
  <c r="AR201"/>
  <c r="AP201"/>
  <c r="AN201"/>
  <c r="AL201"/>
  <c r="AJ201"/>
  <c r="AH201"/>
  <c r="AF201"/>
  <c r="AD201"/>
  <c r="AB201"/>
  <c r="Z201"/>
  <c r="X201"/>
  <c r="W201"/>
  <c r="V201"/>
  <c r="S201"/>
  <c r="AV200"/>
  <c r="AT200"/>
  <c r="AR200"/>
  <c r="AP200"/>
  <c r="AN200"/>
  <c r="AL200"/>
  <c r="AJ200"/>
  <c r="AH200"/>
  <c r="AF200"/>
  <c r="AD200"/>
  <c r="AB200"/>
  <c r="Z200"/>
  <c r="X200"/>
  <c r="W200"/>
  <c r="V200"/>
  <c r="S200"/>
  <c r="AV199"/>
  <c r="AT199"/>
  <c r="AR199"/>
  <c r="AP199"/>
  <c r="AN199"/>
  <c r="AL199"/>
  <c r="AJ199"/>
  <c r="AH199"/>
  <c r="AF199"/>
  <c r="AD199"/>
  <c r="AB199"/>
  <c r="Z199"/>
  <c r="X199"/>
  <c r="W199"/>
  <c r="V199"/>
  <c r="S199"/>
  <c r="AV198"/>
  <c r="AT198"/>
  <c r="AR198"/>
  <c r="AP198"/>
  <c r="AN198"/>
  <c r="AL198"/>
  <c r="AJ198"/>
  <c r="AH198"/>
  <c r="AF198"/>
  <c r="AD198"/>
  <c r="AB198"/>
  <c r="Z198"/>
  <c r="X198"/>
  <c r="W198"/>
  <c r="V198"/>
  <c r="S198"/>
  <c r="AV197"/>
  <c r="AT197"/>
  <c r="AR197"/>
  <c r="AP197"/>
  <c r="AN197"/>
  <c r="AL197"/>
  <c r="AJ197"/>
  <c r="AH197"/>
  <c r="AF197"/>
  <c r="AD197"/>
  <c r="AB197"/>
  <c r="Z197"/>
  <c r="X197"/>
  <c r="W197"/>
  <c r="V197"/>
  <c r="S197"/>
  <c r="AV196"/>
  <c r="AT196"/>
  <c r="AR196"/>
  <c r="AP196"/>
  <c r="AN196"/>
  <c r="AL196"/>
  <c r="AJ196"/>
  <c r="AH196"/>
  <c r="AF196"/>
  <c r="AD196"/>
  <c r="AB196"/>
  <c r="Z196"/>
  <c r="X196"/>
  <c r="W196"/>
  <c r="V196"/>
  <c r="S196"/>
  <c r="AV195"/>
  <c r="AT195"/>
  <c r="AR195"/>
  <c r="AP195"/>
  <c r="AN195"/>
  <c r="AL195"/>
  <c r="AJ195"/>
  <c r="AH195"/>
  <c r="AF195"/>
  <c r="AD195"/>
  <c r="AB195"/>
  <c r="Z195"/>
  <c r="X195"/>
  <c r="W195"/>
  <c r="V195"/>
  <c r="S195"/>
  <c r="AV194"/>
  <c r="AT194"/>
  <c r="AR194"/>
  <c r="AP194"/>
  <c r="AN194"/>
  <c r="AL194"/>
  <c r="AJ194"/>
  <c r="AH194"/>
  <c r="AF194"/>
  <c r="AD194"/>
  <c r="AB194"/>
  <c r="Z194"/>
  <c r="X194"/>
  <c r="W194"/>
  <c r="V194"/>
  <c r="S194"/>
  <c r="AV193"/>
  <c r="AT193"/>
  <c r="AR193"/>
  <c r="AP193"/>
  <c r="AN193"/>
  <c r="AL193"/>
  <c r="AJ193"/>
  <c r="AH193"/>
  <c r="AF193"/>
  <c r="AD193"/>
  <c r="AB193"/>
  <c r="Z193"/>
  <c r="X193"/>
  <c r="W193"/>
  <c r="V193"/>
  <c r="S193"/>
  <c r="AV192"/>
  <c r="AT192"/>
  <c r="AR192"/>
  <c r="AP192"/>
  <c r="AN192"/>
  <c r="AL192"/>
  <c r="AJ192"/>
  <c r="AH192"/>
  <c r="AF192"/>
  <c r="AD192"/>
  <c r="AB192"/>
  <c r="Z192"/>
  <c r="X192"/>
  <c r="W192"/>
  <c r="V192"/>
  <c r="S192"/>
  <c r="AV191"/>
  <c r="AT191"/>
  <c r="AR191"/>
  <c r="AP191"/>
  <c r="AN191"/>
  <c r="AL191"/>
  <c r="AJ191"/>
  <c r="AH191"/>
  <c r="AF191"/>
  <c r="AD191"/>
  <c r="AB191"/>
  <c r="Z191"/>
  <c r="X191"/>
  <c r="W191"/>
  <c r="V191"/>
  <c r="S191"/>
  <c r="AV190"/>
  <c r="AT190"/>
  <c r="AR190"/>
  <c r="AP190"/>
  <c r="AN190"/>
  <c r="AL190"/>
  <c r="AJ190"/>
  <c r="AH190"/>
  <c r="AF190"/>
  <c r="AD190"/>
  <c r="AB190"/>
  <c r="Z190"/>
  <c r="X190"/>
  <c r="W190"/>
  <c r="V190"/>
  <c r="S190"/>
  <c r="AV189"/>
  <c r="AT189"/>
  <c r="AR189"/>
  <c r="AP189"/>
  <c r="AN189"/>
  <c r="AL189"/>
  <c r="AB189"/>
  <c r="Z189"/>
  <c r="X189"/>
  <c r="W189"/>
  <c r="V189"/>
  <c r="S189"/>
  <c r="AV188"/>
  <c r="AT188"/>
  <c r="AR188"/>
  <c r="AP188"/>
  <c r="AN188"/>
  <c r="AL188"/>
  <c r="AB188"/>
  <c r="Z188"/>
  <c r="X188"/>
  <c r="W188"/>
  <c r="V188"/>
  <c r="S188"/>
  <c r="AV187"/>
  <c r="AT187"/>
  <c r="AR187"/>
  <c r="AP187"/>
  <c r="AN187"/>
  <c r="AL187"/>
  <c r="AJ187"/>
  <c r="AH187"/>
  <c r="AF187"/>
  <c r="AD187"/>
  <c r="AB187"/>
  <c r="Z187"/>
  <c r="X187"/>
  <c r="W187"/>
  <c r="V187"/>
  <c r="S187"/>
  <c r="AV186"/>
  <c r="AT186"/>
  <c r="AR186"/>
  <c r="AP186"/>
  <c r="AN186"/>
  <c r="AL186"/>
  <c r="AJ186"/>
  <c r="AH186"/>
  <c r="AF186"/>
  <c r="AD186"/>
  <c r="AB186"/>
  <c r="Z186"/>
  <c r="X186"/>
  <c r="W186"/>
  <c r="V186"/>
  <c r="S186"/>
  <c r="AV185"/>
  <c r="AT185"/>
  <c r="AR185"/>
  <c r="AP185"/>
  <c r="AN185"/>
  <c r="AL185"/>
  <c r="AJ185"/>
  <c r="AH185"/>
  <c r="AF185"/>
  <c r="AD185"/>
  <c r="AB185"/>
  <c r="Z185"/>
  <c r="X185"/>
  <c r="W185"/>
  <c r="V185"/>
  <c r="S185"/>
  <c r="AV184"/>
  <c r="AT184"/>
  <c r="AR184"/>
  <c r="AP184"/>
  <c r="AN184"/>
  <c r="AL184"/>
  <c r="AJ184"/>
  <c r="AH184"/>
  <c r="AF184"/>
  <c r="AD184"/>
  <c r="AB184"/>
  <c r="Z184"/>
  <c r="X184"/>
  <c r="W184"/>
  <c r="V184"/>
  <c r="S184"/>
  <c r="AV183"/>
  <c r="AT183"/>
  <c r="AR183"/>
  <c r="AP183"/>
  <c r="AN183"/>
  <c r="AL183"/>
  <c r="AJ183"/>
  <c r="AH183"/>
  <c r="AF183"/>
  <c r="AD183"/>
  <c r="AB183"/>
  <c r="Z183"/>
  <c r="X183"/>
  <c r="W183"/>
  <c r="V183"/>
  <c r="S183"/>
  <c r="AV182"/>
  <c r="AT182"/>
  <c r="AR182"/>
  <c r="AP182"/>
  <c r="AN182"/>
  <c r="AL182"/>
  <c r="AJ182"/>
  <c r="AH182"/>
  <c r="AF182"/>
  <c r="AD182"/>
  <c r="AB182"/>
  <c r="Z182"/>
  <c r="X182"/>
  <c r="W182"/>
  <c r="V182"/>
  <c r="S182"/>
  <c r="AV181"/>
  <c r="AT181"/>
  <c r="AR181"/>
  <c r="AP181"/>
  <c r="AN181"/>
  <c r="AL181"/>
  <c r="AJ181"/>
  <c r="AH181"/>
  <c r="AF181"/>
  <c r="AD181"/>
  <c r="AB181"/>
  <c r="Z181"/>
  <c r="X181"/>
  <c r="W181"/>
  <c r="V181"/>
  <c r="S181"/>
  <c r="AV180"/>
  <c r="AT180"/>
  <c r="AR180"/>
  <c r="AP180"/>
  <c r="AN180"/>
  <c r="AL180"/>
  <c r="AJ180"/>
  <c r="AH180"/>
  <c r="AF180"/>
  <c r="AD180"/>
  <c r="AB180"/>
  <c r="Z180"/>
  <c r="X180"/>
  <c r="W180"/>
  <c r="V180"/>
  <c r="S180"/>
  <c r="AV179"/>
  <c r="AT179"/>
  <c r="AR179"/>
  <c r="AP179"/>
  <c r="AN179"/>
  <c r="AL179"/>
  <c r="AJ179"/>
  <c r="AH179"/>
  <c r="AF179"/>
  <c r="AD179"/>
  <c r="AB179"/>
  <c r="Z179"/>
  <c r="X179"/>
  <c r="W179"/>
  <c r="V179"/>
  <c r="S179"/>
  <c r="AV178"/>
  <c r="AT178"/>
  <c r="AR178"/>
  <c r="AP178"/>
  <c r="AN178"/>
  <c r="AL178"/>
  <c r="AJ178"/>
  <c r="AH178"/>
  <c r="AF178"/>
  <c r="AD178"/>
  <c r="AB178"/>
  <c r="Z178"/>
  <c r="X178"/>
  <c r="W178"/>
  <c r="V178"/>
  <c r="S178"/>
  <c r="AV177"/>
  <c r="AT177"/>
  <c r="AR177"/>
  <c r="AP177"/>
  <c r="AN177"/>
  <c r="AL177"/>
  <c r="AJ177"/>
  <c r="AH177"/>
  <c r="AF177"/>
  <c r="AD177"/>
  <c r="AB177"/>
  <c r="Z177"/>
  <c r="X177"/>
  <c r="W177"/>
  <c r="V177"/>
  <c r="S177"/>
  <c r="AV176"/>
  <c r="AT176"/>
  <c r="AR176"/>
  <c r="AP176"/>
  <c r="AN176"/>
  <c r="AL176"/>
  <c r="AJ176"/>
  <c r="AH176"/>
  <c r="AF176"/>
  <c r="AD176"/>
  <c r="AB176"/>
  <c r="Z176"/>
  <c r="X176"/>
  <c r="W176"/>
  <c r="V176"/>
  <c r="S176"/>
  <c r="AV175"/>
  <c r="AT175"/>
  <c r="AR175"/>
  <c r="AP175"/>
  <c r="AN175"/>
  <c r="AL175"/>
  <c r="AJ175"/>
  <c r="AH175"/>
  <c r="AF175"/>
  <c r="AD175"/>
  <c r="AB175"/>
  <c r="Z175"/>
  <c r="X175"/>
  <c r="W175"/>
  <c r="V175"/>
  <c r="S175"/>
  <c r="AV174"/>
  <c r="AT174"/>
  <c r="AR174"/>
  <c r="AP174"/>
  <c r="AN174"/>
  <c r="AL174"/>
  <c r="AJ174"/>
  <c r="AH174"/>
  <c r="AF174"/>
  <c r="AD174"/>
  <c r="AB174"/>
  <c r="Z174"/>
  <c r="X174"/>
  <c r="W174"/>
  <c r="V174"/>
  <c r="S174"/>
  <c r="AV173"/>
  <c r="AT173"/>
  <c r="AR173"/>
  <c r="AP173"/>
  <c r="AN173"/>
  <c r="AL173"/>
  <c r="AJ173"/>
  <c r="AH173"/>
  <c r="AF173"/>
  <c r="AD173"/>
  <c r="AB173"/>
  <c r="Z173"/>
  <c r="X173"/>
  <c r="W173"/>
  <c r="V173"/>
  <c r="S173"/>
  <c r="AV172"/>
  <c r="AT172"/>
  <c r="AR172"/>
  <c r="AP172"/>
  <c r="AN172"/>
  <c r="AL172"/>
  <c r="AJ172"/>
  <c r="AH172"/>
  <c r="AF172"/>
  <c r="AD172"/>
  <c r="AB172"/>
  <c r="Z172"/>
  <c r="X172"/>
  <c r="W172"/>
  <c r="V172"/>
  <c r="S172"/>
  <c r="AV171"/>
  <c r="AT171"/>
  <c r="AR171"/>
  <c r="AP171"/>
  <c r="AN171"/>
  <c r="AL171"/>
  <c r="AJ171"/>
  <c r="AH171"/>
  <c r="AF171"/>
  <c r="AD171"/>
  <c r="AB171"/>
  <c r="Z171"/>
  <c r="X171"/>
  <c r="W171"/>
  <c r="V171"/>
  <c r="S171"/>
  <c r="AV170"/>
  <c r="AT170"/>
  <c r="AR170"/>
  <c r="AP170"/>
  <c r="AN170"/>
  <c r="AL170"/>
  <c r="AJ170"/>
  <c r="AH170"/>
  <c r="AF170"/>
  <c r="AD170"/>
  <c r="AB170"/>
  <c r="Z170"/>
  <c r="X170"/>
  <c r="W170"/>
  <c r="V170"/>
  <c r="S170"/>
  <c r="AV169"/>
  <c r="AT169"/>
  <c r="AR169"/>
  <c r="AP169"/>
  <c r="AN169"/>
  <c r="AL169"/>
  <c r="AJ169"/>
  <c r="AH169"/>
  <c r="AF169"/>
  <c r="AD169"/>
  <c r="AB169"/>
  <c r="Z169"/>
  <c r="X169"/>
  <c r="W169"/>
  <c r="V169"/>
  <c r="S169"/>
  <c r="AV168"/>
  <c r="AT168"/>
  <c r="AR168"/>
  <c r="AP168"/>
  <c r="AN168"/>
  <c r="AL168"/>
  <c r="AJ168"/>
  <c r="AH168"/>
  <c r="AF168"/>
  <c r="AD168"/>
  <c r="AB168"/>
  <c r="Z168"/>
  <c r="X168"/>
  <c r="W168"/>
  <c r="V168"/>
  <c r="S168"/>
  <c r="AV167"/>
  <c r="AT167"/>
  <c r="AR167"/>
  <c r="AP167"/>
  <c r="AN167"/>
  <c r="AL167"/>
  <c r="AJ167"/>
  <c r="AH167"/>
  <c r="AF167"/>
  <c r="AD167"/>
  <c r="AB167"/>
  <c r="Z167"/>
  <c r="X167"/>
  <c r="W167"/>
  <c r="V167"/>
  <c r="S167"/>
  <c r="AV166"/>
  <c r="AT166"/>
  <c r="AR166"/>
  <c r="AP166"/>
  <c r="AN166"/>
  <c r="AL166"/>
  <c r="AJ166"/>
  <c r="AH166"/>
  <c r="AF166"/>
  <c r="AD166"/>
  <c r="AB166"/>
  <c r="Z166"/>
  <c r="X166"/>
  <c r="W166"/>
  <c r="V166"/>
  <c r="S166"/>
  <c r="AV165"/>
  <c r="AT165"/>
  <c r="AR165"/>
  <c r="AP165"/>
  <c r="AN165"/>
  <c r="AL165"/>
  <c r="AJ165"/>
  <c r="AH165"/>
  <c r="AF165"/>
  <c r="AD165"/>
  <c r="AB165"/>
  <c r="Z165"/>
  <c r="X165"/>
  <c r="W165"/>
  <c r="V165"/>
  <c r="S165"/>
  <c r="AV164"/>
  <c r="AT164"/>
  <c r="AR164"/>
  <c r="AP164"/>
  <c r="AN164"/>
  <c r="AL164"/>
  <c r="AJ164"/>
  <c r="AH164"/>
  <c r="AF164"/>
  <c r="AD164"/>
  <c r="AB164"/>
  <c r="Z164"/>
  <c r="X164"/>
  <c r="W164"/>
  <c r="V164"/>
  <c r="S164"/>
  <c r="AV163"/>
  <c r="AT163"/>
  <c r="AR163"/>
  <c r="AP163"/>
  <c r="AN163"/>
  <c r="AL163"/>
  <c r="AJ163"/>
  <c r="AH163"/>
  <c r="AF163"/>
  <c r="AD163"/>
  <c r="AB163"/>
  <c r="Z163"/>
  <c r="X163"/>
  <c r="W163"/>
  <c r="V163"/>
  <c r="S163"/>
  <c r="AV162"/>
  <c r="AT162"/>
  <c r="AR162"/>
  <c r="AP162"/>
  <c r="AN162"/>
  <c r="AL162"/>
  <c r="AJ162"/>
  <c r="AH162"/>
  <c r="AF162"/>
  <c r="AD162"/>
  <c r="AB162"/>
  <c r="Z162"/>
  <c r="X162"/>
  <c r="W162"/>
  <c r="V162"/>
  <c r="S162"/>
  <c r="AV161"/>
  <c r="AT161"/>
  <c r="AR161"/>
  <c r="AP161"/>
  <c r="AN161"/>
  <c r="AL161"/>
  <c r="AJ161"/>
  <c r="AH161"/>
  <c r="AF161"/>
  <c r="AD161"/>
  <c r="AB161"/>
  <c r="Z161"/>
  <c r="X161"/>
  <c r="W161"/>
  <c r="V161"/>
  <c r="S161"/>
  <c r="AV160"/>
  <c r="AT160"/>
  <c r="AR160"/>
  <c r="AP160"/>
  <c r="AN160"/>
  <c r="AL160"/>
  <c r="AJ160"/>
  <c r="AH160"/>
  <c r="AF160"/>
  <c r="AD160"/>
  <c r="AB160"/>
  <c r="Z160"/>
  <c r="X160"/>
  <c r="W160"/>
  <c r="V160"/>
  <c r="S160"/>
  <c r="AV159"/>
  <c r="AT159"/>
  <c r="AR159"/>
  <c r="AP159"/>
  <c r="AN159"/>
  <c r="AL159"/>
  <c r="AJ159"/>
  <c r="AH159"/>
  <c r="AF159"/>
  <c r="AD159"/>
  <c r="AB159"/>
  <c r="Z159"/>
  <c r="X159"/>
  <c r="W159"/>
  <c r="V159"/>
  <c r="S159"/>
  <c r="AV158"/>
  <c r="AT158"/>
  <c r="AR158"/>
  <c r="AP158"/>
  <c r="AN158"/>
  <c r="AL158"/>
  <c r="AJ158"/>
  <c r="AH158"/>
  <c r="AF158"/>
  <c r="AD158"/>
  <c r="AB158"/>
  <c r="Z158"/>
  <c r="X158"/>
  <c r="W158"/>
  <c r="V158"/>
  <c r="S158"/>
  <c r="AV157"/>
  <c r="AT157"/>
  <c r="AR157"/>
  <c r="AP157"/>
  <c r="AN157"/>
  <c r="AL157"/>
  <c r="AJ157"/>
  <c r="AH157"/>
  <c r="AF157"/>
  <c r="AD157"/>
  <c r="AB157"/>
  <c r="Z157"/>
  <c r="X157"/>
  <c r="W157"/>
  <c r="V157"/>
  <c r="S157"/>
  <c r="AV156"/>
  <c r="AT156"/>
  <c r="AR156"/>
  <c r="AP156"/>
  <c r="AN156"/>
  <c r="AL156"/>
  <c r="AJ156"/>
  <c r="AH156"/>
  <c r="AF156"/>
  <c r="AD156"/>
  <c r="AB156"/>
  <c r="Z156"/>
  <c r="X156"/>
  <c r="W156"/>
  <c r="V156"/>
  <c r="S156"/>
  <c r="AV155"/>
  <c r="AT155"/>
  <c r="AR155"/>
  <c r="AP155"/>
  <c r="AN155"/>
  <c r="AL155"/>
  <c r="AJ155"/>
  <c r="AH155"/>
  <c r="AF155"/>
  <c r="AD155"/>
  <c r="AB155"/>
  <c r="Z155"/>
  <c r="X155"/>
  <c r="W155"/>
  <c r="V155"/>
  <c r="S155"/>
  <c r="AV154"/>
  <c r="AT154"/>
  <c r="AR154"/>
  <c r="AP154"/>
  <c r="AN154"/>
  <c r="AL154"/>
  <c r="AJ154"/>
  <c r="AH154"/>
  <c r="AF154"/>
  <c r="AD154"/>
  <c r="AB154"/>
  <c r="Z154"/>
  <c r="X154"/>
  <c r="W154"/>
  <c r="V154"/>
  <c r="S154"/>
  <c r="AV153"/>
  <c r="AT153"/>
  <c r="AR153"/>
  <c r="AP153"/>
  <c r="AN153"/>
  <c r="AL153"/>
  <c r="AJ153"/>
  <c r="AH153"/>
  <c r="AF153"/>
  <c r="AD153"/>
  <c r="AB153"/>
  <c r="Z153"/>
  <c r="X153"/>
  <c r="W153"/>
  <c r="V153"/>
  <c r="S153"/>
  <c r="AV152"/>
  <c r="AT152"/>
  <c r="AR152"/>
  <c r="AP152"/>
  <c r="AN152"/>
  <c r="AL152"/>
  <c r="AJ152"/>
  <c r="AH152"/>
  <c r="AF152"/>
  <c r="AD152"/>
  <c r="AB152"/>
  <c r="Z152"/>
  <c r="X152"/>
  <c r="W152"/>
  <c r="V152"/>
  <c r="S152"/>
  <c r="AV151"/>
  <c r="AT151"/>
  <c r="AR151"/>
  <c r="AP151"/>
  <c r="AN151"/>
  <c r="AL151"/>
  <c r="AJ151"/>
  <c r="AH151"/>
  <c r="AF151"/>
  <c r="AD151"/>
  <c r="AB151"/>
  <c r="Z151"/>
  <c r="X151"/>
  <c r="W151"/>
  <c r="V151"/>
  <c r="S151"/>
  <c r="AV150"/>
  <c r="AT150"/>
  <c r="AR150"/>
  <c r="AP150"/>
  <c r="AN150"/>
  <c r="AL150"/>
  <c r="AJ150"/>
  <c r="AH150"/>
  <c r="AF150"/>
  <c r="AD150"/>
  <c r="AB150"/>
  <c r="Z150"/>
  <c r="X150"/>
  <c r="W150"/>
  <c r="V150"/>
  <c r="S150"/>
  <c r="AV149"/>
  <c r="AT149"/>
  <c r="AR149"/>
  <c r="AP149"/>
  <c r="AN149"/>
  <c r="AL149"/>
  <c r="AJ149"/>
  <c r="AH149"/>
  <c r="AF149"/>
  <c r="AD149"/>
  <c r="AB149"/>
  <c r="Z149"/>
  <c r="X149"/>
  <c r="W149"/>
  <c r="V149"/>
  <c r="S149"/>
  <c r="AV148"/>
  <c r="AT148"/>
  <c r="AR148"/>
  <c r="AP148"/>
  <c r="AN148"/>
  <c r="AL148"/>
  <c r="AJ148"/>
  <c r="AH148"/>
  <c r="AF148"/>
  <c r="AD148"/>
  <c r="AB148"/>
  <c r="Z148"/>
  <c r="X148"/>
  <c r="W148"/>
  <c r="V148"/>
  <c r="S148"/>
  <c r="AV147"/>
  <c r="AT147"/>
  <c r="AR147"/>
  <c r="AP147"/>
  <c r="AN147"/>
  <c r="AL147"/>
  <c r="AJ147"/>
  <c r="AH147"/>
  <c r="AF147"/>
  <c r="AD147"/>
  <c r="AB147"/>
  <c r="Z147"/>
  <c r="X147"/>
  <c r="W147"/>
  <c r="V147"/>
  <c r="S147"/>
  <c r="AV146"/>
  <c r="AT146"/>
  <c r="AR146"/>
  <c r="AP146"/>
  <c r="AN146"/>
  <c r="AL146"/>
  <c r="AJ146"/>
  <c r="AH146"/>
  <c r="AF146"/>
  <c r="AD146"/>
  <c r="AB146"/>
  <c r="Z146"/>
  <c r="X146"/>
  <c r="W146"/>
  <c r="V146"/>
  <c r="S146"/>
  <c r="AV145"/>
  <c r="AT145"/>
  <c r="AR145"/>
  <c r="AP145"/>
  <c r="AN145"/>
  <c r="AL145"/>
  <c r="AJ145"/>
  <c r="AH145"/>
  <c r="AF145"/>
  <c r="AD145"/>
  <c r="AB145"/>
  <c r="Z145"/>
  <c r="X145"/>
  <c r="W145"/>
  <c r="V145"/>
  <c r="S145"/>
  <c r="AV144"/>
  <c r="AT144"/>
  <c r="AR144"/>
  <c r="AP144"/>
  <c r="AN144"/>
  <c r="AL144"/>
  <c r="AJ144"/>
  <c r="AH144"/>
  <c r="AF144"/>
  <c r="AD144"/>
  <c r="AB144"/>
  <c r="Z144"/>
  <c r="X144"/>
  <c r="W144"/>
  <c r="V144"/>
  <c r="S144"/>
  <c r="AV143"/>
  <c r="AT143"/>
  <c r="AR143"/>
  <c r="AP143"/>
  <c r="AN143"/>
  <c r="AL143"/>
  <c r="AJ143"/>
  <c r="AH143"/>
  <c r="AF143"/>
  <c r="AD143"/>
  <c r="AB143"/>
  <c r="Z143"/>
  <c r="X143"/>
  <c r="W143"/>
  <c r="V143"/>
  <c r="S143"/>
  <c r="AV142"/>
  <c r="AT142"/>
  <c r="AR142"/>
  <c r="AP142"/>
  <c r="AN142"/>
  <c r="AL142"/>
  <c r="AJ142"/>
  <c r="AH142"/>
  <c r="AF142"/>
  <c r="AD142"/>
  <c r="AB142"/>
  <c r="Z142"/>
  <c r="X142"/>
  <c r="W142"/>
  <c r="V142"/>
  <c r="S142"/>
  <c r="AV141"/>
  <c r="AT141"/>
  <c r="AR141"/>
  <c r="AP141"/>
  <c r="AN141"/>
  <c r="AL141"/>
  <c r="AJ141"/>
  <c r="AH141"/>
  <c r="AF141"/>
  <c r="AD141"/>
  <c r="AB141"/>
  <c r="Z141"/>
  <c r="X141"/>
  <c r="W141"/>
  <c r="V141"/>
  <c r="S141"/>
  <c r="AV140"/>
  <c r="AT140"/>
  <c r="AR140"/>
  <c r="AP140"/>
  <c r="AN140"/>
  <c r="AL140"/>
  <c r="AJ140"/>
  <c r="AH140"/>
  <c r="AF140"/>
  <c r="AD140"/>
  <c r="AB140"/>
  <c r="Z140"/>
  <c r="X140"/>
  <c r="W140"/>
  <c r="V140"/>
  <c r="S140"/>
  <c r="AV139"/>
  <c r="AT139"/>
  <c r="AR139"/>
  <c r="AP139"/>
  <c r="AN139"/>
  <c r="AL139"/>
  <c r="AJ139"/>
  <c r="AH139"/>
  <c r="AF139"/>
  <c r="AD139"/>
  <c r="AB139"/>
  <c r="Z139"/>
  <c r="X139"/>
  <c r="W139"/>
  <c r="V139"/>
  <c r="S139"/>
  <c r="AV138"/>
  <c r="AT138"/>
  <c r="AR138"/>
  <c r="AP138"/>
  <c r="AN138"/>
  <c r="AL138"/>
  <c r="AJ138"/>
  <c r="AH138"/>
  <c r="AF138"/>
  <c r="AD138"/>
  <c r="AB138"/>
  <c r="Z138"/>
  <c r="X138"/>
  <c r="W138"/>
  <c r="V138"/>
  <c r="S138"/>
  <c r="AV137"/>
  <c r="AT137"/>
  <c r="AR137"/>
  <c r="AP137"/>
  <c r="AN137"/>
  <c r="AL137"/>
  <c r="AJ137"/>
  <c r="AH137"/>
  <c r="AF137"/>
  <c r="AD137"/>
  <c r="AB137"/>
  <c r="Z137"/>
  <c r="X137"/>
  <c r="W137"/>
  <c r="V137"/>
  <c r="S137"/>
  <c r="AV136"/>
  <c r="AT136"/>
  <c r="AR136"/>
  <c r="AP136"/>
  <c r="AN136"/>
  <c r="AL136"/>
  <c r="AJ136"/>
  <c r="AH136"/>
  <c r="AF136"/>
  <c r="AD136"/>
  <c r="AB136"/>
  <c r="Z136"/>
  <c r="X136"/>
  <c r="W136"/>
  <c r="V136"/>
  <c r="S136"/>
  <c r="AV135"/>
  <c r="AT135"/>
  <c r="AR135"/>
  <c r="AP135"/>
  <c r="AN135"/>
  <c r="AL135"/>
  <c r="AJ135"/>
  <c r="AH135"/>
  <c r="AF135"/>
  <c r="AD135"/>
  <c r="AB135"/>
  <c r="Z135"/>
  <c r="X135"/>
  <c r="W135"/>
  <c r="V135"/>
  <c r="S135"/>
  <c r="W134"/>
  <c r="V134"/>
  <c r="Q134"/>
  <c r="AV134" s="1"/>
  <c r="P134"/>
  <c r="W133"/>
  <c r="V133"/>
  <c r="Q133"/>
  <c r="AJ133" s="1"/>
  <c r="P133"/>
  <c r="W132"/>
  <c r="V132"/>
  <c r="Q132"/>
  <c r="AV132" s="1"/>
  <c r="P132"/>
  <c r="AV131"/>
  <c r="AT131"/>
  <c r="AR131"/>
  <c r="AP131"/>
  <c r="AN131"/>
  <c r="AL131"/>
  <c r="AJ131"/>
  <c r="AH131"/>
  <c r="AF131"/>
  <c r="AD131"/>
  <c r="AB131"/>
  <c r="Z131"/>
  <c r="X131"/>
  <c r="W131"/>
  <c r="V131"/>
  <c r="S131"/>
  <c r="AV130"/>
  <c r="AT130"/>
  <c r="AR130"/>
  <c r="AP130"/>
  <c r="AN130"/>
  <c r="AL130"/>
  <c r="AJ130"/>
  <c r="AH130"/>
  <c r="AF130"/>
  <c r="AD130"/>
  <c r="AB130"/>
  <c r="Z130"/>
  <c r="X130"/>
  <c r="W130"/>
  <c r="V130"/>
  <c r="S130"/>
  <c r="AV129"/>
  <c r="AT129"/>
  <c r="AR129"/>
  <c r="AP129"/>
  <c r="AN129"/>
  <c r="AL129"/>
  <c r="AJ129"/>
  <c r="AH129"/>
  <c r="AF129"/>
  <c r="AD129"/>
  <c r="AB129"/>
  <c r="Z129"/>
  <c r="X129"/>
  <c r="W129"/>
  <c r="V129"/>
  <c r="S129"/>
  <c r="AV128"/>
  <c r="AT128"/>
  <c r="AR128"/>
  <c r="AP128"/>
  <c r="AN128"/>
  <c r="AL128"/>
  <c r="AJ128"/>
  <c r="AH128"/>
  <c r="AF128"/>
  <c r="AD128"/>
  <c r="AB128"/>
  <c r="Z128"/>
  <c r="X128"/>
  <c r="W128"/>
  <c r="V128"/>
  <c r="S128"/>
  <c r="AV127"/>
  <c r="AS127"/>
  <c r="AT127" s="1"/>
  <c r="AR127"/>
  <c r="AP127"/>
  <c r="AN127"/>
  <c r="AL127"/>
  <c r="AJ127"/>
  <c r="AH127"/>
  <c r="AF127"/>
  <c r="AD127"/>
  <c r="AB127"/>
  <c r="Z127"/>
  <c r="S127"/>
  <c r="AV126"/>
  <c r="AT126"/>
  <c r="AR126"/>
  <c r="AP126"/>
  <c r="AN126"/>
  <c r="AL126"/>
  <c r="AJ126"/>
  <c r="AH126"/>
  <c r="AF126"/>
  <c r="AD126"/>
  <c r="AB126"/>
  <c r="Z126"/>
  <c r="W126"/>
  <c r="S126"/>
  <c r="AV125"/>
  <c r="AT125"/>
  <c r="AR125"/>
  <c r="AP125"/>
  <c r="AN125"/>
  <c r="AL125"/>
  <c r="AJ125"/>
  <c r="AH125"/>
  <c r="AF125"/>
  <c r="AD125"/>
  <c r="AB125"/>
  <c r="Z125"/>
  <c r="W125"/>
  <c r="S125"/>
  <c r="AV124"/>
  <c r="AT124"/>
  <c r="AR124"/>
  <c r="AP124"/>
  <c r="AN124"/>
  <c r="AL124"/>
  <c r="AJ124"/>
  <c r="AH124"/>
  <c r="AF124"/>
  <c r="AD124"/>
  <c r="AB124"/>
  <c r="Z124"/>
  <c r="W124"/>
  <c r="S124"/>
  <c r="AV123"/>
  <c r="AT123"/>
  <c r="AR123"/>
  <c r="AP123"/>
  <c r="AN123"/>
  <c r="AL123"/>
  <c r="AJ123"/>
  <c r="AH123"/>
  <c r="AF123"/>
  <c r="AD123"/>
  <c r="AB123"/>
  <c r="Z123"/>
  <c r="W123"/>
  <c r="S123"/>
  <c r="AV122"/>
  <c r="AT122"/>
  <c r="AR122"/>
  <c r="AP122"/>
  <c r="AN122"/>
  <c r="AL122"/>
  <c r="AJ122"/>
  <c r="AH122"/>
  <c r="AF122"/>
  <c r="AD122"/>
  <c r="AB122"/>
  <c r="Z122"/>
  <c r="W122"/>
  <c r="S122"/>
  <c r="AV121"/>
  <c r="AT121"/>
  <c r="AR121"/>
  <c r="AP121"/>
  <c r="AN121"/>
  <c r="AL121"/>
  <c r="AJ121"/>
  <c r="AH121"/>
  <c r="AF121"/>
  <c r="AD121"/>
  <c r="AB121"/>
  <c r="Z121"/>
  <c r="W121"/>
  <c r="S121"/>
  <c r="AV120"/>
  <c r="AT120"/>
  <c r="AR120"/>
  <c r="AP120"/>
  <c r="AN120"/>
  <c r="AL120"/>
  <c r="AJ120"/>
  <c r="AH120"/>
  <c r="AF120"/>
  <c r="AD120"/>
  <c r="AB120"/>
  <c r="Z120"/>
  <c r="W120"/>
  <c r="S120"/>
  <c r="AV119"/>
  <c r="AT119"/>
  <c r="AR119"/>
  <c r="AP119"/>
  <c r="AN119"/>
  <c r="AL119"/>
  <c r="AJ119"/>
  <c r="AH119"/>
  <c r="AF119"/>
  <c r="AD119"/>
  <c r="AB119"/>
  <c r="Z119"/>
  <c r="W119"/>
  <c r="S119"/>
  <c r="AV118"/>
  <c r="AT118"/>
  <c r="AR118"/>
  <c r="AP118"/>
  <c r="AN118"/>
  <c r="AL118"/>
  <c r="AJ118"/>
  <c r="AH118"/>
  <c r="AF118"/>
  <c r="AD118"/>
  <c r="AB118"/>
  <c r="Z118"/>
  <c r="W118"/>
  <c r="S118"/>
  <c r="AV117"/>
  <c r="AT117"/>
  <c r="AR117"/>
  <c r="AP117"/>
  <c r="AN117"/>
  <c r="AL117"/>
  <c r="AJ117"/>
  <c r="AH117"/>
  <c r="AF117"/>
  <c r="AD117"/>
  <c r="AB117"/>
  <c r="Z117"/>
  <c r="W117"/>
  <c r="S117"/>
  <c r="AV116"/>
  <c r="AT116"/>
  <c r="AR116"/>
  <c r="AP116"/>
  <c r="AN116"/>
  <c r="AL116"/>
  <c r="AJ116"/>
  <c r="AH116"/>
  <c r="AF116"/>
  <c r="AD116"/>
  <c r="AB116"/>
  <c r="Z116"/>
  <c r="W116"/>
  <c r="S116"/>
  <c r="AV115"/>
  <c r="AT115"/>
  <c r="AR115"/>
  <c r="AP115"/>
  <c r="AN115"/>
  <c r="AL115"/>
  <c r="AJ115"/>
  <c r="AH115"/>
  <c r="AF115"/>
  <c r="AD115"/>
  <c r="AB115"/>
  <c r="Z115"/>
  <c r="W115"/>
  <c r="S115"/>
  <c r="AV114"/>
  <c r="AT114"/>
  <c r="AR114"/>
  <c r="AP114"/>
  <c r="AN114"/>
  <c r="AL114"/>
  <c r="AJ114"/>
  <c r="AH114"/>
  <c r="AF114"/>
  <c r="AD114"/>
  <c r="AB114"/>
  <c r="Z114"/>
  <c r="W114"/>
  <c r="S114"/>
  <c r="AV113"/>
  <c r="AT113"/>
  <c r="AR113"/>
  <c r="AP113"/>
  <c r="AN113"/>
  <c r="AL113"/>
  <c r="AJ113"/>
  <c r="AH113"/>
  <c r="AF113"/>
  <c r="AD113"/>
  <c r="AB113"/>
  <c r="Z113"/>
  <c r="W113"/>
  <c r="S113"/>
  <c r="AV112"/>
  <c r="AT112"/>
  <c r="AR112"/>
  <c r="AP112"/>
  <c r="AN112"/>
  <c r="AL112"/>
  <c r="AJ112"/>
  <c r="AH112"/>
  <c r="AF112"/>
  <c r="AD112"/>
  <c r="AB112"/>
  <c r="Z112"/>
  <c r="W112"/>
  <c r="S112"/>
  <c r="AV111"/>
  <c r="AT111"/>
  <c r="AR111"/>
  <c r="AP111"/>
  <c r="AN111"/>
  <c r="AL111"/>
  <c r="AB111"/>
  <c r="Z111"/>
  <c r="W111"/>
  <c r="S111"/>
  <c r="AV110"/>
  <c r="AT110"/>
  <c r="AR110"/>
  <c r="AP110"/>
  <c r="AN110"/>
  <c r="AL110"/>
  <c r="AB110"/>
  <c r="Z110"/>
  <c r="W110"/>
  <c r="S110"/>
  <c r="AV109"/>
  <c r="AT109"/>
  <c r="AR109"/>
  <c r="AP109"/>
  <c r="AN109"/>
  <c r="AL109"/>
  <c r="AJ109"/>
  <c r="AH109"/>
  <c r="AF109"/>
  <c r="AD109"/>
  <c r="AB109"/>
  <c r="Z109"/>
  <c r="W109"/>
  <c r="S109"/>
  <c r="AV108"/>
  <c r="AT108"/>
  <c r="AR108"/>
  <c r="AP108"/>
  <c r="AN108"/>
  <c r="AL108"/>
  <c r="AB108"/>
  <c r="Z108"/>
  <c r="W108"/>
  <c r="S108"/>
  <c r="AV107"/>
  <c r="AT107"/>
  <c r="AR107"/>
  <c r="AP107"/>
  <c r="AN107"/>
  <c r="AL107"/>
  <c r="AB107"/>
  <c r="Z107"/>
  <c r="W107"/>
  <c r="S107"/>
  <c r="AV106"/>
  <c r="AT106"/>
  <c r="AR106"/>
  <c r="AP106"/>
  <c r="AN106"/>
  <c r="AL106"/>
  <c r="AJ106"/>
  <c r="AH106"/>
  <c r="AF106"/>
  <c r="AD106"/>
  <c r="AB106"/>
  <c r="Z106"/>
  <c r="W106"/>
  <c r="S106"/>
  <c r="AV105"/>
  <c r="AT105"/>
  <c r="AR105"/>
  <c r="AP105"/>
  <c r="AN105"/>
  <c r="AL105"/>
  <c r="AJ105"/>
  <c r="AH105"/>
  <c r="AF105"/>
  <c r="AD105"/>
  <c r="AB105"/>
  <c r="Z105"/>
  <c r="W105"/>
  <c r="S105"/>
  <c r="AV104"/>
  <c r="AT104"/>
  <c r="AR104"/>
  <c r="AP104"/>
  <c r="AN104"/>
  <c r="AL104"/>
  <c r="AJ104"/>
  <c r="AH104"/>
  <c r="AF104"/>
  <c r="AD104"/>
  <c r="AB104"/>
  <c r="Z104"/>
  <c r="W104"/>
  <c r="S104"/>
  <c r="AV103"/>
  <c r="AT103"/>
  <c r="AR103"/>
  <c r="AP103"/>
  <c r="AN103"/>
  <c r="AL103"/>
  <c r="AJ103"/>
  <c r="AH103"/>
  <c r="AF103"/>
  <c r="AD103"/>
  <c r="AB103"/>
  <c r="Z103"/>
  <c r="W103"/>
  <c r="S103"/>
  <c r="AV102"/>
  <c r="AT102"/>
  <c r="AR102"/>
  <c r="AP102"/>
  <c r="AN102"/>
  <c r="AL102"/>
  <c r="AJ102"/>
  <c r="AH102"/>
  <c r="AF102"/>
  <c r="AD102"/>
  <c r="AB102"/>
  <c r="Z102"/>
  <c r="W102"/>
  <c r="S102"/>
  <c r="AV101"/>
  <c r="AT101"/>
  <c r="AR101"/>
  <c r="AP101"/>
  <c r="AN101"/>
  <c r="AL101"/>
  <c r="AJ101"/>
  <c r="AH101"/>
  <c r="AF101"/>
  <c r="AD101"/>
  <c r="AB101"/>
  <c r="Z101"/>
  <c r="W101"/>
  <c r="S101"/>
  <c r="AV100"/>
  <c r="AT100"/>
  <c r="AR100"/>
  <c r="AP100"/>
  <c r="AN100"/>
  <c r="AL100"/>
  <c r="AJ100"/>
  <c r="AH100"/>
  <c r="AF100"/>
  <c r="AD100"/>
  <c r="AB100"/>
  <c r="Z100"/>
  <c r="W100"/>
  <c r="S100"/>
  <c r="AV99"/>
  <c r="AT99"/>
  <c r="AR99"/>
  <c r="AP99"/>
  <c r="AN99"/>
  <c r="AL99"/>
  <c r="AJ99"/>
  <c r="AH99"/>
  <c r="AF99"/>
  <c r="AD99"/>
  <c r="AB99"/>
  <c r="Z99"/>
  <c r="W99"/>
  <c r="S99"/>
  <c r="AV98"/>
  <c r="AT98"/>
  <c r="AR98"/>
  <c r="AP98"/>
  <c r="AN98"/>
  <c r="AL98"/>
  <c r="AJ98"/>
  <c r="AH98"/>
  <c r="AF98"/>
  <c r="AD98"/>
  <c r="AB98"/>
  <c r="Z98"/>
  <c r="W98"/>
  <c r="S98"/>
  <c r="AV97"/>
  <c r="AT97"/>
  <c r="AR97"/>
  <c r="AP97"/>
  <c r="AN97"/>
  <c r="AL97"/>
  <c r="AB97"/>
  <c r="Z97"/>
  <c r="W97"/>
  <c r="S97"/>
  <c r="AV96"/>
  <c r="AT96"/>
  <c r="AR96"/>
  <c r="AP96"/>
  <c r="AN96"/>
  <c r="AL96"/>
  <c r="AB96"/>
  <c r="Z96"/>
  <c r="W96"/>
  <c r="S96"/>
  <c r="AV95"/>
  <c r="AT95"/>
  <c r="AR95"/>
  <c r="AP95"/>
  <c r="AN95"/>
  <c r="AL95"/>
  <c r="AB95"/>
  <c r="Z95"/>
  <c r="W95"/>
  <c r="S95"/>
  <c r="AV94"/>
  <c r="AT94"/>
  <c r="AR94"/>
  <c r="AP94"/>
  <c r="AN94"/>
  <c r="AL94"/>
  <c r="AB94"/>
  <c r="Z94"/>
  <c r="W94"/>
  <c r="S94"/>
  <c r="AV93"/>
  <c r="AT93"/>
  <c r="AR93"/>
  <c r="AP93"/>
  <c r="AN93"/>
  <c r="AL93"/>
  <c r="AB93"/>
  <c r="Z93"/>
  <c r="W93"/>
  <c r="S93"/>
  <c r="AV92"/>
  <c r="AT92"/>
  <c r="AR92"/>
  <c r="AP92"/>
  <c r="AN92"/>
  <c r="AL92"/>
  <c r="AB92"/>
  <c r="Z92"/>
  <c r="W92"/>
  <c r="S92"/>
  <c r="AV91"/>
  <c r="AT91"/>
  <c r="AR91"/>
  <c r="AP91"/>
  <c r="AN91"/>
  <c r="AL91"/>
  <c r="AB91"/>
  <c r="Z91"/>
  <c r="W91"/>
  <c r="S91"/>
  <c r="AV90"/>
  <c r="AT90"/>
  <c r="AR90"/>
  <c r="AP90"/>
  <c r="AN90"/>
  <c r="AL90"/>
  <c r="AJ90"/>
  <c r="AH90"/>
  <c r="AF90"/>
  <c r="AD90"/>
  <c r="AB90"/>
  <c r="Z90"/>
  <c r="W90"/>
  <c r="S90"/>
  <c r="AV89"/>
  <c r="AT89"/>
  <c r="AR89"/>
  <c r="AP89"/>
  <c r="AN89"/>
  <c r="AL89"/>
  <c r="AB89"/>
  <c r="Z89"/>
  <c r="W89"/>
  <c r="S89"/>
  <c r="AV88"/>
  <c r="AT88"/>
  <c r="AR88"/>
  <c r="AP88"/>
  <c r="AN88"/>
  <c r="AL88"/>
  <c r="AB88"/>
  <c r="Z88"/>
  <c r="W88"/>
  <c r="S88"/>
  <c r="AW87"/>
  <c r="AV87"/>
  <c r="AU87"/>
  <c r="AT87"/>
  <c r="AR87"/>
  <c r="AP87"/>
  <c r="AN87"/>
  <c r="AL87"/>
  <c r="AB87"/>
  <c r="Z87"/>
  <c r="W87"/>
  <c r="S87"/>
  <c r="AV86"/>
  <c r="AT86"/>
  <c r="AR86"/>
  <c r="AP86"/>
  <c r="AN86"/>
  <c r="AL86"/>
  <c r="AJ86"/>
  <c r="AH86"/>
  <c r="AF86"/>
  <c r="AD86"/>
  <c r="AB86"/>
  <c r="Z86"/>
  <c r="W86"/>
  <c r="S86"/>
  <c r="AV85"/>
  <c r="AT85"/>
  <c r="AR85"/>
  <c r="AP85"/>
  <c r="AN85"/>
  <c r="AL85"/>
  <c r="AJ85"/>
  <c r="AH85"/>
  <c r="AF85"/>
  <c r="AD85"/>
  <c r="AB85"/>
  <c r="Z85"/>
  <c r="W85"/>
  <c r="S85"/>
  <c r="AV84"/>
  <c r="AT84"/>
  <c r="AR84"/>
  <c r="AP84"/>
  <c r="AN84"/>
  <c r="AL84"/>
  <c r="AJ84"/>
  <c r="AH84"/>
  <c r="AF84"/>
  <c r="AD84"/>
  <c r="AB84"/>
  <c r="Z84"/>
  <c r="W84"/>
  <c r="S84"/>
  <c r="AV83"/>
  <c r="AT83"/>
  <c r="AR83"/>
  <c r="AP83"/>
  <c r="AN83"/>
  <c r="AL83"/>
  <c r="AJ83"/>
  <c r="AH83"/>
  <c r="AF83"/>
  <c r="AD83"/>
  <c r="AB83"/>
  <c r="Z83"/>
  <c r="W83"/>
  <c r="S83"/>
  <c r="AV82"/>
  <c r="AT82"/>
  <c r="AR82"/>
  <c r="AP82"/>
  <c r="AN82"/>
  <c r="AL82"/>
  <c r="AJ82"/>
  <c r="AH82"/>
  <c r="AF82"/>
  <c r="AD82"/>
  <c r="AB82"/>
  <c r="Z82"/>
  <c r="W82"/>
  <c r="S82"/>
  <c r="AV81"/>
  <c r="AT81"/>
  <c r="AR81"/>
  <c r="AP81"/>
  <c r="AN81"/>
  <c r="AL81"/>
  <c r="AJ81"/>
  <c r="AH81"/>
  <c r="AF81"/>
  <c r="AD81"/>
  <c r="AB81"/>
  <c r="Z81"/>
  <c r="W81"/>
  <c r="S81"/>
  <c r="AV80"/>
  <c r="AT80"/>
  <c r="AR80"/>
  <c r="AP80"/>
  <c r="AN80"/>
  <c r="AL80"/>
  <c r="AJ80"/>
  <c r="AH80"/>
  <c r="AF80"/>
  <c r="AD80"/>
  <c r="AB80"/>
  <c r="Z80"/>
  <c r="W80"/>
  <c r="S80"/>
  <c r="AV79"/>
  <c r="AT79"/>
  <c r="AR79"/>
  <c r="AP79"/>
  <c r="AN79"/>
  <c r="AL79"/>
  <c r="AJ79"/>
  <c r="AH79"/>
  <c r="AF79"/>
  <c r="AD79"/>
  <c r="AB79"/>
  <c r="Z79"/>
  <c r="W79"/>
  <c r="S79"/>
  <c r="AV78"/>
  <c r="AT78"/>
  <c r="AR78"/>
  <c r="AP78"/>
  <c r="AN78"/>
  <c r="AL78"/>
  <c r="AJ78"/>
  <c r="AH78"/>
  <c r="AF78"/>
  <c r="AD78"/>
  <c r="AB78"/>
  <c r="Z78"/>
  <c r="W78"/>
  <c r="S78"/>
  <c r="AV77"/>
  <c r="AT77"/>
  <c r="AR77"/>
  <c r="AP77"/>
  <c r="AN77"/>
  <c r="AL77"/>
  <c r="AJ77"/>
  <c r="AH77"/>
  <c r="AF77"/>
  <c r="AD77"/>
  <c r="AB77"/>
  <c r="Z77"/>
  <c r="W77"/>
  <c r="S77"/>
  <c r="AV76"/>
  <c r="AT76"/>
  <c r="AR76"/>
  <c r="AP76"/>
  <c r="AN76"/>
  <c r="AL76"/>
  <c r="AJ76"/>
  <c r="AH76"/>
  <c r="AF76"/>
  <c r="AD76"/>
  <c r="AB76"/>
  <c r="Z76"/>
  <c r="W76"/>
  <c r="S76"/>
  <c r="AV75"/>
  <c r="AT75"/>
  <c r="AR75"/>
  <c r="AP75"/>
  <c r="AN75"/>
  <c r="AL75"/>
  <c r="AJ75"/>
  <c r="AH75"/>
  <c r="AF75"/>
  <c r="AD75"/>
  <c r="AB75"/>
  <c r="Z75"/>
  <c r="W75"/>
  <c r="S75"/>
  <c r="AV74"/>
  <c r="AT74"/>
  <c r="AR74"/>
  <c r="AP74"/>
  <c r="AN74"/>
  <c r="AL74"/>
  <c r="AJ74"/>
  <c r="AH74"/>
  <c r="AF74"/>
  <c r="AD74"/>
  <c r="AB74"/>
  <c r="Z74"/>
  <c r="W74"/>
  <c r="S74"/>
  <c r="AV73"/>
  <c r="AT73"/>
  <c r="AR73"/>
  <c r="AP73"/>
  <c r="AN73"/>
  <c r="AL73"/>
  <c r="AJ73"/>
  <c r="AH73"/>
  <c r="AF73"/>
  <c r="AD73"/>
  <c r="AB73"/>
  <c r="Z73"/>
  <c r="W73"/>
  <c r="S73"/>
  <c r="AV72"/>
  <c r="AT72"/>
  <c r="AR72"/>
  <c r="AP72"/>
  <c r="AN72"/>
  <c r="AL72"/>
  <c r="AJ72"/>
  <c r="AH72"/>
  <c r="AF72"/>
  <c r="AD72"/>
  <c r="AB72"/>
  <c r="Z72"/>
  <c r="W72"/>
  <c r="S72"/>
  <c r="AV71"/>
  <c r="AT71"/>
  <c r="AR71"/>
  <c r="AP71"/>
  <c r="AN71"/>
  <c r="AL71"/>
  <c r="AJ71"/>
  <c r="AH71"/>
  <c r="AF71"/>
  <c r="AD71"/>
  <c r="AB71"/>
  <c r="Z71"/>
  <c r="W71"/>
  <c r="S71"/>
  <c r="AV70"/>
  <c r="AT70"/>
  <c r="AR70"/>
  <c r="AP70"/>
  <c r="AN70"/>
  <c r="AL70"/>
  <c r="AJ70"/>
  <c r="AH70"/>
  <c r="AF70"/>
  <c r="AD70"/>
  <c r="AB70"/>
  <c r="Z70"/>
  <c r="W70"/>
  <c r="S70"/>
  <c r="AV69"/>
  <c r="AT69"/>
  <c r="AR69"/>
  <c r="AP69"/>
  <c r="AN69"/>
  <c r="AL69"/>
  <c r="AJ69"/>
  <c r="AH69"/>
  <c r="AF69"/>
  <c r="AD69"/>
  <c r="AB69"/>
  <c r="Z69"/>
  <c r="W69"/>
  <c r="S69"/>
  <c r="AV68"/>
  <c r="AT68"/>
  <c r="AR68"/>
  <c r="AP68"/>
  <c r="AN68"/>
  <c r="AL68"/>
  <c r="AJ68"/>
  <c r="AH68"/>
  <c r="AG68"/>
  <c r="AF68"/>
  <c r="AD68"/>
  <c r="AB68"/>
  <c r="Z68"/>
  <c r="X68"/>
  <c r="W68"/>
  <c r="V68"/>
  <c r="S68"/>
  <c r="AV67"/>
  <c r="AT67"/>
  <c r="AR67"/>
  <c r="AP67"/>
  <c r="AN67"/>
  <c r="AL67"/>
  <c r="AJ67"/>
  <c r="AH67"/>
  <c r="AF67"/>
  <c r="AD67"/>
  <c r="AB67"/>
  <c r="Z67"/>
  <c r="X67"/>
  <c r="W67"/>
  <c r="V67"/>
  <c r="S67"/>
  <c r="AV66"/>
  <c r="AT66"/>
  <c r="AR66"/>
  <c r="AP66"/>
  <c r="AN66"/>
  <c r="AL66"/>
  <c r="AJ66"/>
  <c r="AH66"/>
  <c r="AF66"/>
  <c r="AD66"/>
  <c r="AB66"/>
  <c r="Z66"/>
  <c r="X66"/>
  <c r="W66"/>
  <c r="V66"/>
  <c r="S66"/>
  <c r="AV65"/>
  <c r="AT65"/>
  <c r="AR65"/>
  <c r="AP65"/>
  <c r="AN65"/>
  <c r="AL65"/>
  <c r="AJ65"/>
  <c r="AH65"/>
  <c r="AF65"/>
  <c r="AD65"/>
  <c r="AB65"/>
  <c r="Z65"/>
  <c r="X65"/>
  <c r="W65"/>
  <c r="V65"/>
  <c r="S65"/>
  <c r="AV64"/>
  <c r="AT64"/>
  <c r="AR64"/>
  <c r="AP64"/>
  <c r="AN64"/>
  <c r="AL64"/>
  <c r="AJ64"/>
  <c r="AH64"/>
  <c r="AF64"/>
  <c r="AD64"/>
  <c r="AB64"/>
  <c r="Z64"/>
  <c r="X64"/>
  <c r="W64"/>
  <c r="V64"/>
  <c r="S64"/>
  <c r="AV63"/>
  <c r="AT63"/>
  <c r="AR63"/>
  <c r="AP63"/>
  <c r="AN63"/>
  <c r="AL63"/>
  <c r="AJ63"/>
  <c r="AH63"/>
  <c r="AF63"/>
  <c r="AD63"/>
  <c r="AB63"/>
  <c r="Z63"/>
  <c r="X63"/>
  <c r="W63"/>
  <c r="V63"/>
  <c r="S63"/>
  <c r="AV62"/>
  <c r="AT62"/>
  <c r="AR62"/>
  <c r="AP62"/>
  <c r="AN62"/>
  <c r="AL62"/>
  <c r="AJ62"/>
  <c r="AH62"/>
  <c r="AF62"/>
  <c r="AD62"/>
  <c r="AB62"/>
  <c r="Z62"/>
  <c r="X62"/>
  <c r="W62"/>
  <c r="V62"/>
  <c r="S62"/>
  <c r="AV61"/>
  <c r="AT61"/>
  <c r="AR61"/>
  <c r="AP61"/>
  <c r="AN61"/>
  <c r="AL61"/>
  <c r="AJ61"/>
  <c r="AH61"/>
  <c r="AF61"/>
  <c r="AD61"/>
  <c r="AB61"/>
  <c r="Z61"/>
  <c r="X61"/>
  <c r="W61"/>
  <c r="V61"/>
  <c r="S61"/>
  <c r="AV60"/>
  <c r="AT60"/>
  <c r="AR60"/>
  <c r="AP60"/>
  <c r="AN60"/>
  <c r="AL60"/>
  <c r="AJ60"/>
  <c r="AH60"/>
  <c r="AF60"/>
  <c r="AD60"/>
  <c r="AB60"/>
  <c r="Z60"/>
  <c r="X60"/>
  <c r="W60"/>
  <c r="V60"/>
  <c r="S60"/>
  <c r="AV59"/>
  <c r="AT59"/>
  <c r="AR59"/>
  <c r="AP59"/>
  <c r="AN59"/>
  <c r="AL59"/>
  <c r="AJ59"/>
  <c r="AH59"/>
  <c r="AF59"/>
  <c r="AD59"/>
  <c r="AB59"/>
  <c r="Z59"/>
  <c r="X59"/>
  <c r="W59"/>
  <c r="V59"/>
  <c r="S59"/>
  <c r="AV58"/>
  <c r="AT58"/>
  <c r="AR58"/>
  <c r="AP58"/>
  <c r="AN58"/>
  <c r="AL58"/>
  <c r="AJ58"/>
  <c r="AH58"/>
  <c r="AF58"/>
  <c r="AD58"/>
  <c r="AB58"/>
  <c r="Z58"/>
  <c r="X58"/>
  <c r="W58"/>
  <c r="V58"/>
  <c r="S58"/>
  <c r="AV57"/>
  <c r="AT57"/>
  <c r="AR57"/>
  <c r="AP57"/>
  <c r="AN57"/>
  <c r="AL57"/>
  <c r="AJ57"/>
  <c r="AH57"/>
  <c r="AF57"/>
  <c r="AD57"/>
  <c r="AB57"/>
  <c r="Z57"/>
  <c r="X57"/>
  <c r="W57"/>
  <c r="V57"/>
  <c r="S57"/>
  <c r="AV56"/>
  <c r="AT56"/>
  <c r="AR56"/>
  <c r="AP56"/>
  <c r="AN56"/>
  <c r="AL56"/>
  <c r="AJ56"/>
  <c r="AH56"/>
  <c r="AF56"/>
  <c r="AD56"/>
  <c r="AB56"/>
  <c r="Z56"/>
  <c r="X56"/>
  <c r="W56"/>
  <c r="V56"/>
  <c r="S56"/>
  <c r="AV55"/>
  <c r="AT55"/>
  <c r="AR55"/>
  <c r="AP55"/>
  <c r="AN55"/>
  <c r="AL55"/>
  <c r="AJ55"/>
  <c r="AH55"/>
  <c r="AF55"/>
  <c r="AD55"/>
  <c r="AB55"/>
  <c r="Z55"/>
  <c r="X55"/>
  <c r="W55"/>
  <c r="V55"/>
  <c r="S55"/>
  <c r="AV54"/>
  <c r="AT54"/>
  <c r="AR54"/>
  <c r="AP54"/>
  <c r="AN54"/>
  <c r="AL54"/>
  <c r="AJ54"/>
  <c r="AH54"/>
  <c r="AF54"/>
  <c r="AD54"/>
  <c r="AB54"/>
  <c r="Z54"/>
  <c r="X54"/>
  <c r="W54"/>
  <c r="V54"/>
  <c r="S54"/>
  <c r="AV53"/>
  <c r="AT53"/>
  <c r="AR53"/>
  <c r="AP53"/>
  <c r="AN53"/>
  <c r="AL53"/>
  <c r="AJ53"/>
  <c r="AH53"/>
  <c r="AF53"/>
  <c r="AD53"/>
  <c r="AB53"/>
  <c r="Z53"/>
  <c r="X53"/>
  <c r="W53"/>
  <c r="V53"/>
  <c r="S53"/>
  <c r="AV52"/>
  <c r="AT52"/>
  <c r="AR52"/>
  <c r="AP52"/>
  <c r="AN52"/>
  <c r="AL52"/>
  <c r="AJ52"/>
  <c r="AH52"/>
  <c r="AF52"/>
  <c r="AD52"/>
  <c r="AB52"/>
  <c r="Z52"/>
  <c r="X52"/>
  <c r="W52"/>
  <c r="V52"/>
  <c r="S52"/>
  <c r="AV51"/>
  <c r="AT51"/>
  <c r="AR51"/>
  <c r="AP51"/>
  <c r="AN51"/>
  <c r="AL51"/>
  <c r="AJ51"/>
  <c r="AH51"/>
  <c r="AF51"/>
  <c r="AD51"/>
  <c r="AB51"/>
  <c r="Z51"/>
  <c r="X51"/>
  <c r="W51"/>
  <c r="V51"/>
  <c r="S51"/>
  <c r="AV50"/>
  <c r="AT50"/>
  <c r="AR50"/>
  <c r="AP50"/>
  <c r="AN50"/>
  <c r="AL50"/>
  <c r="AJ50"/>
  <c r="AH50"/>
  <c r="AF50"/>
  <c r="AD50"/>
  <c r="AB50"/>
  <c r="Z50"/>
  <c r="X50"/>
  <c r="W50"/>
  <c r="V50"/>
  <c r="S50"/>
  <c r="AV49"/>
  <c r="AT49"/>
  <c r="AR49"/>
  <c r="AP49"/>
  <c r="AN49"/>
  <c r="AL49"/>
  <c r="AJ49"/>
  <c r="AH49"/>
  <c r="AF49"/>
  <c r="AD49"/>
  <c r="AB49"/>
  <c r="Z49"/>
  <c r="X49"/>
  <c r="W49"/>
  <c r="V49"/>
  <c r="S49"/>
  <c r="AV48"/>
  <c r="AT48"/>
  <c r="AR48"/>
  <c r="AP48"/>
  <c r="AN48"/>
  <c r="AL48"/>
  <c r="AJ48"/>
  <c r="AG48"/>
  <c r="AH48" s="1"/>
  <c r="AF48"/>
  <c r="AD48"/>
  <c r="AB48"/>
  <c r="Z48"/>
  <c r="W48"/>
  <c r="S48"/>
  <c r="AV47"/>
  <c r="AT47"/>
  <c r="AR47"/>
  <c r="AP47"/>
  <c r="AN47"/>
  <c r="AL47"/>
  <c r="AJ47"/>
  <c r="AH47"/>
  <c r="AF47"/>
  <c r="AD47"/>
  <c r="AB47"/>
  <c r="Z47"/>
  <c r="W47"/>
  <c r="S47"/>
  <c r="AV46"/>
  <c r="AT46"/>
  <c r="AR46"/>
  <c r="AP46"/>
  <c r="AN46"/>
  <c r="AL46"/>
  <c r="AJ46"/>
  <c r="AH46"/>
  <c r="AF46"/>
  <c r="AD46"/>
  <c r="AB46"/>
  <c r="Z46"/>
  <c r="W46"/>
  <c r="S46"/>
  <c r="AV45"/>
  <c r="AT45"/>
  <c r="AR45"/>
  <c r="AP45"/>
  <c r="AN45"/>
  <c r="AL45"/>
  <c r="AJ45"/>
  <c r="AH45"/>
  <c r="AG45"/>
  <c r="AF45"/>
  <c r="AD45"/>
  <c r="AB45"/>
  <c r="Z45"/>
  <c r="X45"/>
  <c r="W45"/>
  <c r="V45"/>
  <c r="S45"/>
  <c r="AV44"/>
  <c r="AT44"/>
  <c r="AR44"/>
  <c r="AP44"/>
  <c r="AN44"/>
  <c r="AL44"/>
  <c r="AJ44"/>
  <c r="AH44"/>
  <c r="AF44"/>
  <c r="AD44"/>
  <c r="AB44"/>
  <c r="Z44"/>
  <c r="X44"/>
  <c r="W44"/>
  <c r="V44"/>
  <c r="S44"/>
  <c r="AV43"/>
  <c r="AT43"/>
  <c r="AR43"/>
  <c r="AP43"/>
  <c r="AN43"/>
  <c r="AL43"/>
  <c r="AJ43"/>
  <c r="AH43"/>
  <c r="AF43"/>
  <c r="AD43"/>
  <c r="AB43"/>
  <c r="Z43"/>
  <c r="X43"/>
  <c r="W43"/>
  <c r="V43"/>
  <c r="S43"/>
  <c r="AV42"/>
  <c r="AT42"/>
  <c r="AR42"/>
  <c r="AP42"/>
  <c r="AN42"/>
  <c r="AL42"/>
  <c r="AJ42"/>
  <c r="AH42"/>
  <c r="AF42"/>
  <c r="AD42"/>
  <c r="AB42"/>
  <c r="Z42"/>
  <c r="X42"/>
  <c r="W42"/>
  <c r="V42"/>
  <c r="S42"/>
  <c r="AV41"/>
  <c r="AT41"/>
  <c r="AR41"/>
  <c r="AP41"/>
  <c r="AN41"/>
  <c r="AL41"/>
  <c r="AJ41"/>
  <c r="AH41"/>
  <c r="AF41"/>
  <c r="AD41"/>
  <c r="AB41"/>
  <c r="Z41"/>
  <c r="X41"/>
  <c r="W41"/>
  <c r="V41"/>
  <c r="S41"/>
  <c r="AV40"/>
  <c r="AT40"/>
  <c r="AR40"/>
  <c r="AP40"/>
  <c r="AN40"/>
  <c r="AL40"/>
  <c r="AJ40"/>
  <c r="AH40"/>
  <c r="AF40"/>
  <c r="AD40"/>
  <c r="AB40"/>
  <c r="Z40"/>
  <c r="X40"/>
  <c r="W40"/>
  <c r="V40"/>
  <c r="S40"/>
  <c r="AV39"/>
  <c r="AT39"/>
  <c r="AR39"/>
  <c r="AP39"/>
  <c r="AN39"/>
  <c r="AL39"/>
  <c r="AJ39"/>
  <c r="AH39"/>
  <c r="AF39"/>
  <c r="AD39"/>
  <c r="AB39"/>
  <c r="Z39"/>
  <c r="X39"/>
  <c r="W39"/>
  <c r="V39"/>
  <c r="S39"/>
  <c r="AV38"/>
  <c r="AT38"/>
  <c r="AR38"/>
  <c r="AP38"/>
  <c r="AN38"/>
  <c r="AL38"/>
  <c r="AJ38"/>
  <c r="AH38"/>
  <c r="AF38"/>
  <c r="AD38"/>
  <c r="AB38"/>
  <c r="Z38"/>
  <c r="X38"/>
  <c r="W38"/>
  <c r="V38"/>
  <c r="S38"/>
  <c r="AV37"/>
  <c r="AS37"/>
  <c r="AT37" s="1"/>
  <c r="AR37"/>
  <c r="AP37"/>
  <c r="AN37"/>
  <c r="AL37"/>
  <c r="AJ37"/>
  <c r="AH37"/>
  <c r="AF37"/>
  <c r="AD37"/>
  <c r="AB37"/>
  <c r="Z37"/>
  <c r="S37"/>
  <c r="AV36"/>
  <c r="AT36"/>
  <c r="AR36"/>
  <c r="AP36"/>
  <c r="AN36"/>
  <c r="AL36"/>
  <c r="AJ36"/>
  <c r="AH36"/>
  <c r="AF36"/>
  <c r="AD36"/>
  <c r="AB36"/>
  <c r="Z36"/>
  <c r="W36"/>
  <c r="X36" s="1"/>
  <c r="V36"/>
  <c r="S36"/>
  <c r="AV35"/>
  <c r="AT35"/>
  <c r="AR35"/>
  <c r="AP35"/>
  <c r="AN35"/>
  <c r="AL35"/>
  <c r="AJ35"/>
  <c r="AH35"/>
  <c r="AF35"/>
  <c r="AD35"/>
  <c r="AB35"/>
  <c r="Z35"/>
  <c r="X35"/>
  <c r="W35"/>
  <c r="V35"/>
  <c r="S35"/>
  <c r="AV34"/>
  <c r="AT34"/>
  <c r="AR34"/>
  <c r="AP34"/>
  <c r="AN34"/>
  <c r="AL34"/>
  <c r="AJ34"/>
  <c r="AH34"/>
  <c r="AF34"/>
  <c r="AD34"/>
  <c r="AB34"/>
  <c r="Z34"/>
  <c r="X34"/>
  <c r="W34"/>
  <c r="V34"/>
  <c r="S34"/>
  <c r="AV33"/>
  <c r="AT33"/>
  <c r="AR33"/>
  <c r="AP33"/>
  <c r="AN33"/>
  <c r="AL33"/>
  <c r="AJ33"/>
  <c r="AH33"/>
  <c r="AF33"/>
  <c r="AD33"/>
  <c r="AB33"/>
  <c r="Z33"/>
  <c r="X33"/>
  <c r="W33"/>
  <c r="V33"/>
  <c r="S33"/>
  <c r="AV32"/>
  <c r="AT32"/>
  <c r="AR32"/>
  <c r="AP32"/>
  <c r="AN32"/>
  <c r="AL32"/>
  <c r="AJ32"/>
  <c r="AH32"/>
  <c r="AF32"/>
  <c r="AD32"/>
  <c r="AB32"/>
  <c r="Z32"/>
  <c r="X32"/>
  <c r="W32"/>
  <c r="V32"/>
  <c r="S32"/>
  <c r="AV31"/>
  <c r="AT31"/>
  <c r="AR31"/>
  <c r="AP31"/>
  <c r="AN31"/>
  <c r="AL31"/>
  <c r="AJ31"/>
  <c r="AH31"/>
  <c r="AF31"/>
  <c r="AD31"/>
  <c r="AB31"/>
  <c r="Z31"/>
  <c r="X31"/>
  <c r="W31"/>
  <c r="V31"/>
  <c r="S31"/>
  <c r="AV30"/>
  <c r="AT30"/>
  <c r="AR30"/>
  <c r="AP30"/>
  <c r="AN30"/>
  <c r="AL30"/>
  <c r="AJ30"/>
  <c r="AH30"/>
  <c r="AF30"/>
  <c r="AD30"/>
  <c r="AB30"/>
  <c r="Z30"/>
  <c r="X30"/>
  <c r="W30"/>
  <c r="V30"/>
  <c r="S30"/>
  <c r="AV29"/>
  <c r="AT29"/>
  <c r="AR29"/>
  <c r="AP29"/>
  <c r="AN29"/>
  <c r="AL29"/>
  <c r="AJ29"/>
  <c r="AH29"/>
  <c r="AF29"/>
  <c r="AD29"/>
  <c r="AB29"/>
  <c r="Z29"/>
  <c r="X29"/>
  <c r="W29"/>
  <c r="V29"/>
  <c r="S29"/>
  <c r="AV28"/>
  <c r="AT28"/>
  <c r="AR28"/>
  <c r="AP28"/>
  <c r="AN28"/>
  <c r="AL28"/>
  <c r="AJ28"/>
  <c r="AH28"/>
  <c r="AF28"/>
  <c r="AD28"/>
  <c r="AB28"/>
  <c r="Z28"/>
  <c r="X28"/>
  <c r="W28"/>
  <c r="V28"/>
  <c r="S28"/>
  <c r="AV27"/>
  <c r="AT27"/>
  <c r="AR27"/>
  <c r="AP27"/>
  <c r="AN27"/>
  <c r="AL27"/>
  <c r="AJ27"/>
  <c r="AH27"/>
  <c r="AF27"/>
  <c r="AD27"/>
  <c r="AB27"/>
  <c r="Z27"/>
  <c r="X27"/>
  <c r="W27"/>
  <c r="V27"/>
  <c r="S27"/>
  <c r="AV26"/>
  <c r="AT26"/>
  <c r="AR26"/>
  <c r="AP26"/>
  <c r="AN26"/>
  <c r="AL26"/>
  <c r="AJ26"/>
  <c r="AH26"/>
  <c r="AF26"/>
  <c r="AD26"/>
  <c r="AB26"/>
  <c r="Z26"/>
  <c r="X26"/>
  <c r="W26"/>
  <c r="V26"/>
  <c r="S26"/>
  <c r="AV25"/>
  <c r="AT25"/>
  <c r="AR25"/>
  <c r="AP25"/>
  <c r="AN25"/>
  <c r="AL25"/>
  <c r="AJ25"/>
  <c r="AH25"/>
  <c r="AF25"/>
  <c r="AD25"/>
  <c r="AB25"/>
  <c r="Z25"/>
  <c r="X25"/>
  <c r="W25"/>
  <c r="V25"/>
  <c r="S25"/>
  <c r="AV24"/>
  <c r="AT24"/>
  <c r="AR24"/>
  <c r="AP24"/>
  <c r="AN24"/>
  <c r="AL24"/>
  <c r="AJ24"/>
  <c r="AH24"/>
  <c r="AF24"/>
  <c r="AD24"/>
  <c r="AB24"/>
  <c r="Z24"/>
  <c r="X24"/>
  <c r="W24"/>
  <c r="V24"/>
  <c r="S24"/>
  <c r="AV23"/>
  <c r="AT23"/>
  <c r="AR23"/>
  <c r="AP23"/>
  <c r="AN23"/>
  <c r="AL23"/>
  <c r="AJ23"/>
  <c r="AH23"/>
  <c r="AF23"/>
  <c r="AD23"/>
  <c r="AB23"/>
  <c r="Z23"/>
  <c r="X23"/>
  <c r="W23"/>
  <c r="V23"/>
  <c r="S23"/>
  <c r="AV22"/>
  <c r="AT22"/>
  <c r="AR22"/>
  <c r="AP22"/>
  <c r="AN22"/>
  <c r="AL22"/>
  <c r="AJ22"/>
  <c r="AH22"/>
  <c r="AF22"/>
  <c r="AD22"/>
  <c r="AB22"/>
  <c r="Z22"/>
  <c r="X22"/>
  <c r="W22"/>
  <c r="V22"/>
  <c r="S22"/>
  <c r="AV21"/>
  <c r="AT21"/>
  <c r="AR21"/>
  <c r="AP21"/>
  <c r="AN21"/>
  <c r="AL21"/>
  <c r="AJ21"/>
  <c r="AH21"/>
  <c r="AF21"/>
  <c r="AD21"/>
  <c r="AB21"/>
  <c r="Z21"/>
  <c r="X21"/>
  <c r="W21"/>
  <c r="V21"/>
  <c r="S21"/>
  <c r="AV20"/>
  <c r="AT20"/>
  <c r="AR20"/>
  <c r="AP20"/>
  <c r="AN20"/>
  <c r="AL20"/>
  <c r="AJ20"/>
  <c r="AH20"/>
  <c r="AF20"/>
  <c r="AD20"/>
  <c r="AB20"/>
  <c r="Z20"/>
  <c r="X20"/>
  <c r="W20"/>
  <c r="V20"/>
  <c r="S20"/>
  <c r="AV19"/>
  <c r="AT19"/>
  <c r="AR19"/>
  <c r="AP19"/>
  <c r="AN19"/>
  <c r="AL19"/>
  <c r="AJ19"/>
  <c r="AH19"/>
  <c r="AF19"/>
  <c r="AD19"/>
  <c r="AB19"/>
  <c r="Z19"/>
  <c r="X19"/>
  <c r="W19"/>
  <c r="V19"/>
  <c r="S19"/>
  <c r="AV18"/>
  <c r="AT18"/>
  <c r="AR18"/>
  <c r="AP18"/>
  <c r="AN18"/>
  <c r="AL18"/>
  <c r="AJ18"/>
  <c r="AH18"/>
  <c r="AF18"/>
  <c r="AD18"/>
  <c r="AB18"/>
  <c r="Z18"/>
  <c r="X18"/>
  <c r="W18"/>
  <c r="V18"/>
  <c r="S18"/>
  <c r="AV17"/>
  <c r="AT17"/>
  <c r="AR17"/>
  <c r="AP17"/>
  <c r="AN17"/>
  <c r="AL17"/>
  <c r="AJ17"/>
  <c r="AH17"/>
  <c r="AF17"/>
  <c r="AD17"/>
  <c r="AB17"/>
  <c r="Z17"/>
  <c r="X17"/>
  <c r="W17"/>
  <c r="V17"/>
  <c r="S17"/>
  <c r="AV16"/>
  <c r="AT16"/>
  <c r="AR16"/>
  <c r="AP16"/>
  <c r="AN16"/>
  <c r="AL16"/>
  <c r="AJ16"/>
  <c r="AH16"/>
  <c r="AF16"/>
  <c r="AD16"/>
  <c r="AB16"/>
  <c r="Z16"/>
  <c r="X16"/>
  <c r="W16"/>
  <c r="V16"/>
  <c r="S16"/>
  <c r="AV15"/>
  <c r="AT15"/>
  <c r="AR15"/>
  <c r="AP15"/>
  <c r="AN15"/>
  <c r="AL15"/>
  <c r="AJ15"/>
  <c r="AH15"/>
  <c r="AF15"/>
  <c r="AD15"/>
  <c r="AB15"/>
  <c r="Z15"/>
  <c r="X15"/>
  <c r="W15"/>
  <c r="V15"/>
  <c r="S15"/>
  <c r="AV14"/>
  <c r="AT14"/>
  <c r="AR14"/>
  <c r="AP14"/>
  <c r="AN14"/>
  <c r="AL14"/>
  <c r="AJ14"/>
  <c r="AH14"/>
  <c r="AF14"/>
  <c r="AD14"/>
  <c r="AB14"/>
  <c r="Z14"/>
  <c r="X14"/>
  <c r="W14"/>
  <c r="V14"/>
  <c r="S14"/>
  <c r="AV13"/>
  <c r="AT13"/>
  <c r="AR13"/>
  <c r="AP13"/>
  <c r="AN13"/>
  <c r="AL13"/>
  <c r="AJ13"/>
  <c r="AH13"/>
  <c r="AF13"/>
  <c r="AD13"/>
  <c r="AB13"/>
  <c r="Z13"/>
  <c r="X13"/>
  <c r="W13"/>
  <c r="V13"/>
  <c r="S13"/>
  <c r="AV12"/>
  <c r="AT12"/>
  <c r="AR12"/>
  <c r="AP12"/>
  <c r="AN12"/>
  <c r="AL12"/>
  <c r="AJ12"/>
  <c r="AH12"/>
  <c r="AF12"/>
  <c r="AD12"/>
  <c r="AB12"/>
  <c r="Z12"/>
  <c r="X12"/>
  <c r="W12"/>
  <c r="V12"/>
  <c r="S12"/>
  <c r="AV11"/>
  <c r="AT11"/>
  <c r="AR11"/>
  <c r="AP11"/>
  <c r="AN11"/>
  <c r="AL11"/>
  <c r="AJ11"/>
  <c r="AH11"/>
  <c r="AF11"/>
  <c r="AD11"/>
  <c r="AB11"/>
  <c r="Z11"/>
  <c r="X11"/>
  <c r="W11"/>
  <c r="V11"/>
  <c r="S11"/>
  <c r="AV10"/>
  <c r="AT10"/>
  <c r="AR10"/>
  <c r="AP10"/>
  <c r="AN10"/>
  <c r="AL10"/>
  <c r="AJ10"/>
  <c r="AH10"/>
  <c r="AF10"/>
  <c r="AD10"/>
  <c r="AB10"/>
  <c r="Z10"/>
  <c r="X10"/>
  <c r="W10"/>
  <c r="V10"/>
  <c r="S10"/>
  <c r="AV9"/>
  <c r="AT9"/>
  <c r="AR9"/>
  <c r="AP9"/>
  <c r="AN9"/>
  <c r="AL9"/>
  <c r="AJ9"/>
  <c r="AH9"/>
  <c r="AF9"/>
  <c r="AD9"/>
  <c r="AB9"/>
  <c r="Z9"/>
  <c r="X9"/>
  <c r="W9"/>
  <c r="V9"/>
  <c r="S9"/>
  <c r="AV8"/>
  <c r="AT8"/>
  <c r="AR8"/>
  <c r="AP8"/>
  <c r="AN8"/>
  <c r="AL8"/>
  <c r="AJ8"/>
  <c r="AH8"/>
  <c r="AF8"/>
  <c r="AD8"/>
  <c r="AB8"/>
  <c r="Z8"/>
  <c r="X8"/>
  <c r="W8"/>
  <c r="V8"/>
  <c r="S8"/>
  <c r="AV7"/>
  <c r="AT7"/>
  <c r="AR7"/>
  <c r="AP7"/>
  <c r="AN7"/>
  <c r="AL7"/>
  <c r="AJ7"/>
  <c r="AH7"/>
  <c r="AF7"/>
  <c r="AD7"/>
  <c r="AB7"/>
  <c r="Z7"/>
  <c r="X7"/>
  <c r="W7"/>
  <c r="V7"/>
  <c r="S7"/>
  <c r="AV6"/>
  <c r="AT6"/>
  <c r="AR6"/>
  <c r="AP6"/>
  <c r="AN6"/>
  <c r="AL6"/>
  <c r="AJ6"/>
  <c r="AH6"/>
  <c r="AF6"/>
  <c r="AD6"/>
  <c r="AB6"/>
  <c r="Z6"/>
  <c r="X6"/>
  <c r="W6"/>
  <c r="V6"/>
  <c r="S6"/>
  <c r="AV5"/>
  <c r="AT5"/>
  <c r="AR5"/>
  <c r="AP5"/>
  <c r="AN5"/>
  <c r="AL5"/>
  <c r="AJ5"/>
  <c r="AH5"/>
  <c r="AF5"/>
  <c r="AD5"/>
  <c r="AB5"/>
  <c r="Z5"/>
  <c r="X5"/>
  <c r="W5"/>
  <c r="V5"/>
  <c r="S5"/>
  <c r="X132" l="1"/>
  <c r="AN132"/>
  <c r="X134"/>
  <c r="AN134"/>
  <c r="AF132"/>
  <c r="AF134"/>
  <c r="X46"/>
  <c r="V46"/>
  <c r="X48"/>
  <c r="V48"/>
  <c r="X47"/>
  <c r="V47"/>
  <c r="AT133"/>
  <c r="AP133"/>
  <c r="AL133"/>
  <c r="AH133"/>
  <c r="AD133"/>
  <c r="Z133"/>
  <c r="S133"/>
  <c r="AB133"/>
  <c r="AR133"/>
  <c r="W37"/>
  <c r="X69"/>
  <c r="V69"/>
  <c r="X70"/>
  <c r="V70"/>
  <c r="X71"/>
  <c r="V71"/>
  <c r="X72"/>
  <c r="V72"/>
  <c r="X73"/>
  <c r="V73"/>
  <c r="X74"/>
  <c r="V74"/>
  <c r="X75"/>
  <c r="V75"/>
  <c r="X76"/>
  <c r="V76"/>
  <c r="X77"/>
  <c r="V77"/>
  <c r="X78"/>
  <c r="V78"/>
  <c r="X79"/>
  <c r="V79"/>
  <c r="X80"/>
  <c r="V80"/>
  <c r="X81"/>
  <c r="V81"/>
  <c r="X82"/>
  <c r="V82"/>
  <c r="X83"/>
  <c r="V83"/>
  <c r="X84"/>
  <c r="V84"/>
  <c r="X85"/>
  <c r="V85"/>
  <c r="X86"/>
  <c r="V86"/>
  <c r="X87"/>
  <c r="V87"/>
  <c r="X88"/>
  <c r="V88"/>
  <c r="X89"/>
  <c r="V89"/>
  <c r="X90"/>
  <c r="V90"/>
  <c r="X91"/>
  <c r="V91"/>
  <c r="X92"/>
  <c r="V92"/>
  <c r="X93"/>
  <c r="V93"/>
  <c r="X94"/>
  <c r="V94"/>
  <c r="X95"/>
  <c r="V95"/>
  <c r="X96"/>
  <c r="V96"/>
  <c r="X97"/>
  <c r="V97"/>
  <c r="X98"/>
  <c r="V98"/>
  <c r="X99"/>
  <c r="V99"/>
  <c r="X100"/>
  <c r="V100"/>
  <c r="X101"/>
  <c r="V101"/>
  <c r="X102"/>
  <c r="V102"/>
  <c r="X103"/>
  <c r="V103"/>
  <c r="X104"/>
  <c r="V104"/>
  <c r="X105"/>
  <c r="V105"/>
  <c r="X106"/>
  <c r="V106"/>
  <c r="X107"/>
  <c r="V107"/>
  <c r="X108"/>
  <c r="V108"/>
  <c r="X109"/>
  <c r="V109"/>
  <c r="X110"/>
  <c r="V110"/>
  <c r="X111"/>
  <c r="V111"/>
  <c r="X112"/>
  <c r="V112"/>
  <c r="X113"/>
  <c r="V113"/>
  <c r="X114"/>
  <c r="V114"/>
  <c r="X115"/>
  <c r="V115"/>
  <c r="X116"/>
  <c r="V116"/>
  <c r="X117"/>
  <c r="V117"/>
  <c r="X118"/>
  <c r="V118"/>
  <c r="X119"/>
  <c r="V119"/>
  <c r="X120"/>
  <c r="V120"/>
  <c r="X121"/>
  <c r="V121"/>
  <c r="X122"/>
  <c r="V122"/>
  <c r="X123"/>
  <c r="V123"/>
  <c r="X124"/>
  <c r="V124"/>
  <c r="X125"/>
  <c r="V125"/>
  <c r="X126"/>
  <c r="V126"/>
  <c r="W127"/>
  <c r="AT132"/>
  <c r="AP132"/>
  <c r="AL132"/>
  <c r="AH132"/>
  <c r="AD132"/>
  <c r="Z132"/>
  <c r="S132"/>
  <c r="AB132"/>
  <c r="AJ132"/>
  <c r="AR132"/>
  <c r="X133"/>
  <c r="AF133"/>
  <c r="AF932" s="1"/>
  <c r="AN133"/>
  <c r="AN932" s="1"/>
  <c r="AN934" s="1"/>
  <c r="AV133"/>
  <c r="AV932" s="1"/>
  <c r="AT134"/>
  <c r="AP134"/>
  <c r="AL134"/>
  <c r="AH134"/>
  <c r="AD134"/>
  <c r="Z134"/>
  <c r="S134"/>
  <c r="AB134"/>
  <c r="AJ134"/>
  <c r="AR134"/>
  <c r="X239"/>
  <c r="V239"/>
  <c r="X240"/>
  <c r="V240"/>
  <c r="X241"/>
  <c r="V241"/>
  <c r="X242"/>
  <c r="V242"/>
  <c r="AG932"/>
  <c r="AH569"/>
  <c r="W569"/>
  <c r="X574"/>
  <c r="V574"/>
  <c r="X575"/>
  <c r="V575"/>
  <c r="X576"/>
  <c r="V576"/>
  <c r="AH581"/>
  <c r="W581"/>
  <c r="AT606"/>
  <c r="W606"/>
  <c r="X615"/>
  <c r="V615"/>
  <c r="X616"/>
  <c r="V616"/>
  <c r="V367"/>
  <c r="V368"/>
  <c r="V369"/>
  <c r="V370"/>
  <c r="V371"/>
  <c r="V372"/>
  <c r="V373"/>
  <c r="V374"/>
  <c r="V375"/>
  <c r="V376"/>
  <c r="V377"/>
  <c r="V378"/>
  <c r="V379"/>
  <c r="V380"/>
  <c r="V381"/>
  <c r="V382"/>
  <c r="V383"/>
  <c r="V384"/>
  <c r="V385"/>
  <c r="V386"/>
  <c r="V387"/>
  <c r="V389"/>
  <c r="V391"/>
  <c r="V392"/>
  <c r="V393"/>
  <c r="V394"/>
  <c r="V395"/>
  <c r="V396"/>
  <c r="V397"/>
  <c r="V398"/>
  <c r="V399"/>
  <c r="V400"/>
  <c r="V401"/>
  <c r="V402"/>
  <c r="V403"/>
  <c r="V404"/>
  <c r="V405"/>
  <c r="W406"/>
  <c r="V407"/>
  <c r="V408"/>
  <c r="V409"/>
  <c r="V412"/>
  <c r="V413"/>
  <c r="V414"/>
  <c r="V415"/>
  <c r="V416"/>
  <c r="V425"/>
  <c r="V426"/>
  <c r="V427"/>
  <c r="V428"/>
  <c r="V429"/>
  <c r="V430"/>
  <c r="V431"/>
  <c r="V432"/>
  <c r="V433"/>
  <c r="V434"/>
  <c r="V435"/>
  <c r="V436"/>
  <c r="V437"/>
  <c r="V438"/>
  <c r="W441"/>
  <c r="V442"/>
  <c r="V443"/>
  <c r="V444"/>
  <c r="V445"/>
  <c r="V446"/>
  <c r="V447"/>
  <c r="V448"/>
  <c r="V449"/>
  <c r="V450"/>
  <c r="V451"/>
  <c r="V461"/>
  <c r="V462"/>
  <c r="V463"/>
  <c r="V464"/>
  <c r="V465"/>
  <c r="V466"/>
  <c r="V467"/>
  <c r="V468"/>
  <c r="V469"/>
  <c r="V470"/>
  <c r="V471"/>
  <c r="V472"/>
  <c r="V473"/>
  <c r="V474"/>
  <c r="V475"/>
  <c r="X483"/>
  <c r="V483"/>
  <c r="X484"/>
  <c r="V484"/>
  <c r="X485"/>
  <c r="V485"/>
  <c r="X486"/>
  <c r="V486"/>
  <c r="X487"/>
  <c r="V487"/>
  <c r="X488"/>
  <c r="V488"/>
  <c r="X489"/>
  <c r="V489"/>
  <c r="X490"/>
  <c r="V490"/>
  <c r="X491"/>
  <c r="V491"/>
  <c r="AT496"/>
  <c r="W496"/>
  <c r="X499"/>
  <c r="V499"/>
  <c r="X500"/>
  <c r="V500"/>
  <c r="X501"/>
  <c r="V501"/>
  <c r="X502"/>
  <c r="V502"/>
  <c r="X503"/>
  <c r="V503"/>
  <c r="X504"/>
  <c r="V504"/>
  <c r="X505"/>
  <c r="V505"/>
  <c r="AV582"/>
  <c r="W582"/>
  <c r="AV803"/>
  <c r="W803"/>
  <c r="X810"/>
  <c r="V810"/>
  <c r="X811"/>
  <c r="V811"/>
  <c r="X812"/>
  <c r="V812"/>
  <c r="AN907"/>
  <c r="W907"/>
  <c r="X908"/>
  <c r="V908"/>
  <c r="X909"/>
  <c r="V909"/>
  <c r="X910"/>
  <c r="V910"/>
  <c r="X911"/>
  <c r="V911"/>
  <c r="X912"/>
  <c r="V912"/>
  <c r="X913"/>
  <c r="V913"/>
  <c r="X914"/>
  <c r="V914"/>
  <c r="X915"/>
  <c r="V915"/>
  <c r="X916"/>
  <c r="V916"/>
  <c r="X917"/>
  <c r="V917"/>
  <c r="X918"/>
  <c r="V918"/>
  <c r="X919"/>
  <c r="V919"/>
  <c r="X920"/>
  <c r="V920"/>
  <c r="X921"/>
  <c r="V921"/>
  <c r="X922"/>
  <c r="V922"/>
  <c r="X923"/>
  <c r="V923"/>
  <c r="X924"/>
  <c r="V924"/>
  <c r="X925"/>
  <c r="V925"/>
  <c r="X926"/>
  <c r="V926"/>
  <c r="X927"/>
  <c r="V927"/>
  <c r="X928"/>
  <c r="V928"/>
  <c r="X929"/>
  <c r="V929"/>
  <c r="X930"/>
  <c r="V930"/>
  <c r="X931"/>
  <c r="V931"/>
  <c r="X492"/>
  <c r="V492"/>
  <c r="X493"/>
  <c r="V493"/>
  <c r="X494"/>
  <c r="V494"/>
  <c r="X495"/>
  <c r="V495"/>
  <c r="X509"/>
  <c r="V509"/>
  <c r="X510"/>
  <c r="V510"/>
  <c r="X511"/>
  <c r="V511"/>
  <c r="X512"/>
  <c r="V512"/>
  <c r="X513"/>
  <c r="V513"/>
  <c r="X514"/>
  <c r="V514"/>
  <c r="X515"/>
  <c r="V515"/>
  <c r="X516"/>
  <c r="V516"/>
  <c r="X517"/>
  <c r="V517"/>
  <c r="X518"/>
  <c r="V518"/>
  <c r="X519"/>
  <c r="V519"/>
  <c r="X520"/>
  <c r="V520"/>
  <c r="X521"/>
  <c r="V521"/>
  <c r="X522"/>
  <c r="V522"/>
  <c r="X523"/>
  <c r="V523"/>
  <c r="X524"/>
  <c r="V524"/>
  <c r="X525"/>
  <c r="V525"/>
  <c r="X526"/>
  <c r="V526"/>
  <c r="X527"/>
  <c r="V527"/>
  <c r="X528"/>
  <c r="V528"/>
  <c r="X529"/>
  <c r="V529"/>
  <c r="X530"/>
  <c r="V530"/>
  <c r="X531"/>
  <c r="V531"/>
  <c r="X532"/>
  <c r="V532"/>
  <c r="X533"/>
  <c r="V533"/>
  <c r="X534"/>
  <c r="V534"/>
  <c r="X535"/>
  <c r="V535"/>
  <c r="X536"/>
  <c r="V536"/>
  <c r="X537"/>
  <c r="V537"/>
  <c r="X538"/>
  <c r="V538"/>
  <c r="X539"/>
  <c r="V539"/>
  <c r="X540"/>
  <c r="V540"/>
  <c r="X541"/>
  <c r="V541"/>
  <c r="X542"/>
  <c r="V542"/>
  <c r="X543"/>
  <c r="V543"/>
  <c r="X544"/>
  <c r="V544"/>
  <c r="X545"/>
  <c r="V545"/>
  <c r="X546"/>
  <c r="V546"/>
  <c r="X547"/>
  <c r="V547"/>
  <c r="X548"/>
  <c r="V548"/>
  <c r="X549"/>
  <c r="V549"/>
  <c r="X550"/>
  <c r="V550"/>
  <c r="X551"/>
  <c r="V551"/>
  <c r="X552"/>
  <c r="V552"/>
  <c r="X553"/>
  <c r="V553"/>
  <c r="X554"/>
  <c r="V554"/>
  <c r="X555"/>
  <c r="V555"/>
  <c r="X556"/>
  <c r="V556"/>
  <c r="X557"/>
  <c r="V557"/>
  <c r="X558"/>
  <c r="V558"/>
  <c r="X559"/>
  <c r="V559"/>
  <c r="X560"/>
  <c r="V560"/>
  <c r="X561"/>
  <c r="V561"/>
  <c r="X562"/>
  <c r="V562"/>
  <c r="X563"/>
  <c r="V563"/>
  <c r="X564"/>
  <c r="V564"/>
  <c r="X565"/>
  <c r="V565"/>
  <c r="X566"/>
  <c r="V566"/>
  <c r="X567"/>
  <c r="V567"/>
  <c r="X568"/>
  <c r="V568"/>
  <c r="AV579"/>
  <c r="W579"/>
  <c r="X580"/>
  <c r="V580"/>
  <c r="V585"/>
  <c r="X588"/>
  <c r="V588"/>
  <c r="X589"/>
  <c r="V589"/>
  <c r="X590"/>
  <c r="V590"/>
  <c r="X591"/>
  <c r="V591"/>
  <c r="X592"/>
  <c r="V592"/>
  <c r="X593"/>
  <c r="V593"/>
  <c r="X594"/>
  <c r="V594"/>
  <c r="X595"/>
  <c r="V595"/>
  <c r="X596"/>
  <c r="V596"/>
  <c r="X597"/>
  <c r="V597"/>
  <c r="X598"/>
  <c r="V598"/>
  <c r="X599"/>
  <c r="V599"/>
  <c r="X600"/>
  <c r="V600"/>
  <c r="X601"/>
  <c r="V601"/>
  <c r="X602"/>
  <c r="V602"/>
  <c r="X603"/>
  <c r="V603"/>
  <c r="X604"/>
  <c r="V604"/>
  <c r="X605"/>
  <c r="V605"/>
  <c r="AR647"/>
  <c r="W647"/>
  <c r="X648"/>
  <c r="V648"/>
  <c r="X649"/>
  <c r="V649"/>
  <c r="X650"/>
  <c r="V650"/>
  <c r="X651"/>
  <c r="V651"/>
  <c r="X652"/>
  <c r="V652"/>
  <c r="X653"/>
  <c r="V653"/>
  <c r="X654"/>
  <c r="V654"/>
  <c r="X655"/>
  <c r="V655"/>
  <c r="X656"/>
  <c r="V656"/>
  <c r="X657"/>
  <c r="V657"/>
  <c r="X658"/>
  <c r="V658"/>
  <c r="X659"/>
  <c r="V659"/>
  <c r="X660"/>
  <c r="V660"/>
  <c r="X661"/>
  <c r="V661"/>
  <c r="X662"/>
  <c r="V662"/>
  <c r="X663"/>
  <c r="V663"/>
  <c r="X664"/>
  <c r="V664"/>
  <c r="X665"/>
  <c r="V665"/>
  <c r="X666"/>
  <c r="V666"/>
  <c r="X667"/>
  <c r="V667"/>
  <c r="X668"/>
  <c r="V668"/>
  <c r="X669"/>
  <c r="V669"/>
  <c r="X670"/>
  <c r="V670"/>
  <c r="X671"/>
  <c r="V671"/>
  <c r="X672"/>
  <c r="V672"/>
  <c r="X673"/>
  <c r="V673"/>
  <c r="X674"/>
  <c r="V674"/>
  <c r="X675"/>
  <c r="V675"/>
  <c r="X676"/>
  <c r="V676"/>
  <c r="X677"/>
  <c r="V677"/>
  <c r="X678"/>
  <c r="V678"/>
  <c r="X679"/>
  <c r="V679"/>
  <c r="X680"/>
  <c r="V680"/>
  <c r="X681"/>
  <c r="V681"/>
  <c r="X682"/>
  <c r="V682"/>
  <c r="X683"/>
  <c r="V683"/>
  <c r="X684"/>
  <c r="V684"/>
  <c r="X685"/>
  <c r="V685"/>
  <c r="AE932"/>
  <c r="AF701"/>
  <c r="W701"/>
  <c r="X702"/>
  <c r="V702"/>
  <c r="X703"/>
  <c r="V703"/>
  <c r="X704"/>
  <c r="V704"/>
  <c r="X705"/>
  <c r="V705"/>
  <c r="X706"/>
  <c r="V706"/>
  <c r="X707"/>
  <c r="V707"/>
  <c r="AF710"/>
  <c r="W710"/>
  <c r="X711"/>
  <c r="V711"/>
  <c r="X712"/>
  <c r="V712"/>
  <c r="X713"/>
  <c r="V713"/>
  <c r="X714"/>
  <c r="V714"/>
  <c r="X715"/>
  <c r="V715"/>
  <c r="X716"/>
  <c r="V716"/>
  <c r="X717"/>
  <c r="V717"/>
  <c r="X718"/>
  <c r="V718"/>
  <c r="AM932"/>
  <c r="AN748"/>
  <c r="W748"/>
  <c r="X749"/>
  <c r="V749"/>
  <c r="X750"/>
  <c r="V750"/>
  <c r="X751"/>
  <c r="V751"/>
  <c r="X752"/>
  <c r="V752"/>
  <c r="X753"/>
  <c r="V753"/>
  <c r="X754"/>
  <c r="V754"/>
  <c r="X755"/>
  <c r="V755"/>
  <c r="X756"/>
  <c r="V756"/>
  <c r="X757"/>
  <c r="V757"/>
  <c r="X758"/>
  <c r="V758"/>
  <c r="X759"/>
  <c r="V759"/>
  <c r="X760"/>
  <c r="V760"/>
  <c r="X761"/>
  <c r="V761"/>
  <c r="X762"/>
  <c r="V762"/>
  <c r="X763"/>
  <c r="V763"/>
  <c r="X764"/>
  <c r="V764"/>
  <c r="X778"/>
  <c r="V778"/>
  <c r="AT818"/>
  <c r="W818"/>
  <c r="X719"/>
  <c r="V719"/>
  <c r="X720"/>
  <c r="V720"/>
  <c r="X721"/>
  <c r="V721"/>
  <c r="X722"/>
  <c r="V722"/>
  <c r="X723"/>
  <c r="V723"/>
  <c r="X724"/>
  <c r="V724"/>
  <c r="X725"/>
  <c r="V725"/>
  <c r="X726"/>
  <c r="V726"/>
  <c r="X727"/>
  <c r="V727"/>
  <c r="X728"/>
  <c r="V728"/>
  <c r="X729"/>
  <c r="V729"/>
  <c r="X730"/>
  <c r="V730"/>
  <c r="X731"/>
  <c r="V731"/>
  <c r="X732"/>
  <c r="V732"/>
  <c r="X733"/>
  <c r="V733"/>
  <c r="X734"/>
  <c r="V734"/>
  <c r="X735"/>
  <c r="V735"/>
  <c r="X736"/>
  <c r="V736"/>
  <c r="X737"/>
  <c r="V737"/>
  <c r="X738"/>
  <c r="V738"/>
  <c r="X739"/>
  <c r="V739"/>
  <c r="X740"/>
  <c r="V740"/>
  <c r="X741"/>
  <c r="V741"/>
  <c r="X742"/>
  <c r="V742"/>
  <c r="X743"/>
  <c r="V743"/>
  <c r="X744"/>
  <c r="V744"/>
  <c r="X745"/>
  <c r="V745"/>
  <c r="X746"/>
  <c r="V746"/>
  <c r="X747"/>
  <c r="V747"/>
  <c r="X816"/>
  <c r="V816"/>
  <c r="X817"/>
  <c r="V817"/>
  <c r="AJ932" l="1"/>
  <c r="AD932"/>
  <c r="AL932"/>
  <c r="AT932"/>
  <c r="AT933" s="1"/>
  <c r="AR932"/>
  <c r="AB932"/>
  <c r="Z932"/>
  <c r="AH932"/>
  <c r="AH934" s="1"/>
  <c r="AP932"/>
  <c r="X933" s="1"/>
  <c r="X710"/>
  <c r="V710"/>
  <c r="X701"/>
  <c r="V701"/>
  <c r="X818"/>
  <c r="V818"/>
  <c r="X748"/>
  <c r="V748"/>
  <c r="X647"/>
  <c r="V647"/>
  <c r="X441"/>
  <c r="V441"/>
  <c r="X127"/>
  <c r="V127"/>
  <c r="X579"/>
  <c r="V579"/>
  <c r="V907"/>
  <c r="X907"/>
  <c r="V803"/>
  <c r="X803"/>
  <c r="V582"/>
  <c r="X582"/>
  <c r="X496"/>
  <c r="V496"/>
  <c r="X406"/>
  <c r="V406"/>
  <c r="X606"/>
  <c r="V606"/>
  <c r="X581"/>
  <c r="V581"/>
  <c r="X569"/>
  <c r="V569"/>
  <c r="X37"/>
  <c r="X932" s="1"/>
  <c r="V37"/>
  <c r="O62" i="16" l="1"/>
  <c r="M62"/>
  <c r="Q58"/>
  <c r="O56"/>
  <c r="Q51"/>
  <c r="O51"/>
  <c r="Q47"/>
  <c r="O47"/>
  <c r="Q44"/>
  <c r="Q45"/>
  <c r="O45"/>
  <c r="O44"/>
  <c r="O39"/>
  <c r="O36"/>
  <c r="O34"/>
  <c r="O30"/>
  <c r="O27"/>
  <c r="O26"/>
  <c r="O19"/>
  <c r="O15"/>
  <c r="M14"/>
  <c r="O12"/>
  <c r="M12"/>
  <c r="R11"/>
  <c r="S11" s="1"/>
  <c r="R12"/>
  <c r="S12" s="1"/>
  <c r="R13"/>
  <c r="S13" s="1"/>
  <c r="R14"/>
  <c r="S14" s="1"/>
  <c r="R15"/>
  <c r="S15" s="1"/>
  <c r="R16"/>
  <c r="S16" s="1"/>
  <c r="R17"/>
  <c r="S17" s="1"/>
  <c r="R18"/>
  <c r="S18" s="1"/>
  <c r="R19"/>
  <c r="S19" s="1"/>
  <c r="R20"/>
  <c r="S20" s="1"/>
  <c r="R21"/>
  <c r="S21" s="1"/>
  <c r="R22"/>
  <c r="S22" s="1"/>
  <c r="R23"/>
  <c r="S23" s="1"/>
  <c r="R24"/>
  <c r="S24" s="1"/>
  <c r="R25"/>
  <c r="S25" s="1"/>
  <c r="R26"/>
  <c r="S26" s="1"/>
  <c r="R27"/>
  <c r="S27" s="1"/>
  <c r="R28"/>
  <c r="S28" s="1"/>
  <c r="R29"/>
  <c r="S29" s="1"/>
  <c r="R30"/>
  <c r="S30" s="1"/>
  <c r="R31"/>
  <c r="S31" s="1"/>
  <c r="R32"/>
  <c r="S32" s="1"/>
  <c r="R33"/>
  <c r="S33" s="1"/>
  <c r="R34"/>
  <c r="S34" s="1"/>
  <c r="R35"/>
  <c r="S35" s="1"/>
  <c r="R36"/>
  <c r="S36" s="1"/>
  <c r="R37"/>
  <c r="S37" s="1"/>
  <c r="R38"/>
  <c r="S38" s="1"/>
  <c r="R39"/>
  <c r="S39" s="1"/>
  <c r="R40"/>
  <c r="S40" s="1"/>
  <c r="R41"/>
  <c r="S41" s="1"/>
  <c r="R42"/>
  <c r="S42" s="1"/>
  <c r="R43"/>
  <c r="S43" s="1"/>
  <c r="R44"/>
  <c r="S44" s="1"/>
  <c r="R45"/>
  <c r="S45" s="1"/>
  <c r="R46"/>
  <c r="S46" s="1"/>
  <c r="R47"/>
  <c r="S47" s="1"/>
  <c r="R48"/>
  <c r="S48" s="1"/>
  <c r="R50"/>
  <c r="S50" s="1"/>
  <c r="R51"/>
  <c r="S51" s="1"/>
  <c r="R52"/>
  <c r="S52" s="1"/>
  <c r="R53"/>
  <c r="S53" s="1"/>
  <c r="R54"/>
  <c r="S54" s="1"/>
  <c r="R55"/>
  <c r="S55" s="1"/>
  <c r="R56"/>
  <c r="S56" s="1"/>
  <c r="R57"/>
  <c r="S57" s="1"/>
  <c r="R58"/>
  <c r="S58" s="1"/>
  <c r="R59"/>
  <c r="S59" s="1"/>
  <c r="R60"/>
  <c r="S60" s="1"/>
  <c r="R61"/>
  <c r="S61" s="1"/>
  <c r="R62"/>
  <c r="S62" s="1"/>
  <c r="R63"/>
  <c r="S63" s="1"/>
  <c r="R64"/>
  <c r="S64" s="1"/>
  <c r="R65"/>
  <c r="S65" s="1"/>
  <c r="R66"/>
  <c r="S66" s="1"/>
  <c r="R67"/>
  <c r="S67" s="1"/>
  <c r="R68"/>
  <c r="S68" s="1"/>
  <c r="R69"/>
  <c r="S69" s="1"/>
  <c r="R70"/>
  <c r="S70" s="1"/>
  <c r="R71"/>
  <c r="S71" s="1"/>
  <c r="R72"/>
  <c r="S72" s="1"/>
  <c r="R73"/>
  <c r="S73" s="1"/>
  <c r="R74"/>
  <c r="S74" s="1"/>
  <c r="R75"/>
  <c r="S75" s="1"/>
  <c r="R76"/>
  <c r="S76" s="1"/>
  <c r="R77"/>
  <c r="S77" s="1"/>
  <c r="R78"/>
  <c r="S78" s="1"/>
  <c r="R79"/>
  <c r="S79" s="1"/>
  <c r="R80"/>
  <c r="S80" s="1"/>
  <c r="R81"/>
  <c r="S81" s="1"/>
  <c r="R82"/>
  <c r="S82" s="1"/>
  <c r="R83"/>
  <c r="S83" s="1"/>
  <c r="R84"/>
  <c r="S84" s="1"/>
  <c r="R85"/>
  <c r="S85" s="1"/>
  <c r="R86"/>
  <c r="S86" s="1"/>
  <c r="R87"/>
  <c r="S87" s="1"/>
  <c r="R88"/>
  <c r="S88" s="1"/>
  <c r="R89"/>
  <c r="S89" s="1"/>
  <c r="R90"/>
  <c r="S90" s="1"/>
  <c r="R91"/>
  <c r="S91" s="1"/>
  <c r="R92"/>
  <c r="S92" s="1"/>
  <c r="R93"/>
  <c r="S93" s="1"/>
  <c r="R94"/>
  <c r="S94" s="1"/>
  <c r="R95"/>
  <c r="S95" s="1"/>
  <c r="R96"/>
  <c r="S96" s="1"/>
  <c r="R97"/>
  <c r="S97" s="1"/>
  <c r="R98"/>
  <c r="S98" s="1"/>
  <c r="R99"/>
  <c r="S99" s="1"/>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S123" s="1"/>
  <c r="R124"/>
  <c r="S124" s="1"/>
  <c r="R125"/>
  <c r="S125" s="1"/>
  <c r="R126"/>
  <c r="S126" s="1"/>
  <c r="R127"/>
  <c r="S127" s="1"/>
  <c r="R128"/>
  <c r="S128" s="1"/>
  <c r="R129"/>
  <c r="S129" s="1"/>
  <c r="R130"/>
  <c r="S130" s="1"/>
  <c r="R131"/>
  <c r="S131" s="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S217" s="1"/>
  <c r="R218"/>
  <c r="S218" s="1"/>
  <c r="R219"/>
  <c r="S219" s="1"/>
  <c r="R220"/>
  <c r="S220" s="1"/>
  <c r="R221"/>
  <c r="S221" s="1"/>
  <c r="R222"/>
  <c r="S222" s="1"/>
  <c r="R223"/>
  <c r="S223" s="1"/>
  <c r="R224"/>
  <c r="S224" s="1"/>
  <c r="R225"/>
  <c r="S225" s="1"/>
  <c r="R226"/>
  <c r="S226" s="1"/>
  <c r="R227"/>
  <c r="S227" s="1"/>
  <c r="R228"/>
  <c r="S228" s="1"/>
  <c r="R229"/>
  <c r="S229" s="1"/>
  <c r="R230"/>
  <c r="S230" s="1"/>
  <c r="R231"/>
  <c r="S231" s="1"/>
  <c r="R232"/>
  <c r="S232" s="1"/>
  <c r="R233"/>
  <c r="S233" s="1"/>
  <c r="R234"/>
  <c r="S234" s="1"/>
  <c r="R235"/>
  <c r="S235" s="1"/>
  <c r="R236"/>
  <c r="S236" s="1"/>
  <c r="R237"/>
  <c r="S237" s="1"/>
  <c r="R238"/>
  <c r="S238" s="1"/>
  <c r="R239"/>
  <c r="S239" s="1"/>
  <c r="R240"/>
  <c r="S240" s="1"/>
  <c r="R241"/>
  <c r="S241" s="1"/>
  <c r="R242"/>
  <c r="S242" s="1"/>
  <c r="R243"/>
  <c r="S243" s="1"/>
  <c r="R244"/>
  <c r="S244" s="1"/>
  <c r="R245"/>
  <c r="S245" s="1"/>
  <c r="R246"/>
  <c r="S246" s="1"/>
  <c r="R247"/>
  <c r="S247" s="1"/>
  <c r="R248"/>
  <c r="S248" s="1"/>
  <c r="R249"/>
  <c r="S249" s="1"/>
  <c r="R250"/>
  <c r="S250" s="1"/>
  <c r="R251"/>
  <c r="S251" s="1"/>
  <c r="R252"/>
  <c r="S252" s="1"/>
  <c r="R253"/>
  <c r="S253" s="1"/>
  <c r="R254"/>
  <c r="S254" s="1"/>
  <c r="R255"/>
  <c r="S255" s="1"/>
  <c r="R256"/>
  <c r="S256" s="1"/>
  <c r="R257"/>
  <c r="S257" s="1"/>
  <c r="R258"/>
  <c r="S258" s="1"/>
  <c r="R259"/>
  <c r="S259" s="1"/>
  <c r="R260"/>
  <c r="S260" s="1"/>
  <c r="R261"/>
  <c r="S261" s="1"/>
  <c r="R262"/>
  <c r="S262" s="1"/>
  <c r="R263"/>
  <c r="S263" s="1"/>
  <c r="R264"/>
  <c r="S264" s="1"/>
  <c r="R265"/>
  <c r="S265" s="1"/>
  <c r="R266"/>
  <c r="S266" s="1"/>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S282" s="1"/>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S298" s="1"/>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S314" s="1"/>
  <c r="R315"/>
  <c r="S315" s="1"/>
  <c r="R316"/>
  <c r="S316" s="1"/>
  <c r="R317"/>
  <c r="S317" s="1"/>
  <c r="R318"/>
  <c r="S318" s="1"/>
  <c r="R319"/>
  <c r="S319" s="1"/>
  <c r="R320"/>
  <c r="S320" s="1"/>
  <c r="R321"/>
  <c r="S321" s="1"/>
  <c r="R322"/>
  <c r="S322" s="1"/>
  <c r="R323"/>
  <c r="S323" s="1"/>
  <c r="R324"/>
  <c r="S324" s="1"/>
  <c r="R325"/>
  <c r="S325" s="1"/>
  <c r="R326"/>
  <c r="S326" s="1"/>
  <c r="R327"/>
  <c r="S327" s="1"/>
  <c r="R328"/>
  <c r="S328" s="1"/>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S455" s="1"/>
  <c r="R456"/>
  <c r="S456" s="1"/>
  <c r="R457"/>
  <c r="S457" s="1"/>
  <c r="R458"/>
  <c r="S458" s="1"/>
  <c r="R459"/>
  <c r="S459" s="1"/>
  <c r="R460"/>
  <c r="S460" s="1"/>
  <c r="R461"/>
  <c r="S461" s="1"/>
  <c r="R462"/>
  <c r="S462" s="1"/>
  <c r="R463"/>
  <c r="S463" s="1"/>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S487" s="1"/>
  <c r="R488"/>
  <c r="S488" s="1"/>
  <c r="R489"/>
  <c r="S489" s="1"/>
  <c r="R490"/>
  <c r="S490" s="1"/>
  <c r="R491"/>
  <c r="S491" s="1"/>
  <c r="R492"/>
  <c r="S492" s="1"/>
  <c r="R493"/>
  <c r="S493" s="1"/>
  <c r="R494"/>
  <c r="S494" s="1"/>
  <c r="R495"/>
  <c r="S495" s="1"/>
  <c r="R496"/>
  <c r="S496" s="1"/>
  <c r="R497"/>
  <c r="S497" s="1"/>
  <c r="R498"/>
  <c r="S498" s="1"/>
  <c r="R499"/>
  <c r="S499" s="1"/>
  <c r="R500"/>
  <c r="S500" s="1"/>
  <c r="R501"/>
  <c r="S501" s="1"/>
  <c r="R502"/>
  <c r="S502" s="1"/>
  <c r="R503"/>
  <c r="S503" s="1"/>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S523" s="1"/>
  <c r="R524"/>
  <c r="S524" s="1"/>
  <c r="R525"/>
  <c r="S525" s="1"/>
  <c r="R526"/>
  <c r="S526" s="1"/>
  <c r="R527"/>
  <c r="S527" s="1"/>
  <c r="R528"/>
  <c r="S528" s="1"/>
  <c r="R529"/>
  <c r="S529" s="1"/>
  <c r="R530"/>
  <c r="S530" s="1"/>
  <c r="R531"/>
  <c r="S531" s="1"/>
  <c r="R532"/>
  <c r="S532" s="1"/>
  <c r="R533"/>
  <c r="S533" s="1"/>
  <c r="R534"/>
  <c r="S534" s="1"/>
  <c r="R535"/>
  <c r="S535" s="1"/>
  <c r="R536"/>
  <c r="S536" s="1"/>
  <c r="R537"/>
  <c r="S537" s="1"/>
  <c r="R538"/>
  <c r="S538" s="1"/>
  <c r="R539"/>
  <c r="S539" s="1"/>
  <c r="R540"/>
  <c r="S540" s="1"/>
  <c r="R541"/>
  <c r="S541" s="1"/>
  <c r="R542"/>
  <c r="S542" s="1"/>
  <c r="R543"/>
  <c r="S543" s="1"/>
  <c r="R544"/>
  <c r="S544" s="1"/>
  <c r="R545"/>
  <c r="S545" s="1"/>
  <c r="R546"/>
  <c r="S546" s="1"/>
  <c r="R547"/>
  <c r="S547" s="1"/>
  <c r="R548"/>
  <c r="S548" s="1"/>
  <c r="R549"/>
  <c r="S549" s="1"/>
  <c r="R550"/>
  <c r="S550" s="1"/>
  <c r="R551"/>
  <c r="S551" s="1"/>
  <c r="R552"/>
  <c r="S552" s="1"/>
  <c r="R553"/>
  <c r="S553" s="1"/>
  <c r="R554"/>
  <c r="S554" s="1"/>
  <c r="R555"/>
  <c r="S555" s="1"/>
  <c r="R556"/>
  <c r="S556" s="1"/>
  <c r="R557"/>
  <c r="S557" s="1"/>
  <c r="R558"/>
  <c r="S558" s="1"/>
  <c r="R559"/>
  <c r="S559" s="1"/>
  <c r="R560"/>
  <c r="S560" s="1"/>
  <c r="R561"/>
  <c r="S561" s="1"/>
  <c r="R562"/>
  <c r="S562" s="1"/>
  <c r="R563"/>
  <c r="S563" s="1"/>
  <c r="R564"/>
  <c r="S564" s="1"/>
  <c r="R565"/>
  <c r="S565" s="1"/>
  <c r="R566"/>
  <c r="S566" s="1"/>
  <c r="R567"/>
  <c r="S567" s="1"/>
  <c r="R568"/>
  <c r="S568" s="1"/>
  <c r="R569"/>
  <c r="S569" s="1"/>
  <c r="R570"/>
  <c r="S570" s="1"/>
  <c r="R571"/>
  <c r="S571" s="1"/>
  <c r="R572"/>
  <c r="S572" s="1"/>
  <c r="R573"/>
  <c r="S573" s="1"/>
  <c r="R574"/>
  <c r="S574" s="1"/>
  <c r="R575"/>
  <c r="S575" s="1"/>
  <c r="R576"/>
  <c r="S576" s="1"/>
  <c r="R577"/>
  <c r="S577" s="1"/>
  <c r="R578"/>
  <c r="S578" s="1"/>
  <c r="R579"/>
  <c r="S579" s="1"/>
  <c r="R580"/>
  <c r="S580" s="1"/>
  <c r="R581"/>
  <c r="S581" s="1"/>
  <c r="R582"/>
  <c r="S582" s="1"/>
  <c r="R583"/>
  <c r="S583" s="1"/>
  <c r="R584"/>
  <c r="S584" s="1"/>
  <c r="R585"/>
  <c r="S585" s="1"/>
  <c r="R586"/>
  <c r="S586" s="1"/>
  <c r="R587"/>
  <c r="S587" s="1"/>
  <c r="R588"/>
  <c r="S588" s="1"/>
  <c r="R589"/>
  <c r="S589" s="1"/>
  <c r="R590"/>
  <c r="S590" s="1"/>
  <c r="R591"/>
  <c r="S591" s="1"/>
  <c r="R592"/>
  <c r="S592" s="1"/>
  <c r="R593"/>
  <c r="S593" s="1"/>
  <c r="R594"/>
  <c r="S594" s="1"/>
  <c r="R595"/>
  <c r="S595" s="1"/>
  <c r="R596"/>
  <c r="S596" s="1"/>
  <c r="R597"/>
  <c r="S597" s="1"/>
  <c r="R598"/>
  <c r="S598" s="1"/>
  <c r="R599"/>
  <c r="S599" s="1"/>
  <c r="R600"/>
  <c r="S600" s="1"/>
  <c r="R601"/>
  <c r="S601" s="1"/>
  <c r="R602"/>
  <c r="S602" s="1"/>
  <c r="R603"/>
  <c r="S603" s="1"/>
  <c r="R604"/>
  <c r="S604" s="1"/>
  <c r="R605"/>
  <c r="S605" s="1"/>
  <c r="R606"/>
  <c r="S606" s="1"/>
  <c r="R607"/>
  <c r="S607" s="1"/>
  <c r="R608"/>
  <c r="S608" s="1"/>
  <c r="R609"/>
  <c r="S609" s="1"/>
  <c r="R610"/>
  <c r="S610" s="1"/>
  <c r="R611"/>
  <c r="S611" s="1"/>
  <c r="R612"/>
  <c r="S612" s="1"/>
  <c r="R613"/>
  <c r="S613" s="1"/>
  <c r="R614"/>
  <c r="S614" s="1"/>
  <c r="R615"/>
  <c r="S615" s="1"/>
  <c r="R616"/>
  <c r="S616" s="1"/>
  <c r="R617"/>
  <c r="S617" s="1"/>
  <c r="R618"/>
  <c r="S618" s="1"/>
  <c r="R619"/>
  <c r="S619" s="1"/>
  <c r="R620"/>
  <c r="S620" s="1"/>
  <c r="R621"/>
  <c r="S621" s="1"/>
  <c r="R622"/>
  <c r="S622" s="1"/>
  <c r="R623"/>
  <c r="S623" s="1"/>
  <c r="R624"/>
  <c r="S624" s="1"/>
  <c r="R625"/>
  <c r="S625" s="1"/>
  <c r="R626"/>
  <c r="S626" s="1"/>
  <c r="R627"/>
  <c r="S627" s="1"/>
  <c r="R628"/>
  <c r="S628" s="1"/>
  <c r="R629"/>
  <c r="S629" s="1"/>
  <c r="R630"/>
  <c r="S630" s="1"/>
  <c r="R631"/>
  <c r="S631" s="1"/>
  <c r="R632"/>
  <c r="S632" s="1"/>
  <c r="R633"/>
  <c r="S633" s="1"/>
  <c r="R634"/>
  <c r="S634" s="1"/>
  <c r="R635"/>
  <c r="S635" s="1"/>
  <c r="R636"/>
  <c r="S636" s="1"/>
  <c r="R637"/>
  <c r="S637" s="1"/>
  <c r="R638"/>
  <c r="S638" s="1"/>
  <c r="R639"/>
  <c r="S639" s="1"/>
  <c r="R640"/>
  <c r="S640" s="1"/>
  <c r="R641"/>
  <c r="S641" s="1"/>
  <c r="R642"/>
  <c r="S642" s="1"/>
  <c r="R643"/>
  <c r="S643" s="1"/>
  <c r="R644"/>
  <c r="S644" s="1"/>
  <c r="R645"/>
  <c r="S645" s="1"/>
  <c r="R646"/>
  <c r="S646" s="1"/>
  <c r="R647"/>
  <c r="S647" s="1"/>
  <c r="R648"/>
  <c r="S648" s="1"/>
  <c r="R649"/>
  <c r="S649" s="1"/>
  <c r="R650"/>
  <c r="S650" s="1"/>
  <c r="R651"/>
  <c r="S651" s="1"/>
  <c r="R652"/>
  <c r="S652" s="1"/>
  <c r="R653"/>
  <c r="S653" s="1"/>
  <c r="R654"/>
  <c r="S654" s="1"/>
  <c r="R655"/>
  <c r="S655" s="1"/>
  <c r="R656"/>
  <c r="S656" s="1"/>
  <c r="R657"/>
  <c r="S657" s="1"/>
  <c r="R658"/>
  <c r="S658" s="1"/>
  <c r="R659"/>
  <c r="S659" s="1"/>
  <c r="R660"/>
  <c r="S660" s="1"/>
  <c r="R661"/>
  <c r="S661" s="1"/>
  <c r="R662"/>
  <c r="S662" s="1"/>
  <c r="R663"/>
  <c r="S663" s="1"/>
  <c r="R664"/>
  <c r="S664" s="1"/>
  <c r="R665"/>
  <c r="S665" s="1"/>
  <c r="R666"/>
  <c r="S666" s="1"/>
  <c r="R667"/>
  <c r="S667" s="1"/>
  <c r="R668"/>
  <c r="S668" s="1"/>
  <c r="R669"/>
  <c r="S669" s="1"/>
  <c r="R670"/>
  <c r="S670" s="1"/>
  <c r="R671"/>
  <c r="S671" s="1"/>
  <c r="R672"/>
  <c r="S672" s="1"/>
  <c r="R673"/>
  <c r="S673" s="1"/>
  <c r="R674"/>
  <c r="S674" s="1"/>
  <c r="R675"/>
  <c r="S675" s="1"/>
  <c r="R676"/>
  <c r="S676" s="1"/>
  <c r="R677"/>
  <c r="S677" s="1"/>
  <c r="R678"/>
  <c r="S678" s="1"/>
  <c r="R679"/>
  <c r="S679" s="1"/>
  <c r="R680"/>
  <c r="S680" s="1"/>
  <c r="R681"/>
  <c r="S681" s="1"/>
  <c r="R682"/>
  <c r="S682" s="1"/>
  <c r="R683"/>
  <c r="S683" s="1"/>
  <c r="R684"/>
  <c r="S684" s="1"/>
  <c r="R685"/>
  <c r="S685" s="1"/>
  <c r="R686"/>
  <c r="S686" s="1"/>
  <c r="R687"/>
  <c r="S687" s="1"/>
  <c r="R688"/>
  <c r="S688" s="1"/>
  <c r="R689"/>
  <c r="S689" s="1"/>
  <c r="R690"/>
  <c r="S690" s="1"/>
  <c r="R691"/>
  <c r="S691" s="1"/>
  <c r="R692"/>
  <c r="S692" s="1"/>
  <c r="R693"/>
  <c r="S693" s="1"/>
  <c r="R694"/>
  <c r="S694" s="1"/>
  <c r="R695"/>
  <c r="S695" s="1"/>
  <c r="R696"/>
  <c r="S696" s="1"/>
  <c r="R697"/>
  <c r="S697" s="1"/>
  <c r="R698"/>
  <c r="S698" s="1"/>
  <c r="R699"/>
  <c r="S699" s="1"/>
  <c r="R700"/>
  <c r="S700" s="1"/>
  <c r="R701"/>
  <c r="S701" s="1"/>
  <c r="R702"/>
  <c r="S702" s="1"/>
  <c r="R703"/>
  <c r="S703" s="1"/>
  <c r="R704"/>
  <c r="S704" s="1"/>
  <c r="R705"/>
  <c r="S705" s="1"/>
  <c r="R706"/>
  <c r="S706" s="1"/>
  <c r="R707"/>
  <c r="S707" s="1"/>
  <c r="R708"/>
  <c r="S708" s="1"/>
  <c r="R709"/>
  <c r="S709" s="1"/>
  <c r="R710"/>
  <c r="S710" s="1"/>
  <c r="R711"/>
  <c r="S711" s="1"/>
  <c r="R712"/>
  <c r="S712" s="1"/>
  <c r="R713"/>
  <c r="S713" s="1"/>
  <c r="R714"/>
  <c r="S714" s="1"/>
  <c r="R715"/>
  <c r="S715" s="1"/>
  <c r="R716"/>
  <c r="S716" s="1"/>
  <c r="R717"/>
  <c r="S717" s="1"/>
  <c r="R718"/>
  <c r="S718" s="1"/>
  <c r="R719"/>
  <c r="S719" s="1"/>
  <c r="R720"/>
  <c r="S720" s="1"/>
  <c r="R721"/>
  <c r="S721" s="1"/>
  <c r="R722"/>
  <c r="S722" s="1"/>
  <c r="R723"/>
  <c r="S723" s="1"/>
  <c r="R724"/>
  <c r="S724" s="1"/>
  <c r="R725"/>
  <c r="S725" s="1"/>
  <c r="R726"/>
  <c r="S726" s="1"/>
  <c r="R727"/>
  <c r="S727" s="1"/>
  <c r="R728"/>
  <c r="S728" s="1"/>
  <c r="R729"/>
  <c r="S729" s="1"/>
  <c r="R730"/>
  <c r="S730" s="1"/>
  <c r="R731"/>
  <c r="S731" s="1"/>
  <c r="R732"/>
  <c r="S732" s="1"/>
  <c r="R733"/>
  <c r="S733" s="1"/>
  <c r="R734"/>
  <c r="S734" s="1"/>
  <c r="R735"/>
  <c r="S735" s="1"/>
  <c r="R736"/>
  <c r="S736" s="1"/>
  <c r="R737"/>
  <c r="S737" s="1"/>
  <c r="R738"/>
  <c r="S738" s="1"/>
  <c r="R739"/>
  <c r="S739" s="1"/>
  <c r="R740"/>
  <c r="S740" s="1"/>
  <c r="R741"/>
  <c r="S741" s="1"/>
  <c r="R742"/>
  <c r="S742" s="1"/>
  <c r="R743"/>
  <c r="S743" s="1"/>
  <c r="R744"/>
  <c r="S744" s="1"/>
  <c r="R745"/>
  <c r="S745" s="1"/>
  <c r="R746"/>
  <c r="S746" s="1"/>
  <c r="R747"/>
  <c r="S747" s="1"/>
  <c r="R748"/>
  <c r="S748" s="1"/>
  <c r="R749"/>
  <c r="S749" s="1"/>
  <c r="R750"/>
  <c r="S750" s="1"/>
  <c r="R751"/>
  <c r="S751" s="1"/>
  <c r="R752"/>
  <c r="S752" s="1"/>
  <c r="R753"/>
  <c r="S753" s="1"/>
  <c r="R754"/>
  <c r="S754" s="1"/>
  <c r="R755"/>
  <c r="S755" s="1"/>
  <c r="R756"/>
  <c r="S756" s="1"/>
  <c r="R757"/>
  <c r="S757" s="1"/>
  <c r="R758"/>
  <c r="S758" s="1"/>
  <c r="R759"/>
  <c r="S759" s="1"/>
  <c r="R760"/>
  <c r="S760" s="1"/>
  <c r="R761"/>
  <c r="S761" s="1"/>
  <c r="R762"/>
  <c r="S762" s="1"/>
  <c r="R763"/>
  <c r="S763" s="1"/>
  <c r="R764"/>
  <c r="S764" s="1"/>
  <c r="R765"/>
  <c r="S765" s="1"/>
  <c r="R766"/>
  <c r="S766" s="1"/>
  <c r="R767"/>
  <c r="S767" s="1"/>
  <c r="R768"/>
  <c r="S768" s="1"/>
  <c r="R769"/>
  <c r="S769" s="1"/>
  <c r="R770"/>
  <c r="S770" s="1"/>
  <c r="R771"/>
  <c r="S771" s="1"/>
  <c r="R772"/>
  <c r="S772" s="1"/>
  <c r="R773"/>
  <c r="S773" s="1"/>
  <c r="R774"/>
  <c r="S774" s="1"/>
  <c r="R775"/>
  <c r="S775" s="1"/>
  <c r="R776"/>
  <c r="S776" s="1"/>
  <c r="R777"/>
  <c r="S777" s="1"/>
  <c r="R778"/>
  <c r="S778" s="1"/>
  <c r="R779"/>
  <c r="S779" s="1"/>
  <c r="R780"/>
  <c r="S780" s="1"/>
  <c r="R781"/>
  <c r="S781" s="1"/>
  <c r="R782"/>
  <c r="S782" s="1"/>
  <c r="R783"/>
  <c r="S783" s="1"/>
  <c r="R784"/>
  <c r="S784" s="1"/>
  <c r="R785"/>
  <c r="S785" s="1"/>
  <c r="R786"/>
  <c r="S786" s="1"/>
  <c r="R787"/>
  <c r="S787" s="1"/>
  <c r="R788"/>
  <c r="S788" s="1"/>
  <c r="R789"/>
  <c r="S789" s="1"/>
  <c r="R790"/>
  <c r="S790" s="1"/>
  <c r="R791"/>
  <c r="S791" s="1"/>
  <c r="R792"/>
  <c r="S792" s="1"/>
  <c r="R793"/>
  <c r="S793" s="1"/>
  <c r="R794"/>
  <c r="S794" s="1"/>
  <c r="R795"/>
  <c r="S795" s="1"/>
  <c r="R796"/>
  <c r="S796" s="1"/>
  <c r="R797"/>
  <c r="S797" s="1"/>
  <c r="R798"/>
  <c r="S798" s="1"/>
  <c r="R799"/>
  <c r="S799" s="1"/>
  <c r="R800"/>
  <c r="S800" s="1"/>
  <c r="R801"/>
  <c r="S801" s="1"/>
  <c r="R802"/>
  <c r="S802" s="1"/>
  <c r="R803"/>
  <c r="S803" s="1"/>
  <c r="R804"/>
  <c r="S804" s="1"/>
  <c r="R805"/>
  <c r="S805" s="1"/>
  <c r="R806"/>
  <c r="S806" s="1"/>
  <c r="R807"/>
  <c r="S807" s="1"/>
  <c r="R808"/>
  <c r="S808" s="1"/>
  <c r="R809"/>
  <c r="S809" s="1"/>
  <c r="R810"/>
  <c r="S810" s="1"/>
  <c r="R811"/>
  <c r="S811" s="1"/>
  <c r="R812"/>
  <c r="S812" s="1"/>
  <c r="R813"/>
  <c r="S813" s="1"/>
  <c r="R814"/>
  <c r="S814" s="1"/>
  <c r="R815"/>
  <c r="S815" s="1"/>
  <c r="R816"/>
  <c r="S816" s="1"/>
  <c r="R817"/>
  <c r="S817" s="1"/>
  <c r="R818"/>
  <c r="S818" s="1"/>
  <c r="R819"/>
  <c r="S819" s="1"/>
  <c r="R820"/>
  <c r="S820" s="1"/>
  <c r="R821"/>
  <c r="S821" s="1"/>
  <c r="R822"/>
  <c r="S822" s="1"/>
  <c r="R823"/>
  <c r="S823" s="1"/>
  <c r="R824"/>
  <c r="S824" s="1"/>
  <c r="R825"/>
  <c r="S825" s="1"/>
  <c r="R826"/>
  <c r="S826" s="1"/>
  <c r="R827"/>
  <c r="S827" s="1"/>
  <c r="R828"/>
  <c r="S828" s="1"/>
  <c r="R829"/>
  <c r="S829" s="1"/>
  <c r="R830"/>
  <c r="S830" s="1"/>
  <c r="R831"/>
  <c r="S831" s="1"/>
  <c r="R832"/>
  <c r="S832" s="1"/>
  <c r="R833"/>
  <c r="S833" s="1"/>
  <c r="R834"/>
  <c r="S834" s="1"/>
  <c r="R835"/>
  <c r="S835" s="1"/>
  <c r="R836"/>
  <c r="S836" s="1"/>
  <c r="R837"/>
  <c r="S837" s="1"/>
  <c r="R838"/>
  <c r="S838" s="1"/>
  <c r="R839"/>
  <c r="S839" s="1"/>
  <c r="R840"/>
  <c r="S840" s="1"/>
  <c r="R841"/>
  <c r="S841" s="1"/>
  <c r="R842"/>
  <c r="S842" s="1"/>
  <c r="R843"/>
  <c r="S843" s="1"/>
  <c r="R844"/>
  <c r="S844" s="1"/>
  <c r="R845"/>
  <c r="S845" s="1"/>
  <c r="R846"/>
  <c r="S846" s="1"/>
  <c r="R847"/>
  <c r="S847" s="1"/>
  <c r="R848"/>
  <c r="S848" s="1"/>
  <c r="R849"/>
  <c r="S849" s="1"/>
  <c r="R850"/>
  <c r="S850" s="1"/>
  <c r="R851"/>
  <c r="S851" s="1"/>
  <c r="R852"/>
  <c r="S852" s="1"/>
  <c r="R853"/>
  <c r="S853" s="1"/>
  <c r="R854"/>
  <c r="S854" s="1"/>
  <c r="R855"/>
  <c r="S855" s="1"/>
  <c r="R856"/>
  <c r="S856" s="1"/>
  <c r="R857"/>
  <c r="S857" s="1"/>
  <c r="R858"/>
  <c r="S858" s="1"/>
  <c r="R859"/>
  <c r="S859" s="1"/>
  <c r="R860"/>
  <c r="S860" s="1"/>
  <c r="R861"/>
  <c r="S861" s="1"/>
  <c r="R862"/>
  <c r="S862" s="1"/>
  <c r="R863"/>
  <c r="S863" s="1"/>
  <c r="R864"/>
  <c r="S864" s="1"/>
  <c r="R865"/>
  <c r="S865" s="1"/>
  <c r="R866"/>
  <c r="S866" s="1"/>
  <c r="R867"/>
  <c r="S867" s="1"/>
  <c r="R868"/>
  <c r="S868" s="1"/>
  <c r="R869"/>
  <c r="S869" s="1"/>
  <c r="R870"/>
  <c r="S870" s="1"/>
  <c r="R871"/>
  <c r="S871" s="1"/>
  <c r="R872"/>
  <c r="S872" s="1"/>
  <c r="R873"/>
  <c r="S873" s="1"/>
  <c r="R874"/>
  <c r="S874" s="1"/>
  <c r="R875"/>
  <c r="S875" s="1"/>
  <c r="R876"/>
  <c r="S876" s="1"/>
  <c r="R877"/>
  <c r="S877" s="1"/>
  <c r="R878"/>
  <c r="S878" s="1"/>
  <c r="R879"/>
  <c r="S879" s="1"/>
  <c r="R880"/>
  <c r="S880" s="1"/>
  <c r="R881"/>
  <c r="S881" s="1"/>
  <c r="R882"/>
  <c r="S882" s="1"/>
  <c r="R883"/>
  <c r="S883" s="1"/>
  <c r="R884"/>
  <c r="S884" s="1"/>
  <c r="R885"/>
  <c r="S885" s="1"/>
  <c r="R886"/>
  <c r="S886" s="1"/>
  <c r="R887"/>
  <c r="S887" s="1"/>
  <c r="R888"/>
  <c r="S888" s="1"/>
  <c r="R889"/>
  <c r="S889" s="1"/>
  <c r="R890"/>
  <c r="S890" s="1"/>
  <c r="R891"/>
  <c r="S891" s="1"/>
  <c r="R892"/>
  <c r="S892" s="1"/>
  <c r="R893"/>
  <c r="S893" s="1"/>
  <c r="R894"/>
  <c r="S894" s="1"/>
  <c r="R895"/>
  <c r="S895" s="1"/>
  <c r="R896"/>
  <c r="S896" s="1"/>
  <c r="R897"/>
  <c r="S897" s="1"/>
  <c r="R898"/>
  <c r="S898" s="1"/>
  <c r="R899"/>
  <c r="S899" s="1"/>
  <c r="R900"/>
  <c r="S900" s="1"/>
  <c r="R901"/>
  <c r="S901" s="1"/>
  <c r="R902"/>
  <c r="S902" s="1"/>
  <c r="R903"/>
  <c r="S903" s="1"/>
  <c r="R904"/>
  <c r="S904" s="1"/>
  <c r="R905"/>
  <c r="S905" s="1"/>
  <c r="R906"/>
  <c r="S906" s="1"/>
  <c r="R907"/>
  <c r="S907" s="1"/>
  <c r="R908"/>
  <c r="S908" s="1"/>
  <c r="R909"/>
  <c r="S909" s="1"/>
  <c r="R910"/>
  <c r="S910" s="1"/>
  <c r="R911"/>
  <c r="S911" s="1"/>
  <c r="R912"/>
  <c r="S912" s="1"/>
  <c r="R913"/>
  <c r="S913" s="1"/>
  <c r="R914"/>
  <c r="S914" s="1"/>
  <c r="R915"/>
  <c r="S915" s="1"/>
  <c r="R916"/>
  <c r="S916" s="1"/>
  <c r="R917"/>
  <c r="S917" s="1"/>
  <c r="R918"/>
  <c r="S918" s="1"/>
  <c r="R919"/>
  <c r="S919" s="1"/>
  <c r="R920"/>
  <c r="S920" s="1"/>
  <c r="R921"/>
  <c r="S921" s="1"/>
  <c r="R922"/>
  <c r="S922" s="1"/>
  <c r="R923"/>
  <c r="S923" s="1"/>
  <c r="R924"/>
  <c r="S924" s="1"/>
  <c r="R925"/>
  <c r="S925" s="1"/>
  <c r="R926"/>
  <c r="S926" s="1"/>
  <c r="R927"/>
  <c r="S927" s="1"/>
  <c r="R928"/>
  <c r="S928" s="1"/>
  <c r="R929"/>
  <c r="S929" s="1"/>
  <c r="R930"/>
  <c r="S930" s="1"/>
  <c r="R931"/>
  <c r="S931" s="1"/>
  <c r="R932"/>
  <c r="S932" s="1"/>
  <c r="R933"/>
  <c r="S933" s="1"/>
  <c r="R934"/>
  <c r="S934" s="1"/>
  <c r="R10"/>
  <c r="S10" s="1"/>
</calcChain>
</file>

<file path=xl/comments1.xml><?xml version="1.0" encoding="utf-8"?>
<comments xmlns="http://schemas.openxmlformats.org/spreadsheetml/2006/main">
  <authors>
    <author>Author</author>
  </authors>
  <commentList>
    <comment ref="B115" authorId="0">
      <text>
        <r>
          <rPr>
            <b/>
            <sz val="9"/>
            <color indexed="81"/>
            <rFont val="Tahoma"/>
            <family val="2"/>
          </rPr>
          <t>giá rẻ nên để bệnh nhân trả</t>
        </r>
      </text>
    </comment>
  </commentList>
</comments>
</file>

<file path=xl/sharedStrings.xml><?xml version="1.0" encoding="utf-8"?>
<sst xmlns="http://schemas.openxmlformats.org/spreadsheetml/2006/main" count="79969" uniqueCount="12688">
  <si>
    <t>SỞ Y TẾ TÂY NINH</t>
  </si>
  <si>
    <t>TRUNG TÂM Y TẾ DƯƠNG MINH CHÂU</t>
  </si>
  <si>
    <t>CỘNG HÒA XÃ HỘI CHỦ NGHĨA VIỆT NAM</t>
  </si>
  <si>
    <t>Độc lập - Tự do - Hạnh phúc</t>
  </si>
  <si>
    <t>Đơn giá (VNĐ)</t>
  </si>
  <si>
    <t>2</t>
  </si>
  <si>
    <t>3</t>
  </si>
  <si>
    <t>4</t>
  </si>
  <si>
    <t>Thành tiền</t>
  </si>
  <si>
    <t>NGƯỜI LẬP BẢNG</t>
  </si>
  <si>
    <t>Viên</t>
  </si>
  <si>
    <t>viên</t>
  </si>
  <si>
    <t>Gói</t>
  </si>
  <si>
    <t>gói</t>
  </si>
  <si>
    <t>Lọ</t>
  </si>
  <si>
    <t>chai</t>
  </si>
  <si>
    <t xml:space="preserve">viên </t>
  </si>
  <si>
    <t>750mg</t>
  </si>
  <si>
    <t>Chai</t>
  </si>
  <si>
    <t>Baby PV</t>
  </si>
  <si>
    <t>9.6g, 4.8g, 4.8g, 9.6g, 4.8g,  9.6g, 1,9g.</t>
  </si>
  <si>
    <t>Bài thạch</t>
  </si>
  <si>
    <t>Cao khô Kim tiền thảo (tương ứng 1000mg kim tiền thảo): 90mg, Cao khô hỗn hợp (Chỉ thực, Nhân trần, Hậu Phác, Hoàng cầm, Binh lang, Nghệ, Bạch mao căn): 230mg, Mộc hương: 100mg, Đại Hoàng: 50mg</t>
  </si>
  <si>
    <t xml:space="preserve">Bát vị </t>
  </si>
  <si>
    <t>800mg, 400mg, 300mg, 300mg, 300mg, 400mg, 50mg, 50mg</t>
  </si>
  <si>
    <t>Biacti (Đương qui dưỡng huyết Xuân Quang)</t>
  </si>
  <si>
    <t>1,80g. 0,87g. 0,87g. 0,71g. 0,87g. 0,87g. 0,87g. 0,44g. 1,80g. 0,44g.</t>
  </si>
  <si>
    <t>Bổ gan tiêu độc nhất nhất</t>
  </si>
  <si>
    <t>Bạch thược, Bạch truật, Cam thảo, Diệp hạ châu, Đương quy, Đảng sâm, Nhân trần, Phục linh, Trần bì.</t>
  </si>
  <si>
    <t>420mg, 420mg, 420mg, 840mg, 420mg, 420mg, 840mg, 420mg, 420mg</t>
  </si>
  <si>
    <t>Bổ huyết ích não</t>
  </si>
  <si>
    <t>Đương quy, Bạch quả</t>
  </si>
  <si>
    <t xml:space="preserve">1300mg, 40mg. </t>
  </si>
  <si>
    <t xml:space="preserve">Bổ thận âm </t>
  </si>
  <si>
    <t>0.6g, 0.36g, 0.28g, 0.24g, 0.236g, 0.2g</t>
  </si>
  <si>
    <t>Caltestin (Viêm đại tràng Xuân Quang)</t>
  </si>
  <si>
    <t>Trần bì, Đương quy, Mạch nha, Phục linh, Chỉ xác, Thanh bì, Bạch Truật, Hậu phác, Bạch đậu khấu, Can khương, Mộc hương.</t>
  </si>
  <si>
    <t xml:space="preserve">1,50g. 1,50g, 0,80g. 0,50g. 0,50g. 0,50g. 0,50g. 0,50g. 0,50g. 0,30g. 0,30g. </t>
  </si>
  <si>
    <t xml:space="preserve">Cảm cúm – f </t>
  </si>
  <si>
    <t>Thanh cao, Kim ngân hoa, Địa liền, Tía tô, Kinh giới, Thích gia đằng, Bạc hà</t>
  </si>
  <si>
    <t>545mg, 273mg, 273mg, 273mg, 273mg, 273mg, 90mg</t>
  </si>
  <si>
    <t>Cảm mạo thông</t>
  </si>
  <si>
    <t>210mg, 175mg , 140mg, 175mg, 175mg, 175mg, 140mg, 105mg, 53mg,  105mg, 88mg, 35mg</t>
  </si>
  <si>
    <t>Cao ích mẫu</t>
  </si>
  <si>
    <t>51.2g, 16g, 12.8g</t>
  </si>
  <si>
    <t>Cao Lạc Tiên</t>
  </si>
  <si>
    <t>Lạc tiên, Vông nem, Lá dâu</t>
  </si>
  <si>
    <t>100g, 60g, 20g</t>
  </si>
  <si>
    <t>Cao lỏng Bách hạnh chỉ khái lộ</t>
  </si>
  <si>
    <t>12g; 8g; 12g; 12g; 12g; 6g; 12g; 5,6g; 10g; 10g; 4g; 6g; 8g; 6g; 6g; 6g; 8g; 12g;</t>
  </si>
  <si>
    <t xml:space="preserve">Chai </t>
  </si>
  <si>
    <t>Cao lỏng Mát gan giải độc</t>
  </si>
  <si>
    <t>Long đởm, Sài hồ, Nhân trần, Kim ngân hoa, Hoàng cầm, Sinh địa, Trạch tả, Chi tử, Đương qui, Xa tiền tử, Cam thảo</t>
  </si>
  <si>
    <t>8,4g; 5,6g; 8,4g; 8,4g; 7g; 5,6g; 5,6g; 5,6g; 4,2g; 2,8g; 2,8g,</t>
  </si>
  <si>
    <t xml:space="preserve">Cao Phong thấp </t>
  </si>
  <si>
    <t>Hy thiêm, Thiên niên kiện</t>
  </si>
  <si>
    <t>200g, 10g</t>
  </si>
  <si>
    <t>Chè trĩ BTIKG</t>
  </si>
  <si>
    <t>500mg, 1000mg, 1000mg, 1000mg, 660mg, 660mg, 500mg, 500mg, 1330mg, 1330mg, 1000mg, 800mg</t>
  </si>
  <si>
    <t>Cholapan - viên mật nghệ</t>
  </si>
  <si>
    <t>60mg, 540.35mg, 139mg</t>
  </si>
  <si>
    <t>Cố tinh hoàn</t>
  </si>
  <si>
    <t>0.84g, 0.26g, 0.26g, 0.84g, 0.17g, 0.26g, 0.42g, 0.42g, Tá dược vđ 4g.</t>
  </si>
  <si>
    <t>Cốm dạ - tá TW3</t>
  </si>
  <si>
    <t xml:space="preserve">Đại tràng – f </t>
  </si>
  <si>
    <t>300mg, 1200mg, 120mg</t>
  </si>
  <si>
    <t>Dầu nóng mặt trời</t>
  </si>
  <si>
    <t>6.3g, 7.44g, 0.33g, 18.63g, 1.89g</t>
  </si>
  <si>
    <t>Diệp hạ châu</t>
  </si>
  <si>
    <t xml:space="preserve">Cao khô Diệp hạ châu đắng (tương ứng với 250mg Diệp hạ châu đắng) 60 mg </t>
  </si>
  <si>
    <t>Diohd</t>
  </si>
  <si>
    <t>Cỏ sữa lá to, Hoàng đằng, Măng cụt</t>
  </si>
  <si>
    <t>75mg; 150mg; 10mg</t>
  </si>
  <si>
    <t>Dodylan</t>
  </si>
  <si>
    <t>550mg</t>
  </si>
  <si>
    <t>Dogarlic</t>
  </si>
  <si>
    <t>140mg, 15mg</t>
  </si>
  <si>
    <t>Dưỡng cốt hoàn</t>
  </si>
  <si>
    <t>Cao xương hỗn hợp, Hoàng bá, Tri mẫu, Trần bì, Bạch thược, Can khương, Thục địa</t>
  </si>
  <si>
    <t>0.75g, 2.40g, 0.30g, 0.60g, 0.60g, 0.15g, 0.60g</t>
  </si>
  <si>
    <t>Túi</t>
  </si>
  <si>
    <t>Dưỡng huyết Thanh não</t>
  </si>
  <si>
    <t>1014mg, 1014mg, 810.08mg, 810.08mg, 2027.2mg, 2027.2mg, 2027.2mg, 2027.2mg, 2027.2mg, 1014mg, 202mg</t>
  </si>
  <si>
    <t>Dưỡng tâm an</t>
  </si>
  <si>
    <t>0,65g; 0,50g; 0,65g; 0,15g; 1,20g</t>
  </si>
  <si>
    <t>Dưỡng tâm an thần</t>
  </si>
  <si>
    <t>Hoài sơn, Liên nhục, Liên tâm, Lá dâu, Lá vông, Bá tử nhân, Toan táo nhân, Long nhãn.</t>
  </si>
  <si>
    <t>Hoài sơn 183mg; Liên nhục 175mg; Liên tâm 200mg; Lá dâu 91,25mg; Lá vông 91,25mg; Bá tử nhân 91,25mg; Toan táo nhân 91,25mg; Long nhãn 91,25mg</t>
  </si>
  <si>
    <t>Dưỡng tâm kiện tỳ hoàn</t>
  </si>
  <si>
    <t>0,7mg, 852mg, 232mg, 50mg</t>
  </si>
  <si>
    <t>Fitôbetin – f</t>
  </si>
  <si>
    <t xml:space="preserve">Fitôcoron – f </t>
  </si>
  <si>
    <t>675mg, 210mg, 12mg</t>
  </si>
  <si>
    <t xml:space="preserve">Fitôgra – f </t>
  </si>
  <si>
    <t>Hải mã, Lộc nhung, Nhân sâm, Quế</t>
  </si>
  <si>
    <t>330mg, 330mg, 330mg, 100mg</t>
  </si>
  <si>
    <t>Flavital 500</t>
  </si>
  <si>
    <t>Forvim (Ngân kiều giải độc Xuân Quang)</t>
  </si>
  <si>
    <t>Kim ngân hoa, Liên kiều, Diệp hạ châu, Bồ công anh, Mẫu đơn bì, Đại hoàng.</t>
  </si>
  <si>
    <t>Franginin</t>
  </si>
  <si>
    <t>Actiso,Rau đắng đất, Bìm bìm biếc</t>
  </si>
  <si>
    <t>100mg + 75mg + 75mg</t>
  </si>
  <si>
    <t>Garlicap - Viên tỏi nghệ</t>
  </si>
  <si>
    <t>1500mg, 100mg</t>
  </si>
  <si>
    <t>Giải độc gan Xuân Quang</t>
  </si>
  <si>
    <t>Nhân trần, Trạch tả, Đại hoàng, Sinh địa, Đương qui, Mạch môn, Long đởm, Chi tử, Hoàng cầm, Cam thảo, Mộc thông</t>
  </si>
  <si>
    <t xml:space="preserve">1,70g. 0,83g. 0,83g. 0,60g. 0,60g. 0,60g. 0,83g. 0,42g. 0,42g. 0,23g. 0,42g. </t>
  </si>
  <si>
    <t>Hamov</t>
  </si>
  <si>
    <t>Ngưu tất, Nghệ, Hoa hoè, Bạch truật</t>
  </si>
  <si>
    <t>150mg; 150mg; 150mg; 300mg</t>
  </si>
  <si>
    <t>Hoa Đà Tái tạo hoàn</t>
  </si>
  <si>
    <t>Xuyên khung, Tần giao, Bạch chỉ, Đương quy, Mạch môn, Hồng sâm, Ngô thù du, Ngũ vị tử, Băng phiến</t>
  </si>
  <si>
    <t>2,4g; 2,4g; 2,4g; 2,4g; 1,6g ,2,4g; 1,6g; 2,4g; 0,08g</t>
  </si>
  <si>
    <t>Hoàn Bát vị bổ thận dương</t>
  </si>
  <si>
    <t>78.75mg, 72mg, 48.75mg, 48.75mg, 48.75mg, 66mg, 16.5mg, 16.5mg</t>
  </si>
  <si>
    <t>Hoàn</t>
  </si>
  <si>
    <t>Hoàn điều kinh bổ huyết</t>
  </si>
  <si>
    <t>1.2g, 1.2g, 0.3g, 0.3g, 0.3g, 0.15g, 1.2g</t>
  </si>
  <si>
    <t>Hoàn Lục vị Bổ thận âm</t>
  </si>
  <si>
    <t>Thục địa, Hoài sơn, Sơn thù,Mẫu đơn bì,Phục linh, Trạch tả</t>
  </si>
  <si>
    <t>96mg, 48mg, 48mg, 36mg, 36mg, 36mg</t>
  </si>
  <si>
    <t>Hoàn thập toàn đại bổ</t>
  </si>
  <si>
    <t>0.48g, 0.32g, 0.32g, 0.08g, 0.48g, 0,16g, 0.32g, 0.32g, 0.16g, 0.32g.</t>
  </si>
  <si>
    <t>HoAstex</t>
  </si>
  <si>
    <t>Húng chanh, Núc nác, Cineol</t>
  </si>
  <si>
    <t>45g, 11.25mg, 83.7g</t>
  </si>
  <si>
    <t>Hoạt huyết dưỡng Não QN</t>
  </si>
  <si>
    <t>Đinh lăng, Bạch quả</t>
  </si>
  <si>
    <t>150mg + 20mg</t>
  </si>
  <si>
    <t>Hoạt huyết thông mạch K/H</t>
  </si>
  <si>
    <t>Hà thủ ô đỏ, Bạch thược, Đương quy, Xuyên khung, Ích mẫu, Thục địa, Hồng hoa</t>
  </si>
  <si>
    <t>20g, 30g, 30g, 30g, 20g, 40g, (15g).</t>
  </si>
  <si>
    <t>Kenmag</t>
  </si>
  <si>
    <t>Diếp cá, Rau má</t>
  </si>
  <si>
    <t>75mg, 300mg</t>
  </si>
  <si>
    <t>Khang Minh Phong thấp nang</t>
  </si>
  <si>
    <t>Lá lốt, Hy thiêm, Ngưu tất, Thổ phục linh.</t>
  </si>
  <si>
    <t>400mg; 600mg; 600mg; 600mg</t>
  </si>
  <si>
    <t>Kiện não hoàn</t>
  </si>
  <si>
    <t>18mg ,18mg, 15mg, 12mg, 12mg, 9mg, 9mg, 6mg, 6mg, 6mg, 6mg, 6mg, 6mg, 6mg, 6mg</t>
  </si>
  <si>
    <t xml:space="preserve">Kim tiền thảo </t>
  </si>
  <si>
    <t>Kim tiền thảo, Râu mèo</t>
  </si>
  <si>
    <t>2400mg; 1000mg</t>
  </si>
  <si>
    <t>Kim tiền thảo, râu ngô</t>
  </si>
  <si>
    <t>2400mg, 972.2mg.</t>
  </si>
  <si>
    <t>Linh chi – f</t>
  </si>
  <si>
    <t>Linh chi, Đương quy</t>
  </si>
  <si>
    <t>500mg, 300mg</t>
  </si>
  <si>
    <t>Lục vị nang Vạn Xuân</t>
  </si>
  <si>
    <t>Mimosa Viên an thần</t>
  </si>
  <si>
    <t>180mg, 600mg, 600mg, 150mg, 638mg</t>
  </si>
  <si>
    <t>Ngân kiều giải độc – f</t>
  </si>
  <si>
    <t>Kim ngân hoa, Liên kiều, Cát cánh, Bạc hà, Đạm trúc diệp, Cam thảo, Kinh giới, Ngưu bàng tử, Đạm đậu sị</t>
  </si>
  <si>
    <t>400mg, 400mg, 240mg, 24mg, 160mg, 200mg, 160mg, 240mg, 200mg</t>
  </si>
  <si>
    <t>Phong liễu Tràng vị khang</t>
  </si>
  <si>
    <t>Ngưu nhĩ phong, La liễu</t>
  </si>
  <si>
    <t>2g, 1g</t>
  </si>
  <si>
    <t>Phong tê thấp</t>
  </si>
  <si>
    <t>0,25g+ 0,25g+ 0,25g+ 0,2g+ 0,2g+ 0,15g+ 0,15g+ 0,15g+ 0,15g+ 0,15g+ 0,15g+ 0,1g</t>
  </si>
  <si>
    <t>Phong thấp  Khải Hà</t>
  </si>
  <si>
    <t>2,4g; 1,2g; 1,8g; 1,2g; 1,2g; 0,9g; 1,2g; 1,8g; 3g; 1,8g; 1,8g; 1,8g; 1,8g; 0,9g; 1,8g, 0.06g</t>
  </si>
  <si>
    <t>Phyllantol</t>
  </si>
  <si>
    <t>Diệp hạ châu, Hoàng bá, Mộc hương, Quế nhục, Tam thất</t>
  </si>
  <si>
    <t>Rheumapain - f</t>
  </si>
  <si>
    <t>Hy thiêm, Hà thủ ô đỏ chế, Thương nhĩ tử,Thổ phục linh,Dây đau xương, Thiên niên kiện, Huyết giác</t>
  </si>
  <si>
    <t>800mg, 400mg, 400mg, 400mg, 400mg, 300mg, 300mg</t>
  </si>
  <si>
    <t xml:space="preserve">Song hảo đại bổ tinh – f </t>
  </si>
  <si>
    <t>Nhân sâm, Lộc nhung, Đương quy, Đỗ trọng, Thục địa, Phục linh, Ngưu tất, Xuyên khung, Hà thủ ô đỏ, Ba kích, Nhục thung dung, Sơn thù, Bạch truật, Kim anh, Nhục quế, Cam thảo</t>
  </si>
  <si>
    <t>210mg, 210mg, 105mg, 105mg, 105mg, 105mg, 105mg, 105m, 105mg, 105mg, 105mg, 105mg, 105mg, 105mg, 105mg, 105mg</t>
  </si>
  <si>
    <t>Tadimax</t>
  </si>
  <si>
    <t>Trinh nữ hoàng cung, Tri mẫu, Hoàng bá, ích mẫu, Đào nhân, Trạch tả, Xích thược, Nhục quế.</t>
  </si>
  <si>
    <t>2000mg, 666mg, 666mg, 666mg, 83mg, 830mg, 500mg, 8.3mg</t>
  </si>
  <si>
    <t>Tam thất OPC</t>
  </si>
  <si>
    <t xml:space="preserve">Thấp khớp Nam dược </t>
  </si>
  <si>
    <t>1g; 1g; 1,5g; 1g; 1g; 1g; 1g; 1g; 1g; 0,5g</t>
  </si>
  <si>
    <t>Thập toàn đại bổ</t>
  </si>
  <si>
    <t>Đương quy, Bạch truật,Đảng sâm, Quế nhục, Thục địa, Cam thảo, Hoàng kỳ, Phục linh, Xuyên khung, Bạch thược</t>
  </si>
  <si>
    <t>Thiên sứ Hộ tâm đan</t>
  </si>
  <si>
    <t>Đan sâm, Tam thất, Borneol</t>
  </si>
  <si>
    <t>43.56mg + 8.52mg + 1mg</t>
  </si>
  <si>
    <t>Thuốc cảm Xuân Quang</t>
  </si>
  <si>
    <t>Xuyên khung, Khương hoạt, Bạch chỉ, Hoàng cầm, Phòng phong, Sinh địa, Thương truật, Cam thảo, Tế tân.</t>
  </si>
  <si>
    <t>1,50g. 1,50g. 0,80g. 0,50g. 0,50g. 0,50g. 0,50g. 0,30g. 0,30g.</t>
  </si>
  <si>
    <t>Thuốc ho Bổ phế Chỉ khái lộ</t>
  </si>
  <si>
    <t>0,9g; 1,708g; 4,5g; 3,125g; 0,656g; 1,208g; 2,912g; 2,088g; 4,666g; 2,301g; 0,591g; 0,208g; 0,125g.</t>
  </si>
  <si>
    <t>Thuốc ho thảo dược</t>
  </si>
  <si>
    <t>6g+ 10g+ 10g+ 10g+ 10g+ 8g+ 8g+ 10g</t>
  </si>
  <si>
    <t>Thuốc ho trẻ em OPC</t>
  </si>
  <si>
    <t>Tiêu dao</t>
  </si>
  <si>
    <t>Tisore (Khu phong hóa thấp Xuân Quang)</t>
  </si>
  <si>
    <t xml:space="preserve">1,10g. 1,10g. 1,10g. 1,10g. 0,80g. 0,47g. 0,47g. 0,47g. 0,47g. 0,47g. 0,35g. 0,35g.  </t>
  </si>
  <si>
    <t>Tivicaps</t>
  </si>
  <si>
    <t>Tân di hoa, Thăng ma, Xuyên khung, Bạch chỉ, Cam thảo</t>
  </si>
  <si>
    <t>1000mg; 500mg; 500mg; 360mg; 60mg</t>
  </si>
  <si>
    <t xml:space="preserve">Tuần Hoàn Não Thái Dương </t>
  </si>
  <si>
    <t>1.32g  0.33g 0.083g</t>
  </si>
  <si>
    <t>Tussidrop</t>
  </si>
  <si>
    <t>Tinh dầu tràm, Tinh dầu gừng, Tinh dầu tần, Menthol, Eucalyptol</t>
  </si>
  <si>
    <t>50mg + 0,75mg + 0,36mg + 0,5mg + 100mg</t>
  </si>
  <si>
    <t>V.Phonte</t>
  </si>
  <si>
    <t>Độc hoạt, Phòng phong, Tang ký sinh, Tần giao, Bạch thược, Ngưu tất , Sinh địa, Cam thảo, Đỗ trọng , Tế tân, Quế nhục, Nhân sâm, Đương quy, Xuyên khung</t>
  </si>
  <si>
    <t>VG-5</t>
  </si>
  <si>
    <t>Diệp hạ châu, Nhân trần, Cỏ nhọ nồi, Râu bắp</t>
  </si>
  <si>
    <t>100mg,  130mg, 50mg, 50mg</t>
  </si>
  <si>
    <t>Viên đại tràng Inberco</t>
  </si>
  <si>
    <t>154.7mg, 40mg, 216mg, 53.4mg</t>
  </si>
  <si>
    <t>Viên nang cửu bổ thận</t>
  </si>
  <si>
    <t>Viên nang ích mẫu</t>
  </si>
  <si>
    <t>Viên nang ninh khôn</t>
  </si>
  <si>
    <t>Viên nhuận tràng OP.LIZ</t>
  </si>
  <si>
    <t>Nhóm 2</t>
  </si>
  <si>
    <t>Nhóm 1</t>
  </si>
  <si>
    <t>Trung Quốc</t>
  </si>
  <si>
    <t>Việt Nam</t>
  </si>
  <si>
    <t>Tên hoạt chất</t>
  </si>
  <si>
    <t>Agimexpharm</t>
  </si>
  <si>
    <t>Amoxcillin + Clavulanic acid</t>
  </si>
  <si>
    <t>Tipharco</t>
  </si>
  <si>
    <t>Augtipha 1g</t>
  </si>
  <si>
    <t>875mg +125mg</t>
  </si>
  <si>
    <t>VD-21356-14</t>
  </si>
  <si>
    <t>Loperamid</t>
  </si>
  <si>
    <t>2mg</t>
  </si>
  <si>
    <t>VD-21625-14</t>
  </si>
  <si>
    <t>Mebendazol</t>
  </si>
  <si>
    <t>500mg</t>
  </si>
  <si>
    <t>VD-25614-16</t>
  </si>
  <si>
    <t>Paracetamol</t>
  </si>
  <si>
    <t>Agimol 80</t>
  </si>
  <si>
    <t>80mg</t>
  </si>
  <si>
    <t>VD-26722-17</t>
  </si>
  <si>
    <t>Agimol 150</t>
  </si>
  <si>
    <t>150mg</t>
  </si>
  <si>
    <t>VD-22790-15</t>
  </si>
  <si>
    <t>Simvastatin</t>
  </si>
  <si>
    <t>20mg</t>
  </si>
  <si>
    <t>Enalapril</t>
  </si>
  <si>
    <t>Meyerlapril 10</t>
  </si>
  <si>
    <t>10mg</t>
  </si>
  <si>
    <t>VD-21039-14</t>
  </si>
  <si>
    <t>Công ty LD Meyer-BPC</t>
  </si>
  <si>
    <t>Dung dịch tiêm</t>
  </si>
  <si>
    <t>Oxytocin</t>
  </si>
  <si>
    <t>5IU</t>
  </si>
  <si>
    <t>VN-20167-16</t>
  </si>
  <si>
    <t>Gedeon Richter Plc.</t>
  </si>
  <si>
    <t>Spironolacton</t>
  </si>
  <si>
    <t>Verospiron 25mg</t>
  </si>
  <si>
    <t>25mg</t>
  </si>
  <si>
    <t>VN-16485-13</t>
  </si>
  <si>
    <t>Augbidil 500 mg/62,5 mg</t>
  </si>
  <si>
    <t>500mg +62,5mg</t>
  </si>
  <si>
    <t>Thuốc bột pha hỗn dịch</t>
  </si>
  <si>
    <t>24 tháng</t>
  </si>
  <si>
    <t>VD-25864-16</t>
  </si>
  <si>
    <t>Bidiphar</t>
  </si>
  <si>
    <t>Cefixim</t>
  </si>
  <si>
    <t>Bicebid 100</t>
  </si>
  <si>
    <t>100mg</t>
  </si>
  <si>
    <t>VD-10079-10 (có CV gia hạn)</t>
  </si>
  <si>
    <t>Clindamycin</t>
  </si>
  <si>
    <t>Clyodas 300</t>
  </si>
  <si>
    <t>300mg</t>
  </si>
  <si>
    <t>Viên nang cứng</t>
  </si>
  <si>
    <t>VD-21632-14</t>
  </si>
  <si>
    <t>Methyl prednisolon</t>
  </si>
  <si>
    <t>Soli-Medon 40</t>
  </si>
  <si>
    <t>40mg</t>
  </si>
  <si>
    <t>Thuốc tiêm đông khô</t>
  </si>
  <si>
    <t>VD-23146-15</t>
  </si>
  <si>
    <t>Methyldopa</t>
  </si>
  <si>
    <t>Methyldopa 250mg</t>
  </si>
  <si>
    <t>250mg</t>
  </si>
  <si>
    <t>VD-12216-10 (có CV gia hạn)</t>
  </si>
  <si>
    <t>Ciprofloxacin</t>
  </si>
  <si>
    <t>Ciprofloxacin - hameln 2mg/ml</t>
  </si>
  <si>
    <t>200mg/ 100ml</t>
  </si>
  <si>
    <t>Dung dịch tiêm truyền</t>
  </si>
  <si>
    <t>VN-17331-13</t>
  </si>
  <si>
    <t>Solupharm Pharmazeutische Erzeugnisse GmbH</t>
  </si>
  <si>
    <t>Bupivacain</t>
  </si>
  <si>
    <t>Bupivacaine for Spinal Anaesthesia Aguettant 5mg/ml</t>
  </si>
  <si>
    <t>0,5%/4ml</t>
  </si>
  <si>
    <t>Dung dịch tiêm tủy sống</t>
  </si>
  <si>
    <t>VN-18612-15</t>
  </si>
  <si>
    <t>Aguettant</t>
  </si>
  <si>
    <t>Levofloxacin</t>
  </si>
  <si>
    <t>Famotidin</t>
  </si>
  <si>
    <t>Pharmaceutical Works Polpharma S.A.</t>
  </si>
  <si>
    <t>Acarbose</t>
  </si>
  <si>
    <t>Glucobay Tab 50mg 100's</t>
  </si>
  <si>
    <t>50mg</t>
  </si>
  <si>
    <t>VN-20231-17</t>
  </si>
  <si>
    <t>Bayer Pharma AG</t>
  </si>
  <si>
    <t>Amiodaron</t>
  </si>
  <si>
    <t>Cordarone 200mg B/
   2bls x 15 Tabs</t>
  </si>
  <si>
    <t>200 mg</t>
  </si>
  <si>
    <t>VN-16722-13</t>
  </si>
  <si>
    <t>Sanofi Winthrop Industrie</t>
  </si>
  <si>
    <t>200mg</t>
  </si>
  <si>
    <t>Ciprobay Tab 500mg 10's</t>
  </si>
  <si>
    <t>VN-14009-11</t>
  </si>
  <si>
    <t>Ciprobay IV Inj 200mg 100ml</t>
  </si>
  <si>
    <t>VN-14008-11</t>
  </si>
  <si>
    <t>Ciloxan 0.3% 5ml 1'S</t>
  </si>
  <si>
    <t>0,3%</t>
  </si>
  <si>
    <t>Dung dịch nhỏ mắt</t>
  </si>
  <si>
    <t>VN-10719-10</t>
  </si>
  <si>
    <t>s.a.Alcon-Couvreur n.v.</t>
  </si>
  <si>
    <t>Gliclazid</t>
  </si>
  <si>
    <t>30mg</t>
  </si>
  <si>
    <t>Viên nén giải phóng có kiểm soát</t>
  </si>
  <si>
    <t>Les Laboratoires Servier Industrie</t>
  </si>
  <si>
    <t>Nifedipin</t>
  </si>
  <si>
    <t>Adalat LA Tab 20mg 30's</t>
  </si>
  <si>
    <t>20 mg</t>
  </si>
  <si>
    <t>Viên phóng thích kéo dài</t>
  </si>
  <si>
    <t>VN-15727-12</t>
  </si>
  <si>
    <t>Adalat Cap 10mg 30's</t>
  </si>
  <si>
    <t>VN-14010-11</t>
  </si>
  <si>
    <t>Catalent Germany Eberbach GmbH; Cơ sở sản xuất: Bayer Pharma AG</t>
  </si>
  <si>
    <t>Salutas Pharma GmbH</t>
  </si>
  <si>
    <t>Domesco</t>
  </si>
  <si>
    <t>Clarithromycin</t>
  </si>
  <si>
    <t>DOMESCO</t>
  </si>
  <si>
    <t>Glibenclamid</t>
  </si>
  <si>
    <t>Glibenclamid 5mg</t>
  </si>
  <si>
    <t>5mg</t>
  </si>
  <si>
    <t>VD-7073-09 có CV gia hạn</t>
  </si>
  <si>
    <t>Ranitidin</t>
  </si>
  <si>
    <t>Ranitidin 300mg</t>
  </si>
  <si>
    <t>VD-24488-16</t>
  </si>
  <si>
    <t>Albendazol</t>
  </si>
  <si>
    <t>Adazol</t>
  </si>
  <si>
    <t>400mg</t>
  </si>
  <si>
    <t>VD-22783-15</t>
  </si>
  <si>
    <t>Công ty cổ phần dược phẩm 3/2</t>
  </si>
  <si>
    <t>Azithromycin</t>
  </si>
  <si>
    <t>Aziefti 500mg</t>
  </si>
  <si>
    <t>VD-7439-09</t>
  </si>
  <si>
    <t>VD-18691-13</t>
  </si>
  <si>
    <t>Nước cất</t>
  </si>
  <si>
    <t>5ml</t>
  </si>
  <si>
    <t>VD-16204-12</t>
  </si>
  <si>
    <t>SaviPamol 500</t>
  </si>
  <si>
    <t>VD-24855-16</t>
  </si>
  <si>
    <t>Cty CP dược phẩm Sa Vi</t>
  </si>
  <si>
    <t>Amlodipin</t>
  </si>
  <si>
    <t>Amlodac 5</t>
  </si>
  <si>
    <t>VN-11544-10 kèm CV về việc thay đổi hạn dùng</t>
  </si>
  <si>
    <t>Cadila Healthcare Ltd.</t>
  </si>
  <si>
    <t>viên nén bao phim</t>
  </si>
  <si>
    <t>CTy TNHH MTV Dược phẩm DHG</t>
  </si>
  <si>
    <t>Meloxicam</t>
  </si>
  <si>
    <t>Reumokam</t>
  </si>
  <si>
    <t>10mg/ml; ống 1.5ml</t>
  </si>
  <si>
    <t>VN-15387-12</t>
  </si>
  <si>
    <t>Farmak JSC</t>
  </si>
  <si>
    <t>Khánh Hòa</t>
  </si>
  <si>
    <t>Allopurinol</t>
  </si>
  <si>
    <t>Công ty Cổ phần Dược phẩm Khánh Hòa</t>
  </si>
  <si>
    <t>Kavasdin 5</t>
  </si>
  <si>
    <t>VD-20761-14</t>
  </si>
  <si>
    <t>Atenolol</t>
  </si>
  <si>
    <t>VD-19892-13</t>
  </si>
  <si>
    <t>Atorvastatin</t>
  </si>
  <si>
    <t>Atorvastatin 20</t>
  </si>
  <si>
    <t>VD-21313-14</t>
  </si>
  <si>
    <t>Bromhexin</t>
  </si>
  <si>
    <t>8mg</t>
  </si>
  <si>
    <t>VD-17463-12</t>
  </si>
  <si>
    <t>Captopril</t>
  </si>
  <si>
    <t>VD-17928-12</t>
  </si>
  <si>
    <t>VD-16382-12</t>
  </si>
  <si>
    <t>Doxycyclin</t>
  </si>
  <si>
    <t>VD-17464-12</t>
  </si>
  <si>
    <t>Fenofibrat</t>
  </si>
  <si>
    <t>VD-23582-15</t>
  </si>
  <si>
    <t>Ibuprofen</t>
  </si>
  <si>
    <t>VD-22478-15</t>
  </si>
  <si>
    <t>VD-16391-12 (có CV gia hạn)</t>
  </si>
  <si>
    <t>7,5mg</t>
  </si>
  <si>
    <t>VD-16392-12 (có CV gia hạn)</t>
  </si>
  <si>
    <t>Kamelox 15</t>
  </si>
  <si>
    <t>15mg</t>
  </si>
  <si>
    <t>VD-21863-14</t>
  </si>
  <si>
    <t>Methylprednisolon 16</t>
  </si>
  <si>
    <t>16mg</t>
  </si>
  <si>
    <t>VD-20763-14</t>
  </si>
  <si>
    <t>Methylprednisolon 4</t>
  </si>
  <si>
    <t>4mg</t>
  </si>
  <si>
    <t>VD-22479-15</t>
  </si>
  <si>
    <t>Omeprazol</t>
  </si>
  <si>
    <t>Kagasdine</t>
  </si>
  <si>
    <t>VD-16386-12 (có CV gia hạn)</t>
  </si>
  <si>
    <t>Pantoprazol</t>
  </si>
  <si>
    <t>VD-21315-14</t>
  </si>
  <si>
    <t>Panactol 650</t>
  </si>
  <si>
    <t>650mg</t>
  </si>
  <si>
    <t>VD-20765-14</t>
  </si>
  <si>
    <t>Piroxicam</t>
  </si>
  <si>
    <t>VD-15910-11 (có CV gia hạn)</t>
  </si>
  <si>
    <t>Prednisolon</t>
  </si>
  <si>
    <t>Hydrocolacyl</t>
  </si>
  <si>
    <t>VD-19386-13</t>
  </si>
  <si>
    <t>Renapril 5mg</t>
  </si>
  <si>
    <t>VN-18125-14</t>
  </si>
  <si>
    <t>Balkanpharma - Dupnitsa AD</t>
  </si>
  <si>
    <t>Renapril 10mg</t>
  </si>
  <si>
    <t>VN-18124-14</t>
  </si>
  <si>
    <t>Viên sủi</t>
  </si>
  <si>
    <t>Amoxicilin</t>
  </si>
  <si>
    <t>Amoxicilin 500mg</t>
  </si>
  <si>
    <t>VD-17932-12</t>
  </si>
  <si>
    <t>CTCPDP Minh Dân</t>
  </si>
  <si>
    <t>Amoxicilin 250mg</t>
  </si>
  <si>
    <t>VD-18307-13</t>
  </si>
  <si>
    <t>Cimetidin</t>
  </si>
  <si>
    <t>Ciprofloxacin 0,3%</t>
  </si>
  <si>
    <t>VD-22941-15</t>
  </si>
  <si>
    <t>VD-23600-15</t>
  </si>
  <si>
    <t>Nước cất tiêm 10ml</t>
  </si>
  <si>
    <t>10ml</t>
  </si>
  <si>
    <t>Dung môi pha tiêm</t>
  </si>
  <si>
    <t>VD-24804-16</t>
  </si>
  <si>
    <t>Atenolol Stada 50mg</t>
  </si>
  <si>
    <t>VD-23963-15</t>
  </si>
  <si>
    <t>Công ty TNHH LD Stada- Việt Nam</t>
  </si>
  <si>
    <t>Ceftriaxon</t>
  </si>
  <si>
    <t>1g</t>
  </si>
  <si>
    <t>thuốc bột pha tiêm, tiêm</t>
  </si>
  <si>
    <t>VD-18237-13</t>
  </si>
  <si>
    <t>Công ty cổ phần Dược phẩm Am Vi</t>
  </si>
  <si>
    <t>Cefuroxim</t>
  </si>
  <si>
    <t>Ciprofloxacin Kabi</t>
  </si>
  <si>
    <t>200mg/100ml</t>
  </si>
  <si>
    <t>VD-20943-14</t>
  </si>
  <si>
    <t>Công ty cổ phần Fresenius Kabi Bidiphar</t>
  </si>
  <si>
    <t>Gentamicin</t>
  </si>
  <si>
    <t>dung dịch thuốc tiêm</t>
  </si>
  <si>
    <t>VD-27790-17</t>
  </si>
  <si>
    <t>Công ty Cổ phần Dược Phẩm An Thiên</t>
  </si>
  <si>
    <t>Metronidazol</t>
  </si>
  <si>
    <t>Metronidazol Kabi</t>
  </si>
  <si>
    <t>500mg/100ml</t>
  </si>
  <si>
    <t>dung dịch tiêm truyền</t>
  </si>
  <si>
    <t>VD-26377-17</t>
  </si>
  <si>
    <t>Partamol EF</t>
  </si>
  <si>
    <t>VD-24570-16</t>
  </si>
  <si>
    <t>Mekophar</t>
  </si>
  <si>
    <t>Paracold 250</t>
  </si>
  <si>
    <t>Thuốc bột sủi bọt</t>
  </si>
  <si>
    <t>VD-26381-17</t>
  </si>
  <si>
    <t>Bromhexin Actavis 8mg</t>
  </si>
  <si>
    <t>VN-19552-16</t>
  </si>
  <si>
    <t>Balkanpharma- Dupnitsa AD</t>
  </si>
  <si>
    <t>Sadapron 300</t>
  </si>
  <si>
    <t>VN-9830-10 (có CV gia hạn)</t>
  </si>
  <si>
    <t>Remedica Ltd</t>
  </si>
  <si>
    <t>Remedipin</t>
  </si>
  <si>
    <t>VN-9552-10 (có CV gia hạn )</t>
  </si>
  <si>
    <t>Melorich</t>
  </si>
  <si>
    <t xml:space="preserve">VN-9551-10 ( có CV gia hạn) </t>
  </si>
  <si>
    <t>Pymepharco</t>
  </si>
  <si>
    <t>Negacef 500</t>
  </si>
  <si>
    <t>VD-24966-16</t>
  </si>
  <si>
    <t>Pyme Diapro MR</t>
  </si>
  <si>
    <t>viên nén phóng thích kéo dài</t>
  </si>
  <si>
    <t>VD-22608-15</t>
  </si>
  <si>
    <t>Menison 4mg</t>
  </si>
  <si>
    <t>VD-23842-15</t>
  </si>
  <si>
    <t>Tatanol</t>
  </si>
  <si>
    <t>VD-25397-16</t>
  </si>
  <si>
    <t>S.Pharm</t>
  </si>
  <si>
    <t>Loratadin</t>
  </si>
  <si>
    <t>Loratadin  10mg</t>
  </si>
  <si>
    <t>VD-16473-12</t>
  </si>
  <si>
    <t>Paracetamol 500mg</t>
  </si>
  <si>
    <t>VD-12730-10</t>
  </si>
  <si>
    <t>SaVipharm</t>
  </si>
  <si>
    <t>SaVi Ranitidine 300</t>
  </si>
  <si>
    <t>Rofuoxime</t>
  </si>
  <si>
    <t>1,5g</t>
  </si>
  <si>
    <t>Bột pha tiêm</t>
  </si>
  <si>
    <t>VD-19218-13</t>
  </si>
  <si>
    <t>Công ty TNHH Phil Inter Pharma</t>
  </si>
  <si>
    <t>Taguar 25</t>
  </si>
  <si>
    <t>VN-13498-11 (có CV gia hạn)</t>
  </si>
  <si>
    <t>Aurobindo</t>
  </si>
  <si>
    <t>TV.Pharm</t>
  </si>
  <si>
    <t>Orenko</t>
  </si>
  <si>
    <t>VD-23074-15</t>
  </si>
  <si>
    <t>Công ty cổ phần dược phẩm TV.PHARM</t>
  </si>
  <si>
    <t>Cefotaxim</t>
  </si>
  <si>
    <t>Cefotaxime 1g</t>
  </si>
  <si>
    <t>VD-23072-15</t>
  </si>
  <si>
    <t>Travinat 250mg</t>
  </si>
  <si>
    <t>VD-20875-14</t>
  </si>
  <si>
    <t>Travinat 500mg</t>
  </si>
  <si>
    <t>VD-19501-13</t>
  </si>
  <si>
    <t>Hasanbose 50</t>
  </si>
  <si>
    <t>VD-25972-16</t>
  </si>
  <si>
    <t>Nifedipin Hasan 20 Retard</t>
  </si>
  <si>
    <t>viên nén bao phim tác dụng kéo dài</t>
  </si>
  <si>
    <t>VD-16727-12</t>
  </si>
  <si>
    <t>Egis Pharmaceuticals Private Limited company</t>
  </si>
  <si>
    <t>Hydrocortison</t>
  </si>
  <si>
    <t>Gasterol</t>
  </si>
  <si>
    <t>VD-15820-11</t>
  </si>
  <si>
    <t>CT CP DP TW 1 - Pharbaco</t>
  </si>
  <si>
    <t>Gastrotac</t>
  </si>
  <si>
    <t>Bột pha tiêm + 1 ống 10ml dung dịch tiêm natri clorid 0,9%</t>
  </si>
  <si>
    <t>VD-15826-11</t>
  </si>
  <si>
    <t>Glucose</t>
  </si>
  <si>
    <t>Công ty TNHH B.Braun Việt Nam</t>
  </si>
  <si>
    <t>Hyoscin butylbromid</t>
  </si>
  <si>
    <t>Buscopan Inj. 20mg/1ml</t>
  </si>
  <si>
    <t>20mg/ml</t>
  </si>
  <si>
    <t xml:space="preserve">VN-15234-12 </t>
  </si>
  <si>
    <t>Boehringer Ingelheim Espana, S.A</t>
  </si>
  <si>
    <t>ống</t>
  </si>
  <si>
    <t>Buscopan Tab. 10mg B/100</t>
  </si>
  <si>
    <t>VN-11700-11  (có CV gia hạn )</t>
  </si>
  <si>
    <t>Delpharm Reims</t>
  </si>
  <si>
    <t>15mg/1,5ml</t>
  </si>
  <si>
    <t>VN-16959-13</t>
  </si>
  <si>
    <t>Boehringer Ingelheim Espana S.A</t>
  </si>
  <si>
    <t>Panadol viên sủi 500mg</t>
  </si>
  <si>
    <t>VN-16488-13</t>
  </si>
  <si>
    <t>GlaxoSmithKline Consumer Healthcare Australia Pty Ltd.</t>
  </si>
  <si>
    <t>Cty CP DP Vĩnh Phúc</t>
  </si>
  <si>
    <t>Furosemid</t>
  </si>
  <si>
    <t>Vinzix</t>
  </si>
  <si>
    <t>20mg/2ml</t>
  </si>
  <si>
    <t>40 mg</t>
  </si>
  <si>
    <t>Suopinchon Injection</t>
  </si>
  <si>
    <t>VN-13873-11, có CV gia hạn</t>
  </si>
  <si>
    <t>Siu Guan Chem Ind Co. Ltd</t>
  </si>
  <si>
    <t>Viên nén bao phim, Uống</t>
  </si>
  <si>
    <t>Acid folic (vitamin B9)</t>
  </si>
  <si>
    <t>Aginfolix 5</t>
  </si>
  <si>
    <t>Viên nang cứng, Uống</t>
  </si>
  <si>
    <t>VD-25119-16</t>
  </si>
  <si>
    <t>Clotrimazol</t>
  </si>
  <si>
    <t>Colchicin</t>
  </si>
  <si>
    <t>Goutcolcin</t>
  </si>
  <si>
    <t>1mg</t>
  </si>
  <si>
    <t>Viên nén, Uống</t>
  </si>
  <si>
    <t>VD-24115-16</t>
  </si>
  <si>
    <t>Lipagim 160</t>
  </si>
  <si>
    <t>160mg</t>
  </si>
  <si>
    <t>VD-13318-10; CV gia hạn hiệu lực SĐK đến ngày 28/11/2017</t>
  </si>
  <si>
    <t>Lipagim 200</t>
  </si>
  <si>
    <t>Viên nang, Uống</t>
  </si>
  <si>
    <t>VD-14669-11; CV gia hạn hiệu lực SĐK đến ngày 28/11/2017</t>
  </si>
  <si>
    <t>Irbesartan</t>
  </si>
  <si>
    <t>Lisinopril</t>
  </si>
  <si>
    <t>Mephenesin</t>
  </si>
  <si>
    <t>Agidecotyl 500</t>
  </si>
  <si>
    <t>VD-25604-16</t>
  </si>
  <si>
    <t>N-acetylcystein</t>
  </si>
  <si>
    <t>Acecyst</t>
  </si>
  <si>
    <t>Thuốc bột, Uống</t>
  </si>
  <si>
    <t>VD-23483-15</t>
  </si>
  <si>
    <t>Nystatin</t>
  </si>
  <si>
    <t>Nystatab</t>
  </si>
  <si>
    <t>500.000UI</t>
  </si>
  <si>
    <t>VD-24708-16</t>
  </si>
  <si>
    <t>Paracetamol + ibuprofen</t>
  </si>
  <si>
    <t>Agiparofen</t>
  </si>
  <si>
    <t>325mg + 200mg</t>
  </si>
  <si>
    <t>VD-15363-11; CV gia hạn hiệu lực SĐK đến ngày 28/11/2017</t>
  </si>
  <si>
    <t>Rabeprazol</t>
  </si>
  <si>
    <t>Rabepagi</t>
  </si>
  <si>
    <t>Viên nén bao phim tan trong ruột, Uống</t>
  </si>
  <si>
    <t>VD-13756-11; CV gia hạn hiệu lực SĐK đến ngày 10/8/2018</t>
  </si>
  <si>
    <t>Trimebutin maleat</t>
  </si>
  <si>
    <t>Agitritine 200</t>
  </si>
  <si>
    <t>VD-13753-11; CV gia hạn hiệu lực SĐK đến ngày 10/8/2018</t>
  </si>
  <si>
    <t>Vitamin A</t>
  </si>
  <si>
    <t>Agirenyl</t>
  </si>
  <si>
    <t>5.000 U.I</t>
  </si>
  <si>
    <t>VD-14666-11; CV gia hạn hiệu lực SĐK đến ngày 10/8/2018</t>
  </si>
  <si>
    <t>Glimepirid</t>
  </si>
  <si>
    <t>Amdiaryl 4</t>
  </si>
  <si>
    <t>uống, viên</t>
  </si>
  <si>
    <t>VD-21818-14</t>
  </si>
  <si>
    <t>Công ty CPDP Ampharco U.S.A</t>
  </si>
  <si>
    <t>Telmisartan</t>
  </si>
  <si>
    <t>Disicar 20</t>
  </si>
  <si>
    <t xml:space="preserve"> 20 mg</t>
  </si>
  <si>
    <t>VD-23504-15</t>
  </si>
  <si>
    <t>Trimetazidin</t>
  </si>
  <si>
    <t>Neotazin MR</t>
  </si>
  <si>
    <t>35mg</t>
  </si>
  <si>
    <t>VD-25136-16</t>
  </si>
  <si>
    <t>Vắc xin ngừa viêm gan siêu vi B</t>
  </si>
  <si>
    <t>Heberbiovac- HB 1ml</t>
  </si>
  <si>
    <t>Lọ -1 liều 1ml</t>
  </si>
  <si>
    <t>Dạng hỗn dịch tiêm, Tiêm bắp</t>
  </si>
  <si>
    <t>QLVX-0624-13</t>
  </si>
  <si>
    <t xml:space="preserve">Vaccin ngừa dại </t>
  </si>
  <si>
    <t>Abhayrab</t>
  </si>
  <si>
    <t>0,5ml/lọ</t>
  </si>
  <si>
    <t>Dạng bột đông khô, Tiêm bắp</t>
  </si>
  <si>
    <t>QLVX- 0805-14</t>
  </si>
  <si>
    <t>Human Biologicals Institute</t>
  </si>
  <si>
    <t>Nicorandil</t>
  </si>
  <si>
    <t>Nicomen Tablets 5mg</t>
  </si>
  <si>
    <t>VN-10579-10; CV gia hạn hiệu lực SĐK đến ngày 20/8/2015; Có cam kết và báo cáo tồn kho đến ngày 18/9/2017 còn 902.900 viên</t>
  </si>
  <si>
    <t>Standard Chem. &amp; Pharm. Co., Ltd.</t>
  </si>
  <si>
    <t>Vildagliptin</t>
  </si>
  <si>
    <t>Vigorito</t>
  </si>
  <si>
    <t>VD-21482-14</t>
  </si>
  <si>
    <t>Công ty TNHH Dược Phẩm Đạt Vi Phú</t>
  </si>
  <si>
    <t>Methocarbamol + Paracetamol</t>
  </si>
  <si>
    <t>Parocontin</t>
  </si>
  <si>
    <t>400mg + 325mg</t>
  </si>
  <si>
    <t>VD-24281-16</t>
  </si>
  <si>
    <t>Arginin hydroclorid</t>
  </si>
  <si>
    <t>Uống, Viên nang cứng</t>
  </si>
  <si>
    <t>Công ty Cổ phần Dược phẩm An Thiên</t>
  </si>
  <si>
    <t>Bezafibrat</t>
  </si>
  <si>
    <t>Uống, Viên nén bao phim</t>
  </si>
  <si>
    <t>Bisoprolol</t>
  </si>
  <si>
    <t>2.5mg</t>
  </si>
  <si>
    <t>Uống, Viên nén</t>
  </si>
  <si>
    <t>Uống, Dung dịch</t>
  </si>
  <si>
    <t>Ống</t>
  </si>
  <si>
    <t xml:space="preserve">Domperidon </t>
  </si>
  <si>
    <t>A.T Domperidon</t>
  </si>
  <si>
    <t xml:space="preserve"> 1mg/1ml chai 60ml</t>
  </si>
  <si>
    <t>Uống, Hỗn dịch</t>
  </si>
  <si>
    <t>VD-26743-17</t>
  </si>
  <si>
    <t>Esomeprazol</t>
  </si>
  <si>
    <t>A.T Esomeprazol 20 tab</t>
  </si>
  <si>
    <t>Uống, Viên nén bao phim tan trong ruột</t>
  </si>
  <si>
    <t>VD-27788-17</t>
  </si>
  <si>
    <t>Sucralfat</t>
  </si>
  <si>
    <t>Aciclovir</t>
  </si>
  <si>
    <t>Aciclovir Meyer</t>
  </si>
  <si>
    <t>800mg</t>
  </si>
  <si>
    <t>Viên nén, uống</t>
  </si>
  <si>
    <t>VD-23266-15</t>
  </si>
  <si>
    <t>Cty LD MEYER-BPC</t>
  </si>
  <si>
    <t>Losartan</t>
  </si>
  <si>
    <t>Losartan 25</t>
  </si>
  <si>
    <t>Viên nén bao phim, uống</t>
  </si>
  <si>
    <t>VD-22635-15</t>
  </si>
  <si>
    <t xml:space="preserve">Amlodipin+ Lisinopril </t>
  </si>
  <si>
    <t>Lisonorm</t>
  </si>
  <si>
    <t>5mg +  10mg</t>
  </si>
  <si>
    <t>VN-13128-11; CV gia hạn hiệu lực SĐK đến ngày 13/9/2017</t>
  </si>
  <si>
    <t>Digoxin</t>
  </si>
  <si>
    <t>Digoxin-Richter</t>
  </si>
  <si>
    <t>0,25mg</t>
  </si>
  <si>
    <t xml:space="preserve"> Viên  nén, Uống</t>
  </si>
  <si>
    <t>VN-19155-15</t>
  </si>
  <si>
    <t>lọ</t>
  </si>
  <si>
    <t>Gabapentin</t>
  </si>
  <si>
    <t xml:space="preserve"> Viên nang cứng, Uống</t>
  </si>
  <si>
    <t>Magnesi aspartat + kali aspartat</t>
  </si>
  <si>
    <t xml:space="preserve">Panangin </t>
  </si>
  <si>
    <t>140mg + 158mg</t>
  </si>
  <si>
    <t>VN-5367-10; CV gia hạn hiệu lực SĐK đến ngày 26/7/2017</t>
  </si>
  <si>
    <t xml:space="preserve">Verospiron </t>
  </si>
  <si>
    <t>VN-19163-15</t>
  </si>
  <si>
    <t xml:space="preserve"> Viên nén bao phim, Uống</t>
  </si>
  <si>
    <t>Vinpocetin</t>
  </si>
  <si>
    <t>Cavinton Forte</t>
  </si>
  <si>
    <t>VN-17951-14</t>
  </si>
  <si>
    <t>Cavinton 5mg</t>
  </si>
  <si>
    <t>VN-5362-10; CV gia hạn hiệu lực SĐK đến ngày 14/6/2018</t>
  </si>
  <si>
    <t>Kemivir 800mg</t>
  </si>
  <si>
    <t>Uống - Viên nén</t>
  </si>
  <si>
    <t>VN-17097-13</t>
  </si>
  <si>
    <t>Medochemie Ltd.</t>
  </si>
  <si>
    <t>Kem Zonaarme</t>
  </si>
  <si>
    <t>50mg/g</t>
  </si>
  <si>
    <t>Bôi da - Kem bôi da</t>
  </si>
  <si>
    <t>VD-18176-13</t>
  </si>
  <si>
    <t>Công Ty Cổ Phần Armepharco - Xí Nghiệp Dược Phẩm 120</t>
  </si>
  <si>
    <t>Tuýp</t>
  </si>
  <si>
    <t>Amoxicilin + acid clavulanic</t>
  </si>
  <si>
    <t>Nacova DT 228.5mg</t>
  </si>
  <si>
    <t>200mg + 28.5mg</t>
  </si>
  <si>
    <t>uống - Viên nén phân tán</t>
  </si>
  <si>
    <t>VN-14752-12 (Công văn gia hạn số 5456/QLD-ĐK ngày hết hạn 24/04/2018)</t>
  </si>
  <si>
    <t>Micro Labs Ltd.</t>
  </si>
  <si>
    <t>Amoxicilin + sulbactam</t>
  </si>
  <si>
    <t>Sumakin 500/125</t>
  </si>
  <si>
    <t>500mg + 125mg</t>
  </si>
  <si>
    <t>Uống - Thuốc bột uống</t>
  </si>
  <si>
    <t>VD-23194-15</t>
  </si>
  <si>
    <t>Công ty cổ phần hóa-dược phẩm Mekophar</t>
  </si>
  <si>
    <t>Bromhexin (hydroclorid)</t>
  </si>
  <si>
    <t>Novahexin 5ml</t>
  </si>
  <si>
    <t>4mg/5ml</t>
  </si>
  <si>
    <t>Uống - Dung dịch uống</t>
  </si>
  <si>
    <t>VD-19931-13</t>
  </si>
  <si>
    <t>Công ty cổ phần Dược phẩm Phương Đông</t>
  </si>
  <si>
    <t>Ống</t>
  </si>
  <si>
    <t>Calci lactat</t>
  </si>
  <si>
    <t>Mumcal</t>
  </si>
  <si>
    <t>500mg/10ml</t>
  </si>
  <si>
    <t>VD-20804-14</t>
  </si>
  <si>
    <t>Candesartan</t>
  </si>
  <si>
    <t>Micro Labs Limited</t>
  </si>
  <si>
    <t>Carbocistein</t>
  </si>
  <si>
    <t>Rocamux</t>
  </si>
  <si>
    <t>Uống - Bột pha hỗn dịch</t>
  </si>
  <si>
    <t>VD-19166-13</t>
  </si>
  <si>
    <t>Công ty Roussel Việt Nam</t>
  </si>
  <si>
    <t>Diazepam</t>
  </si>
  <si>
    <t>Diazepam-Hameln 5mg/ml Injection</t>
  </si>
  <si>
    <t>5mg/ml</t>
  </si>
  <si>
    <t>Tiêm bắp, tiêm tĩnh mạch hoặc tiêm truyền tĩnh mạch - Dung dịch tiêm</t>
  </si>
  <si>
    <t>VN-19414-15</t>
  </si>
  <si>
    <t>Hameln Pharmaceuticals Gmbh</t>
  </si>
  <si>
    <t>Dobutamin</t>
  </si>
  <si>
    <t>Dobutamine-hameln 5mg/ml Injection</t>
  </si>
  <si>
    <t>250mg/50ml</t>
  </si>
  <si>
    <t>Tiêm truyền tĩnh mạch - Dung dịch</t>
  </si>
  <si>
    <t>VN-16187-13</t>
  </si>
  <si>
    <t>Ephedrin (hydroclorid)</t>
  </si>
  <si>
    <t>Ephedrin hydroclorid 10mg/1ml</t>
  </si>
  <si>
    <t>Tiêm dưới da - Dung dịch tiêm</t>
  </si>
  <si>
    <t>VD-19774-13</t>
  </si>
  <si>
    <t>Công ty cổ phần dược phẩm Trung Ương 2</t>
  </si>
  <si>
    <t>Glucosamin</t>
  </si>
  <si>
    <t>500 mg</t>
  </si>
  <si>
    <t>Glyceryl trinitrat (Nitroglycerin)</t>
  </si>
  <si>
    <t>Glyceryl Trinitrate - Hameln 1mg/ml</t>
  </si>
  <si>
    <t>1mg/1ml</t>
  </si>
  <si>
    <t>Tiêm tĩnh mạch - Dung dịch tiêm</t>
  </si>
  <si>
    <t xml:space="preserve">VN-18845-15 </t>
  </si>
  <si>
    <t>Magnesi hydroxyd + nhôm hydroxyd + simethicon</t>
  </si>
  <si>
    <t>Morphin Sulfate</t>
  </si>
  <si>
    <t>Opiphine</t>
  </si>
  <si>
    <t>10mg/1ml</t>
  </si>
  <si>
    <t>Tiêm   - Dung dịch</t>
  </si>
  <si>
    <t>VN-19415-15</t>
  </si>
  <si>
    <t>Naloxon (hydroclorid)</t>
  </si>
  <si>
    <t>Naloxone-hameln 0.4mg/ml Injection</t>
  </si>
  <si>
    <t>0,4mg/ml</t>
  </si>
  <si>
    <t>Tiêm bắp và tiêm tĩnh mạch  - Dung dịch tiêm</t>
  </si>
  <si>
    <t xml:space="preserve">VN-17327-13 </t>
  </si>
  <si>
    <t>Natri clorid</t>
  </si>
  <si>
    <t>Tiêm truyền  - Dung dịch</t>
  </si>
  <si>
    <t>Euro-Med Laboratories Phil., Inc</t>
  </si>
  <si>
    <t>Paracetamol (acetaminophen)</t>
  </si>
  <si>
    <t>Paracetamol+ Tramadol</t>
  </si>
  <si>
    <t>Paratramol</t>
  </si>
  <si>
    <t>325mg + 37,5mg</t>
  </si>
  <si>
    <t>Uống - Viên nén bao phim</t>
  </si>
  <si>
    <t>VN-18044-14</t>
  </si>
  <si>
    <t xml:space="preserve">Pharmaceutical Works Polpharma S.A. </t>
  </si>
  <si>
    <t>Tiêm  - Dung dịch</t>
  </si>
  <si>
    <t>Ringer lactat</t>
  </si>
  <si>
    <t>500ml</t>
  </si>
  <si>
    <t>Tramadol + Paracetamol</t>
  </si>
  <si>
    <t>Ulrexpen</t>
  </si>
  <si>
    <t>37,5mg + 325mg</t>
  </si>
  <si>
    <t>Uống - Viên nén bao phim</t>
  </si>
  <si>
    <t>VN-19714-16</t>
  </si>
  <si>
    <t>Tranexamic acid</t>
  </si>
  <si>
    <t xml:space="preserve">Medsamic </t>
  </si>
  <si>
    <t>250mg/5ml</t>
  </si>
  <si>
    <t>Tiêm - Dung dịch tiêm</t>
  </si>
  <si>
    <t>Medochemie Ltd -Ampoule injectable Facility.</t>
  </si>
  <si>
    <t>500mg/5ml</t>
  </si>
  <si>
    <t>Ursodeoxycholic acid</t>
  </si>
  <si>
    <t>Daewoong Pharmaceutical Co., Ltd</t>
  </si>
  <si>
    <t>Biotax 2g IV</t>
  </si>
  <si>
    <t>2g</t>
  </si>
  <si>
    <t>VN-18609-15</t>
  </si>
  <si>
    <t>Reig Jofre</t>
  </si>
  <si>
    <t>Ephedrine Aguettant 30mg/ml</t>
  </si>
  <si>
    <t>Viên nén uống</t>
  </si>
  <si>
    <t>Kẽm sulfat</t>
  </si>
  <si>
    <t>Grazincure</t>
  </si>
  <si>
    <t>Dung dịch uống</t>
  </si>
  <si>
    <t>VN-16776-13</t>
  </si>
  <si>
    <t>Gracure</t>
  </si>
  <si>
    <t>Peptid (Cerebrolysin concentrate)</t>
  </si>
  <si>
    <t>Cerebrolysin</t>
  </si>
  <si>
    <t>QLSP-845-15</t>
  </si>
  <si>
    <t>Ever Neuro</t>
  </si>
  <si>
    <t>Perindopril</t>
  </si>
  <si>
    <t>Stopress 8mg</t>
  </si>
  <si>
    <t>VN-13809-11 (gia hạn đến 26/10/2017)</t>
  </si>
  <si>
    <t>Polpharma</t>
  </si>
  <si>
    <t>Promethazin (hydroclorid)</t>
  </si>
  <si>
    <t>Pipolphen</t>
  </si>
  <si>
    <t>50mg/2ml</t>
  </si>
  <si>
    <t>VN-19640-16</t>
  </si>
  <si>
    <t>Egis</t>
  </si>
  <si>
    <t>Suxamethonium clorid</t>
  </si>
  <si>
    <t>Suxamethonium Chloride</t>
  </si>
  <si>
    <t>100mg/2ml</t>
  </si>
  <si>
    <t>VN-16040-12</t>
  </si>
  <si>
    <t>Rotexmedica</t>
  </si>
  <si>
    <t>Cefaclor</t>
  </si>
  <si>
    <t>Cefaclor 250 mg</t>
  </si>
  <si>
    <t>viên nang cứng, uống</t>
  </si>
  <si>
    <t>VD-24144-16</t>
  </si>
  <si>
    <t xml:space="preserve">Cty CPDP Cửu Long </t>
  </si>
  <si>
    <t>Ceplorvpc 500</t>
  </si>
  <si>
    <t>VD-13356-10 (CV gia hạn hiệu lực SĐK đến ngày 30/12/2018)</t>
  </si>
  <si>
    <t>Cefalexin</t>
  </si>
  <si>
    <t>Cefacyl 500</t>
  </si>
  <si>
    <t>VD-22824-15</t>
  </si>
  <si>
    <t>Cty CPDP Euvipharm</t>
  </si>
  <si>
    <t>Cefpodoxim</t>
  </si>
  <si>
    <t>viên nén dài bao phim, uống</t>
  </si>
  <si>
    <t>viên nén bao phim, uống</t>
  </si>
  <si>
    <t>Celecoxib</t>
  </si>
  <si>
    <t>Vicoxib 100</t>
  </si>
  <si>
    <t>VD-19335-13</t>
  </si>
  <si>
    <t>Vicoxib 200</t>
  </si>
  <si>
    <t>VD-19336-13</t>
  </si>
  <si>
    <t>DL- methionin</t>
  </si>
  <si>
    <t>Methionin 250mg</t>
  </si>
  <si>
    <t>VD-13784-11 (CV gia hạn hiệu lực SĐK đến ngày 24/7/2018)</t>
  </si>
  <si>
    <t>Detracyl 250</t>
  </si>
  <si>
    <t>viên nén bao đường, uống</t>
  </si>
  <si>
    <t>VD-20186-13</t>
  </si>
  <si>
    <t>Topralsin</t>
  </si>
  <si>
    <t>VD-16525-12</t>
  </si>
  <si>
    <t xml:space="preserve">Paracetamol  + Tramadol </t>
  </si>
  <si>
    <t>Dinalvic VPC</t>
  </si>
  <si>
    <t>VD-18713-13</t>
  </si>
  <si>
    <t>Acepron 325 mg</t>
  </si>
  <si>
    <t xml:space="preserve">325mg </t>
  </si>
  <si>
    <t xml:space="preserve">thuốc bột, uống </t>
  </si>
  <si>
    <t>VD-20679-14</t>
  </si>
  <si>
    <t>Paracetamol + codein phosphat</t>
  </si>
  <si>
    <t>Panalganeffer Codein</t>
  </si>
  <si>
    <t>500mg + 30mg</t>
  </si>
  <si>
    <t>viên nén sủi bọt, uống</t>
  </si>
  <si>
    <t>VD-17903-12</t>
  </si>
  <si>
    <t>Sulfamethoxazol + trimethoprim</t>
  </si>
  <si>
    <t>viên nén, uống</t>
  </si>
  <si>
    <t>Vitamin C</t>
  </si>
  <si>
    <t>Vitamin C 250</t>
  </si>
  <si>
    <t>Viên nén dài bao phim, uống</t>
  </si>
  <si>
    <t>VD-26785-17</t>
  </si>
  <si>
    <t>Cefadroxil</t>
  </si>
  <si>
    <t>Cefadroxil 1g</t>
  </si>
  <si>
    <t>1000mg</t>
  </si>
  <si>
    <t>VD-22522-15</t>
  </si>
  <si>
    <t>Cloxacilin</t>
  </si>
  <si>
    <t>Cloxacillin  500</t>
  </si>
  <si>
    <t>8745/QLD-KD, hiệu lực đến ngày 30/5/2017; có báo cáo tồn kho</t>
  </si>
  <si>
    <t>Remedica Ltd.</t>
  </si>
  <si>
    <t>Piracetam</t>
  </si>
  <si>
    <t>Stacetam 800mg</t>
  </si>
  <si>
    <t>VD-22231-15</t>
  </si>
  <si>
    <t>Kavasdin 10</t>
  </si>
  <si>
    <t>Viên nén; Uống</t>
  </si>
  <si>
    <t>VD-20760-14</t>
  </si>
  <si>
    <t>Cty CPDP Khánh Hòa</t>
  </si>
  <si>
    <t>Cty CPDP Savi</t>
  </si>
  <si>
    <t>Danapha</t>
  </si>
  <si>
    <t>Argyrol</t>
  </si>
  <si>
    <t>Argyrol 1%</t>
  </si>
  <si>
    <t>1% 5ml</t>
  </si>
  <si>
    <t>Công ty CP Dược Danapha</t>
  </si>
  <si>
    <t>Fexofenadin</t>
  </si>
  <si>
    <t>60mg</t>
  </si>
  <si>
    <t>Povidon iodin</t>
  </si>
  <si>
    <t>Glucobay 100mg</t>
  </si>
  <si>
    <t>VN-20230-17</t>
  </si>
  <si>
    <t>Amiodarone HCL</t>
  </si>
  <si>
    <t>150mg/ 3ml</t>
  </si>
  <si>
    <t>Tiêm tĩnh mạch (IV), Dung dịch thuốc tiêm</t>
  </si>
  <si>
    <t>Budesonid</t>
  </si>
  <si>
    <t xml:space="preserve">Pulmicort respules </t>
  </si>
  <si>
    <t>500mcg/2ml</t>
  </si>
  <si>
    <t>xông, Hỗn dịch khí dung dùng để hít</t>
  </si>
  <si>
    <t>VN-19559-16</t>
  </si>
  <si>
    <t>AstraZeneca AB</t>
  </si>
  <si>
    <t>Clopidogrel</t>
  </si>
  <si>
    <t>Plavix</t>
  </si>
  <si>
    <t>Uống, viên nén bao phim</t>
  </si>
  <si>
    <t>VN-18879-15</t>
  </si>
  <si>
    <t>Enoxaparin Natri</t>
  </si>
  <si>
    <t>Lovenox</t>
  </si>
  <si>
    <t>60mg/ 0,6ml</t>
  </si>
  <si>
    <t>tiêm (SC &amp; IV), Dung dịch tiêm đóng sẵn trong bơm tiêm</t>
  </si>
  <si>
    <t>QLSP-893-15</t>
  </si>
  <si>
    <t>Bơm tiêm</t>
  </si>
  <si>
    <t>Bình xịt</t>
  </si>
  <si>
    <t>Insulin glargine</t>
  </si>
  <si>
    <t>300UI/3ml</t>
  </si>
  <si>
    <t>tiêm, Dung dịch tiêm trong bút tiêm nạp sẵn</t>
  </si>
  <si>
    <t>QLSP-857-15</t>
  </si>
  <si>
    <t>Sanofi - Aventis Deutschland GmbH</t>
  </si>
  <si>
    <t>Bút</t>
  </si>
  <si>
    <t>150 mg</t>
  </si>
  <si>
    <t>300 mg</t>
  </si>
  <si>
    <t xml:space="preserve">Isoflurane </t>
  </si>
  <si>
    <t xml:space="preserve">Forane </t>
  </si>
  <si>
    <t>100ml</t>
  </si>
  <si>
    <t>Gây mê qua đường hô hấp, Dược chất lỏng nguyên chất dùng để hít</t>
  </si>
  <si>
    <t>VN-20123-16</t>
  </si>
  <si>
    <t>Aesica Queenborough Ltd</t>
  </si>
  <si>
    <t>Lidocain hydroclorid khan (dưới dạng Lidocain hydroclorid monohydrat</t>
  </si>
  <si>
    <t>Xylocaine Jelly Oin 2% 30g 10's</t>
  </si>
  <si>
    <t>2%</t>
  </si>
  <si>
    <t>Dùng ngoài, Gel</t>
  </si>
  <si>
    <t>VN-19788-16</t>
  </si>
  <si>
    <t>Recipharm Karlskoga AB</t>
  </si>
  <si>
    <t>Octreotide</t>
  </si>
  <si>
    <t xml:space="preserve">Sandostatin </t>
  </si>
  <si>
    <t>0,1mg/1ml</t>
  </si>
  <si>
    <t>Tiêm, Dung dịch tiêm IV, SC</t>
  </si>
  <si>
    <t>VN-17538-13</t>
  </si>
  <si>
    <t>Novartis Pharma Stein AG</t>
  </si>
  <si>
    <t>Salbutamol sulfate</t>
  </si>
  <si>
    <t>Ventolin Inhaler 100mcg 200 Dose</t>
  </si>
  <si>
    <t>100mcg/liều</t>
  </si>
  <si>
    <t>Xịt theo đường miệng, Hỗn dịch xịt qua bình định liều điều áp</t>
  </si>
  <si>
    <t>VN-18791-15</t>
  </si>
  <si>
    <t>Glaxo Wellcome S.A; đóng gói tại GlaxoSmithKline Australia Pty., Ltd</t>
  </si>
  <si>
    <t>Ventolin Nebules</t>
  </si>
  <si>
    <t>5mg/ 2.5ml Salbutamol, Dùng cho máy khí dung</t>
  </si>
  <si>
    <t>Dùng cho máy khí dung, Dung dịch dùng cho máy khí dung</t>
  </si>
  <si>
    <t>VN-13707-11 (CV gia hạn SĐK hết hiệu lực ngày 17/10/2017)</t>
  </si>
  <si>
    <t>GlaxoSmithKline Australia Pty Ltd</t>
  </si>
  <si>
    <t>Salmeterol xinafoate ; Fluticasone propionate</t>
  </si>
  <si>
    <t xml:space="preserve">Seretide Evohaler DC </t>
  </si>
  <si>
    <t>125mcg/liều + 25mcg/liều</t>
  </si>
  <si>
    <t>Hít qua đường miệng, Thuốc phun mù hệ hỗn dịch để hít qua đường miệng</t>
  </si>
  <si>
    <t>VN-15448-12 (CV gia hạn SĐK hết hiệu lực ngày 18/8/2018)</t>
  </si>
  <si>
    <t>Glaxo Wellcome SA</t>
  </si>
  <si>
    <t>Seretide Evohaler DC</t>
  </si>
  <si>
    <t xml:space="preserve"> 250mcg/liều + 25mcg/liều</t>
  </si>
  <si>
    <t>VN-14683-12 (CV gia hạn SĐK hết hiệu lực ngày 08/3/2018)</t>
  </si>
  <si>
    <t>Acetylcystein</t>
  </si>
  <si>
    <t>ACC Sus. 200mg</t>
  </si>
  <si>
    <t>Uống, Bột pha dung dịch uống</t>
  </si>
  <si>
    <t>VN-11089-10 (CV gia hạn hiệu lực SĐK đến ngày 06/10/2017)</t>
  </si>
  <si>
    <t>Lindopharm GmbH.Xuất xưởng: Slutas Pharma GmbH - Đức</t>
  </si>
  <si>
    <t xml:space="preserve">Actapulgite </t>
  </si>
  <si>
    <t>3g</t>
  </si>
  <si>
    <t>Uống, Bột pha hỗn dịch uống</t>
  </si>
  <si>
    <t>VN-19202-15</t>
  </si>
  <si>
    <t>Beaufour Ipsen Industrie</t>
  </si>
  <si>
    <t xml:space="preserve">Cordarone 150mg/3ml </t>
  </si>
  <si>
    <t>VN-11316-10; CV gia hạn hiệu lực SĐK đến ngày 26/7/2017; Có báo cáo tồn kho</t>
  </si>
  <si>
    <t>Amlodipin besilate, Amlodipine</t>
  </si>
  <si>
    <t>Amlibon 10mg</t>
  </si>
  <si>
    <t>VN-8747-09; CV gia hạn hiệu lực SĐK đến ngày 12/7/2018</t>
  </si>
  <si>
    <t>Lek Pharmaceuticals d.d,</t>
  </si>
  <si>
    <t>Glaxo Wellcome Production</t>
  </si>
  <si>
    <t>Amoxicillin trihydrate + Acid Clavulanic</t>
  </si>
  <si>
    <t>Augmentin 250/31.25 mg</t>
  </si>
  <si>
    <t xml:space="preserve">250mg + 31,25mg </t>
  </si>
  <si>
    <t>VN-17444-13</t>
  </si>
  <si>
    <t xml:space="preserve">Attapulgite; Aluminum hydroxyde and magnesium carbonate; </t>
  </si>
  <si>
    <t>Gastropulgite</t>
  </si>
  <si>
    <t>2,5g + 0,5g</t>
  </si>
  <si>
    <t>VN-17985-14</t>
  </si>
  <si>
    <t xml:space="preserve">Ceclor </t>
  </si>
  <si>
    <t>375mg</t>
  </si>
  <si>
    <t>Uống, Viên nén bao phim giải phóng chậm</t>
  </si>
  <si>
    <t>Diosmectite</t>
  </si>
  <si>
    <t xml:space="preserve">Smecta </t>
  </si>
  <si>
    <t>Uống, Thuốc bột pha hỗn dịch uống</t>
  </si>
  <si>
    <t>VN-19485-15</t>
  </si>
  <si>
    <t>Beaufour Ipsen industrie</t>
  </si>
  <si>
    <t>Gliclazide</t>
  </si>
  <si>
    <t xml:space="preserve">Diamicron MR 60mg </t>
  </si>
  <si>
    <t>Uống, viên nén giải phóng kéo dài</t>
  </si>
  <si>
    <t>VN-13764-11 (CV gia hạn hiệu lực SĐK đến ngày 06/10/2017)</t>
  </si>
  <si>
    <t>Glimepiride</t>
  </si>
  <si>
    <t>Canzeal  2mg</t>
  </si>
  <si>
    <t>VN-11157-10 (CV gia hạn hiệu lực SĐK đến ngày 31/12/2017)</t>
  </si>
  <si>
    <t>Lek S.A</t>
  </si>
  <si>
    <t>Canzeal 4mg</t>
  </si>
  <si>
    <t>VN-11158-10 (CV gia hạn hiệu lực SĐK đến ngày 31/12/2017)</t>
  </si>
  <si>
    <t xml:space="preserve">Lantus Solostar </t>
  </si>
  <si>
    <t>AstraZeneca Pharmaceutical Co., Ltd</t>
  </si>
  <si>
    <t>Lisinopril dihydrat</t>
  </si>
  <si>
    <t xml:space="preserve">Zestril </t>
  </si>
  <si>
    <t>VN-15213-12 (CV gia hạn hiệu lực SĐK đến ngày 03/7/2018)</t>
  </si>
  <si>
    <t>AstraZeneca UK Ltd.</t>
  </si>
  <si>
    <t>Macrogol 4000</t>
  </si>
  <si>
    <t>Forlax</t>
  </si>
  <si>
    <t>10g</t>
  </si>
  <si>
    <t>VN-16801-13</t>
  </si>
  <si>
    <t>Metformin HCL</t>
  </si>
  <si>
    <t>Meglucon 850</t>
  </si>
  <si>
    <t>850mg</t>
  </si>
  <si>
    <t>VN-20290-17</t>
  </si>
  <si>
    <t>Metformin hydrochloride</t>
  </si>
  <si>
    <t>Túi</t>
  </si>
  <si>
    <t>Nebivolol (dưới dạng Nebivolol HCl)</t>
  </si>
  <si>
    <t>Nebilet</t>
  </si>
  <si>
    <t>VN-19377-15</t>
  </si>
  <si>
    <t>Berlin Chemie AG - Đức</t>
  </si>
  <si>
    <t>Perindopril arginine</t>
  </si>
  <si>
    <t>Coversyl 5mg</t>
  </si>
  <si>
    <t>5 mg</t>
  </si>
  <si>
    <t>VN-17087-13</t>
  </si>
  <si>
    <t>Perindopril arginine 5mg (tương đương 3,395mg perindopril); Amlodipine (dưới dạng amlodipin besilate) 5mg</t>
  </si>
  <si>
    <t>Coveram 5mg/5mg</t>
  </si>
  <si>
    <t>5mg; 5mg</t>
  </si>
  <si>
    <t>VN-18635-15</t>
  </si>
  <si>
    <t>Servier (Ireland) Industries Ltd.</t>
  </si>
  <si>
    <t xml:space="preserve">Viên </t>
  </si>
  <si>
    <t>Purified, micronized flavonoid fraction 500mg (Diosmin 450mg ; flavonoid espressed as Hesperidin 50mg)</t>
  </si>
  <si>
    <t>Daflon</t>
  </si>
  <si>
    <t>450mg; 50mg</t>
  </si>
  <si>
    <t>VN-15519-12 (Hiệu lực SĐK đến ngày 22/6/2017); Có biên nhận xin đăng ký lại GPLHSP; Có báo cáo tồn kho đến ngày 05/9/2017</t>
  </si>
  <si>
    <t>10mg/ml</t>
  </si>
  <si>
    <t>2.5mg/ 2.5ml Salbutamol, Dùng cho máy khí dung</t>
  </si>
  <si>
    <t>VN-11572-10 (CV gia hạn hiệu lực SĐK đến ngày 18/8/2017); có báo cáo tồn kho</t>
  </si>
  <si>
    <t>Simethicone</t>
  </si>
  <si>
    <t xml:space="preserve">Espumisan L </t>
  </si>
  <si>
    <t>40mg/ml</t>
  </si>
  <si>
    <t>Uống, Nhũ dịch uống</t>
  </si>
  <si>
    <t>VN-15231-12 (CV gia hạn hiệu lực SĐK đến ngày 22/5/2018)</t>
  </si>
  <si>
    <t>Simeticone</t>
  </si>
  <si>
    <t>Espumisan Capsules</t>
  </si>
  <si>
    <t>Uống, viên nang mềm</t>
  </si>
  <si>
    <t>VN-14925-12</t>
  </si>
  <si>
    <t>Catalent Germany Eberbach GmbH</t>
  </si>
  <si>
    <t>Spiramycin</t>
  </si>
  <si>
    <t>Rovamycine</t>
  </si>
  <si>
    <t>1.5 MIU</t>
  </si>
  <si>
    <t>VN-15626-12 (CV gia hạn hiệu lực SĐK đến ngày15/8/2018)</t>
  </si>
  <si>
    <t>Famar Lyon</t>
  </si>
  <si>
    <t>Tiêm truyền, Dung dịch tiêm truyền tĩnh mạch</t>
  </si>
  <si>
    <t>125mg/ 5ml,30ml</t>
  </si>
  <si>
    <t>Uống, Cốm pha hỗn dịch uống</t>
  </si>
  <si>
    <t>VN-15935-12 (CV gia hạn hiệu lực SĐK đến ngày 10/10/2017)</t>
  </si>
  <si>
    <t xml:space="preserve">Bột hạt Malva + Xanh methylen + Camphor monobromid </t>
  </si>
  <si>
    <t xml:space="preserve">Domitazol </t>
  </si>
  <si>
    <t>250mg+25mg+20mg</t>
  </si>
  <si>
    <t>Uống, Viên nén bao đường</t>
  </si>
  <si>
    <t>VD-22627-15</t>
  </si>
  <si>
    <t xml:space="preserve">Nitroglycerin </t>
  </si>
  <si>
    <t>Domitral</t>
  </si>
  <si>
    <t>2,5mg</t>
  </si>
  <si>
    <t>Uống, Viên nang</t>
  </si>
  <si>
    <t>VD-9724-09, gia hạn đến ngày 30/05/2018</t>
  </si>
  <si>
    <t xml:space="preserve">Propranolol hydrochlorid  </t>
  </si>
  <si>
    <t>Dorocardyl 40mg</t>
  </si>
  <si>
    <t>VD-25425-16</t>
  </si>
  <si>
    <t xml:space="preserve">Sulfoguaiacol + Codein Camphosulfonat + Cao mềm Grindelia </t>
  </si>
  <si>
    <t>Dorocodon</t>
  </si>
  <si>
    <t>100mg+25mg+20mg</t>
  </si>
  <si>
    <t>VD-22307-15</t>
  </si>
  <si>
    <t xml:space="preserve">Acid boric </t>
  </si>
  <si>
    <t xml:space="preserve">Cồn Boric 3% </t>
  </si>
  <si>
    <t>3%-10ml</t>
  </si>
  <si>
    <t>Dung dịch nhỏ tai</t>
  </si>
  <si>
    <t>VD-23481-15</t>
  </si>
  <si>
    <t>Bromhexine</t>
  </si>
  <si>
    <t>Bromhexin 4</t>
  </si>
  <si>
    <t xml:space="preserve"> 4mg</t>
  </si>
  <si>
    <t>VD-17371-12</t>
  </si>
  <si>
    <t>Dextromethorphan HBr</t>
  </si>
  <si>
    <t>Dextromethorphan 15mg</t>
  </si>
  <si>
    <t>Viên nén bao phim; Uống</t>
  </si>
  <si>
    <t>VD-17870-12</t>
  </si>
  <si>
    <t>Natri clorid 0,9%</t>
  </si>
  <si>
    <t>Dung dịch dùng ngoài</t>
  </si>
  <si>
    <t xml:space="preserve">Natri clorid </t>
  </si>
  <si>
    <t xml:space="preserve">Efticol 0,9% </t>
  </si>
  <si>
    <t>0,9%-10ml</t>
  </si>
  <si>
    <t xml:space="preserve">Dung dịch nhỏ mắt, mũi </t>
  </si>
  <si>
    <t>VD-17871-12</t>
  </si>
  <si>
    <t>Nystatin 25000IU</t>
  </si>
  <si>
    <t xml:space="preserve"> 25.000ui</t>
  </si>
  <si>
    <t>Bột rà miệng</t>
  </si>
  <si>
    <t>VD-18216-13</t>
  </si>
  <si>
    <t>Gói</t>
  </si>
  <si>
    <t xml:space="preserve">Synervit </t>
  </si>
  <si>
    <t>125mg; 125mg; 125mcg</t>
  </si>
  <si>
    <t>Viên nén bao đường; Uống</t>
  </si>
  <si>
    <t>VD-17879-12</t>
  </si>
  <si>
    <t>Aceclofenac</t>
  </si>
  <si>
    <t>Clanzacr</t>
  </si>
  <si>
    <t>viên  nén bao phim phóng thích có kiểm soát, uống</t>
  </si>
  <si>
    <t>VN-15948-12</t>
  </si>
  <si>
    <t xml:space="preserve">Korea United Pharm. Inc. </t>
  </si>
  <si>
    <t>Pms- Bactamox 500mg</t>
  </si>
  <si>
    <t>250mg + 250mg</t>
  </si>
  <si>
    <t>VD-22899-15</t>
  </si>
  <si>
    <t xml:space="preserve">Cty CP Dược phẩm Imexpharm </t>
  </si>
  <si>
    <t xml:space="preserve">Cty CP Dược phẩm Sa Vi </t>
  </si>
  <si>
    <t>Prolol Savi 10</t>
  </si>
  <si>
    <t>VD-13870-11; CV gia hạn hiệu lực SĐK đến ngày 10/02/2016; có cam kết, có báo cáo tồn kho</t>
  </si>
  <si>
    <t>Bisoprolol + hydroclorothiazid</t>
  </si>
  <si>
    <t>Bisoprolol Plus HCT 2,5/6,25</t>
  </si>
  <si>
    <t>2.5mg + 6.25mg</t>
  </si>
  <si>
    <t>VD-20806-14</t>
  </si>
  <si>
    <t>Glumerif 2</t>
  </si>
  <si>
    <t>VD-21780-14</t>
  </si>
  <si>
    <t>Cty TNHH MTV Dược phẩm DHG</t>
  </si>
  <si>
    <t>Glumerif 4</t>
  </si>
  <si>
    <t>VD-22032-14</t>
  </si>
  <si>
    <t>Ormagat 1000mg</t>
  </si>
  <si>
    <t>thuốc bột, uống</t>
  </si>
  <si>
    <t>VD-13860-11; CV gia hạn hiệu lực SĐK đến ngày 30/8/2017; Có cam kết, có báo cáo tồn kho</t>
  </si>
  <si>
    <t xml:space="preserve">Cty CP DP Phương Đông </t>
  </si>
  <si>
    <t>Lanzoprazol</t>
  </si>
  <si>
    <t>Scolanzo</t>
  </si>
  <si>
    <t xml:space="preserve"> viên nang, uống</t>
  </si>
  <si>
    <t>VN-9736-10; CV gia hạn hiệu lực SĐK đến ngày 08/9/2018</t>
  </si>
  <si>
    <t>Laboratorios Liconssa, S.A.</t>
  </si>
  <si>
    <t>Antilox forte</t>
  </si>
  <si>
    <t>800mg + 800mg + 100mg</t>
  </si>
  <si>
    <t>Hỗn dịch, uống</t>
  </si>
  <si>
    <t>VD-26750-17</t>
  </si>
  <si>
    <t xml:space="preserve">Cty CP Dược phẩm An Thiên </t>
  </si>
  <si>
    <t>Nabumeton</t>
  </si>
  <si>
    <t>Mebufen 750</t>
  </si>
  <si>
    <t>VD-20234-13</t>
  </si>
  <si>
    <t xml:space="preserve">Cty CP Dược phẩm OPV </t>
  </si>
  <si>
    <t>Nifedipin LA</t>
  </si>
  <si>
    <t>Avensa LA</t>
  </si>
  <si>
    <t>viên nén giải phóng có kiểm soát, uống</t>
  </si>
  <si>
    <t>VD-11340-10; CV gia hạn hiệu lực SĐK đến ngày 20/4/2018</t>
  </si>
  <si>
    <t>Vitamin B1 + B6 + B12</t>
  </si>
  <si>
    <t>Savi 3B</t>
  </si>
  <si>
    <t>100mg +100mg +150mcg</t>
  </si>
  <si>
    <t>VD-16030-11; CV gia hạn hiệu lực SĐK đến ngày 30/12/2017</t>
  </si>
  <si>
    <t>Viên, uống</t>
  </si>
  <si>
    <t>Dimenhydrinat</t>
  </si>
  <si>
    <t>Bestrip</t>
  </si>
  <si>
    <t>Viên bao phim, Uống</t>
  </si>
  <si>
    <t>VD-16871-12 ( kèm cv gia hạn hiệu lực SĐK 10129/QLD-ĐK ngày 17/07/2017)</t>
  </si>
  <si>
    <t>Pharmedic</t>
  </si>
  <si>
    <t>Hydrochlorothiazid</t>
  </si>
  <si>
    <t>Thiazifar 25mg</t>
  </si>
  <si>
    <t>VD-16874-12</t>
  </si>
  <si>
    <t>Ketoconazol</t>
  </si>
  <si>
    <t>Mykezol</t>
  </si>
  <si>
    <t>Kem bôi da, Kem bôi da</t>
  </si>
  <si>
    <t>VD-16016-11 ( kèm cv gia hạn hiệu lực SĐK 26974/QLD-ĐK ngày 30/12/2016)</t>
  </si>
  <si>
    <t>Tube</t>
  </si>
  <si>
    <t>Indform 500</t>
  </si>
  <si>
    <t>VN-10307-10kèm công văn gia hạn hiệu lực SĐK 11835/QLD-ĐK ngày 10/08/2017</t>
  </si>
  <si>
    <t>Ind-Swift Ltd.</t>
  </si>
  <si>
    <t>Dismolan</t>
  </si>
  <si>
    <t>200mg/10ml</t>
  </si>
  <si>
    <t>VD-21505-14</t>
  </si>
  <si>
    <t xml:space="preserve">Công ty cổ phần dược phẩm CPC1 Hà Nội </t>
  </si>
  <si>
    <t>Enterpass</t>
  </si>
  <si>
    <t>Uống, Viên nang mềm</t>
  </si>
  <si>
    <t>VD-26873-17</t>
  </si>
  <si>
    <t xml:space="preserve">Công ty cổ phần dược phẩm Me Di Sun </t>
  </si>
  <si>
    <t xml:space="preserve">Calci lactat </t>
  </si>
  <si>
    <t>Clipoxid-300</t>
  </si>
  <si>
    <t>VD-19652-13</t>
  </si>
  <si>
    <t>Công ty Cổ phần Dược phẩm Đạt Vi Phú</t>
  </si>
  <si>
    <t>Cefixime MKP 50</t>
  </si>
  <si>
    <t>Uống, Thuốc bột</t>
  </si>
  <si>
    <t>VD-18460-13</t>
  </si>
  <si>
    <t xml:space="preserve">Clopidogrel + Acetylsalicylic Acid </t>
  </si>
  <si>
    <t>Pfertzel</t>
  </si>
  <si>
    <t>75mg + 75mg</t>
  </si>
  <si>
    <t>VD-20526-14</t>
  </si>
  <si>
    <t>Diacerein</t>
  </si>
  <si>
    <t>Ruzittu</t>
  </si>
  <si>
    <t>VD-19669-13</t>
  </si>
  <si>
    <t>Công ty TNHH LD Stada-Việt Nam</t>
  </si>
  <si>
    <t>Losartan kali + Hydrochlorothiazid</t>
  </si>
  <si>
    <t>Nerazzu-Hct</t>
  </si>
  <si>
    <t>50mg + 12,5mg</t>
  </si>
  <si>
    <t>VD-26501-17</t>
  </si>
  <si>
    <t>Hull</t>
  </si>
  <si>
    <t>Pracetam 1200</t>
  </si>
  <si>
    <t>1200mg</t>
  </si>
  <si>
    <t>VD-18536-13</t>
  </si>
  <si>
    <t>Pregabalin</t>
  </si>
  <si>
    <t xml:space="preserve">Sắt (III) hydroxyd polymaltose </t>
  </si>
  <si>
    <t>Fogyma</t>
  </si>
  <si>
    <t>50mg/10ml</t>
  </si>
  <si>
    <t>VD-22658-15</t>
  </si>
  <si>
    <t>Vitamin C  + Rutin</t>
  </si>
  <si>
    <t>Venrutine</t>
  </si>
  <si>
    <t>100mg + 500mg</t>
  </si>
  <si>
    <t>VD-19807-13</t>
  </si>
  <si>
    <t>Công ty cổ phần BV Pharma</t>
  </si>
  <si>
    <t>Medskin Clovir 400</t>
  </si>
  <si>
    <t>uống; viên nén</t>
  </si>
  <si>
    <t>VD-22034-14</t>
  </si>
  <si>
    <t>Hagimox 250</t>
  </si>
  <si>
    <t>uống; thuốc bột pha hỗn dịch uống</t>
  </si>
  <si>
    <t>VD-24013-15</t>
  </si>
  <si>
    <t>Bisacodyl</t>
  </si>
  <si>
    <t xml:space="preserve">BisacodylDHG </t>
  </si>
  <si>
    <t>uống; viên nén bao phim tan trong ruột</t>
  </si>
  <si>
    <t>VD-21129-14</t>
  </si>
  <si>
    <t>Kefcin 125</t>
  </si>
  <si>
    <t>125mg</t>
  </si>
  <si>
    <t xml:space="preserve">uống; thuốc cốm pha hỗn dịch </t>
  </si>
  <si>
    <t>VD-24613-16</t>
  </si>
  <si>
    <t>Kefcin 375</t>
  </si>
  <si>
    <t>uống; viên nén bao phim</t>
  </si>
  <si>
    <t>VD-24614-16</t>
  </si>
  <si>
    <t>Aticef 250</t>
  </si>
  <si>
    <t>VD-24592-16</t>
  </si>
  <si>
    <t xml:space="preserve">uống; thuốc bột pha hỗn dịch </t>
  </si>
  <si>
    <t>Cephalexin</t>
  </si>
  <si>
    <t>Hapenxin 250 Kids</t>
  </si>
  <si>
    <t>VD-24596-16</t>
  </si>
  <si>
    <t>Diosmectit</t>
  </si>
  <si>
    <t>Hamett</t>
  </si>
  <si>
    <t>VD-20555-14</t>
  </si>
  <si>
    <t>Diosmin + hesperidin</t>
  </si>
  <si>
    <t>DilodinDHG</t>
  </si>
  <si>
    <t>450mg + 50mg</t>
  </si>
  <si>
    <t xml:space="preserve">uống; viên nén bao phim </t>
  </si>
  <si>
    <t>VD-22030-14</t>
  </si>
  <si>
    <t>Ginkgo biloba</t>
  </si>
  <si>
    <t>CTCP Dược Hậu Giang</t>
  </si>
  <si>
    <t>Ivis Levofloxacin</t>
  </si>
  <si>
    <t>5mg/ml x 5ml</t>
  </si>
  <si>
    <t>nhỏ mắt; thuốc nhỏ mắt</t>
  </si>
  <si>
    <t>VD-19817-13</t>
  </si>
  <si>
    <t>Bofit F</t>
  </si>
  <si>
    <t>uống; viên nang mềm</t>
  </si>
  <si>
    <t>Rovas 0.75M</t>
  </si>
  <si>
    <t>0.75MUI</t>
  </si>
  <si>
    <t>VD-21142-14</t>
  </si>
  <si>
    <t>Bocalex C 1000</t>
  </si>
  <si>
    <t>1.000mg</t>
  </si>
  <si>
    <t>uống, viên sủi; viên nén sủi bọt</t>
  </si>
  <si>
    <t>VD-22366-15</t>
  </si>
  <si>
    <t>Cefdinir</t>
  </si>
  <si>
    <t>Cofidec 200mg</t>
  </si>
  <si>
    <t>Uống, viên nang cứng</t>
  </si>
  <si>
    <t>VN-16821-13</t>
  </si>
  <si>
    <t>Uống, viên nén</t>
  </si>
  <si>
    <t>Metformin + glibenclamid</t>
  </si>
  <si>
    <t>Natri montelukast</t>
  </si>
  <si>
    <t>Glenmark Pharmaceuticals Ltd</t>
  </si>
  <si>
    <t>Glemont-IR 10</t>
  </si>
  <si>
    <t>VN-18896-15</t>
  </si>
  <si>
    <t>Perindopril + indapamid</t>
  </si>
  <si>
    <t>2mg + 0,625mg</t>
  </si>
  <si>
    <t>Valsartan + hydroclorothiazid</t>
  </si>
  <si>
    <t xml:space="preserve">Tolzartan plus </t>
  </si>
  <si>
    <t>160mg + 12,5mg</t>
  </si>
  <si>
    <t xml:space="preserve">uống , Viên nén bao phim </t>
  </si>
  <si>
    <t>VD-27098-17</t>
  </si>
  <si>
    <t>Công ty cổ phần Dược phẩm Trung ương 2</t>
  </si>
  <si>
    <t>Carbocistein+ salbutamol</t>
  </si>
  <si>
    <t>Casalmux</t>
  </si>
  <si>
    <t>250mg + 1mg</t>
  </si>
  <si>
    <t>VD-24506-16</t>
  </si>
  <si>
    <t>Roussel VN</t>
  </si>
  <si>
    <t xml:space="preserve">gói </t>
  </si>
  <si>
    <t>Sunamo</t>
  </si>
  <si>
    <t>500mg + 250mg</t>
  </si>
  <si>
    <t>Viên nén dài bao phim, Uống</t>
  </si>
  <si>
    <t>VD-12294-10; CV gia hạn hiệu lực SĐK đến ngày 01/8/2017</t>
  </si>
  <si>
    <t xml:space="preserve">Công ty cổ phần dược phẩm Hà Tây </t>
  </si>
  <si>
    <t>Unamoc 1000</t>
  </si>
  <si>
    <t xml:space="preserve"> 875mg + 125mg</t>
  </si>
  <si>
    <t>VD-20446-14</t>
  </si>
  <si>
    <t>Thuốc bột pha hổn dịch uống</t>
  </si>
  <si>
    <t>Công ty cổ phần dược phẩm Hà Tây</t>
  </si>
  <si>
    <t>Dosulvon</t>
  </si>
  <si>
    <t>4mg/5ml Gói 5ml</t>
  </si>
  <si>
    <t>Siro uống</t>
  </si>
  <si>
    <t>VD-13949-11</t>
  </si>
  <si>
    <t>Cty CP Dược và VTYT Bình Thuận</t>
  </si>
  <si>
    <t>Lotrial S-200</t>
  </si>
  <si>
    <t>VD-22711-15</t>
  </si>
  <si>
    <t>Cty TNHH US Pharma USA</t>
  </si>
  <si>
    <t xml:space="preserve">Enalapril  + Hydrochlorothiazid </t>
  </si>
  <si>
    <t>Ebitac 12.5</t>
  </si>
  <si>
    <t xml:space="preserve"> 10mg + 12.5mg</t>
  </si>
  <si>
    <t>VN-17895-14</t>
  </si>
  <si>
    <t>Esonix 40mg</t>
  </si>
  <si>
    <t xml:space="preserve"> 40mg</t>
  </si>
  <si>
    <t>Bột đông khô pha tiêm</t>
  </si>
  <si>
    <t>VN-13017-11; CV gia hạn hiệu lực SĐK đến ngày 17/8/2017</t>
  </si>
  <si>
    <t>Incepta Pharlaceutical Ltd</t>
  </si>
  <si>
    <t>Loskem 25</t>
  </si>
  <si>
    <t>VN-17633-14</t>
  </si>
  <si>
    <t>Alkem Laboratories Ltd</t>
  </si>
  <si>
    <t>Mecobalamin</t>
  </si>
  <si>
    <t>500mcg</t>
  </si>
  <si>
    <t>Viên nén bao đường, uống</t>
  </si>
  <si>
    <t>Metronidazol + Clotrimazol</t>
  </si>
  <si>
    <t>Meclon</t>
  </si>
  <si>
    <t>500mg + 100mg</t>
  </si>
  <si>
    <t>Viên trứng đặt âm đạo</t>
  </si>
  <si>
    <t>VN-16977-13</t>
  </si>
  <si>
    <t>Doppel Farmaceutici S.r.l.</t>
  </si>
  <si>
    <t>Quibay</t>
  </si>
  <si>
    <t>1g /5ml</t>
  </si>
  <si>
    <t>VN-15822-12</t>
  </si>
  <si>
    <t>HBM Pharma s.r.o</t>
  </si>
  <si>
    <t>Rosuvastatin</t>
  </si>
  <si>
    <t>Valcickeck H</t>
  </si>
  <si>
    <t>80mg + 12,5mg</t>
  </si>
  <si>
    <t>VN-20011-16</t>
  </si>
  <si>
    <t>Mepro Pharmaceuticals Pvt. Ltd</t>
  </si>
  <si>
    <t>Alimemazin</t>
  </si>
  <si>
    <t>Thelizin</t>
  </si>
  <si>
    <t>VD-24788-16</t>
  </si>
  <si>
    <t>Công ty CP DP Khánh Hòa</t>
  </si>
  <si>
    <t>Alpha chymotrypsin</t>
  </si>
  <si>
    <t>Katrypsin</t>
  </si>
  <si>
    <t>21 microkatal</t>
  </si>
  <si>
    <t>VD-18964-13</t>
  </si>
  <si>
    <t>Alverin (citrat)</t>
  </si>
  <si>
    <t>Alverin</t>
  </si>
  <si>
    <t>VD-16685-12; CV gia hạn hiệu lực SĐK đến ngày 19/4/2018</t>
  </si>
  <si>
    <t>Cetirizin</t>
  </si>
  <si>
    <t>Kacerin</t>
  </si>
  <si>
    <t>VD-19387-13</t>
  </si>
  <si>
    <t>Cinnarizin</t>
  </si>
  <si>
    <t>VD-16686-12; CV gia hạn hiệu lực SĐK đến ngày 19/4/2018</t>
  </si>
  <si>
    <t xml:space="preserve">Clorpheniramin </t>
  </si>
  <si>
    <t>Clorpheniramin</t>
  </si>
  <si>
    <t>VD-17176-12 ; CV gia hạn hiệu lực SĐK đến ngày 24/7/2018</t>
  </si>
  <si>
    <t>Dexchlorpheniramin</t>
  </si>
  <si>
    <t>Dexclorpheniramin 2</t>
  </si>
  <si>
    <t>VD-23580-15</t>
  </si>
  <si>
    <t>Viên nang, uống</t>
  </si>
  <si>
    <t>Diclofenac</t>
  </si>
  <si>
    <t>Viên nén bao 
phim tan trong ruột, uống</t>
  </si>
  <si>
    <t>VD-25528-16</t>
  </si>
  <si>
    <t>Domperidon</t>
  </si>
  <si>
    <t>VD-16384-12; CV gia hạn hiệu lực SĐK đến ngày 27/3/2018</t>
  </si>
  <si>
    <t>Erythromycin</t>
  </si>
  <si>
    <t>Viên nén baophim, uống</t>
  </si>
  <si>
    <t>VD-15559-11; CV gia hạn hiệu lực SĐK đến ngày 06/10/2017</t>
  </si>
  <si>
    <t>Fefasdin 60</t>
  </si>
  <si>
    <t>Fefasdin 120</t>
  </si>
  <si>
    <t>120mg</t>
  </si>
  <si>
    <t>VD-22476-15</t>
  </si>
  <si>
    <t>Fefasdin 180</t>
  </si>
  <si>
    <t>180mg</t>
  </si>
  <si>
    <t>Glucosamin 250</t>
  </si>
  <si>
    <t>VD-17465-12</t>
  </si>
  <si>
    <t>Glucosamin 500</t>
  </si>
  <si>
    <t>VD-17466-12</t>
  </si>
  <si>
    <t>Isosorbid (dinitrat hoặc mononitrat)</t>
  </si>
  <si>
    <t>Lansoprazol</t>
  </si>
  <si>
    <t>Viên nang cứng, uống</t>
  </si>
  <si>
    <t>VD-21314-14</t>
  </si>
  <si>
    <t>Levocetirizin</t>
  </si>
  <si>
    <t>Clanzen</t>
  </si>
  <si>
    <t>VD-14328-11; CV gia hạn hiệu lực SĐK đến ngày 05/7/2018</t>
  </si>
  <si>
    <t>VD-22912-15</t>
  </si>
  <si>
    <t>Metoclopramid</t>
  </si>
  <si>
    <t>Kanausin</t>
  </si>
  <si>
    <t>VD-18969-13</t>
  </si>
  <si>
    <t>N-Acetyl-DL leucin</t>
  </si>
  <si>
    <t>Gikanin</t>
  </si>
  <si>
    <t>VD-22909-15</t>
  </si>
  <si>
    <t>Nalidixic acid</t>
  </si>
  <si>
    <t>Nergamdicin</t>
  </si>
  <si>
    <t>VD-18968-13</t>
  </si>
  <si>
    <t>Nefopam (hydroclorid)</t>
  </si>
  <si>
    <t>Niphadal</t>
  </si>
  <si>
    <t>VD-16690-12; CV gia hạn hiệu lực SĐK đến ngày 19/4/2018</t>
  </si>
  <si>
    <t>Ofloxacin</t>
  </si>
  <si>
    <t>Panactol 325mg</t>
  </si>
  <si>
    <t>325mg</t>
  </si>
  <si>
    <t>Viên nén , uống</t>
  </si>
  <si>
    <t>VD-19389-13</t>
  </si>
  <si>
    <t>VD-16393-12 ; CV gia hạn hiệu lực SĐK đến ngày 19/4/2018</t>
  </si>
  <si>
    <t>Kacetam</t>
  </si>
  <si>
    <t>VD-17467-12</t>
  </si>
  <si>
    <t>Piracetam+ Cinnarizin</t>
  </si>
  <si>
    <t>Kacetam plus</t>
  </si>
  <si>
    <t>400mg+25mg</t>
  </si>
  <si>
    <t>VD-21316-14</t>
  </si>
  <si>
    <t>Rotundin</t>
  </si>
  <si>
    <t>Rotundin 30</t>
  </si>
  <si>
    <t>VD-22913-15</t>
  </si>
  <si>
    <t>Rotundin 60</t>
  </si>
  <si>
    <t>VD-20224-13</t>
  </si>
  <si>
    <t>Spiramycin 1,5 MIU</t>
  </si>
  <si>
    <t>1,5 MUI</t>
  </si>
  <si>
    <t>Spiramycin 3 MIU</t>
  </si>
  <si>
    <t>3 MUI</t>
  </si>
  <si>
    <t>VD-16398-12; CV gia hạn hiệu lực SĐK đến ngày 19/4/2018</t>
  </si>
  <si>
    <t>Spiramycin + metronidazol</t>
  </si>
  <si>
    <t>Kamydazol</t>
  </si>
  <si>
    <t>0,75MUI+125mg</t>
  </si>
  <si>
    <t>VD-25708-16</t>
  </si>
  <si>
    <t>Kamydazol fort</t>
  </si>
  <si>
    <t>1,5 MUI +250mg</t>
  </si>
  <si>
    <t>VD-22174-15</t>
  </si>
  <si>
    <t>Sulpirid</t>
  </si>
  <si>
    <t>Dogtapine</t>
  </si>
  <si>
    <t>VD-25705-16</t>
  </si>
  <si>
    <t>Hismedan</t>
  </si>
  <si>
    <t>VD-18742-13</t>
  </si>
  <si>
    <t>Vitamin PP</t>
  </si>
  <si>
    <t>VD-15156-11; CV gia hạn hiệu lực SĐK đến ngày 23/11/2017</t>
  </si>
  <si>
    <t>Bisoprolol Fumarate 2.5mg</t>
  </si>
  <si>
    <t>VN-18126-14</t>
  </si>
  <si>
    <t>Niche Generics Limited</t>
  </si>
  <si>
    <t>Phezam</t>
  </si>
  <si>
    <t>400mg + 25mg</t>
  </si>
  <si>
    <t>VN-15701-12</t>
  </si>
  <si>
    <t>Actelsar 40mg</t>
  </si>
  <si>
    <t>10234/QLD-KD, hết hiệu lực ngày 19/7/2018</t>
  </si>
  <si>
    <t xml:space="preserve">Actavis Ltd. </t>
  </si>
  <si>
    <t>Actelsar 80mg</t>
  </si>
  <si>
    <t>21159/QLD-KD, hết hiệu lực ngày 26/10/2017</t>
  </si>
  <si>
    <t>Trimpol MR</t>
  </si>
  <si>
    <t>Uống , viên nén giải phóng chậm</t>
  </si>
  <si>
    <t>VN-19729-16</t>
  </si>
  <si>
    <t>Polfarmex S.A</t>
  </si>
  <si>
    <t>Vincamin + rutin</t>
  </si>
  <si>
    <t>Ramcamin</t>
  </si>
  <si>
    <t>20mg + 40mg</t>
  </si>
  <si>
    <t>VD-23591-15</t>
  </si>
  <si>
    <t>Công ty Cổ phần Dược Phẩm Me Di Sun</t>
  </si>
  <si>
    <t>Acid Ascorbic, Rutin</t>
  </si>
  <si>
    <t xml:space="preserve">Rutin -Vitamin C </t>
  </si>
  <si>
    <t>50mg + 50mg</t>
  </si>
  <si>
    <t>Uống, Viên bao đường</t>
  </si>
  <si>
    <t>VD-14501-11 (Kèm CV 20186/QLD-ĐK, 17/10/2016)</t>
  </si>
  <si>
    <t>Công ty Cổ phần Hóa - Dược phẩm Mekophar</t>
  </si>
  <si>
    <t>Mekocefal 250</t>
  </si>
  <si>
    <t>VD-7330-09 (Kèm CV 10145/QLD-ĐK, 17/07/2017)</t>
  </si>
  <si>
    <t>Dexamethasone 0,5mg</t>
  </si>
  <si>
    <t>0,5mg</t>
  </si>
  <si>
    <t>Dextromethorphan HBr + Chlorpheniramin maleat + Natri citrat dihydrat + Guaifenesin (Glyceryl guaiacolat)</t>
  </si>
  <si>
    <t>Sirô ho Antituss Plus (chai 60ml)</t>
  </si>
  <si>
    <t>(5mg + 1,33mg + 133mg + 50mg)/5ml</t>
  </si>
  <si>
    <t>Uống, Sirô</t>
  </si>
  <si>
    <t>VD-23191-15</t>
  </si>
  <si>
    <t>Griseofulvin</t>
  </si>
  <si>
    <t>Griseofulvin 5%</t>
  </si>
  <si>
    <t>Dùng ngoài, Kem bôi da</t>
  </si>
  <si>
    <t>VD-19111-13</t>
  </si>
  <si>
    <t>Vitamin B6</t>
  </si>
  <si>
    <t>Vitamin B6 250mg</t>
  </si>
  <si>
    <t>VD-15533-11 (Kèm CV 26934/QLD-ĐK, 30/12/2016)</t>
  </si>
  <si>
    <t>Aciclovir 200mg</t>
  </si>
  <si>
    <t>uống, Viên nén</t>
  </si>
  <si>
    <t>VD-22934-15</t>
  </si>
  <si>
    <t>Công ty CPDP Minh Dân</t>
  </si>
  <si>
    <t xml:space="preserve">Amoxicilin + Acid clavulanic </t>
  </si>
  <si>
    <t>Midantin 500/62,5</t>
  </si>
  <si>
    <t>500mg + 62,5mg</t>
  </si>
  <si>
    <t>uống, Viên nén dài bao phim</t>
  </si>
  <si>
    <t>VD-19906-13</t>
  </si>
  <si>
    <t>Cefaclor 125mg</t>
  </si>
  <si>
    <t>uống, Bột pha hỗn dịch</t>
  </si>
  <si>
    <t>VD-21657-14</t>
  </si>
  <si>
    <t>Cephalexin 250mg</t>
  </si>
  <si>
    <t>uống, Viên nang cứng</t>
  </si>
  <si>
    <t>VD-18311-13</t>
  </si>
  <si>
    <t>Cephalexin 500mg</t>
  </si>
  <si>
    <t>VD-18312-13</t>
  </si>
  <si>
    <t>Cefuroxime 125mg</t>
  </si>
  <si>
    <t>uống,  Bột pha hỗn dịch</t>
  </si>
  <si>
    <t>VD-23598-15</t>
  </si>
  <si>
    <t xml:space="preserve">Cloxacilin </t>
  </si>
  <si>
    <t>Cloxacilin 500mg</t>
  </si>
  <si>
    <t xml:space="preserve">uống, Viên nang cứng </t>
  </si>
  <si>
    <t>VD-18313-13</t>
  </si>
  <si>
    <t>Calci gluconate</t>
  </si>
  <si>
    <t>Growpone 10%</t>
  </si>
  <si>
    <t>10% 10ml</t>
  </si>
  <si>
    <t>Tiêm - Dung dịch tiêm</t>
  </si>
  <si>
    <t>VN-16410-13</t>
  </si>
  <si>
    <t>Farmak</t>
  </si>
  <si>
    <t>ống</t>
  </si>
  <si>
    <t>Vitamin K1</t>
  </si>
  <si>
    <t>VN-11675-11 có biên nhận gia hạn Visa 12 tháng ngày 25/10/2016 đến 24/10/2017</t>
  </si>
  <si>
    <t>Fisiopharma</t>
  </si>
  <si>
    <t>Ambroxol</t>
  </si>
  <si>
    <t>Carvedilol</t>
  </si>
  <si>
    <t>Coryol 12.5mg</t>
  </si>
  <si>
    <t>12.5mg</t>
  </si>
  <si>
    <t>VN-18273-14</t>
  </si>
  <si>
    <t>Krka, d.d., Novo Mesto</t>
  </si>
  <si>
    <t>Gastevin 30mg</t>
  </si>
  <si>
    <t>VN-18275-14</t>
  </si>
  <si>
    <t>Losartan + hydroclorothiazid</t>
  </si>
  <si>
    <t>Lorista H</t>
  </si>
  <si>
    <t>VN-18276-14</t>
  </si>
  <si>
    <t>Ventinat 1g</t>
  </si>
  <si>
    <t>Uống, Dạng hạt cốm</t>
  </si>
  <si>
    <t>VN-16235-13</t>
  </si>
  <si>
    <t>Betahistin</t>
  </si>
  <si>
    <t>Be-stedy 24</t>
  </si>
  <si>
    <t>24 mg</t>
  </si>
  <si>
    <t xml:space="preserve">Uống, Viên nén </t>
  </si>
  <si>
    <t>VN-15722-12; CV gia hạn hiệu lực SĐK đến ngày 10/10/2017</t>
  </si>
  <si>
    <t xml:space="preserve">Aurobindo </t>
  </si>
  <si>
    <t>Kali iodid + Natri iodid</t>
  </si>
  <si>
    <t>Posod eye drops</t>
  </si>
  <si>
    <t>3mg+3mg/10ml</t>
  </si>
  <si>
    <t>VN-18428-14</t>
  </si>
  <si>
    <t>Hanlim Pharm</t>
  </si>
  <si>
    <t>Ketotifen fumarate</t>
  </si>
  <si>
    <t>Ketolerg eye drops</t>
  </si>
  <si>
    <t>3,45mg/5ml</t>
  </si>
  <si>
    <t>VN-13335-11; CV gia hạn hiệu lực SĐK đến ngày 01/3/2018</t>
  </si>
  <si>
    <t>Samchundang Pharmaceuticals</t>
  </si>
  <si>
    <t>Tobramycin</t>
  </si>
  <si>
    <t>Samchundangtoracin eye drops</t>
  </si>
  <si>
    <t>15mg/5ml</t>
  </si>
  <si>
    <t>VN-13342-11; CV gia hạn hiệu lực SĐK đến ngày 01/3/2018</t>
  </si>
  <si>
    <t>Calci carbonat + calci gluconolactat</t>
  </si>
  <si>
    <t>Perubore</t>
  </si>
  <si>
    <t>350mg + 3500mg</t>
  </si>
  <si>
    <t>Viên nén sủi bọt, Uống</t>
  </si>
  <si>
    <t>VD-19612-13</t>
  </si>
  <si>
    <t>Công ty Cổ Phần SPM</t>
  </si>
  <si>
    <t>Tenecand 4</t>
  </si>
  <si>
    <t>VD-22861-15</t>
  </si>
  <si>
    <t>Methocarbamol</t>
  </si>
  <si>
    <t>Meyercarmol 500</t>
  </si>
  <si>
    <t>VD-26478-17</t>
  </si>
  <si>
    <t>Công ty liên doanh Meyer - BPC</t>
  </si>
  <si>
    <t>Salbutamol (sulfat)</t>
  </si>
  <si>
    <t>Buto-Asma</t>
  </si>
  <si>
    <t xml:space="preserve"> 100mcg/liều x 200 liều </t>
  </si>
  <si>
    <t xml:space="preserve">Khí dung phun mù, xịt theo đường miệng </t>
  </si>
  <si>
    <t>VN-16442-13</t>
  </si>
  <si>
    <t>Laboratorio Aldo Union, S.A</t>
  </si>
  <si>
    <t>Sadapron 100</t>
  </si>
  <si>
    <t>VN-9829-10 (CV Gia hạn 11238/QLD-ĐK, 01/08/2017)</t>
  </si>
  <si>
    <t>Kernhistine 8mg Tablet</t>
  </si>
  <si>
    <t>VN-20143-16</t>
  </si>
  <si>
    <t>Kern Pharma S.L.</t>
  </si>
  <si>
    <t>Denazox</t>
  </si>
  <si>
    <t>Domreme</t>
  </si>
  <si>
    <t>VN-19608-16</t>
  </si>
  <si>
    <t>Irbesartan + hydroclorothiazid</t>
  </si>
  <si>
    <t>Nacardio Plus Film Coated Tablet</t>
  </si>
  <si>
    <t>150mg + 12,5mg</t>
  </si>
  <si>
    <t>VN-16703-13</t>
  </si>
  <si>
    <t>Labotorios Lesvi, S.L.</t>
  </si>
  <si>
    <t>Cyplosart 50 FC tablets</t>
  </si>
  <si>
    <t>VN-18866-15</t>
  </si>
  <si>
    <t>Macorel</t>
  </si>
  <si>
    <t>Uống, viên nén phóng thích kéo dài</t>
  </si>
  <si>
    <t>VN-15359-12; CV gia hạn hiệu lực SĐK đến ngày 09/8/2018</t>
  </si>
  <si>
    <t>Sắt fumarat + acid folic</t>
  </si>
  <si>
    <t>Folihem</t>
  </si>
  <si>
    <t>310mg +350mcg</t>
  </si>
  <si>
    <t>VN-19441-15</t>
  </si>
  <si>
    <t>Gluzitop MR60</t>
  </si>
  <si>
    <t>Uống, viên tác dụng kéo dài</t>
  </si>
  <si>
    <t>VD-20082-13</t>
  </si>
  <si>
    <t>Cty TNHH Hasan - Dermapharm</t>
  </si>
  <si>
    <t>Cty TNHH liên doanh Hasan - Dermapharm</t>
  </si>
  <si>
    <t>Oremute 5</t>
  </si>
  <si>
    <t>Uống, thuốc bột</t>
  </si>
  <si>
    <t>QLĐB-459-14, hiệu lực đến ngày 28/11/2017</t>
  </si>
  <si>
    <t>Paracetamol + chlorpheniramin</t>
  </si>
  <si>
    <t>Skdol Baby Fort 250/2</t>
  </si>
  <si>
    <t>250mg + 2mg</t>
  </si>
  <si>
    <t>VD-14973-11; CV gia hạn hiệu lực SĐK đến ngày 26/6/2018</t>
  </si>
  <si>
    <t>Cty CPDP Phương Đông</t>
  </si>
  <si>
    <t>Chi nhánh Công ty Cổ phần Dược phẩm OPC tại Bình Dương - Nhà máy dược phẩm OPC</t>
  </si>
  <si>
    <t>10% 90ml</t>
  </si>
  <si>
    <t>Merika Fort</t>
  </si>
  <si>
    <t>2*10(8)(CFU) + 10(9)(CFU)</t>
  </si>
  <si>
    <t xml:space="preserve">Uống, Bột </t>
  </si>
  <si>
    <t>QLSP-0807-14</t>
  </si>
  <si>
    <t>Công ty TNHH MTV Vắc xin Pasteur Đà Lạt</t>
  </si>
  <si>
    <t>Benita</t>
  </si>
  <si>
    <t xml:space="preserve"> 64mcg/liều lọ 120 liều</t>
  </si>
  <si>
    <t>Xịt mũi, Hỗn dịch xịt mũi định liều</t>
  </si>
  <si>
    <t>VD-23879-15</t>
  </si>
  <si>
    <t>CTY CP TẬP ĐOÀN  MERAP</t>
  </si>
  <si>
    <t>Mecefix-B.E</t>
  </si>
  <si>
    <t>75mg</t>
  </si>
  <si>
    <t>Uống, Cốm pha hỗn dịch</t>
  </si>
  <si>
    <t>VD-17710-12; CV gia hạn hiệu lực SĐK đến ngày 24/9/2017</t>
  </si>
  <si>
    <t>250 mg</t>
  </si>
  <si>
    <t>VD-17709-12; CV gia hạn hiệu lực SĐK đến ngày 24/9/2017</t>
  </si>
  <si>
    <t>Dioctahedral smectit</t>
  </si>
  <si>
    <t>Grafort</t>
  </si>
  <si>
    <t>3g/20ml</t>
  </si>
  <si>
    <t>Uống, Hỗn dịch uống</t>
  </si>
  <si>
    <t>VN-18887-15</t>
  </si>
  <si>
    <t>Magnesi hydroxyd + nhôm hydroxyd
 + simethicon</t>
  </si>
  <si>
    <t xml:space="preserve">Trimafort
</t>
  </si>
  <si>
    <t>800,4mg + 3030,3mg 
+ 30%- 266,7mg</t>
  </si>
  <si>
    <t>VN-14658-12; CV gia hạn hiệu lực SĐK đến ngày 05/5/2018</t>
  </si>
  <si>
    <t>Mepoly</t>
  </si>
  <si>
    <t>35mg + 100.000IU/ml + 10mg
Lọ 10ml</t>
  </si>
  <si>
    <t>Nhỏ mắt, Dung dịch nhỏ mắt</t>
  </si>
  <si>
    <t>VD-21973-14</t>
  </si>
  <si>
    <t>Prega 100</t>
  </si>
  <si>
    <t>VN-19975-16</t>
  </si>
  <si>
    <t>uống, viên nang cứng</t>
  </si>
  <si>
    <t>Carflem</t>
  </si>
  <si>
    <t>VD-23201-15</t>
  </si>
  <si>
    <t>Cefaclor Stada 500mg Capsules</t>
  </si>
  <si>
    <t>VD-26398-17</t>
  </si>
  <si>
    <t>Pyfaclor 250mg</t>
  </si>
  <si>
    <t>VD-24448-16</t>
  </si>
  <si>
    <t>VD-23850-15</t>
  </si>
  <si>
    <t>Cephalexin PMP 250</t>
  </si>
  <si>
    <t>VD-24429-16</t>
  </si>
  <si>
    <t>Ceftanir</t>
  </si>
  <si>
    <t>VD-24957-16</t>
  </si>
  <si>
    <t>Minicef 400</t>
  </si>
  <si>
    <t>uống, viên nén bao phim</t>
  </si>
  <si>
    <t>VD-25391-16</t>
  </si>
  <si>
    <t>Pyzacar  50 mg</t>
  </si>
  <si>
    <t xml:space="preserve"> uống, viên nén bao phim</t>
  </si>
  <si>
    <t>VD-26431-17</t>
  </si>
  <si>
    <t>Metformin</t>
  </si>
  <si>
    <t>Pymetphage 1000</t>
  </si>
  <si>
    <t>VD-23851-15</t>
  </si>
  <si>
    <t>uống, viên nén</t>
  </si>
  <si>
    <t>VD-24432-16</t>
  </si>
  <si>
    <t>Cimetidine</t>
  </si>
  <si>
    <t>VD-15320-11 (CV gia hạn hiệu lực SĐK đến ngày 28/11/2017)</t>
  </si>
  <si>
    <t>Sotraphar- Notalzin</t>
  </si>
  <si>
    <t xml:space="preserve">viên nén,uống
</t>
  </si>
  <si>
    <t>VD-12154-10 (CV gia hạn hiệu lực SĐK đến ngày 28/11/2017)</t>
  </si>
  <si>
    <t>Grial-Kid</t>
  </si>
  <si>
    <t>Bột, pha uống</t>
  </si>
  <si>
    <t>VD-15323-11 (CV gia hạn hiệu lực SĐK đến ngày 30/12/2017)</t>
  </si>
  <si>
    <t>Sorbitol</t>
  </si>
  <si>
    <t>5g</t>
  </si>
  <si>
    <t>Bột,pha uống</t>
  </si>
  <si>
    <t>VD-26245-17</t>
  </si>
  <si>
    <t>GÓI</t>
  </si>
  <si>
    <t>Vitamin B6 + magnesi (lactat)</t>
  </si>
  <si>
    <t>Magnesi  B6</t>
  </si>
  <si>
    <t>470mg + 5mg</t>
  </si>
  <si>
    <t>VD-12729-10 (CV gia hạn hiệu lực SĐK đến ngày 03/8/2018)</t>
  </si>
  <si>
    <t xml:space="preserve">Bisoprolol </t>
  </si>
  <si>
    <t>SaViProlol 2,5</t>
  </si>
  <si>
    <t>viên nén bao phim; Uống</t>
  </si>
  <si>
    <t>VD-24276-16</t>
  </si>
  <si>
    <t>Công ty CP DP Savi</t>
  </si>
  <si>
    <t>SaVi Prolol 5</t>
  </si>
  <si>
    <t>VD-23656-15</t>
  </si>
  <si>
    <t>Desloratadin</t>
  </si>
  <si>
    <t>SaViDronat</t>
  </si>
  <si>
    <t>VD-19442-13</t>
  </si>
  <si>
    <t xml:space="preserve">Fexofenadin </t>
  </si>
  <si>
    <t>SaViFexo 60</t>
  </si>
  <si>
    <t>viên nén bao phim hình oval;  Uống</t>
  </si>
  <si>
    <t>VD-25775-16</t>
  </si>
  <si>
    <t>Fexodinefast 120</t>
  </si>
  <si>
    <t>VD-20808-14</t>
  </si>
  <si>
    <t>FexodineFast 180</t>
  </si>
  <si>
    <t>VD-21890-14</t>
  </si>
  <si>
    <t>SaVi Irbesartan 150</t>
  </si>
  <si>
    <t>viên nén dài bao phim;  Uống</t>
  </si>
  <si>
    <t xml:space="preserve">VD-14403-11; CV gia hạn hiệu lực SĐK đến ngày 09/11/2017 </t>
  </si>
  <si>
    <t xml:space="preserve">Metformin </t>
  </si>
  <si>
    <t>Metsav 850</t>
  </si>
  <si>
    <t>VD-25264-16</t>
  </si>
  <si>
    <t>Moxifloxacin</t>
  </si>
  <si>
    <t>SaVi Trimetazidine 20</t>
  </si>
  <si>
    <t>VD-19002-13</t>
  </si>
  <si>
    <t>Công ty TNHH DP Shinpoong Daewoo</t>
  </si>
  <si>
    <t>Loxoprofen</t>
  </si>
  <si>
    <t xml:space="preserve">Loxfen   </t>
  </si>
  <si>
    <t>VD-21502-14</t>
  </si>
  <si>
    <t>Grangel</t>
  </si>
  <si>
    <t>600mg + 392,2mg + 60mg</t>
  </si>
  <si>
    <t>VD-18846-13</t>
  </si>
  <si>
    <t>Newstomaz</t>
  </si>
  <si>
    <t>Viên nang mềm, Uống</t>
  </si>
  <si>
    <t>VD-21865-14</t>
  </si>
  <si>
    <t>Công ty CPDP Medisun</t>
  </si>
  <si>
    <t>Gliclazide + Metformin</t>
  </si>
  <si>
    <t>Dianorm -M</t>
  </si>
  <si>
    <t>80mg + 500mg</t>
  </si>
  <si>
    <t>Viên nén không bao , Uống</t>
  </si>
  <si>
    <t>VN-14275-11; CV gia hạn hiệu lực SĐK đến ngày 01/12/2017</t>
  </si>
  <si>
    <t>Micro Labs</t>
  </si>
  <si>
    <t>Methylcobalamine</t>
  </si>
  <si>
    <t>Ecomin OD tablet</t>
  </si>
  <si>
    <t>1500mcg</t>
  </si>
  <si>
    <t>VN-19601-16</t>
  </si>
  <si>
    <t>Biotech</t>
  </si>
  <si>
    <t>Cypdicar 6,25 Tablets</t>
  </si>
  <si>
    <t>6,25mg</t>
  </si>
  <si>
    <t>VN-18254-14</t>
  </si>
  <si>
    <t xml:space="preserve">Calcium glycerophosphat  + Magnesi gluconat </t>
  </si>
  <si>
    <t>Notired Eff Strawberry</t>
  </si>
  <si>
    <t>0,456g + 0,426g</t>
  </si>
  <si>
    <t>Viên nén sủi -Uống</t>
  </si>
  <si>
    <t>VD-23875-15</t>
  </si>
  <si>
    <t>Calcitriol</t>
  </si>
  <si>
    <t>Công ty Cổ phần dược phẩm Hà Tây</t>
  </si>
  <si>
    <t>G5 Duratrix</t>
  </si>
  <si>
    <t>Uống,viên nén bao phim</t>
  </si>
  <si>
    <t>VD-21848-14</t>
  </si>
  <si>
    <t>Flunarizin</t>
  </si>
  <si>
    <t>Mezapizin 10</t>
  </si>
  <si>
    <t>VD-24224-16</t>
  </si>
  <si>
    <t>Công ty Cổ phần dược phẩm Me di sun</t>
  </si>
  <si>
    <t>Apharmarin</t>
  </si>
  <si>
    <t>Uống, Viên nang cứng</t>
  </si>
  <si>
    <t>VD-21796-14</t>
  </si>
  <si>
    <t>Công ty TNHH Một thành viên 120 Armephaco</t>
  </si>
  <si>
    <t>Uống, Viên nén bao phim</t>
  </si>
  <si>
    <t>Mecabamol</t>
  </si>
  <si>
    <t>VD-24770-16</t>
  </si>
  <si>
    <t>Tây Ninh</t>
  </si>
  <si>
    <t>Acetylcystein Stada 200mg</t>
  </si>
  <si>
    <t>Viên nang cứng; uống</t>
  </si>
  <si>
    <t>VD-22667-15</t>
  </si>
  <si>
    <t>Acyclovir Stada 200mg</t>
  </si>
  <si>
    <t>Viên nén; uống</t>
  </si>
  <si>
    <t>VD-24572-16</t>
  </si>
  <si>
    <t>Statripsine</t>
  </si>
  <si>
    <t>VD-21117-14</t>
  </si>
  <si>
    <t>Atropin sulfat</t>
  </si>
  <si>
    <t>0,25mg/ml</t>
  </si>
  <si>
    <t>Dung dịch thuốc tiêm ; tiêm</t>
  </si>
  <si>
    <t>VD-24376-16</t>
  </si>
  <si>
    <t>Công ty CPDVTYT Hải Dương</t>
  </si>
  <si>
    <t>Carbazochrom</t>
  </si>
  <si>
    <t>Adrenoxyl 10mg</t>
  </si>
  <si>
    <t>VD-24262-16</t>
  </si>
  <si>
    <t>Công ty CPDP Sanofi-Synthelabo Việt Nam</t>
  </si>
  <si>
    <t>Sodinir 125</t>
  </si>
  <si>
    <t>Bột pha hỗn dịch uống; uống</t>
  </si>
  <si>
    <t>VD-19839-13</t>
  </si>
  <si>
    <t>Công ty CPDP Am Vi</t>
  </si>
  <si>
    <t>Cefixim 400 Tab</t>
  </si>
  <si>
    <t>Viên nén bao phim; uống</t>
  </si>
  <si>
    <t>VD-21791-14</t>
  </si>
  <si>
    <t>Công ty TNHH US Pharma USA</t>
  </si>
  <si>
    <t>Caplor</t>
  </si>
  <si>
    <t>VN-17461-13</t>
  </si>
  <si>
    <t>Ind-Swift Ltd</t>
  </si>
  <si>
    <t>Volden Fort</t>
  </si>
  <si>
    <t>Dung dịch tiêm; tiêm</t>
  </si>
  <si>
    <t>VN-9361-09</t>
  </si>
  <si>
    <t>Rotexmedica GmbH Arzneimittelwerk</t>
  </si>
  <si>
    <t>Dynapar EC</t>
  </si>
  <si>
    <t>Viên nén bao tan trong ruột ; uống</t>
  </si>
  <si>
    <t>VN-16404-13</t>
  </si>
  <si>
    <t>Troikaa Pharmaceuticals Ltd</t>
  </si>
  <si>
    <t>Felodipin</t>
  </si>
  <si>
    <t>Felodipin Stada 5mg</t>
  </si>
  <si>
    <t>Viên nén bao phim phóng thích kéo dài; uống</t>
  </si>
  <si>
    <t>VD-26562-17</t>
  </si>
  <si>
    <t>Fenostad 200</t>
  </si>
  <si>
    <t>VD-25983-16</t>
  </si>
  <si>
    <t>Fluconazol</t>
  </si>
  <si>
    <t>Fluconazol Stada 150mg</t>
  </si>
  <si>
    <t>VD-18110-12 (CV gia hạn hiệu lực SĐK đến ngày 20/12/2017)</t>
  </si>
  <si>
    <t>Fluzinstad</t>
  </si>
  <si>
    <t>VD-25479-16</t>
  </si>
  <si>
    <t>Glucose 20%</t>
  </si>
  <si>
    <t>Dung dịch tiêm truyền; tiêm truyền</t>
  </si>
  <si>
    <t>Công ty CP Fresenius Kabi Bidiphar</t>
  </si>
  <si>
    <t>100 mg</t>
  </si>
  <si>
    <t>Hetero Labs Limited</t>
  </si>
  <si>
    <t>Metoclopramid Kabi 10mg</t>
  </si>
  <si>
    <t>10mg/2ml</t>
  </si>
  <si>
    <t>Natri clorid 3%</t>
  </si>
  <si>
    <t>3% 100ml</t>
  </si>
  <si>
    <t>VD-23170-15</t>
  </si>
  <si>
    <t>Paracetamol Kabi 1000</t>
  </si>
  <si>
    <t>1000mg/100ml</t>
  </si>
  <si>
    <t>VD-19568-13</t>
  </si>
  <si>
    <t>Pracetam 800</t>
  </si>
  <si>
    <t>VD-18538-13</t>
  </si>
  <si>
    <t>Adhema</t>
  </si>
  <si>
    <t>200mg + 1mg</t>
  </si>
  <si>
    <t>VD-21885-14</t>
  </si>
  <si>
    <t>Công ty CPDP Quảng Bình</t>
  </si>
  <si>
    <t>Simethicon</t>
  </si>
  <si>
    <t>Simethicon Stada</t>
  </si>
  <si>
    <t>40mg/0.6ml chai 15ml</t>
  </si>
  <si>
    <t>Nhũ dịch; uống</t>
  </si>
  <si>
    <t>VD-25986-16</t>
  </si>
  <si>
    <t>Vitamin D3</t>
  </si>
  <si>
    <t>Aquadetrim Vitamin D3</t>
  </si>
  <si>
    <t>15.000UI/ml. Chai 10ml</t>
  </si>
  <si>
    <t>Dung dịch uống; uống</t>
  </si>
  <si>
    <t>VN-11180-10 (CV gia hạn hiệu lực SĐK đến ngày 26/10/2017)</t>
  </si>
  <si>
    <t>Medena Pharma Spolka Akcyjna</t>
  </si>
  <si>
    <t>Cledomox 375</t>
  </si>
  <si>
    <t>250mg + 125mg</t>
  </si>
  <si>
    <t>VN-9840-10  (CV gia hạn hiệu lực SĐK đến ngày 21/6/2018)</t>
  </si>
  <si>
    <t>Medopharm</t>
  </si>
  <si>
    <t>Emanera 20</t>
  </si>
  <si>
    <t>VN-18443-14</t>
  </si>
  <si>
    <t>KRKA,D.D.,. Novo Mesto</t>
  </si>
  <si>
    <t>Lertazin 5mg</t>
  </si>
  <si>
    <t>VN-17199-13</t>
  </si>
  <si>
    <t>Valsartan</t>
  </si>
  <si>
    <t>Valsarfast 160</t>
  </si>
  <si>
    <t>VN-12019-11 (CV gia hạn hiệu lực SĐK đến ngày 21/6/2018)</t>
  </si>
  <si>
    <t>Valsarfast 80</t>
  </si>
  <si>
    <t>VN-12020-11 (CV gia hạn hiệu lực SĐK đến ngày 21/6/2018)</t>
  </si>
  <si>
    <t>Auropodox 200</t>
  </si>
  <si>
    <t>VN-13488-11  (CV gia hạn hiệu lực SĐK đến ngày 06/10/2017)</t>
  </si>
  <si>
    <t>2,6mg</t>
  </si>
  <si>
    <t>Piracetam -Egis</t>
  </si>
  <si>
    <t xml:space="preserve">3g/15ml </t>
  </si>
  <si>
    <t>Tiêm,dung dịch tiêm</t>
  </si>
  <si>
    <t>VN-19939-16</t>
  </si>
  <si>
    <t>Egis Pharmaceuticals Private Limited Company</t>
  </si>
  <si>
    <t>Ginkgo  biloba</t>
  </si>
  <si>
    <t>Ginkgo 3000</t>
  </si>
  <si>
    <t xml:space="preserve">60mg </t>
  </si>
  <si>
    <t>VN-5612-10; CV gia hạn hiệu lực SĐK đến ngày 26/10/2017</t>
  </si>
  <si>
    <t>Contract Manufacturing &amp; Packaging Services Pty., Ltd</t>
  </si>
  <si>
    <t xml:space="preserve">Cefadroxil </t>
  </si>
  <si>
    <t>Cefadroxil 500mg</t>
  </si>
  <si>
    <t>VD-23712-15</t>
  </si>
  <si>
    <t>VD-17986-12</t>
  </si>
  <si>
    <t>Prazopro 40mg</t>
  </si>
  <si>
    <t>VD-19498-13</t>
  </si>
  <si>
    <t>Glimepiride 2mg</t>
  </si>
  <si>
    <t>VD-24334-16</t>
  </si>
  <si>
    <t>Omeprazole</t>
  </si>
  <si>
    <t>Alzole</t>
  </si>
  <si>
    <t>VD-18381-13</t>
  </si>
  <si>
    <t>Paracetamol + Codein phosphat</t>
  </si>
  <si>
    <t>Zanicidol</t>
  </si>
  <si>
    <t>500mg + 8mg</t>
  </si>
  <si>
    <t>Uống, Viên nén dài</t>
  </si>
  <si>
    <t>VD-16296-12; CV gia hạn hiệu lực SĐK đến ngày 06/3/2018</t>
  </si>
  <si>
    <t>Vitamin A + Vitamin D3</t>
  </si>
  <si>
    <t>Vitamin A &amp; D</t>
  </si>
  <si>
    <t>5000IU + 400IU</t>
  </si>
  <si>
    <t>VD-20878-14</t>
  </si>
  <si>
    <t>Arginin HCl</t>
  </si>
  <si>
    <t>Tanagimax</t>
  </si>
  <si>
    <t>VD-19638-13</t>
  </si>
  <si>
    <t>Công Ty Liên Doanh Dược phẩm Mebiphar-Austrapharm</t>
  </si>
  <si>
    <t>Calci carbonat  + Vitamin D3</t>
  </si>
  <si>
    <t>Nutrios</t>
  </si>
  <si>
    <t>750mg + 100UI</t>
  </si>
  <si>
    <t>VD-19150-13</t>
  </si>
  <si>
    <t>Docusat natri</t>
  </si>
  <si>
    <t>Ausagel 250</t>
  </si>
  <si>
    <t>Lactobacillus 
acidophilus</t>
  </si>
  <si>
    <t>Bacivit-H</t>
  </si>
  <si>
    <r>
      <t xml:space="preserve"> 10</t>
    </r>
    <r>
      <rPr>
        <vertAlign val="superscript"/>
        <sz val="10"/>
        <rFont val="Times New Roman"/>
        <family val="1"/>
      </rPr>
      <t>9</t>
    </r>
    <r>
      <rPr>
        <sz val="10"/>
        <rFont val="Times New Roman"/>
        <family val="1"/>
      </rPr>
      <t xml:space="preserve"> CFU</t>
    </r>
  </si>
  <si>
    <t>Uống, Thuốc bột uống</t>
  </si>
  <si>
    <t>QLSP-834-15</t>
  </si>
  <si>
    <t>Airflat 80</t>
  </si>
  <si>
    <t xml:space="preserve"> 80mg</t>
  </si>
  <si>
    <t>VD-27400-17</t>
  </si>
  <si>
    <t>Air-X 120</t>
  </si>
  <si>
    <t>Uống, Viên nén nhai</t>
  </si>
  <si>
    <t>VN-19126-15</t>
  </si>
  <si>
    <t>R.X. Manufacturing Co., Ltd</t>
  </si>
  <si>
    <t xml:space="preserve">Vitamin E </t>
  </si>
  <si>
    <t>Austen-S</t>
  </si>
  <si>
    <t>400UI</t>
  </si>
  <si>
    <t>VD-23264-15</t>
  </si>
  <si>
    <t>Vacomuc 100</t>
  </si>
  <si>
    <t>Thuốc cốm, uống</t>
  </si>
  <si>
    <t>VD-22568-15</t>
  </si>
  <si>
    <t>Cty CP Dược Vacopharm</t>
  </si>
  <si>
    <t>Công ty Dược Vacopham</t>
  </si>
  <si>
    <t>Ambron 30mg</t>
  </si>
  <si>
    <t>Viên nén, uống</t>
  </si>
  <si>
    <t>VD-6912-09</t>
  </si>
  <si>
    <t>Viên nang mềm, uống</t>
  </si>
  <si>
    <t>Cty CP DP Phương Đông</t>
  </si>
  <si>
    <t>Pms - Imedroxil 500mg</t>
  </si>
  <si>
    <t>VD-20202-13</t>
  </si>
  <si>
    <t>Chi nhánh 3 - Cty CP DP Imexpharm tại Bình Dương</t>
  </si>
  <si>
    <t>Rovapin</t>
  </si>
  <si>
    <t>Bột pha hỗn dịch uống</t>
  </si>
  <si>
    <t>VD-23392-15</t>
  </si>
  <si>
    <t>Cty TNHH Phil Inter Pharma</t>
  </si>
  <si>
    <t>Eprazinon dihydroclorid</t>
  </si>
  <si>
    <t>Turanon</t>
  </si>
  <si>
    <t>VD-24369-16</t>
  </si>
  <si>
    <t>Escin</t>
  </si>
  <si>
    <t>Aescin 20mg</t>
  </si>
  <si>
    <t>VD-23473-15</t>
  </si>
  <si>
    <t>Cty CP Dược Minh Hải</t>
  </si>
  <si>
    <t>Vacoomez s 20</t>
  </si>
  <si>
    <t>VD-21927-14</t>
  </si>
  <si>
    <t>Cty CP DP Savi</t>
  </si>
  <si>
    <t>Glipizide</t>
  </si>
  <si>
    <t>Glupin CR</t>
  </si>
  <si>
    <t>VD-6563-08</t>
  </si>
  <si>
    <t>Magnesi lactat + vitamin B6</t>
  </si>
  <si>
    <t>Debomin</t>
  </si>
  <si>
    <t>940mg + 10mg</t>
  </si>
  <si>
    <t>Viên nén sủi, uống</t>
  </si>
  <si>
    <t>VD-22507-15</t>
  </si>
  <si>
    <t>Moxieye</t>
  </si>
  <si>
    <t>VD-22001-14</t>
  </si>
  <si>
    <t>Cty CP DP CPC1 Hà Nội</t>
  </si>
  <si>
    <t>Terpin hydrat + Codein base</t>
  </si>
  <si>
    <t>Terp-cod 5</t>
  </si>
  <si>
    <t>100mg + 5mg</t>
  </si>
  <si>
    <t>VD-19074-13</t>
  </si>
  <si>
    <t>Ceftriaxon Stragen 2g</t>
  </si>
  <si>
    <t>2 g</t>
  </si>
  <si>
    <t>Bột pha dung dịch tiêm, Tiêm</t>
  </si>
  <si>
    <t>VN-10108-10; CV gia hạn hiệu lực SĐK đến ngày 03/8/2018</t>
  </si>
  <si>
    <t>Mitim s.r.l</t>
  </si>
  <si>
    <t>Metoprolol</t>
  </si>
  <si>
    <t>Egis Pharmaceuticals Public Ltd., Co</t>
  </si>
  <si>
    <t>Vidipha</t>
  </si>
  <si>
    <t>Acetylsalicylic acid</t>
  </si>
  <si>
    <t>81mg</t>
  </si>
  <si>
    <t>Công ty CP DP TW Vidipha</t>
  </si>
  <si>
    <t>Augxicine 250mg/ 31,25mg</t>
  </si>
  <si>
    <t>250mg + 31,25mg</t>
  </si>
  <si>
    <t>uống, thuốc bột</t>
  </si>
  <si>
    <t>VD-17976-12; CV gia hạn hiệu lực SĐK đến ngày 20/12/2017018</t>
  </si>
  <si>
    <t>Erythromycin 250mg</t>
  </si>
  <si>
    <t>VD-21374-14</t>
  </si>
  <si>
    <t xml:space="preserve">Griseofulvin 500mg </t>
  </si>
  <si>
    <t>VD-23691-15</t>
  </si>
  <si>
    <t>Gludipha 850</t>
  </si>
  <si>
    <t>VD-25311-16</t>
  </si>
  <si>
    <t>Gludipha 500</t>
  </si>
  <si>
    <t>VD-20855-14</t>
  </si>
  <si>
    <t>Promethazin 2%</t>
  </si>
  <si>
    <t>200mg/10g. Tube 10g</t>
  </si>
  <si>
    <t>dùng ngoài, kem</t>
  </si>
  <si>
    <t>VD-18771-13</t>
  </si>
  <si>
    <t xml:space="preserve"> tube</t>
  </si>
  <si>
    <t>Promethazin</t>
  </si>
  <si>
    <t>1%. Chai 90ml</t>
  </si>
  <si>
    <t>uống, dung dịch</t>
  </si>
  <si>
    <t>VD-17020-12; CV gia hạn hiệu lực SĐK đến ngày 03/8/2018</t>
  </si>
  <si>
    <t>Tetracyclin (hydroclorid)</t>
  </si>
  <si>
    <t>Tetracyclin 1%</t>
  </si>
  <si>
    <t>VD-18374-13</t>
  </si>
  <si>
    <t>0,3%, 5ml</t>
  </si>
  <si>
    <t>nhỏ mắt, dung dịch</t>
  </si>
  <si>
    <t>VD-19493-13</t>
  </si>
  <si>
    <t>Effer - Acehasan 100</t>
  </si>
  <si>
    <t>VD-25025-16</t>
  </si>
  <si>
    <t>Công ty TNHH Hasan - Dermapharm</t>
  </si>
  <si>
    <t>Vizicin 125</t>
  </si>
  <si>
    <t>thuốc bột pha hỗn dịch, uống</t>
  </si>
  <si>
    <t>VD-22344-15</t>
  </si>
  <si>
    <t>Labavie</t>
  </si>
  <si>
    <t>2,6mg +  0,7mg</t>
  </si>
  <si>
    <t>VD-19195-13</t>
  </si>
  <si>
    <t>Công ty TNHH liên doanh Hasan-Dermapharm</t>
  </si>
  <si>
    <t>Bisoprolol fumarat</t>
  </si>
  <si>
    <t>BiHasal 5</t>
  </si>
  <si>
    <t>VD-17762-12; cam kết cung ứng đủ số lượng thuốc có SĐK hết hiệu lực, có báo cáo tồn kho</t>
  </si>
  <si>
    <t>Calci carbonat + calci lactat gluconat</t>
  </si>
  <si>
    <t>Calcium Hasan 500mg</t>
  </si>
  <si>
    <t>0,3g + 2.94g</t>
  </si>
  <si>
    <t>VD-21526-14</t>
  </si>
  <si>
    <t>Calci carbonat + vitamin D3</t>
  </si>
  <si>
    <t>Calci D-Hasan</t>
  </si>
  <si>
    <t>1250mg + 440 IU</t>
  </si>
  <si>
    <t>VD-22660-15</t>
  </si>
  <si>
    <t xml:space="preserve">Captopril + Hydroclorothiazid </t>
  </si>
  <si>
    <t>Captohasan comp 25/12,5</t>
  </si>
  <si>
    <t xml:space="preserve"> 25mg + 12,5mg</t>
  </si>
  <si>
    <t>viên nén, uống</t>
  </si>
  <si>
    <t>VD-15584-11; CV gia hạn hiệu lực SĐK đến ngày 25/10/2017</t>
  </si>
  <si>
    <t>Dihydro ergotamin mesylat</t>
  </si>
  <si>
    <t>Migomik</t>
  </si>
  <si>
    <t>3mg</t>
  </si>
  <si>
    <t>VD-23371-15</t>
  </si>
  <si>
    <t>GabaHasan 300</t>
  </si>
  <si>
    <t>VD-22004-14</t>
  </si>
  <si>
    <t>Glimepirid + Metformin</t>
  </si>
  <si>
    <t>CoMiaryl 2mg/500mg</t>
  </si>
  <si>
    <t>2mg + 500mg</t>
  </si>
  <si>
    <t>VD-12002-10 ; CV gia hạn hiệu lực SĐK đến ngày 25/7/2017</t>
  </si>
  <si>
    <t xml:space="preserve">Lisidigal 10mg </t>
  </si>
  <si>
    <t>VD-12649-10; CV gia hạn hiệu lực SĐK đến ngày 09/8/2018</t>
  </si>
  <si>
    <t>Magnesi hydroxyd + nhôm hydroxyd</t>
  </si>
  <si>
    <t>Gelactive</t>
  </si>
  <si>
    <t>(400mg + 300mg) /10ml</t>
  </si>
  <si>
    <t>gói hỗn dịch, uống</t>
  </si>
  <si>
    <t>VD-19194-13</t>
  </si>
  <si>
    <t>Hasanbest 500/2,5</t>
  </si>
  <si>
    <t>500mg + 2,5mg</t>
  </si>
  <si>
    <t>VD-15927-11; CV gia hạn hiệu lực SĐK đến ngày 12/12/2017</t>
  </si>
  <si>
    <t>Viritin 4mg</t>
  </si>
  <si>
    <t>VD-23961-15</t>
  </si>
  <si>
    <t>Viritin plus 2/0,625</t>
  </si>
  <si>
    <t>VD-25977-16</t>
  </si>
  <si>
    <t>Rosuvas Hasan 10</t>
  </si>
  <si>
    <t>10 mg</t>
  </si>
  <si>
    <t>VD-19186-13</t>
  </si>
  <si>
    <t>Sucrahasan</t>
  </si>
  <si>
    <t>VD-19187-13</t>
  </si>
  <si>
    <t>Telmisartan + hydroclorothiazid</t>
  </si>
  <si>
    <t>Mibetel Plus</t>
  </si>
  <si>
    <t>40mg + 12.5mg</t>
  </si>
  <si>
    <t>VD-18541-13</t>
  </si>
  <si>
    <t xml:space="preserve">Codein camphosulfonat + Sulfogaiacol + Cao mềm Grindelia </t>
  </si>
  <si>
    <t>Neo-Codion</t>
  </si>
  <si>
    <t>25mg + 100mg + 20mg</t>
  </si>
  <si>
    <t>VN-18966-15</t>
  </si>
  <si>
    <t>Sophartex</t>
  </si>
  <si>
    <t>Dung dịch Amino acid và chất điện giải</t>
  </si>
  <si>
    <t>Alvesin 5E</t>
  </si>
  <si>
    <t>5% - 250ml</t>
  </si>
  <si>
    <t>Tiêm truyền tĩnh mạch, Dung dịch</t>
  </si>
  <si>
    <t>VN-10762-10; CV gia hạn hiệu lực SĐK đến ngày 30/12/2017</t>
  </si>
  <si>
    <t xml:space="preserve">Berlin Chemie AG (Menarini Group) </t>
  </si>
  <si>
    <t>Hydroxyethyl starch</t>
  </si>
  <si>
    <t>Refortan</t>
  </si>
  <si>
    <t xml:space="preserve"> (HES 200.000 dalton/0,5) 6%/500ml</t>
  </si>
  <si>
    <t>Truyền tĩnh mạch, Dung dịch</t>
  </si>
  <si>
    <t>VN-9010-09; CV gia hạn hiệu lực SĐK đến ngày 01/7/2018</t>
  </si>
  <si>
    <t>Siofor 500</t>
  </si>
  <si>
    <t>VN-14466-12; CV gia hạn hiệu lực SĐK đến ngày 21/6/2018</t>
  </si>
  <si>
    <t xml:space="preserve">Berlin Chemie AG </t>
  </si>
  <si>
    <t>Nitroglycerin</t>
  </si>
  <si>
    <t>Nitromint</t>
  </si>
  <si>
    <t>Uống, Viên nén giải phóng chậm</t>
  </si>
  <si>
    <t>VN-14162-11; CV gia hạn hiệu lực SĐK đến ngày 25/11/2017</t>
  </si>
  <si>
    <t>Ranitidine HCl + Tripotassium Bismuth Dicitrate + Sucralfate</t>
  </si>
  <si>
    <t>Albis</t>
  </si>
  <si>
    <t>84mg (tương đương Ranitidine 75mg) + 100mg + 300mg</t>
  </si>
  <si>
    <t>VN-13113-11; CV gia hạn hiệu lực SĐK đến ngày 20/10/2017</t>
  </si>
  <si>
    <t xml:space="preserve">Daewoong Pharm. Co., Ltd. </t>
  </si>
  <si>
    <t xml:space="preserve">Ipratropium bromide khan (dưới dạng Ipratropium bromide monohydrate) + Fenoterol Hydrobromide </t>
  </si>
  <si>
    <t>Berodual 10ml MDI (HFA)</t>
  </si>
  <si>
    <t>0,02mg/nhát xịt + 0,05mg/nhát xịt</t>
  </si>
  <si>
    <t>Xịt, Dung dịch khí dung</t>
  </si>
  <si>
    <t>VN-17269-13</t>
  </si>
  <si>
    <t>Boehringer Ingelheim Pharma GmbH &amp; Co. KG.</t>
  </si>
  <si>
    <t>Bình</t>
  </si>
  <si>
    <t>Acetyl leucin</t>
  </si>
  <si>
    <t>Tanganil 500mg</t>
  </si>
  <si>
    <t>Tiêm tĩnh mạch, Dung dịch tiêm tĩnh mạch</t>
  </si>
  <si>
    <t>VN-18066-14</t>
  </si>
  <si>
    <t xml:space="preserve">Pierre Fabre Medicament production </t>
  </si>
  <si>
    <t>Acetyl-DL-Leucin</t>
  </si>
  <si>
    <t xml:space="preserve">Tanganil </t>
  </si>
  <si>
    <t>VD-26608-17</t>
  </si>
  <si>
    <t>Công ty TNHH Pierre Fabre Việt Nam</t>
  </si>
  <si>
    <t>Tiêm, Dung dịch tiêm</t>
  </si>
  <si>
    <t>Betahistine dihydrochloride</t>
  </si>
  <si>
    <t>Betaserc 24mg Tab.</t>
  </si>
  <si>
    <t>24mg</t>
  </si>
  <si>
    <t>VN-12029-11 (Có CV gia hạn hiệu lực SĐK đến ngày 31/12/2017)</t>
  </si>
  <si>
    <t>Abbott Healthcare SAS</t>
  </si>
  <si>
    <t>Betaserc 16mg Tab.</t>
  </si>
  <si>
    <t>VN-17206-13</t>
  </si>
  <si>
    <t>Mylan Laboratoires SAS.</t>
  </si>
  <si>
    <t>Laboratoire Aguettant</t>
  </si>
  <si>
    <t>Tiêm truyền, Dung dịch truyền tĩnh mạch</t>
  </si>
  <si>
    <t>Imidapril hydrochloride</t>
  </si>
  <si>
    <t>P.T. Tanabe Indonesia</t>
  </si>
  <si>
    <t>Tanatril 5mg Tab.</t>
  </si>
  <si>
    <t>VN-13231-11 (Có CV gia hạn hiệu lực SĐK đến ngày 20/10/2017)</t>
  </si>
  <si>
    <t>Insulin lispro (trong đó 25% là insulin lispro solution và 75% là insulin lispro protamine suspension)</t>
  </si>
  <si>
    <t>Humalog Mix 75/25 Kwikpen</t>
  </si>
  <si>
    <t>100U/ml (tương đương 3,5mg)</t>
  </si>
  <si>
    <t>Tiêm, Hỗn dịch tiêm</t>
  </si>
  <si>
    <t>QLSP-H02-830-14 (có CV gia hạn hiệu lực SĐK đến ngày 30/12/2017)</t>
  </si>
  <si>
    <t>Lắp ráp, đóng gói bút tiêm: Eli Lilly and Company; sản xuất ống thuốc: Lilly France</t>
  </si>
  <si>
    <t>Bút tiêm</t>
  </si>
  <si>
    <t>Insulin lispro (trong đó 50% là insulin lispro solution và 50% là insulin lispro protamine suspension)</t>
  </si>
  <si>
    <t>Humalog Mix 50/50 Kwikpen</t>
  </si>
  <si>
    <t>QLSP-H02-829-14 (có CV gia hạn hiệu lực SĐK đến ngày 30/12/2017)</t>
  </si>
  <si>
    <t xml:space="preserve">Novo Nordisk A/S </t>
  </si>
  <si>
    <t>Insulin người, rDNA (30% Insulin hòa tan và 70% Insulin isophan)</t>
  </si>
  <si>
    <t>Mixtard® 30 FlexPen® 100 IU/ml x 3ml</t>
  </si>
  <si>
    <t>100 IU/ml</t>
  </si>
  <si>
    <t>QLSP-927-16</t>
  </si>
  <si>
    <t>Ipratropium bromide anhydrous (dưới dạng Ipratropium bromide monohydrate) 0,5mg;  Salbutamol (dưới dạng Salbutamol sulfate) 2,5 mg</t>
  </si>
  <si>
    <t xml:space="preserve">Combivent </t>
  </si>
  <si>
    <t>0,5mg + 2,5mg</t>
  </si>
  <si>
    <t>Dạng hít, Dung dịch khí dung</t>
  </si>
  <si>
    <t>VN-19797-16</t>
  </si>
  <si>
    <t>Laboratoire Unither</t>
  </si>
  <si>
    <t>Lactulose</t>
  </si>
  <si>
    <t xml:space="preserve">Duphalac </t>
  </si>
  <si>
    <t>10g/15ml</t>
  </si>
  <si>
    <t>Uống, Dung dịch uống</t>
  </si>
  <si>
    <t>VN-12829-11 ; CV gia hạn GPLH có hiệu lực đến ngày 26/7/2017</t>
  </si>
  <si>
    <t>Abbott Biologicals B.V</t>
  </si>
  <si>
    <t>Lynestrenol</t>
  </si>
  <si>
    <t xml:space="preserve">Orgametril </t>
  </si>
  <si>
    <t>VN-15548-12CV; gia hạn GPLH có hiệu lực đến ngày 03/7/2018</t>
  </si>
  <si>
    <t>N.V. Organon</t>
  </si>
  <si>
    <t>Magnesium gluconate + calcium glycerophosphate</t>
  </si>
  <si>
    <t xml:space="preserve">Fatig </t>
  </si>
  <si>
    <t>0,426g + 0,456g</t>
  </si>
  <si>
    <t>VN-10352-10 (Có CV gia hạn hiệu lực SĐK đến ngày 21/12/2017)</t>
  </si>
  <si>
    <t>Pharmatis</t>
  </si>
  <si>
    <t>Natri clorid 0,9g/100ml</t>
  </si>
  <si>
    <t xml:space="preserve">Dịch truyền tĩnh mạch Natri clorid 0.9% </t>
  </si>
  <si>
    <t xml:space="preserve">0,9 % x 100ml </t>
  </si>
  <si>
    <t>VD-16420-12 (Có CV gia hạn hiệu lực SĐK đến ngày 01/3/2018)</t>
  </si>
  <si>
    <t>Nefopam hydroclorid</t>
  </si>
  <si>
    <t>Acupan</t>
  </si>
  <si>
    <t>VN-18589-15</t>
  </si>
  <si>
    <t>Delpharm Tours (xuất xưởng: Biocodex)</t>
  </si>
  <si>
    <t xml:space="preserve">Nicardipin hydrochlorid </t>
  </si>
  <si>
    <t xml:space="preserve">Nicardipine Aguettant 10mg/10ml </t>
  </si>
  <si>
    <t>10mg/10ml</t>
  </si>
  <si>
    <t>VN-19999-16</t>
  </si>
  <si>
    <t xml:space="preserve">Telmisartan + Amlodipine (dưới dạng Amlodipine besylate) </t>
  </si>
  <si>
    <t>Twynsta</t>
  </si>
  <si>
    <t>40mg + 5mg</t>
  </si>
  <si>
    <t>VN-16589-13</t>
  </si>
  <si>
    <t>M/s Cipla Ltd (đóng gói và xuất xưởng: Boehringer Ingelheim Pharma GmbH &amp; Co. KG., Đức)</t>
  </si>
  <si>
    <t xml:space="preserve">Telmisartan + Hydrochlorothiazide </t>
  </si>
  <si>
    <t>Micardis Plus Tab. 40/12,5</t>
  </si>
  <si>
    <t>40mg + 12,5mg</t>
  </si>
  <si>
    <t>VN-16587-13</t>
  </si>
  <si>
    <t>Theophyllin monohydrate</t>
  </si>
  <si>
    <t>Theostat L.P. Tab. 100mg</t>
  </si>
  <si>
    <t>VN-14339-11 (Có CV gia hạn hiệu lực SĐK đến ngày 06/3/2018)</t>
  </si>
  <si>
    <t>Tobramycin (dưới dạng tobramycin sulfate); Dexamethasone 1mg/1ml</t>
  </si>
  <si>
    <t>Dex-Tobrin</t>
  </si>
  <si>
    <t>Nhỏ mắt, Hỗn dịch nhỏ mắt</t>
  </si>
  <si>
    <t>VN-16553-13</t>
  </si>
  <si>
    <t>Balkanpharma - Razgrad AD</t>
  </si>
  <si>
    <t>Tobramycin 3mg</t>
  </si>
  <si>
    <t>Tobrin 0,3%</t>
  </si>
  <si>
    <t>3mg/ml</t>
  </si>
  <si>
    <t>Nhỏ tai, Dung dịch nhỏ tai</t>
  </si>
  <si>
    <t>VN-20366-17</t>
  </si>
  <si>
    <t>Uống-Viên nang mềm</t>
  </si>
  <si>
    <t>Gingko Biloba  phytosome, 40mg chiết xuất Ginkgo Biloba</t>
  </si>
  <si>
    <t>Giloba</t>
  </si>
  <si>
    <t>VN-10405-10 kèm công văn số 7175/QLD-ĐK ngày 21/04/2015 về việc thay đổi tên nhà sản xuất và công ty đăng ký, công văn số 20613/ QLD-ĐK ngày 20/10/2016 về việc gia hạn hiệu lực SĐK</t>
  </si>
  <si>
    <t>Mega Lifesciences Public Company Limited.</t>
  </si>
  <si>
    <t>Inventia Healthcare Pvt. Ltd</t>
  </si>
  <si>
    <t xml:space="preserve">Mecobalamin </t>
  </si>
  <si>
    <t>Kalmeco</t>
  </si>
  <si>
    <t>Uống-Viên nang</t>
  </si>
  <si>
    <t>VN-10517-10 kèm CV số 2241/ QLD-ĐK ngày 01/03/2017 về việc gia hạn hiệu lực số đăng ký VN-20341-17</t>
  </si>
  <si>
    <t>PT Kalbe Farma Tbk</t>
  </si>
  <si>
    <t>Panfor SR-750</t>
  </si>
  <si>
    <t>Uống-Viên nén phóng thích chậm</t>
  </si>
  <si>
    <t>VN-20188-16 kèm công văn số 6712/QLD-ĐK về việc đính chính địa chỉ nhà sản xuất</t>
  </si>
  <si>
    <t xml:space="preserve">Omeprazole </t>
  </si>
  <si>
    <t>Ocid IV</t>
  </si>
  <si>
    <t>Tiêm-Bột đông khô pha tiêm + nước cất</t>
  </si>
  <si>
    <t>VN-9151-09 kèm công văn số 15086/QLD-ĐK ngày 23/12/2010 về việc thay đổi hạn dùng và công văn 19389/QLD-ĐK ngày 06/10/2016 về việc gia hạn hiệu lực SĐK</t>
  </si>
  <si>
    <t xml:space="preserve"> Hoàng bá, Khiếm thực, Liên tu, Tri mẫu, Mẫu lệ, Phục linh, Sơn thù, Viễn chí.</t>
  </si>
  <si>
    <t>V830-H12-10; CV gia hạn hiệu lực SĐK đến ngày 01/3/2018</t>
  </si>
  <si>
    <t>Công ty TNHH Đông Nam Dược Bảo Long</t>
  </si>
  <si>
    <t>Mã tiền, Huyết giác, Ô đầu, Đại hồi, Long não, Một dược, Địa liền, Nhũ hương, Đinh Hương,  Quế, Gừng, Methyl salicylat, Glycerin, Ethanol.</t>
  </si>
  <si>
    <t>Cồn xoa bóp Bảo Long</t>
  </si>
  <si>
    <t xml:space="preserve"> 1g, 1g, 1g, 1g, 1g, 1g, 1g, 1g, 1g, 1g, 1g, 10g,  2g, Ethanol 90% vđ 100ml</t>
  </si>
  <si>
    <t>Dùng ngoài, Cồn thuốc</t>
  </si>
  <si>
    <t>V305-H12-10; CV gia hạn hiệu lực SĐK đến ngày 01/3/2018</t>
  </si>
  <si>
    <t>V1380-H12-10; CV gia hạn hiệu lực SĐK đến ngày 01/3/2018</t>
  </si>
  <si>
    <t>Tục đoạn, Phòng phong, Hy thiêm, Độc hoạt, Tần giao, Bạch thược, Đương quy, Xuyên khung, Thiên niên kiện, Ngưu tất, Hoàng kỳ, Đỗ trọng, (Mã tiền).</t>
  </si>
  <si>
    <t>VD-26327-17</t>
  </si>
  <si>
    <t>Cty CPDP Yên Bái</t>
  </si>
  <si>
    <t>Cát cánh, Kinh giới, Tử uyển, Bách bộ, Hạnh nhân, Cam thảo, Trần bì, Mạch môn.</t>
  </si>
  <si>
    <t>Siro, Uống</t>
  </si>
  <si>
    <t>VD-17599-12; hiệu lực đến ngày 24/9/2017</t>
  </si>
  <si>
    <t>Cao đặc actiso, cao đặc rau đắng đất, cao đặc bìm bìm biếc</t>
  </si>
  <si>
    <t>Uống - viên nang cứng</t>
  </si>
  <si>
    <t>VD-17082-12 (Công văn gia hạn 11197/QLD-ĐK ngày hết hạn 01/08/2018)</t>
  </si>
  <si>
    <t>Công ty cổ phần dược vật tư y tế Hải Dương</t>
  </si>
  <si>
    <t>Cao đặc kim tiền thảo</t>
  </si>
  <si>
    <t>Kim Tiền Thảo</t>
  </si>
  <si>
    <t>176mg</t>
  </si>
  <si>
    <t>Uống - Viên nén bao đường</t>
  </si>
  <si>
    <t>VD-26840-17</t>
  </si>
  <si>
    <t>Công Ty Cổ Phần Dược Phẩm Hoa Việt</t>
  </si>
  <si>
    <t>Tinh dầu tràm/Cineol, Tinh dầu gừng, Tinh dầu tần, Menthol, (Eucalyptol).</t>
  </si>
  <si>
    <t>Uống - Viên nang mềm</t>
  </si>
  <si>
    <t>VD-22932-15</t>
  </si>
  <si>
    <t>Công Ty Cổ Phần Dược Phẩm Me Di Sun</t>
  </si>
  <si>
    <t>Kim tiền thảo, Chỉ thực, Nhân trần, Hậu phác, Hoàng cầm, Bạch mao căn, Nghệ, Binh lang, Mộc hương, Đại hoàng.</t>
  </si>
  <si>
    <t>Uống, viên bao phim</t>
  </si>
  <si>
    <t>VD-19811-13</t>
  </si>
  <si>
    <t>Công ty Cổ phần Dược Danapha</t>
  </si>
  <si>
    <t>Diệp hạ châu.</t>
  </si>
  <si>
    <t>Uống, viên bao đường</t>
  </si>
  <si>
    <t xml:space="preserve">VD-26067-17 
</t>
  </si>
  <si>
    <t>Đương quy, Xuyên khung, Bạch thược, Thục địa hoàng, Câu đằng, Kê huyết đằng, Hạ khô thảo, Quyết minh tử, Trân châu mẫu, Diên hồ sách, Tế tân.</t>
  </si>
  <si>
    <t>Uống, Thuốc cốm</t>
  </si>
  <si>
    <t>VN-16395-13</t>
  </si>
  <si>
    <t xml:space="preserve">Tasly Pharmaceutical Group Co., Ltd </t>
  </si>
  <si>
    <t>Công ty TNHH TM Dược phẩm Đông Á</t>
  </si>
  <si>
    <t>Xuyên khung, Tần giao, Bạch chỉ, Đương quy, Mạch môn, Hồng sâm, Ngô thù du, Ngũ vị tử, Băng phiến.</t>
  </si>
  <si>
    <t>Uống, viên hoàn cứng</t>
  </si>
  <si>
    <t>VN-19844-16</t>
  </si>
  <si>
    <t xml:space="preserve">Quingdao Growful Pharmaceutical Co., Ltd </t>
  </si>
  <si>
    <t>Toan táo nhân, Đương quy, Hoài sơn, Nhục thung dung, Kỷ tử, Ngũ vị tử, Ích trí nhân, Hổ phách, Thiên trúc hoàng, Long cốt, Tiết xương bồ, Thiên ma, Đan sâm, Nhân sâm, Trắc bách diệp.</t>
  </si>
  <si>
    <t>Uống, viên hoàn</t>
  </si>
  <si>
    <t>VN-5597-10 (CV gia hạn hiệu lực SĐK đến ngày 26/10/2017)</t>
  </si>
  <si>
    <t>Ngưu nhĩ phong, La liễu.</t>
  </si>
  <si>
    <t>VN-18528-14</t>
  </si>
  <si>
    <t xml:space="preserve">Haikou Pharmaceutical Factory Co., Ltd </t>
  </si>
  <si>
    <t>Uống, Viên hoàn giọt</t>
  </si>
  <si>
    <t>VN-20102-16</t>
  </si>
  <si>
    <t>Đương quy, Bạch quả.</t>
  </si>
  <si>
    <t>viên nang, uống</t>
  </si>
  <si>
    <t>V786-H12-10; CV gia hạn hiệu lực SĐK đến ngày 04/10/2018</t>
  </si>
  <si>
    <t xml:space="preserve">Cty TNHH Nam Dược </t>
  </si>
  <si>
    <t>Thục địa, Táo nhục, Củ súng, Thạch hộc, Hoài sơn, Tỳ giải.</t>
  </si>
  <si>
    <t>hoàn cứng, uống</t>
  </si>
  <si>
    <t>VD-23884-15</t>
  </si>
  <si>
    <t xml:space="preserve">Cty CP TM Dược VTYT Khải Hà </t>
  </si>
  <si>
    <t>Hoắc hương, Tía tô, Bạch chỉ,Bạch linh, Đại phúc bì, Thương truật, Hậu phác, Trần bì, Cam thảo, Bán hạ chế, Cát cánh, Can khương.</t>
  </si>
  <si>
    <t xml:space="preserve"> viên nén bao phim, uống</t>
  </si>
  <si>
    <t>V762-H12-10; CV gia hạn hiệu lực SĐK đến ngày 03/8/2018</t>
  </si>
  <si>
    <t xml:space="preserve">Cty CP dược phẩm Trường Thọ </t>
  </si>
  <si>
    <t>Cỏ sữa lá to, Hoàng đằng, Măng cụt.</t>
  </si>
  <si>
    <t>VD-18032-12; hiệu lực SĐK đến ngày 20/12/2017</t>
  </si>
  <si>
    <t>Cty CP dược VTYT Hải Dương</t>
  </si>
  <si>
    <t>Tỏi, Nghệ.</t>
  </si>
  <si>
    <t>VD-22306-15</t>
  </si>
  <si>
    <t>Lá sen, Lá vông,  Lạc tiên, (Tâm sen), (Bình vôi), (Trinh nữ).</t>
  </si>
  <si>
    <t>VD-17080-12; CV gia hạn hiệu lực SĐK đến ngày 01/8/2018</t>
  </si>
  <si>
    <t>Đương quy, Bạch truật, Nhân sâm/Đảng sâm, Quế nhục, Thục địa, Cam thảo, Hoàng kỳ, Phục linh/Bạch linh, Xuyên khung, Bạch thược.</t>
  </si>
  <si>
    <t>VD-21976-14</t>
  </si>
  <si>
    <t>Hà thủ ô đỏ, (Bạch thược/Xích thược), Đương quy, Xuyên khung, Ích mẫu,Thục địa, (Hồng hoa), (Đan sâm).</t>
  </si>
  <si>
    <t>cao lỏng, uống</t>
  </si>
  <si>
    <t>VD-21452-14</t>
  </si>
  <si>
    <t>Cty CP TM Dược VTYT Khải Hà</t>
  </si>
  <si>
    <t>Độc hoạt, Quế chi/Quế nhục, Phòng phong, Đương quy, Tế tân/Dây đau xương, Xuyên khung, Tần giao, Bạch thược, Tang ký sinh, Sinh địa/Thục địa/Địa hoàng, Đỗ trọng, Ngưu tất, Phục linh/Bạch linh, Cam thảo, Đảng sâm/Nhân sâm, acid benzoid</t>
  </si>
  <si>
    <t>viên hoàn cứng, uống</t>
  </si>
  <si>
    <t>V265-H12-13; hiệu lực SĐK đến ngày 08/11/2017</t>
  </si>
  <si>
    <t>Độc hoạt, Phòng phong, Tang ký sinh, Đỗ trọng, Ngưu tất, Trinh nữ, Hồng hoa, Bạch chỉ, Tục đoạn, Bổ cốt chỉ.</t>
  </si>
  <si>
    <t>V833-H12-10; CV gia hạn hiệu lực SĐK đến ngày 10/4/2018</t>
  </si>
  <si>
    <t>A giao, Bạc hà, Bách bộ, Bách hợp, Bối mẫu, Cam thảo, Đương qui, Sinh khương, Hạnh nhân, Cát cánh, Mã đậu linh, Ngũ vị tử, Thiên hoa phấn, Thiên môn, Tri mẫu, Tử tô, Tử uyển, Ý dĩ.</t>
  </si>
  <si>
    <t>Uống;
Cao lỏng</t>
  </si>
  <si>
    <t>V14-H12-16; CV gia hạn hiệu lực SĐK đến ngày 31/12/2018</t>
  </si>
  <si>
    <t xml:space="preserve">Cơ sở 
sản xuất 
thuốc đông y, thuốc từ dược liệu 
Dược Phát </t>
  </si>
  <si>
    <t>Long đởm, Sài hồ, Nhân trần, Kim ngân hoa, Hoàng cầm, Sinh địa, Trạch tả, Chi tử, Đương qui, Xa tiền tử, Cam thảo.</t>
  </si>
  <si>
    <t>V16-H12-16</t>
  </si>
  <si>
    <t>Sirô thuốc, Uống</t>
  </si>
  <si>
    <t>Cao khô Hương phụ; Cao khô Ích mẫu; Cao khô Ngải cứu.</t>
  </si>
  <si>
    <t>Ích mẫu</t>
  </si>
  <si>
    <t>0,1g; 0,4g; 0,09g.</t>
  </si>
  <si>
    <t>V1629-H12-10 Công văn gia hạn SĐK 1955/QLD-ĐK ngày 05/02/2016. TN đăng ký lại số TN-34926 ngày 28/12/2016. Công văn gia hạn hiệu lực SĐK số: 3091/QLD-ĐK đến ngày 14/3/2018</t>
  </si>
  <si>
    <t xml:space="preserve">Công ty Cổ phần Dược phẩm Hà Nam </t>
  </si>
  <si>
    <t>Bạch linh; Cát cánh; Tỳ bà diệp; Tang Bạch bì; Ma hoàng; Mạch môn; Bạc hà; Bán hạ chế; Bách bộ, Mơ muối; Cam thảo; Bạch phàn; Tinh dầu bạc hà.</t>
  </si>
  <si>
    <t>V534-H12-10; Công văn gia hạn hiệu lực SĐK số: 11256/QLD-ĐK ngày 01/02/2018</t>
  </si>
  <si>
    <t>Sinh địa, Mạch môn, Thiên môn đông, Táo nhân, Bá tử nhân, Huyền sâm, Viễn chí, Ngũ vị tử, Đảng sâm, Đương quy, Đan sâm, Phục thần, Cát cánh</t>
  </si>
  <si>
    <t>An thần bổ tâm - f</t>
  </si>
  <si>
    <t>400mg, 133.3mg, 133.3mg, 133.3mg, 133.3mg, 66.7mg, 66.7mg, 66.7mg, 133.3mg, 133.3mg, 66.7mg, 66.7mg, 66.7mg</t>
  </si>
  <si>
    <t>Viên nang cứng / uống</t>
  </si>
  <si>
    <t>Hộp 10 vỉ x 10 viên, Viên nang cứng</t>
  </si>
  <si>
    <t>VD-20532-14</t>
  </si>
  <si>
    <t>Công ty TNHH Dược phẩm Fitopharma</t>
  </si>
  <si>
    <t>Đương quy, Xuyên khung, Thục địa, Bạch thược, Đảng sâm, Bạch linh, Bạch truật, Cam thảo</t>
  </si>
  <si>
    <t xml:space="preserve">Bát trân </t>
  </si>
  <si>
    <t>364mg, 182mg, 364mg, 242mg, 242mg, 242mg, 242mg, 122mg</t>
  </si>
  <si>
    <t>VD-25007-16</t>
  </si>
  <si>
    <t>Thục địa, Hoài sơn, Mẫu đơn bì, Trạch tả, Phục linh, Sơn thù, Phụ tử chế, Quế nhục</t>
  </si>
  <si>
    <t>VD-23284-15</t>
  </si>
  <si>
    <t xml:space="preserve">Nhân sâm, Hoàng kỳ, Đương quy, Bạch truật, Thăng ma, Sài hồ, Trần bì, Cam thảo, Gừng tươi, Đại táo </t>
  </si>
  <si>
    <t xml:space="preserve">Bổ trung ích khí – f </t>
  </si>
  <si>
    <t xml:space="preserve">250mg, 833mg,   250mg, 250mg, 250mg, 250mg, 250mg, 417mg,  83mg,167mg </t>
  </si>
  <si>
    <t>VD-20533-14</t>
  </si>
  <si>
    <t xml:space="preserve"> 545mg, 273mg, 273mg, 273mg, 273mg, 273mg, 90mg</t>
  </si>
  <si>
    <t>VD-25008-16</t>
  </si>
  <si>
    <t>Ích mẫu, Hương phụ chế, Ngải cứu</t>
  </si>
  <si>
    <t>Cao lỏng / uống</t>
  </si>
  <si>
    <t>VD-22326-15</t>
  </si>
  <si>
    <t xml:space="preserve"> 100g, 60g, 20g</t>
  </si>
  <si>
    <t>VD-21758-14</t>
  </si>
  <si>
    <t>VD-22327-15</t>
  </si>
  <si>
    <t>Chỉ thực, Nhân sâm, Bạch truật, Bạch linh, Bán hạ, Mạch nha, Hậu phác, Cam thảo, Can khương, Hoàng liên</t>
  </si>
  <si>
    <t xml:space="preserve">Chỉ  thực tiêu bĩ – f </t>
  </si>
  <si>
    <t>480mg, 290mg, 290mg,  290mg, 290mg, 290mg,   250mg, 187,3mg, 187,3mg, 480mg</t>
  </si>
  <si>
    <t>VD-21486-14</t>
  </si>
  <si>
    <t>Huyền hồ sách, Mai mực, Phèn chua</t>
  </si>
  <si>
    <t xml:space="preserve">Dạ dày tá tràng – f </t>
  </si>
  <si>
    <t xml:space="preserve">126mg, 274mg, 500mg </t>
  </si>
  <si>
    <t>VD-25009-16</t>
  </si>
  <si>
    <t>Mộc hương, Hoàng liên, Ngô thù du</t>
  </si>
  <si>
    <t>VD-21487-14</t>
  </si>
  <si>
    <t>Độc hoạt, Quế nhục, Phòng phong, Đương quy, Tế tân, Xuyên khung, Tần giao, Bạch thược, Tang ký  sinh, Địa hoàng, Đỗ trọng, Ngưu tất, Phục linh, Cam thảo, Đảng sâm</t>
  </si>
  <si>
    <t>Độc hoạt tang ký sinh</t>
  </si>
  <si>
    <t>148mg , 92mg,  92mg, 92mg,  60mg, 92mg, 104mg, 300mg, 240mg, 184mg, 148mg, 148mg, 120mg, 60mg, 120mg</t>
  </si>
  <si>
    <t>VD-21488-14</t>
  </si>
  <si>
    <t xml:space="preserve"> Thục địa, Phục linh, Hoài sơn, Sơn thù, Trạch tả, Xa tiền tử, Ngưu tất, Mẫu đơn bì, Nhục quế, Phụ tử chế</t>
  </si>
  <si>
    <t xml:space="preserve">  700mg, 530mg, 350mg, 350mg, 265mg, 180mg, 180mg, 265mg, 90mg,  90mg. </t>
  </si>
  <si>
    <t>VD-25456-16</t>
  </si>
  <si>
    <t>Đan sâm, Tam thất, Băng phiến tổng hợp</t>
  </si>
  <si>
    <t>VD-24524-16</t>
  </si>
  <si>
    <t xml:space="preserve"> 330mg, 330mg, 330mg, 100mg</t>
  </si>
  <si>
    <t>Hộp 2 vỉ x 10 viên, Viên nang cứng</t>
  </si>
  <si>
    <t>VD-25954-16</t>
  </si>
  <si>
    <t xml:space="preserve">Linh chi, Đương quy </t>
  </si>
  <si>
    <t>VD-23289-15</t>
  </si>
  <si>
    <t>Kim ngân hoa, Liên kiều, Cát cánh, Bạc hà, Đạm trúc diệp, Cam thảo, Kinh giới, Ngưu bàng tử, Đạm đậu xị</t>
  </si>
  <si>
    <t>VD-20534-14</t>
  </si>
  <si>
    <t xml:space="preserve"> Hy thiêm, Hà thủ ô đỏ chế, Thương nhĩ tử, Thổ phục linh, Dây đau xương, Thiên niên kiện, Huyết giác</t>
  </si>
  <si>
    <t>VD-18103-12</t>
  </si>
  <si>
    <t xml:space="preserve">Nhân sâm, Lộc nhung, Đương quy, Đỗ trọng, Thục địa, Phục linh, Ngưu tất, Xuyên khung, Hà thủ ô đỏ, Ba kích, Nhục thung dung, Sơn thù, Bạch truật, Kim anh, Nhục quế, Cam thảo </t>
  </si>
  <si>
    <t>VD-21496-14</t>
  </si>
  <si>
    <t>VD-20536-14</t>
  </si>
  <si>
    <t xml:space="preserve">Sài hồ, Bạch truật, Gừng tươi, Bạch linh, Đương quy, Bạch thược, Cam thảo, Bạc hà </t>
  </si>
  <si>
    <t xml:space="preserve"> 257mg, 257mg, 257mg, 257mg, 257mg, 257mg,  206mg, 52mg</t>
  </si>
  <si>
    <t>VD-21497-14</t>
  </si>
  <si>
    <t>Uống,  Viên nang cứng</t>
  </si>
  <si>
    <t>VD-24184-16</t>
  </si>
  <si>
    <t>Lá lốt; Hy thiêm; Ngưu tất; Thổ phục linh</t>
  </si>
  <si>
    <t>VD-22473-15</t>
  </si>
  <si>
    <t xml:space="preserve">Công ty cổ phần dược phẩm Khang Minh </t>
  </si>
  <si>
    <t>Kim tiền thảo; Râu mèo</t>
  </si>
  <si>
    <t>VD-21859-14</t>
  </si>
  <si>
    <t xml:space="preserve">Tân di hoa; Xuyên khung; Thăng ma; Bạch chỉ; Cam thảo </t>
  </si>
  <si>
    <t>Thỏ ty tử; Phúc bồn tử; Câu kỷ tử; Cửu thái tử; Thạch liên tử; Phá cố tử; Xà sàng tử; Kim anh tử; Ngũ vị tử; Thục địa; Dâm dương hoắc; Hải mã; Nhân sâm; Lộc nhung; Quế nhục</t>
  </si>
  <si>
    <t>Nhân sâm, Hoàng kỳ, Đương quy, Bạch truật, Thăng ma, Sài hồ, Trần bì, Cam thảo, Hòe hoa, Cỏ nhọ nồi, Kim ngân hoa, Đào nhân.</t>
  </si>
  <si>
    <t>uống, thuốc cốm</t>
  </si>
  <si>
    <t>VD-16400-12; CV gia hạn hiệu lực SĐK đến ngày 11/4/2018</t>
  </si>
  <si>
    <t>Cty CPDP Khang Minh</t>
  </si>
  <si>
    <t>Thục địa, Hoài sơn, Mẫu đơn bì, Phục linh, Trạch tả, Sơn thù, Câu kỷ tử, Cúc hoa.</t>
  </si>
  <si>
    <t>Viên bổ mắt</t>
  </si>
  <si>
    <t>320mg, 160mg, 120mg, 120mg, 120mg, 160mg, 120mg, 120mg</t>
  </si>
  <si>
    <t>VD-16698-12; CV gia hạn hiệu lực SĐK đến ngày 11/4/2018</t>
  </si>
  <si>
    <t>Trinh nữ hoàng cung, Tri mẫu, Hoàng bá, Ích mẫu, Đào nhân, Trạch tả, Xích thược, Nhục quế</t>
  </si>
  <si>
    <t>VD-22742-15</t>
  </si>
  <si>
    <t>Công ty cổ phần dược Danapha</t>
  </si>
  <si>
    <t>Công ty TNHH Dược Kim Đô</t>
  </si>
  <si>
    <t>Uống, viên nén dài bao phim</t>
  </si>
  <si>
    <t>VD-16477-12; có công văn gia hạn  số 5083/QLD-ĐK ngày 19/04/2017, hiệu lực đến ngày 19/4/2018</t>
  </si>
  <si>
    <t>Diếp cá, Rau má.</t>
  </si>
  <si>
    <t>VD-25253-16</t>
  </si>
  <si>
    <t xml:space="preserve">Công Ty cổ phần dược phẩm Phương Đông </t>
  </si>
  <si>
    <t>Công ty TNHH Dược phẩm Nguyên Anh Khoa</t>
  </si>
  <si>
    <t>Ngưu hoàng nhân tạo, Thạch cao, Đại hoàng, Hoàng cầm, Cát cánh, Cam thảo, Borneol (Băng phiến).</t>
  </si>
  <si>
    <t>Cabovis Viên thanh nhiệt giải độc</t>
  </si>
  <si>
    <t>5mg, 200mg, 200mg, 150mg, 100mg, 50mg, 25mg</t>
  </si>
  <si>
    <t>VD-19399-13</t>
  </si>
  <si>
    <t>Công ty Cổ phần Dược phẩm OPC</t>
  </si>
  <si>
    <t>Cao mật heo, Nghệ, Trần bì.</t>
  </si>
  <si>
    <t>VD-19911-13</t>
  </si>
  <si>
    <t>Camphor, Tinh dầu bạc hà, Tinh dầu quế, Methyl salicylat, Gừng.</t>
  </si>
  <si>
    <t>Dùng ngoài, dầu xoa</t>
  </si>
  <si>
    <t>VD-16556-12</t>
  </si>
  <si>
    <t>Mã tiền chế, Hy thiêm, Ngũ gia bì chân chim, Tam thất.</t>
  </si>
  <si>
    <t>Fengshi-OPC Viên phong thấp</t>
  </si>
  <si>
    <t>VD-19913-13</t>
  </si>
  <si>
    <t>VD-20776-14</t>
  </si>
  <si>
    <t>Thục địa, Hoài sơn, Mẫu đơn bì, Trạch tả, Phục linh, Sơn thù, Phụ tử chế, Quế nhục.</t>
  </si>
  <si>
    <t>Uống, thuốc hoàn cứng</t>
  </si>
  <si>
    <t>VD-19914-13</t>
  </si>
  <si>
    <t>Thục địa, Hoài sơn, Sơn thù, Mẫu đơn bì, Phục linh, Trạch tả.</t>
  </si>
  <si>
    <t>VD-18756-13</t>
  </si>
  <si>
    <t>Húng chanh, Núc nác, Cineol.</t>
  </si>
  <si>
    <t>Uống, Siro thuốc.</t>
  </si>
  <si>
    <t>VD-25220-16</t>
  </si>
  <si>
    <t>Lá sen, Lá vông nem, Lạc tiên, Bình vôi, Trinh nữ.</t>
  </si>
  <si>
    <t>VD-20778-14</t>
  </si>
  <si>
    <t>Tô mộc.</t>
  </si>
  <si>
    <t>OP.ZEN - Viên tiêu sưng giảm đau</t>
  </si>
  <si>
    <t>VD-18324-13</t>
  </si>
  <si>
    <t>Tam thất.</t>
  </si>
  <si>
    <t>VD-18325-13</t>
  </si>
  <si>
    <t>Mộc hương, Berberin clorid, Bạch thược, Ngô thù du.</t>
  </si>
  <si>
    <t>VD-26211-17</t>
  </si>
  <si>
    <t>Lá thường xuân.</t>
  </si>
  <si>
    <t>Đinh lăng, Bạch quả, (Đậu tương).</t>
  </si>
  <si>
    <t>VD-24388-16</t>
  </si>
  <si>
    <t>Cty CP Dược VTYT Quảng Ninh</t>
  </si>
  <si>
    <t>Ô đầu, Địa liền, Đại hồi, Quế, Thiên niên kiện, Uy Linh tiên, Mã tiền, Huyết giác, Xuyên khung, Methyl salicylat, Tế tân.</t>
  </si>
  <si>
    <t>Cồn xoa bóp Jamda</t>
  </si>
  <si>
    <t>500mg, 500mg, 500mg, 500mg, 500mg, 500mg, 500mg, 500mg, 500mg, 5ml, 500mg.</t>
  </si>
  <si>
    <t>Cồn xoa bóp, Dùng ngoài</t>
  </si>
  <si>
    <t>VD-21803-14</t>
  </si>
  <si>
    <t>Cty CP CNC Traphaco</t>
  </si>
  <si>
    <t>Cao xương hỗn hợp, Hoàng bá, Tri mẫu, Trần bì, Bạch thược, Can khương, Thục địa.</t>
  </si>
  <si>
    <t>Viên hoàn cứng, uống</t>
  </si>
  <si>
    <t>VD-17817-12; hết hiệu lực ngày 20/12/2017</t>
  </si>
  <si>
    <t>Thục địa, Đương quy, Bạch thược, Xuyên khung, Cao đặc Ích mẫu, Cao đặc Ngải cứu, Hương phụ chế.</t>
  </si>
  <si>
    <t>Hoàn cứng, uống</t>
  </si>
  <si>
    <t>VD-25577-16</t>
  </si>
  <si>
    <t>Vacopharm</t>
  </si>
  <si>
    <t>Sử quân tử, bình lang, nhục đậu khấu, lục thần khúc, mạch nha, hoàng liên, mộc hương.</t>
  </si>
  <si>
    <t>Cao lỏng, uống</t>
  </si>
  <si>
    <t>V417-H12-10CV; gia hạn hiệu lực SĐK đến ngày 01/3/2018</t>
  </si>
  <si>
    <t>Cty CP Dược Thảo Phúc Vinh</t>
  </si>
  <si>
    <t>Công ty Cổ phần Dược Vacopharm</t>
  </si>
  <si>
    <t>Thuốc cốm, uống</t>
  </si>
  <si>
    <t>V1366-H12-10; CV gia hạn hiệu lực SĐK đến ngày 19/4/2018</t>
  </si>
  <si>
    <t>Cty CPDP Trung Ương 3</t>
  </si>
  <si>
    <t>Sài đất, kim ngân hoa, thổ phục linh, thương nhĩ tử, bồ công anh, sinh địa, thảo quyết minh.</t>
  </si>
  <si>
    <t>Hoàn tiêu độc TW3</t>
  </si>
  <si>
    <t>1.2g, 1.2g, 1.2g, 0.88g, 0.8g, 0.72g, 0.36g.</t>
  </si>
  <si>
    <t>Viên hoàn cứng, uống</t>
  </si>
  <si>
    <t>V1369-H12-10; CV gia hạn hiệu lực SĐK đến ngày 19/4/2018</t>
  </si>
  <si>
    <t>Viên bao đường, uống</t>
  </si>
  <si>
    <t>VD-23886-15</t>
  </si>
  <si>
    <t>V1617- H12-10; CV gia hạn hiệu lực SĐK đến ngày 15/3/2018</t>
  </si>
  <si>
    <t>Công ty TNHH Vạn Xuân</t>
  </si>
  <si>
    <t>VD-27652-17</t>
  </si>
  <si>
    <t>Diệp hạ châu, Hoàng bá, Mộc hương, Quế nhục, Tam thất.</t>
  </si>
  <si>
    <t>V45-H12-13</t>
  </si>
  <si>
    <t>Uống, Viên bao phim</t>
  </si>
  <si>
    <t>V731- H12-10; CV gia hạn hiệu lực SĐK đến ngày 15/3/2018</t>
  </si>
  <si>
    <t>Thương nhĩ tử, Hoàng kỳ, Bạch chỉ, Phòng phong, Tân di hoa, Bạch truật, Bạc hà.</t>
  </si>
  <si>
    <t>Xoang Vạn Xuân</t>
  </si>
  <si>
    <t>200mg; 200mg; 200mg; 200mg; 150mg; 200mg; 100mg</t>
  </si>
  <si>
    <t>V1508 - H12-10; CV gia hạn hiệu lực SĐK đến ngày 15/3/2018</t>
  </si>
  <si>
    <t xml:space="preserve">Đinh lăng , Bạch quả, Đậu tương </t>
  </si>
  <si>
    <t xml:space="preserve">Uống , viên nang cứng </t>
  </si>
  <si>
    <t>VD-27326-17</t>
  </si>
  <si>
    <t>Công ty Cổ Phần Sao Thái Dương</t>
  </si>
  <si>
    <t>Ích mẫu, Bạch thược, Đại hoàng, Thục địa, Hương phụ, Đương quy, Bạch truật, Xuyên khung, Huyền hồ sách, Phục linh.</t>
  </si>
  <si>
    <t>V576 - H12 - 10; Quyết định số 872/QĐ-BYT gia hạn hiệu lực SĐK đến ngày 31/12/2017</t>
  </si>
  <si>
    <t>Công Ty TNHH Đông Dược Xuân Quang</t>
  </si>
  <si>
    <t>V577 - H12 - 10; Quyết định số 872/QĐ-BYT gia hạn hiệu lực SĐK đến ngày 31/12/2017</t>
  </si>
  <si>
    <t xml:space="preserve"> 1,50g. 1,50g. 1,50g. 1,15g.  1,15g. 0,75g.</t>
  </si>
  <si>
    <t>V581 - H12 - 10; Quyết định số 872/QĐ-BYT gia hạn hiệu lực SĐK đến ngày 31/12/2017</t>
  </si>
  <si>
    <t xml:space="preserve">Nhân trần, Trạch tả, Đại hoàng, Sinh địa, Đương quy, Mạch môn, Long đởm, Chi tử, Hoàng cầm, Cam thảo, Mộc thông. </t>
  </si>
  <si>
    <t>V582 - H12 - 10; Quyết định số 872/QĐ-BYT gia hạn hiệu lực SĐK đến ngày 31/12/2017</t>
  </si>
  <si>
    <t>V583 - H12 - 10; Quyết định số 872/QĐ-BYT gia hạn hiệu lực SĐK đến ngày 31/12/2017</t>
  </si>
  <si>
    <t>Công Ty TNHH Đông dược Xuân Quang</t>
  </si>
  <si>
    <t xml:space="preserve">Đỗ trọng, Ngũ gia bì, Thiên niên kiện, Tục đoạn, Đại hoàng, Xuyên khung, Tần giao, Sinh địa, Uy linh tiên, Đương quy, Quế, Cam thảo. </t>
  </si>
  <si>
    <t>V706 - H12 - 10; Quyết định số 872/QĐ-BYT gia hạn hiệu lực SĐK đến ngày 31/12/2017</t>
  </si>
  <si>
    <t>V268-H12-13</t>
  </si>
  <si>
    <t>Cty CPXNK Y tế Domesco</t>
  </si>
  <si>
    <t>VD-24483-16</t>
  </si>
  <si>
    <t>Cty CP Dược VTYT Hải Dương</t>
  </si>
  <si>
    <t>ích mẫu, Hương phụ Ngải cứu.</t>
  </si>
  <si>
    <t>4,2g;          1,312g;           1,05g</t>
  </si>
  <si>
    <t>VD-16638-12</t>
  </si>
  <si>
    <t>HD Pharma</t>
  </si>
  <si>
    <t>VD-9457-09</t>
  </si>
  <si>
    <t xml:space="preserve"> viên nang cứng</t>
  </si>
  <si>
    <t>A.T Loratadin</t>
  </si>
  <si>
    <t>Aciclovir MKP 5%</t>
  </si>
  <si>
    <t>5% 5g</t>
  </si>
  <si>
    <t>Alchymotrypsin 5000 IU</t>
  </si>
  <si>
    <t>Amapirid 4mg</t>
  </si>
  <si>
    <t>Aminoplasmal B.Braun 5% E</t>
  </si>
  <si>
    <t>Acid amin*</t>
  </si>
  <si>
    <t>5% 250ml</t>
  </si>
  <si>
    <t>Aspirin MKP 81</t>
  </si>
  <si>
    <t>Atasart tablets 8mg</t>
  </si>
  <si>
    <t>Atenolol stada 50 mg</t>
  </si>
  <si>
    <t>50 mg</t>
  </si>
  <si>
    <t>Alverin (citrat) + simethicon</t>
  </si>
  <si>
    <t>Azicine</t>
  </si>
  <si>
    <t>AziHasan 125</t>
  </si>
  <si>
    <t>Bambec</t>
  </si>
  <si>
    <t>Bambuterol</t>
  </si>
  <si>
    <t>BDFGlamic</t>
  </si>
  <si>
    <t>Berberin</t>
  </si>
  <si>
    <t>Berberin (hydroclorid)</t>
  </si>
  <si>
    <t>Berodual</t>
  </si>
  <si>
    <t>Fenoterol + ipratropium</t>
  </si>
  <si>
    <t>250mcg/ml + 500mcg/ml</t>
  </si>
  <si>
    <t>Betaloc 50mg</t>
  </si>
  <si>
    <t>162mg + 0,75mg + 7,5mcg</t>
  </si>
  <si>
    <t>Canesten</t>
  </si>
  <si>
    <t>Clotrimazole 100 mg</t>
  </si>
  <si>
    <t>Ceplor VPC 375</t>
  </si>
  <si>
    <t>Ceteco Censamin fort</t>
  </si>
  <si>
    <t>Ceteco Leflox 500</t>
  </si>
  <si>
    <t>Ciprex</t>
  </si>
  <si>
    <t>Tinidazol + ciprofloxacin</t>
  </si>
  <si>
    <t>600mg + 500mg</t>
  </si>
  <si>
    <t>Chlorpheniramin (hydrogen maleat)</t>
  </si>
  <si>
    <t>Cytan ( Tên cũ Direin)</t>
  </si>
  <si>
    <t>Devastin 20</t>
  </si>
  <si>
    <t>Dexamethason</t>
  </si>
  <si>
    <t>Dextromethorphan</t>
  </si>
  <si>
    <t>Dimedrol</t>
  </si>
  <si>
    <t>Diphenhydramin HCL</t>
  </si>
  <si>
    <t>Disolvan chai 60ml (Dung dịch uống)</t>
  </si>
  <si>
    <t>4mg/5ml. 60ml</t>
  </si>
  <si>
    <t>Dofluzol</t>
  </si>
  <si>
    <t>Dolcontral 100mg/2ml</t>
  </si>
  <si>
    <t>Pethidin</t>
  </si>
  <si>
    <t>Doropycin 750.000 IU</t>
  </si>
  <si>
    <t>Doxycyclin 100</t>
  </si>
  <si>
    <t>Efferalgan</t>
  </si>
  <si>
    <t>Elaria</t>
  </si>
  <si>
    <t>Bacillus claussii</t>
  </si>
  <si>
    <t>1.10(9) - 2.10(9) cfu</t>
  </si>
  <si>
    <t>Eurocaljium</t>
  </si>
  <si>
    <t>Calci carbonat</t>
  </si>
  <si>
    <t>625mg</t>
  </si>
  <si>
    <t>Furacin 125</t>
  </si>
  <si>
    <t>Gelofusine 500ml</t>
  </si>
  <si>
    <t>Gelatin</t>
  </si>
  <si>
    <t>4% 500ml</t>
  </si>
  <si>
    <t>Gentamicin Kabi 80mg/2ml</t>
  </si>
  <si>
    <t>80mg/2ml</t>
  </si>
  <si>
    <t>Glucofine 1000mg</t>
  </si>
  <si>
    <t>Gluphakaps 850mg</t>
  </si>
  <si>
    <t>Golddicron</t>
  </si>
  <si>
    <t>Hansazol 40mg</t>
  </si>
  <si>
    <t>Hemafolic 10ml</t>
  </si>
  <si>
    <t>Sắt (III) hydroxyd polymaltose +acid folic</t>
  </si>
  <si>
    <t>280mg + 1mg</t>
  </si>
  <si>
    <t>Hyoscin</t>
  </si>
  <si>
    <t>Floctafenin</t>
  </si>
  <si>
    <t>Idatril 10mg</t>
  </si>
  <si>
    <t>Imidapril</t>
  </si>
  <si>
    <t>Idatril 5mg</t>
  </si>
  <si>
    <t>Isomonit 60mg</t>
  </si>
  <si>
    <t>Kortimed</t>
  </si>
  <si>
    <t>Bacillus subtilis + Lactobacillus acidophilus</t>
  </si>
  <si>
    <t>Lidocain 40mg/2ml</t>
  </si>
  <si>
    <t>Lidocain (hydroclorid)</t>
  </si>
  <si>
    <t>40mg/2ml</t>
  </si>
  <si>
    <t>Lorytec 10</t>
  </si>
  <si>
    <t>Losar-Denk 100</t>
  </si>
  <si>
    <t>Enoxaparin (natri)</t>
  </si>
  <si>
    <t>40mg/ 0,4ml</t>
  </si>
  <si>
    <t>Mannitol</t>
  </si>
  <si>
    <t>Manitol</t>
  </si>
  <si>
    <t>20%/250ml</t>
  </si>
  <si>
    <t>0,25mcg</t>
  </si>
  <si>
    <t>Mezavitin</t>
  </si>
  <si>
    <t>Micardis Tab. 40mg B/30</t>
  </si>
  <si>
    <t>Motilium 30ml</t>
  </si>
  <si>
    <t>1mg/ml</t>
  </si>
  <si>
    <t>Nalsarac</t>
  </si>
  <si>
    <t>37,5mg +325mg</t>
  </si>
  <si>
    <t>0.009</t>
  </si>
  <si>
    <t>Nexium</t>
  </si>
  <si>
    <t>Esomeprazole</t>
  </si>
  <si>
    <t>Nifedipin T20 Stada retard</t>
  </si>
  <si>
    <t>Nước cất A.T</t>
  </si>
  <si>
    <t>Nước cất pha tiêm</t>
  </si>
  <si>
    <t>100.000 UI</t>
  </si>
  <si>
    <t>25.000UI</t>
  </si>
  <si>
    <t>Omeprazol Normon 40mg</t>
  </si>
  <si>
    <t>Omeptul</t>
  </si>
  <si>
    <t>Natri clorid + kali clorid + natri citrat + glucose khan + kẽm</t>
  </si>
  <si>
    <t>Oresol</t>
  </si>
  <si>
    <t>Natri clorid+kali clorid+ natri citrat + glucose khan</t>
  </si>
  <si>
    <t>20 g+ 3,5 g+ 2,9 g + 1,5 g</t>
  </si>
  <si>
    <t>5UI/ml</t>
  </si>
  <si>
    <t>Perfalgan</t>
  </si>
  <si>
    <t>Prednison</t>
  </si>
  <si>
    <t>Predsantyl 16mg</t>
  </si>
  <si>
    <t>Primperan</t>
  </si>
  <si>
    <t>PVP Iodine 10%</t>
  </si>
  <si>
    <t>10%/500ml</t>
  </si>
  <si>
    <t>10%/20ml</t>
  </si>
  <si>
    <t>Quafa-Azi 250mg</t>
  </si>
  <si>
    <t>Rabeflex</t>
  </si>
  <si>
    <t>Remeclar 250</t>
  </si>
  <si>
    <t>Remeclar 500</t>
  </si>
  <si>
    <t>Rovas 1.5M IU</t>
  </si>
  <si>
    <t>1,5 MIU</t>
  </si>
  <si>
    <t>SANBEclaneksi</t>
  </si>
  <si>
    <t>1g + 200mg</t>
  </si>
  <si>
    <t>SAVI URSO 300</t>
  </si>
  <si>
    <t>150mg +12.5mg</t>
  </si>
  <si>
    <t>Supoxim 200</t>
  </si>
  <si>
    <t>5mg + 1,33mg + 33,3mg + 50mg</t>
  </si>
  <si>
    <t>Voltaren 50</t>
  </si>
  <si>
    <t>Vorifend Forte</t>
  </si>
  <si>
    <t>Zincviet</t>
  </si>
  <si>
    <t>329,16mg/60ml</t>
  </si>
  <si>
    <t>Dung dịch tiêm truyền Tinh mạch 5D</t>
  </si>
  <si>
    <t>5% 500ml</t>
  </si>
  <si>
    <t>Glucose 5%</t>
  </si>
  <si>
    <t>5%/100ml</t>
  </si>
  <si>
    <t>5%/500ml</t>
  </si>
  <si>
    <t>Lactated ringer's</t>
  </si>
  <si>
    <t>Ringer lactate</t>
  </si>
  <si>
    <t>RL</t>
  </si>
  <si>
    <t>Curam 625mg</t>
  </si>
  <si>
    <t>Drocef VPC 250</t>
  </si>
  <si>
    <t>Eufaclor 125</t>
  </si>
  <si>
    <t>Eufaclor 250</t>
  </si>
  <si>
    <t>Oxacilin</t>
  </si>
  <si>
    <t>Hasanclar 500</t>
  </si>
  <si>
    <t>Incepdazol 250 tablet</t>
  </si>
  <si>
    <t>Kamoxazol</t>
  </si>
  <si>
    <t>800mg+160mg</t>
  </si>
  <si>
    <t>Spiramycin +Metronidazol</t>
  </si>
  <si>
    <t>1.5 MUI+ 250mg</t>
  </si>
  <si>
    <t>Metronidazol 250mg</t>
  </si>
  <si>
    <t>Midagentin 250/31,25</t>
  </si>
  <si>
    <t>Midantin 1000</t>
  </si>
  <si>
    <t>875mg + 125mg</t>
  </si>
  <si>
    <t>500mg + 62.5mg</t>
  </si>
  <si>
    <t>Moxilen 500mg</t>
  </si>
  <si>
    <t>0,5%</t>
  </si>
  <si>
    <t>Noruxime 250</t>
  </si>
  <si>
    <t>SaVi Azit</t>
  </si>
  <si>
    <t>1% - 5g</t>
  </si>
  <si>
    <t>Tetracyclin</t>
  </si>
  <si>
    <t>Adrenalin 1mg/1ml</t>
  </si>
  <si>
    <t>Adrenalin</t>
  </si>
  <si>
    <t>Atropin sulfat 0,25mg/1ml</t>
  </si>
  <si>
    <t>0,25mg/1ml</t>
  </si>
  <si>
    <t xml:space="preserve">Metoprolol </t>
  </si>
  <si>
    <t>Betaloc Zok50mg</t>
  </si>
  <si>
    <t>Decolic F</t>
  </si>
  <si>
    <t>Dibulaxan</t>
  </si>
  <si>
    <t>Ibuprofen + Paracetamol</t>
  </si>
  <si>
    <t>200mg + 325mg</t>
  </si>
  <si>
    <t>Digoxine Qualy</t>
  </si>
  <si>
    <t>Dopamine hydrochloride 4%</t>
  </si>
  <si>
    <t>Dopamin (hydroclorid)</t>
  </si>
  <si>
    <t>200mg/5ml</t>
  </si>
  <si>
    <t>Furosemide Safl</t>
  </si>
  <si>
    <t>Glucofine 500mg</t>
  </si>
  <si>
    <t>Glucose Kabi 30%</t>
  </si>
  <si>
    <t>1,5g/5ml</t>
  </si>
  <si>
    <t>Kagasdine 20mg</t>
  </si>
  <si>
    <t>Magne sulfate</t>
  </si>
  <si>
    <t>15% 10ml</t>
  </si>
  <si>
    <t>Mobic</t>
  </si>
  <si>
    <t>Trimetazidine</t>
  </si>
  <si>
    <t>Diazepam 10mg/2ml</t>
  </si>
  <si>
    <t>Midanium</t>
  </si>
  <si>
    <t>Midazolam</t>
  </si>
  <si>
    <t>5 mg/1ml</t>
  </si>
  <si>
    <t>Biferon</t>
  </si>
  <si>
    <t>Codu-Vitamin B1 250</t>
  </si>
  <si>
    <t>Kaldyum</t>
  </si>
  <si>
    <t>Kali clorid</t>
  </si>
  <si>
    <t>600 mg</t>
  </si>
  <si>
    <t>Vitamin A + D</t>
  </si>
  <si>
    <t xml:space="preserve">        SỞ Y TẾ TÂY NINH</t>
  </si>
  <si>
    <t>TTYT H.DƯƠNG MINH CHÂU</t>
  </si>
  <si>
    <t>Số TT</t>
  </si>
  <si>
    <t>Mã ATC</t>
  </si>
  <si>
    <t>Mã nội bộ</t>
  </si>
  <si>
    <t>Tên biệt dược</t>
  </si>
  <si>
    <t>Số 
Đăng ký</t>
  </si>
  <si>
    <t>Nơi sản xuất</t>
  </si>
  <si>
    <t>Nồng độ, hàm lượng</t>
  </si>
  <si>
    <t>Đơn vị 
tính</t>
  </si>
  <si>
    <t>Đường dùng, dạng bào chế</t>
  </si>
  <si>
    <t>Đơn giá
(VNĐ)</t>
  </si>
  <si>
    <t>Tồn đầu kỳ</t>
  </si>
  <si>
    <t>Nhập</t>
  </si>
  <si>
    <t>Nhập khác</t>
  </si>
  <si>
    <t>Xuất</t>
  </si>
  <si>
    <t>Xuất khác</t>
  </si>
  <si>
    <t>Tồn cuối kỳ</t>
  </si>
  <si>
    <t>A.T Gentamycine</t>
  </si>
  <si>
    <t>VD-24132-16</t>
  </si>
  <si>
    <t>A.T Pharma</t>
  </si>
  <si>
    <t>VD-16381-12</t>
  </si>
  <si>
    <t>VD-19639-13</t>
  </si>
  <si>
    <t>VD-16647-12</t>
  </si>
  <si>
    <t>Thuốc mỡ bôi da, dùng ngoài</t>
  </si>
  <si>
    <t xml:space="preserve"> Activated Attapulgite of mormoiron</t>
  </si>
  <si>
    <t>Delpharm Tours (xuất xưởng: Biocodex; 1, Avenue Blaise Pascal, 60000 Beauvais)</t>
  </si>
  <si>
    <t>VD-2715-17</t>
  </si>
  <si>
    <t>dung dịch, tiêm</t>
  </si>
  <si>
    <t>Agi-Bromhexine</t>
  </si>
  <si>
    <t>VD-19310-13</t>
  </si>
  <si>
    <t xml:space="preserve">Agimexpharm </t>
  </si>
  <si>
    <t>4mg/5ml-chai 60ml</t>
  </si>
  <si>
    <t>Dung dịch, uống</t>
  </si>
  <si>
    <t>Thuốc bột, uống</t>
  </si>
  <si>
    <t>Air-X tab, Hương vị cam</t>
  </si>
  <si>
    <t>VN-14630-12</t>
  </si>
  <si>
    <t>VD-12777-10 kèm Qđịnh gia hạn số : 22385/QLD-ĐK</t>
  </si>
  <si>
    <t>5001 IU</t>
  </si>
  <si>
    <t>Thuốc tiêm đông khô 2ml</t>
  </si>
  <si>
    <t>VD-16685-12</t>
  </si>
  <si>
    <t>VD-18859-13</t>
  </si>
  <si>
    <t>C.ty CP Dp &amp; Sinh học Y tế</t>
  </si>
  <si>
    <t>Ambroxol 30mg</t>
  </si>
  <si>
    <t>VD-14827-11</t>
  </si>
  <si>
    <t>VN-18161-14</t>
  </si>
  <si>
    <t>B.Braun</t>
  </si>
  <si>
    <t>Dung dịng truyền TM</t>
  </si>
  <si>
    <t>Amlaxopin 10mg</t>
  </si>
  <si>
    <t>VN-15592-12</t>
  </si>
  <si>
    <t>Actavis HF</t>
  </si>
  <si>
    <t>CN Công ty CP Armephaco-XNDP 120/Việt Nam</t>
  </si>
  <si>
    <t>VD-15964-11 Gia hạn đến 30/12/2017. Số CV 26977/QLD-ĐK</t>
  </si>
  <si>
    <t>dung dịch, nhỏ mắt</t>
  </si>
  <si>
    <t>Ascorbic 500mg</t>
  </si>
  <si>
    <t>VD-16227-12</t>
  </si>
  <si>
    <t>Công ty CPDP Cửu Long</t>
  </si>
  <si>
    <t>VD-18458-13</t>
  </si>
  <si>
    <t>VN-13704-11</t>
  </si>
  <si>
    <t xml:space="preserve">Getz Pharma </t>
  </si>
  <si>
    <t>Công ty TNHH LD Stada-VN</t>
  </si>
  <si>
    <t xml:space="preserve">Atenolol </t>
  </si>
  <si>
    <t>VD-12619-10</t>
  </si>
  <si>
    <t>Cty TNHH LD Stada</t>
  </si>
  <si>
    <t>Atorvastatin 11</t>
  </si>
  <si>
    <t>VD-21312-15</t>
  </si>
  <si>
    <t>VD-21313-15</t>
  </si>
  <si>
    <t>Atropin</t>
  </si>
  <si>
    <t>VD-10573-10</t>
  </si>
  <si>
    <t>Hải Dương</t>
  </si>
  <si>
    <t>VD-11310-10 (Công văn gia hạn số 11993/QLD-ĐK ký ngày 10/08/2017)</t>
  </si>
  <si>
    <t>Cty TNHH Dược phẩm Vellpharm</t>
  </si>
  <si>
    <t>VD-20541-14</t>
  </si>
  <si>
    <t>Công ty TNHH LD Stada</t>
  </si>
  <si>
    <t xml:space="preserve">viên bao phim, uống </t>
  </si>
  <si>
    <t>VD-21766-14</t>
  </si>
  <si>
    <t>Hasan Dermapharm</t>
  </si>
  <si>
    <t>bột pha hổn dịch, uống</t>
  </si>
  <si>
    <t>VN-16125-13</t>
  </si>
  <si>
    <t>VD-18704-13</t>
  </si>
  <si>
    <t>Becoridone</t>
  </si>
  <si>
    <t>VD-19148-13</t>
  </si>
  <si>
    <t>Cty CPDP Bến Tre</t>
  </si>
  <si>
    <t>hổn dịch, uống</t>
  </si>
  <si>
    <t>VD-19319-13</t>
  </si>
  <si>
    <t>Viên nag cứng, uống</t>
  </si>
  <si>
    <t>VN-16958-13</t>
  </si>
  <si>
    <t>Boehringer Ingelheim do Brasil Quimica e Farmaceutica Ltda</t>
  </si>
  <si>
    <t>dung dịch khí dung</t>
  </si>
  <si>
    <t>Betahistine Bluepharma</t>
  </si>
  <si>
    <t>VN-19442-15</t>
  </si>
  <si>
    <t>Catalent Germany Schorf GmbH (FAB.Schorndorf)</t>
  </si>
  <si>
    <t>VN-17245-13</t>
  </si>
  <si>
    <t>VN-17244-13</t>
  </si>
  <si>
    <t>Viên nén phóng thích kéo dài, uống</t>
  </si>
  <si>
    <t>Sắt fumarat + acid folic + vitamin B13</t>
  </si>
  <si>
    <t>VD-10082-10</t>
  </si>
  <si>
    <t>163 mg + 0,75 mg + 7,5 mcg</t>
  </si>
  <si>
    <t>VD-17762-12</t>
  </si>
  <si>
    <t>Biloxcin Eye</t>
  </si>
  <si>
    <t>VD-15376-11</t>
  </si>
  <si>
    <t>15 mg</t>
  </si>
  <si>
    <t>thuốc nhỏ mắt</t>
  </si>
  <si>
    <t>Biodroxil 500mg</t>
  </si>
  <si>
    <t>VN-12642-11</t>
  </si>
  <si>
    <t>Sandoz GmbH</t>
  </si>
  <si>
    <t>viên nang cứng Gelatin, uống</t>
  </si>
  <si>
    <t>Pantoprazol + Domperidon</t>
  </si>
  <si>
    <t>Bipando</t>
  </si>
  <si>
    <t>VD-20512-14</t>
  </si>
  <si>
    <t>Công ty CP SPM</t>
  </si>
  <si>
    <t>40 mg,10mg</t>
  </si>
  <si>
    <t>Viên bao phim tan trong ruột, uống</t>
  </si>
  <si>
    <t>Isosorbid dinitrat</t>
  </si>
  <si>
    <t>Biresort 10mg</t>
  </si>
  <si>
    <t>VD - 13335 - 10</t>
  </si>
  <si>
    <t>11 mg</t>
  </si>
  <si>
    <t>Bisohexal</t>
  </si>
  <si>
    <t>VN-19189-15</t>
  </si>
  <si>
    <t>Bivicef 400</t>
  </si>
  <si>
    <t>VD-15779-11</t>
  </si>
  <si>
    <t>Diệp hạ châu, Bồ bồ Chi tử.</t>
  </si>
  <si>
    <t>Bổ GAN P/H</t>
  </si>
  <si>
    <t>V1093-H12-10</t>
  </si>
  <si>
    <t>Phúc Hưng- VN</t>
  </si>
  <si>
    <t>1,25g + 1,00g + 0,25g</t>
  </si>
  <si>
    <t>Cty TNHH DP Nhất Nhất</t>
  </si>
  <si>
    <t>S¾t fumarat + acid folic + vitamin B12</t>
  </si>
  <si>
    <t>VD-15977-11</t>
  </si>
  <si>
    <t>CADITOR 20</t>
  </si>
  <si>
    <t>VN-17285-13</t>
  </si>
  <si>
    <t>Cadila Pharma</t>
  </si>
  <si>
    <t>Calcium VPC</t>
  </si>
  <si>
    <t>VD-13782-11</t>
  </si>
  <si>
    <t>300mg + 2,94g</t>
  </si>
  <si>
    <t>Xuyên khung, Khương hoạt, bạch chỉ Hoàng cầm, Phòng phong, Sinh địa, Thương truật, Cam thảo, Tế tân.</t>
  </si>
  <si>
    <t>Cảm cúm bốn mùa</t>
  </si>
  <si>
    <t>VD - 21949 - 14</t>
  </si>
  <si>
    <t>Thephaco</t>
  </si>
  <si>
    <t>60mg + 60mg + 60mg + 40mg + 40mg + 20mg + 40mg + 40mg + 40mg</t>
  </si>
  <si>
    <t>VN-16136-13</t>
  </si>
  <si>
    <t>Bayer Schering pharma AG</t>
  </si>
  <si>
    <t>viên nén, đặt âm đạo</t>
  </si>
  <si>
    <t>VN-15730-12</t>
  </si>
  <si>
    <t>Clotrimazole 500 mg</t>
  </si>
  <si>
    <t>VD-22491-15</t>
  </si>
  <si>
    <t>Chi nhánh công ty cổ phần dược phẩm OPC tại Bình Dương- Nhà máy dược phẩm OPC</t>
  </si>
  <si>
    <t>80g, 25g, 20g.</t>
  </si>
  <si>
    <t xml:space="preserve">Cơ sở sản xuất thuốc đông y, thuốc từ dược liệu Dược Phát </t>
  </si>
  <si>
    <t>Uống; Cao lỏng</t>
  </si>
  <si>
    <t>Camphor, Tinh dầu bạc hà, Tinh dầu tràm, Tinh dầu hương nhu, Tinh dầu quế, Methol</t>
  </si>
  <si>
    <t>Cao sao vàng</t>
  </si>
  <si>
    <t>VD-13459-10</t>
  </si>
  <si>
    <t>2,123g, 1,313g, 0,527g, 0,372g, 0,133g, 1,063g.</t>
  </si>
  <si>
    <t>hộp</t>
  </si>
  <si>
    <t>Cao xoa</t>
  </si>
  <si>
    <t>VD-19332-13</t>
  </si>
  <si>
    <t xml:space="preserve"> Uống, Thuốc bột</t>
  </si>
  <si>
    <t xml:space="preserve">Facta Farmaceutici  SPA </t>
  </si>
  <si>
    <t>Công ty cổ phần dược phẩm Trung ương 2</t>
  </si>
  <si>
    <t>VD-11859-10</t>
  </si>
  <si>
    <t>Cefdinir 125</t>
  </si>
  <si>
    <t>VD-22123-15</t>
  </si>
  <si>
    <t>Cefimbrano 100</t>
  </si>
  <si>
    <t>VD-24308-16</t>
  </si>
  <si>
    <t>Cefix VPC 200</t>
  </si>
  <si>
    <t>VD-12237-10</t>
  </si>
  <si>
    <t>Cefixim100mg</t>
  </si>
  <si>
    <t>VD-11696-10</t>
  </si>
  <si>
    <t xml:space="preserve">Ceftriaxone panpharma  </t>
  </si>
  <si>
    <t>VN-14834-12</t>
  </si>
  <si>
    <t>Panpharma</t>
  </si>
  <si>
    <t xml:space="preserve">1g  </t>
  </si>
  <si>
    <t>CEFUROXIM Axetil 500</t>
  </si>
  <si>
    <t>VD-12962-10</t>
  </si>
  <si>
    <t>Cenpadol</t>
  </si>
  <si>
    <t>VD-19703-13</t>
  </si>
  <si>
    <t>Ceteco US</t>
  </si>
  <si>
    <t>VD-23825-15</t>
  </si>
  <si>
    <t>Cephalexin PMP 500</t>
  </si>
  <si>
    <t>VD-23827-15</t>
  </si>
  <si>
    <t>VD-14701-11</t>
  </si>
  <si>
    <t>Cepoxitil 100</t>
  </si>
  <si>
    <t>Cetazin</t>
  </si>
  <si>
    <t>VD-19542-13</t>
  </si>
  <si>
    <t>VD-21776-14</t>
  </si>
  <si>
    <t>VD-17197-12</t>
  </si>
  <si>
    <t>Ngưu tất, Nghệ Hoa hòe</t>
  </si>
  <si>
    <t>Cholestin</t>
  </si>
  <si>
    <t>VD-17830-12</t>
  </si>
  <si>
    <t>Danapha - Việt Nam</t>
  </si>
  <si>
    <t>500mg (tương ứng 200mg cao khô), 500mg (Tương ứng 5mg Curcumin), 100mg</t>
  </si>
  <si>
    <t>Cimedin</t>
  </si>
  <si>
    <t>VD-18920-13</t>
  </si>
  <si>
    <t>Coông ty CP DP 3/2</t>
  </si>
  <si>
    <t>VD-16686-12</t>
  </si>
  <si>
    <t xml:space="preserve">VD-12890-10 </t>
  </si>
  <si>
    <t>OPV</t>
  </si>
  <si>
    <t>dung dịch, tiêm truyền</t>
  </si>
  <si>
    <t>0,3% / 5ml</t>
  </si>
  <si>
    <t>Amoxicilin  + acid clavulanic</t>
  </si>
  <si>
    <t>VN-9840-10</t>
  </si>
  <si>
    <t>VD-17176-12</t>
  </si>
  <si>
    <t>Uống, Viên hoàn cứng</t>
  </si>
  <si>
    <t xml:space="preserve">Vitamin B1 </t>
  </si>
  <si>
    <t>VD-17959-12</t>
  </si>
  <si>
    <t>Công ty cổ phần dược phẩm Tipharco</t>
  </si>
  <si>
    <t>Colarosu 10</t>
  </si>
  <si>
    <t>VD-15427-11</t>
  </si>
  <si>
    <t>Colarosu 20</t>
  </si>
  <si>
    <t>VD-15428-11</t>
  </si>
  <si>
    <t>Nha đạm tử, Berberin, Tỏi, Cát căn, Mộc hương</t>
  </si>
  <si>
    <t>Colitis</t>
  </si>
  <si>
    <t>VD-19812-13</t>
  </si>
  <si>
    <t>30mg, 63mg, 220mg, 150mg, 370mg</t>
  </si>
  <si>
    <t>Viên bao phim, uống</t>
  </si>
  <si>
    <t>Nifedipin retard</t>
  </si>
  <si>
    <t>Cordaflex</t>
  </si>
  <si>
    <t>VN-14666-12</t>
  </si>
  <si>
    <t>Viên nén bao phim giải phòng chậm, uống</t>
  </si>
  <si>
    <t>Covenbu</t>
  </si>
  <si>
    <t>VD-17096-12</t>
  </si>
  <si>
    <t>Perindopril + Indapamid</t>
  </si>
  <si>
    <t>Coversyl plus 5mg/1.25 mg Arginine</t>
  </si>
  <si>
    <t>VN-18353-14</t>
  </si>
  <si>
    <t>Les Laboratories Servier Industrie</t>
  </si>
  <si>
    <t>5 mg; 1.25mg</t>
  </si>
  <si>
    <t>VN-13859-11</t>
  </si>
  <si>
    <t>VD-17177-12</t>
  </si>
  <si>
    <t>Dacolfort</t>
  </si>
  <si>
    <t>VD-16782-12</t>
  </si>
  <si>
    <t>Darinol 300</t>
  </si>
  <si>
    <t>VD-16186-12</t>
  </si>
  <si>
    <t xml:space="preserve">Trimebutin maleat </t>
  </si>
  <si>
    <t>VD-14918-11</t>
  </si>
  <si>
    <t>công ty CP DP 3/2</t>
  </si>
  <si>
    <t xml:space="preserve">Diltiazem chlorhydrate </t>
  </si>
  <si>
    <t>VN-10083-10</t>
  </si>
  <si>
    <t xml:space="preserve">Remedica Ltd </t>
  </si>
  <si>
    <t>Devastin 10</t>
  </si>
  <si>
    <t>VD-19846-13</t>
  </si>
  <si>
    <t>VD-19847-13</t>
  </si>
  <si>
    <t>VD-11840-10 (KÌm CV 20571/QLD-§K, 05/11/2015)</t>
  </si>
  <si>
    <t xml:space="preserve">Dextrose 5% </t>
  </si>
  <si>
    <t>VN-14667-12</t>
  </si>
  <si>
    <t xml:space="preserve">Diazepam </t>
  </si>
  <si>
    <t>VD-10464-10</t>
  </si>
  <si>
    <t>Công ty cổ phần dược phẩm trung ương Vidipha</t>
  </si>
  <si>
    <t>Dung dịch, tiêm</t>
  </si>
  <si>
    <t>Diazepam 5mg</t>
  </si>
  <si>
    <t>VD-12410-10; VD-24311-16</t>
  </si>
  <si>
    <t>VD-15687-11</t>
  </si>
  <si>
    <t>DICLOBERL 50</t>
  </si>
  <si>
    <t>VN-12182-11</t>
  </si>
  <si>
    <t xml:space="preserve">Berlin Chemie (Menarini Group) </t>
  </si>
  <si>
    <t>Viên nén không tan trong dạ dày</t>
  </si>
  <si>
    <t>Diclofenac 50</t>
  </si>
  <si>
    <t>VD-20908-14</t>
  </si>
  <si>
    <t xml:space="preserve">Vacopharm </t>
  </si>
  <si>
    <t>Viên bao tan trong ruột, uống</t>
  </si>
  <si>
    <t>VD-10924-10</t>
  </si>
  <si>
    <t>VD-16832-12</t>
  </si>
  <si>
    <t>Công ty Cổ Phần Dược Phẩm 3/2</t>
  </si>
  <si>
    <t>Vd-24899-16</t>
  </si>
  <si>
    <t>VD-18032-12</t>
  </si>
  <si>
    <t>VD-18426-13</t>
  </si>
  <si>
    <t>Vacppharm</t>
  </si>
  <si>
    <t>DISICAR 40</t>
  </si>
  <si>
    <t>VD-23505-15</t>
  </si>
  <si>
    <t>VD-14487-11</t>
  </si>
  <si>
    <t>Diurefar 40</t>
  </si>
  <si>
    <t>VD-10160-10</t>
  </si>
  <si>
    <t>Dixirein</t>
  </si>
  <si>
    <t>VD-22874-15</t>
  </si>
  <si>
    <t>Cty CP DP Hà Tây</t>
  </si>
  <si>
    <t>Docnotine</t>
  </si>
  <si>
    <t>VD-23449-15</t>
  </si>
  <si>
    <t>Đồng Nai</t>
  </si>
  <si>
    <t>VD-15552-11</t>
  </si>
  <si>
    <t>Dogrel SaVi</t>
  </si>
  <si>
    <t>VD-17939-12</t>
  </si>
  <si>
    <t>Savipharm</t>
  </si>
  <si>
    <t>VN-11274-10</t>
  </si>
  <si>
    <t xml:space="preserve">Warsaw </t>
  </si>
  <si>
    <t xml:space="preserve">Bột malva + Camphoronobromid +Xanh methylen </t>
  </si>
  <si>
    <t>VD-5226-08</t>
  </si>
  <si>
    <t>250mg + 20mg + 25mg</t>
  </si>
  <si>
    <t>VN-15124-12</t>
  </si>
  <si>
    <t>Dorogyne F</t>
  </si>
  <si>
    <t>VD-15554-11</t>
  </si>
  <si>
    <t>1.5MUI + 250mg</t>
  </si>
  <si>
    <t>viên bao phim, uống</t>
  </si>
  <si>
    <t>VD-16128-11</t>
  </si>
  <si>
    <t>gói bột, uống</t>
  </si>
  <si>
    <t>VD-16864-12</t>
  </si>
  <si>
    <t xml:space="preserve">Doxycycline </t>
  </si>
  <si>
    <t>Pharimexco</t>
  </si>
  <si>
    <t>VD-24147-16</t>
  </si>
  <si>
    <t>DROXICEF 500 mg</t>
  </si>
  <si>
    <t>VD-8960-09</t>
  </si>
  <si>
    <t>VN-16607-13</t>
  </si>
  <si>
    <t>Claris Lifesciences Limited</t>
  </si>
  <si>
    <t>VD-16788-12; Gia hạn đến 26/07/18. Số CV 10789/QLD-ĐK</t>
  </si>
  <si>
    <t>Ednyt 10mg</t>
  </si>
  <si>
    <t>VN-8703-09; VN-19156-15</t>
  </si>
  <si>
    <t>Gedeon Richter Plc</t>
  </si>
  <si>
    <t>VN-19070-15</t>
  </si>
  <si>
    <t>Bristol-Myers Squibb</t>
  </si>
  <si>
    <t>Gói bột pha, uống</t>
  </si>
  <si>
    <t>VN-12418-11</t>
  </si>
  <si>
    <t>viên đạn, đặt hậu môn</t>
  </si>
  <si>
    <t>VN-14066-11</t>
  </si>
  <si>
    <t>VN - 16829-13</t>
  </si>
  <si>
    <t>Medocchemie</t>
  </si>
  <si>
    <t>Elcocef</t>
  </si>
  <si>
    <t>VD-17098-12</t>
  </si>
  <si>
    <t xml:space="preserve">Enalapril </t>
  </si>
  <si>
    <t>Enalapril 10 mg</t>
  </si>
  <si>
    <t>VD-15254-11</t>
  </si>
  <si>
    <t>Công ty TNHH MTV Dược TW3</t>
  </si>
  <si>
    <t>Enpovid AD</t>
  </si>
  <si>
    <t>VD-21729-14</t>
  </si>
  <si>
    <t>SPM</t>
  </si>
  <si>
    <t>5.000 U.I + 400UI</t>
  </si>
  <si>
    <t>Enterobella</t>
  </si>
  <si>
    <t>QLSP-0795-14</t>
  </si>
  <si>
    <t>thuốc bột pha, Uống</t>
  </si>
  <si>
    <t>Alpha Amylase+ Papain+ Simethicon</t>
  </si>
  <si>
    <t>100mg+ 100mg+ 30mg</t>
  </si>
  <si>
    <t xml:space="preserve">Ephedrine </t>
  </si>
  <si>
    <t>VN-5464-10</t>
  </si>
  <si>
    <t>30mg/1ml</t>
  </si>
  <si>
    <t>VD-15559-11</t>
  </si>
  <si>
    <t>Esolona</t>
  </si>
  <si>
    <t>VD-18558-13</t>
  </si>
  <si>
    <t>Dược TW3</t>
  </si>
  <si>
    <t>Esomeprazol Stada 20 mg</t>
  </si>
  <si>
    <t>VD-22345-15</t>
  </si>
  <si>
    <t>VD-20175-13</t>
  </si>
  <si>
    <t>Cty CP DP Am Vi</t>
  </si>
  <si>
    <t>Bột pha hổn dịch, uống</t>
  </si>
  <si>
    <t>VD-20176-13</t>
  </si>
  <si>
    <t>VN-16210-13</t>
  </si>
  <si>
    <t>Navana</t>
  </si>
  <si>
    <t>viên nén, nhai</t>
  </si>
  <si>
    <t>Attapulgit mormoivon hoạt hóa + hỗn hợp magnesi carbonat-nhôm hydroxyd</t>
  </si>
  <si>
    <t>Europulgite</t>
  </si>
  <si>
    <t>VD-14848-11</t>
  </si>
  <si>
    <t>TW3 Đà Nẵng</t>
  </si>
  <si>
    <t>Bột pha hỗn dịch , uống</t>
  </si>
  <si>
    <t>Euvioxin</t>
  </si>
  <si>
    <t>VD-17438-12</t>
  </si>
  <si>
    <t>Hataphar</t>
  </si>
  <si>
    <t>Famotidin 40mg</t>
  </si>
  <si>
    <t>Fascapin-20</t>
  </si>
  <si>
    <t>VD-18629-13</t>
  </si>
  <si>
    <t>TW2</t>
  </si>
  <si>
    <t xml:space="preserve">Fexofenadine </t>
  </si>
  <si>
    <t xml:space="preserve">Fefasdin </t>
  </si>
  <si>
    <t>VD-7534-09</t>
  </si>
  <si>
    <t>VD-13441-10</t>
  </si>
  <si>
    <t>VD-13442-10</t>
  </si>
  <si>
    <t>VD-13638-10</t>
  </si>
  <si>
    <t xml:space="preserve">Ketoprofen </t>
  </si>
  <si>
    <t xml:space="preserve">Flexen </t>
  </si>
  <si>
    <t>VN-18011-14</t>
  </si>
  <si>
    <t>Laboratorio</t>
  </si>
  <si>
    <t xml:space="preserve"> 2,5%  50g</t>
  </si>
  <si>
    <t>Gel, Bôi da</t>
  </si>
  <si>
    <t>Fluconazol Stada 150 mg</t>
  </si>
  <si>
    <t>VD-18110-12</t>
  </si>
  <si>
    <t xml:space="preserve">Magnesi hydroxid + nhôm hydroxid gel tương đương nhôm oxid  + simethicon </t>
  </si>
  <si>
    <t>Fumagate - Fort</t>
  </si>
  <si>
    <t>VD - 11121 - 10</t>
  </si>
  <si>
    <t>Công ty CPDP Phương Đông</t>
  </si>
  <si>
    <t>hỗn dịch dạng Gel, uống</t>
  </si>
  <si>
    <t>VD-13357-10</t>
  </si>
  <si>
    <t>C«ng ty CPDP Cửu Long</t>
  </si>
  <si>
    <t>thuốt bột, uống</t>
  </si>
  <si>
    <t>Furosemide</t>
  </si>
  <si>
    <t>VD-15874-11</t>
  </si>
  <si>
    <t xml:space="preserve">Furosemid </t>
  </si>
  <si>
    <t>VN-16437-13</t>
  </si>
  <si>
    <t>S.A.L.F S.p.A - Ý</t>
  </si>
  <si>
    <t>Furosemidum Polpharma</t>
  </si>
  <si>
    <t>VN-18406-14</t>
  </si>
  <si>
    <t>DD tiêm, tiêm bắp, tiêm tĩnh mạch</t>
  </si>
  <si>
    <t>VD-22908-15</t>
  </si>
  <si>
    <t>VN-13504-11</t>
  </si>
  <si>
    <t>dung dịch tiêm, tiêm truyền</t>
  </si>
  <si>
    <t>VD-20944-14</t>
  </si>
  <si>
    <t>Fresenius Kabi Bidiphar</t>
  </si>
  <si>
    <t xml:space="preserve">Gentamycin </t>
  </si>
  <si>
    <t>dung dịch tiêm</t>
  </si>
  <si>
    <t>VD-11066-10</t>
  </si>
  <si>
    <t>Glisan 30 MR</t>
  </si>
  <si>
    <t>VD-23328-15</t>
  </si>
  <si>
    <t>Viên nén tác dụng kéo dài, uống</t>
  </si>
  <si>
    <t>VD-16375-12</t>
  </si>
  <si>
    <t>Cty CPXNK Y tê Domesco</t>
  </si>
  <si>
    <t>VD-14844-11</t>
  </si>
  <si>
    <t>VD-12492-10</t>
  </si>
  <si>
    <t>VD-17664-12</t>
  </si>
  <si>
    <t>VD-18042-12</t>
  </si>
  <si>
    <t>dung dịch, tiên</t>
  </si>
  <si>
    <t>VD-22995-15</t>
  </si>
  <si>
    <t>Quapharco</t>
  </si>
  <si>
    <t xml:space="preserve">Cty TNHH Dược phẩm Vellpharm </t>
  </si>
  <si>
    <t>VN-18660-15</t>
  </si>
  <si>
    <t>Valpharma International Spa</t>
  </si>
  <si>
    <t>viên nén phóng thích có kiểm soát, uống</t>
  </si>
  <si>
    <t xml:space="preserve"> Hỗn dịch uống, Uống</t>
  </si>
  <si>
    <t>VD-16483-12</t>
  </si>
  <si>
    <t>Ngưu tất, Nghệ, Hoa hoè, (Bạch truật).</t>
  </si>
  <si>
    <t>VD-16430-12</t>
  </si>
  <si>
    <t>viên bap phim tan trong ruột, uống</t>
  </si>
  <si>
    <t>Hapacol 150 Flu</t>
  </si>
  <si>
    <t>VD-20557-14</t>
  </si>
  <si>
    <t>150mg +1mg</t>
  </si>
  <si>
    <t>VD-18528-13</t>
  </si>
  <si>
    <t>Center for Genetic Engineering and Biotechnology (CIGB)</t>
  </si>
  <si>
    <t>VD-12182-10 (số tiếp nhận đăng ký lại Cục QLD: TN-276)</t>
  </si>
  <si>
    <t>Nadyphar</t>
  </si>
  <si>
    <t>dung dịch, uống</t>
  </si>
  <si>
    <t>Nhà máy dược phẩm OPC</t>
  </si>
  <si>
    <t>Hoàn bổ thận âm</t>
  </si>
  <si>
    <t>VNB-4412-05 Công văn gia hạn SĐK 1955/QLD-ĐK ngày</t>
  </si>
  <si>
    <t xml:space="preserve">Công ty cổ phần dược phẩm Hà Nam </t>
  </si>
  <si>
    <t>0,75g, 0,45g, 035g, 0,3g, 0,295g, 0,25g</t>
  </si>
  <si>
    <t>Hoàn cứng</t>
  </si>
  <si>
    <t>VD-11070-10</t>
  </si>
  <si>
    <t>Magnesi hydroxid +Nhôm hydroxid</t>
  </si>
  <si>
    <t>VD-13653-10 (Công văn gia hạn số 20539/QLD-ĐK ngày 19/10/2016)</t>
  </si>
  <si>
    <t xml:space="preserve">800,4mg +3030,3mg  </t>
  </si>
  <si>
    <t>Đảng sâm, Bạch linh, Bạch truật, Cam thảo, Trần bì Bán hạ chế Sa nhân, Mộc hương, Gừng tươi</t>
  </si>
  <si>
    <t>Hương sa lục quân</t>
  </si>
  <si>
    <t>VD-21492-14</t>
  </si>
  <si>
    <t>250mg, 432mg, 432mg, 151mg, 173mg, 216mg, 173mg, 151mg, 22mg</t>
  </si>
  <si>
    <t>H-Vacolaren</t>
  </si>
  <si>
    <t>VD-20909-14</t>
  </si>
  <si>
    <t>VN-14799-12</t>
  </si>
  <si>
    <t>Idarac (SX theo nhing quyền của Aventis Pharma S.A- France)</t>
  </si>
  <si>
    <t>VD-22313-15</t>
  </si>
  <si>
    <t xml:space="preserve">Roussel Sanofi - Aventis </t>
  </si>
  <si>
    <t>VD-18549-13</t>
  </si>
  <si>
    <t>Cty CP DP &amp; sinh học y tế</t>
  </si>
  <si>
    <t>VD-18550-13</t>
  </si>
  <si>
    <t>VN-18262-14</t>
  </si>
  <si>
    <t>Incepta  Pharmaceuticals Limited</t>
  </si>
  <si>
    <t>Irbesartan 300</t>
  </si>
  <si>
    <t>VD-22786-15</t>
  </si>
  <si>
    <t>Cty Cp Dp 3/2</t>
  </si>
  <si>
    <t>VN-15461-12</t>
  </si>
  <si>
    <t>Rottendorf Pharma GmbH</t>
  </si>
  <si>
    <t xml:space="preserve"> Viên nén phóng thích kéo dài, Uống</t>
  </si>
  <si>
    <t>VD-16386-12</t>
  </si>
  <si>
    <t>Actiso, Rau đắng đất, Bìm bìm</t>
  </si>
  <si>
    <t>Kahagan</t>
  </si>
  <si>
    <t>V77-H12-13</t>
  </si>
  <si>
    <t>Cty CPTM Dược VTYT Khải Hà</t>
  </si>
  <si>
    <t>0.1g, 0.075g, 0.075g</t>
  </si>
  <si>
    <t>VN-15428-12</t>
  </si>
  <si>
    <t>viên nang giải phóng chậm, uống</t>
  </si>
  <si>
    <t>VD-17470-12</t>
  </si>
  <si>
    <t>Kim tiền thảo</t>
  </si>
  <si>
    <t>2400mg, 1000mg</t>
  </si>
  <si>
    <t xml:space="preserve">Natri Montelukast </t>
  </si>
  <si>
    <t>KIPEL 10</t>
  </si>
  <si>
    <t>MSN Laboratories Ltd</t>
  </si>
  <si>
    <t>VD-21161-14</t>
  </si>
  <si>
    <t>Cty TNHH SX DP Medlac Pharma Italy</t>
  </si>
  <si>
    <t>Bột pha tiêm , tiêm</t>
  </si>
  <si>
    <t>Kupmebamol</t>
  </si>
  <si>
    <t>VD-24419-16</t>
  </si>
  <si>
    <t xml:space="preserve">Cty CP Korea United Pharma. Int I </t>
  </si>
  <si>
    <t xml:space="preserve">Lactat Ringer </t>
  </si>
  <si>
    <t>VD-12016-10</t>
  </si>
  <si>
    <t>Công ty cổ phần Otsuka OPV</t>
  </si>
  <si>
    <t>Dung dịch, tiêm truyền</t>
  </si>
  <si>
    <t>Lapoce</t>
  </si>
  <si>
    <t>VN-11863-11</t>
  </si>
  <si>
    <t>Efroze</t>
  </si>
  <si>
    <t>dung dịch tiêm, tiêm</t>
  </si>
  <si>
    <t>VD-16391-12</t>
  </si>
  <si>
    <t>VN-15187-12</t>
  </si>
  <si>
    <t>Delorbis Pharmaceutical Ltd</t>
  </si>
  <si>
    <t xml:space="preserve">Losartan 
</t>
  </si>
  <si>
    <t>VN-17418-13</t>
  </si>
  <si>
    <t>Denk Pharma GmbH &amp; Co., Kg</t>
  </si>
  <si>
    <t>Cty LD Meyer - BPC</t>
  </si>
  <si>
    <t>Losium 50</t>
  </si>
  <si>
    <t>VN-13089-11</t>
  </si>
  <si>
    <t>Lovenox 40mg Inj B/ 2 syringes x0,4ml</t>
  </si>
  <si>
    <t>VN-10550-10</t>
  </si>
  <si>
    <t>Dung dịch tiêm, tiêm (SC &amp; IV)</t>
  </si>
  <si>
    <t>Cao khô hỗn hợp dược liệu (240mg, 120mg, 120mg, 90mg, 90mg, 90mg) 120mg</t>
  </si>
  <si>
    <t>Thục địa, Sơn thù Mẫu đơn bìTrạch tả Hòai sơn,  Phục linh</t>
  </si>
  <si>
    <t>Lục vị TW3</t>
  </si>
  <si>
    <t>V1005-H12-10</t>
  </si>
  <si>
    <t>Công ty CPDP Trung Ương 3</t>
  </si>
  <si>
    <t>0.32g; 0.16g; 0.12g; 0.12g; 0.16g; 0.12g</t>
  </si>
  <si>
    <t>CSSX: Valpharma Company.CSĐG: Elpen Pharmaceuticals Co. Inc</t>
  </si>
  <si>
    <t>VN-15359-12</t>
  </si>
  <si>
    <t>Magnesium Sulphate Proamp 0,15g/ml</t>
  </si>
  <si>
    <t>20083/QLD-KD</t>
  </si>
  <si>
    <t>Dung dịch tiêm, Tiêm truyền</t>
  </si>
  <si>
    <t>VD-23168-15</t>
  </si>
  <si>
    <t>Kabi Bidiphar</t>
  </si>
  <si>
    <t>Masak</t>
  </si>
  <si>
    <t>VD-16424-12</t>
  </si>
  <si>
    <t>Cty TNHH DP Đạt Vi Phú</t>
  </si>
  <si>
    <t>viên nang mềm, uống</t>
  </si>
  <si>
    <t>Mát gan giải độc</t>
  </si>
  <si>
    <t>Cơ sở sản xuất thuốc đông y, thuốc từ dược liệu Dược Phát</t>
  </si>
  <si>
    <t>8,4g; 5,6g ; 8,4g; 8,4g; 7g; 5,6g; 5,6g; 5,6g; 4,2g; 2,8g ; 2,8g</t>
  </si>
  <si>
    <t>Maxdazol</t>
  </si>
  <si>
    <t>VD-10971-10</t>
  </si>
  <si>
    <t>Cty CPDP 3/2</t>
  </si>
  <si>
    <t>0.75MUI + 125mg</t>
  </si>
  <si>
    <t>Viên nén bao phimm, uống</t>
  </si>
  <si>
    <t>Mebaloget Tablet 500mcg</t>
  </si>
  <si>
    <t>VN-13706-11</t>
  </si>
  <si>
    <t>Mebendazole 500mg</t>
  </si>
  <si>
    <t>VD-15522-11</t>
  </si>
  <si>
    <t>Meconer 500 mcg</t>
  </si>
  <si>
    <t>VD-15993-11</t>
  </si>
  <si>
    <t>0,5 mg</t>
  </si>
  <si>
    <t>Epinephrin Bitartrat….0,0324mg (tương đương với 0,018mg Epinephrine), Lidocain hydroclorid…..36mg</t>
  </si>
  <si>
    <t>Medicain 1.8ml</t>
  </si>
  <si>
    <t>6748/QLD-KD</t>
  </si>
  <si>
    <t>Kwang Myung Pharma Co., Ltd</t>
  </si>
  <si>
    <t>2% x 1,8ml</t>
  </si>
  <si>
    <t>Medoxicam 15mg</t>
  </si>
  <si>
    <t>VN-17741-14</t>
  </si>
  <si>
    <t>Medochemie Ltd</t>
  </si>
  <si>
    <t>Medoxicam 7,5mg</t>
  </si>
  <si>
    <t>VN-17742-14</t>
  </si>
  <si>
    <t>7,5 mg</t>
  </si>
  <si>
    <t>VN-10399-10</t>
  </si>
  <si>
    <t xml:space="preserve">Methyl prednisolon </t>
  </si>
  <si>
    <t>Medsolu 16mg</t>
  </si>
  <si>
    <t>VD-21348-14</t>
  </si>
  <si>
    <t>Meloxicam 15</t>
  </si>
  <si>
    <t>VD-17073-12</t>
  </si>
  <si>
    <t>Neomycin + polymyxin B  + dexamethason</t>
  </si>
  <si>
    <t>Merika Probiotics</t>
  </si>
  <si>
    <t>QLSP-0808-14</t>
  </si>
  <si>
    <t>10 (8) +  5* 10(8)</t>
  </si>
  <si>
    <t>VD-15509-11</t>
  </si>
  <si>
    <t>VD-22408-15</t>
  </si>
  <si>
    <t xml:space="preserve">Metronidazol </t>
  </si>
  <si>
    <t>VD-20924-14</t>
  </si>
  <si>
    <t>Công ty Cổ phần Dược -VTYT Nghệ An</t>
  </si>
  <si>
    <t>Viên nén, uống</t>
  </si>
  <si>
    <t>Meyerdipin 5mg</t>
  </si>
  <si>
    <t>VD-20350-13</t>
  </si>
  <si>
    <t xml:space="preserve">Công ty LD Meyer- BPC </t>
  </si>
  <si>
    <t>VD-20443-14</t>
  </si>
  <si>
    <t>VN-18820-15</t>
  </si>
  <si>
    <t>Boehringer Ingelheim Pharma GmbH &amp; Co. KG</t>
  </si>
  <si>
    <t>Midaclo 500</t>
  </si>
  <si>
    <t>VD-19900-13</t>
  </si>
  <si>
    <t>CT CPDP Minh Dân</t>
  </si>
  <si>
    <t>VD-22488-15</t>
  </si>
  <si>
    <t>Bột pha hỗn dịch, uống</t>
  </si>
  <si>
    <t>VN-13844-11</t>
  </si>
  <si>
    <t>VD-11630-10</t>
  </si>
  <si>
    <t xml:space="preserve">Viên nén dài bao phim, uống </t>
  </si>
  <si>
    <t>Midantin 500/62.5</t>
  </si>
  <si>
    <t>Mirgy capsules 100mg</t>
  </si>
  <si>
    <t>VN-17440-13</t>
  </si>
  <si>
    <t>Getz Pharma</t>
  </si>
  <si>
    <t>Insulin trộn (M)  30/70</t>
  </si>
  <si>
    <t>Mixtard 30</t>
  </si>
  <si>
    <t>QLSP-0599-12</t>
  </si>
  <si>
    <t>100IU x 10ml</t>
  </si>
  <si>
    <t>Hỗn dịch tiêm, tiêm</t>
  </si>
  <si>
    <t>Dung dịch tiêm,Tiêm</t>
  </si>
  <si>
    <t>Montelukast-Teva</t>
  </si>
  <si>
    <t>VN-12943-11</t>
  </si>
  <si>
    <t>Teva Operations Poland Sp. Z o.o</t>
  </si>
  <si>
    <t>Morphin</t>
  </si>
  <si>
    <t>VD-10474-10; VD-24315-16</t>
  </si>
  <si>
    <t>VN-13739-11</t>
  </si>
  <si>
    <t>OLIC (Thailand) Ltd.</t>
  </si>
  <si>
    <t>Hỗn dịch uống</t>
  </si>
  <si>
    <t>VN-17099-13</t>
  </si>
  <si>
    <t>Medochemie</t>
  </si>
  <si>
    <t>Myeromax 500</t>
  </si>
  <si>
    <t>VD-18834-13</t>
  </si>
  <si>
    <t xml:space="preserve">C«ng ty LD Meyer- BPC </t>
  </si>
  <si>
    <t>Irbesartan + Hydroclorothiazid</t>
  </si>
  <si>
    <t>Laboratorios Lesvi S.L</t>
  </si>
  <si>
    <t>Tramadol 
Paracetamol</t>
  </si>
  <si>
    <t>VD-23187-15</t>
  </si>
  <si>
    <t>VD-22949-15</t>
  </si>
  <si>
    <t>0,9% / 10ml</t>
  </si>
  <si>
    <t>Dung dịch nhỏ mắt mũi</t>
  </si>
  <si>
    <t>VD-15386-11</t>
  </si>
  <si>
    <t>Necaral 4</t>
  </si>
  <si>
    <t>VN-16332-13</t>
  </si>
  <si>
    <t>Micro Labs  - India</t>
  </si>
  <si>
    <t>Neomycin Sulfat</t>
  </si>
  <si>
    <t>Neocin</t>
  </si>
  <si>
    <t>VD-12812-10</t>
  </si>
  <si>
    <t>dung dịch,  nhỏ mắt</t>
  </si>
  <si>
    <t>Neotazin 20mg</t>
  </si>
  <si>
    <t>VD-18246-13</t>
  </si>
  <si>
    <t>Công ty cổ phần dược phẩm Ampharco U.S.A</t>
  </si>
  <si>
    <t xml:space="preserve">Codein camphosulphonat + sulfoguaiacol + cao mềm Grindelia </t>
  </si>
  <si>
    <t>Neotercod</t>
  </si>
  <si>
    <t>VD-20267-13</t>
  </si>
  <si>
    <t>Viên bao đường, Uống</t>
  </si>
  <si>
    <t>Alverin citrat+Simethicon</t>
  </si>
  <si>
    <t>60mg+300mg</t>
  </si>
  <si>
    <t>VN-15719-12</t>
  </si>
  <si>
    <t xml:space="preserve">AstraZeneca AB, </t>
  </si>
  <si>
    <t xml:space="preserve"> Bột pha dung dịch tiêm/truyền tĩn</t>
  </si>
  <si>
    <t>VD-24568-16</t>
  </si>
  <si>
    <t>C«ng ty TNHH LD Stada</t>
  </si>
  <si>
    <t>VN-14162-11</t>
  </si>
  <si>
    <t xml:space="preserve">Egis Pharmaceuticals Private Limited company </t>
  </si>
  <si>
    <t>Viên nén giài phóng chậm, uống</t>
  </si>
  <si>
    <t>VD-18696-13</t>
  </si>
  <si>
    <t>Công ty Cổ phần Dược phẩm Am Vi</t>
  </si>
  <si>
    <t>Metronidazol  inj</t>
  </si>
  <si>
    <t>Novamet</t>
  </si>
  <si>
    <t>VN-10988-10</t>
  </si>
  <si>
    <t>500mg. Chai 100ml</t>
  </si>
  <si>
    <t>VD-24139-16</t>
  </si>
  <si>
    <t>6 ml</t>
  </si>
  <si>
    <t>Dung dịch pha tiêm</t>
  </si>
  <si>
    <t>Nystatin 100.000IU</t>
  </si>
  <si>
    <t>VD-16497-12</t>
  </si>
  <si>
    <t>Công ty cổ phần dược phẩm 3 tháng 2</t>
  </si>
  <si>
    <t>Viên nén đặt âm đạo</t>
  </si>
  <si>
    <t>Nystatin 500.000IU</t>
  </si>
  <si>
    <t>VD-18217-13</t>
  </si>
  <si>
    <t>VD-15909-11</t>
  </si>
  <si>
    <t>Công ty CPDP Khánh Hòa</t>
  </si>
  <si>
    <t>Ofmantine-Domesco 625mg</t>
  </si>
  <si>
    <t>VD-22308-15</t>
  </si>
  <si>
    <t>VN-16151-13</t>
  </si>
  <si>
    <t>Normon</t>
  </si>
  <si>
    <t>VN-12327-11</t>
  </si>
  <si>
    <t xml:space="preserve">
Gracure Pharmaceuticals</t>
  </si>
  <si>
    <t>Opecipro  500</t>
  </si>
  <si>
    <t>VD-21676-14</t>
  </si>
  <si>
    <t>520mg + 300mg + 580mg  + 2,7g + 35mg</t>
  </si>
  <si>
    <t>VD - 13340 - 10</t>
  </si>
  <si>
    <t>Thuốc bột , uống</t>
  </si>
  <si>
    <t>VN-5366-10</t>
  </si>
  <si>
    <t>Viên sủi, uống</t>
  </si>
  <si>
    <t>Parafizz 650</t>
  </si>
  <si>
    <t>VD-22825-15</t>
  </si>
  <si>
    <t>Công ty CPDP CửuLong</t>
  </si>
  <si>
    <t>Viên Sủi</t>
  </si>
  <si>
    <t>Paratriam 200mg Powder</t>
  </si>
  <si>
    <t>VN-19418-15</t>
  </si>
  <si>
    <t>Lindopharm GmbH</t>
  </si>
  <si>
    <t>Bột pha, uống</t>
  </si>
  <si>
    <t>Viên nén sủi bọt, uống</t>
  </si>
  <si>
    <t>Pectolvan IVY</t>
  </si>
  <si>
    <t>2453/QLD-KD</t>
  </si>
  <si>
    <t>35mg/5ml</t>
  </si>
  <si>
    <t>Pentasec 40mg</t>
  </si>
  <si>
    <t>VN-19350-15</t>
  </si>
  <si>
    <t>VN-19071-15</t>
  </si>
  <si>
    <t>Bristol-Myers Squibb S.r.</t>
  </si>
  <si>
    <t>Dung dịch tiêm truyền tĩnh mạch</t>
  </si>
  <si>
    <t>Clopidogrel  +Acetylsalicylic Acid</t>
  </si>
  <si>
    <t>1,8g; 0,5g; 0,05g; 0,05g; 1,5g</t>
  </si>
  <si>
    <t>VD-16393-12</t>
  </si>
  <si>
    <t>Pms-Bactamox 750mg</t>
  </si>
  <si>
    <t>VD-22900-15</t>
  </si>
  <si>
    <t>Cty CP DP Imexpharm</t>
  </si>
  <si>
    <t>Povidone Iodine 10%</t>
  </si>
  <si>
    <t>VD-15361-11</t>
  </si>
  <si>
    <t>Cộng ty CPDP 3 tháng 2</t>
  </si>
  <si>
    <t>VD-24366-16</t>
  </si>
  <si>
    <t>VD-12006-10</t>
  </si>
  <si>
    <t>Mibe Arzneimittel GmbH, Đức nhượng quyền Hasan Dermapharm</t>
  </si>
  <si>
    <t>VN-18878-15</t>
  </si>
  <si>
    <t>Sanofi Winthrop</t>
  </si>
  <si>
    <t xml:space="preserve"> Propofol-Lipuro 1% (10mg/ ml)20ml 5's</t>
  </si>
  <si>
    <t xml:space="preserve">Propofol </t>
  </si>
  <si>
    <t>VN-5720-10</t>
  </si>
  <si>
    <t>1 ml nhũ tương chứa 10mg Propofol, tá dược: dầu đậu tương, triglycerid chuỗi trung bình, glycerol, lecithin trứng, natri oleat, nước cất pha tiêm.</t>
  </si>
  <si>
    <t>Nhũ tương để tiêm hoặc truyền, Tiêm truyền</t>
  </si>
  <si>
    <t>VD-15971-11</t>
  </si>
  <si>
    <t>Dùng ngoài</t>
  </si>
  <si>
    <t>VD-22614-15</t>
  </si>
  <si>
    <t>Pyfaclor 500 mg</t>
  </si>
  <si>
    <t>VD-22997-15</t>
  </si>
  <si>
    <t>VD-14441-11</t>
  </si>
  <si>
    <t>Cty CP DP TW Vididpha</t>
  </si>
  <si>
    <t xml:space="preserve">Flunarizine </t>
  </si>
  <si>
    <t xml:space="preserve">Reinal </t>
  </si>
  <si>
    <t>VD-14037-11</t>
  </si>
  <si>
    <t xml:space="preserve">Đạt Vi Phú </t>
  </si>
  <si>
    <t>VN-5161-10</t>
  </si>
  <si>
    <t>VN-5163-10</t>
  </si>
  <si>
    <t>Rhinocort Aqua</t>
  </si>
  <si>
    <t>VN-19560-16</t>
  </si>
  <si>
    <t>64mcg/ liều</t>
  </si>
  <si>
    <t>Hỗn dịch xịt mũi, xịt mũi</t>
  </si>
  <si>
    <t>VD-22591-15</t>
  </si>
  <si>
    <t xml:space="preserve">Cty CP Fresenius Kabi Bidiphar </t>
  </si>
  <si>
    <t>3g, 0,2g;  0,135g; 1,6g</t>
  </si>
  <si>
    <t>VN-14507-12</t>
  </si>
  <si>
    <t>Rodilar</t>
  </si>
  <si>
    <t>VD-16091-11</t>
  </si>
  <si>
    <t xml:space="preserve">Mekophar </t>
  </si>
  <si>
    <t xml:space="preserve">Spiramycin </t>
  </si>
  <si>
    <t>Rovacent</t>
  </si>
  <si>
    <t>VD-16733-12</t>
  </si>
  <si>
    <t>750.000 IU</t>
  </si>
  <si>
    <t>VD-21784-14</t>
  </si>
  <si>
    <t>Cty CP Dược Hậu Giang</t>
  </si>
  <si>
    <t>Sacendol E</t>
  </si>
  <si>
    <t>VD-23748-15</t>
  </si>
  <si>
    <t>80 mg</t>
  </si>
  <si>
    <t>VN-9830-10</t>
  </si>
  <si>
    <t>VN-16119-13</t>
  </si>
  <si>
    <t>PT Sanbe Farma</t>
  </si>
  <si>
    <t>Thục địa, Sơn thù, trạch tả, mâ?u đơn bì, câu ky? tử, Hoài sơn, Phục linh, cúc hoa, hoài sơn, phục linh, cúc hoa.</t>
  </si>
  <si>
    <t>Sáng mắt – f</t>
  </si>
  <si>
    <t>VD-20535-14</t>
  </si>
  <si>
    <t xml:space="preserve">Công ty TNHH Dược phẩm Fitopharma </t>
  </si>
  <si>
    <t>400mg, 200mg, 150mg, 150mg, 100mg, 200mg, 150mg, 100mg</t>
  </si>
  <si>
    <t>Natri Hyaluronate</t>
  </si>
  <si>
    <t>Sanlein Eye Drop 0,1% x 5ml</t>
  </si>
  <si>
    <t>VN - 17157 - 13</t>
  </si>
  <si>
    <t xml:space="preserve">Santen Pharmaceutical Co. Ltd. </t>
  </si>
  <si>
    <t>Dung dịch nhỏ mắt, Nhỏ mắt</t>
  </si>
  <si>
    <t xml:space="preserve">Azithromycine </t>
  </si>
  <si>
    <t>VD-10383-10</t>
  </si>
  <si>
    <t>VD-14403-11</t>
  </si>
  <si>
    <t>Savi Losartan plus HCT 50/12.5</t>
  </si>
  <si>
    <t>VD-20810-14</t>
  </si>
  <si>
    <t>VD-15760-11(có CV gia hạn)</t>
  </si>
  <si>
    <t>Trimetazidin MR</t>
  </si>
  <si>
    <t>SaVi Trimetazidine 35 MR</t>
  </si>
  <si>
    <t>VD-11690-10</t>
  </si>
  <si>
    <t>Viên nén bao phim giải phóng kéo dài, uống</t>
  </si>
  <si>
    <t>VD-23009-15</t>
  </si>
  <si>
    <t>Scilin M30 (30/70)</t>
  </si>
  <si>
    <t>QLSP-0648-13</t>
  </si>
  <si>
    <t xml:space="preserve">Bioton S.A  </t>
  </si>
  <si>
    <t>40UI/ml  10ml</t>
  </si>
  <si>
    <t>Simacone</t>
  </si>
  <si>
    <t>VD-10711-10 ( công văn gia hạn số: 1926/QLD-ĐK)</t>
  </si>
  <si>
    <t>60mg + 300mg</t>
  </si>
  <si>
    <t>Simvastatin 20mg</t>
  </si>
  <si>
    <t>VD-19636-13</t>
  </si>
  <si>
    <t>Siofor 850</t>
  </si>
  <si>
    <t>VN-15733-12</t>
  </si>
  <si>
    <t>Menarini - von Heyden GmbH</t>
  </si>
  <si>
    <t>Bạch truật, Đảng sâm, ý dĩ Liên nhục, Hoài sơn, Cát cánh, Sa nhân, Cam thảo, Bạch linh, Trần bì Mạch nha.</t>
  </si>
  <si>
    <t>Siro bổ tỳ trẻ em</t>
  </si>
  <si>
    <t>V1142-H12-10 (Công văn gia hạn SĐK 1955/QLD-ĐK ngà</t>
  </si>
  <si>
    <t>5,44g, 5,44g, 5,44g, 5,44g, 5,44g, 2,63g, 0,94g, 3,94g, 3,56g, 2,63g, 1,88g</t>
  </si>
  <si>
    <t>Siro, uống</t>
  </si>
  <si>
    <t>VD-20905-14</t>
  </si>
  <si>
    <t>Cty CP DV VTYT Bình Thuận</t>
  </si>
  <si>
    <t>VD-21380-14</t>
  </si>
  <si>
    <t xml:space="preserve">Vidipha </t>
  </si>
  <si>
    <t>Sozol Gastro-resistant tablet</t>
  </si>
  <si>
    <t>VN-17908-14</t>
  </si>
  <si>
    <t>Atlantic Pharma - Producoes Farmaceuticas, S.A</t>
  </si>
  <si>
    <t>Tỳ bà diệp, Cát cánh, Bách bộ Tiền hồ Tang bạch bì Thiên môn, Bạch linh, Cam thảo, Hoàng cầm, Cineol.</t>
  </si>
  <si>
    <t>Sp Thuốc ho trẻ em- OPC 90ml</t>
  </si>
  <si>
    <t>Cty CPDP OPC</t>
  </si>
  <si>
    <t>16,2g, 1,8g, 2,79g, 1,8g, 1,8g, 2,7g, 1,8g, 0,9g, 1,8g, 18mg, 18mg.</t>
  </si>
  <si>
    <t>Thuốc nước, uống</t>
  </si>
  <si>
    <t>VD-17182-12</t>
  </si>
  <si>
    <t>Cty CP DP Khánh Hòa</t>
  </si>
  <si>
    <t>VD-16398-12</t>
  </si>
  <si>
    <t>Losartan + Hydroclorothiazid</t>
  </si>
  <si>
    <t xml:space="preserve">Splozarsin Plus </t>
  </si>
  <si>
    <t>VD-17758-12</t>
  </si>
  <si>
    <t xml:space="preserve">Công ty TNHH DP Shinpoong Daewoo 
</t>
  </si>
  <si>
    <t>Spreacef</t>
  </si>
  <si>
    <t>Sulfaguanidin</t>
  </si>
  <si>
    <t>Sulfaganin 500</t>
  </si>
  <si>
    <t>VD-23810-15</t>
  </si>
  <si>
    <t>Cty CP Hóa DP Mekophar</t>
  </si>
  <si>
    <t>Sulfaprim</t>
  </si>
  <si>
    <t>VD-16093-11</t>
  </si>
  <si>
    <t>400 mg + 80 mg</t>
  </si>
  <si>
    <t>Sunirovel H</t>
  </si>
  <si>
    <t>VN-18768-15</t>
  </si>
  <si>
    <t>Sun Pharmaceutical Industries Ltd</t>
  </si>
  <si>
    <t>VD-18701-13</t>
  </si>
  <si>
    <t>Vitamin B1, Vitamin B6, Vitamin B12</t>
  </si>
  <si>
    <t>VN-13498-11</t>
  </si>
  <si>
    <t>Aurobindo (Unit III)</t>
  </si>
  <si>
    <t>Cty CP DP Glomed</t>
  </si>
  <si>
    <t>VD-10357-10</t>
  </si>
  <si>
    <t>Thuốc mỡ tra mắt</t>
  </si>
  <si>
    <t>Tetracyclin 500mg</t>
  </si>
  <si>
    <t>Sài đất, Thương nhĩ tử Kinh giới, Thổ phục linh, Phòng phong, Đại hoàng, Kim ngân hoa, Liên kiều, Hoàng liên, Bạch chỉ Cam thảo.</t>
  </si>
  <si>
    <t>Thanh nhiệt tiêu độc – f</t>
  </si>
  <si>
    <t>500mg, 500mg, 500mg, 375mg, 375mg, 375mg, 150mg, 125mg, 125mg,  100mg, 25mg</t>
  </si>
  <si>
    <t>Độc hoạt, Phòng phong, Tang ký sinh, Đỗ trọng, Ngưu tất, Trinh nữ, Hồng hoa, Bạch chỉ Tục đoạn, Bổ cốt chỉ.</t>
  </si>
  <si>
    <t>Thấp khớp Nam Dược</t>
  </si>
  <si>
    <t>V833-H12-10</t>
  </si>
  <si>
    <t>Cty TNHH Nam Dược</t>
  </si>
  <si>
    <t>VD-12874-10</t>
  </si>
  <si>
    <t>Trần bì, Cát cánh, Tiền hồ, Tô diệp, Tử uyển, Thiên môn, Tang bạch bì, Tang diệp, Cam thảo, Ô mai, Khương hoàng, Menthol</t>
  </si>
  <si>
    <t>Thuốc Ho bổ phế</t>
  </si>
  <si>
    <t>V31-H12-13</t>
  </si>
  <si>
    <t>50g, 25g, 25g, 25g, 25g, 10g, 10g, 10g, 7.5g, 7.5g, 5g, 0.11g</t>
  </si>
  <si>
    <t>Thuốc ho người lớn-OPC</t>
  </si>
  <si>
    <t>VD-9456-09</t>
  </si>
  <si>
    <t xml:space="preserve">Chi nhánh công ty cổ phần dược phẩm OPC tại Bình Dương- Nhà máy dược phẩm OPC </t>
  </si>
  <si>
    <t xml:space="preserve">chai </t>
  </si>
  <si>
    <t>VD-16402-12 (Công văn gia hạn số 4641/QLD-ĐK ngày 11/04/2017)</t>
  </si>
  <si>
    <t xml:space="preserve">Tobramycin + dexamethason </t>
  </si>
  <si>
    <t xml:space="preserve">Tobradex </t>
  </si>
  <si>
    <t>VN-4954-10 (có biên nhận gia hạn)</t>
  </si>
  <si>
    <t>s.a Alcon Couvreur NV</t>
  </si>
  <si>
    <t>0,3% + 0,1%</t>
  </si>
  <si>
    <t>Hỗn dịch nhỏ mắt, Nhỏ mắt</t>
  </si>
  <si>
    <t>Tobrex</t>
  </si>
  <si>
    <t>VN-19385-15, VN-7954-09</t>
  </si>
  <si>
    <t>3 mg/ml</t>
  </si>
  <si>
    <t>DD nhỏ mắt vô khuẩn</t>
  </si>
  <si>
    <t>Oxomemazin +guaifenesin+ paracetamol +natri benzoat</t>
  </si>
  <si>
    <t>1,65mg + 33,3mg+ 33,3mg +33,3mg</t>
  </si>
  <si>
    <t>Dextromethorphan HBr +Clorpheniramin maleat+Guaifenesin +Natri benzoat</t>
  </si>
  <si>
    <t>Touxirup</t>
  </si>
  <si>
    <t>VD-16147-11</t>
  </si>
  <si>
    <t>Cty CP DP Bến Tre</t>
  </si>
  <si>
    <t>Trimoxtal 250/250</t>
  </si>
  <si>
    <t>VD-19291-13</t>
  </si>
  <si>
    <t>Cty Cp Dược Minh Hải</t>
  </si>
  <si>
    <t>Omeprazol + Domperidon</t>
  </si>
  <si>
    <t>Trizodom</t>
  </si>
  <si>
    <t>VD-18083-12</t>
  </si>
  <si>
    <t>CTY LD Meyer-BPC</t>
  </si>
  <si>
    <t>20mg + 10mg</t>
  </si>
  <si>
    <t>Độc hoạt, Phòng phong, Tang ký sinh, Tần giao, Bạch thược,Ngưu tất, Sinh địa, Cam thảo, Đỗ trọng, Tế tân, Quế nhục, Nhân sâm, Đương quy, Xuyên khung.</t>
  </si>
  <si>
    <t>330mg; 330mg; 330mg; 330mg; 330mg;330mg; 330mg; 330mg; 330mg; 60mg, 60mg; 60mg; 60mg; 30mg</t>
  </si>
  <si>
    <t>Vacomuc 200</t>
  </si>
  <si>
    <t>VD-20300-13</t>
  </si>
  <si>
    <t>Vacoomez 40</t>
  </si>
  <si>
    <t>VD-17076-12</t>
  </si>
  <si>
    <t>Nystatin + neomycin +polymyxin B</t>
  </si>
  <si>
    <t>Vaginapoly</t>
  </si>
  <si>
    <t>VD-16740-12</t>
  </si>
  <si>
    <t>Phil inter Pharma</t>
  </si>
  <si>
    <t>100.000IU + 35.000IU + 35.000IU</t>
  </si>
  <si>
    <t>Viên nang mềm, đặt âm đạo</t>
  </si>
  <si>
    <t xml:space="preserve">Sulfamethoxazole +Trimethoprim </t>
  </si>
  <si>
    <t>Vamidol</t>
  </si>
  <si>
    <t>VD-20337-13</t>
  </si>
  <si>
    <t xml:space="preserve">SPM </t>
  </si>
  <si>
    <t>Vicef 300</t>
  </si>
  <si>
    <t>VD-14273-11</t>
  </si>
  <si>
    <t xml:space="preserve">Celecoxib </t>
  </si>
  <si>
    <t>VD-16699-12 (Công văn gia hạn số 4641/QLD-ĐK ngày 11/04/2017)</t>
  </si>
  <si>
    <t>400mg; 400mg; 400mg; 240mg; 240mg;80mg; 80mg; 80mg; 80mg; 400mg; 400mg; 10mg;10mg; 10mg; 3mg</t>
  </si>
  <si>
    <t>Vifloxacol</t>
  </si>
  <si>
    <t>VD-15672-11,VD-28154-17</t>
  </si>
  <si>
    <t>Viprolox 500</t>
  </si>
  <si>
    <t>VN-12510 -11, BN 06/4/16</t>
  </si>
  <si>
    <t xml:space="preserve">Delorbis Pharmaceutical Ltd </t>
  </si>
  <si>
    <t>Vitamin C 250mg</t>
  </si>
  <si>
    <t>VD-15131-11</t>
  </si>
  <si>
    <t>Phytomenadion (vitamin K1) (dùng được cho trẻ sơ sinh)</t>
  </si>
  <si>
    <t>VN-13293-11</t>
  </si>
  <si>
    <t>Novartis Saglik Gida Ve Tarim Urunleri San. Ve Tic.A.S</t>
  </si>
  <si>
    <t>Viên nén không tan trong dạ dày, uống</t>
  </si>
  <si>
    <t>VD-14860-11</t>
  </si>
  <si>
    <t xml:space="preserve">Cty TNHH LD Stada </t>
  </si>
  <si>
    <t>Đương quy, Đỗ trọng, Cẩu tích, Đan sâm, Liên nhục, Tục đoạn, Thiên ma, Cốt toái bổ Độc hoạt, Sinh địa, Uy linh tiên, Thông thảo, Khương hoạt, Hà thủ ô đỏ.</t>
  </si>
  <si>
    <t>Xương khớp nhất nhất</t>
  </si>
  <si>
    <t>V277-H12-13</t>
  </si>
  <si>
    <t>750mg, 600mg, 600mg, 450mg, 450mg, 300mg, 300mg, 300mg, 600mg, 600mg, 450mg, 450mg</t>
  </si>
  <si>
    <t>Zensalbu nebules 2.5mg/2.5ml</t>
  </si>
  <si>
    <t>VD-21554-14</t>
  </si>
  <si>
    <t xml:space="preserve"> Công ty CPC1 - Hà Nội</t>
  </si>
  <si>
    <t>dung dịch, phun khí dung</t>
  </si>
  <si>
    <t>Zestril</t>
  </si>
  <si>
    <t>VN-15212-12</t>
  </si>
  <si>
    <t>AstraZeneca UK Ltd</t>
  </si>
  <si>
    <t>Kẽm gluconat</t>
  </si>
  <si>
    <t>Zinbbebe</t>
  </si>
  <si>
    <t>VD-22887-15</t>
  </si>
  <si>
    <t>10mg/ 5ml, 60ml</t>
  </si>
  <si>
    <t>VN-9941-10</t>
  </si>
  <si>
    <t xml:space="preserve">Atco Laboratories Ltd </t>
  </si>
  <si>
    <t>Cốm pha hỗn dịch, uống</t>
  </si>
  <si>
    <t>Ds. Trần Thị Mỹ Dung</t>
  </si>
  <si>
    <t>BÁO CÁO KIỂM KÊ THUỐC TRUNG TÂM Y TẾ  NĂM 2019 (Từ ngày 01/10/2018 đến ngày 30/9/2019)</t>
  </si>
  <si>
    <t>Huyện Dương Minh Châu, ngày 30 tháng 10 năm 2019</t>
  </si>
  <si>
    <t>Hagimox 250mg</t>
  </si>
  <si>
    <t>Uống</t>
  </si>
  <si>
    <t xml:space="preserve">Amoxicilin </t>
  </si>
  <si>
    <t>Amoxicillin</t>
  </si>
  <si>
    <t>Clamoxyl 250mg</t>
  </si>
  <si>
    <t>500mg +125mg</t>
  </si>
  <si>
    <t>Medamben 500</t>
  </si>
  <si>
    <t>Aciclovir Meyer 800mg</t>
  </si>
  <si>
    <t>Adazol 400mg</t>
  </si>
  <si>
    <t>Allopurinol 300mg</t>
  </si>
  <si>
    <t>Alverin 40mg</t>
  </si>
  <si>
    <t>Amdiaryl 4mg</t>
  </si>
  <si>
    <t>Apharmarin 5mg</t>
  </si>
  <si>
    <t>Aprovel 150mg</t>
  </si>
  <si>
    <t>Aspirin 81mg</t>
  </si>
  <si>
    <t>Aspirin MKP 81mg</t>
  </si>
  <si>
    <t>ATENOLOL STADA 50MG</t>
  </si>
  <si>
    <t>Atorvastatin 10mg</t>
  </si>
  <si>
    <t>Atorvastatin 20mg</t>
  </si>
  <si>
    <t>AUGTIPHA 625mg</t>
  </si>
  <si>
    <t>Auropodox 200mg</t>
  </si>
  <si>
    <t>Ausagel 250mg</t>
  </si>
  <si>
    <t>Austen-S 400UI</t>
  </si>
  <si>
    <t>Azicine 250mg</t>
  </si>
  <si>
    <t>BDFGlamic 5mg</t>
  </si>
  <si>
    <t>Berberin 100mg</t>
  </si>
  <si>
    <t>Besonin</t>
  </si>
  <si>
    <t>BiHasal 5mg</t>
  </si>
  <si>
    <t>Biloxcin Eye 15mg</t>
  </si>
  <si>
    <t>Bromhexin 4mg</t>
  </si>
  <si>
    <t>Bromhexin 8mg</t>
  </si>
  <si>
    <t>Canesten 100mg</t>
  </si>
  <si>
    <t>Canesten 500mg</t>
  </si>
  <si>
    <t>Hộp</t>
  </si>
  <si>
    <t>Captopril 25mg</t>
  </si>
  <si>
    <t>Cefixime MKP 50mg</t>
  </si>
  <si>
    <t>Ceftanir 300mg</t>
  </si>
  <si>
    <t>Cephalexin PMP 250mg</t>
  </si>
  <si>
    <t>Ceplor VPC 375mg</t>
  </si>
  <si>
    <t>Cerebrolysin 10ml</t>
  </si>
  <si>
    <t>Cimedin 300mg</t>
  </si>
  <si>
    <t>Cimetidine 200mg</t>
  </si>
  <si>
    <t>Cinnarizin 25mg</t>
  </si>
  <si>
    <t>Ciprofloxacin 500mg</t>
  </si>
  <si>
    <t>Clanzen 5mg</t>
  </si>
  <si>
    <t>Clorpheniramin 4mg</t>
  </si>
  <si>
    <t>Codu-Vitamin B1 250mg</t>
  </si>
  <si>
    <t>Cồn Boric 3% 10ml</t>
  </si>
  <si>
    <t>Cồn xoa bóp Jamda</t>
  </si>
  <si>
    <t>Decolic F 200mg</t>
  </si>
  <si>
    <t>Denazox 60mg</t>
  </si>
  <si>
    <t>Diclofenac 50mg</t>
  </si>
  <si>
    <t>Digoxine Qualy 0,25mg</t>
  </si>
  <si>
    <t>Dismolan 200mg/10ml</t>
  </si>
  <si>
    <t>Dogrel SaVi 75mg</t>
  </si>
  <si>
    <t>Domever 25mg</t>
  </si>
  <si>
    <t>Domperidon 10mg</t>
  </si>
  <si>
    <t>Doxycyclin 100mg</t>
  </si>
  <si>
    <t>Efferalgan 300mg</t>
  </si>
  <si>
    <t>Efferalgan 80mg</t>
  </si>
  <si>
    <t>Elaria 75mg</t>
  </si>
  <si>
    <t>Emanera 20mg</t>
  </si>
  <si>
    <t>Enalapril 5mg</t>
  </si>
  <si>
    <t>Erythromycin 500mg</t>
  </si>
  <si>
    <t>Espumisan Capsules 40mg</t>
  </si>
  <si>
    <t>Eufaclor 125mg</t>
  </si>
  <si>
    <t>Fefasdin 120mg</t>
  </si>
  <si>
    <t>Fefasdin 180mg</t>
  </si>
  <si>
    <t>Fefasdin 60mg</t>
  </si>
  <si>
    <t>Fenostad 200mg</t>
  </si>
  <si>
    <t>Fluzinstad 5mg</t>
  </si>
  <si>
    <t>Fogyma 50mg/10ml</t>
  </si>
  <si>
    <t>Furosemide Safl 20mg</t>
  </si>
  <si>
    <t>Gabarica 400mg</t>
  </si>
  <si>
    <t>Gikanin 500mg</t>
  </si>
  <si>
    <t>Ginkgo biloba 40mg</t>
  </si>
  <si>
    <t>Glemont CT 5mg</t>
  </si>
  <si>
    <t>Glucosamin 250mg</t>
  </si>
  <si>
    <t>Glucosamin 500mg</t>
  </si>
  <si>
    <t>Glucose 20% 250ml</t>
  </si>
  <si>
    <t>Glucose 5% 100ml</t>
  </si>
  <si>
    <t>Glucose 5% 500ml</t>
  </si>
  <si>
    <t>Golddicron 30mg</t>
  </si>
  <si>
    <t>Grafort 3g/20ml</t>
  </si>
  <si>
    <t>Hasanbest 500mg/2,5mg</t>
  </si>
  <si>
    <t>Hasanclar 500mg</t>
  </si>
  <si>
    <t>H-Vacolaren 20mg</t>
  </si>
  <si>
    <t>Hydrocolacyl 5mg</t>
  </si>
  <si>
    <t>Ibuprofen 400mg</t>
  </si>
  <si>
    <t>Kacetam 800mg</t>
  </si>
  <si>
    <t>Kaldyum 600mg</t>
  </si>
  <si>
    <t>Kalmeco 500mcg</t>
  </si>
  <si>
    <t>Kanausin 10mg</t>
  </si>
  <si>
    <t>Katrypsin 21 microkatal</t>
  </si>
  <si>
    <t>Kavasdin 5mg</t>
  </si>
  <si>
    <t>Kortimed 100mg</t>
  </si>
  <si>
    <t>Lactated ringer's 500ml</t>
  </si>
  <si>
    <t>Lansoprazol 30mg</t>
  </si>
  <si>
    <t>Lidocain 40mg/ 2ml</t>
  </si>
  <si>
    <t>Lisinopril Stada 10mg</t>
  </si>
  <si>
    <t>Loperamid 2mg</t>
  </si>
  <si>
    <t>Losartan 25mg</t>
  </si>
  <si>
    <t>Losartan 50mg</t>
  </si>
  <si>
    <t>Macorel 30mg</t>
  </si>
  <si>
    <t>Masak 0,25mcg</t>
  </si>
  <si>
    <t>Mebufen 750mg</t>
  </si>
  <si>
    <t>Mecefix-B.E 250mg</t>
  </si>
  <si>
    <t>Mecefix-B.E 75mg</t>
  </si>
  <si>
    <t>Medsamic 250mg/5ml</t>
  </si>
  <si>
    <t>Medskin Clovir 400mg</t>
  </si>
  <si>
    <t>Mekocefal 250mg</t>
  </si>
  <si>
    <t>Meloxicam 7,5mg</t>
  </si>
  <si>
    <t>Midancef 125mg</t>
  </si>
  <si>
    <t>Midantin 1000mg</t>
  </si>
  <si>
    <t>Migomik 3mg</t>
  </si>
  <si>
    <t>Mildocap 25mg</t>
  </si>
  <si>
    <t>Minicef 400mg</t>
  </si>
  <si>
    <t>Mobic 15mg/1,5ml</t>
  </si>
  <si>
    <t>Mumcal 500mg/10ml</t>
  </si>
  <si>
    <t>Mykezol 2%</t>
  </si>
  <si>
    <t>Natri clorid 0,9% 1000ml</t>
  </si>
  <si>
    <t>Nebilet 5mg</t>
  </si>
  <si>
    <t>Neotazin MR 35mg</t>
  </si>
  <si>
    <t>Nergamdicin 500mg</t>
  </si>
  <si>
    <t>Niphadal 30mg</t>
  </si>
  <si>
    <t>Nitromint 2,6mg</t>
  </si>
  <si>
    <t>Noruxime 250mg</t>
  </si>
  <si>
    <t>Nước cất pha tiêm 5ml</t>
  </si>
  <si>
    <t>Ofloxacin 200mg</t>
  </si>
  <si>
    <t>Panactol 650mg</t>
  </si>
  <si>
    <t>Pantoprazol 40mg</t>
  </si>
  <si>
    <t>Pipolphen 50mg/2ml</t>
  </si>
  <si>
    <t>Piracetam 400mg</t>
  </si>
  <si>
    <t>Piroxicam 20mg</t>
  </si>
  <si>
    <t>Plavix 300mg</t>
  </si>
  <si>
    <t>Prednisolon 5mg</t>
  </si>
  <si>
    <t>Predsantyl 4mg</t>
  </si>
  <si>
    <t>Promethazin 90ml</t>
  </si>
  <si>
    <t>Rabeflex 20mg</t>
  </si>
  <si>
    <t>Reinal 10mg</t>
  </si>
  <si>
    <t>Remedipin 5mg</t>
  </si>
  <si>
    <t>Rotundin 30mg</t>
  </si>
  <si>
    <t>Ruzittu 100mg</t>
  </si>
  <si>
    <t>SaVi Azit 500mg</t>
  </si>
  <si>
    <t>Sorbitol 5g</t>
  </si>
  <si>
    <t>Sulfaganin 500mg</t>
  </si>
  <si>
    <t>Supoxim 200mg</t>
  </si>
  <si>
    <t>tube</t>
  </si>
  <si>
    <t>Thelizin 5mg</t>
  </si>
  <si>
    <t xml:space="preserve">Utrogestan 200mg </t>
  </si>
  <si>
    <t>Vacomuc 100mg</t>
  </si>
  <si>
    <t>Vacomuc 200mg</t>
  </si>
  <si>
    <t>Valsarfast 160mg</t>
  </si>
  <si>
    <t>Valsarfast 80mg</t>
  </si>
  <si>
    <t>Verospiron 50mg</t>
  </si>
  <si>
    <t>Vicoxib 100mg</t>
  </si>
  <si>
    <t>Vicoxib 200mg</t>
  </si>
  <si>
    <t>Vipocef 200mg</t>
  </si>
  <si>
    <t>Vitamin K1 10mg/1ml</t>
  </si>
  <si>
    <t>Vitamin PP 500mg</t>
  </si>
  <si>
    <t>Vizicin 125mg</t>
  </si>
  <si>
    <t>Volden Fort 75mg</t>
  </si>
  <si>
    <t>Voltaren 50mg</t>
  </si>
  <si>
    <t>Vorifend Forte 500mg</t>
  </si>
  <si>
    <t>Zincviet 329,16mg/60ml</t>
  </si>
  <si>
    <t>Mã thầu</t>
  </si>
  <si>
    <t>Tên Dược-Vật tư</t>
  </si>
  <si>
    <t>Tên Hoạt Chất</t>
  </si>
  <si>
    <t>Hàm lượng</t>
  </si>
  <si>
    <t>DVT</t>
  </si>
  <si>
    <t>Số lô SX</t>
  </si>
  <si>
    <t>Ngày hết hạn</t>
  </si>
  <si>
    <t>Tiền tồn ĐK</t>
  </si>
  <si>
    <t>Tiền Nhập</t>
  </si>
  <si>
    <t>Tiền Xuất</t>
  </si>
  <si>
    <t>Tiền Tồn CK</t>
  </si>
  <si>
    <t>SL Xuất Phường xã</t>
  </si>
  <si>
    <t>Tiền Xuất Phường xã</t>
  </si>
  <si>
    <t>SL Xuất Trung Tâm</t>
  </si>
  <si>
    <t>Tiền xuất Trung tâm</t>
  </si>
  <si>
    <t>SL Xuất Ngoại trú</t>
  </si>
  <si>
    <t>Tiền xuất ngoại trú</t>
  </si>
  <si>
    <t>SL Xuất Nội trú</t>
  </si>
  <si>
    <t>Tiền xuất nội trú</t>
  </si>
  <si>
    <t>SL Xuất VT PX</t>
  </si>
  <si>
    <t>Tiền xuất VT PX</t>
  </si>
  <si>
    <t>SL Xuất VT Trung tâm</t>
  </si>
  <si>
    <t>Tiền xuất VT Trung tâm</t>
  </si>
  <si>
    <t>Trạm hoàn trả</t>
  </si>
  <si>
    <t>Tiền trạm hoàn trả</t>
  </si>
  <si>
    <t>N3-509-1</t>
  </si>
  <si>
    <t>A.T Bisoprolol 2,5</t>
  </si>
  <si>
    <t>N3-705-1</t>
  </si>
  <si>
    <t>1mg/1ml chai 30ml</t>
  </si>
  <si>
    <t>N1-1025-2</t>
  </si>
  <si>
    <t>ACC Sus. 200mg 50's</t>
  </si>
  <si>
    <t>9Y1529</t>
  </si>
  <si>
    <t>N3-50-10</t>
  </si>
  <si>
    <t>N3-260-7</t>
  </si>
  <si>
    <t>ACICLOVIR MEYER</t>
  </si>
  <si>
    <t>0060</t>
  </si>
  <si>
    <t>0108</t>
  </si>
  <si>
    <t>60</t>
  </si>
  <si>
    <t>N1-734-1</t>
  </si>
  <si>
    <t>Attapulgit mormoiron hoạt hóa</t>
  </si>
  <si>
    <t>C09CA07.02.N1</t>
  </si>
  <si>
    <t>N1-543-1</t>
  </si>
  <si>
    <t>Actelsar HCT 40mg/12,5mg</t>
  </si>
  <si>
    <t>F90991</t>
  </si>
  <si>
    <t>010418</t>
  </si>
  <si>
    <t>N3-88-1</t>
  </si>
  <si>
    <t>281119</t>
  </si>
  <si>
    <t>N3-456-2</t>
  </si>
  <si>
    <t>Adrenoxyl</t>
  </si>
  <si>
    <t>18003</t>
  </si>
  <si>
    <t>N3-29-3</t>
  </si>
  <si>
    <t>Aescin</t>
  </si>
  <si>
    <t>0051019</t>
  </si>
  <si>
    <t>N3-273-3</t>
  </si>
  <si>
    <t>Agiclovir 200</t>
  </si>
  <si>
    <t>020619</t>
  </si>
  <si>
    <t>N3-529-1</t>
  </si>
  <si>
    <t>Agilosart-H 50/12,5</t>
  </si>
  <si>
    <t>N3-526-4</t>
  </si>
  <si>
    <t>Agimlisin 5</t>
  </si>
  <si>
    <t>010120</t>
  </si>
  <si>
    <t>021019</t>
  </si>
  <si>
    <t>N3-705-3</t>
  </si>
  <si>
    <t>Agimoti</t>
  </si>
  <si>
    <t>030120</t>
  </si>
  <si>
    <t>N3-771-3</t>
  </si>
  <si>
    <t>N5-767-6</t>
  </si>
  <si>
    <t>106S008</t>
  </si>
  <si>
    <t>N2-767-4</t>
  </si>
  <si>
    <t>Air-X tab. hương vị cam</t>
  </si>
  <si>
    <t>58R034</t>
  </si>
  <si>
    <t>58R047</t>
  </si>
  <si>
    <t>58S003</t>
  </si>
  <si>
    <t>5000 IU</t>
  </si>
  <si>
    <t>N3-702-3</t>
  </si>
  <si>
    <t>Aleucin</t>
  </si>
  <si>
    <t>20015</t>
  </si>
  <si>
    <t>20016</t>
  </si>
  <si>
    <t>N3-710-1</t>
  </si>
  <si>
    <t xml:space="preserve">Alverin </t>
  </si>
  <si>
    <t>N3-1015-8</t>
  </si>
  <si>
    <t>Ambron tab</t>
  </si>
  <si>
    <t>N3-821-3</t>
  </si>
  <si>
    <t>N1-507-1</t>
  </si>
  <si>
    <t>Amlibon Tab 10mg 3x10's</t>
  </si>
  <si>
    <t>N1-824-1</t>
  </si>
  <si>
    <t xml:space="preserve">Apidra Solostar </t>
  </si>
  <si>
    <t>N3-818-1</t>
  </si>
  <si>
    <t>Arbosnew 100</t>
  </si>
  <si>
    <t>N3-33-2</t>
  </si>
  <si>
    <t>Aspirin 81</t>
  </si>
  <si>
    <t>Acetylsalicylic acid
(DL-lysin-acetylsalicylat)</t>
  </si>
  <si>
    <t>010320</t>
  </si>
  <si>
    <t>080520</t>
  </si>
  <si>
    <t>N2-476-2</t>
  </si>
  <si>
    <t>010616</t>
  </si>
  <si>
    <t>N3-566-1</t>
  </si>
  <si>
    <t>Atorvastatin 10</t>
  </si>
  <si>
    <t>N3-1-1</t>
  </si>
  <si>
    <t>Atropin (sulfat)</t>
  </si>
  <si>
    <t>080718</t>
  </si>
  <si>
    <t>N3-722-1</t>
  </si>
  <si>
    <t>Docusate natri</t>
  </si>
  <si>
    <t>110119</t>
  </si>
  <si>
    <t>N3-743-1</t>
  </si>
  <si>
    <t>Lactobacillus acidophilus</t>
  </si>
  <si>
    <t>N3-999-1</t>
  </si>
  <si>
    <t>Bambuterol 10 A.T</t>
  </si>
  <si>
    <t>0320002</t>
  </si>
  <si>
    <t>0320003</t>
  </si>
  <si>
    <t>N3-737-1</t>
  </si>
  <si>
    <t xml:space="preserve">Berberin  </t>
  </si>
  <si>
    <t>N1-1003-2</t>
  </si>
  <si>
    <t>Berodual 10ml</t>
  </si>
  <si>
    <t>0.05mg+0.02mg/liều
lọ 10ml (200 liều)</t>
  </si>
  <si>
    <t>bình</t>
  </si>
  <si>
    <t>906002</t>
  </si>
  <si>
    <t>64mcg/liều lọ 120 liều</t>
  </si>
  <si>
    <t>N2-921-1</t>
  </si>
  <si>
    <t>BB2418018</t>
  </si>
  <si>
    <t>N3-704-1</t>
  </si>
  <si>
    <t>0030518</t>
  </si>
  <si>
    <t>C07AB02.01.BD</t>
  </si>
  <si>
    <t>Betaloc Zok Tab 25mg 14's</t>
  </si>
  <si>
    <t>N4-509-2</t>
  </si>
  <si>
    <t>517</t>
  </si>
  <si>
    <t>N3-1016-3</t>
  </si>
  <si>
    <t>Bihexin</t>
  </si>
  <si>
    <t xml:space="preserve"> 4mg/5ml</t>
  </si>
  <si>
    <t>0020</t>
  </si>
  <si>
    <t>N3-50-4</t>
  </si>
  <si>
    <t>Biragan 150</t>
  </si>
  <si>
    <t>1911</t>
  </si>
  <si>
    <t>N3-50-6</t>
  </si>
  <si>
    <t>Biragan 300</t>
  </si>
  <si>
    <t>N3-721-1</t>
  </si>
  <si>
    <t>N4-509-1</t>
  </si>
  <si>
    <t>Biscapro 2,5</t>
  </si>
  <si>
    <t>030420</t>
  </si>
  <si>
    <t>Biscapro 5</t>
  </si>
  <si>
    <t>141019</t>
  </si>
  <si>
    <t>N1-509-1</t>
  </si>
  <si>
    <t>N2-510-1</t>
  </si>
  <si>
    <t>Bisoprolol Plus HCT 2.5/6.25</t>
  </si>
  <si>
    <t>2005994</t>
  </si>
  <si>
    <t>N1-81-1</t>
  </si>
  <si>
    <t>Bluecezin</t>
  </si>
  <si>
    <t>N3-1016-7</t>
  </si>
  <si>
    <t>002202</t>
  </si>
  <si>
    <t>N3-1016-2</t>
  </si>
  <si>
    <t>Bromhexine A.T</t>
  </si>
  <si>
    <t>0090001</t>
  </si>
  <si>
    <t>N2-511-1</t>
  </si>
  <si>
    <t>Candelong-4</t>
  </si>
  <si>
    <t>N3-511-1</t>
  </si>
  <si>
    <t>Candesartan 4</t>
  </si>
  <si>
    <t>020420</t>
  </si>
  <si>
    <t>N1-821-1</t>
  </si>
  <si>
    <t>N1-821-3</t>
  </si>
  <si>
    <t>Canzeal Tab 4mg 3x10's</t>
  </si>
  <si>
    <t>JW0839</t>
  </si>
  <si>
    <t>N3-512-2</t>
  </si>
  <si>
    <t>Captohasan comp 25/12.5</t>
  </si>
  <si>
    <t>Captopril+ Hydroclorothiazid</t>
  </si>
  <si>
    <t>00120</t>
  </si>
  <si>
    <t>N3-1017-3</t>
  </si>
  <si>
    <t>040318</t>
  </si>
  <si>
    <t>N3-1002-3</t>
  </si>
  <si>
    <t xml:space="preserve">Carbocistein + salbutamol
</t>
  </si>
  <si>
    <t>0230418</t>
  </si>
  <si>
    <t>N1-596-3</t>
  </si>
  <si>
    <t>T71117A</t>
  </si>
  <si>
    <t>T84582A</t>
  </si>
  <si>
    <t>N1-596-2</t>
  </si>
  <si>
    <t>T69400A</t>
  </si>
  <si>
    <t>N2-30-2</t>
  </si>
  <si>
    <t>Celofin 200</t>
  </si>
  <si>
    <t>CCX19018</t>
  </si>
  <si>
    <t>N1-561-1</t>
  </si>
  <si>
    <t>A7TJ1A</t>
  </si>
  <si>
    <t>N3-81-1</t>
  </si>
  <si>
    <t>1520220</t>
  </si>
  <si>
    <t>N3-82-1</t>
  </si>
  <si>
    <t>1020818</t>
  </si>
  <si>
    <t>N5-82-1</t>
  </si>
  <si>
    <t>N3-83-1</t>
  </si>
  <si>
    <t>2410918</t>
  </si>
  <si>
    <t>N1-30-2</t>
  </si>
  <si>
    <t>N3-63-1</t>
  </si>
  <si>
    <t>3841219</t>
  </si>
  <si>
    <t>N2-570-2</t>
  </si>
  <si>
    <t>COLESTRIM</t>
  </si>
  <si>
    <t>N1-529-1</t>
  </si>
  <si>
    <t>Colosar - Denk 50/ 12.5</t>
  </si>
  <si>
    <t>23205</t>
  </si>
  <si>
    <t>N3-536-1</t>
  </si>
  <si>
    <t>Comegim</t>
  </si>
  <si>
    <t>N3-821-4</t>
  </si>
  <si>
    <t>00920</t>
  </si>
  <si>
    <t>N3-614-1</t>
  </si>
  <si>
    <t>Cồn boric</t>
  </si>
  <si>
    <t>N1-499-1</t>
  </si>
  <si>
    <t>Amiodaron (hydroclorid)</t>
  </si>
  <si>
    <t>Cordarone 150mg/3ml</t>
  </si>
  <si>
    <t>150mg/3ml</t>
  </si>
  <si>
    <t>9A086</t>
  </si>
  <si>
    <t>N3-536-3</t>
  </si>
  <si>
    <t>Cosaten 8</t>
  </si>
  <si>
    <t>N1-537-1</t>
  </si>
  <si>
    <t>Coveram 5-5 Tab 5mg/5mg 30's</t>
  </si>
  <si>
    <t>Perindopril + amlodipin</t>
  </si>
  <si>
    <t>5mg + 5mg</t>
  </si>
  <si>
    <t>271511</t>
  </si>
  <si>
    <t>N1-536-2</t>
  </si>
  <si>
    <t>652227</t>
  </si>
  <si>
    <t>N1-538-3</t>
  </si>
  <si>
    <t>Coversyl plus 5/1.25 mg tab Arginine 30's</t>
  </si>
  <si>
    <t>5mg + 1,25mg</t>
  </si>
  <si>
    <t>6010846</t>
  </si>
  <si>
    <t>N1-513-2</t>
  </si>
  <si>
    <t xml:space="preserve">Cypdicar 6,25 Tablets </t>
  </si>
  <si>
    <t>82784</t>
  </si>
  <si>
    <t>N1-753-1</t>
  </si>
  <si>
    <t>641370</t>
  </si>
  <si>
    <t>N3-853-1</t>
  </si>
  <si>
    <t>N3-85-3</t>
  </si>
  <si>
    <t>N3-1020-1</t>
  </si>
  <si>
    <t>006181</t>
  </si>
  <si>
    <t>N5-1020-1</t>
  </si>
  <si>
    <t>003181</t>
  </si>
  <si>
    <t>Diamicron MR 60mg</t>
  </si>
  <si>
    <t>N4-821-3</t>
  </si>
  <si>
    <t>Diaprid 4</t>
  </si>
  <si>
    <t>091119</t>
  </si>
  <si>
    <t>N3-53-1</t>
  </si>
  <si>
    <t>131219</t>
  </si>
  <si>
    <t>N3-32-5</t>
  </si>
  <si>
    <t>1160220</t>
  </si>
  <si>
    <t>320420</t>
  </si>
  <si>
    <t>4450320</t>
  </si>
  <si>
    <t>N3-32-6</t>
  </si>
  <si>
    <t>Diclofenac 75</t>
  </si>
  <si>
    <t>1070120</t>
  </si>
  <si>
    <t>2050520</t>
  </si>
  <si>
    <t>DPH100</t>
  </si>
  <si>
    <t>020318</t>
  </si>
  <si>
    <t>N2-752-1</t>
  </si>
  <si>
    <t>Diosfort</t>
  </si>
  <si>
    <t>Diosmin</t>
  </si>
  <si>
    <t>600mg</t>
  </si>
  <si>
    <t>2004876</t>
  </si>
  <si>
    <t>N3-1025-4</t>
  </si>
  <si>
    <t>N1-550-1</t>
  </si>
  <si>
    <t>N3-981-1</t>
  </si>
  <si>
    <t>2260220</t>
  </si>
  <si>
    <t>2270520</t>
  </si>
  <si>
    <t>N5-705-2</t>
  </si>
  <si>
    <t>Domperidon 10</t>
  </si>
  <si>
    <t>0780120</t>
  </si>
  <si>
    <t>N3-705-2</t>
  </si>
  <si>
    <t>N1-705-2</t>
  </si>
  <si>
    <t>80569</t>
  </si>
  <si>
    <t>74197</t>
  </si>
  <si>
    <t>N3-735-1</t>
  </si>
  <si>
    <t>Domuvar</t>
  </si>
  <si>
    <t>Bacillus subtilis</t>
  </si>
  <si>
    <t>2x10(9) (2 tỷ)</t>
  </si>
  <si>
    <t>020720</t>
  </si>
  <si>
    <t>N1-551-2</t>
  </si>
  <si>
    <t>200mg/ 5ml</t>
  </si>
  <si>
    <t>11AW0319</t>
  </si>
  <si>
    <t>N3-751-1</t>
  </si>
  <si>
    <t>Dopolys-S</t>
  </si>
  <si>
    <t>Cao ginkgo biloba+ heptaminol clohydrat+ troxerutin</t>
  </si>
  <si>
    <t>14mg + 300mg + 300mg</t>
  </si>
  <si>
    <t>00419</t>
  </si>
  <si>
    <t>N3-1018-1</t>
  </si>
  <si>
    <t>Codein camphosulphonat+ sulfoguaiacol + cao mềm Grindelia</t>
  </si>
  <si>
    <t>00520</t>
  </si>
  <si>
    <t>Codein camphosulphonat + sulfoguaiacol + cao mềm Grindelia</t>
  </si>
  <si>
    <t>N3-273-4</t>
  </si>
  <si>
    <t>Dovirex 400mg</t>
  </si>
  <si>
    <t>N3-1015-3</t>
  </si>
  <si>
    <t>Droply</t>
  </si>
  <si>
    <t>N4-714-3</t>
  </si>
  <si>
    <t>Drotusc Forte</t>
  </si>
  <si>
    <t>Drotaverin clohydrat</t>
  </si>
  <si>
    <t>050320</t>
  </si>
  <si>
    <t>N1-727-1</t>
  </si>
  <si>
    <t>N2-517-1</t>
  </si>
  <si>
    <t>160618</t>
  </si>
  <si>
    <t>N5-517-1</t>
  </si>
  <si>
    <t>Enalapril + Hydrochlorothiazid</t>
  </si>
  <si>
    <t>10mg + 12,5mg</t>
  </si>
  <si>
    <t>80420</t>
  </si>
  <si>
    <t>N3-1025-7</t>
  </si>
  <si>
    <t>0120</t>
  </si>
  <si>
    <t>0220</t>
  </si>
  <si>
    <t>N1-50-4</t>
  </si>
  <si>
    <t>Efferalgan 150mg Suppo</t>
  </si>
  <si>
    <t>X4889</t>
  </si>
  <si>
    <t>N3-905-1</t>
  </si>
  <si>
    <t>N1-32-4</t>
  </si>
  <si>
    <t>AK03AI</t>
  </si>
  <si>
    <t>AK03AL</t>
  </si>
  <si>
    <t>N3-743-2</t>
  </si>
  <si>
    <t>N2-695-3</t>
  </si>
  <si>
    <t>Eraeso 20</t>
  </si>
  <si>
    <t>2008398</t>
  </si>
  <si>
    <t>N3-695-3</t>
  </si>
  <si>
    <t>Esolona 20mg</t>
  </si>
  <si>
    <t>N1-767-5</t>
  </si>
  <si>
    <t>Espumisan Cap 40mg 2x25's</t>
  </si>
  <si>
    <t>94717A</t>
  </si>
  <si>
    <t>83724B</t>
  </si>
  <si>
    <t>N1-767-3</t>
  </si>
  <si>
    <t>83045</t>
  </si>
  <si>
    <t>N5-891-1</t>
  </si>
  <si>
    <t>EYAREN 
Ophthalmic Drops</t>
  </si>
  <si>
    <t>Kali iodid + natri iodid</t>
  </si>
  <si>
    <t>0,3% + 0,3% 10ml</t>
  </si>
  <si>
    <t>N1-40-2</t>
  </si>
  <si>
    <t>Fastum Gel 30gr 1's</t>
  </si>
  <si>
    <t>Ketoprofen</t>
  </si>
  <si>
    <t>2,5%  tube 30g</t>
  </si>
  <si>
    <t>N3-89-1</t>
  </si>
  <si>
    <t>4341018</t>
  </si>
  <si>
    <t>N1-518-2</t>
  </si>
  <si>
    <t>Felodipin Stada 5 mg retard</t>
  </si>
  <si>
    <t xml:space="preserve">Felodipin </t>
  </si>
  <si>
    <t>311219</t>
  </si>
  <si>
    <t>021117</t>
  </si>
  <si>
    <t>N2-89-2</t>
  </si>
  <si>
    <t>1804638</t>
  </si>
  <si>
    <t>1809267</t>
  </si>
  <si>
    <t>N2-89-3</t>
  </si>
  <si>
    <t>1809271</t>
  </si>
  <si>
    <t>1811570</t>
  </si>
  <si>
    <t>N5-767-2</t>
  </si>
  <si>
    <t>Flabivi</t>
  </si>
  <si>
    <t>01L19</t>
  </si>
  <si>
    <t>N2-352-2</t>
  </si>
  <si>
    <t>070918</t>
  </si>
  <si>
    <t>BD-9-1</t>
  </si>
  <si>
    <t>Forane Sol 100ml 1's</t>
  </si>
  <si>
    <t>Isofluran</t>
  </si>
  <si>
    <t>6065954</t>
  </si>
  <si>
    <t>N1-728-2</t>
  </si>
  <si>
    <t>Macrogol (polyethylen glycol hoặc polyoxyethylen glycol)</t>
  </si>
  <si>
    <t>00618</t>
  </si>
  <si>
    <t>N1-685-2</t>
  </si>
  <si>
    <t>SD7175</t>
  </si>
  <si>
    <t>30 mg</t>
  </si>
  <si>
    <t>SH1502</t>
  </si>
  <si>
    <t>N1-680-1</t>
  </si>
  <si>
    <t>Attapulgit mormoiron hoạt hóa + hỗn hợp magnesi carbonat-nhôm hydroxyd</t>
  </si>
  <si>
    <t>N12590</t>
  </si>
  <si>
    <t>N3-687-3</t>
  </si>
  <si>
    <t>N3-688-11</t>
  </si>
  <si>
    <t>Gelactive Fort</t>
  </si>
  <si>
    <t>400mg + 300mg + 30mg</t>
  </si>
  <si>
    <t>4618</t>
  </si>
  <si>
    <t>N1-459-2</t>
  </si>
  <si>
    <t xml:space="preserve">Gemapaxane </t>
  </si>
  <si>
    <t>60mg/0,6ml</t>
  </si>
  <si>
    <t>OA19060</t>
  </si>
  <si>
    <t>N2-583-1</t>
  </si>
  <si>
    <t>N1-583-2</t>
  </si>
  <si>
    <t>N1-751-1</t>
  </si>
  <si>
    <t>Ginkor Fort</t>
  </si>
  <si>
    <t>P18895</t>
  </si>
  <si>
    <t>Gintecin Film-coated tablets</t>
  </si>
  <si>
    <t>811603</t>
  </si>
  <si>
    <t>N2-1006-3</t>
  </si>
  <si>
    <t>N2-1006-4</t>
  </si>
  <si>
    <t>N3-821-1</t>
  </si>
  <si>
    <t>Glimegim 2</t>
  </si>
  <si>
    <t>010220</t>
  </si>
  <si>
    <t>N4-828-2</t>
  </si>
  <si>
    <t>Gliritdhg 500mg/5mg</t>
  </si>
  <si>
    <t>500mg + 5mg</t>
  </si>
  <si>
    <t>N3-827-6</t>
  </si>
  <si>
    <t>Glucofast 500</t>
  </si>
  <si>
    <t>1920</t>
  </si>
  <si>
    <t>N5-827-3</t>
  </si>
  <si>
    <t>Glucofast 850</t>
  </si>
  <si>
    <t>0820</t>
  </si>
  <si>
    <t>N3-66-4</t>
  </si>
  <si>
    <t>N3-1042-1</t>
  </si>
  <si>
    <t>Glucose 30%</t>
  </si>
  <si>
    <t>30% 5ml</t>
  </si>
  <si>
    <t>070819</t>
  </si>
  <si>
    <t>N4-821-1</t>
  </si>
  <si>
    <t>050918</t>
  </si>
  <si>
    <t>N3-827-3</t>
  </si>
  <si>
    <t>N3-822-1</t>
  </si>
  <si>
    <t xml:space="preserve">Glipizid </t>
  </si>
  <si>
    <t>18009</t>
  </si>
  <si>
    <t>N1-494-2</t>
  </si>
  <si>
    <t>810065</t>
  </si>
  <si>
    <t>N2-494-2</t>
  </si>
  <si>
    <t>825079</t>
  </si>
  <si>
    <t>N4-820-3</t>
  </si>
  <si>
    <t>Glycinorm-80</t>
  </si>
  <si>
    <t>IZL019011</t>
  </si>
  <si>
    <t>021018</t>
  </si>
  <si>
    <t>N2-738-1</t>
  </si>
  <si>
    <t>18DO3047</t>
  </si>
  <si>
    <t>N3-51-1</t>
  </si>
  <si>
    <t>N3-511-2-574</t>
  </si>
  <si>
    <t>Guarente-8</t>
  </si>
  <si>
    <t>N2-467-1</t>
  </si>
  <si>
    <t>Haemostop</t>
  </si>
  <si>
    <t>N3-570-1</t>
  </si>
  <si>
    <t>Hafenthyl 145mg</t>
  </si>
  <si>
    <t>145mg</t>
  </si>
  <si>
    <t>00320</t>
  </si>
  <si>
    <t>00420</t>
  </si>
  <si>
    <t>N3-497-2</t>
  </si>
  <si>
    <t>1380620</t>
  </si>
  <si>
    <t>N3-687-4</t>
  </si>
  <si>
    <t>N3-793-2</t>
  </si>
  <si>
    <t>Prednisolon acetat</t>
  </si>
  <si>
    <t>N3-37-1</t>
  </si>
  <si>
    <t>Idarac</t>
  </si>
  <si>
    <t>0200919</t>
  </si>
  <si>
    <t>0271119</t>
  </si>
  <si>
    <t>N4-520-2</t>
  </si>
  <si>
    <t>N3-522-1</t>
  </si>
  <si>
    <t>Ihybes 150</t>
  </si>
  <si>
    <t>N4-522-3</t>
  </si>
  <si>
    <t>Irbesartan Stada 300 mg</t>
  </si>
  <si>
    <t>N1-42-1</t>
  </si>
  <si>
    <t>Japrolox Tab 60mg 20's</t>
  </si>
  <si>
    <t>N3-592-10</t>
  </si>
  <si>
    <t>530320</t>
  </si>
  <si>
    <t>N3-707-2</t>
  </si>
  <si>
    <t>3031219</t>
  </si>
  <si>
    <t>2421217</t>
  </si>
  <si>
    <t>3240918</t>
  </si>
  <si>
    <t>N3-69-2</t>
  </si>
  <si>
    <t>N2-50-2</t>
  </si>
  <si>
    <t>Kotisol</t>
  </si>
  <si>
    <t>Paracetamol + Tramadol</t>
  </si>
  <si>
    <t>ETWS9006</t>
  </si>
  <si>
    <t>Lacbiosyn</t>
  </si>
  <si>
    <t>10(8) CFU 10mg</t>
  </si>
  <si>
    <t>N1-826-1</t>
  </si>
  <si>
    <t>Lantus Solostar</t>
  </si>
  <si>
    <t>Insulin analog tác dụng chậm, kéo dài (Glargine, Detemir, Degludec)</t>
  </si>
  <si>
    <t>100UI/ml 3ml</t>
  </si>
  <si>
    <t>bút tiêm</t>
  </si>
  <si>
    <t>0F6867A</t>
  </si>
  <si>
    <t>N1-92-3</t>
  </si>
  <si>
    <t>L87870</t>
  </si>
  <si>
    <t>N1-121-1</t>
  </si>
  <si>
    <t>Levonor 1mg/ml</t>
  </si>
  <si>
    <t>Nor-epinephrin (Nor- adrenalin)</t>
  </si>
  <si>
    <t>N1-507-6</t>
  </si>
  <si>
    <t>N3-528-1</t>
  </si>
  <si>
    <t>N2-528-1</t>
  </si>
  <si>
    <t>Lostad T25</t>
  </si>
  <si>
    <t>N3-42-1</t>
  </si>
  <si>
    <t>Loxoprofen 60mg</t>
  </si>
  <si>
    <t>010620</t>
  </si>
  <si>
    <t>N3-1045-1</t>
  </si>
  <si>
    <t>Magnesi sulfat Kabi 15%</t>
  </si>
  <si>
    <t>Magnesi sulfat</t>
  </si>
  <si>
    <t>0,15g/ml x 10ml</t>
  </si>
  <si>
    <t>86OAA001</t>
  </si>
  <si>
    <t>Masozym</t>
  </si>
  <si>
    <t>10 (9) CFU</t>
  </si>
  <si>
    <t>0219</t>
  </si>
  <si>
    <t>N2-1070-5</t>
  </si>
  <si>
    <t>N5-47-2</t>
  </si>
  <si>
    <t>030918</t>
  </si>
  <si>
    <t>N3-467-3</t>
  </si>
  <si>
    <t>Medisamin 250mg</t>
  </si>
  <si>
    <t>228419</t>
  </si>
  <si>
    <t>N1-467-1</t>
  </si>
  <si>
    <t>A906AH</t>
  </si>
  <si>
    <t>N3-851-1</t>
  </si>
  <si>
    <t>Meyerison</t>
  </si>
  <si>
    <t>Eperison</t>
  </si>
  <si>
    <t>0070</t>
  </si>
  <si>
    <t>C09CA07.02.BD</t>
  </si>
  <si>
    <t>Micardis</t>
  </si>
  <si>
    <t>N3-545-1</t>
  </si>
  <si>
    <t>Midatoren 160/12,5</t>
  </si>
  <si>
    <t>011219</t>
  </si>
  <si>
    <t>N1-825-1</t>
  </si>
  <si>
    <t>N1-825-7</t>
  </si>
  <si>
    <t>N3-134-4</t>
  </si>
  <si>
    <t>Myleran 400</t>
  </si>
  <si>
    <t>1804005</t>
  </si>
  <si>
    <t>N2-75-1</t>
  </si>
  <si>
    <t>Myomethol</t>
  </si>
  <si>
    <t>49S019</t>
  </si>
  <si>
    <t>N1-116-1</t>
  </si>
  <si>
    <t>0.4mg/ml</t>
  </si>
  <si>
    <t>835072</t>
  </si>
  <si>
    <t>N3-905-2</t>
  </si>
  <si>
    <t>Nasomom Clean &amp; Clear</t>
  </si>
  <si>
    <t>450mg/50ml chai 70ml</t>
  </si>
  <si>
    <t>441019</t>
  </si>
  <si>
    <t>0,9% 10ml</t>
  </si>
  <si>
    <t>040420</t>
  </si>
  <si>
    <t>N3-658-1</t>
  </si>
  <si>
    <t>17031</t>
  </si>
  <si>
    <t>C07AB12.01.BD</t>
  </si>
  <si>
    <t>Nebilet Tab 5mg 14's</t>
  </si>
  <si>
    <t>Nebivolol</t>
  </si>
  <si>
    <t>01105C</t>
  </si>
  <si>
    <t>93102B</t>
  </si>
  <si>
    <t>N1-1018-1</t>
  </si>
  <si>
    <t>N3-497-1</t>
  </si>
  <si>
    <t>N1-534-1</t>
  </si>
  <si>
    <t>N3-49-2</t>
  </si>
  <si>
    <t>2001018</t>
  </si>
  <si>
    <t>510818</t>
  </si>
  <si>
    <t>Nitroglycerin (Glyceryl Trinitrat)</t>
  </si>
  <si>
    <t>B01AC04.01.N2</t>
  </si>
  <si>
    <t>Noklot</t>
  </si>
  <si>
    <t>G000965</t>
  </si>
  <si>
    <t>G903978</t>
  </si>
  <si>
    <t xml:space="preserve">NovoMix® 30 FlexPen </t>
  </si>
  <si>
    <t>Insulin analog trộn, hỗn hợp</t>
  </si>
  <si>
    <t>(30/70) 100UI/ml 3ml</t>
  </si>
  <si>
    <t>N2-825-1</t>
  </si>
  <si>
    <t>N2-694-1</t>
  </si>
  <si>
    <t>M000990</t>
  </si>
  <si>
    <t>N1-766-1</t>
  </si>
  <si>
    <t>Octreotid</t>
  </si>
  <si>
    <t>100mcg/1ml</t>
  </si>
  <si>
    <t>01OTV037</t>
  </si>
  <si>
    <t>N3-1037-1</t>
  </si>
  <si>
    <t>520mg + 300mg 
+ 580mg  + 2,7g + 35mg</t>
  </si>
  <si>
    <t>3618</t>
  </si>
  <si>
    <t>N3-1036-1</t>
  </si>
  <si>
    <t xml:space="preserve">Oresol </t>
  </si>
  <si>
    <t>Natri clorid + natri citrat + kali clorid + glucose khan</t>
  </si>
  <si>
    <t>3,5g + 1,5g + 2,9g + 20g</t>
  </si>
  <si>
    <t>N1-806-1</t>
  </si>
  <si>
    <t>N019464</t>
  </si>
  <si>
    <t>R02542</t>
  </si>
  <si>
    <t>N3-1025-5</t>
  </si>
  <si>
    <t>Oribier 200mg</t>
  </si>
  <si>
    <t>200mg/8ml</t>
  </si>
  <si>
    <t>N4-544-2</t>
  </si>
  <si>
    <t>Osarstad 80</t>
  </si>
  <si>
    <t>N3-273-1</t>
  </si>
  <si>
    <t>Paclovir</t>
  </si>
  <si>
    <t>tuýp</t>
  </si>
  <si>
    <t>4970220</t>
  </si>
  <si>
    <t>N2-50-7</t>
  </si>
  <si>
    <t>860BG017</t>
  </si>
  <si>
    <t>N3-50-7</t>
  </si>
  <si>
    <t>86OBG018</t>
  </si>
  <si>
    <t>N3-50-27</t>
  </si>
  <si>
    <t>Parcamol-F</t>
  </si>
  <si>
    <t>Paracetamol + Methocarbamol</t>
  </si>
  <si>
    <t>325mg + 400mg</t>
  </si>
  <si>
    <t>N5-50-27</t>
  </si>
  <si>
    <t>N1-536-1</t>
  </si>
  <si>
    <t>Periloz Tab 4mg 3x10's</t>
  </si>
  <si>
    <t>N3-555-4</t>
  </si>
  <si>
    <t>N1-96-2</t>
  </si>
  <si>
    <t>T014A0219</t>
  </si>
  <si>
    <t>N5-96-2</t>
  </si>
  <si>
    <t>X042A0517</t>
  </si>
  <si>
    <t>N3-592-9</t>
  </si>
  <si>
    <t>B01AC04.02.BD</t>
  </si>
  <si>
    <t xml:space="preserve">Plavix </t>
  </si>
  <si>
    <t>BA005</t>
  </si>
  <si>
    <t>N1-522-3</t>
  </si>
  <si>
    <t>Pms-Irbesartan 300mg</t>
  </si>
  <si>
    <t>621917</t>
  </si>
  <si>
    <t>C10AA07.03.N1</t>
  </si>
  <si>
    <t>PMS-Rosuvastatin</t>
  </si>
  <si>
    <t>N3-1034-1</t>
  </si>
  <si>
    <t>Pomatat</t>
  </si>
  <si>
    <t>Magnesi aspartat+ kali aspartat</t>
  </si>
  <si>
    <t>091219</t>
  </si>
  <si>
    <t>N1-592-10</t>
  </si>
  <si>
    <t>N2-592-9</t>
  </si>
  <si>
    <t>Pracetam 400</t>
  </si>
  <si>
    <t>N3-96-3</t>
  </si>
  <si>
    <t>0,1%. chai 90ml</t>
  </si>
  <si>
    <t>120719</t>
  </si>
  <si>
    <t>N3-656-2</t>
  </si>
  <si>
    <t>160517</t>
  </si>
  <si>
    <t>N4-528-2</t>
  </si>
  <si>
    <t>040618</t>
  </si>
  <si>
    <t>N4-528-1</t>
  </si>
  <si>
    <t>Pyzacar 25 mg</t>
  </si>
  <si>
    <t>N1-540-1</t>
  </si>
  <si>
    <t>Ramipril GP</t>
  </si>
  <si>
    <t>Ramipril</t>
  </si>
  <si>
    <t>A0343</t>
  </si>
  <si>
    <t>N3-47-1</t>
  </si>
  <si>
    <t>Relafen</t>
  </si>
  <si>
    <t>N3-1017-2</t>
  </si>
  <si>
    <t>C10AA07.02.N4</t>
  </si>
  <si>
    <t>00220</t>
  </si>
  <si>
    <t>N3-962-1</t>
  </si>
  <si>
    <t>1590320</t>
  </si>
  <si>
    <t>920120</t>
  </si>
  <si>
    <t>N3-962-2</t>
  </si>
  <si>
    <t>1060620</t>
  </si>
  <si>
    <t>930120</t>
  </si>
  <si>
    <t>N3-65-1</t>
  </si>
  <si>
    <t>0,1mg/ ml</t>
  </si>
  <si>
    <t>N2-818-1</t>
  </si>
  <si>
    <t>SaVi Acarbose 100</t>
  </si>
  <si>
    <t>SaVi Candesartan 4</t>
  </si>
  <si>
    <t>N2-851-1</t>
  </si>
  <si>
    <t>SaVi Irbesartan 300</t>
  </si>
  <si>
    <t>N2-522-3</t>
  </si>
  <si>
    <t>SaVi Losartan 50</t>
  </si>
  <si>
    <t>N2-853-1</t>
  </si>
  <si>
    <t>SaVi Mephenesin 250</t>
  </si>
  <si>
    <t>N2-853-2</t>
  </si>
  <si>
    <t>SaVi Mephenesin 500</t>
  </si>
  <si>
    <t>N2-497-1</t>
  </si>
  <si>
    <t>2007248</t>
  </si>
  <si>
    <t>N2-84-3</t>
  </si>
  <si>
    <t>1802397</t>
  </si>
  <si>
    <t>N2-89-1</t>
  </si>
  <si>
    <t>N1-685-1</t>
  </si>
  <si>
    <t>Salmeterol+ fluticason propionat</t>
  </si>
  <si>
    <t>BD-1009-1</t>
  </si>
  <si>
    <t>Seretide Evohaler DC 25/125mcg 120d</t>
  </si>
  <si>
    <t>25mcg + 125mcg/liều</t>
  </si>
  <si>
    <t>KE9N</t>
  </si>
  <si>
    <t>N1-1009-2</t>
  </si>
  <si>
    <t>Seretide Evohaler DC 25/250mcg 120d</t>
  </si>
  <si>
    <t>25mcg + 250mcg/
120 liều</t>
  </si>
  <si>
    <t>CB6C</t>
  </si>
  <si>
    <t>DJ2E</t>
  </si>
  <si>
    <t>N3-352-1</t>
  </si>
  <si>
    <t>Sibetinic 10</t>
  </si>
  <si>
    <t>N1-827-4</t>
  </si>
  <si>
    <t>78104</t>
  </si>
  <si>
    <t>N3-831-1</t>
  </si>
  <si>
    <t>Sitagibes 50</t>
  </si>
  <si>
    <t>Sitagliptin</t>
  </si>
  <si>
    <t>010919</t>
  </si>
  <si>
    <t>N3-51-2</t>
  </si>
  <si>
    <t>819317</t>
  </si>
  <si>
    <t>N1-739-1</t>
  </si>
  <si>
    <t>N3-732-1</t>
  </si>
  <si>
    <t>050220</t>
  </si>
  <si>
    <t>260320</t>
  </si>
  <si>
    <t>490620</t>
  </si>
  <si>
    <t>N3-50-9</t>
  </si>
  <si>
    <t>N3-710-2</t>
  </si>
  <si>
    <t>Spas-Agi 60</t>
  </si>
  <si>
    <t>Alverin citrat</t>
  </si>
  <si>
    <t>021219</t>
  </si>
  <si>
    <t>N4-592-9</t>
  </si>
  <si>
    <t>02718</t>
  </si>
  <si>
    <t>N2-69-2</t>
  </si>
  <si>
    <t>301219</t>
  </si>
  <si>
    <t>N3-701-1</t>
  </si>
  <si>
    <t>717</t>
  </si>
  <si>
    <t>N2-981-1</t>
  </si>
  <si>
    <t>N2-695-1</t>
  </si>
  <si>
    <t>Sunpranza</t>
  </si>
  <si>
    <t>N3-889-1</t>
  </si>
  <si>
    <t>Syseye</t>
  </si>
  <si>
    <t>Hydroxypropylmethylcellulose</t>
  </si>
  <si>
    <t>45mg/15ml</t>
  </si>
  <si>
    <t>0040520</t>
  </si>
  <si>
    <t>N1-702-3</t>
  </si>
  <si>
    <t>Tanganil 500mg Comp B/30 (PF)</t>
  </si>
  <si>
    <t>2016002</t>
  </si>
  <si>
    <t>N3-543-2</t>
  </si>
  <si>
    <t>Telzid 80/12.5</t>
  </si>
  <si>
    <t>80mg +12,5mg</t>
  </si>
  <si>
    <t>N3-1019-1</t>
  </si>
  <si>
    <t>N3-80-2</t>
  </si>
  <si>
    <t>N1-1012-1</t>
  </si>
  <si>
    <t>Theostat L.P. 100mg</t>
  </si>
  <si>
    <t>Theophylin</t>
  </si>
  <si>
    <t>G00504</t>
  </si>
  <si>
    <t>N1-1012-2</t>
  </si>
  <si>
    <t>Hydroclorothiazid</t>
  </si>
  <si>
    <t>N3-677-1</t>
  </si>
  <si>
    <t>Thiazifar</t>
  </si>
  <si>
    <t>0111019</t>
  </si>
  <si>
    <t>0010118</t>
  </si>
  <si>
    <t>N3-864-1</t>
  </si>
  <si>
    <t>Topernak 150</t>
  </si>
  <si>
    <t>Tolperison</t>
  </si>
  <si>
    <t>020918</t>
  </si>
  <si>
    <t>N3-1026-2</t>
  </si>
  <si>
    <t>Oxomemazin + guaifenesin + paracetamol + natri benzoat</t>
  </si>
  <si>
    <t>1,65mg + 33,3mg
+ 33,3mg +33,3mg</t>
  </si>
  <si>
    <t>27060818</t>
  </si>
  <si>
    <t>N2-688-4</t>
  </si>
  <si>
    <t>Trimafort</t>
  </si>
  <si>
    <t>104873</t>
  </si>
  <si>
    <t>N1-497-1</t>
  </si>
  <si>
    <t>N3-1022-1</t>
  </si>
  <si>
    <t>Eprazinon</t>
  </si>
  <si>
    <t>1030319</t>
  </si>
  <si>
    <t>Tusalene</t>
  </si>
  <si>
    <t>0911219</t>
  </si>
  <si>
    <t>1550320</t>
  </si>
  <si>
    <t>N5-507-7</t>
  </si>
  <si>
    <t>Twynsta 40mg + 5mg</t>
  </si>
  <si>
    <t>Amlodipin + Telmisartan</t>
  </si>
  <si>
    <t>5mg + 40mg</t>
  </si>
  <si>
    <t>907104</t>
  </si>
  <si>
    <t>N1-812-3</t>
  </si>
  <si>
    <t>Progesteron</t>
  </si>
  <si>
    <t>1997</t>
  </si>
  <si>
    <t>Vaco - Pola 2</t>
  </si>
  <si>
    <t>N3-739-1</t>
  </si>
  <si>
    <t>Vacometa</t>
  </si>
  <si>
    <t>N3-1070-5</t>
  </si>
  <si>
    <t>Vaconeurobal 500</t>
  </si>
  <si>
    <t>0390120</t>
  </si>
  <si>
    <t>N3-694-3</t>
  </si>
  <si>
    <t>N3-50-19</t>
  </si>
  <si>
    <t>Vadol Flu' S</t>
  </si>
  <si>
    <t>Paracetamol + Chlopheniramin + Dextromethorphan</t>
  </si>
  <si>
    <t>500mg + 2mg + 15mg</t>
  </si>
  <si>
    <t>VasHasan MR</t>
  </si>
  <si>
    <t>00720</t>
  </si>
  <si>
    <t>N3-66-5</t>
  </si>
  <si>
    <t>Vasomin 750</t>
  </si>
  <si>
    <t>0160420</t>
  </si>
  <si>
    <t>Venokern 500mg</t>
  </si>
  <si>
    <t>R103</t>
  </si>
  <si>
    <t>N1-701-1</t>
  </si>
  <si>
    <t>L87857</t>
  </si>
  <si>
    <t>N1-1007-3</t>
  </si>
  <si>
    <t>Ventolin Inh 100mcg 200Dose</t>
  </si>
  <si>
    <t xml:space="preserve">100mcg/liều x 200 liều </t>
  </si>
  <si>
    <t>ED9A</t>
  </si>
  <si>
    <t>N1-1007-1</t>
  </si>
  <si>
    <t>FV0616</t>
  </si>
  <si>
    <t>N1-1007-2</t>
  </si>
  <si>
    <t>FW0472</t>
  </si>
  <si>
    <t>N1-678-1</t>
  </si>
  <si>
    <t>N3-30-2</t>
  </si>
  <si>
    <t>12030918</t>
  </si>
  <si>
    <t>Vinphastu</t>
  </si>
  <si>
    <t>N3-298-2</t>
  </si>
  <si>
    <t>Zolomax Fort</t>
  </si>
  <si>
    <t>020319</t>
  </si>
  <si>
    <t>Zyrova 20</t>
  </si>
  <si>
    <t xml:space="preserve">Rosuvastatin </t>
  </si>
  <si>
    <t>N2-1048-4</t>
  </si>
  <si>
    <t>0.9% Sodium Chloride Solution for I.V. Infusion</t>
  </si>
  <si>
    <t>106.N3-56-1</t>
  </si>
  <si>
    <t>5% x 500ml</t>
  </si>
  <si>
    <t>N3-1047-1</t>
  </si>
  <si>
    <t>20%  250ml</t>
  </si>
  <si>
    <t>86NLN006</t>
  </si>
  <si>
    <t>0,9% 500ml</t>
  </si>
  <si>
    <t>N1-485-2</t>
  </si>
  <si>
    <t>Tinh bột este hóa (hydroxyethylstarch)</t>
  </si>
  <si>
    <t>(HES 200.000 dalton/0,5) 6%/500ml</t>
  </si>
  <si>
    <t>61010517</t>
  </si>
  <si>
    <t>N2-1053-1</t>
  </si>
  <si>
    <t>86ODP068</t>
  </si>
  <si>
    <t>N3-1053-1</t>
  </si>
  <si>
    <t>N3-218-1</t>
  </si>
  <si>
    <t>Agimycob</t>
  </si>
  <si>
    <t>Metronidazol + neomycin + nystatin</t>
  </si>
  <si>
    <t>500mg + 65.000UI + 100.000UI</t>
  </si>
  <si>
    <t>020120</t>
  </si>
  <si>
    <t>N3-159-9</t>
  </si>
  <si>
    <t>Auclanityl 562,5mg</t>
  </si>
  <si>
    <t>N1-159-3</t>
  </si>
  <si>
    <t>Axuka</t>
  </si>
  <si>
    <t>P262372</t>
  </si>
  <si>
    <t>N4-165-7</t>
  </si>
  <si>
    <t>Bicelor 500</t>
  </si>
  <si>
    <t>320003</t>
  </si>
  <si>
    <t>N5-240-1</t>
  </si>
  <si>
    <t>19005</t>
  </si>
  <si>
    <t>N3-165-3</t>
  </si>
  <si>
    <t>010720</t>
  </si>
  <si>
    <t>N5-165-3</t>
  </si>
  <si>
    <t>N3-165-4</t>
  </si>
  <si>
    <t>Cefaclor 250mg</t>
  </si>
  <si>
    <t>N3-166-2</t>
  </si>
  <si>
    <t>Cefadroxil 250mg</t>
  </si>
  <si>
    <t>N2-166-4</t>
  </si>
  <si>
    <t>Cefadroxil PMP 250mg</t>
  </si>
  <si>
    <t>030719</t>
  </si>
  <si>
    <t>N3-188-2</t>
  </si>
  <si>
    <t>010520</t>
  </si>
  <si>
    <t>N3-167-2</t>
  </si>
  <si>
    <t>010119</t>
  </si>
  <si>
    <t>N1-158-2</t>
  </si>
  <si>
    <t>N3-247-1</t>
  </si>
  <si>
    <t>Cotrimoxazol 480mg</t>
  </si>
  <si>
    <t>400mg + 80mg</t>
  </si>
  <si>
    <t>N1-211-1</t>
  </si>
  <si>
    <t>Tobramycin + dexamethason</t>
  </si>
  <si>
    <t>15mg + 5mg. Lọ 5ml</t>
  </si>
  <si>
    <t>N3-226-2</t>
  </si>
  <si>
    <t>1860417</t>
  </si>
  <si>
    <t>Eszol Tablet</t>
  </si>
  <si>
    <t>Itraconazol</t>
  </si>
  <si>
    <t>N1-210-1</t>
  </si>
  <si>
    <t>Eyetobrin 0.3%</t>
  </si>
  <si>
    <t>0.3%, 5ml</t>
  </si>
  <si>
    <t>19384</t>
  </si>
  <si>
    <t>N3-304-1</t>
  </si>
  <si>
    <t>5%</t>
  </si>
  <si>
    <t>18021LN</t>
  </si>
  <si>
    <t>N3-304-2</t>
  </si>
  <si>
    <t>341018</t>
  </si>
  <si>
    <t>090520</t>
  </si>
  <si>
    <t>N2-300-1</t>
  </si>
  <si>
    <t xml:space="preserve">Gyno-pevaryl Depot </t>
  </si>
  <si>
    <t>Econazol</t>
  </si>
  <si>
    <t>HLJ0000</t>
  </si>
  <si>
    <t>N3-158-2</t>
  </si>
  <si>
    <t>N3-230-2</t>
  </si>
  <si>
    <t>1660718</t>
  </si>
  <si>
    <t>1520320</t>
  </si>
  <si>
    <t>1640320</t>
  </si>
  <si>
    <t>N2-273-5</t>
  </si>
  <si>
    <t>E2D111</t>
  </si>
  <si>
    <t>N3-306-1</t>
  </si>
  <si>
    <t>Ketoderm</t>
  </si>
  <si>
    <t>2%. Tube 10g</t>
  </si>
  <si>
    <t>19102</t>
  </si>
  <si>
    <t>20101</t>
  </si>
  <si>
    <t>N4-173-2</t>
  </si>
  <si>
    <t>171218</t>
  </si>
  <si>
    <t>N1-166-6</t>
  </si>
  <si>
    <t>K2G007</t>
  </si>
  <si>
    <t>N3-207-3</t>
  </si>
  <si>
    <t>Neomycin + polymyxin B + dexamethason</t>
  </si>
  <si>
    <t>35mg + 100.000IU/ml + 10mg. lọ 10ml</t>
  </si>
  <si>
    <t>0291219</t>
  </si>
  <si>
    <t>N3-159-8</t>
  </si>
  <si>
    <t>Midagentin 250/62,5</t>
  </si>
  <si>
    <t xml:space="preserve"> 250mg + 62,5mg</t>
  </si>
  <si>
    <t>N4-188-3</t>
  </si>
  <si>
    <t>Midancef 125</t>
  </si>
  <si>
    <t>N2-173-7</t>
  </si>
  <si>
    <t>NEGACEF 500</t>
  </si>
  <si>
    <t>321018</t>
  </si>
  <si>
    <t>N3-203-1</t>
  </si>
  <si>
    <t>Neomycin (sulfat)</t>
  </si>
  <si>
    <t>0.5%, 5ml</t>
  </si>
  <si>
    <t>0050420</t>
  </si>
  <si>
    <t>N2-306-1</t>
  </si>
  <si>
    <t>Nizoral cream 10g</t>
  </si>
  <si>
    <t>2%. tube 10g</t>
  </si>
  <si>
    <t>20D19</t>
  </si>
  <si>
    <t>20D26</t>
  </si>
  <si>
    <t>N3-310-3</t>
  </si>
  <si>
    <t>N3-310-2</t>
  </si>
  <si>
    <t>Nystatin 25000 IU</t>
  </si>
  <si>
    <t>007191</t>
  </si>
  <si>
    <t>Nystatin 500.000UI</t>
  </si>
  <si>
    <t>110620</t>
  </si>
  <si>
    <t>N4-166-5</t>
  </si>
  <si>
    <t>pms - Imedroxil 500 mg</t>
  </si>
  <si>
    <t>N2-165-4</t>
  </si>
  <si>
    <t>N3-224-4</t>
  </si>
  <si>
    <t>Quafa-Azi 250 mg</t>
  </si>
  <si>
    <t>N3-171-3</t>
  </si>
  <si>
    <t>N3-229-3</t>
  </si>
  <si>
    <t>1,5M UI</t>
  </si>
  <si>
    <t>2781019</t>
  </si>
  <si>
    <t>N3-229-4</t>
  </si>
  <si>
    <t>Spiramycin 3MIU</t>
  </si>
  <si>
    <t>3M UI</t>
  </si>
  <si>
    <t>7580420</t>
  </si>
  <si>
    <t>811219</t>
  </si>
  <si>
    <t>327</t>
  </si>
  <si>
    <t>N3-254-1</t>
  </si>
  <si>
    <t>0.01</t>
  </si>
  <si>
    <t>090917</t>
  </si>
  <si>
    <t>N3-211-1</t>
  </si>
  <si>
    <t>Tobidex</t>
  </si>
  <si>
    <t>15mg + 5mg. lọ 5ml</t>
  </si>
  <si>
    <t>20002</t>
  </si>
  <si>
    <t>N3-210-1</t>
  </si>
  <si>
    <t>Tobramycin 0,3%</t>
  </si>
  <si>
    <t>15</t>
  </si>
  <si>
    <t>N3-181-4</t>
  </si>
  <si>
    <t>Vipocef 200</t>
  </si>
  <si>
    <t>05210218</t>
  </si>
  <si>
    <t>N4-224-2</t>
  </si>
  <si>
    <t>2019</t>
  </si>
  <si>
    <t>N4-224-1</t>
  </si>
  <si>
    <t>2018</t>
  </si>
  <si>
    <t>1331219</t>
  </si>
  <si>
    <t>N1-1001-1</t>
  </si>
  <si>
    <t>Symbicort Tur Oth 60 Dose 160/4.5</t>
  </si>
  <si>
    <t>Budesonid + formoterol</t>
  </si>
  <si>
    <t>160mcg + 4,5mcg/liều; 60 liều</t>
  </si>
  <si>
    <t>XHFH</t>
  </si>
  <si>
    <t>ĐY1-138-VNC</t>
  </si>
  <si>
    <t>AN THẦN BỔ TÂM</t>
  </si>
  <si>
    <t>Sinh địa, Mạch môn, Thiên môn, Táo nhân, Bá tử nhân, Huyền sâm, Viễn chí, Ngũ vị tử, Đảng sâm, Đương quy, Đan sâm, Phục thần, Cát cánh.</t>
  </si>
  <si>
    <t>400mg, 130mg, 130mg, 130mg, 139mg, 68mg, 68mg, 68mg, 130mg, 130mg, 68mg, 68mg, 68mg</t>
  </si>
  <si>
    <t>ĐY1-28-VNC</t>
  </si>
  <si>
    <t>ATILIVER DIỆP HẠ CHÂU</t>
  </si>
  <si>
    <t>Diệp hạ châu đắng, Xuyên tâm liên, Bồ công anh, Cỏ mực</t>
  </si>
  <si>
    <t>800mg, 200mg, 200mg, 200mg</t>
  </si>
  <si>
    <t>ĐY2-144-CL</t>
  </si>
  <si>
    <t>BÁCH HẠNH 
CHỈ KHÁI LỘ</t>
  </si>
  <si>
    <t>12g, 8g, 12g, 12g, 12g, 6g, 12g, 5,6g, 10g, 10g, 4g, 6g, 6g, 8g, 6g, 6g, 8g, 8g</t>
  </si>
  <si>
    <t>300619</t>
  </si>
  <si>
    <t>ĐY1-36-VBP</t>
  </si>
  <si>
    <t>Kim tiền thảo, Chỉ thực, Nhân trần, Hậu Phác, Hoàng cầm, Bạch mao căn, Nghệ, Binh lang, Mộc hương, Đại Hoàng</t>
  </si>
  <si>
    <t>90mg, Cao khô hỗn hợp (Chỉ thực, Nhân trần, Hậu Phác, Hoàng cầm, Bạch mao căn, Nghệ, Binh lang): 230mg, Mộc hương: 100mg, Đại Hoàng: 50mg</t>
  </si>
  <si>
    <t>060420</t>
  </si>
  <si>
    <t>ĐY1-196-VNC</t>
  </si>
  <si>
    <t>Bổ huyết điều kinh</t>
  </si>
  <si>
    <t>Đảng sâm, Phục linh, Bạch truật, Cam thảo, Thục địa, Bạch thược, Đương quy, Xuyên khung, Ích mẫu</t>
  </si>
  <si>
    <t>0,1g, 0,1g, 0,1g, 0,05g, 0,2g, 0,1g, 0,2g, 0,1g, 0,3g</t>
  </si>
  <si>
    <t>ĐY1-129-VNC</t>
  </si>
  <si>
    <t>1,3g, 40mg</t>
  </si>
  <si>
    <t>190011</t>
  </si>
  <si>
    <t>011018</t>
  </si>
  <si>
    <t>ĐY2-82-CL</t>
  </si>
  <si>
    <t>Bổ tỳ Bảo Phương</t>
  </si>
  <si>
    <t>Bạch truật,Bạch linh, Hoàng kỳ, Toan táo nhân,Đẳng sâm, Mộc hương, Cam thảo, Đương quy, Viễn chí, Long nhãn, Đại táo.</t>
  </si>
  <si>
    <t>10,8g, 6,75g, 6,75g, 9,0g, 7,5g, 3,0g, 3,0g, 9,0g, 6,75g, 9,0g, 6,75g</t>
  </si>
  <si>
    <t>090619</t>
  </si>
  <si>
    <t>ĐY1-4-VNC</t>
  </si>
  <si>
    <t>ĐY2-40-CL</t>
  </si>
  <si>
    <t>ĐY1-65-CL</t>
  </si>
  <si>
    <t>ĐY2-58-CL</t>
  </si>
  <si>
    <t>CAO PHONG THẤP</t>
  </si>
  <si>
    <t>Độc hoạt, Quế chi, Phòng phong, Đương quy, Tế tân, Xuyên khung, Tần giao, Bạch thược, Tang ký sinh,Thục địa, Đỗ trọng, Ngưu tất,Bạch linh, Cam thảo, Đảng sâm</t>
  </si>
  <si>
    <t>14,8g, 6,2g, 8,1g, 8,1g, 6,2g, 12,9g, 8,1g, 10,9g, 15,1g, 9,1g, 10,9g, 8,1g, 8,1g, 6,2g, 8,1g</t>
  </si>
  <si>
    <t>290619</t>
  </si>
  <si>
    <t>ĐY1-117-VNC</t>
  </si>
  <si>
    <t xml:space="preserve">Crinaphusa - Trinh nữ hoàng cung </t>
  </si>
  <si>
    <t>Cao khô Trinh nữ hoàng cung.</t>
  </si>
  <si>
    <t>19007</t>
  </si>
  <si>
    <t>ĐY1-93-VNC</t>
  </si>
  <si>
    <t>Dạ dày tá tràng – f</t>
  </si>
  <si>
    <t>126mg, 274mg, 500mg</t>
  </si>
  <si>
    <t>0920</t>
  </si>
  <si>
    <t>ĐY1-94-VBP</t>
  </si>
  <si>
    <t>Đại tràng - HD</t>
  </si>
  <si>
    <t>Kha tử, Mộc hương, Hoàng liên, Bạch truật, Cam thảo, Bạch thược</t>
  </si>
  <si>
    <t>200mg, 100mg, 50mg, 10mg, 25mg, 10mg</t>
  </si>
  <si>
    <t>020220</t>
  </si>
  <si>
    <t>ĐY1-21-VBĐ</t>
  </si>
  <si>
    <t>040818</t>
  </si>
  <si>
    <t>ĐY1-89-VBP</t>
  </si>
  <si>
    <t>011117</t>
  </si>
  <si>
    <t>ĐY1-58-VNC</t>
  </si>
  <si>
    <t>Độc hoạt, Quế nhục, Phòng phong, Đương quy, Tế tân, Xuyên khung, Tần giao, Bạch thược, Tang ký sinh, Địa hoàng, Đỗ trọng, Ngưu tất, Phục linh, Cam thảo, Đảng sâm</t>
  </si>
  <si>
    <t>148mg, 92mg, 92mg, 92mg, 60mg, 92mg, 104mg, 300mg, 240mg, 184mg, 148mg, 148mg, 120mg, 60mg, 120mg</t>
  </si>
  <si>
    <t>1320</t>
  </si>
  <si>
    <t>ĐY1-54-HC</t>
  </si>
  <si>
    <t>Dưỡng cốt hoàn</t>
  </si>
  <si>
    <t>túi</t>
  </si>
  <si>
    <t>2320</t>
  </si>
  <si>
    <t>ĐY1-131-VBP</t>
  </si>
  <si>
    <t>Hoài sơn, Liên nhục, Liên tâm, Lá dâu, Lá vông, Bá tử nhân, Toan táo nhân, Long nhãn</t>
  </si>
  <si>
    <t>100mg, 35mg, 65mg, 91,25mg, 91,25mg, 91,25mg, 91,25mg, 91,25mg</t>
  </si>
  <si>
    <t>ĐY1-112-CL</t>
  </si>
  <si>
    <t xml:space="preserve">Fitôbaby </t>
  </si>
  <si>
    <t>Sử quân tử, Binh lang, Nhục đậu khấu, Lục thần khúc, Mạch nha, Hồ hoàng liên, Mộc hương</t>
  </si>
  <si>
    <t>22.5g, 22.5g,12.5g, 12.5g, 10g, 2.5g, 2.5g</t>
  </si>
  <si>
    <t>ĐY1-171-VNC</t>
  </si>
  <si>
    <t>Thục địa, Phục linh, Hoài sơn, Sơn thù, Trạch tả, Xa tiền tử, Ngưu tất, Mẫu đơn bì, Nhục quế, Phụ tử chế</t>
  </si>
  <si>
    <t>700mg, 530mg, 350mg, 350mg, 265mg, 180mg, 180mg, 265mg, 90mg, 90mg.</t>
  </si>
  <si>
    <t>ĐY1-162-VNC</t>
  </si>
  <si>
    <t>0620</t>
  </si>
  <si>
    <t>ĐY1-204-VNC</t>
  </si>
  <si>
    <t xml:space="preserve">Fitôrhi – f </t>
  </si>
  <si>
    <t>Bạch chỉ; Tân di hoa; Thương nhĩ tử; Tinh dầu Bạc hà</t>
  </si>
  <si>
    <t>1400mg, 700mg, 400mg, 0.0045ml</t>
  </si>
  <si>
    <t>ĐY1-10-VNC</t>
  </si>
  <si>
    <t>ĐY2-45-VNC</t>
  </si>
  <si>
    <t>ĐY1-186-VNC</t>
  </si>
  <si>
    <t>150mg, 150mg, 150mg, 300mg</t>
  </si>
  <si>
    <t>ĐY2-143-HC</t>
  </si>
  <si>
    <t>HOA ĐÀ TÁI TẠO HOÀN</t>
  </si>
  <si>
    <t>2,4g, 2,4g, 2,4g, 2,4g, 1,6g, 2,4g, 1,6g, 2,4g, 0,08g</t>
  </si>
  <si>
    <t>ĐY1-193-HC</t>
  </si>
  <si>
    <t>Hoàn lục vị bổ thận âm</t>
  </si>
  <si>
    <t>96,0mg, 48,0mg, 48,0mg, 36,0mg, 36,0mg, 36,0mg</t>
  </si>
  <si>
    <t>ĐY1-150-SR</t>
  </si>
  <si>
    <t>Hoastex</t>
  </si>
  <si>
    <t>45g, 11,25g, 83,7mg</t>
  </si>
  <si>
    <t>20023</t>
  </si>
  <si>
    <t>ĐY1-127-VNC1</t>
  </si>
  <si>
    <t>Hoạt huyết dưỡng não</t>
  </si>
  <si>
    <t>75mg, 40mg</t>
  </si>
  <si>
    <t>ĐY1-127-VBP</t>
  </si>
  <si>
    <t>Hoạt huyết dưỡng não ACP</t>
  </si>
  <si>
    <t>15mg, 40mg</t>
  </si>
  <si>
    <t>ĐY1-181-CL.chai</t>
  </si>
  <si>
    <t>20g, 30g, 30g, 30g, 20g, 40g, 15g</t>
  </si>
  <si>
    <t>ĐY1-20-VNM</t>
  </si>
  <si>
    <t>060703</t>
  </si>
  <si>
    <t>ĐY1-67-VNC</t>
  </si>
  <si>
    <t>KHANG MINH PHONG THẤP NANG</t>
  </si>
  <si>
    <t>400mg, 600mg, 600mg, 600mg</t>
  </si>
  <si>
    <t>ĐY1-209-VNC</t>
  </si>
  <si>
    <t>KHANG MINH TỶ VIÊM NANG</t>
  </si>
  <si>
    <t>600mg, 300mg, 300mg, 300mg, 50mg</t>
  </si>
  <si>
    <t>ĐY1-37-VNC</t>
  </si>
  <si>
    <t>ĐY1-37-VBĐ</t>
  </si>
  <si>
    <t>ĐY1-201-CL</t>
  </si>
  <si>
    <t>KIMAZEN BỔ HUYẾT ĐIỀU KINH</t>
  </si>
  <si>
    <t>Thục địa, Đương quy, Bạch thược, Xuyên khung, Ích mẫu, Ngải cứu, Hương phụ</t>
  </si>
  <si>
    <t>0,48g, 0,48g, 0,32g, 0,24g, 0,96g, 0,48g, 0,48g</t>
  </si>
  <si>
    <t>20003</t>
  </si>
  <si>
    <t>ĐY1-163-VNC</t>
  </si>
  <si>
    <t>0420</t>
  </si>
  <si>
    <t>ĐY1-151-SR1</t>
  </si>
  <si>
    <t>Massoft</t>
  </si>
  <si>
    <t>Lá thường xuân</t>
  </si>
  <si>
    <t>700mg</t>
  </si>
  <si>
    <t>134219</t>
  </si>
  <si>
    <t>0118</t>
  </si>
  <si>
    <t>ĐY2-103-TC</t>
  </si>
  <si>
    <t>PHONG LIỄU TRÀNG VỊ KHANG</t>
  </si>
  <si>
    <t xml:space="preserve"> gói </t>
  </si>
  <si>
    <t>ĐY1-61-CL</t>
  </si>
  <si>
    <t xml:space="preserve">Phong tê thấp  </t>
  </si>
  <si>
    <t>Hà thủ ô đỏ, Thổ phục linh, Thương nhĩ Tử, Hy Thiêm, Thiên niên kiện, Đương quy, Huyết giác</t>
  </si>
  <si>
    <t>30g, 30g, 30g, 30g, 17g, 16.5g, 16.5g</t>
  </si>
  <si>
    <t>1620</t>
  </si>
  <si>
    <t>ĐY1-25-VNC</t>
  </si>
  <si>
    <t>1,8g, 0,5g, 0,05g, 0,05g, 1,5g</t>
  </si>
  <si>
    <t>ĐY1-62-VNC</t>
  </si>
  <si>
    <t>1520</t>
  </si>
  <si>
    <t>ĐY1-212-VNM</t>
  </si>
  <si>
    <t>Sáng mắt</t>
  </si>
  <si>
    <t>Thục địa, Hoài sơn, Trạch tả, Cúc hoa, Thảo quyết minh, Hạ khô thảo, Hà thủ ô đỏ, Đương quy</t>
  </si>
  <si>
    <t>206mg, 247mg, 206mg, 112mg, 286mg, 50mg, 221mg, 160mg</t>
  </si>
  <si>
    <t>0320</t>
  </si>
  <si>
    <t>ĐY1-79-SR</t>
  </si>
  <si>
    <t>SIRO BỔ TỲ P/H</t>
  </si>
  <si>
    <t>Bạch truật; Đảng sâm; Liên nhục; Cát cánh; Sa nhân; Cam thảo, Bạch linh; Trần bì, Mạch nha, Long nhãn, Sử quân tử, Bán hạ</t>
  </si>
  <si>
    <t>15g, 15g, 4g, 12g, 4g, 6g, 10g, 4g, 10g, 6g, 4g, 4g</t>
  </si>
  <si>
    <t>ĐY1-165-VNC</t>
  </si>
  <si>
    <t>0720</t>
  </si>
  <si>
    <t>ĐY1-118-VBP</t>
  </si>
  <si>
    <t>081019</t>
  </si>
  <si>
    <t>ĐY1-73-HC</t>
  </si>
  <si>
    <t>THẤP KHỚP HOÀN P/H</t>
  </si>
  <si>
    <t>Tần giao, Đỗ trọng, Ngưu tất, Độc hoạt, Phòng phong, Phục linh, Xuyên khung, Tục đoạn, Hoàng kỳ, Bạch thược, Cam thảo, Đương quy, Thiên niên kiện.</t>
  </si>
  <si>
    <t>0,1g, 0,1g, 0,15g, 0,12g, 0,5g, 0,4g, 0,5g, 0,5g, 0,5g, 0,5g, 0,4g, 0,5g, 0,40g</t>
  </si>
  <si>
    <t>ĐY1-161-HC.goi</t>
  </si>
  <si>
    <t>750mg, 500mg, 500mg, 125mg, 750mg, 250mg, 500mg, 500mg, 250mg, 500mg</t>
  </si>
  <si>
    <t>ĐY1-207-XM</t>
  </si>
  <si>
    <t>Thông xoang Nam Dược</t>
  </si>
  <si>
    <t>Ngũ sắc, Tân di hoa, Thương Nhĩ Tử</t>
  </si>
  <si>
    <t>5g, 5g, 5g</t>
  </si>
  <si>
    <t>20-0001</t>
  </si>
  <si>
    <t>ĐY1-208-VNC</t>
  </si>
  <si>
    <t>Thông xoang tán Nam Dược</t>
  </si>
  <si>
    <t>Tân di, Cảo bản, Bạch chỉ, Phòng phong, Tế tân, Xuyên khung, Thăng ma, Cam thảo</t>
  </si>
  <si>
    <t>200mg, 200mg, 300mg, 200mg, 200mg, 100mg, 200mg, 100mg</t>
  </si>
  <si>
    <t>20-1001</t>
  </si>
  <si>
    <t>ĐY1-158-NT.1</t>
  </si>
  <si>
    <t>Thuốc ho người lớn OPC</t>
  </si>
  <si>
    <t>Tỳ bà diệp, Cát cánh, Bách bộ, Tiền hồ, Tang bạch bì, Thiên môn, Phục linh, Cam thảo, Hoàng cầm, Cineol, Menthol</t>
  </si>
  <si>
    <t>16,2g, 1,8g, 2,79g, 1,8g, 1,8g, 2,7g, 1,8g, 0,9g, 1,8g, 18mg, 18mg</t>
  </si>
  <si>
    <t>20020</t>
  </si>
  <si>
    <t>ĐY1-57-VBP</t>
  </si>
  <si>
    <t>330mg, 330mg, 330mg, 330mg, 330mg, 330mg, 330mg, 330mg, 330mg, 60mg, 60mg, 60mg, 60mg, 30mg</t>
  </si>
  <si>
    <t>ĐY1-26-VBP</t>
  </si>
  <si>
    <t>050518</t>
  </si>
  <si>
    <t>ĐY1-179-VNC</t>
  </si>
  <si>
    <t>VIÊN BÁT TRÂN OCTUPPER</t>
  </si>
  <si>
    <t>Đương quy, Xuyên khung, Thục địa, Bạch thược,Đảng sâm,Phục linh, Bạch truật, Cam thảo</t>
  </si>
  <si>
    <t>250mg, 250mg, 250mg, 250mg, 250mg, 250mg, 250mg, 125mg</t>
  </si>
  <si>
    <t>061119</t>
  </si>
  <si>
    <t>ĐY1-211-VNC</t>
  </si>
  <si>
    <t>Thục địa, Hoài sơn, Đan bì,Phục linh, Trạch tả, Sơn thù, Câu kỷ tử, Cúc hoa.</t>
  </si>
  <si>
    <t>320 mg, 160 mg, 120 mg, 120 mg, 120 mg, 160 mg, 120 mg, 120 mg</t>
  </si>
  <si>
    <t>19003</t>
  </si>
  <si>
    <t>ĐY1-107-VNC</t>
  </si>
  <si>
    <t>Viên nang bổ trung ích khí</t>
  </si>
  <si>
    <t>Đảng sâm, Hoàng kỳ, Đương quy, Bạch truật, Thăng ma, Sài hồ, Trần bì, Cam thảo,Sinh khương</t>
  </si>
  <si>
    <t>300mg, 1000mg, 300mg, 300mg, 300mg, 300mg, 300mg, 100mg, 100mg</t>
  </si>
  <si>
    <t>20001</t>
  </si>
  <si>
    <t>0180</t>
  </si>
  <si>
    <t>Betaloc Zok 50mg</t>
  </si>
  <si>
    <t>N3-782-1</t>
  </si>
  <si>
    <t xml:space="preserve"> 0,5mg</t>
  </si>
  <si>
    <t>104619</t>
  </si>
  <si>
    <t>106.N3-52-1</t>
  </si>
  <si>
    <t>A.T GENTAMYCINE</t>
  </si>
  <si>
    <t>1429001</t>
  </si>
  <si>
    <t>AGIMOL 150</t>
  </si>
  <si>
    <t>106.N3-5-1</t>
  </si>
  <si>
    <t>106.N2-8-1</t>
  </si>
  <si>
    <t>AMLODAC 5</t>
  </si>
  <si>
    <t>G905437</t>
  </si>
  <si>
    <t>106.N3-13-1</t>
  </si>
  <si>
    <t>106.N3-12-1</t>
  </si>
  <si>
    <t>060620</t>
  </si>
  <si>
    <t>081119</t>
  </si>
  <si>
    <t>106.N3-15-1</t>
  </si>
  <si>
    <t>4340420</t>
  </si>
  <si>
    <t>106.N3-10-1</t>
  </si>
  <si>
    <t>20007</t>
  </si>
  <si>
    <t>106.N3-11-1</t>
  </si>
  <si>
    <t>AUGTIPHA 1g</t>
  </si>
  <si>
    <t>170720</t>
  </si>
  <si>
    <t>106.N3-9-1</t>
  </si>
  <si>
    <t>106.N3-16-1</t>
  </si>
  <si>
    <t>AZIEFTI 500mg</t>
  </si>
  <si>
    <t>106.N3-26-1</t>
  </si>
  <si>
    <t>106.N3-18-1</t>
  </si>
  <si>
    <t>1931219</t>
  </si>
  <si>
    <t>3671219</t>
  </si>
  <si>
    <t>106.N5-18-1</t>
  </si>
  <si>
    <t>2160420</t>
  </si>
  <si>
    <t>106.N1-18-1</t>
  </si>
  <si>
    <t>BROMHEXIN ACTAVIS 8mg</t>
  </si>
  <si>
    <t>106.N1-19-1</t>
  </si>
  <si>
    <t>Bupivacain (hydroclorid)</t>
  </si>
  <si>
    <t>106.BD-59-1</t>
  </si>
  <si>
    <t>925041</t>
  </si>
  <si>
    <t>B68166</t>
  </si>
  <si>
    <t>106.N1-60-1</t>
  </si>
  <si>
    <t>191312</t>
  </si>
  <si>
    <t>106.N3-21-1</t>
  </si>
  <si>
    <t>106.N3-27-1</t>
  </si>
  <si>
    <t>038-051119</t>
  </si>
  <si>
    <t>106.N1-37-1</t>
  </si>
  <si>
    <t>CILOXAN 0.3% 5ML 1'S</t>
  </si>
  <si>
    <t>19H09FH</t>
  </si>
  <si>
    <t>106.BD-36-1</t>
  </si>
  <si>
    <t>106.N3-35-1</t>
  </si>
  <si>
    <t>1190220</t>
  </si>
  <si>
    <t>106.N3-37-1</t>
  </si>
  <si>
    <t>0,3% /5ml</t>
  </si>
  <si>
    <t>106.N5-36-1</t>
  </si>
  <si>
    <t>CIPROFLOXACIN KABI</t>
  </si>
  <si>
    <t>86NEG018</t>
  </si>
  <si>
    <t>106.N3-41-1</t>
  </si>
  <si>
    <t>106.N1-7-1</t>
  </si>
  <si>
    <t>CORDARONE 200mg B/ 2bls x 15 Tabs</t>
  </si>
  <si>
    <t>9A010</t>
  </si>
  <si>
    <t>106.BD-7-1</t>
  </si>
  <si>
    <t>106.N3-104-1</t>
  </si>
  <si>
    <t>106.N3-44-1</t>
  </si>
  <si>
    <t>106.N3-92-3</t>
  </si>
  <si>
    <t>Effalgin</t>
  </si>
  <si>
    <t>350420</t>
  </si>
  <si>
    <t>380420</t>
  </si>
  <si>
    <t>106.N3-45-1</t>
  </si>
  <si>
    <t>106.N5-45-1</t>
  </si>
  <si>
    <t>106.N5-48-1</t>
  </si>
  <si>
    <t>106.N3-58-1</t>
  </si>
  <si>
    <t>GASTEROL</t>
  </si>
  <si>
    <t>518001</t>
  </si>
  <si>
    <t>106.N3-53-1</t>
  </si>
  <si>
    <t>106.N3-1-1</t>
  </si>
  <si>
    <t>00119</t>
  </si>
  <si>
    <t>106.N3-96-1</t>
  </si>
  <si>
    <t>4440220</t>
  </si>
  <si>
    <t>106.N3-61-1</t>
  </si>
  <si>
    <t>3480120</t>
  </si>
  <si>
    <t>460718</t>
  </si>
  <si>
    <t>106.N5-61-1</t>
  </si>
  <si>
    <t>106.N3-84-1</t>
  </si>
  <si>
    <t>1620818</t>
  </si>
  <si>
    <t>3790420</t>
  </si>
  <si>
    <t>106.N3-73-1</t>
  </si>
  <si>
    <t>106.N5-73-1</t>
  </si>
  <si>
    <t>106.N3-8-1</t>
  </si>
  <si>
    <t>106.N3-66-1</t>
  </si>
  <si>
    <t>40mg/ 2ml</t>
  </si>
  <si>
    <t>060119</t>
  </si>
  <si>
    <t>261118</t>
  </si>
  <si>
    <t>360720</t>
  </si>
  <si>
    <t>106.N3-68-1</t>
  </si>
  <si>
    <t>LOPERAMID</t>
  </si>
  <si>
    <t>030919</t>
  </si>
  <si>
    <t>106.N3-70-1</t>
  </si>
  <si>
    <t>MEBENDAZOL</t>
  </si>
  <si>
    <t>106.N5-70-1</t>
  </si>
  <si>
    <t>051019</t>
  </si>
  <si>
    <t>106.N1-72-1</t>
  </si>
  <si>
    <t>78907</t>
  </si>
  <si>
    <t>78909</t>
  </si>
  <si>
    <t>MENISON 4mg</t>
  </si>
  <si>
    <t>170918</t>
  </si>
  <si>
    <t>106.N3-74-1</t>
  </si>
  <si>
    <t>106.N3-76-1</t>
  </si>
  <si>
    <t>4050420</t>
  </si>
  <si>
    <t>4900320</t>
  </si>
  <si>
    <t>106.N3-79-1</t>
  </si>
  <si>
    <t>161119</t>
  </si>
  <si>
    <t>106.N3-78-1</t>
  </si>
  <si>
    <t>METRONIDAZOL KABI</t>
  </si>
  <si>
    <t>86MFN019</t>
  </si>
  <si>
    <t>106.N3-46-1</t>
  </si>
  <si>
    <t>MEYERLAPRIL 10</t>
  </si>
  <si>
    <t>106.N3-80-1</t>
  </si>
  <si>
    <t>00820</t>
  </si>
  <si>
    <t>023181</t>
  </si>
  <si>
    <t>121181</t>
  </si>
  <si>
    <t>011217</t>
  </si>
  <si>
    <t>120919</t>
  </si>
  <si>
    <t>106.N3-25-1</t>
  </si>
  <si>
    <t>106.N1-86-1</t>
  </si>
  <si>
    <t>OXYTOCIN</t>
  </si>
  <si>
    <t>A91041A</t>
  </si>
  <si>
    <t>A9B015A</t>
  </si>
  <si>
    <t>106.N3-93-1</t>
  </si>
  <si>
    <t>106.N5-93-1</t>
  </si>
  <si>
    <t>106.N1-92-3</t>
  </si>
  <si>
    <t>143420</t>
  </si>
  <si>
    <t>106.N3-88-2</t>
  </si>
  <si>
    <t>106.N3-92-1</t>
  </si>
  <si>
    <t>PARACETAMOL  500MG</t>
  </si>
  <si>
    <t>106.N3-91-1</t>
  </si>
  <si>
    <t>106.N3-95-1</t>
  </si>
  <si>
    <t>106.N3-54-1</t>
  </si>
  <si>
    <t>PYME DIAPRO MR</t>
  </si>
  <si>
    <t>106.N3-81-1</t>
  </si>
  <si>
    <t>PymeNife 10</t>
  </si>
  <si>
    <t>106.N3-97-1</t>
  </si>
  <si>
    <t>106.N1-8-1</t>
  </si>
  <si>
    <t>106.N1-46-1</t>
  </si>
  <si>
    <t>106.N1-45-1</t>
  </si>
  <si>
    <t>107619</t>
  </si>
  <si>
    <t>106.N1-5-1</t>
  </si>
  <si>
    <t>78171</t>
  </si>
  <si>
    <t>80503</t>
  </si>
  <si>
    <t>81284</t>
  </si>
  <si>
    <t>106.N2-88-2</t>
  </si>
  <si>
    <t>SaVi Pantoprazole 40</t>
  </si>
  <si>
    <t>1810355</t>
  </si>
  <si>
    <t>2003662</t>
  </si>
  <si>
    <t>106.N2-92-1</t>
  </si>
  <si>
    <t>106.N3-75-1</t>
  </si>
  <si>
    <t>17081</t>
  </si>
  <si>
    <t>19023</t>
  </si>
  <si>
    <t>106.N3-28-1</t>
  </si>
  <si>
    <t>SPREACEF</t>
  </si>
  <si>
    <t>Ceftriaxon*</t>
  </si>
  <si>
    <t>106.N2-50-1</t>
  </si>
  <si>
    <t>106.N2-21-1</t>
  </si>
  <si>
    <t>106.N4-92-2</t>
  </si>
  <si>
    <t>TATANOL</t>
  </si>
  <si>
    <t>910420</t>
  </si>
  <si>
    <t>106.N1-104-1</t>
  </si>
  <si>
    <t>VEROSPIRON 25mg</t>
  </si>
  <si>
    <t>T79222A</t>
  </si>
  <si>
    <t>T99442A</t>
  </si>
  <si>
    <t>106.N3-6-1</t>
  </si>
  <si>
    <t>Vinphacine</t>
  </si>
  <si>
    <t>Amikacin*</t>
  </si>
  <si>
    <t>500mg/2ml</t>
  </si>
  <si>
    <t>050919</t>
  </si>
  <si>
    <t>106.N3-50-1</t>
  </si>
  <si>
    <t>106.N3-51-1</t>
  </si>
  <si>
    <t>106.N4-74-1</t>
  </si>
  <si>
    <t>Vipredni 16mg</t>
  </si>
  <si>
    <t>N1-45-1</t>
  </si>
  <si>
    <t>Morphin (hydroclorid, sulfat)</t>
  </si>
  <si>
    <t>802071</t>
  </si>
  <si>
    <t>828073</t>
  </si>
  <si>
    <t>N1-958-1</t>
  </si>
  <si>
    <t>924005</t>
  </si>
  <si>
    <t>N1-15-1</t>
  </si>
  <si>
    <t>N1-958-2</t>
  </si>
  <si>
    <t>Seduxen 5mg</t>
  </si>
  <si>
    <t>T8B500A</t>
  </si>
  <si>
    <t>VC-N5-3</t>
  </si>
  <si>
    <t>Measles, Mumps and Rubella Vaccine Live, Attenuated (Freeze-dried)</t>
  </si>
  <si>
    <t>Vắc xin ngừa Sởi, Quai bị, Rubella</t>
  </si>
  <si>
    <t>N3-1077-4</t>
  </si>
  <si>
    <t>3B-Medi tab</t>
  </si>
  <si>
    <t>100mg + 200mg+200mcg</t>
  </si>
  <si>
    <t>N3-1061-4</t>
  </si>
  <si>
    <t>A.T Calcium 300</t>
  </si>
  <si>
    <t>N3-1061-1</t>
  </si>
  <si>
    <t>A.T Calmax 500</t>
  </si>
  <si>
    <t>500mg/10ml. chai 60ml</t>
  </si>
  <si>
    <t>N3-742-1</t>
  </si>
  <si>
    <t>A.T Zinc siro</t>
  </si>
  <si>
    <t>10mg/5ml 60ml</t>
  </si>
  <si>
    <t>0460002</t>
  </si>
  <si>
    <t>N3-445-3</t>
  </si>
  <si>
    <t>N3-1074-1</t>
  </si>
  <si>
    <t>090819</t>
  </si>
  <si>
    <t>N3-1088-1</t>
  </si>
  <si>
    <t>N3-1060-11</t>
  </si>
  <si>
    <t>01020</t>
  </si>
  <si>
    <t>N3-1067-1</t>
  </si>
  <si>
    <t xml:space="preserve">Calcitriol </t>
  </si>
  <si>
    <t>0.25μg</t>
  </si>
  <si>
    <t>N1-100-1</t>
  </si>
  <si>
    <t xml:space="preserve">Calcium Gluconate Proamp 10% </t>
  </si>
  <si>
    <t>Calci gluconat</t>
  </si>
  <si>
    <t>0,9g + 0,13g; 10ml</t>
  </si>
  <si>
    <t>4402107</t>
  </si>
  <si>
    <t>N3-1059-2</t>
  </si>
  <si>
    <t>Calcium Hasan 250mg</t>
  </si>
  <si>
    <t>Calci carbonat+ calci gluconolactat</t>
  </si>
  <si>
    <t>150mg + 1470mg</t>
  </si>
  <si>
    <t>N2-1059-3</t>
  </si>
  <si>
    <t>Calcium Stada 500 mg</t>
  </si>
  <si>
    <t>1311019</t>
  </si>
  <si>
    <t>N3-1061-6</t>
  </si>
  <si>
    <t>Calsfull</t>
  </si>
  <si>
    <t>7050219</t>
  </si>
  <si>
    <t>N3-1082-4</t>
  </si>
  <si>
    <t>10mg + 940mg</t>
  </si>
  <si>
    <t>Denstra</t>
  </si>
  <si>
    <t>300mg + 100 IU</t>
  </si>
  <si>
    <t>N5-1070-3</t>
  </si>
  <si>
    <t>N1-1065-1</t>
  </si>
  <si>
    <t>Fatig</t>
  </si>
  <si>
    <t>Calci glycerophosphat+ magnesi gluconat</t>
  </si>
  <si>
    <t>456mg + 426mg
ống 10ml</t>
  </si>
  <si>
    <t>314</t>
  </si>
  <si>
    <t>271</t>
  </si>
  <si>
    <t>N2-741-1</t>
  </si>
  <si>
    <t>N2-100-1</t>
  </si>
  <si>
    <t>N3-445-4</t>
  </si>
  <si>
    <t>Humared</t>
  </si>
  <si>
    <t>200mg + 1,5mg</t>
  </si>
  <si>
    <t>N3-1061-3</t>
  </si>
  <si>
    <t>Incat</t>
  </si>
  <si>
    <t>N3-1082-2</t>
  </si>
  <si>
    <t>Magnesi-B6</t>
  </si>
  <si>
    <t>5mg + 470mg</t>
  </si>
  <si>
    <t>042020</t>
  </si>
  <si>
    <t>122019</t>
  </si>
  <si>
    <t>N3-445-5</t>
  </si>
  <si>
    <t>Mezafulic</t>
  </si>
  <si>
    <t>305mg +350mcg</t>
  </si>
  <si>
    <t>321119</t>
  </si>
  <si>
    <t>560919</t>
  </si>
  <si>
    <t>N3-1061-2</t>
  </si>
  <si>
    <t>53</t>
  </si>
  <si>
    <t>72</t>
  </si>
  <si>
    <t>82</t>
  </si>
  <si>
    <t>N3-1082-3</t>
  </si>
  <si>
    <t>Neurixal</t>
  </si>
  <si>
    <t>N1-1034-1</t>
  </si>
  <si>
    <t>T83191A</t>
  </si>
  <si>
    <t>Vitamin C + rutine</t>
  </si>
  <si>
    <t>N2-1077-6</t>
  </si>
  <si>
    <t>N3-1077-2</t>
  </si>
  <si>
    <t xml:space="preserve">Vacob-Neurine </t>
  </si>
  <si>
    <t>125mg + 125mg + 125mcg</t>
  </si>
  <si>
    <t>N3-1085-2</t>
  </si>
  <si>
    <t>31L18</t>
  </si>
  <si>
    <t>Vinpha E</t>
  </si>
  <si>
    <t>Vitamin E</t>
  </si>
  <si>
    <t>N3-1077-3</t>
  </si>
  <si>
    <t>Vitamin 3B Plus</t>
  </si>
  <si>
    <t>125mg+ 125mg+250mcg</t>
  </si>
  <si>
    <t>0719</t>
  </si>
  <si>
    <t>N3-1075-1</t>
  </si>
  <si>
    <t>Vitamin A-D</t>
  </si>
  <si>
    <t>Vitamin A + D2 (Vitamin A + D3)</t>
  </si>
  <si>
    <t>N3-1076-2</t>
  </si>
  <si>
    <t>Vitamin B1</t>
  </si>
  <si>
    <t>1100220</t>
  </si>
  <si>
    <t>3210220</t>
  </si>
  <si>
    <t>N3-1081-2</t>
  </si>
  <si>
    <t>Vitamin B6 250</t>
  </si>
  <si>
    <t>0120120</t>
  </si>
  <si>
    <t>1380520</t>
  </si>
  <si>
    <t>N3-1084-6</t>
  </si>
  <si>
    <t>1340420</t>
  </si>
  <si>
    <t>N3-1084-5</t>
  </si>
  <si>
    <t>N3-1091-1</t>
  </si>
  <si>
    <t>3540718</t>
  </si>
  <si>
    <t>4520220</t>
  </si>
  <si>
    <t>6540420</t>
  </si>
  <si>
    <t>Vaccin</t>
  </si>
  <si>
    <t>THEO DÕI SỬ DỤNG THUỐC THẦU: 106 KHOẢN (màu đỏ); TẬP TRUNG BVĐK (màu đen); THẦU QUỐC GIA (màu xanh); BIỆT DƯỢC (xanh lá)</t>
  </si>
  <si>
    <t>Số lượng đã mua</t>
  </si>
  <si>
    <t>Tháng 01/2020</t>
  </si>
  <si>
    <t>Tháng 02/2020</t>
  </si>
  <si>
    <t>Tháng 3/2020</t>
  </si>
  <si>
    <t>Tháng 4/2020</t>
  </si>
  <si>
    <t>Tháng 5/2020</t>
  </si>
  <si>
    <t>Tháng 6/2020</t>
  </si>
  <si>
    <t>Tháng 7/2020</t>
  </si>
  <si>
    <t>Tháng 8/2020</t>
  </si>
  <si>
    <t>Tháng 9/2020</t>
  </si>
  <si>
    <t>Tháng 10/2020</t>
  </si>
  <si>
    <t>Tháng 11/2020</t>
  </si>
  <si>
    <t>Tháng 12/2020</t>
  </si>
  <si>
    <t>Tên Công ty</t>
  </si>
  <si>
    <t>Tên</t>
  </si>
  <si>
    <t>Mã HH</t>
  </si>
  <si>
    <t>Phân
nhóm</t>
  </si>
  <si>
    <t>Hạn dùng (tuổi thọ)</t>
  </si>
  <si>
    <t>Nước
sản xuất</t>
  </si>
  <si>
    <t>Giá KK, KKL</t>
  </si>
  <si>
    <t>Số lượng trúng thầu</t>
  </si>
  <si>
    <t>Thành tiền trúng thầu</t>
  </si>
  <si>
    <t>Số lượng thầu còn lại đến  thời điểm tổng hợp</t>
  </si>
  <si>
    <t>1</t>
  </si>
  <si>
    <t>Công ty Cổ phần Dược liệu Trung ương 2</t>
  </si>
  <si>
    <t>DLTW2</t>
  </si>
  <si>
    <t>106.BD-1-1</t>
  </si>
  <si>
    <t>BD</t>
  </si>
  <si>
    <t>Hộp 10 vỉ x 10 viên, Viên nén</t>
  </si>
  <si>
    <t>36 tháng</t>
  </si>
  <si>
    <t>Đức</t>
  </si>
  <si>
    <t>106.BD-35-1</t>
  </si>
  <si>
    <t>Hộp 1 vỉ x 10 viên, Viên nén bao phim</t>
  </si>
  <si>
    <t>60 tháng</t>
  </si>
  <si>
    <t>200mg/
100ml</t>
  </si>
  <si>
    <t>Hộp 1 lọ 100ml, Dịch truyền</t>
  </si>
  <si>
    <t>48 tháng</t>
  </si>
  <si>
    <t>106.BD-54-1</t>
  </si>
  <si>
    <t>Diamicron MR Tab 30mg 60's</t>
  </si>
  <si>
    <t>Hộp 2 vỉ x 30 viên, Viên nén giải phóng có kiểm soát</t>
  </si>
  <si>
    <t>VN-20549-17</t>
  </si>
  <si>
    <t>Pháp</t>
  </si>
  <si>
    <t>5</t>
  </si>
  <si>
    <t>Công ty TNHH Một thành viên Vimedimex Bình Dương</t>
  </si>
  <si>
    <t>Vimedimex BD</t>
  </si>
  <si>
    <t>Hộp 2 vỉ x 5 ống 1ml, Dung dịch tiêm</t>
  </si>
  <si>
    <t>Tây Ban Nha</t>
  </si>
  <si>
    <t>6</t>
  </si>
  <si>
    <t>CORDARONE 200mg B/
   2bls x 15 Tabs</t>
  </si>
  <si>
    <t>Hộp 2 vỉ x 15 viên, Viên nén</t>
  </si>
  <si>
    <t>7</t>
  </si>
  <si>
    <t>106.BD-80-1</t>
  </si>
  <si>
    <t>Hộp 3 vỉ x 10 viên, Viên phóng thích kéo dài</t>
  </si>
  <si>
    <t>8</t>
  </si>
  <si>
    <t>106.BD-81-1</t>
  </si>
  <si>
    <t>Hộp 3 vỉ x 10 viên, Viên nang mềm</t>
  </si>
  <si>
    <t>9</t>
  </si>
  <si>
    <t>Công ty Cổ phần Dược phẩm Vipharco</t>
  </si>
  <si>
    <t>Vipharco</t>
  </si>
  <si>
    <t>106.N1-100-1</t>
  </si>
  <si>
    <t>Salbutamol</t>
  </si>
  <si>
    <t>0,5mg/ 1ml (0,05%)</t>
  </si>
  <si>
    <t>Salbutamol Renaudin 0,5mg/1ml</t>
  </si>
  <si>
    <t>Hộp 100, 10 ống/vỉ, ống 1ml, Dung dịch tiêm</t>
  </si>
  <si>
    <t>VN-20115-16</t>
  </si>
  <si>
    <t>Laboratoire  Renaudin</t>
  </si>
  <si>
    <t>Chai/Lọ/ống</t>
  </si>
  <si>
    <t>10</t>
  </si>
  <si>
    <t>106.N1-102-1</t>
  </si>
  <si>
    <t>Simvahexal Tab 20mg 30's</t>
  </si>
  <si>
    <t>Hộp 3 vỉ x 10 viên, Viên nén bao phim</t>
  </si>
  <si>
    <t>VN-15463-12</t>
  </si>
  <si>
    <t>11</t>
  </si>
  <si>
    <t>106.N1-103-1</t>
  </si>
  <si>
    <t>Simvahexal Tab 10mg 100's</t>
  </si>
  <si>
    <t>Hộp 10 vỉ x 10 viên, Viên nén bao phim</t>
  </si>
  <si>
    <t>VN-18322-14</t>
  </si>
  <si>
    <t>12</t>
  </si>
  <si>
    <t>Công ty Cổ Phần Dược Phẩm Bến Tre</t>
  </si>
  <si>
    <t>Bến Tre</t>
  </si>
  <si>
    <t>Hộp 1Vỉ x 20 viên, Viên nén</t>
  </si>
  <si>
    <t>Hungary</t>
  </si>
  <si>
    <t>13</t>
  </si>
  <si>
    <t>Nguyên Anh Khoa</t>
  </si>
  <si>
    <t>Hộp 1 vỉ x 20 viên, Viên nén</t>
  </si>
  <si>
    <t>Bulgaria</t>
  </si>
  <si>
    <t>14</t>
  </si>
  <si>
    <t>Công ty Cổ phần Dược phẩm Trung ương CPC1</t>
  </si>
  <si>
    <t>CPC1</t>
  </si>
  <si>
    <t>H/20, Dung dịch tiêm tủy sống</t>
  </si>
  <si>
    <t>France</t>
  </si>
  <si>
    <t>106.N1-20-1</t>
  </si>
  <si>
    <t>100mg/20ml</t>
  </si>
  <si>
    <t>Bupivacaine Aguettant 5mg/ml</t>
  </si>
  <si>
    <t>Hộp 10 lọ x 20ml, Dung dịch tiêm</t>
  </si>
  <si>
    <t>VN-19692-16</t>
  </si>
  <si>
    <t>Delpharm Tours (xuất xưởng lô: Laboratoire Aguettant)</t>
  </si>
  <si>
    <t>16</t>
  </si>
  <si>
    <t>106.N1-22-1</t>
  </si>
  <si>
    <t>Carbamazepin</t>
  </si>
  <si>
    <t>Tegretol CR 200 Tab
 200mg 5x10's</t>
  </si>
  <si>
    <t>Hộp 5 vỉ x 10 viên, Viên nén bao phim giải phóng có kiểm soát</t>
  </si>
  <si>
    <t>VN-18777-15</t>
  </si>
  <si>
    <t>Novartis Farma S.p.A</t>
  </si>
  <si>
    <t>Ý</t>
  </si>
  <si>
    <t>17</t>
  </si>
  <si>
    <t>Công ty TNHH Bình Việt Đức</t>
  </si>
  <si>
    <t>Bình Việt Đức</t>
  </si>
  <si>
    <t>106.N1-36-1</t>
  </si>
  <si>
    <t>Hộp 10 lọ, Dung dịch tiêm truyền</t>
  </si>
  <si>
    <t>Germany</t>
  </si>
  <si>
    <t>18</t>
  </si>
  <si>
    <t>Hộp 1 lọ 5ml, Dung dịch nhỏ mắt</t>
  </si>
  <si>
    <t>Bỉ</t>
  </si>
  <si>
    <t>19</t>
  </si>
  <si>
    <t>Công ty TNHH Dược Khang Long</t>
  </si>
  <si>
    <t>Khang Long</t>
  </si>
  <si>
    <t>106.N1-40-1</t>
  </si>
  <si>
    <t>600mg/4ml</t>
  </si>
  <si>
    <t>Milrixa</t>
  </si>
  <si>
    <t>Hộp 1 ống 4ml, Dung dịch tiêm bắp hoặc tiêm tĩnh mạch</t>
  </si>
  <si>
    <t>VN-18860-15</t>
  </si>
  <si>
    <t>Vianex S.A - Nhà máy A</t>
  </si>
  <si>
    <t>Hy Lạp</t>
  </si>
  <si>
    <t>20</t>
  </si>
  <si>
    <t>106.N1-41-1</t>
  </si>
  <si>
    <t>Dalacin C Cap 300mg 16's</t>
  </si>
  <si>
    <t>2 vĩ x 8 viên, Viên nang</t>
  </si>
  <si>
    <t>VN-18404-14</t>
  </si>
  <si>
    <t>Fareva Amboise</t>
  </si>
  <si>
    <t>21</t>
  </si>
  <si>
    <t>Công ty TNHH Dược phẩm Kim Phúc</t>
  </si>
  <si>
    <t>Kim Phúc</t>
  </si>
  <si>
    <t>Hộp 2 vỉ * 14 viên, Viên nén</t>
  </si>
  <si>
    <t>22</t>
  </si>
  <si>
    <t>23</t>
  </si>
  <si>
    <t>Công ty Cổ phần Dược phẩm Đại An Phú</t>
  </si>
  <si>
    <t>Đại An Phú</t>
  </si>
  <si>
    <t>106.N1-47-1</t>
  </si>
  <si>
    <t>Famogast</t>
  </si>
  <si>
    <t>Hộp 02 vỉ x 10 viên, Viên nén bao phim</t>
  </si>
  <si>
    <t>VN-20054-16</t>
  </si>
  <si>
    <t>Poland</t>
  </si>
  <si>
    <t>24</t>
  </si>
  <si>
    <t>Công ty TNHH Dược Phẩm Nhất Anh</t>
  </si>
  <si>
    <t>Nhất Anh</t>
  </si>
  <si>
    <t>Hộp/03 vỉ x 10 viên, viên nén</t>
  </si>
  <si>
    <t>Cyprus</t>
  </si>
  <si>
    <t>25</t>
  </si>
  <si>
    <t>106.N1-59-1</t>
  </si>
  <si>
    <t>VN-15234-12 (có CV gia hạn )</t>
  </si>
  <si>
    <t>26</t>
  </si>
  <si>
    <t>Hộp 5 vỉ  x 20 viên, Viên nén bao đường</t>
  </si>
  <si>
    <t>27</t>
  </si>
  <si>
    <t>Công ty cổ phần Dược - Thiết bị y tế Đà Nẵng</t>
  </si>
  <si>
    <t>Đà Nẵng</t>
  </si>
  <si>
    <t>106.N1-65-1</t>
  </si>
  <si>
    <t>Floxaval</t>
  </si>
  <si>
    <t>VN-18855-15</t>
  </si>
  <si>
    <t>Delorbis Pharmaceuticals Ltd</t>
  </si>
  <si>
    <t>28</t>
  </si>
  <si>
    <t>106.N1-67-2</t>
  </si>
  <si>
    <t>Lidocain</t>
  </si>
  <si>
    <t>2%/10ml</t>
  </si>
  <si>
    <t>LIDOCAIN</t>
  </si>
  <si>
    <t>Hộp 2 vỉ x 5 ống 10ml, Dung dịch tiêm</t>
  </si>
  <si>
    <t>VN-13700-11</t>
  </si>
  <si>
    <t>Egis Pharmaceuticals Public Ltd., Co.</t>
  </si>
  <si>
    <t>29</t>
  </si>
  <si>
    <t>30</t>
  </si>
  <si>
    <t>106.N1-71-1</t>
  </si>
  <si>
    <t>Mobic Inj. 15mg/1,5ml</t>
  </si>
  <si>
    <t>Hộp 5 ống 1,5ml, Dung dịch tiêm</t>
  </si>
  <si>
    <t>31</t>
  </si>
  <si>
    <t>32</t>
  </si>
  <si>
    <t>Công ty Cổ phần Dược phẩm Việt Hà</t>
  </si>
  <si>
    <t>Việt Hà</t>
  </si>
  <si>
    <t>106.N1-77-1</t>
  </si>
  <si>
    <t>DOPEGYT</t>
  </si>
  <si>
    <t>H/10 vỉ x 10 viên, Viên nén bao phim</t>
  </si>
  <si>
    <t>VN-13124-11</t>
  </si>
  <si>
    <t>33</t>
  </si>
  <si>
    <t>34</t>
  </si>
  <si>
    <t>106.N1-81-1</t>
  </si>
  <si>
    <t>Catalent Germany Eberbach GmbH; Cơ sở xuất xưởng: Bayer Pharma AG</t>
  </si>
  <si>
    <t>35</t>
  </si>
  <si>
    <t>Hộp 100 ống 1 ml, Dung dịch tiêm</t>
  </si>
  <si>
    <t>36</t>
  </si>
  <si>
    <t>Hộp 5 vỉ x 4 viên, Viên sủi</t>
  </si>
  <si>
    <t>úc</t>
  </si>
  <si>
    <t>37</t>
  </si>
  <si>
    <t>LD Công ty TNHH Dược phẩm Khương Duy + C.ty CP DP Quảng Bình + C.ty CP DP An Thiên + C.ty CP DP Tây Ninh</t>
  </si>
  <si>
    <t>LD Tây Ninh (4)</t>
  </si>
  <si>
    <t>106.N2-14-1</t>
  </si>
  <si>
    <t>38</t>
  </si>
  <si>
    <t>Công ty Cổ  phần Dược phẩm Tenamyd</t>
  </si>
  <si>
    <t>Tenamyd</t>
  </si>
  <si>
    <t xml:space="preserve"> Hộp 10 vỉ x 10 viên nén, Uống</t>
  </si>
  <si>
    <t>India</t>
  </si>
  <si>
    <t>39</t>
  </si>
  <si>
    <t>Công ty Cổ phần Pymepharco</t>
  </si>
  <si>
    <t>106.N2-30-1</t>
  </si>
  <si>
    <t>FUROCAP 250</t>
  </si>
  <si>
    <t>Hộp/2vỉ x 5 viên, viên nén bao phim</t>
  </si>
  <si>
    <t>VD-7001-09</t>
  </si>
  <si>
    <t>40</t>
  </si>
  <si>
    <t>106.N2-31-1</t>
  </si>
  <si>
    <t>41</t>
  </si>
  <si>
    <t>Công ty Cổ phần Xuất nhập khẩu Y tế Thành phố Hồ Chí Minh</t>
  </si>
  <si>
    <t>Y tế Tp (Yteco)</t>
  </si>
  <si>
    <t>Hộp 10 ống x 2ml, Thuốc tiêm</t>
  </si>
  <si>
    <t>Taiwam</t>
  </si>
  <si>
    <t>42</t>
  </si>
  <si>
    <t>106.N2-59-1</t>
  </si>
  <si>
    <t>Buston Injection</t>
  </si>
  <si>
    <t>Hộp 10 ống x 1ml, Thuốc tiêm</t>
  </si>
  <si>
    <t>VN-16052-12</t>
  </si>
  <si>
    <t>43</t>
  </si>
  <si>
    <t>Công ty TNHH Dược phẩm Hùng Thịnh</t>
  </si>
  <si>
    <t>Hùng Thịnh</t>
  </si>
  <si>
    <t>106.N2-71-1</t>
  </si>
  <si>
    <t>Ukraine</t>
  </si>
  <si>
    <t>44</t>
  </si>
  <si>
    <t>Công ty TNHH Một thành viên Dược Sài Gòn (Sapharco)</t>
  </si>
  <si>
    <t>Dược Sài Gòn</t>
  </si>
  <si>
    <t>45</t>
  </si>
  <si>
    <t>Công ty cổ phần Dược phẩm SaVi (SAVIPHARM)</t>
  </si>
  <si>
    <t xml:space="preserve">SaVi </t>
  </si>
  <si>
    <t>Hộp 2 vỉ x 10 viên, Viên nén bao phim tan trong ruột</t>
  </si>
  <si>
    <t>VD-20248-13</t>
  </si>
  <si>
    <t>46</t>
  </si>
  <si>
    <t>Công ty TNHH Dược phẩm TH</t>
  </si>
  <si>
    <t>TH</t>
  </si>
  <si>
    <t>Hôp 1 chai 200 viên, Viên nén bao phim</t>
  </si>
  <si>
    <t>47</t>
  </si>
  <si>
    <t>106.N2-92-3</t>
  </si>
  <si>
    <t>PARTAMOL EF</t>
  </si>
  <si>
    <t>Hộp 4 vỉ xé x 4 viên, hộp 1 tuýp 10 viên, hộp 2 tuýp x 10 viên, Viên nén sủi bọt</t>
  </si>
  <si>
    <t>48</t>
  </si>
  <si>
    <t>106.N2-94-1</t>
  </si>
  <si>
    <t>Carocicam Injection</t>
  </si>
  <si>
    <t>Hộp 10 ống 1ml, Dung dịch tiêm</t>
  </si>
  <si>
    <t>VN-15138-12(có CV gia hạn)</t>
  </si>
  <si>
    <t>49</t>
  </si>
  <si>
    <t>106.N2-97-1</t>
  </si>
  <si>
    <t>Hộp 3 vỉ x 10 viên, Viên nén dài bao phim</t>
  </si>
  <si>
    <t>VD-15760-11
(có CV gia hạn)</t>
  </si>
  <si>
    <t>50</t>
  </si>
  <si>
    <t>Công ty Cổ phần Dược - Trang Thiết Bị Y tế Bình Định ( Bidiphar )</t>
  </si>
  <si>
    <t>Bình Định</t>
  </si>
  <si>
    <t>Nhóm 3</t>
  </si>
  <si>
    <t>Hộp 12 gói x 1,5g, Thuốc bột pha hỗn dịch</t>
  </si>
  <si>
    <t>51</t>
  </si>
  <si>
    <t>Công ty Cổ phần Dược phẩm Agimexpharm</t>
  </si>
  <si>
    <t>106.N3-102-1</t>
  </si>
  <si>
    <t>AGISIMVA 20</t>
  </si>
  <si>
    <t>H/3 vỉ x 10 viên, Viên nén bao phim</t>
  </si>
  <si>
    <t>VD-24112-16</t>
  </si>
  <si>
    <t>52</t>
  </si>
  <si>
    <t>106.N3-103-1</t>
  </si>
  <si>
    <t>VD-21317-14</t>
  </si>
  <si>
    <t>Công ty Cổ phần Xuất nhập khẩu Y tế Domesco</t>
  </si>
  <si>
    <t>Hộp 2 vỉ, 10 vỉ x 10 VNE, Viên nén</t>
  </si>
  <si>
    <t>VD-24987-16</t>
  </si>
  <si>
    <t>54</t>
  </si>
  <si>
    <t>Công ty TNHH Dược phẩm Việt Đức</t>
  </si>
  <si>
    <t>Việt Đức</t>
  </si>
  <si>
    <t>3 vỉ/ 10 vỉ x 10 viên, Viên nén</t>
  </si>
  <si>
    <t>Công ty TNHH Hasan - Dermapharm; Việt Nam</t>
  </si>
  <si>
    <t>55</t>
  </si>
  <si>
    <t>H/2 vỉ x 10 viên, Viên nén bao phim</t>
  </si>
  <si>
    <t>56</t>
  </si>
  <si>
    <t>LD Công ty Cổ phần DP Minh Dân- Công ty Cổ phần TM Minh Dân</t>
  </si>
  <si>
    <t>LD Minh Dân</t>
  </si>
  <si>
    <t>57</t>
  </si>
  <si>
    <t>58</t>
  </si>
  <si>
    <t>106.N3-14-1</t>
  </si>
  <si>
    <t>59</t>
  </si>
  <si>
    <t>Công ty Cổ phần Dược phẩm 3/2</t>
  </si>
  <si>
    <t>Ba tháng hai</t>
  </si>
  <si>
    <t>Hộp 1vỉ x 3viên, Viên bao phim</t>
  </si>
  <si>
    <t>61</t>
  </si>
  <si>
    <t>Hộp 04 vỉ x 50 viên, Viên nén</t>
  </si>
  <si>
    <t>62</t>
  </si>
  <si>
    <t>63</t>
  </si>
  <si>
    <t>Công ty Cổ phần Dược phẩm TV.PHARM</t>
  </si>
  <si>
    <t>64</t>
  </si>
  <si>
    <t>Hộp 10 vỉ x 10 viên, Viên nang</t>
  </si>
  <si>
    <t>65</t>
  </si>
  <si>
    <t>Hộp 10 lọ, Bột pha tiêm</t>
  </si>
  <si>
    <t>66</t>
  </si>
  <si>
    <t>Hộp 1 lọ, 10 lọ, hộp 20 lọ, hộp 50 lọ, hộp 100 lọ, thuốc bột pha tiêm, tiêm</t>
  </si>
  <si>
    <t>67</t>
  </si>
  <si>
    <t>Công ty TNHH Dược phẩm Tân An</t>
  </si>
  <si>
    <t>Tân An</t>
  </si>
  <si>
    <t>106.N3-29-1</t>
  </si>
  <si>
    <t>68</t>
  </si>
  <si>
    <t>106.N3-30-1</t>
  </si>
  <si>
    <t>69</t>
  </si>
  <si>
    <t>106.N3-3-1</t>
  </si>
  <si>
    <t>ADAZOL</t>
  </si>
  <si>
    <t>Hộp 1vỉ x 1viên, Viên nén bao phim</t>
  </si>
  <si>
    <t>70</t>
  </si>
  <si>
    <t>106.N3-31-1</t>
  </si>
  <si>
    <t>Hộp 1 vỉ x 10 viên, Viên nén dài bao phim</t>
  </si>
  <si>
    <t>71</t>
  </si>
  <si>
    <t>106.N3-32-1</t>
  </si>
  <si>
    <t>WIDXIM</t>
  </si>
  <si>
    <t>Hộp 1 lọ, hộp10 lọ, hộp 20 lọ, hộp 50 lọ, hộp 100 lọ + 1 ống nước cất pha tiêm 5ml, thuốc bột pha tiêm, tiêm</t>
  </si>
  <si>
    <t>VD-18245-13</t>
  </si>
  <si>
    <t>106.N3-33-1</t>
  </si>
  <si>
    <t>VD-26897-17</t>
  </si>
  <si>
    <t>73</t>
  </si>
  <si>
    <t>74</t>
  </si>
  <si>
    <t>Hộp 20 lọ 5ml, Dung dịch nhỏ mắt</t>
  </si>
  <si>
    <t>75</t>
  </si>
  <si>
    <t>106.N3-38-1</t>
  </si>
  <si>
    <t>Clarithromycin 500</t>
  </si>
  <si>
    <t>VD-22171-15</t>
  </si>
  <si>
    <t>76</t>
  </si>
  <si>
    <t>106.N3-39-1</t>
  </si>
  <si>
    <t>Clarithromycin 250mg</t>
  </si>
  <si>
    <t>Hộp 2vỉ x 5 VBF, Viên nén dài bao phim</t>
  </si>
  <si>
    <t>VD-13120-10 (có CV gia hạn)</t>
  </si>
  <si>
    <t>77</t>
  </si>
  <si>
    <t>78</t>
  </si>
  <si>
    <t>106.N3-43-1</t>
  </si>
  <si>
    <t>Clindamycin 150mg</t>
  </si>
  <si>
    <t>Hộp 5 vỉ x 10 viên, Viên nang</t>
  </si>
  <si>
    <t>VD-13764-11, kèm CV gia hạn</t>
  </si>
  <si>
    <t>79</t>
  </si>
  <si>
    <t>VD-22475-15</t>
  </si>
  <si>
    <t>80</t>
  </si>
  <si>
    <t>81</t>
  </si>
  <si>
    <t>Công ty TNHH Dược Phẩm Anh Mỹ</t>
  </si>
  <si>
    <t>Anh Mỹ</t>
  </si>
  <si>
    <t>106.N3-47-1</t>
  </si>
  <si>
    <t>FAMOTIDIN 40mg</t>
  </si>
  <si>
    <t>Hộp 10vỉ x 10viên, Viên nén bao phim</t>
  </si>
  <si>
    <t>83</t>
  </si>
  <si>
    <t>106.N3-48-1</t>
  </si>
  <si>
    <t>84</t>
  </si>
  <si>
    <t>Công ty Cổ phần Dược phẩm Vĩnh Phúc</t>
  </si>
  <si>
    <t>Vĩnh Phúc</t>
  </si>
  <si>
    <t>Hộp 50 ống, Dung dịch tiêm</t>
  </si>
  <si>
    <t>VD-12993-10</t>
  </si>
  <si>
    <t>85</t>
  </si>
  <si>
    <t>VD-25704-16</t>
  </si>
  <si>
    <t>86</t>
  </si>
  <si>
    <t>Hộp 5 vỉ x 50 viên, Viên</t>
  </si>
  <si>
    <t>VD-15672-11
VD-28154-17</t>
  </si>
  <si>
    <t>87</t>
  </si>
  <si>
    <t>Mỗi ống 2ml dung dịch chứa: Gentamycin (dưới dạng Gentamycin sulfat) 80mg, dung dịch thuốc tiêm</t>
  </si>
  <si>
    <t>88</t>
  </si>
  <si>
    <t>Hộp 10 vỉ  x 10 VNE, Viên nén</t>
  </si>
  <si>
    <t>89</t>
  </si>
  <si>
    <t>Hộp/2vỉ x 30 viên, viên nén phóng thích kéo dài</t>
  </si>
  <si>
    <t>90</t>
  </si>
  <si>
    <t>5%  x 500ml</t>
  </si>
  <si>
    <t>Chai 500ml, Dung dịch truyền tĩnh mạch</t>
  </si>
  <si>
    <t>VD-16418-12 (có CV gia hạn)</t>
  </si>
  <si>
    <t>91</t>
  </si>
  <si>
    <t>106.N3-57-1</t>
  </si>
  <si>
    <t>5%  x 250ml</t>
  </si>
  <si>
    <t>Glucose 5% 250ml</t>
  </si>
  <si>
    <t>Chai 250ml, Dung dịch truyền tĩnh mạch</t>
  </si>
  <si>
    <t>92</t>
  </si>
  <si>
    <t>Công ty TNHH Dược phẩm Vimedimex</t>
  </si>
  <si>
    <t>Vimedimex (DP)</t>
  </si>
  <si>
    <t>93</t>
  </si>
  <si>
    <t>Amikacin</t>
  </si>
  <si>
    <t>Hộp 10 ống, Dung dịch tiêm</t>
  </si>
  <si>
    <t>VD-16308-12</t>
  </si>
  <si>
    <t>94</t>
  </si>
  <si>
    <t>95</t>
  </si>
  <si>
    <t>106.N3-65-1</t>
  </si>
  <si>
    <t>Kaflovo</t>
  </si>
  <si>
    <t>Hộp 10 vỉ x 05 viên, Viên nén bao phim</t>
  </si>
  <si>
    <t>VD-17469-12</t>
  </si>
  <si>
    <t>96</t>
  </si>
  <si>
    <t>Hộp 100 ống 2ml, Dung dịch tiêm</t>
  </si>
  <si>
    <t>97</t>
  </si>
  <si>
    <t>H/10 vỉ x 10 viên, Viên nang</t>
  </si>
  <si>
    <t>98</t>
  </si>
  <si>
    <t>Công ty Cổ phần Dược S.Pharm</t>
  </si>
  <si>
    <t>106.N3-69-1</t>
  </si>
  <si>
    <t>H/50 vỉ x 10 VNE, Viên nén</t>
  </si>
  <si>
    <t>99</t>
  </si>
  <si>
    <t>H/1 vỉ x 1 viên, Viên nén bao phim</t>
  </si>
  <si>
    <t>100</t>
  </si>
  <si>
    <t>106.N3-72-1</t>
  </si>
  <si>
    <t>101</t>
  </si>
  <si>
    <t>102</t>
  </si>
  <si>
    <t>103</t>
  </si>
  <si>
    <t>Hộp 1 lọ bột đông khô +1 ống nước cất pha tiêm 1ml, Thuốc tiêm đông khô</t>
  </si>
  <si>
    <t>104</t>
  </si>
  <si>
    <t>105</t>
  </si>
  <si>
    <t>Hộp 1 chai nhựa 100ml; hộp 1 chai thủy tinh 100ml, dung dịch tiêm truyền</t>
  </si>
  <si>
    <t>106</t>
  </si>
  <si>
    <t>Hộp  50 vỉ  x 10 viên, Viên</t>
  </si>
  <si>
    <t>VD-15659-11
VD-28146-17</t>
  </si>
  <si>
    <t>107</t>
  </si>
  <si>
    <t>10 vỉ x 10 viên, viên nén bao phim tác dụng kéo dài</t>
  </si>
  <si>
    <t>108</t>
  </si>
  <si>
    <t>109</t>
  </si>
  <si>
    <t>Hộp/10vỉ x 10 viên, Viên nang mềm</t>
  </si>
  <si>
    <t>VD-13590-10</t>
  </si>
  <si>
    <t>110</t>
  </si>
  <si>
    <t>106.N3-82-1</t>
  </si>
  <si>
    <t>N­íc cÊt pha tiªm</t>
  </si>
  <si>
    <t>Hộp 10 vỉ x 10 ống, Dung dịch</t>
  </si>
  <si>
    <t>111</t>
  </si>
  <si>
    <t>106.N3-83-2</t>
  </si>
  <si>
    <t>Hộp 50 ống x 10ml, Dung môi pha tiêm</t>
  </si>
  <si>
    <t>112</t>
  </si>
  <si>
    <t>113</t>
  </si>
  <si>
    <t>106.N3-87-1</t>
  </si>
  <si>
    <t>GASTROTAC</t>
  </si>
  <si>
    <t>Hộp 1 lọ + 1 ống 10ml dung dịch tiêm natri clorid 0,9%, Bột pha tiêm + 1 ống 10ml dung dịch tiêm natri clorid 0,9%</t>
  </si>
  <si>
    <t>114</t>
  </si>
  <si>
    <t>115</t>
  </si>
  <si>
    <t>106.N3-89-1</t>
  </si>
  <si>
    <t>AGIMOL 80</t>
  </si>
  <si>
    <t>H/10 gói1g, Thuốc bột</t>
  </si>
  <si>
    <t>116</t>
  </si>
  <si>
    <t>106.N3-90-1</t>
  </si>
  <si>
    <t>117</t>
  </si>
  <si>
    <t>VD-21357-14</t>
  </si>
  <si>
    <t>118</t>
  </si>
  <si>
    <t>Công ty cổ phần Hóa – Dược phẩm Mekophar</t>
  </si>
  <si>
    <t>Hộp 24 gói x 1,5 g, Thuốc bột sủi bọt</t>
  </si>
  <si>
    <t>119</t>
  </si>
  <si>
    <t>120</t>
  </si>
  <si>
    <t>Công ty Cổ phần Dược - Vật tư Y tế Kon Tum</t>
  </si>
  <si>
    <t>Kon Tum</t>
  </si>
  <si>
    <t>hộp 4 vỉ x 4 viên, viên sủi</t>
  </si>
  <si>
    <t>VD-19457-13</t>
  </si>
  <si>
    <t>Công Ty CPDP Tipharco</t>
  </si>
  <si>
    <t>121</t>
  </si>
  <si>
    <t>Chai 1000 viên, Viên nén</t>
  </si>
  <si>
    <t>122</t>
  </si>
  <si>
    <t>123</t>
  </si>
  <si>
    <t>Chai 500 viên, Viên nén</t>
  </si>
  <si>
    <t>124</t>
  </si>
  <si>
    <t>Hộp 3 vỉ x 10 VBF, Viên nén bao phim</t>
  </si>
  <si>
    <t>125</t>
  </si>
  <si>
    <t>106.N3-98-1</t>
  </si>
  <si>
    <t>VD-16394-12 (có CV gia hạn)</t>
  </si>
  <si>
    <t>126</t>
  </si>
  <si>
    <t>106.N4-14-2</t>
  </si>
  <si>
    <t>Nhóm 4</t>
  </si>
  <si>
    <t>TENOCAR 50</t>
  </si>
  <si>
    <t>Hộp/2vỉ x 15 viên, Viên nén</t>
  </si>
  <si>
    <t>VD-23232-15</t>
  </si>
  <si>
    <t>127</t>
  </si>
  <si>
    <t>Công ty Cổ phần Dược Hậu Giang</t>
  </si>
  <si>
    <t>Dược Hậu Giang</t>
  </si>
  <si>
    <t>106.N4-64-2</t>
  </si>
  <si>
    <t>LEVODHG 250</t>
  </si>
  <si>
    <t>v/10 h/30 viên, viên nén bao phim</t>
  </si>
  <si>
    <t xml:space="preserve">36 tháng </t>
  </si>
  <si>
    <t>VD-21557-14</t>
  </si>
  <si>
    <t>128</t>
  </si>
  <si>
    <t>10 vỉ x 10 viên, Viên nén</t>
  </si>
  <si>
    <t>VD-23334-15</t>
  </si>
  <si>
    <t>129</t>
  </si>
  <si>
    <t>106.N4-76-2</t>
  </si>
  <si>
    <t>Hộp/3vỉ x 10 viên, Viên nén</t>
  </si>
  <si>
    <t>130</t>
  </si>
  <si>
    <t>Hộp/10 vỉ x 10 viên, Viên nén bao phim</t>
  </si>
  <si>
    <t>131</t>
  </si>
  <si>
    <t>106.N4-93-2</t>
  </si>
  <si>
    <t>Tylenol 8 Hour</t>
  </si>
  <si>
    <t>Hộp 5 vỉ x 10 viên nén giải phóng kéo dài, viên nén giải phóng kéo dài</t>
  </si>
  <si>
    <t>VN-13737-11 (có CV gia hạn)</t>
  </si>
  <si>
    <t>Janssen Korea Ltd.</t>
  </si>
  <si>
    <t>Hàn Quốc</t>
  </si>
  <si>
    <t>132</t>
  </si>
  <si>
    <t>106.N5-102-1</t>
  </si>
  <si>
    <t>Nhóm 5</t>
  </si>
  <si>
    <t>133</t>
  </si>
  <si>
    <t>106.N5-103-1</t>
  </si>
  <si>
    <t>134</t>
  </si>
  <si>
    <t>106.N5-104-1</t>
  </si>
  <si>
    <t>135</t>
  </si>
  <si>
    <t>106.N5-16-1</t>
  </si>
  <si>
    <t>136</t>
  </si>
  <si>
    <t>137</t>
  </si>
  <si>
    <t>Hộp 1 chai 100 ml, Dung dịch tiêm</t>
  </si>
  <si>
    <t>138</t>
  </si>
  <si>
    <t>106.N5-37-1</t>
  </si>
  <si>
    <t>139</t>
  </si>
  <si>
    <t>140</t>
  </si>
  <si>
    <t>106.N5-46-1</t>
  </si>
  <si>
    <t>141</t>
  </si>
  <si>
    <t>142</t>
  </si>
  <si>
    <t>106.N5-5-1</t>
  </si>
  <si>
    <t>143</t>
  </si>
  <si>
    <t>106.N5-53-1</t>
  </si>
  <si>
    <t>VD-7073-09 (có CV gia hạn)</t>
  </si>
  <si>
    <t>144</t>
  </si>
  <si>
    <t>106.N5-59-1</t>
  </si>
  <si>
    <t>Vincopane</t>
  </si>
  <si>
    <t>VD-20892-14</t>
  </si>
  <si>
    <t>145</t>
  </si>
  <si>
    <t>146</t>
  </si>
  <si>
    <t>106.N5-65-1</t>
  </si>
  <si>
    <t>147</t>
  </si>
  <si>
    <t>106.N5-68-1</t>
  </si>
  <si>
    <t>148</t>
  </si>
  <si>
    <t>106.N5-69-1</t>
  </si>
  <si>
    <t>149</t>
  </si>
  <si>
    <t>150</t>
  </si>
  <si>
    <t>106.N5-72-1</t>
  </si>
  <si>
    <t>151</t>
  </si>
  <si>
    <t>152</t>
  </si>
  <si>
    <t>106.N5-77-1</t>
  </si>
  <si>
    <t>153</t>
  </si>
  <si>
    <t>106.N5-88-2</t>
  </si>
  <si>
    <t>154</t>
  </si>
  <si>
    <t>155</t>
  </si>
  <si>
    <t>106.N5-96-1</t>
  </si>
  <si>
    <t>156</t>
  </si>
  <si>
    <t>106.N5-98-1</t>
  </si>
  <si>
    <t>157</t>
  </si>
  <si>
    <t>CN Công ty Cổ phần DP TBYT Hà Nội</t>
  </si>
  <si>
    <t>Hà Nội</t>
  </si>
  <si>
    <t>Hộp 3 vỉ x 10 viên,  uống</t>
  </si>
  <si>
    <t>VN-18177-14 (Cv gia hạn SĐK đến 19/9/2023)</t>
  </si>
  <si>
    <t>Cadila Healthcare Ltd</t>
  </si>
  <si>
    <t>Ấn Độ</t>
  </si>
  <si>
    <t>158</t>
  </si>
  <si>
    <t>Biệt dược</t>
  </si>
  <si>
    <t>Hộp 3 vỉ x 10 viên, viên nén bao phim, uống</t>
  </si>
  <si>
    <t>159</t>
  </si>
  <si>
    <t>BD-1003-2</t>
  </si>
  <si>
    <t>0.05 mg + 0.02 mg/nhát xịt, bình xịt 200 nhát xịt  10ml</t>
  </si>
  <si>
    <t>BDG hoặc TĐĐT</t>
  </si>
  <si>
    <t>Hộp 1 bình xịt 200 nhát xịt (10ml),Dung dịch khí dung,Xịt</t>
  </si>
  <si>
    <t>VN-17269-13 (có CV gia hạn số 5306/QLD-ĐK ngày 10/04/2019)</t>
  </si>
  <si>
    <t>160</t>
  </si>
  <si>
    <t>BD-1007-1</t>
  </si>
  <si>
    <t>2,5mg/2,5ml</t>
  </si>
  <si>
    <t>Ventolin Nebules 2.5mg/ 2.5ml 6x5's</t>
  </si>
  <si>
    <t>Hộp 6 vỉ x 5 ống 2,5ml, Dung dịch khí dung, Dùng cho máy khí dung</t>
  </si>
  <si>
    <t>VN-20765-17</t>
  </si>
  <si>
    <t>GlaxoSmithKline Australia Pty.,  Ltd.</t>
  </si>
  <si>
    <t>Úc</t>
  </si>
  <si>
    <t>161</t>
  </si>
  <si>
    <t>BD-1007-2</t>
  </si>
  <si>
    <t>5mg/2,5ml</t>
  </si>
  <si>
    <t>Ventolin Nebules 5mg/ 2.5ml 6x5's</t>
  </si>
  <si>
    <t>VN-13707-11</t>
  </si>
  <si>
    <t>162</t>
  </si>
  <si>
    <t>BD-1008-1</t>
  </si>
  <si>
    <t>Salbutamol + ipratropium</t>
  </si>
  <si>
    <t>2,5mg + 0,5mg /2,5ml</t>
  </si>
  <si>
    <t>Hộp 10 lọ x 2,5ml,Dung dịch khí dung,Dạng hít</t>
  </si>
  <si>
    <t>163</t>
  </si>
  <si>
    <t>Salmeterol + fluticason propionat</t>
  </si>
  <si>
    <t>25mcg + 125mcg/liều; 120 liều</t>
  </si>
  <si>
    <t>Visa cũ VN-15448-12: Bình xịt 120 liều; Visa mới VN-21286-18: Hộp 1 bình 120 liều xịt, Visa cũ VN-15448-12: Thuốc phun mù hệ hỗn dịch để hít qua đường miệng ; Visa mới VN-21286-18: Hỗn dịch hít qua đường miệng (dạng phun sương), Hít qua đường miệng</t>
  </si>
  <si>
    <t>VN-15448-12; VN-21286-18</t>
  </si>
  <si>
    <t>Glaxo Wellcome S.A</t>
  </si>
  <si>
    <t>chai/lọ</t>
  </si>
  <si>
    <t>164</t>
  </si>
  <si>
    <t>BD-1009-2</t>
  </si>
  <si>
    <t>25mcg + 250mcg/liều; 120 liều</t>
  </si>
  <si>
    <t>Bình xịt 120 liều, Thuốc phun mù hệ hỗn dịch để hít qua đường miệng, Hít qua đường miệng</t>
  </si>
  <si>
    <t>VN-14683-12</t>
  </si>
  <si>
    <t>165</t>
  </si>
  <si>
    <t>BD-499-1</t>
  </si>
  <si>
    <t>Hộp 6 ống x 3ml,Dung dịch tiêm,Tiêm tĩnh mạch</t>
  </si>
  <si>
    <t>VN-20734-17</t>
  </si>
  <si>
    <t>166</t>
  </si>
  <si>
    <t>BD-766-1</t>
  </si>
  <si>
    <t>0.1mg/ml</t>
  </si>
  <si>
    <t>Sandostatin Inj 0.1mg/ml 1mlx5's</t>
  </si>
  <si>
    <t>Hộp 5 ống x 1ml, Dung dịch tiêm, Tiêm</t>
  </si>
  <si>
    <t>Thụy Sỹ</t>
  </si>
  <si>
    <t>chai/lọ/ống</t>
  </si>
  <si>
    <t>167</t>
  </si>
  <si>
    <t>BD-778-1</t>
  </si>
  <si>
    <t xml:space="preserve"> 500mcg/2ml</t>
  </si>
  <si>
    <t>Pulmicort Respules 500mcg/ 2ml  20's</t>
  </si>
  <si>
    <t>Hộp 4 gói x 5 ống đơn liều 2ml, Hỗn dịch khí dung dùng để hít, Hít</t>
  </si>
  <si>
    <t>Thụy Điển</t>
  </si>
  <si>
    <t>168</t>
  </si>
  <si>
    <t>BD-779-1</t>
  </si>
  <si>
    <t>160mcg + 4,5mcg/liều; 120 liều</t>
  </si>
  <si>
    <t>Symbicort Turbuhaler 120 Dose</t>
  </si>
  <si>
    <t>Hộp 1 ống hít 120 liều, Thuốc bột để hít, Hít</t>
  </si>
  <si>
    <t>VN-20379-17</t>
  </si>
  <si>
    <t>169</t>
  </si>
  <si>
    <t>Công ty Cổ phần Gon Sa</t>
  </si>
  <si>
    <t>Gon Sa</t>
  </si>
  <si>
    <t>C01EB17.01.N3</t>
  </si>
  <si>
    <t>Ivabradin</t>
  </si>
  <si>
    <t>Nisten</t>
  </si>
  <si>
    <t>Hộp/ 2 vỉ x 14 viên nén bao phim, uống</t>
  </si>
  <si>
    <t>VD-20362-13 (Cv gia hạn SĐK đến 27/12/2019)</t>
  </si>
  <si>
    <t>C.ty CP Dược Đạt Vi Phú</t>
  </si>
  <si>
    <t>170</t>
  </si>
  <si>
    <t>C01EB17.02.N3</t>
  </si>
  <si>
    <t>Nisten F</t>
  </si>
  <si>
    <t>VD-20361-14 (hết hạn ngày 12/6/2019)</t>
  </si>
  <si>
    <t>171</t>
  </si>
  <si>
    <t>Hộp 1 vỉ x 14 viên nén phóng thích kéo dài, uống</t>
  </si>
  <si>
    <t>VN-17243-13</t>
  </si>
  <si>
    <t>Astra Zeneca AB</t>
  </si>
  <si>
    <t>172</t>
  </si>
  <si>
    <t>Công ty Cổ phần Dược phẩm Duy Tân</t>
  </si>
  <si>
    <t>Duy Tân</t>
  </si>
  <si>
    <t>C07AB02.02.N1.02</t>
  </si>
  <si>
    <t>Carmotop 50mg</t>
  </si>
  <si>
    <t>Hộp 3 vỉ x 10 viên, viên nén, uống</t>
  </si>
  <si>
    <t>VN-21530-18</t>
  </si>
  <si>
    <t xml:space="preserve">S.C Magistra C &amp; C SRT </t>
  </si>
  <si>
    <t>Romania</t>
  </si>
  <si>
    <t>173</t>
  </si>
  <si>
    <t>Hộp 1 vỉ x 14 viên, viên nén, uống</t>
  </si>
  <si>
    <t>Berlin Chemie AG</t>
  </si>
  <si>
    <t>174</t>
  </si>
  <si>
    <t>C09CA07.01.N2</t>
  </si>
  <si>
    <t>Cilzec 20</t>
  </si>
  <si>
    <t>Hộp 3 vỉ x 10 viên, uống</t>
  </si>
  <si>
    <t>VN-11961-11 (CV gia hạn đến ngày 17/10/2019)</t>
  </si>
  <si>
    <t>MSN Laboratories Private Ltđ</t>
  </si>
  <si>
    <t>175</t>
  </si>
  <si>
    <t>Hộp 3 vỉ x 10 viên, viên nén bao phim,, uống</t>
  </si>
  <si>
    <t>Boehringer Ingelheim Pharma GmbH &amp; Co KG</t>
  </si>
  <si>
    <t>176</t>
  </si>
  <si>
    <t>Hộp 2 vỉ x 14 viên, viên nén, uống</t>
  </si>
  <si>
    <t>VN-20899-18</t>
  </si>
  <si>
    <t>Actavis Ltđ</t>
  </si>
  <si>
    <t>Malta</t>
  </si>
  <si>
    <t>177</t>
  </si>
  <si>
    <t>C09CA07.03.N1</t>
  </si>
  <si>
    <t>Levistel 80</t>
  </si>
  <si>
    <t>Hộp 4 vỉ x 7 viên, viên nén, uống</t>
  </si>
  <si>
    <t>VN-20431-17</t>
  </si>
  <si>
    <t>Laboratorios Lesvi, S.L</t>
  </si>
  <si>
    <t>Spain</t>
  </si>
  <si>
    <t>178</t>
  </si>
  <si>
    <t>C10AA07.01.N4</t>
  </si>
  <si>
    <t>Rosuvas Hasan 5</t>
  </si>
  <si>
    <t>VD-25026-16 (hiệu lực đến ngày 15/7/2021)</t>
  </si>
  <si>
    <t>C.ty TNHH Hasan- Dermapharm</t>
  </si>
  <si>
    <t>179</t>
  </si>
  <si>
    <t>C10AA07.02.N2</t>
  </si>
  <si>
    <t>Zyrova 10</t>
  </si>
  <si>
    <t>Hộp 10 vỉ x 10 viên, uống</t>
  </si>
  <si>
    <t>VN-15258-12 (CV gia hạn đến ngày 16/7/2019)</t>
  </si>
  <si>
    <t>180</t>
  </si>
  <si>
    <t>VD-19186-13 (hiệu lực đến ngày 02/10/2019)</t>
  </si>
  <si>
    <t>181</t>
  </si>
  <si>
    <t>VN-18411-14</t>
  </si>
  <si>
    <t xml:space="preserve">Pharmascience Inc., </t>
  </si>
  <si>
    <t>Canada</t>
  </si>
  <si>
    <t>182</t>
  </si>
  <si>
    <t>C10AA07.03.N2</t>
  </si>
  <si>
    <t>VN-15259-12 (CV gia hạn đến ngày 16/7/2019)</t>
  </si>
  <si>
    <t>183</t>
  </si>
  <si>
    <t>C10AA07.03.N4</t>
  </si>
  <si>
    <t>Sterolow 20</t>
  </si>
  <si>
    <t>VD-28044-17</t>
  </si>
  <si>
    <t>Công ty CPDP Savi</t>
  </si>
  <si>
    <t>184</t>
  </si>
  <si>
    <t>Hộp 1 ống hít 60 liều, Thuốc bột để hít, Hít</t>
  </si>
  <si>
    <t>185</t>
  </si>
  <si>
    <t>Hộp 1 bình xịt 200 nhát xịt (10ml), Dung dịch khí dung, Xịt</t>
  </si>
  <si>
    <t>VN-17269-13 (có công văn gia hạn SĐK)</t>
  </si>
  <si>
    <t>186</t>
  </si>
  <si>
    <t>Công ty TNHH DP Nguyên Phát</t>
  </si>
  <si>
    <t>Nguyên Phát</t>
  </si>
  <si>
    <t>N1-1006-4</t>
  </si>
  <si>
    <t>Astmodil</t>
  </si>
  <si>
    <t>Hộp 01 lọ x 28 viên, Viên nén bao phim, Uống</t>
  </si>
  <si>
    <t>VN-16882-13 (có công văn gia hạn SĐK)</t>
  </si>
  <si>
    <t>187</t>
  </si>
  <si>
    <t xml:space="preserve">5mg </t>
  </si>
  <si>
    <t>188</t>
  </si>
  <si>
    <t>Hộp 1 bình xịt 200 liều, Hỗn dịch xịt qua bình định liều điều áp, Xịt qua đường miệng</t>
  </si>
  <si>
    <t>Glaxo Wellcome SA; Cơ sở đóng gói thứ cấp, xuất xưởng:  GlaxoSmithKline Australia Pty. Ltd,</t>
  </si>
  <si>
    <t>CSSX: Tây Ban Nha, đóng gói: Úc</t>
  </si>
  <si>
    <t>189</t>
  </si>
  <si>
    <t>190</t>
  </si>
  <si>
    <t>Hộp chứa 30 viên nén bao phim đóng vỉ (PVC-Aluminium),Viên nén bao phim giải phóng chậm,Uống</t>
  </si>
  <si>
    <t>VN-14339-11 (có công văn gia hạn SĐK)</t>
  </si>
  <si>
    <t>191</t>
  </si>
  <si>
    <t>Theostat L.P. 300mg</t>
  </si>
  <si>
    <t>Hộp 3 vỉ x 10 viên,Viên nén bao phim phóng thích kéo dài,Uống</t>
  </si>
  <si>
    <t>VN-14794-12 (có công văn gia hạn SĐK)</t>
  </si>
  <si>
    <t>192</t>
  </si>
  <si>
    <t>N1-1015-8</t>
  </si>
  <si>
    <t>Halixol</t>
  </si>
  <si>
    <t>Hộp/2 vỉ x 10 viên nén, uống</t>
  </si>
  <si>
    <t>VN-16748-13 (có công văn gia hạn SĐK)</t>
  </si>
  <si>
    <t>193</t>
  </si>
  <si>
    <t>H/2 vỉ x 10 viên, Viên nén bao đường, Uống</t>
  </si>
  <si>
    <t xml:space="preserve">Sophartex </t>
  </si>
  <si>
    <t>194</t>
  </si>
  <si>
    <t>Hộp 50 gói, Bột pha dung dịch uống, Uống</t>
  </si>
  <si>
    <t>VN-19978-16</t>
  </si>
  <si>
    <t>Lindopharm GmbH; Xuất xưởng: Slutas Pharma GmbH</t>
  </si>
  <si>
    <t>195</t>
  </si>
  <si>
    <t>N1-1032-3</t>
  </si>
  <si>
    <t>Kalium Chloratum Biomedica</t>
  </si>
  <si>
    <t>hộp 10 vỉ x 10 viên - viên nén - uống</t>
  </si>
  <si>
    <t>36 tháng</t>
  </si>
  <si>
    <t>VN-14110-11</t>
  </si>
  <si>
    <t>Biomedica spol. S r.o</t>
  </si>
  <si>
    <t>Czech Republic</t>
  </si>
  <si>
    <t>196</t>
  </si>
  <si>
    <t>N1-1038-1</t>
  </si>
  <si>
    <t>10%. Chai 500ml</t>
  </si>
  <si>
    <t>Aminoplasmal B.Braun 10% E</t>
  </si>
  <si>
    <t>Chai 500ml, Dung dịch tiêm truyền tĩnh mạch, tiêm truyền</t>
  </si>
  <si>
    <t>VN-18160-14</t>
  </si>
  <si>
    <t>B.Braun Melsungen AG</t>
  </si>
  <si>
    <t>197</t>
  </si>
  <si>
    <t>N1-1038-2</t>
  </si>
  <si>
    <t>Chai 250ml, Dung dịch tiêm truyền tĩnh mạch, tiêm truyền</t>
  </si>
  <si>
    <t>198</t>
  </si>
  <si>
    <t>N1-1052-4</t>
  </si>
  <si>
    <t>Nhũ dịch lipid</t>
  </si>
  <si>
    <t>20%/ 100ml</t>
  </si>
  <si>
    <t>Smoflipid 20% Inf 100ml 1's</t>
  </si>
  <si>
    <t>Chai 100ml, Nhũ tương truyền tĩnh mạch, Truyền tĩnh mạch ngoại vi hoặc tĩnh mạch trung tâm</t>
  </si>
  <si>
    <t>18 tháng</t>
  </si>
  <si>
    <t>VN-19955-16</t>
  </si>
  <si>
    <t>Fresenius Kabi Austria GmbH</t>
  </si>
  <si>
    <t>Áo</t>
  </si>
  <si>
    <t>199</t>
  </si>
  <si>
    <t>N1-1060-6</t>
  </si>
  <si>
    <t>1500mg + 400UI</t>
  </si>
  <si>
    <t>Natecal D3</t>
  </si>
  <si>
    <t>Hộp 1 chai 60 viên nén nhai,Viên nén nhai,Uống</t>
  </si>
  <si>
    <t>VN-10369-10 (có công văn gia hạn SĐK)</t>
  </si>
  <si>
    <t xml:space="preserve">Italfarmaco, S.p.A. </t>
  </si>
  <si>
    <t>200</t>
  </si>
  <si>
    <t>N1-1061-4</t>
  </si>
  <si>
    <t>Calcium Lactate 300 Tablet</t>
  </si>
  <si>
    <t>Hộp/10 vỉ x 10 viên, 
viên nén, uống</t>
  </si>
  <si>
    <t>6573/QLD-KD, 
12/05/2017</t>
  </si>
  <si>
    <t>201</t>
  </si>
  <si>
    <t>Calci glycerophosphat + magnesi gluconat</t>
  </si>
  <si>
    <t>Hộp 2 vỉ x 10 ống, Dung dịch uống, Uống</t>
  </si>
  <si>
    <t>VN-20359-17</t>
  </si>
  <si>
    <t>202</t>
  </si>
  <si>
    <t>N1-107-1</t>
  </si>
  <si>
    <t>30mg/ml</t>
  </si>
  <si>
    <t>Hộp 10 ống 1ml, Dung dịch tiêm, tiêm</t>
  </si>
  <si>
    <t>VN-19221-15</t>
  </si>
  <si>
    <t>203</t>
  </si>
  <si>
    <t>Công ty Cổ phần DP TW Codupha</t>
  </si>
  <si>
    <t>Codupha</t>
  </si>
  <si>
    <t>VN-17327-13 (có công văn gia hạn SĐK)</t>
  </si>
  <si>
    <t>Siegfried Hameln GmbH</t>
  </si>
  <si>
    <t>204</t>
  </si>
  <si>
    <t>Hộp 10 ống x 1ml, Dung dịch tiêm truyền, tiêm</t>
  </si>
  <si>
    <t>VN-20116-16</t>
  </si>
  <si>
    <t>Warsaw Pharmaceutical Works Polfa S.A.</t>
  </si>
  <si>
    <t>205</t>
  </si>
  <si>
    <t>N1-12-2</t>
  </si>
  <si>
    <t>Lidocaine hydrochloride  monohydrate</t>
  </si>
  <si>
    <t xml:space="preserve"> 2% 30g</t>
  </si>
  <si>
    <t>Hộp 10 tuýp x 30g Gel, Gel, Dùng ngoài</t>
  </si>
  <si>
    <t>206</t>
  </si>
  <si>
    <t>N1-12-3</t>
  </si>
  <si>
    <t>H/1 lọ 38g, Dung dịch, Thuốc phun mù</t>
  </si>
  <si>
    <t>VN-20499-17</t>
  </si>
  <si>
    <t>207</t>
  </si>
  <si>
    <t>LD Công ty Cổ phần Dược phẩm Tây Ninh + Công ty TNHH Phát triển Thương mại Tâm Việt Phát + Công Ty TNHH Dược phẩm Khương Duy</t>
  </si>
  <si>
    <t>LD Tây Ninh (3)</t>
  </si>
  <si>
    <t>N1-134-2</t>
  </si>
  <si>
    <t>Tebantin 300mg</t>
  </si>
  <si>
    <t>Hộp 5 vỉ x 10 viên, Viên nang cứng, Uống</t>
  </si>
  <si>
    <t>VN-17714-14</t>
  </si>
  <si>
    <t>208</t>
  </si>
  <si>
    <t>Công ty TNHH DP Vạn Hưng</t>
  </si>
  <si>
    <t>Vạn Hưng</t>
  </si>
  <si>
    <t>N1-140-3</t>
  </si>
  <si>
    <t xml:space="preserve">Pms-Pregabalin </t>
  </si>
  <si>
    <t>Hộp 4 vỉ x 15 viên; Viên nang cứng; Uống</t>
  </si>
  <si>
    <t>VN-18573-14</t>
  </si>
  <si>
    <t>Pharmascience Inc.</t>
  </si>
  <si>
    <t>209</t>
  </si>
  <si>
    <t>N1-140-4</t>
  </si>
  <si>
    <t>VN-18574 -14</t>
  </si>
  <si>
    <t>210</t>
  </si>
  <si>
    <t>5mg/1ml</t>
  </si>
  <si>
    <t>Paciflam</t>
  </si>
  <si>
    <t xml:space="preserve">VN-19061-15 </t>
  </si>
  <si>
    <t>211</t>
  </si>
  <si>
    <t>Clamoxyl Sac 250mg 12's</t>
  </si>
  <si>
    <t>Hộp 12 gói, Bột pha hỗn dịch uống, Uống</t>
  </si>
  <si>
    <t>VN-18308-14</t>
  </si>
  <si>
    <t>212</t>
  </si>
  <si>
    <t>Công ty TNHH Dược phẩm Đức Anh</t>
  </si>
  <si>
    <t>Đức Anh</t>
  </si>
  <si>
    <t>Hộp 50 lọ, Tiêm, Bột Pha Tiêm</t>
  </si>
  <si>
    <t>VN-20700-17</t>
  </si>
  <si>
    <t>S.C.Antibiotice S.A</t>
  </si>
  <si>
    <t>Romani</t>
  </si>
  <si>
    <t>213</t>
  </si>
  <si>
    <t>N1-159-4</t>
  </si>
  <si>
    <t xml:space="preserve"> (250mg + 62,5mg)/5ml chai 60ml</t>
  </si>
  <si>
    <t>Curam 250mg/5ml 1's</t>
  </si>
  <si>
    <t>Hộp 1 chai 7,5g bột để pha 60ml hỗn dịch, Bột pha hỗn dịch uống, Uống</t>
  </si>
  <si>
    <t>VN-17450-13</t>
  </si>
  <si>
    <t>214</t>
  </si>
  <si>
    <t>Công ty Cổ phần Dược Đại Nam</t>
  </si>
  <si>
    <t>Đại Nam</t>
  </si>
  <si>
    <t>N1-165-2</t>
  </si>
  <si>
    <t>125mg/5ml. Lọ 60ml</t>
  </si>
  <si>
    <t>Medoclor 125mg/5ml</t>
  </si>
  <si>
    <t>Hộp 1 chai 60ml, Thuốc cốm pha hỗn dịch , Uống</t>
  </si>
  <si>
    <t>VN-21900-19</t>
  </si>
  <si>
    <t>Medochemie Ltd (Factory C)- Oral Facility</t>
  </si>
  <si>
    <t>215</t>
  </si>
  <si>
    <t>N1-17-1</t>
  </si>
  <si>
    <t>Pethidine-hameln 50mg/ml</t>
  </si>
  <si>
    <t>Hộp 10 ống 2ml, Dung dịch tiêm</t>
  </si>
  <si>
    <t>VN-19062-15</t>
  </si>
  <si>
    <t>216</t>
  </si>
  <si>
    <t>N1-20-2</t>
  </si>
  <si>
    <t>Propofol</t>
  </si>
  <si>
    <t>1% 20ml</t>
  </si>
  <si>
    <t>Fresofol 1% Mct/Lct Inj 20ml 5's</t>
  </si>
  <si>
    <t>Hộp 5 ống 20ml, Nhũ tương để tiêm hoặc tiêm truyền tĩnh mạch, Tiêm hoặc tiêm truyền tĩnh mạch (IV)</t>
  </si>
  <si>
    <t>VN-17438-13</t>
  </si>
  <si>
    <t>217</t>
  </si>
  <si>
    <t>Hộp 1 lọ x 5ml, Dung dịch nhỏ mắt</t>
  </si>
  <si>
    <t>VN-21787-19</t>
  </si>
  <si>
    <t>Cooper S.A. Pharmaceuticals</t>
  </si>
  <si>
    <t>Greece</t>
  </si>
  <si>
    <t>218</t>
  </si>
  <si>
    <t>Hộp 1 lọ 5ml, Hỗn dịch nhỏ mắt, Nhỏ mắt</t>
  </si>
  <si>
    <t>VN-16553-13 (có công văn gia hạn SĐK)</t>
  </si>
  <si>
    <t>Balkanpharma Razgrad AD</t>
  </si>
  <si>
    <t>219</t>
  </si>
  <si>
    <t>N1-218-1</t>
  </si>
  <si>
    <t>Neo-Tergynan</t>
  </si>
  <si>
    <t>H/1 vỉ x 10 viên, Viên nén, Đặt âm đạo</t>
  </si>
  <si>
    <t>VN-18967-15</t>
  </si>
  <si>
    <t>220</t>
  </si>
  <si>
    <t>N1-229-4</t>
  </si>
  <si>
    <t>Rovamycine 3MIU</t>
  </si>
  <si>
    <t>Hộp 2 vỉ x 5 viên,viên nén bao phim,Uống</t>
  </si>
  <si>
    <t>VN-21649-18</t>
  </si>
  <si>
    <t>221</t>
  </si>
  <si>
    <t>Công ty TNHH DP Văn Lang</t>
  </si>
  <si>
    <t>Văn Lang</t>
  </si>
  <si>
    <t>N1-236-1</t>
  </si>
  <si>
    <t>400mg/250ml</t>
  </si>
  <si>
    <t xml:space="preserve">Moxifloxacin 400mg/250ml Solution for Infusion  </t>
  </si>
  <si>
    <t>Hộp 1 chai 250 ml, Dung dịch truyền tĩnh mạch, Truyền tĩnh mạch</t>
  </si>
  <si>
    <t>VN-20929-18</t>
  </si>
  <si>
    <t>Demo S.A Pharmaceutical Industry</t>
  </si>
  <si>
    <t>222</t>
  </si>
  <si>
    <t>Công ty TNHH Đại Bắc - Miền Nam</t>
  </si>
  <si>
    <t>Đại Bắc - Miền Nam</t>
  </si>
  <si>
    <t>N1-237-2</t>
  </si>
  <si>
    <t>Bluemoxi</t>
  </si>
  <si>
    <t>Hộp 1 vỉ x 7 viên, Viên nén bao phim, Uống</t>
  </si>
  <si>
    <t>VN-21370-18</t>
  </si>
  <si>
    <t>Bluepharma- Indústria Farmacêutica, S.A.</t>
  </si>
  <si>
    <t>Bồ Đào Nha</t>
  </si>
  <si>
    <t>223</t>
  </si>
  <si>
    <t>Công ty Cổ phần Dược phẩm Âu Việt</t>
  </si>
  <si>
    <t>Âu Việt</t>
  </si>
  <si>
    <t>N1-239-3</t>
  </si>
  <si>
    <t>Norfloxacin</t>
  </si>
  <si>
    <t>Incarxol</t>
  </si>
  <si>
    <t>Hộp 2 vỉ x 7 viên, Viên nén bao phim, Uống</t>
  </si>
  <si>
    <t>VN-19614-16</t>
  </si>
  <si>
    <t>Laboratorios lesvi S.L</t>
  </si>
  <si>
    <t>Tây ban Nha</t>
  </si>
  <si>
    <t>224</t>
  </si>
  <si>
    <t>N1-240-2</t>
  </si>
  <si>
    <t>Remecilox 200</t>
  </si>
  <si>
    <t>Hộp/10 vỉ x 10 viên, 
viên nén bao phim, uống</t>
  </si>
  <si>
    <t>VN-21229-18</t>
  </si>
  <si>
    <t>225</t>
  </si>
  <si>
    <t>Công ty Cổ phần Dược phẩm IP</t>
  </si>
  <si>
    <t>IP</t>
  </si>
  <si>
    <t>N1-301-2</t>
  </si>
  <si>
    <t>Upetal</t>
  </si>
  <si>
    <t>Hộp 1 vỉ x 1 viên, Viên nang cứng, Uống</t>
  </si>
  <si>
    <t>VN-21221-18</t>
  </si>
  <si>
    <t>S.C. Slavia Pharm S.R.L</t>
  </si>
  <si>
    <t>226</t>
  </si>
  <si>
    <t>Celofirm 200</t>
  </si>
  <si>
    <t>Hộp 4 vỉ x 15 viên, Viên nang cứng, Uống</t>
  </si>
  <si>
    <t>VN-22088-19</t>
  </si>
  <si>
    <t>Ferrer Internacional S.A.</t>
  </si>
  <si>
    <t>227</t>
  </si>
  <si>
    <t>N1-305-1</t>
  </si>
  <si>
    <t>Spulit</t>
  </si>
  <si>
    <t>Hộp 6 vỉ x 5 viên, Viên nang, Uống</t>
  </si>
  <si>
    <t>VN-19599-16</t>
  </si>
  <si>
    <t>228</t>
  </si>
  <si>
    <t>N1-313-1</t>
  </si>
  <si>
    <t>Nystatin + metronidazol + neomycin</t>
  </si>
  <si>
    <t>100.000UI + 500mg +
65.000 IU</t>
  </si>
  <si>
    <t>229</t>
  </si>
  <si>
    <t>Công ty TNHH TM Dược Thuận Gia</t>
  </si>
  <si>
    <t>Thuận Gia</t>
  </si>
  <si>
    <t>N1-314-1</t>
  </si>
  <si>
    <t>Nystatin + neomycin + polymyxin B</t>
  </si>
  <si>
    <t>100.000 IU+ 35.000 IU +  35.000 IU</t>
  </si>
  <si>
    <t>Polygynax</t>
  </si>
  <si>
    <t>Hộp 2 vỉ x 6 viên, viên nang mềm, đặt âm đạo</t>
  </si>
  <si>
    <t>18 tháng</t>
  </si>
  <si>
    <t>VN-21788-19</t>
  </si>
  <si>
    <t>Catalent France Beinheim S.A</t>
  </si>
  <si>
    <t>230</t>
  </si>
  <si>
    <t>Công ty Cồ phần Dược phẩm Đại Phát</t>
  </si>
  <si>
    <t>Đại Phát</t>
  </si>
  <si>
    <t>N1-32-2</t>
  </si>
  <si>
    <t>Elaria 100mg</t>
  </si>
  <si>
    <t>Hộp 2 vĩ x 5 viên;Viên đạn;  đặt hậu môn;</t>
  </si>
  <si>
    <t>VN-20017-16</t>
  </si>
  <si>
    <t>Medochemie Ltd - COGOLS Facility</t>
  </si>
  <si>
    <t>231</t>
  </si>
  <si>
    <t>Hộp 2 vỉ x 5 ống, Dung dịch tiêm, Tiêm</t>
  </si>
  <si>
    <t>VN-16829-13</t>
  </si>
  <si>
    <t>Medochemie Ltd - Ampoule Injectable Facility</t>
  </si>
  <si>
    <t>232</t>
  </si>
  <si>
    <t>N1-35-1</t>
  </si>
  <si>
    <t>Etoricoxib</t>
  </si>
  <si>
    <t>90mg</t>
  </si>
  <si>
    <t>Roticox 90mg Film-Coated Tablets</t>
  </si>
  <si>
    <t>Hộp 3 vỉ x 10 viên, Viên nén bao phim, Uống</t>
  </si>
  <si>
    <t>VN-21718-19</t>
  </si>
  <si>
    <t>KRKA, D.D., Novo Mesto</t>
  </si>
  <si>
    <t>Slovenia</t>
  </si>
  <si>
    <t>233</t>
  </si>
  <si>
    <t>1 tuýp 30g/ hộp, Gel bôi ngoài da, Bôi ngoài da</t>
  </si>
  <si>
    <t>VN-12132-11</t>
  </si>
  <si>
    <t xml:space="preserve">A.Menarini Manufacturing Logistics and Service S.r.l </t>
  </si>
  <si>
    <t>234</t>
  </si>
  <si>
    <t>Hộp 2 vỉ x 10 viên nén, Viên nén, Uống</t>
  </si>
  <si>
    <t>VN-15416-12</t>
  </si>
  <si>
    <t>Daiichi Sankyo Propharma Co., Ltd., Hiratsuka Plant. (Packing Company: OLIC (Thailand) Limited)</t>
  </si>
  <si>
    <t>Nhật Bản</t>
  </si>
  <si>
    <t>235</t>
  </si>
  <si>
    <t>236</t>
  </si>
  <si>
    <t>Hộp 6 bơm tiêm,Dung dịch tiêm,Tiêm</t>
  </si>
  <si>
    <t>VN-16313-13 (có công văn gia hạn SĐK)</t>
  </si>
  <si>
    <t>237</t>
  </si>
  <si>
    <t>Hộp 2 vỉ x 5 ống, Dung dịch tiêm</t>
  </si>
  <si>
    <t>VN-20801-17</t>
  </si>
  <si>
    <t>Medochemie Ltd -Ampoule injectable Facility</t>
  </si>
  <si>
    <t>238</t>
  </si>
  <si>
    <t>N1-467-2</t>
  </si>
  <si>
    <t>Medsamic 500mg/5ml</t>
  </si>
  <si>
    <t>Hộp 2 vỉ x 5 ống 5ml, Dung dịch tiêm tĩnh mạch chậm</t>
  </si>
  <si>
    <t>VN-19493-15</t>
  </si>
  <si>
    <t>239</t>
  </si>
  <si>
    <t>N1-48-2</t>
  </si>
  <si>
    <t>Naproxen</t>
  </si>
  <si>
    <t>Propain</t>
  </si>
  <si>
    <t>Hộp/10 vỉ x 10 viên,
 viên nén, uống</t>
  </si>
  <si>
    <t>VN-20710-17</t>
  </si>
  <si>
    <t>240</t>
  </si>
  <si>
    <t>N1-49-1</t>
  </si>
  <si>
    <t>Hộp 5 ống 2ml, Dung dịch tiêm, Tiêm</t>
  </si>
  <si>
    <t>241</t>
  </si>
  <si>
    <t>10mg/ 10ml</t>
  </si>
  <si>
    <t>Hộp 10 ống 10ml, Dung dịch tiêm</t>
  </si>
  <si>
    <t>242</t>
  </si>
  <si>
    <t>Hộp 6 vỉ x 10 viên, viên nén giải phóng chậm, uống</t>
  </si>
  <si>
    <t>30 tháng</t>
  </si>
  <si>
    <t>243</t>
  </si>
  <si>
    <t>Công ty Cổ phần TMDV Thăng Long</t>
  </si>
  <si>
    <t>Thăng Long</t>
  </si>
  <si>
    <t>N1-497-2</t>
  </si>
  <si>
    <t>Metazydyna</t>
  </si>
  <si>
    <t>Hộp 2 vỉ x 30 viên, viên nén bao phim, uống</t>
  </si>
  <si>
    <t>VN-21630-18</t>
  </si>
  <si>
    <t>Pharmaceutical Works Polfa in Pabianice Joint Stock Co.</t>
  </si>
  <si>
    <t>Ba Lan</t>
  </si>
  <si>
    <t>244</t>
  </si>
  <si>
    <t>245</t>
  </si>
  <si>
    <t>Hộp 2 vỉ x 5 viên,Thuốc đạn,Đặt hậu môn</t>
  </si>
  <si>
    <t>VN-21850-19</t>
  </si>
  <si>
    <t>UPSA SAS</t>
  </si>
  <si>
    <t>246</t>
  </si>
  <si>
    <t>N1-50-7</t>
  </si>
  <si>
    <t>Paracetamol-Bivid (Xuất xưởng bởi: Sanavita Pharmaceuticals GmbH, địa chỉ: Lohstrasse, D-59368 Werne, Germany)</t>
  </si>
  <si>
    <t>Hộp 20 lọ 100ml, Dung dịch tiêm truyền</t>
  </si>
  <si>
    <t>VN-16186-13 (có công văn gia hạn SĐK)</t>
  </si>
  <si>
    <t>Bieffe Medital S.p.A (Xuất xưởng bởi Sanavita Pharmaceuticals GmbH - Germany)</t>
  </si>
  <si>
    <t>247</t>
  </si>
  <si>
    <t>Hộp 3 vỉ x 10 viên , Viên nén, Uống</t>
  </si>
  <si>
    <t>VN-8747-09</t>
  </si>
  <si>
    <t>248</t>
  </si>
  <si>
    <t>Hộp 30 viên , Viên nén, Uống</t>
  </si>
  <si>
    <t>VN-13128-11</t>
  </si>
  <si>
    <t>249</t>
  </si>
  <si>
    <t>Zentobiso 2.5mg</t>
  </si>
  <si>
    <t>VN-17388-13</t>
  </si>
  <si>
    <t>Niche Generics Ltd.</t>
  </si>
  <si>
    <t xml:space="preserve"> Ireland</t>
  </si>
  <si>
    <t>250</t>
  </si>
  <si>
    <t>Công ty TNHH Dược Phẩm An Long</t>
  </si>
  <si>
    <t>An Long</t>
  </si>
  <si>
    <t>N1-509-2</t>
  </si>
  <si>
    <t>Bisostad 5</t>
  </si>
  <si>
    <t>Hộp 3 vỉ x 10 viên nén bao phim, uống</t>
  </si>
  <si>
    <t>VD-23337-15</t>
  </si>
  <si>
    <t>Chi Nhánh Công Ty TNHH Liên Doanh Stada- Việt Nam</t>
  </si>
  <si>
    <t>251</t>
  </si>
  <si>
    <t>N1-5-1</t>
  </si>
  <si>
    <t>Etomidat</t>
  </si>
  <si>
    <t>20mg/10ml</t>
  </si>
  <si>
    <t>Etomidate Lipuro</t>
  </si>
  <si>
    <t>Ống thuỷ tinh 10ml, Nhũ dịch tiêm truyền, tiêm</t>
  </si>
  <si>
    <t>VN-10697-10 (có công văn gia hạn SĐK)</t>
  </si>
  <si>
    <t>252</t>
  </si>
  <si>
    <t>Công ty TNHH DP Song Việt</t>
  </si>
  <si>
    <t>Song Việt</t>
  </si>
  <si>
    <t>Hộp 3 vỉ x 10 viên; Viên nén; Uống</t>
  </si>
  <si>
    <t>253</t>
  </si>
  <si>
    <t>Hộp 10 vỉ x 10 viên, Viên nén bao phim phóng thích kéo dài, Uống</t>
  </si>
  <si>
    <t>Chi nhánh Công ty TNHH Liên Doanh Stada-Việt Nam</t>
  </si>
  <si>
    <t>254</t>
  </si>
  <si>
    <t>Chai 100 viên; Viên nén; Uống</t>
  </si>
  <si>
    <t>VN-17771-14</t>
  </si>
  <si>
    <t>Pharmascience Inc</t>
  </si>
  <si>
    <t>255</t>
  </si>
  <si>
    <t>N1-523-1</t>
  </si>
  <si>
    <t>Tensiber Plus Tab 150mg/12.5mg 30's</t>
  </si>
  <si>
    <t>VN-21323-18</t>
  </si>
  <si>
    <t>256</t>
  </si>
  <si>
    <t>N1-526-3</t>
  </si>
  <si>
    <t>Hộp/10 vỉ x 10 viên nén, uống</t>
  </si>
  <si>
    <t>VD-21533-14 (có công văn gia hạn SĐK)</t>
  </si>
  <si>
    <t xml:space="preserve">Chi nhánh Công ty TNHH LD Stada-Việt Nam </t>
  </si>
  <si>
    <t>257</t>
  </si>
  <si>
    <t>Công ty Cổ phần XNK Y tế Thái An</t>
  </si>
  <si>
    <t>Thái An</t>
  </si>
  <si>
    <t>N1-526-4</t>
  </si>
  <si>
    <t>Liprilex</t>
  </si>
  <si>
    <t>Hộp 3 vỉ x 20 viên, Viên nén, Uống</t>
  </si>
  <si>
    <t>VN-20982-18</t>
  </si>
  <si>
    <t xml:space="preserve">Laboratorios Lesvi, S.L. </t>
  </si>
  <si>
    <t>258</t>
  </si>
  <si>
    <t>N1-528-2</t>
  </si>
  <si>
    <t>Lostad T50</t>
  </si>
  <si>
    <t>VD-20373-13</t>
  </si>
  <si>
    <t>259</t>
  </si>
  <si>
    <t>Hộp 2 vỉ x 14 viên nén bao phim, Uống</t>
  </si>
  <si>
    <t>VN-18888-15</t>
  </si>
  <si>
    <t>Denk Pharma GmbH &amp; Co.KG</t>
  </si>
  <si>
    <t>260</t>
  </si>
  <si>
    <t xml:space="preserve">Nicardipin </t>
  </si>
  <si>
    <t xml:space="preserve"> 10mg/10ml</t>
  </si>
  <si>
    <t>Nicardipine Aguettant 10mg/10ml</t>
  </si>
  <si>
    <t>Hộp 10 ống x 10ml, Dung dịch tiêm truyền tĩnh mạch, Tiêm truyền</t>
  </si>
  <si>
    <t>261</t>
  </si>
  <si>
    <t>N1-535-1</t>
  </si>
  <si>
    <t>Nifehexal LA Tab 30mg 3x10's</t>
  </si>
  <si>
    <t>Hộp 3 vỉ x 10 viên, Viên nén bao phim tác dụng kéo dài, Uống</t>
  </si>
  <si>
    <t>VN-19669-16</t>
  </si>
  <si>
    <t>262</t>
  </si>
  <si>
    <t>Hộp 3 vỉ x 10 viên, Viên nén, Uống</t>
  </si>
  <si>
    <t>VN-18923-15</t>
  </si>
  <si>
    <t>263</t>
  </si>
  <si>
    <t>Hộp 1 lọ 30 viên, Viên nén, Uống</t>
  </si>
  <si>
    <t>Ailen</t>
  </si>
  <si>
    <t>264</t>
  </si>
  <si>
    <t>Hộp 1 lọ 30 viên, Viên nén bao phim, Uống</t>
  </si>
  <si>
    <t>265</t>
  </si>
  <si>
    <t>Công ty TNHH Dược phẩm SaLa</t>
  </si>
  <si>
    <t>Sala</t>
  </si>
  <si>
    <t>Hộp 8 vỉ x 7 viên, viên nang cứng, Uống</t>
  </si>
  <si>
    <t>VN-20202-16</t>
  </si>
  <si>
    <t>Farmalabor-Produtos Farmacêuticos, S.A</t>
  </si>
  <si>
    <t>Portugal</t>
  </si>
  <si>
    <t>266</t>
  </si>
  <si>
    <t>VN-21654-19</t>
  </si>
  <si>
    <t>267</t>
  </si>
  <si>
    <t>Hộp 10 lọ 50ml, Dung dịch tiêm truyền</t>
  </si>
  <si>
    <t>VN-16187-13 (có công văn gia hạn SĐK)</t>
  </si>
  <si>
    <t>268</t>
  </si>
  <si>
    <t>Hộp 10 ống 5ml, Dung dịch tiêm truyền tĩnh mạch, tiêm</t>
  </si>
  <si>
    <t>VN-18479-14</t>
  </si>
  <si>
    <t>269</t>
  </si>
  <si>
    <t>N1-566-1</t>
  </si>
  <si>
    <t>Rotacor 10mg</t>
  </si>
  <si>
    <t>Hộp 3 vỉ x 10 viên. Viên nén bao phim, uống</t>
  </si>
  <si>
    <t>VN-19187-15</t>
  </si>
  <si>
    <t>Lek Pharmaceuticals d.d</t>
  </si>
  <si>
    <t>270</t>
  </si>
  <si>
    <t>N1-570-3</t>
  </si>
  <si>
    <t>Lipanthyl 200M</t>
  </si>
  <si>
    <t>Hộp 2 vỉ x 15 viên, Viên nang cứng, Uống</t>
  </si>
  <si>
    <t>VN-17205-13 (có công văn gia hạn SĐK)</t>
  </si>
  <si>
    <t>Recipharm Fontaine</t>
  </si>
  <si>
    <t>Công ty TNHH DP Tự Đức</t>
  </si>
  <si>
    <t>Tự Đức</t>
  </si>
  <si>
    <t>Hộp 6 vỉ x 15 viên, Viên nén bao phim, Uống</t>
  </si>
  <si>
    <t>VN-20747-17</t>
  </si>
  <si>
    <t xml:space="preserve">Australia </t>
  </si>
  <si>
    <t>272</t>
  </si>
  <si>
    <t>Piracetam-Egis</t>
  </si>
  <si>
    <t>H/1 lọ 30 viên, Viên nén bao phim, Uống</t>
  </si>
  <si>
    <t>VN-16482-13</t>
  </si>
  <si>
    <t>273</t>
  </si>
  <si>
    <t>N1-592-11</t>
  </si>
  <si>
    <t>Hộp/10 vỉ x 10 viên nén bao phim, uống</t>
  </si>
  <si>
    <t>VD-18536-13 (có công văn gia hạn SĐK)</t>
  </si>
  <si>
    <t>Chi nhánh Công ty TNHH LD Stada-Việt Nam</t>
  </si>
  <si>
    <t>274</t>
  </si>
  <si>
    <t>Hộp 2 vỉ x 15 viên, Viên nén, Uống</t>
  </si>
  <si>
    <t>275</t>
  </si>
  <si>
    <t xml:space="preserve">Cavinton </t>
  </si>
  <si>
    <t>Hộp 2 vỉ x 25 viên, Viên nén, Uống</t>
  </si>
  <si>
    <t>VN-20508-17</t>
  </si>
  <si>
    <t>276</t>
  </si>
  <si>
    <t>N1-6-1</t>
  </si>
  <si>
    <t>Fentanyl</t>
  </si>
  <si>
    <t>0,10mg/2ml</t>
  </si>
  <si>
    <t>Fentanyl - Hameln 50mcg/ml</t>
  </si>
  <si>
    <t>Hộp 10 ống x 2ml - Dung dịch tiêm - Tiêm</t>
  </si>
  <si>
    <t>VN-17326-13 (có công văn gia hạn SĐK)</t>
  </si>
  <si>
    <t>277</t>
  </si>
  <si>
    <t>N1-61-1</t>
  </si>
  <si>
    <t>Hộp/05 vỉ x 10 viên, 
viên nén, uống</t>
  </si>
  <si>
    <t>VN-20971-18</t>
  </si>
  <si>
    <t>278</t>
  </si>
  <si>
    <t>Hộp 3Vỉ x 10 viên, Viên nang cứng, Uống</t>
  </si>
  <si>
    <t>279</t>
  </si>
  <si>
    <t>N1-679-1</t>
  </si>
  <si>
    <t>Aluminum phosphat</t>
  </si>
  <si>
    <t>20% 12,38g</t>
  </si>
  <si>
    <t xml:space="preserve">Phosphalugel </t>
  </si>
  <si>
    <t>Hộp 26 gói x 20g, Hỗn dịch uống, Uống</t>
  </si>
  <si>
    <t>VN-16964-13 (có công văn gia hạn SĐK)</t>
  </si>
  <si>
    <t>280</t>
  </si>
  <si>
    <t>N1-683-1</t>
  </si>
  <si>
    <t xml:space="preserve">20mg </t>
  </si>
  <si>
    <t>Quamatel</t>
  </si>
  <si>
    <t>Hộp 5 lọ bột và 5 ống chứa 5ml dung môi pha tiêm, Bột pha tiêm, Tiêm</t>
  </si>
  <si>
    <t>VN-20279-17</t>
  </si>
  <si>
    <t>281</t>
  </si>
  <si>
    <t>LD Công ty TNHH DP TH - Công ty CP TTB Phú Thành</t>
  </si>
  <si>
    <t>LD TH-Phú Thành</t>
  </si>
  <si>
    <t>Hộp 4 vỉ x 7 viên, viên nang, uống</t>
  </si>
  <si>
    <t>VN-21360-18</t>
  </si>
  <si>
    <t>Laboratorios Liconsa, S.A.</t>
  </si>
  <si>
    <t>282</t>
  </si>
  <si>
    <t>Công ty CP Dược Nam Đồng</t>
  </si>
  <si>
    <t>Nam Đồng</t>
  </si>
  <si>
    <t>Hộp 14 viên, viên nang cứng, uống</t>
  </si>
  <si>
    <t xml:space="preserve">KRKA, D.D., Novo Mesto </t>
  </si>
  <si>
    <t xml:space="preserve"> Slovenia</t>
  </si>
  <si>
    <t>283</t>
  </si>
  <si>
    <t>Công ty Cổ phần Dược Đại Nam- Hà Nội</t>
  </si>
  <si>
    <t>Đại Nam- Hà Nội</t>
  </si>
  <si>
    <t>N1-694-1</t>
  </si>
  <si>
    <t>Hộp 1 Lọ, bột pha tiêm, tiêm</t>
  </si>
  <si>
    <t>VN-16151-13 (có công văn gia hạn SĐK)</t>
  </si>
  <si>
    <t>Laboratorios Normon S.A.</t>
  </si>
  <si>
    <t>284</t>
  </si>
  <si>
    <t>N1-694-3</t>
  </si>
  <si>
    <t>Medoome 40</t>
  </si>
  <si>
    <t>Hộp 1 lọ 28 viên, Viên nang, Uống</t>
  </si>
  <si>
    <t>VN-12018-11 (có công văn gia hạn SĐK)</t>
  </si>
  <si>
    <t>285</t>
  </si>
  <si>
    <t>Công ty TNHH DP và TTB Y tế HD</t>
  </si>
  <si>
    <t>HD</t>
  </si>
  <si>
    <t>N1-695-1</t>
  </si>
  <si>
    <t>Asgizole</t>
  </si>
  <si>
    <t>Hộp 1 lọ hoặc hộp 10 lọ, Bột pha tiêm, Tiêm tĩnh mạch</t>
  </si>
  <si>
    <t>VN-18248-14</t>
  </si>
  <si>
    <t>Sofarimex- Industria Quimica E Farmaceutica,S.A</t>
  </si>
  <si>
    <t>286</t>
  </si>
  <si>
    <t>N1-695-3</t>
  </si>
  <si>
    <t>Hộp 4 vỉ x 7 viên, Viên nang cứng, Uống</t>
  </si>
  <si>
    <t>287</t>
  </si>
  <si>
    <t>Công ty TNHH DP &amp; TBYT  Hoàng Đức</t>
  </si>
  <si>
    <t>Hoàng Đức</t>
  </si>
  <si>
    <t>N1-697-2</t>
  </si>
  <si>
    <t>Beprasan 20mg</t>
  </si>
  <si>
    <t>Hộp 1 vỉ x 10 viên , Viên nén kháng dịch vị, Uống</t>
  </si>
  <si>
    <t>VN-21085-18</t>
  </si>
  <si>
    <t>288</t>
  </si>
  <si>
    <t>N1-698-1</t>
  </si>
  <si>
    <t>Arnetine</t>
  </si>
  <si>
    <t>Hộp 10 ống 2ml; Thuốc tiêm bắp, tĩnh mạch</t>
  </si>
  <si>
    <t>VN-18931-15</t>
  </si>
  <si>
    <t>289</t>
  </si>
  <si>
    <t>Hộp 50 gói, Dạng hạt cốm, Uống</t>
  </si>
  <si>
    <t>VN-16235-13 (có công văn gia hạn SĐK)</t>
  </si>
  <si>
    <t>290</t>
  </si>
  <si>
    <t>Hộp 3 vỉ x 10 viên,Viên nén,Uống</t>
  </si>
  <si>
    <t>291</t>
  </si>
  <si>
    <t>292</t>
  </si>
  <si>
    <t>Kim Đô</t>
  </si>
  <si>
    <t>N1-707-2</t>
  </si>
  <si>
    <t>Hộp 2 vỉ x 20 viên, Viên nén, Uống</t>
  </si>
  <si>
    <t>Delpharm Dijon</t>
  </si>
  <si>
    <t>293</t>
  </si>
  <si>
    <t>N1-714-2</t>
  </si>
  <si>
    <t>Drotavep 40mg tablets</t>
  </si>
  <si>
    <t>Hộp 3 vỉ x 10 viên, hộp 10 vỉ x 10 viên, Viên nén, Uống</t>
  </si>
  <si>
    <t>VN-20665-17</t>
  </si>
  <si>
    <t>ExtractumPharma Co.Ltd</t>
  </si>
  <si>
    <t>294</t>
  </si>
  <si>
    <t>N1-716-1</t>
  </si>
  <si>
    <t>Mebeverin hydroclorid</t>
  </si>
  <si>
    <t>Duspatalin retard</t>
  </si>
  <si>
    <t>Hộp 3 vỉ x 10 viên, Viên nang giải phóng kéo dài, Uống</t>
  </si>
  <si>
    <t>VN-12831-11 (có công văn gia hạn SĐK)</t>
  </si>
  <si>
    <t>Mylan Laboratories SAS</t>
  </si>
  <si>
    <t>295</t>
  </si>
  <si>
    <t xml:space="preserve"> 10g/15ml</t>
  </si>
  <si>
    <t>Laevolac</t>
  </si>
  <si>
    <t>Hộp 20 gói 15ml, Dung dịch uống, Uống</t>
  </si>
  <si>
    <t>VN-19613-16</t>
  </si>
  <si>
    <t>Austria</t>
  </si>
  <si>
    <t>296</t>
  </si>
  <si>
    <t xml:space="preserve"> 4000 - 10g</t>
  </si>
  <si>
    <t>Hộp 20 gói,Bột pha dung dịch uống,Uống</t>
  </si>
  <si>
    <t>VN-16801-13 (có công văn gia hạn SĐK)</t>
  </si>
  <si>
    <t>297</t>
  </si>
  <si>
    <t>Actapulgite</t>
  </si>
  <si>
    <t>Hộp 30 gói,Bột pha dung dịch uống,Uống</t>
  </si>
  <si>
    <t>298</t>
  </si>
  <si>
    <t>Smecta</t>
  </si>
  <si>
    <t>Hộp 30 gói (mỗi gói 3.76g),Bột pha hỗn dịch uống,Uống</t>
  </si>
  <si>
    <t>299</t>
  </si>
  <si>
    <t>Công ty TNHH Dược Thống Nhất</t>
  </si>
  <si>
    <t>Thống Nhất</t>
  </si>
  <si>
    <t>N1-740-1</t>
  </si>
  <si>
    <t>Gelatin tannat</t>
  </si>
  <si>
    <t>Tanagel</t>
  </si>
  <si>
    <t>Hộp 20 gói, Bột pha hỗn dịch uống</t>
  </si>
  <si>
    <t>VN-19132-15</t>
  </si>
  <si>
    <t>Laboratorios
Francisco Durban, S.A.</t>
  </si>
  <si>
    <t>300</t>
  </si>
  <si>
    <t>Cao ginkgo biloba + heptaminol clohydrat + troxerutin</t>
  </si>
  <si>
    <t>Hộp 3 vỉ x 10 viên, Viên nang cứng, Uống</t>
  </si>
  <si>
    <t>VN-16802-13 (có công văn gia hạn SĐK)</t>
  </si>
  <si>
    <t>301</t>
  </si>
  <si>
    <t>Hộp/06 vỉ x 10 viên, 
viên nén bao phim, uống</t>
  </si>
  <si>
    <t>VN-21394-18</t>
  </si>
  <si>
    <t>302</t>
  </si>
  <si>
    <t>Hộp 10 ống 1ml, Dung dịch đậm đặc để pha dịch tiêm truyền, Tiêm truyền</t>
  </si>
  <si>
    <t>VN-19094-15</t>
  </si>
  <si>
    <t>Bioindustria L.I.M</t>
  </si>
  <si>
    <t>Italy</t>
  </si>
  <si>
    <t>303</t>
  </si>
  <si>
    <t>40mg/ml. chai 30ml</t>
  </si>
  <si>
    <t>Espumisan L 40mg 30ml 1s</t>
  </si>
  <si>
    <t>Chai 30ml, Nhũ dịch uống, Uống</t>
  </si>
  <si>
    <t>VN-15231-12</t>
  </si>
  <si>
    <t>304</t>
  </si>
  <si>
    <t>Hộp 2 vỉ x 25 viên nang mềm, viên nang mềm, Uống</t>
  </si>
  <si>
    <t>305</t>
  </si>
  <si>
    <t>N1-779-1</t>
  </si>
  <si>
    <t>306</t>
  </si>
  <si>
    <t>N1-801-1</t>
  </si>
  <si>
    <t>Dydrogesteron</t>
  </si>
  <si>
    <t>Duphaston</t>
  </si>
  <si>
    <t>Hộp 1 vỉ x 20 viên, Viên nén bao phim, Uống</t>
  </si>
  <si>
    <t>VN-21159-18</t>
  </si>
  <si>
    <t>Hà Lan</t>
  </si>
  <si>
    <t>307</t>
  </si>
  <si>
    <t>Hộp 1 vỉ x 30 viên, Viên nén, Uống</t>
  </si>
  <si>
    <t>VN-21209-18</t>
  </si>
  <si>
    <t>308</t>
  </si>
  <si>
    <t>Công ty TNHH DP Minh Trí</t>
  </si>
  <si>
    <t>Minh Trí</t>
  </si>
  <si>
    <t>Bluecezine</t>
  </si>
  <si>
    <t xml:space="preserve">Hộp 10 vĩ x 10 viên , Viên nén bao phim , Dạng Uống </t>
  </si>
  <si>
    <t>VN-20660-17</t>
  </si>
  <si>
    <t>Bluepharma Industria Farmaceutica,S.A</t>
  </si>
  <si>
    <t xml:space="preserve">Bồ Đào Nha </t>
  </si>
  <si>
    <t>309</t>
  </si>
  <si>
    <t>N1-812-2</t>
  </si>
  <si>
    <t>Utrogestan 100mg Capsule 2x15's</t>
  </si>
  <si>
    <t>Hộp 2 vỉ x 15 viên , Viên nang mềm, uống, đặt âm đạo</t>
  </si>
  <si>
    <t>VN-19019-15</t>
  </si>
  <si>
    <t>Sản xuất bán thành phẩm: Capsugel Ploermel; Đóng gói, kiểm nghiệm và xuất xưởng: Besins Manufacturing Belgium</t>
  </si>
  <si>
    <t>CSSX: Pháp; đóng gói: Bỉ</t>
  </si>
  <si>
    <t>310</t>
  </si>
  <si>
    <t>Utrogestan 200mg Capsule 1x7's, 1x8's</t>
  </si>
  <si>
    <t>Hộp 15 viên (1 vỉ 7 viên + 1 vỉ 8 viên), Viên nang mềm, uống, đặt âm đạo</t>
  </si>
  <si>
    <t>VN-19020-15</t>
  </si>
  <si>
    <t>311</t>
  </si>
  <si>
    <t>Canzeal Tab 2mg 3x10's</t>
  </si>
  <si>
    <t>VN-11157-10 (có công văn gia hạn SĐK)</t>
  </si>
  <si>
    <t>312</t>
  </si>
  <si>
    <t>VN-11158-10 (có công văn gia hạn SĐK)</t>
  </si>
  <si>
    <t>313</t>
  </si>
  <si>
    <t>N1-823-1</t>
  </si>
  <si>
    <t>Insulin người tác dụng trung bình, trung gian</t>
  </si>
  <si>
    <t>100UI/ml x 3ml</t>
  </si>
  <si>
    <t xml:space="preserve">Insulatard FlexPen </t>
  </si>
  <si>
    <t>Hộp chứa 5 bút tiêm bơm sẵn x 3ml,Hỗn dịch tiêm,Tiêm</t>
  </si>
  <si>
    <t>QLSP-1031-17</t>
  </si>
  <si>
    <t>Novo Nordisk Production S.A.S</t>
  </si>
  <si>
    <t xml:space="preserve">Insulin analog tác dụng nhanh, ngắn </t>
  </si>
  <si>
    <t xml:space="preserve"> 100UI/ml 3ml</t>
  </si>
  <si>
    <t xml:space="preserve">Novorapid FlexPen </t>
  </si>
  <si>
    <t>Hộp 5 bút tiêm chứa sẵn thuốc x 3ml,Dung dịch tiêm,Tiêm</t>
  </si>
  <si>
    <t>QLSP-963-16</t>
  </si>
  <si>
    <t>315</t>
  </si>
  <si>
    <t xml:space="preserve">Insulin analog trộn, hỗn hợp  </t>
  </si>
  <si>
    <t>Hộp chứa 5 bút tiêm x 3ml,Hỗn dịch tiêm,Tiêm</t>
  </si>
  <si>
    <t>QLSP-0793-14 (có công văn gia hạn SĐK)</t>
  </si>
  <si>
    <t>Đan Mạch</t>
  </si>
  <si>
    <t>316</t>
  </si>
  <si>
    <t>N1-825-5</t>
  </si>
  <si>
    <t>75/25 (100 UI/ml) 3ml</t>
  </si>
  <si>
    <t>Hộp 5 bút tiêm bơm sẵn thuốc x 3ml + 3 Needle (3 kim kèm theo),Hỗn dịch tiêm,Tiêm</t>
  </si>
  <si>
    <t>QLSP-1088-18</t>
  </si>
  <si>
    <t>Lắp ráp, đóng gói bút tiêm: Mỹ; sản xuất ống thuốc: Pháp</t>
  </si>
  <si>
    <t>317</t>
  </si>
  <si>
    <t>N1-825-6</t>
  </si>
  <si>
    <t xml:space="preserve"> 50/50 (100UI/1ml)/3ml</t>
  </si>
  <si>
    <t>QLSP-1087-18</t>
  </si>
  <si>
    <t>318</t>
  </si>
  <si>
    <t>Công ty Cổ phần Y dược Vimedimex</t>
  </si>
  <si>
    <t>Vimedimex (YD)</t>
  </si>
  <si>
    <t xml:space="preserve">Insulin người trộn, hỗn hợp </t>
  </si>
  <si>
    <t>30/70 (100UI/1ml)/ 3ml</t>
  </si>
  <si>
    <t>Humulin 30/70 Kwikpen</t>
  </si>
  <si>
    <t>Hộp 5 bút tiêm chứa sẵn thuốc x 3ml + 3 Needle (3 kim kèm theo),Hỗn dịch tiêm,Tiêm</t>
  </si>
  <si>
    <t>QLSP-1089-18</t>
  </si>
  <si>
    <t>Lilly France</t>
  </si>
  <si>
    <t>319</t>
  </si>
  <si>
    <t xml:space="preserve">Insulin analog tác dụng chậm, kéo dài </t>
  </si>
  <si>
    <t>Hộp 5 bút tiêm x 3ml dung dịch tiêm-Dung dịch tiêm trong bút tiêm nạp sẵn-Tiêm dưới da</t>
  </si>
  <si>
    <t>Sanofi-Aventis Deutschland GmbH</t>
  </si>
  <si>
    <t>320</t>
  </si>
  <si>
    <t>N1-827-1</t>
  </si>
  <si>
    <t>Siofor 1000</t>
  </si>
  <si>
    <t>H/2 vỉ x 15 viên, Viên nén bao phim, Uống</t>
  </si>
  <si>
    <t>VN-14924-12</t>
  </si>
  <si>
    <t xml:space="preserve">Dragenopharm Apotheke Puschl GmbH &amp; Co.KG </t>
  </si>
  <si>
    <t>321</t>
  </si>
  <si>
    <t>N1-827-3</t>
  </si>
  <si>
    <t>Meglucon Tab 850mg 3x10's</t>
  </si>
  <si>
    <t>322</t>
  </si>
  <si>
    <t>N1-827-6</t>
  </si>
  <si>
    <t>Metformin Stada 500 mg</t>
  </si>
  <si>
    <t>Hộp 3 vỉ x 10 viên, hộp 6 vỉ x 10 viên, viên nén bao phim, uống</t>
  </si>
  <si>
    <t>VD-23976-15</t>
  </si>
  <si>
    <t>Chi nhánh Công ty TNHH Liên doanh Stada - Việt Nam</t>
  </si>
  <si>
    <t>323</t>
  </si>
  <si>
    <t>N1-832-1</t>
  </si>
  <si>
    <t>Galvus Tab 50mg 2x14's</t>
  </si>
  <si>
    <t>Hộp 2 vỉ x 14 viên, Viên nén, Uống</t>
  </si>
  <si>
    <t>VN-19290-15</t>
  </si>
  <si>
    <t>Novartis Farmaceutica S.A</t>
  </si>
  <si>
    <t>324</t>
  </si>
  <si>
    <t>N1-832-3</t>
  </si>
  <si>
    <t>Vildagliptin + Metformin</t>
  </si>
  <si>
    <t>50mg + 1000mg</t>
  </si>
  <si>
    <t>Galvus MET Tab 50mg/1000mg 6x10's</t>
  </si>
  <si>
    <t>Hộp 6 vỉ x 10 viên, Viên nén bao phim, Uống</t>
  </si>
  <si>
    <t>VN-19291-15</t>
  </si>
  <si>
    <t>Novartis Pharma Produktions GmbH</t>
  </si>
  <si>
    <t>325</t>
  </si>
  <si>
    <t>N1-861-1</t>
  </si>
  <si>
    <t>Suxamethonium Chlorid VUAB 100mg</t>
  </si>
  <si>
    <t>Hộp 1 lọ, Bột pha dung dịch tiêm/tiêm truyền, Tiêm/tiêm truyền</t>
  </si>
  <si>
    <t>7386/QLD-KD</t>
  </si>
  <si>
    <t xml:space="preserve">VUAB Pharma a.s </t>
  </si>
  <si>
    <t>Cộng hòa Séc</t>
  </si>
  <si>
    <t>326</t>
  </si>
  <si>
    <t>N1-87-1</t>
  </si>
  <si>
    <t>Ebastin</t>
  </si>
  <si>
    <t>Ebastine Normon 10 mg Orodispersible Tablets</t>
  </si>
  <si>
    <t>Hộp 2 vỉ x 10 viên, Viên nén phân tán trong miệng, Uống</t>
  </si>
  <si>
    <t>VN-22104-19</t>
  </si>
  <si>
    <t>Laboractorios Normon S.A.</t>
  </si>
  <si>
    <t>N1-9-1</t>
  </si>
  <si>
    <t>Aerrane 100ml</t>
  </si>
  <si>
    <t>Hộp 6 chai 100ml, Chất lỏng dễ bay hơi dùng gây mê đường hô hấp,Dạng hít</t>
  </si>
  <si>
    <t xml:space="preserve"> VN-19793-16</t>
  </si>
  <si>
    <t>Baxter Healthcare Corporation</t>
  </si>
  <si>
    <t>Mỹ</t>
  </si>
  <si>
    <t>328</t>
  </si>
  <si>
    <t>N1-921-1</t>
  </si>
  <si>
    <t>Betaserc 24mg</t>
  </si>
  <si>
    <t>Hộp 5 vỉ x 10 viên, Viên nén, Uống</t>
  </si>
  <si>
    <t>VN-12029-11 (có công văn gia hạn SĐK)</t>
  </si>
  <si>
    <t>329</t>
  </si>
  <si>
    <t>Công ty TNHH Dược phẩm Quang Anh</t>
  </si>
  <si>
    <t>Quang Anh</t>
  </si>
  <si>
    <t>N1-921-2</t>
  </si>
  <si>
    <t>Hộp 6 vỉ x 10 viên nén, Uống</t>
  </si>
  <si>
    <t>330</t>
  </si>
  <si>
    <t>VN-17199-13 (có công văn gia hạn SĐK)</t>
  </si>
  <si>
    <t>331</t>
  </si>
  <si>
    <t>332</t>
  </si>
  <si>
    <t>Hộp 10 vỉ x 10 viên, Viên nén, uống</t>
  </si>
  <si>
    <t>VN-19162-15</t>
  </si>
  <si>
    <t>333</t>
  </si>
  <si>
    <t>H/100 ống 2ml, Dung dịch, Tiêm</t>
  </si>
  <si>
    <t>334</t>
  </si>
  <si>
    <t xml:space="preserve">Hộp 2 vĩ x 5 ống  , Dung dịch tiêm  , Dạng Tiêm </t>
  </si>
  <si>
    <t>VN-16410-13 (có công văn gia hạn SĐK)</t>
  </si>
  <si>
    <t>335</t>
  </si>
  <si>
    <t>N2-1006-2</t>
  </si>
  <si>
    <t>Asthmatin 4</t>
  </si>
  <si>
    <t>Hộp 3 vỉ x 10 viên, Viên nén nhai, Uống</t>
  </si>
  <si>
    <t>VD-26556-17</t>
  </si>
  <si>
    <t>336</t>
  </si>
  <si>
    <t>Montemac 5</t>
  </si>
  <si>
    <t>VN-19703-16</t>
  </si>
  <si>
    <t>Macleods Pharmaceuticals Ltd</t>
  </si>
  <si>
    <t>337</t>
  </si>
  <si>
    <t>Monte-H10</t>
  </si>
  <si>
    <t>VN-18904-15</t>
  </si>
  <si>
    <t>338</t>
  </si>
  <si>
    <t>N2-1012-1</t>
  </si>
  <si>
    <t>339</t>
  </si>
  <si>
    <t>Công ty TNHH Nacopharm Miền Nam</t>
  </si>
  <si>
    <t>Nacopharm Miền Nam</t>
  </si>
  <si>
    <t>N2-1022-1</t>
  </si>
  <si>
    <t>Savi Eprazinone 50</t>
  </si>
  <si>
    <t>Hộp 03 vỉ x 10 viên, Viên nén bao phim, Uống</t>
  </si>
  <si>
    <t>VD-21352-14</t>
  </si>
  <si>
    <t>Công ty Cổ phần Dược Phẩm Sa Vi (Savipharm J.S.C)</t>
  </si>
  <si>
    <t>340</t>
  </si>
  <si>
    <t>Thùng 20 chai nhựa 500ml, Dung dịch tiêm truyền, Tiêm truyền</t>
  </si>
  <si>
    <t>VD-21954-14</t>
  </si>
  <si>
    <t>Công ty Cổ phần Fresenius Kabi Việt Nam</t>
  </si>
  <si>
    <t>341</t>
  </si>
  <si>
    <t>342</t>
  </si>
  <si>
    <t>Hộp/1 tuýp x 20 viên nén sủi bọt, uống</t>
  </si>
  <si>
    <t>VD-27518-17</t>
  </si>
  <si>
    <t>Chi Nhánh Công ty TNHH LD Stada-Việt Nam</t>
  </si>
  <si>
    <t>343</t>
  </si>
  <si>
    <t>N2-1067-1</t>
  </si>
  <si>
    <t>Meditrol</t>
  </si>
  <si>
    <t>Hộp 3 vỉ x 10 viên-Viên nang mềm-Uống</t>
  </si>
  <si>
    <t>VN-18020-14 (có công văn gia hạn SĐK)</t>
  </si>
  <si>
    <t>Mega Lifesciences Public Company Ltd</t>
  </si>
  <si>
    <t>Thailand</t>
  </si>
  <si>
    <t>344</t>
  </si>
  <si>
    <t>Hộp 3 vỉ x 10 viên, viên nén bao phim, Uống</t>
  </si>
  <si>
    <t>VN-13706-11; VN-21859-19</t>
  </si>
  <si>
    <t>Getz Pharma (Pvt) Ltd</t>
  </si>
  <si>
    <t>Pakistan</t>
  </si>
  <si>
    <t>345</t>
  </si>
  <si>
    <t>100mg+100mg +150mcg</t>
  </si>
  <si>
    <t>Hộp 10 vỉ x 10 viên, viên nén bao phim, uống</t>
  </si>
  <si>
    <t>VD-30494-18</t>
  </si>
  <si>
    <t>Công ty cổ phần dược phẩm SaVi</t>
  </si>
  <si>
    <t>346</t>
  </si>
  <si>
    <t>N2-1084-8</t>
  </si>
  <si>
    <t>tube/10 viên nén sủi bọt; uống</t>
  </si>
  <si>
    <t>CTCP Dược Hậu Giang - CN nhà máy DP DHG tại Hậu Giang</t>
  </si>
  <si>
    <t>347</t>
  </si>
  <si>
    <t>N2-134-4</t>
  </si>
  <si>
    <t>Mirgy capsules 400mg</t>
  </si>
  <si>
    <t>Hộp 1 vỉ x 10 viên, viên nang cứng, Uống</t>
  </si>
  <si>
    <t>VN-17442-13</t>
  </si>
  <si>
    <t>348</t>
  </si>
  <si>
    <t>N2-140-1</t>
  </si>
  <si>
    <t>Prega 50</t>
  </si>
  <si>
    <t>Hộp 4 vỉ x 7 viên, Viên nang cứng, uống</t>
  </si>
  <si>
    <t>VN-21031-18</t>
  </si>
  <si>
    <t>349</t>
  </si>
  <si>
    <t>N2-140-3</t>
  </si>
  <si>
    <t>Demencur 150</t>
  </si>
  <si>
    <t>Hộp 3 vỉ x 10 viên nén bao phim, Uống</t>
  </si>
  <si>
    <t>VD-27034-17</t>
  </si>
  <si>
    <t>Công ty CPDP SaVi</t>
  </si>
  <si>
    <t>350</t>
  </si>
  <si>
    <t>N2-140-4</t>
  </si>
  <si>
    <t>Regabin 75</t>
  </si>
  <si>
    <t>Hộp 1 vỉ x 10 viên, Viên nang cứng, Uống</t>
  </si>
  <si>
    <t>VN-20016-16</t>
  </si>
  <si>
    <t>351</t>
  </si>
  <si>
    <t>N2-159-3</t>
  </si>
  <si>
    <t>Sanbeclaneksi</t>
  </si>
  <si>
    <t>Hộp 6 lọ bột pha tiêm, Tiêm, lọ bột pha tiêm</t>
  </si>
  <si>
    <t>VN-16119-13 (có công văn gia hạn SĐK)</t>
  </si>
  <si>
    <t xml:space="preserve">PT Sanbe Farma </t>
  </si>
  <si>
    <t>Indonesia</t>
  </si>
  <si>
    <t>352</t>
  </si>
  <si>
    <t>SCD Cefaclor 250mg</t>
  </si>
  <si>
    <t>Hộp/2vỉ x 10 viên nang cứng - Uống</t>
  </si>
  <si>
    <t>VD-26433-17</t>
  </si>
  <si>
    <t>353</t>
  </si>
  <si>
    <t>Hộp/10vỉ x 10 viên nang cứng - Uống</t>
  </si>
  <si>
    <t>VD-27300-17</t>
  </si>
  <si>
    <t>354</t>
  </si>
  <si>
    <t>N2-166-5</t>
  </si>
  <si>
    <t>Cefadroxil PMP 500mg</t>
  </si>
  <si>
    <t>VD-27301-17</t>
  </si>
  <si>
    <t>355</t>
  </si>
  <si>
    <t>N2-171-7</t>
  </si>
  <si>
    <t>Hộp/2vỉ x 4 viên nang cứng - Uống</t>
  </si>
  <si>
    <t>356</t>
  </si>
  <si>
    <t>Hộp/2vỉ x 05 viên nén bao phim - Uống</t>
  </si>
  <si>
    <t>357</t>
  </si>
  <si>
    <t>N2-182-1</t>
  </si>
  <si>
    <t>Cefradin</t>
  </si>
  <si>
    <t xml:space="preserve"> 500mg</t>
  </si>
  <si>
    <t xml:space="preserve">Doncef </t>
  </si>
  <si>
    <t xml:space="preserve">H/3 vỉ/10 viên nang - Uống </t>
  </si>
  <si>
    <t>VD-23833-15</t>
  </si>
  <si>
    <t>358</t>
  </si>
  <si>
    <t>N2-210-1</t>
  </si>
  <si>
    <t>EYRACIN
Ophthalmic Solution</t>
  </si>
  <si>
    <t>Hộp 1 lọ 5ml, 
Dung dịch nhỏ mắt, Nhỏ mắt</t>
  </si>
  <si>
    <t>24 Tháng</t>
  </si>
  <si>
    <t>VN-5615-10</t>
  </si>
  <si>
    <t>Samil Pharmaceutical Co., Ltd</t>
  </si>
  <si>
    <t>359</t>
  </si>
  <si>
    <t>N2-224-4</t>
  </si>
  <si>
    <t>Neozith 250</t>
  </si>
  <si>
    <t>Hộp 10 vỉ x 10 viên - Viên nén bao phim - Uống</t>
  </si>
  <si>
    <t>VN-14515-12 (có công văn gia hạn SĐK)</t>
  </si>
  <si>
    <t>Zim Labratories Ltd.</t>
  </si>
  <si>
    <t>360</t>
  </si>
  <si>
    <t>N2-230-1</t>
  </si>
  <si>
    <t>Kitaro</t>
  </si>
  <si>
    <t>Hộp 3 vỉ x 10 viên, Viên nén bao phim, uống</t>
  </si>
  <si>
    <t>VD-26251-17</t>
  </si>
  <si>
    <t>Công ty cổ phần 
dược phẩm SaVi</t>
  </si>
  <si>
    <t>361</t>
  </si>
  <si>
    <t>Santekvin</t>
  </si>
  <si>
    <t>Hộp 1 vỉ 3 viên, Viên đạn đặt âm đạo, Đặt âm đạo</t>
  </si>
  <si>
    <t>VN-21699-19</t>
  </si>
  <si>
    <t>Joint Stock Company "Lekhim-Kharkiv"</t>
  </si>
  <si>
    <t>362</t>
  </si>
  <si>
    <t>VN-19973-16</t>
  </si>
  <si>
    <t>363</t>
  </si>
  <si>
    <t>Hộp 1 tuýp 10g kem,cream,Bôi</t>
  </si>
  <si>
    <t>VN-21037-18</t>
  </si>
  <si>
    <t>OLIC (Thailand) Limited</t>
  </si>
  <si>
    <t>Thái Lan</t>
  </si>
  <si>
    <t>364</t>
  </si>
  <si>
    <t>Công ty TNHH Vinh Gip</t>
  </si>
  <si>
    <t>Vinh Gip</t>
  </si>
  <si>
    <t>N2-33-2</t>
  </si>
  <si>
    <t>Acetylsalicylic acid (DL-lysin-acetylsalicylat)</t>
  </si>
  <si>
    <t>Aspirin Stada 81mg</t>
  </si>
  <si>
    <t>Hộp 2 vỉ x 28 viên nén, bao phim tan trong ruột, Uống</t>
  </si>
  <si>
    <t>VD-27517-17</t>
  </si>
  <si>
    <t>Chi nhánh công ty TNHH LD Stada - Việt Nam</t>
  </si>
  <si>
    <t xml:space="preserve"> Việt Nam</t>
  </si>
  <si>
    <t>365</t>
  </si>
  <si>
    <t>N2-35-2</t>
  </si>
  <si>
    <t>Savi Etoricoxib 30</t>
  </si>
  <si>
    <t>Hộp/3 vỉ x 10 viên nén bao phim, uống</t>
  </si>
  <si>
    <t>VD-25268-16</t>
  </si>
  <si>
    <t>Công ty cổ phần dược phẩm SaVi (Savipharm)</t>
  </si>
  <si>
    <t>366</t>
  </si>
  <si>
    <t>Fluzinstad 5</t>
  </si>
  <si>
    <t>Hộp 10 vỉ x 10 viên, Viên nang cứng, Uống</t>
  </si>
  <si>
    <t>367</t>
  </si>
  <si>
    <t>Công ty TNHH TM DP Mười Tháng Ba</t>
  </si>
  <si>
    <t>Mười Tháng Ba</t>
  </si>
  <si>
    <t>N2-353-1</t>
  </si>
  <si>
    <t>Sumatriptan</t>
  </si>
  <si>
    <t>Migtana 50</t>
  </si>
  <si>
    <t>Hộp 3 vỉ x 10 viên; Viên nén bao phim; Uống</t>
  </si>
  <si>
    <t>VD-24849-16</t>
  </si>
  <si>
    <t>368</t>
  </si>
  <si>
    <t>N2-39-3</t>
  </si>
  <si>
    <t>20mg/ml Chai 60ml</t>
  </si>
  <si>
    <t>Brufen</t>
  </si>
  <si>
    <t>Hộp 1 lọ x 60ml, Hỗn dịch uống, Uống</t>
  </si>
  <si>
    <t>VN-21163-18</t>
  </si>
  <si>
    <t>PT. Abbott Indonesia</t>
  </si>
  <si>
    <t>369</t>
  </si>
  <si>
    <t>Drensa Injection 50mg/ml</t>
  </si>
  <si>
    <t xml:space="preserve">Hộp 10 ống  , Dung dịch tiêm  , Dạng Tiêm </t>
  </si>
  <si>
    <t>VN-21053-18</t>
  </si>
  <si>
    <t>Ta Fong Pharmaceutical Co.Ltd</t>
  </si>
  <si>
    <t>Taiwan</t>
  </si>
  <si>
    <t>370</t>
  </si>
  <si>
    <t>N2-47-1</t>
  </si>
  <si>
    <t>Samasol</t>
  </si>
  <si>
    <t>VD-30493-18</t>
  </si>
  <si>
    <t>371</t>
  </si>
  <si>
    <t>N2-493-2</t>
  </si>
  <si>
    <t>Diltiazem</t>
  </si>
  <si>
    <t>Diltiazem Stada 60 mg</t>
  </si>
  <si>
    <t>VD-27522-17</t>
  </si>
  <si>
    <t>372</t>
  </si>
  <si>
    <t>Hộp 3 vỉ x 10 viên nén bao phim giải phóng kéo dài, Uống</t>
  </si>
  <si>
    <t>VD-11690-10 (có công văn gia hạn SĐK)</t>
  </si>
  <si>
    <t>373</t>
  </si>
  <si>
    <t>Công ty TNHH DP Niềm Tin</t>
  </si>
  <si>
    <t>Niềm Tin</t>
  </si>
  <si>
    <t xml:space="preserve">Hộp 10 vỉ x 10 viên; Viên nén bao phim; Uống </t>
  </si>
  <si>
    <t>VN-19645-16</t>
  </si>
  <si>
    <t>Withus Pharma</t>
  </si>
  <si>
    <t>374</t>
  </si>
  <si>
    <t>Hộp 48 chai 100ml; Dung dịch tiêm truyền; Tiêm truyền</t>
  </si>
  <si>
    <t>375</t>
  </si>
  <si>
    <t>N2-507-1</t>
  </si>
  <si>
    <t>376</t>
  </si>
  <si>
    <t>N2-509-1</t>
  </si>
  <si>
    <t>377</t>
  </si>
  <si>
    <t>N2-509-2</t>
  </si>
  <si>
    <t>378</t>
  </si>
  <si>
    <t>N2-509-3</t>
  </si>
  <si>
    <t>Prololsavi 10</t>
  </si>
  <si>
    <t>VD-29115-18</t>
  </si>
  <si>
    <t>Công ty Cổ phần Dược phẩm Savi</t>
  </si>
  <si>
    <t>379</t>
  </si>
  <si>
    <t>Công ty TNHH Dược Phẩm An</t>
  </si>
  <si>
    <t>An</t>
  </si>
  <si>
    <t>Hộp 3 vỉ x 10 viên (vỉ nhôm - nhôm), Viên nén bao phim; Uống</t>
  </si>
  <si>
    <t xml:space="preserve">Việt Nam </t>
  </si>
  <si>
    <t>380</t>
  </si>
  <si>
    <t>VD-23003-15</t>
  </si>
  <si>
    <t>381</t>
  </si>
  <si>
    <t>N2-511-2</t>
  </si>
  <si>
    <t>Hộp 2 vỉ x 7 viên,  viên nén, Uống</t>
  </si>
  <si>
    <t>VN-13704-11; VN-21857-19</t>
  </si>
  <si>
    <t>382</t>
  </si>
  <si>
    <t>Công ty Cổ phần Kinh doanh TM Tân Trường Sinh</t>
  </si>
  <si>
    <t>Tân Trường Sinh</t>
  </si>
  <si>
    <t>Hộp 2 vỉ x 10 viên, Viên nén, uống</t>
  </si>
  <si>
    <t xml:space="preserve">24 tháng </t>
  </si>
  <si>
    <t>383</t>
  </si>
  <si>
    <t>N2-520-1</t>
  </si>
  <si>
    <t>Tanatril 10mg</t>
  </si>
  <si>
    <t>Hộp 10 vỉ x 10 viên, Viên nén, Uống</t>
  </si>
  <si>
    <t>VN-13230-11 (có công văn gia hạn SĐK)</t>
  </si>
  <si>
    <t>384</t>
  </si>
  <si>
    <t>N2-520-2</t>
  </si>
  <si>
    <t>Indopril 5</t>
  </si>
  <si>
    <t>VD-26574-17</t>
  </si>
  <si>
    <t>385</t>
  </si>
  <si>
    <t>Công ty TNHH DP và TTBYT Đại Trường Sơn</t>
  </si>
  <si>
    <t>Đại Trường Sơn</t>
  </si>
  <si>
    <t>VD-23007-15</t>
  </si>
  <si>
    <t>Công ty Cổ Phần Dược Phẩm Savi</t>
  </si>
  <si>
    <t>386</t>
  </si>
  <si>
    <t>N2-523-1</t>
  </si>
  <si>
    <t>Hộp 5 vỉ x 10 viên-Viên nén-Uống</t>
  </si>
  <si>
    <t>387</t>
  </si>
  <si>
    <t>VD-21534-14</t>
  </si>
  <si>
    <t>388</t>
  </si>
  <si>
    <t>N2-528-3</t>
  </si>
  <si>
    <t>SaVi Losartan
 100</t>
  </si>
  <si>
    <t>VD-27048-17</t>
  </si>
  <si>
    <t>389</t>
  </si>
  <si>
    <t>N2-529-1</t>
  </si>
  <si>
    <t>Lostad HCT 50/12.5</t>
  </si>
  <si>
    <t>VD-24567-16</t>
  </si>
  <si>
    <t>390</t>
  </si>
  <si>
    <t>N2-534-1</t>
  </si>
  <si>
    <t>Cardiv</t>
  </si>
  <si>
    <t xml:space="preserve">Hộp 10 ống 10ml dung dịch tiêm </t>
  </si>
  <si>
    <t>VN-20675-17</t>
  </si>
  <si>
    <t>PT Bernofarm</t>
  </si>
  <si>
    <t>391</t>
  </si>
  <si>
    <t>N2-536-1</t>
  </si>
  <si>
    <t>Provinace</t>
  </si>
  <si>
    <t>Hộp 3 vỉ x 10 viên , Viên nén, uống</t>
  </si>
  <si>
    <t>VN-16415-13</t>
  </si>
  <si>
    <t>Xepa-soul Pattinson ( Malaysia ) SDN.BHD.</t>
  </si>
  <si>
    <t>Malaysia</t>
  </si>
  <si>
    <t>392</t>
  </si>
  <si>
    <t>N2-536-3</t>
  </si>
  <si>
    <t>SaViDopril 8</t>
  </si>
  <si>
    <t>VD-24274-16</t>
  </si>
  <si>
    <t>393</t>
  </si>
  <si>
    <t>N2-545-2</t>
  </si>
  <si>
    <t>160mg + 25mg</t>
  </si>
  <si>
    <t>SaVi Valsartan HCT 160/25</t>
  </si>
  <si>
    <t>VD-27051-17</t>
  </si>
  <si>
    <t>394</t>
  </si>
  <si>
    <t>N2-545-3</t>
  </si>
  <si>
    <t>SaVi Valsartan Plus HCT 80/12.5</t>
  </si>
  <si>
    <t>VD-23010-15</t>
  </si>
  <si>
    <t>395</t>
  </si>
  <si>
    <t>Fenostad 160</t>
  </si>
  <si>
    <t>VD-26563-17</t>
  </si>
  <si>
    <t>396</t>
  </si>
  <si>
    <t xml:space="preserve">Hộp 6 vĩ x 10 viên , Viên bao phim   , Dạng Uống </t>
  </si>
  <si>
    <t>VN-17586-13 (có công văn gia hạn SĐK)</t>
  </si>
  <si>
    <t>Siu Guan Chem Ind Co.,Ltd</t>
  </si>
  <si>
    <t>397</t>
  </si>
  <si>
    <t>Hộp 10 vỉ x 10 viên, Viên nén bao phim, Uống</t>
  </si>
  <si>
    <t>VD-22675-15</t>
  </si>
  <si>
    <t>398</t>
  </si>
  <si>
    <t>N2-66-4</t>
  </si>
  <si>
    <t>VD-27535-17</t>
  </si>
  <si>
    <t>399</t>
  </si>
  <si>
    <t>N2-678-1</t>
  </si>
  <si>
    <t>Entacron 50</t>
  </si>
  <si>
    <t>VD-25262-16</t>
  </si>
  <si>
    <t>400</t>
  </si>
  <si>
    <t>401</t>
  </si>
  <si>
    <t>Hộp 1 lọ và 1 ống nước cất pha tiêm-Bột đông khô pha tiêm + nước cất-Tiêm</t>
  </si>
  <si>
    <t>VN-9151-09 (có công văn gia hạn SĐK)</t>
  </si>
  <si>
    <t>402</t>
  </si>
  <si>
    <t>Hộp 01 lọ-Bột đông khô pha tiêm -Tiêm</t>
  </si>
  <si>
    <t>VN-18096-14 (có công văn gia hạn SĐK)</t>
  </si>
  <si>
    <t>403</t>
  </si>
  <si>
    <t>Hộp 2 vỉ x 7 viên, viên nén bao phim tan trong ruột, uống</t>
  </si>
  <si>
    <t>VD-29106-18</t>
  </si>
  <si>
    <t>404</t>
  </si>
  <si>
    <t>Công ty Cổ phần Thương mại Dược phẩm PVN</t>
  </si>
  <si>
    <t>PVN</t>
  </si>
  <si>
    <t>N2-700-1</t>
  </si>
  <si>
    <t>Rebamipid</t>
  </si>
  <si>
    <t>Naxyfresh</t>
  </si>
  <si>
    <t>Hộp 10 vỉ x 10 viên nén bao phim, Uống</t>
  </si>
  <si>
    <t>VN-17176-13</t>
  </si>
  <si>
    <t>KMS Pharm.Co., Ltd</t>
  </si>
  <si>
    <t>Korea</t>
  </si>
  <si>
    <t>405</t>
  </si>
  <si>
    <t>N2-705-2</t>
  </si>
  <si>
    <t>Pedomcad</t>
  </si>
  <si>
    <t>VN-19808-16</t>
  </si>
  <si>
    <t>Cadila Pharmaceuticals Limited.</t>
  </si>
  <si>
    <t>406</t>
  </si>
  <si>
    <t>N2-711-1</t>
  </si>
  <si>
    <t>60mg +300mg</t>
  </si>
  <si>
    <t>Alversime</t>
  </si>
  <si>
    <t>Hộp 10 vỉ x 10 viên, Viên nang mềm, Uống</t>
  </si>
  <si>
    <t>VD-32735-19</t>
  </si>
  <si>
    <t>407</t>
  </si>
  <si>
    <t>N2-714-2</t>
  </si>
  <si>
    <t>Ramasav</t>
  </si>
  <si>
    <t>VD-25771-16</t>
  </si>
  <si>
    <t>408</t>
  </si>
  <si>
    <t>Công ty Cổ phần Dược Pha Nam</t>
  </si>
  <si>
    <t>Pha Nam</t>
  </si>
  <si>
    <t>Hộp 20 gói x 20ml, Hỗn dịch uống, uống</t>
  </si>
  <si>
    <t>409</t>
  </si>
  <si>
    <t>Hộp 1 chai 100ml</t>
  </si>
  <si>
    <t>Gracure Pharmaceuticals Ltd.</t>
  </si>
  <si>
    <t>410</t>
  </si>
  <si>
    <t>Công ty TNHH TMDP Úc Châu</t>
  </si>
  <si>
    <t>Úc Châu</t>
  </si>
  <si>
    <t>Hộp 10 Vỉ x 10 Viên; Viên nén; Uống</t>
  </si>
  <si>
    <t>VN-17397-13 (có công văn gia hạn SĐK)</t>
  </si>
  <si>
    <t>411</t>
  </si>
  <si>
    <t xml:space="preserve">Hộp 4 vĩ x 15 viên , Viên nén bao phim , Dạng Uống </t>
  </si>
  <si>
    <t>VD-28020-17</t>
  </si>
  <si>
    <t>412</t>
  </si>
  <si>
    <t>VN-14630-12 (có công văn gia hạn SĐK)</t>
  </si>
  <si>
    <t>413</t>
  </si>
  <si>
    <t>Hộp 10 vỉ x 10 viên; Viên nén bao phim; Uống</t>
  </si>
  <si>
    <t>VD-24268-16</t>
  </si>
  <si>
    <t>414</t>
  </si>
  <si>
    <t>Công ty Cổ phần DP Nhật Tiến</t>
  </si>
  <si>
    <t>Nhật Tiến</t>
  </si>
  <si>
    <t>N2-821-3</t>
  </si>
  <si>
    <t>Cadglim 4</t>
  </si>
  <si>
    <t>Hộp 3 vĩ x 10 viên,  Viên nén bao phim, Uống</t>
  </si>
  <si>
    <t>VN-19024-15</t>
  </si>
  <si>
    <t>Cadila Pharmaceuticals Ltd</t>
  </si>
  <si>
    <t>415</t>
  </si>
  <si>
    <t>416</t>
  </si>
  <si>
    <t>N2-827-3</t>
  </si>
  <si>
    <t>Indform 850</t>
  </si>
  <si>
    <t>Hộp 4 vỉ x 14 viên - Viên nén bao phim - Uống</t>
  </si>
  <si>
    <t>VN-10308-10 (có công văn gia hạn SĐK)</t>
  </si>
  <si>
    <t>417</t>
  </si>
  <si>
    <t>N2-827-6</t>
  </si>
  <si>
    <t>Hộp 2 vỉ x 14 viên - Viên nén bao phim - Uống</t>
  </si>
  <si>
    <t>VN-10307-10 (có công văn gia hạn SĐK)</t>
  </si>
  <si>
    <t>418</t>
  </si>
  <si>
    <t>Savoze</t>
  </si>
  <si>
    <t>VD-28042-17</t>
  </si>
  <si>
    <t>419</t>
  </si>
  <si>
    <t>Công ty TNHH TM Thiện Chí</t>
  </si>
  <si>
    <t>Thiện Chí</t>
  </si>
  <si>
    <t>Macnir</t>
  </si>
  <si>
    <t>Hộp 5 vỉ x 10 viên, viên nén bao phim, uống</t>
  </si>
  <si>
    <t>VN-20798-17</t>
  </si>
  <si>
    <t xml:space="preserve">Macleods Pharmaceuticals Ltd </t>
  </si>
  <si>
    <t xml:space="preserve"> India</t>
  </si>
  <si>
    <t>420</t>
  </si>
  <si>
    <t>VD-30496-18</t>
  </si>
  <si>
    <t>421</t>
  </si>
  <si>
    <t>VD-30497-18</t>
  </si>
  <si>
    <t>422</t>
  </si>
  <si>
    <t>N2-87-1</t>
  </si>
  <si>
    <t>SaVi Ebastin 10</t>
  </si>
  <si>
    <t>VD-28031-17</t>
  </si>
  <si>
    <t>423</t>
  </si>
  <si>
    <t>Hộp 1 vỉ x 10 viên nén bao phim, Uống</t>
  </si>
  <si>
    <t>424</t>
  </si>
  <si>
    <t>425</t>
  </si>
  <si>
    <t>N2-925-1</t>
  </si>
  <si>
    <t>Fluticason propionat</t>
  </si>
  <si>
    <t xml:space="preserve"> 0,05% x 120 liều</t>
  </si>
  <si>
    <t>Flunex AQ</t>
  </si>
  <si>
    <t>Hộp 1 lọ 14,5g chứa 120 liều xịt, Hỗn dịch xịt mũi</t>
  </si>
  <si>
    <t>VN-15763-12 (có công văn gia hạn SĐK)</t>
  </si>
  <si>
    <t>Drogsan Llaclari San. Ve Tic. A.S</t>
  </si>
  <si>
    <t>Turkey</t>
  </si>
  <si>
    <t>426</t>
  </si>
  <si>
    <t>N2-97-1</t>
  </si>
  <si>
    <t>300mg/3ml</t>
  </si>
  <si>
    <t>Mucocet Injection</t>
  </si>
  <si>
    <t>Hộp 10 ống , Dung dịch tiêm, Tiêm</t>
  </si>
  <si>
    <t xml:space="preserve">VN-12672-11 </t>
  </si>
  <si>
    <t xml:space="preserve">Gentle Pharma Co.Ltd </t>
  </si>
  <si>
    <t>427</t>
  </si>
  <si>
    <t>Stadpizide 50</t>
  </si>
  <si>
    <t>VD-25028-16</t>
  </si>
  <si>
    <t>428</t>
  </si>
  <si>
    <t>N2-999-1</t>
  </si>
  <si>
    <t xml:space="preserve">Baburex </t>
  </si>
  <si>
    <t>v/10 h/30 viên nén; uống</t>
  </si>
  <si>
    <t xml:space="preserve"> 36 tháng</t>
  </si>
  <si>
    <t>VD-24594-16</t>
  </si>
  <si>
    <t>429</t>
  </si>
  <si>
    <t>N3-1006-1</t>
  </si>
  <si>
    <t>Atilair sac</t>
  </si>
  <si>
    <t>Hộp 30 gói x 2g, Thuốc cốm, Uống</t>
  </si>
  <si>
    <t>VD-28851-18</t>
  </si>
  <si>
    <t>430</t>
  </si>
  <si>
    <t>N3-1007-1</t>
  </si>
  <si>
    <t xml:space="preserve">2,5mg </t>
  </si>
  <si>
    <t>Zensalbu nebules 2.5</t>
  </si>
  <si>
    <t>Hộp 10 ống x 2,5ml, Dung dịch dùng cho khí dung</t>
  </si>
  <si>
    <t>VD-21553-14</t>
  </si>
  <si>
    <t>Công ty cổ phần dược phẩm CPC1 Hà Nội - Việt Nam</t>
  </si>
  <si>
    <t>431</t>
  </si>
  <si>
    <t>N3-1007-2</t>
  </si>
  <si>
    <t>Zensalbu nebules 5.0</t>
  </si>
  <si>
    <t>432</t>
  </si>
  <si>
    <t>N3-1008-1</t>
  </si>
  <si>
    <t>(2,5mg + 0,5mg)/2,5ml</t>
  </si>
  <si>
    <t>Zencombi</t>
  </si>
  <si>
    <t>Hộp 10 lọ x 2,5ml, Dung dịch dùng cho khí dung</t>
  </si>
  <si>
    <t>VD-26776-17</t>
  </si>
  <si>
    <t>433</t>
  </si>
  <si>
    <t>N3-1015-1</t>
  </si>
  <si>
    <t>30mg/5ml chai 100ml</t>
  </si>
  <si>
    <t>PD-Ambroxol 30</t>
  </si>
  <si>
    <t>Hộp 1 chai 100ml Siro, Uống</t>
  </si>
  <si>
    <t>VD-32309-19</t>
  </si>
  <si>
    <t>Cty DP và TM Phương Đông</t>
  </si>
  <si>
    <t>434</t>
  </si>
  <si>
    <t>Công ty Cổ phần DP Me Ta</t>
  </si>
  <si>
    <t>Me Ta</t>
  </si>
  <si>
    <t>Hộp 20 ống x 5ml ; Dung dịch uống; uống</t>
  </si>
  <si>
    <t>VD-22147-15</t>
  </si>
  <si>
    <t xml:space="preserve">Công ty Cổ Phần Dược Phẩm Hà Tây </t>
  </si>
  <si>
    <t>435</t>
  </si>
  <si>
    <t>N3-1015-6</t>
  </si>
  <si>
    <t>30mg/ 5ml ống 5ml</t>
  </si>
  <si>
    <t>Hộp 4 vỉ*5 ống, 5ml Siro, Uống</t>
  </si>
  <si>
    <t>436</t>
  </si>
  <si>
    <t>Hộp 10 vỉ x 10 viên nén, uống</t>
  </si>
  <si>
    <t>VD-32081-19</t>
  </si>
  <si>
    <t>437</t>
  </si>
  <si>
    <t>Công ty Cổ phần DP An Thiên</t>
  </si>
  <si>
    <t>An Thiên</t>
  </si>
  <si>
    <t>Hộp 1 chai x 60 ml; Dung dịch uống; Uống</t>
  </si>
  <si>
    <t xml:space="preserve"> 24 tháng</t>
  </si>
  <si>
    <t>VD-25652-16</t>
  </si>
  <si>
    <t>438</t>
  </si>
  <si>
    <t>Hộp 20 gói x 5ml; Dung dịch uống; Uống</t>
  </si>
  <si>
    <t>VD-33051-19</t>
  </si>
  <si>
    <t>Công ty Liên doanh Meyer - BPC</t>
  </si>
  <si>
    <t>439</t>
  </si>
  <si>
    <t>Công ty TNHH Dược phẩm Lạc Việt</t>
  </si>
  <si>
    <t>Lạc Việt</t>
  </si>
  <si>
    <t>N3-1016-4</t>
  </si>
  <si>
    <t>Batiwell</t>
  </si>
  <si>
    <t>Hộp 10 ống, 20 ống, 30 ống x 5ml; 
Dung dịch uống; Uống</t>
  </si>
  <si>
    <t>VD-31011-18</t>
  </si>
  <si>
    <t>Cty CP 
23 Tháng 9</t>
  </si>
  <si>
    <t>440</t>
  </si>
  <si>
    <t>N3-1016-5</t>
  </si>
  <si>
    <t>2mg/10ml</t>
  </si>
  <si>
    <t>Brometic 2mg/10ml</t>
  </si>
  <si>
    <t>Hộp 4 vỉ x 5 ống/vỉ x 10ml/ống, Dung dịch uống</t>
  </si>
  <si>
    <t>VD-23326-15</t>
  </si>
  <si>
    <t>441</t>
  </si>
  <si>
    <t>Hộp 10 vỉ x 20 viên, Viên nén, uống</t>
  </si>
  <si>
    <t>VD-29640-18</t>
  </si>
  <si>
    <t>442</t>
  </si>
  <si>
    <t>Công ty TNHH Hồng Phúc Bảo</t>
  </si>
  <si>
    <t>Hồng Phúc Bảo</t>
  </si>
  <si>
    <t>Hộp 20 gói  x 2g,
Thuốc bột uống,
Uống</t>
  </si>
  <si>
    <t>VD-19166-13 (có công văn gia hạn SĐK)</t>
  </si>
  <si>
    <t>443</t>
  </si>
  <si>
    <t>H/03 vỉ/10 viên nang cứng - Uống</t>
  </si>
  <si>
    <t>444</t>
  </si>
  <si>
    <t>Hộp 2 vỉ x 10 VBĐ, Viên nén bao đường, Uống</t>
  </si>
  <si>
    <t xml:space="preserve">VD-22307-15 </t>
  </si>
  <si>
    <t>445</t>
  </si>
  <si>
    <t>Codein + Terpin hydrat</t>
  </si>
  <si>
    <t>5mg + 200mg</t>
  </si>
  <si>
    <t>Terpincodein-F</t>
  </si>
  <si>
    <t>VD-18391-13</t>
  </si>
  <si>
    <t>Công ty cổ phần dược phẩm TV.Pharm</t>
  </si>
  <si>
    <t>446</t>
  </si>
  <si>
    <t>Dextromethorphan 15</t>
  </si>
  <si>
    <t>Hộp 50 vỉ x 20 viên nén, uống</t>
  </si>
  <si>
    <t>VD-25851-16</t>
  </si>
  <si>
    <t>447</t>
  </si>
  <si>
    <t>448</t>
  </si>
  <si>
    <t>Công ty Cổ phần Dược phẩm Cửu Long</t>
  </si>
  <si>
    <t>Cửu Long</t>
  </si>
  <si>
    <t>N3-1025-2</t>
  </si>
  <si>
    <t>Hộp 100 gói x 1g, thuốc bột, uống</t>
  </si>
  <si>
    <t>VD-21827-14</t>
  </si>
  <si>
    <t>449</t>
  </si>
  <si>
    <t>Hộp 4 vỉ x 5 ống x 10ml, Dung dịch uống</t>
  </si>
  <si>
    <t>450</t>
  </si>
  <si>
    <t>Hộp 24 ống, dung dịch uống</t>
  </si>
  <si>
    <t>VD-25254-16</t>
  </si>
  <si>
    <t>Công ty Cổ phần dược phẩm Phương Đông</t>
  </si>
  <si>
    <t>451</t>
  </si>
  <si>
    <t>N3-1025-6</t>
  </si>
  <si>
    <t>Hộp 10 vỉ x 10 viên, Viên nang, Uống</t>
  </si>
  <si>
    <t>VD-16381-12 (có công văn gia hạn SĐK)</t>
  </si>
  <si>
    <t>Công ty cổ phần dược phẩm Khánh Hòa</t>
  </si>
  <si>
    <t>452</t>
  </si>
  <si>
    <t>Hộp 5 vỉ, 10 vỉ x 4 viên; viên nén sủi bọt, uống</t>
  </si>
  <si>
    <t>453</t>
  </si>
  <si>
    <t>Hộp 6 vỉ x 10 viên nén bao phim, Uống</t>
  </si>
  <si>
    <t>VD-22155-15</t>
  </si>
  <si>
    <t>454</t>
  </si>
  <si>
    <t>Natri clorid + kali clorid + natri citrat + glucose khan</t>
  </si>
  <si>
    <t>Hộp 100 gói x 27,9g ; Thuốc bột, uống</t>
  </si>
  <si>
    <t>VD-29957-18</t>
  </si>
  <si>
    <t>Công ty CP Dược - TTBYT Bình Định (Bidiphar)</t>
  </si>
  <si>
    <t>455</t>
  </si>
  <si>
    <t>Hộp 50 ống, Dung dịch tiêm, Tiêm tĩnh mạch</t>
  </si>
  <si>
    <t>VD-24900-16</t>
  </si>
  <si>
    <t>Công ty CP DP Vĩnh Phúc</t>
  </si>
  <si>
    <t>456</t>
  </si>
  <si>
    <t>N3-1042-2</t>
  </si>
  <si>
    <t>10% 500ml</t>
  </si>
  <si>
    <t>Glucose 10%</t>
  </si>
  <si>
    <t>Thùng 20 chai 500ml, Dung dịch tiêm truyền, Tiêm truyền</t>
  </si>
  <si>
    <t>VD-25876-16</t>
  </si>
  <si>
    <t>457</t>
  </si>
  <si>
    <t>N3-1042-4</t>
  </si>
  <si>
    <t>20% 250ml</t>
  </si>
  <si>
    <t>Thùng 20 chai nhựa 250ml, Dung dịch tiêm truyền, Tiêm truyền</t>
  </si>
  <si>
    <t>VD-29314-18</t>
  </si>
  <si>
    <t>458</t>
  </si>
  <si>
    <t>N3-1042-5</t>
  </si>
  <si>
    <t>20% 500ml</t>
  </si>
  <si>
    <t>Thùng 30 chai nhựa 500ml, Dung dịch tiêm truyền, Tiêm truyền</t>
  </si>
  <si>
    <t>459</t>
  </si>
  <si>
    <t>N3-1042-6</t>
  </si>
  <si>
    <t>30% 500ml</t>
  </si>
  <si>
    <t>VD-23167-15</t>
  </si>
  <si>
    <t>460</t>
  </si>
  <si>
    <t>N3-1042-7</t>
  </si>
  <si>
    <t>5% 100ml</t>
  </si>
  <si>
    <t>Thùng 80 chai nhựa 100ml, Dung dịch tiêm truyền, Tiêm truyền</t>
  </si>
  <si>
    <t>VD-28252-17</t>
  </si>
  <si>
    <t>461</t>
  </si>
  <si>
    <t>N3-1043-1</t>
  </si>
  <si>
    <t>Glucose-lactat</t>
  </si>
  <si>
    <t>Lactat ringer + Dextrose 5% 500ml</t>
  </si>
  <si>
    <t>Lactated Ringer's and Dextrose</t>
  </si>
  <si>
    <t>VD-21953-14</t>
  </si>
  <si>
    <t>462</t>
  </si>
  <si>
    <t xml:space="preserve">Magnesium Sulphate </t>
  </si>
  <si>
    <t>Hộp 50 ống x 10ml, Dung dịch tiêm, Tiêm</t>
  </si>
  <si>
    <t>VD-19567-13</t>
  </si>
  <si>
    <t>463</t>
  </si>
  <si>
    <t>Thùng 30 chai 250ml, Dung dịch tiêm truyền, Tiêm truyền</t>
  </si>
  <si>
    <t>464</t>
  </si>
  <si>
    <t>N3-1048-1</t>
  </si>
  <si>
    <t>0,45% 500ml</t>
  </si>
  <si>
    <t>NaCl 0,45%</t>
  </si>
  <si>
    <t>Chai 500ml,Dung dịch truyền tĩnh mạch,Tiêm truyền</t>
  </si>
  <si>
    <t>VD-32349-19</t>
  </si>
  <si>
    <t>465</t>
  </si>
  <si>
    <t>N3-1048-2</t>
  </si>
  <si>
    <t>0,9% 1000ml</t>
  </si>
  <si>
    <t>Natri clorid 0.9% 1000ml</t>
  </si>
  <si>
    <t>Chai 1000ml,Dung dịch truyền tĩnh mạch,Tiêm truyền</t>
  </si>
  <si>
    <t>VD-32723-19</t>
  </si>
  <si>
    <t>466</t>
  </si>
  <si>
    <t>N3-1048-3</t>
  </si>
  <si>
    <t>0,9% 100ml</t>
  </si>
  <si>
    <t>467</t>
  </si>
  <si>
    <t>N3-1048-4</t>
  </si>
  <si>
    <t>468</t>
  </si>
  <si>
    <t>N3-1048-5</t>
  </si>
  <si>
    <t>Thùng 80 chai 100ml, Dung dịch tiêm truyền, Tiêm truyền</t>
  </si>
  <si>
    <t>469</t>
  </si>
  <si>
    <t>N3-1049-1</t>
  </si>
  <si>
    <t>Natri clorid + dextrose/glucose</t>
  </si>
  <si>
    <t>0,9% + 5%. Chai 500ml</t>
  </si>
  <si>
    <t>Dextrose - Natri</t>
  </si>
  <si>
    <t>VD-20309-13</t>
  </si>
  <si>
    <t>470</t>
  </si>
  <si>
    <t>471</t>
  </si>
  <si>
    <t>N3-1058-2</t>
  </si>
  <si>
    <t>1250mg</t>
  </si>
  <si>
    <t>Calcichew</t>
  </si>
  <si>
    <t>Hộp 1 lọ 30 viên nén nhai, uống</t>
  </si>
  <si>
    <t>VD-14379-11</t>
  </si>
  <si>
    <t>Công ty cổ phần dược phẩm Quảng Bình</t>
  </si>
  <si>
    <t>472</t>
  </si>
  <si>
    <t>Hộp 1 tuýp 12 viên; viên nén sủi bọt, uống</t>
  </si>
  <si>
    <t>VD-28536-17</t>
  </si>
  <si>
    <t>473</t>
  </si>
  <si>
    <t>Hộp 1 tuýp x 18 viên; viên nén sủi bọt, uống</t>
  </si>
  <si>
    <t>474</t>
  </si>
  <si>
    <t>Hộp 01 chai 60ml, Dung dịch uống, Uống</t>
  </si>
  <si>
    <t>VD-24726-16</t>
  </si>
  <si>
    <t>Công ty cổ phần Dược phẩm An Thiên</t>
  </si>
  <si>
    <t>475</t>
  </si>
  <si>
    <t>Hộp 10 vỉ, 6 vỉ, 3 vỉ x 10 viên; Hộp 1 lọ 60 viên, hộp 1 lọ 100 viên;viên nang mềm, uống</t>
  </si>
  <si>
    <t>VD-21937-14</t>
  </si>
  <si>
    <t>Công ty cổ phần Dược vật tư y tế Hải Dương</t>
  </si>
  <si>
    <t>476</t>
  </si>
  <si>
    <t>Công ty TNHH MTV San Ta Việt Nam</t>
  </si>
  <si>
    <t>San Ta Việt Nam</t>
  </si>
  <si>
    <t>VD-29682-18</t>
  </si>
  <si>
    <t>Công ty cổ phần dược phẩm An Thiên</t>
  </si>
  <si>
    <t>477</t>
  </si>
  <si>
    <t>Hộp 3 vỉ, 5 vỉ, 10 vỉ x 10 viên, viên nang mềm, uống</t>
  </si>
  <si>
    <t>VD-28746-18</t>
  </si>
  <si>
    <t>Công ty TNHH Mỹ Phú</t>
  </si>
  <si>
    <t>478</t>
  </si>
  <si>
    <t>N3-1062-1</t>
  </si>
  <si>
    <t>Calci glubionat</t>
  </si>
  <si>
    <t>687,5mg/5ml</t>
  </si>
  <si>
    <t>Calci glubionat Kabi</t>
  </si>
  <si>
    <t>Hộp 10 ống x 5ml, Dung dịch tiêm, Tiêm</t>
  </si>
  <si>
    <t>VD-29312-18</t>
  </si>
  <si>
    <t>479</t>
  </si>
  <si>
    <t>N3-1065-1</t>
  </si>
  <si>
    <t>456 mg + 426 mg
ống 10ml</t>
  </si>
  <si>
    <t>A.T Calmax</t>
  </si>
  <si>
    <t>Hộp 30 ống x 10 ml; Dung dịch uống; Uống</t>
  </si>
  <si>
    <t>VD-26104-17</t>
  </si>
  <si>
    <t>480</t>
  </si>
  <si>
    <t>Hộp 3 vỉ x 30 viên nang mềm, Uống</t>
  </si>
  <si>
    <t>VD-30380-18</t>
  </si>
  <si>
    <t>481</t>
  </si>
  <si>
    <t>N3-1067-2</t>
  </si>
  <si>
    <t>0.5μg</t>
  </si>
  <si>
    <t>Mabaxil</t>
  </si>
  <si>
    <t>Hộp 10 vỉ x 10 viên; Viên nang mềm, uống</t>
  </si>
  <si>
    <t>VD-24632-16</t>
  </si>
  <si>
    <t>482</t>
  </si>
  <si>
    <t>Hộp 10 vỉ x 10 viên nén bao phim, uống</t>
  </si>
  <si>
    <t>VD-32680-19</t>
  </si>
  <si>
    <t>483</t>
  </si>
  <si>
    <t>Uống, H/10 vỉ x 10 viên nang</t>
  </si>
  <si>
    <t>VD-14666-11</t>
  </si>
  <si>
    <t xml:space="preserve">Công ty cổ phần dược phẩm Agimexpharm </t>
  </si>
  <si>
    <t>484</t>
  </si>
  <si>
    <t>Vitamin A + D3</t>
  </si>
  <si>
    <t>Hộp 3 vỉ x 30 viên, Viên nang mềm, Uống</t>
  </si>
  <si>
    <t>VD-31111-18</t>
  </si>
  <si>
    <t>485</t>
  </si>
  <si>
    <t>Chai 200 viên, Viên nén, Uống</t>
  </si>
  <si>
    <t>VD-26869-17</t>
  </si>
  <si>
    <t>486</t>
  </si>
  <si>
    <t>N3-1076-3</t>
  </si>
  <si>
    <t>Vitamin B1 50mg</t>
  </si>
  <si>
    <t>Chai 100 viên nén, Uống</t>
  </si>
  <si>
    <t>VD-32156-19</t>
  </si>
  <si>
    <t>487</t>
  </si>
  <si>
    <t>Hộp 10 vỉ x 10 viên nén bao phim, uống</t>
  </si>
  <si>
    <t>24 tháng</t>
  </si>
  <si>
    <t>VD-22566-15</t>
  </si>
  <si>
    <t>488</t>
  </si>
  <si>
    <t>Hộp 1 túi x 10 vỉ x 10 viên, viên nén bao phim, Uống</t>
  </si>
  <si>
    <t>VD-31158-18</t>
  </si>
  <si>
    <t>489</t>
  </si>
  <si>
    <t>Công ty Cổ phần Dược phẩm So Ha Co Miền Nam</t>
  </si>
  <si>
    <t>So Ha Co Miền Nam</t>
  </si>
  <si>
    <t>Hộp 10 vỉ x 10 viên nén bao phim,Uống</t>
  </si>
  <si>
    <t>VD-26870-17</t>
  </si>
  <si>
    <t xml:space="preserve">Công ty CPDP Medisun </t>
  </si>
  <si>
    <t>490</t>
  </si>
  <si>
    <t>VD-24373-16</t>
  </si>
  <si>
    <t>491</t>
  </si>
  <si>
    <t>N3-1082-1</t>
  </si>
  <si>
    <t>5mg + 470mg, ống 10ml</t>
  </si>
  <si>
    <t>Obibebe</t>
  </si>
  <si>
    <t>Hộp 4 vỉ x 5 ống 10ml; Dung dịch uống; uống</t>
  </si>
  <si>
    <t>VD-21297-14</t>
  </si>
  <si>
    <t>492</t>
  </si>
  <si>
    <t>LD Công ty CP Dược-TTB Đà Nẵng - Công ty TNHH DP Lâm Tường Phát</t>
  </si>
  <si>
    <t>LD Đà Nẵng-Lâm Tường Phát</t>
  </si>
  <si>
    <t>VD-18177-13 (có công văn gia hạn SĐK)</t>
  </si>
  <si>
    <t>Công ty TNHH MTV 120 Armephaco</t>
  </si>
  <si>
    <t>493</t>
  </si>
  <si>
    <t>Hộp 1 tuýp x 20 viên; viên nén sủi bọt, uống</t>
  </si>
  <si>
    <t>VD-28552-17</t>
  </si>
  <si>
    <t>494</t>
  </si>
  <si>
    <t>Hộp 1 tuýp 10 viên nén sủi bọt, uống</t>
  </si>
  <si>
    <t>Công ty Cổ phần Dược phẩm Phương Đông</t>
  </si>
  <si>
    <t>495</t>
  </si>
  <si>
    <t>Chai 200 viên, Viên nang, Uống</t>
  </si>
  <si>
    <t>VD-16399-12 (có công văn gia hạn SĐK)</t>
  </si>
  <si>
    <t>496</t>
  </si>
  <si>
    <t>VD-31749-19</t>
  </si>
  <si>
    <t>497</t>
  </si>
  <si>
    <t>N3-1087-4</t>
  </si>
  <si>
    <t>12.000IU/ lọ 12ml</t>
  </si>
  <si>
    <t>Babi B.O.N</t>
  </si>
  <si>
    <t>Hộp 1 chai 12ml, Dung dịch uống</t>
  </si>
  <si>
    <t>VD-24822-16</t>
  </si>
  <si>
    <t>Công ty cổ phần Dược phẩm OPV</t>
  </si>
  <si>
    <t>498</t>
  </si>
  <si>
    <t>VD-16311-12 (có công văn gia hạn SĐK)</t>
  </si>
  <si>
    <t>499</t>
  </si>
  <si>
    <t>Chai 200 viên, Viên nén bao phim, Uống</t>
  </si>
  <si>
    <t>VD-31750-19</t>
  </si>
  <si>
    <t>500</t>
  </si>
  <si>
    <t>N3-1091-2</t>
  </si>
  <si>
    <t>Lọ 100 viên, Viên nén, Uống</t>
  </si>
  <si>
    <t>VD-27556-17</t>
  </si>
  <si>
    <t>501</t>
  </si>
  <si>
    <t xml:space="preserve">Atropin Sulfat </t>
  </si>
  <si>
    <t xml:space="preserve">Hộp 100 ống, Dung dịch tiêm , Tiêm </t>
  </si>
  <si>
    <t>VD-24897-16</t>
  </si>
  <si>
    <t>502</t>
  </si>
  <si>
    <t>N3-134-2</t>
  </si>
  <si>
    <t>Gaptinew</t>
  </si>
  <si>
    <t>Uống, H/3 vỉ x 10 viên nang</t>
  </si>
  <si>
    <t>VD-27758-17</t>
  </si>
  <si>
    <t>CN công ty CP DP Agimexpharm - Nhà máy SX DP Agimexpharm</t>
  </si>
  <si>
    <t>503</t>
  </si>
  <si>
    <t>Công ty Cổ phần Đầu tư và Phát triển Tây Âu</t>
  </si>
  <si>
    <t>Tây Âu</t>
  </si>
  <si>
    <t>Hộp 3 vỉ x 10 viên nang cứng, uống</t>
  </si>
  <si>
    <t>VD-24461-16</t>
  </si>
  <si>
    <t>Công ty cổ phần SPM</t>
  </si>
  <si>
    <t>504</t>
  </si>
  <si>
    <t>N3-138-2</t>
  </si>
  <si>
    <t>Phenobarbital</t>
  </si>
  <si>
    <t>Phenobarbital 0,1 g</t>
  </si>
  <si>
    <t xml:space="preserve">Hộp 10 vỉ x 10 viên; chai 100 viên, Viên nén, Uống </t>
  </si>
  <si>
    <t>VD-30561-18</t>
  </si>
  <si>
    <t>Chi nhánh công ty cổ phần dược phẩm Trung ương Vidipha Bình Dương</t>
  </si>
  <si>
    <t>505</t>
  </si>
  <si>
    <t>Công ty Cổ phần Global Pharmaceutical</t>
  </si>
  <si>
    <t>Global Pharmaceutical</t>
  </si>
  <si>
    <t>N3-140-3</t>
  </si>
  <si>
    <t>Ausvair 150</t>
  </si>
  <si>
    <t>VD-28759-18</t>
  </si>
  <si>
    <t>BRV Healthcare</t>
  </si>
  <si>
    <t>506</t>
  </si>
  <si>
    <t>h/24 gói thuốc bột pha hỗn dịch uống; uống</t>
  </si>
  <si>
    <t>507</t>
  </si>
  <si>
    <t>N3-159-12</t>
  </si>
  <si>
    <t>Tranfaximox</t>
  </si>
  <si>
    <t>Hộp 2 vỉ x 10 viên,Viên nén phân tán, Uống</t>
  </si>
  <si>
    <t>VD-26834-17</t>
  </si>
  <si>
    <t>Công ty CPDP Hà Tây</t>
  </si>
  <si>
    <t>508</t>
  </si>
  <si>
    <t>Công ty Cổ phần DP Minh Dân</t>
  </si>
  <si>
    <t>Minh Dân</t>
  </si>
  <si>
    <t>Hộp 12 gói x 3,5g, Bột pha hỗn dịch; uống</t>
  </si>
  <si>
    <t>VD-24800-16</t>
  </si>
  <si>
    <t>509</t>
  </si>
  <si>
    <t>Hộp 2 vỉ x 10 viên</t>
  </si>
  <si>
    <t>VD-27057-17</t>
  </si>
  <si>
    <t>Công ty CP Dược phẩm Tipharco</t>
  </si>
  <si>
    <t>510</t>
  </si>
  <si>
    <t>Hộp 10 gói x 1,4g, Bột pha hỗn dịch; uống</t>
  </si>
  <si>
    <t>511</t>
  </si>
  <si>
    <t>Hộp 1 vỉ x 10 viên, Viên nang cứng, uống.</t>
  </si>
  <si>
    <t>VD-18971-13 (có công văn gia hạn SĐK)</t>
  </si>
  <si>
    <t>512</t>
  </si>
  <si>
    <t>Hộp 10 gói x 2,1g, Bột pha hỗn dịch; uống</t>
  </si>
  <si>
    <t>VD-26186-17</t>
  </si>
  <si>
    <t>513</t>
  </si>
  <si>
    <t>N3-166-5</t>
  </si>
  <si>
    <t>Hộp 10 vỉ x 10 viên, Viên nang cứng, uống.</t>
  </si>
  <si>
    <t>VD-18972-13 (có công văn gia hạn SĐK)</t>
  </si>
  <si>
    <t>514</t>
  </si>
  <si>
    <t>N3-167-1</t>
  </si>
  <si>
    <t>h/24 gói thuốc cốm pha hỗn dịch ; uống</t>
  </si>
  <si>
    <t>515</t>
  </si>
  <si>
    <t>VD-18311-13 (có công văn gia hạn SĐK)</t>
  </si>
  <si>
    <t>516</t>
  </si>
  <si>
    <t>N3-167-3</t>
  </si>
  <si>
    <t>Hapenxin capsules</t>
  </si>
  <si>
    <t>v/10 h/100 viên nang; uống</t>
  </si>
  <si>
    <t>VD-24611-16</t>
  </si>
  <si>
    <t>N3-171-2</t>
  </si>
  <si>
    <t>Cefdinir 125mg</t>
  </si>
  <si>
    <t>Hộp 10 gói x 2,6g, Thuốc bột pha hỗn dịch, uống</t>
  </si>
  <si>
    <t>VD-24795-16</t>
  </si>
  <si>
    <t>518</t>
  </si>
  <si>
    <t>Obanir 250</t>
  </si>
  <si>
    <t>hộp 20 gói - bột pha hỗn dịch uống - uống</t>
  </si>
  <si>
    <t>VD-30070-18</t>
  </si>
  <si>
    <t>Chi nhánh Công ty cổ phần Armephaco - Xí nghiệp Dược phẩm 150 (COPHAVINA)</t>
  </si>
  <si>
    <t>519</t>
  </si>
  <si>
    <t>N3-171-7</t>
  </si>
  <si>
    <t>Midaxin 300</t>
  </si>
  <si>
    <t>Hộp 1 túi x 1 vỉ x 10 viên, Viên nang cứng, uống.</t>
  </si>
  <si>
    <t>VD-22947-15</t>
  </si>
  <si>
    <t>520</t>
  </si>
  <si>
    <t>N3-173-2</t>
  </si>
  <si>
    <t>Hộp 10, 14, 20 gói x 3g, thuốc bột pha hổn dịch uống, uống</t>
  </si>
  <si>
    <t>Công ty cổ phần US Pharma USA</t>
  </si>
  <si>
    <t>521</t>
  </si>
  <si>
    <t>N3-173-3</t>
  </si>
  <si>
    <t>Cefixime 100mg</t>
  </si>
  <si>
    <t>Hộp 10 gói x 1,4g, Thuốc cốm pha hỗn dịch; uống</t>
  </si>
  <si>
    <t>VD-32524-19</t>
  </si>
  <si>
    <t>522</t>
  </si>
  <si>
    <t>N3-173-4</t>
  </si>
  <si>
    <t>Cefixime 50mg</t>
  </si>
  <si>
    <t>VD-32525-19</t>
  </si>
  <si>
    <t>523</t>
  </si>
  <si>
    <t>N3-173-7</t>
  </si>
  <si>
    <t>Fabafixim 400</t>
  </si>
  <si>
    <t>Hộp 2 vỉ x 5 viên, Viên nén dài bao phim, Uống</t>
  </si>
  <si>
    <t xml:space="preserve">VD-15805-11 </t>
  </si>
  <si>
    <t>Công ty Cổ Phần Dược Phẩm Trung Ương 1 - Pharbaco</t>
  </si>
  <si>
    <t>524</t>
  </si>
  <si>
    <t>N3-181-2</t>
  </si>
  <si>
    <t>50mg/5ml. Lọ 60ml</t>
  </si>
  <si>
    <t>Cefpodoxim 50mg/5ml</t>
  </si>
  <si>
    <t>Hộp 1 lọ bột để pha 60ml hỗn dịch, Bột pha hỗn dịch, Uống</t>
  </si>
  <si>
    <t>VD-31930-19</t>
  </si>
  <si>
    <t>Công ty cổ phần dược phẩm trung ương 2</t>
  </si>
  <si>
    <t>525</t>
  </si>
  <si>
    <t>N3-181-3</t>
  </si>
  <si>
    <t>Vipocef 100</t>
  </si>
  <si>
    <t>Hộp 1 vỉ x 10, viên nén  bao phim, uống</t>
  </si>
  <si>
    <t>VD-28896-18</t>
  </si>
  <si>
    <t>526</t>
  </si>
  <si>
    <t>N3-181-5</t>
  </si>
  <si>
    <t>Ingaron 200 DST</t>
  </si>
  <si>
    <t>Hộp/1 vỉ x 10 viên nén phân tán, Uống</t>
  </si>
  <si>
    <t>VD-21692-14</t>
  </si>
  <si>
    <t>527</t>
  </si>
  <si>
    <t xml:space="preserve"> Hộp 10 gói x 3,5g, Bột pha hỗn dịch, uống</t>
  </si>
  <si>
    <t>528</t>
  </si>
  <si>
    <t>N3-194-4</t>
  </si>
  <si>
    <t>Euvioxcin</t>
  </si>
  <si>
    <t>Hộp 2 vỉ x 10 viên nang cứng, uống</t>
  </si>
  <si>
    <t>VD-17438-12 (có công văn gia hạn SĐK)</t>
  </si>
  <si>
    <t>529</t>
  </si>
  <si>
    <t>Công ty Cổ phần DL Pharmedic</t>
  </si>
  <si>
    <t>Hộp 1 lọ x 5ml
Thuốc nhỏ mắt</t>
  </si>
  <si>
    <t>VD-12812-10 (có công văn gia hạn SĐK)</t>
  </si>
  <si>
    <t>Công Ty Cổ Phần Dược Phẩm Dược Liệu Pharmedic</t>
  </si>
  <si>
    <t>530</t>
  </si>
  <si>
    <t>Hộp 1 lọ 10ml, Dung dịch nhỏ mắt, nhỏ mắt</t>
  </si>
  <si>
    <t>Công ty CP Tập Đoàn Merap</t>
  </si>
  <si>
    <t>531</t>
  </si>
  <si>
    <t>Hộp 20 lọ 5ml, thuốc nhỏ mắt</t>
  </si>
  <si>
    <t>VD-27954-17</t>
  </si>
  <si>
    <t>532</t>
  </si>
  <si>
    <t>Hộp 1 lọ x 5ml ; Thuốc nhỏ mắt</t>
  </si>
  <si>
    <t>VD-28242-17</t>
  </si>
  <si>
    <t>533</t>
  </si>
  <si>
    <t>Đặt phụ khoa, H/1 vỉ x 10 viên nén</t>
  </si>
  <si>
    <t>VD-29657-18</t>
  </si>
  <si>
    <t>534</t>
  </si>
  <si>
    <t>Công ty TNHH DP Đô Thành</t>
  </si>
  <si>
    <t>Đô Thành</t>
  </si>
  <si>
    <t>N3-220-1</t>
  </si>
  <si>
    <t>Secnidazol</t>
  </si>
  <si>
    <t>Secnidaz</t>
  </si>
  <si>
    <t>Hộp 1 vỉ x 4 viên nén, uống</t>
  </si>
  <si>
    <t>VD-21010-14</t>
  </si>
  <si>
    <t>Công ty cổ phần S.P.M</t>
  </si>
  <si>
    <t>535</t>
  </si>
  <si>
    <t>N3-221-2</t>
  </si>
  <si>
    <t>Tinidazol</t>
  </si>
  <si>
    <t>VD-22177-15</t>
  </si>
  <si>
    <t>536</t>
  </si>
  <si>
    <t>Công ty Cổ phần DP Quảng Bình</t>
  </si>
  <si>
    <t>Quảng Bình</t>
  </si>
  <si>
    <t>Hộp 02 vỉ x 10 viên nang cứng, Uống</t>
  </si>
  <si>
    <t>Cty CPDP Quảng Bình</t>
  </si>
  <si>
    <t>537</t>
  </si>
  <si>
    <t>N3-226-1</t>
  </si>
  <si>
    <t>VD-32135-19</t>
  </si>
  <si>
    <t>538</t>
  </si>
  <si>
    <t>VD-28973-18</t>
  </si>
  <si>
    <t>539</t>
  </si>
  <si>
    <t>N3-228-2</t>
  </si>
  <si>
    <t>Roxithromycin</t>
  </si>
  <si>
    <t>Agiroxi 150</t>
  </si>
  <si>
    <t>Uống, H/10 vỉ x 10 viên nén bao phim</t>
  </si>
  <si>
    <t>VD-25123-16</t>
  </si>
  <si>
    <t>540</t>
  </si>
  <si>
    <t>N3-229-1</t>
  </si>
  <si>
    <t>h/24 gói thuốc bột pha hỗn dịch ; uống</t>
  </si>
  <si>
    <t>VD-21142-14 (có công văn gia hạn SĐK)</t>
  </si>
  <si>
    <t>541</t>
  </si>
  <si>
    <t>VD-31747-19</t>
  </si>
  <si>
    <t>542</t>
  </si>
  <si>
    <t>Hộp 10 vỉ x 05 viên, Viên nén bao phim, Uống</t>
  </si>
  <si>
    <t>VD-16398-12 (có công văn gia hạn SĐK)</t>
  </si>
  <si>
    <t>543</t>
  </si>
  <si>
    <t>544</t>
  </si>
  <si>
    <t>N3-236-2</t>
  </si>
  <si>
    <t>400mg/100 ml</t>
  </si>
  <si>
    <t>Rvmoxi</t>
  </si>
  <si>
    <t>Hộp 1 chai x 100ml, Dung dịch tiêm truyền, Tiêm truyền</t>
  </si>
  <si>
    <t>VD-30142-18</t>
  </si>
  <si>
    <t>Công ty cổ phần dược phẩm trung ương 1 Pharbaco</t>
  </si>
  <si>
    <t>545</t>
  </si>
  <si>
    <t>N3-237-1</t>
  </si>
  <si>
    <t>Eftimoxin 0,5%</t>
  </si>
  <si>
    <t>Hộp 1 chai 5ml, dung dịch nhỏ mắt, nhỏ mắt</t>
  </si>
  <si>
    <t>VD-20164-13</t>
  </si>
  <si>
    <t>546</t>
  </si>
  <si>
    <t>N3-239-3</t>
  </si>
  <si>
    <t>VD-24787-16</t>
  </si>
  <si>
    <t>547</t>
  </si>
  <si>
    <t>N3-241-1</t>
  </si>
  <si>
    <t>Pefloxacin</t>
  </si>
  <si>
    <t>Pefloxacin 400 mg</t>
  </si>
  <si>
    <t>Hộp 2 vỉ x 10 viên, Viên nén bao phim, Uống</t>
  </si>
  <si>
    <t xml:space="preserve">VD-32286-19 </t>
  </si>
  <si>
    <t>548</t>
  </si>
  <si>
    <t>Hộp 20 vỉ x 20 viên, Viên nén, uống</t>
  </si>
  <si>
    <t>VD-24799-16</t>
  </si>
  <si>
    <t>549</t>
  </si>
  <si>
    <t>Công ty TNHH DP Phạm Anh</t>
  </si>
  <si>
    <t>Phạm Anh</t>
  </si>
  <si>
    <t>Hộp 1 tuýp 5g, kem bôi da</t>
  </si>
  <si>
    <t>VD-31496-19</t>
  </si>
  <si>
    <t>Công ty CP Dược Apimed</t>
  </si>
  <si>
    <t>550</t>
  </si>
  <si>
    <t>Uống, H/2 vỉ x 10 viên nén</t>
  </si>
  <si>
    <t>VD-25603-16</t>
  </si>
  <si>
    <t>551</t>
  </si>
  <si>
    <t>Hộp 1 vỉ x 10 viên, hộp 7 vỉ x 10 viên, hộp 10 vỉ x 10 viên, Viên nén, Uống</t>
  </si>
  <si>
    <t xml:space="preserve">VD-28381-17 </t>
  </si>
  <si>
    <t>552</t>
  </si>
  <si>
    <t>N3-273-5</t>
  </si>
  <si>
    <t xml:space="preserve">Medskin Clovir 800 </t>
  </si>
  <si>
    <t>VD-22035-14</t>
  </si>
  <si>
    <t>553</t>
  </si>
  <si>
    <t>Hộp 1 vỉ, 3 vỉ x 30 viên, viên nén bao phim, uống</t>
  </si>
  <si>
    <t>Công ty cổ phần Dược Minh Hải</t>
  </si>
  <si>
    <t>554</t>
  </si>
  <si>
    <t>N3-298-1</t>
  </si>
  <si>
    <t>Metrima 100</t>
  </si>
  <si>
    <t>Hộp 1 vỉ x 6 viên, viên nén đặt âm đạo, đặt âm đạo</t>
  </si>
  <si>
    <t>VD-31554-19</t>
  </si>
  <si>
    <t>555</t>
  </si>
  <si>
    <t>Đặt âm đạo, H/1 vỉ x 1 viên nén</t>
  </si>
  <si>
    <t>VD-26726-17</t>
  </si>
  <si>
    <t>556</t>
  </si>
  <si>
    <t>N3-30-1</t>
  </si>
  <si>
    <t>Hộp 3 vỉ x 10, viên nang cứng, uống</t>
  </si>
  <si>
    <t>557</t>
  </si>
  <si>
    <t>Đạt Vi Phú</t>
  </si>
  <si>
    <t>N3-301-2</t>
  </si>
  <si>
    <t>Salgad</t>
  </si>
  <si>
    <t>Hộp 1 vỉ x 1 viên, 
Viên nang cứng, Uống</t>
  </si>
  <si>
    <t>VD-28483-17</t>
  </si>
  <si>
    <t>Công ty CP DP Đạt Vi Phú</t>
  </si>
  <si>
    <t>558</t>
  </si>
  <si>
    <t>559</t>
  </si>
  <si>
    <t>N3-30-3</t>
  </si>
  <si>
    <t>Nabucox</t>
  </si>
  <si>
    <t>hộp 3 vỉ x 10 viên - viên nang cứng - uống</t>
  </si>
  <si>
    <t>VD-32204-19</t>
  </si>
  <si>
    <t>Công ty cổ phần Dược phẩm 2-9 TP Hồ Chí Minh (NADYPHAR)</t>
  </si>
  <si>
    <t>560</t>
  </si>
  <si>
    <t>Công ty Cổ phần DP TW Vidipha</t>
  </si>
  <si>
    <t>561</t>
  </si>
  <si>
    <t>Hộp 1 tuýp 10g, kem bôi da</t>
  </si>
  <si>
    <t>VD-29619-18</t>
  </si>
  <si>
    <t>562</t>
  </si>
  <si>
    <t>Hộp 20 gói x 1 gam, thuốc bột rà miệng, uống</t>
  </si>
  <si>
    <t>563</t>
  </si>
  <si>
    <t>Hộp 10 vỉ x 8 viên bao đường, uống</t>
  </si>
  <si>
    <t>VD-24878-16</t>
  </si>
  <si>
    <t>564</t>
  </si>
  <si>
    <t>Công ty Cổ phần DP Hiệp Bách Niên</t>
  </si>
  <si>
    <t>Hiệp Bách Niên</t>
  </si>
  <si>
    <t>N3-31-1</t>
  </si>
  <si>
    <t>Dexibuprofen</t>
  </si>
  <si>
    <t>Anyfen</t>
  </si>
  <si>
    <t>Hộp 1 túi nhôm x 10 vỉ x 10 viên, viên nang mềm, uống</t>
  </si>
  <si>
    <t>VD-21719-14</t>
  </si>
  <si>
    <t>Công ty CP Korea United Pharm. Int`l</t>
  </si>
  <si>
    <t>565</t>
  </si>
  <si>
    <t>N3-313-1</t>
  </si>
  <si>
    <t>100.000UI + 500mg + 65.000 IU</t>
  </si>
  <si>
    <t>566</t>
  </si>
  <si>
    <t>N3-314-1</t>
  </si>
  <si>
    <t>Valygyno</t>
  </si>
  <si>
    <t>Hộp 1 vỉ x 10 viên nang mềm đặt âm đạo</t>
  </si>
  <si>
    <t>VD-25203-16</t>
  </si>
  <si>
    <t>567</t>
  </si>
  <si>
    <t>N3-32-2</t>
  </si>
  <si>
    <t>Hộp 1 vỉ x 5 viên - Viên đạn đặt hậu môn - Đặt hậu môn</t>
  </si>
  <si>
    <t>VD-29382-18</t>
  </si>
  <si>
    <t>Công ty Cổ phần TM Dược phẩm Quang Minh</t>
  </si>
  <si>
    <t>568</t>
  </si>
  <si>
    <t>Hộp 10 vỉ x 10 viên, Viên nén bao phim tan trong ruột, Uống</t>
  </si>
  <si>
    <t>569</t>
  </si>
  <si>
    <t>Hộp 50 vỉ x 20 viên nén bao phim tan trong ruột, uống</t>
  </si>
  <si>
    <t>VD-21923-14</t>
  </si>
  <si>
    <t>570</t>
  </si>
  <si>
    <t>Uống, H/20 vỉ x 10 viên nén bao phim</t>
  </si>
  <si>
    <t>VD-29659-18</t>
  </si>
  <si>
    <t>571</t>
  </si>
  <si>
    <t>N3-332-1</t>
  </si>
  <si>
    <t>Ciprofloxacin 750mg</t>
  </si>
  <si>
    <t>VD-27880-17</t>
  </si>
  <si>
    <t>572</t>
  </si>
  <si>
    <t>N3-350-1</t>
  </si>
  <si>
    <t>Hộp 3 vỉ, 10 vỉ x 10 viên; viên nén, uống</t>
  </si>
  <si>
    <t>573</t>
  </si>
  <si>
    <t>VD-28610-17</t>
  </si>
  <si>
    <t>Công ty TNHH dược phẩm USA-NIC ( USA-NIC Pharma)</t>
  </si>
  <si>
    <t>574</t>
  </si>
  <si>
    <t>N3-352-2</t>
  </si>
  <si>
    <t>Flunarizine 5mg</t>
  </si>
  <si>
    <t>VD-23073-15</t>
  </si>
  <si>
    <t>575</t>
  </si>
  <si>
    <t>Hộp 2 vỉ x 10 viên, Viên nén, Uống</t>
  </si>
  <si>
    <t>576</t>
  </si>
  <si>
    <t>N3-39-5</t>
  </si>
  <si>
    <t xml:space="preserve">Ibuhadi </t>
  </si>
  <si>
    <t>Hộp 6 gói, 10 gói, 12 gói, 20 gói,30 gói x 1,5g</t>
  </si>
  <si>
    <t>VD-31533-19</t>
  </si>
  <si>
    <t>Công ty cổ phần Dược Hà Tĩnh</t>
  </si>
  <si>
    <t>577</t>
  </si>
  <si>
    <t>Hộp 10 vỉ x 10 viên, viên nén, uống</t>
  </si>
  <si>
    <t>VD-30436-18</t>
  </si>
  <si>
    <t>578</t>
  </si>
  <si>
    <t>N3-430-1</t>
  </si>
  <si>
    <t>Dutasterid</t>
  </si>
  <si>
    <t>Tenricy</t>
  </si>
  <si>
    <t>Hộp 30 viên nang mềm, Uống</t>
  </si>
  <si>
    <t>VD-15062-11 (có công văn gia hạn SĐK)</t>
  </si>
  <si>
    <t>Phil Inter Pharma</t>
  </si>
  <si>
    <t>579</t>
  </si>
  <si>
    <t>Hộp 10 vỉ x 10 viên nang cứng, Uống</t>
  </si>
  <si>
    <t>580</t>
  </si>
  <si>
    <t>Hộp 10 vỉ x 10 viên nang mềm,Uống</t>
  </si>
  <si>
    <t>VD-22180-15</t>
  </si>
  <si>
    <t>581</t>
  </si>
  <si>
    <t>Hộp 6 vỉ x 10 viên nang cứng(vàng-nâu), Uống</t>
  </si>
  <si>
    <t>VD-31689-19</t>
  </si>
  <si>
    <t>582</t>
  </si>
  <si>
    <t>N3-448-2</t>
  </si>
  <si>
    <t>Sắt (III) hydroxyd polymaltose + acid folic</t>
  </si>
  <si>
    <t>100mg + 350mcg</t>
  </si>
  <si>
    <t>Ironkey</t>
  </si>
  <si>
    <t>Hộp/3 vỉ x 10 viên, Viên nén nhai, uống</t>
  </si>
  <si>
    <t>VD-26789-17</t>
  </si>
  <si>
    <t>Công ty cổ phần dược phẩm Gia Nguyễn</t>
  </si>
  <si>
    <t>583</t>
  </si>
  <si>
    <t>N3-45-1</t>
  </si>
  <si>
    <t>Morphin (Morphin hydroclorid 10mg/ml)</t>
  </si>
  <si>
    <t>Hộp 10 ống x 1ml, Dung dịch tiêm</t>
  </si>
  <si>
    <t>VD-24315-16</t>
  </si>
  <si>
    <t>Chi nhánh Công ty cổ phần dược phẩm trung ương Vidipha tại Bình Dương</t>
  </si>
  <si>
    <t>584</t>
  </si>
  <si>
    <t>N3-452-1</t>
  </si>
  <si>
    <t>Sắt sulfat + acid folic</t>
  </si>
  <si>
    <t>50mg + 0.35mg</t>
  </si>
  <si>
    <t>Pymeferon B9</t>
  </si>
  <si>
    <t>H/10 vỉ/10 viên nang cứng - Uống</t>
  </si>
  <si>
    <t>VD-25896-16</t>
  </si>
  <si>
    <t>585</t>
  </si>
  <si>
    <t>Hộp 8 vỉ x 8  viên, Viên nén, uống</t>
  </si>
  <si>
    <t xml:space="preserve">Công ty CPDP Sanofi - Synthlabo </t>
  </si>
  <si>
    <t>586</t>
  </si>
  <si>
    <t>N3-467-2</t>
  </si>
  <si>
    <t>Cammic</t>
  </si>
  <si>
    <t>Hộp 10 vỉ x 5 ống, Dung dịch tiêm, Tiêm</t>
  </si>
  <si>
    <t>VD-23729-15</t>
  </si>
  <si>
    <t>587</t>
  </si>
  <si>
    <t>LD Công ty CP Dđầu tư &amp; Phát triển Seaphaco và Công ty CP Dược Mediplantex</t>
  </si>
  <si>
    <t>LD Seaphaco và Mediplantex</t>
  </si>
  <si>
    <t>Hộp 10 vỉ x 10 viên, viên nang cứng, uống</t>
  </si>
  <si>
    <t>VD-26346-17</t>
  </si>
  <si>
    <t>Mediplantex</t>
  </si>
  <si>
    <t>588</t>
  </si>
  <si>
    <t>N3-467-4</t>
  </si>
  <si>
    <t>Hộp 10 vỉ x 10 viên, Viên nén dài bao phim, Uống</t>
  </si>
  <si>
    <t>VD-17592-12 (có công văn gia hạn SĐK)</t>
  </si>
  <si>
    <t>589</t>
  </si>
  <si>
    <t>Butocox-IMP 500</t>
  </si>
  <si>
    <t>Uống, H/6 vỉ x 10 viên nén bao phim</t>
  </si>
  <si>
    <t>VD-17881-12</t>
  </si>
  <si>
    <t>Công ty cổ phần dược phẩm Agimexpharm</t>
  </si>
  <si>
    <t>590</t>
  </si>
  <si>
    <t>N3-47-2</t>
  </si>
  <si>
    <t>Butocox 750</t>
  </si>
  <si>
    <t>Uống, H/3 vỉ x 10 viên nén bao phim</t>
  </si>
  <si>
    <t>VD-32779-19</t>
  </si>
  <si>
    <t>591</t>
  </si>
  <si>
    <t>N3-48-2</t>
  </si>
  <si>
    <t>Ameproxen 500</t>
  </si>
  <si>
    <t>VD-25741-16</t>
  </si>
  <si>
    <t>Công ty cổ phần dược phẩm OPV</t>
  </si>
  <si>
    <t>592</t>
  </si>
  <si>
    <t>Nisitanol</t>
  </si>
  <si>
    <t>Hộp 3 vỉ x 10 viên, 10 vỉ x 10 viên, Viên nén bao phim, uống</t>
  </si>
  <si>
    <t>VD-28147-17</t>
  </si>
  <si>
    <t>593</t>
  </si>
  <si>
    <t>Công ty Cổ phần TM DP &amp; TBYT Thuận Phát</t>
  </si>
  <si>
    <t>Thuận Phát</t>
  </si>
  <si>
    <t>N3-496-1</t>
  </si>
  <si>
    <t>Nikoramyl 5</t>
  </si>
  <si>
    <t>Hộp 3 vỉ x 10 viên, viên nang cứng (trắng-tím), uống</t>
  </si>
  <si>
    <t>VD-30393-18</t>
  </si>
  <si>
    <t>594</t>
  </si>
  <si>
    <t>Hộp 3 vỉ x 30 viên; viên nén bao phim tác dụng kéo dài, uống</t>
  </si>
  <si>
    <t>VD-23333-15</t>
  </si>
  <si>
    <t>595</t>
  </si>
  <si>
    <t>Hộp 10 vỉ x 20 viên, Viên nén bao phim, Uống</t>
  </si>
  <si>
    <t>VD-18742-13 (có công văn gia hạn SĐK)</t>
  </si>
  <si>
    <t>596</t>
  </si>
  <si>
    <t>Chai 1000 viên, Viên nén, uống</t>
  </si>
  <si>
    <t>VD-19389-13 (có công văn gia hạn SĐK)</t>
  </si>
  <si>
    <t>597</t>
  </si>
  <si>
    <t>N3-50-15</t>
  </si>
  <si>
    <t>250mg/10ml</t>
  </si>
  <si>
    <t>Falgankid 250</t>
  </si>
  <si>
    <t>Hộp 4 vỉ x 5 ống x 10ml, Dung dịch uống, Uống</t>
  </si>
  <si>
    <t>VD-21507-14</t>
  </si>
  <si>
    <t>598</t>
  </si>
  <si>
    <t>Paracetamol + Chlopheniramin + Dextromethophan</t>
  </si>
  <si>
    <t>VD-26354-17</t>
  </si>
  <si>
    <t>599</t>
  </si>
  <si>
    <t>N3-50-21</t>
  </si>
  <si>
    <t>Paracetamol + Dextromethophan + Phenylephrine</t>
  </si>
  <si>
    <t>650mg + 20mg + 10mg</t>
  </si>
  <si>
    <t>Mypara Flu daytime</t>
  </si>
  <si>
    <t>Hộp 4 vỉ x 4 viên, viên nén sủi bọt, uống</t>
  </si>
  <si>
    <t>VD-21969-14</t>
  </si>
  <si>
    <t>600</t>
  </si>
  <si>
    <t>Hộp 3 vỉ, 10 vỉ x 10 viên , Viên nén, Uống</t>
  </si>
  <si>
    <t>VD-32722-19</t>
  </si>
  <si>
    <t>Công ty liên doanh Meyer-BPC</t>
  </si>
  <si>
    <t>601</t>
  </si>
  <si>
    <t>Hộp 2 vỉ x 5 viên ; Thuốc đặt hậu môn,  đặt hậu môn</t>
  </si>
  <si>
    <t>VD-21236-14 (có công văn gia hạn SĐK)</t>
  </si>
  <si>
    <t>602</t>
  </si>
  <si>
    <t>VD-23136-15</t>
  </si>
  <si>
    <t>603</t>
  </si>
  <si>
    <t>604</t>
  </si>
  <si>
    <t>N3-507-1</t>
  </si>
  <si>
    <t>Hộp 10 vĩ x 10 viên; Viên nén; Uống</t>
  </si>
  <si>
    <t>Cty CP Dược Phẩm Khánh Hòa</t>
  </si>
  <si>
    <t>605</t>
  </si>
  <si>
    <t>N3-507-3</t>
  </si>
  <si>
    <t>Amlodipin + Atorvastatin</t>
  </si>
  <si>
    <t>5mg + 10mg</t>
  </si>
  <si>
    <t>Zoamco – A</t>
  </si>
  <si>
    <t>H/2vỉ/10 viên nén bao phim - Uống</t>
  </si>
  <si>
    <t>VD-14521-11</t>
  </si>
  <si>
    <t>606</t>
  </si>
  <si>
    <t>N3-508-1</t>
  </si>
  <si>
    <t>Benazepril hydroclorid</t>
  </si>
  <si>
    <t>Hezepril 5</t>
  </si>
  <si>
    <t>Hộp 6 vỉ x 10 viên, viên nén bao phim, uống</t>
  </si>
  <si>
    <t>VD-24222-16</t>
  </si>
  <si>
    <t>Công ty cổ phần dược phẩm Me Di Sun</t>
  </si>
  <si>
    <t>607</t>
  </si>
  <si>
    <t>120mg/5ml</t>
  </si>
  <si>
    <t>Babemol</t>
  </si>
  <si>
    <t>Hộp/30 gói x 5ml siro, uống</t>
  </si>
  <si>
    <t>VD-21255-14</t>
  </si>
  <si>
    <t>Công ty cổ phần  dược phẩm Cửu Long</t>
  </si>
  <si>
    <t>608</t>
  </si>
  <si>
    <t>Hộp 10 vỉ x 10 viên; Viên nén; Uống</t>
  </si>
  <si>
    <t>VD-25625-16</t>
  </si>
  <si>
    <t>609</t>
  </si>
  <si>
    <t>N3-509-2</t>
  </si>
  <si>
    <t>VD-22474-15</t>
  </si>
  <si>
    <t>610</t>
  </si>
  <si>
    <t>150mg + 1mg</t>
  </si>
  <si>
    <t>h/24 gói thuốc bột sủi bọt; uống</t>
  </si>
  <si>
    <t>VD-20557-14 (có công văn gia hạn SĐK)</t>
  </si>
  <si>
    <t>611</t>
  </si>
  <si>
    <t>Công ty Cổ phần Hồng Danh</t>
  </si>
  <si>
    <t>Hồng Danh</t>
  </si>
  <si>
    <t>VD-28812-18</t>
  </si>
  <si>
    <t>Công ty CPDP 3/2</t>
  </si>
  <si>
    <t>612</t>
  </si>
  <si>
    <t>Hộp 3 vỉ x 10 viên nén, uống</t>
  </si>
  <si>
    <t>VD-28461-17</t>
  </si>
  <si>
    <t>Công ty cổ phần dược phẩm Đạt Vi Phú</t>
  </si>
  <si>
    <t>613</t>
  </si>
  <si>
    <t>VD-28537-17</t>
  </si>
  <si>
    <t>614</t>
  </si>
  <si>
    <t>N3-52-2</t>
  </si>
  <si>
    <t>500mg + 10mg</t>
  </si>
  <si>
    <t>Effer - Paralmax Codein 10</t>
  </si>
  <si>
    <t>Hộp 5 vỉ x 4 viên sủi bọt, Viên nén sủi bọt, Uống</t>
  </si>
  <si>
    <t>VD-29694-18</t>
  </si>
  <si>
    <t>Boston</t>
  </si>
  <si>
    <t>viên sủi</t>
  </si>
  <si>
    <t>615</t>
  </si>
  <si>
    <t>VD-23489-15</t>
  </si>
  <si>
    <t>616</t>
  </si>
  <si>
    <t>N3-52-3</t>
  </si>
  <si>
    <t>500mg + 15mg</t>
  </si>
  <si>
    <t>Travicol codein F</t>
  </si>
  <si>
    <t>VD-31236-18</t>
  </si>
  <si>
    <t>617</t>
  </si>
  <si>
    <t>Công ty Cổ phần Dược phẩm Ampharco USA</t>
  </si>
  <si>
    <t>Ampharco USA</t>
  </si>
  <si>
    <t>N3-524-1</t>
  </si>
  <si>
    <t>Lacidipin</t>
  </si>
  <si>
    <t>Maxxcardio LA 2</t>
  </si>
  <si>
    <t>VD-26097-17</t>
  </si>
  <si>
    <t>618</t>
  </si>
  <si>
    <t>N3-524-2</t>
  </si>
  <si>
    <t>Huntelaar</t>
  </si>
  <si>
    <t>Hộp/6 vỉ x 10 viên nén dài bao phim, uống</t>
  </si>
  <si>
    <t>VD-19661-13 (có công văn gia hạn SĐK)</t>
  </si>
  <si>
    <t>619</t>
  </si>
  <si>
    <t>N3-52-5</t>
  </si>
  <si>
    <t>Panalgan Effer Codein</t>
  </si>
  <si>
    <t>Hộp 4 vỉ x 4, viên nén sủi, uống</t>
  </si>
  <si>
    <t>VD-31631-19</t>
  </si>
  <si>
    <t>620</t>
  </si>
  <si>
    <t>N3-526-3</t>
  </si>
  <si>
    <t>Agimlisin 10</t>
  </si>
  <si>
    <t>Uống, H/3 vỉ x 10 viên nén</t>
  </si>
  <si>
    <t>VD-26721-17</t>
  </si>
  <si>
    <t>621</t>
  </si>
  <si>
    <t>VD-25118-16</t>
  </si>
  <si>
    <t>622</t>
  </si>
  <si>
    <t>Hộp 5 vỉ x 30 viên nén bao phim, uống</t>
  </si>
  <si>
    <t>VD-32973-19</t>
  </si>
  <si>
    <t>623</t>
  </si>
  <si>
    <t>N3-528-2</t>
  </si>
  <si>
    <t>Agilosart 50</t>
  </si>
  <si>
    <t>Uống, H/4 vỉ x 10 viên nén bao phim</t>
  </si>
  <si>
    <t>VD-17377-12</t>
  </si>
  <si>
    <t>624</t>
  </si>
  <si>
    <t>VD-29653-18</t>
  </si>
  <si>
    <t>625</t>
  </si>
  <si>
    <t>Công ty cổ phần Dược Danapha</t>
  </si>
  <si>
    <t>Hộp 5 vỉ x 20 viên. Viên nén. Uống</t>
  </si>
  <si>
    <t>VD-30234-18</t>
  </si>
  <si>
    <t>626</t>
  </si>
  <si>
    <t>N3-535-1</t>
  </si>
  <si>
    <t>Hộp 3 vỉ x 10 viên, viên phóng thích kéo dài,   uống</t>
  </si>
  <si>
    <t>VD-11340-10</t>
  </si>
  <si>
    <t>Công ty TNHH Dược phẩm Vellpharm Việt Nam</t>
  </si>
  <si>
    <t>627</t>
  </si>
  <si>
    <t>Uống, H/1 vỉ x 30 viên nén</t>
  </si>
  <si>
    <t>VD-27754-17</t>
  </si>
  <si>
    <t>628</t>
  </si>
  <si>
    <t>Perihapy 8</t>
  </si>
  <si>
    <t>Hộp 3 vỉ x 10 viên - Viên nén - Uống</t>
  </si>
  <si>
    <t>VD-21610-14</t>
  </si>
  <si>
    <t>CT CP BV Pharma</t>
  </si>
  <si>
    <t>629</t>
  </si>
  <si>
    <t>N3-538-1</t>
  </si>
  <si>
    <t>Hộp 3 vỉ, 5 vỉ, 10 vỉ x 30 viên; viên nén, uống</t>
  </si>
  <si>
    <t>630</t>
  </si>
  <si>
    <t>N3-539-1</t>
  </si>
  <si>
    <t xml:space="preserve">Quinapril </t>
  </si>
  <si>
    <t>Quinacar 5</t>
  </si>
  <si>
    <t>H/7 vỉ/14 viên nén bao phim - Uống</t>
  </si>
  <si>
    <t>VD-22613-15</t>
  </si>
  <si>
    <t>631</t>
  </si>
  <si>
    <t>N3-543-1</t>
  </si>
  <si>
    <t>Cadisapc 40/12.5</t>
  </si>
  <si>
    <t>VD-31585-19</t>
  </si>
  <si>
    <t>632</t>
  </si>
  <si>
    <t>VD-23593-15</t>
  </si>
  <si>
    <t>633</t>
  </si>
  <si>
    <t>Hộp 1 túi x 3 vỉ x 10 viên, Viên nén bao phim, Uống</t>
  </si>
  <si>
    <t>VD-26191-17</t>
  </si>
  <si>
    <t>Công ty cổ phần Dược phẩm Minh Dân</t>
  </si>
  <si>
    <t>634</t>
  </si>
  <si>
    <t>Acetylsalicylic acid + Clopidogrel</t>
  </si>
  <si>
    <t>Clopalvix plus</t>
  </si>
  <si>
    <t>Hộp 3 vỉ x 10 viên, Viên nén bao phim,  Uống</t>
  </si>
  <si>
    <t>VD-25142-16</t>
  </si>
  <si>
    <t>Công ty Cổ Phần Dược Phẩm Bos Ton Việt Nam</t>
  </si>
  <si>
    <t>635</t>
  </si>
  <si>
    <t>Chai 1000 viên, Viên nén, Uống</t>
  </si>
  <si>
    <t>VD-21312-14 (có công văn gia hạn SĐK)</t>
  </si>
  <si>
    <t>636</t>
  </si>
  <si>
    <t>N3-569-1</t>
  </si>
  <si>
    <t>Ezetimibe</t>
  </si>
  <si>
    <t>Atizet</t>
  </si>
  <si>
    <t>VD-27801-17</t>
  </si>
  <si>
    <t>637</t>
  </si>
  <si>
    <t>Hộp 3 vỉ, 10 vỉ x 10 viên; viên nén bao phim, uống</t>
  </si>
  <si>
    <t>VD-25971-16</t>
  </si>
  <si>
    <t>638</t>
  </si>
  <si>
    <t>N3-570-2</t>
  </si>
  <si>
    <t>Fenbrat 160m</t>
  </si>
  <si>
    <t>VD-32000-19</t>
  </si>
  <si>
    <t>Công ty Cổ phần Dược phẩm và Sinh học y tế</t>
  </si>
  <si>
    <t>639</t>
  </si>
  <si>
    <t>N3-570-3</t>
  </si>
  <si>
    <t>TV. Fenofibrat</t>
  </si>
  <si>
    <t>VD-19502-13</t>
  </si>
  <si>
    <t>640</t>
  </si>
  <si>
    <t>N3-574-1</t>
  </si>
  <si>
    <t>Pravastatin</t>
  </si>
  <si>
    <t>Hypevas 20</t>
  </si>
  <si>
    <t>VD-31108-18</t>
  </si>
  <si>
    <t>641</t>
  </si>
  <si>
    <t>N3-583-1</t>
  </si>
  <si>
    <t>Gingko Biloba 40mg</t>
  </si>
  <si>
    <t>Hộp 04 vỉ x 15 viên nén bao phim, Viên nén bao phim, uống</t>
  </si>
  <si>
    <t>VD-32013-19</t>
  </si>
  <si>
    <t>Công ty cổ phần dược phẩm VCP</t>
  </si>
  <si>
    <t>642</t>
  </si>
  <si>
    <t>VD-17467-12 (có công văn gia hạn SĐK)</t>
  </si>
  <si>
    <t>643</t>
  </si>
  <si>
    <t>N3-592-6</t>
  </si>
  <si>
    <t>800mg/8ml</t>
  </si>
  <si>
    <t>Orilope 800mg</t>
  </si>
  <si>
    <t>VD-27011-17</t>
  </si>
  <si>
    <t>644</t>
  </si>
  <si>
    <t>VD-16393-12 (có công văn gia hạn SĐK)</t>
  </si>
  <si>
    <t>645</t>
  </si>
  <si>
    <t>3% Chai 10ml</t>
  </si>
  <si>
    <t>Cồn Boric 3%</t>
  </si>
  <si>
    <t>Hộp 1 chai 10ml, dung dịch nhỏ tai, dùng ngoài</t>
  </si>
  <si>
    <t>646</t>
  </si>
  <si>
    <t>VD-22172-15</t>
  </si>
  <si>
    <t>647</t>
  </si>
  <si>
    <t>OPC</t>
  </si>
  <si>
    <t>N3-635-1</t>
  </si>
  <si>
    <t>Nước oxy già</t>
  </si>
  <si>
    <t>3% 60ml</t>
  </si>
  <si>
    <t>Nước oxy già 10 thể tích (3%)</t>
  </si>
  <si>
    <t>Chai 60ml thuốc nước dùng ngoài</t>
  </si>
  <si>
    <t>VD-19403-13</t>
  </si>
  <si>
    <t>Chi nhánh Công ty Cổ phần Dược phẩm OPC tại Bình Dương  - nhà máy dược phẩm OPC</t>
  </si>
  <si>
    <t>648</t>
  </si>
  <si>
    <t>Hộp/6 vỉ x 10 viên nang cứng, uống</t>
  </si>
  <si>
    <t>VD-19669-13 (có công văn gia hạn SĐK)</t>
  </si>
  <si>
    <t>649</t>
  </si>
  <si>
    <t>VD-31739-19</t>
  </si>
  <si>
    <t>650</t>
  </si>
  <si>
    <t>VD-25342-16</t>
  </si>
  <si>
    <t>651</t>
  </si>
  <si>
    <t>N3-66-7</t>
  </si>
  <si>
    <t xml:space="preserve"> 1000mg</t>
  </si>
  <si>
    <t>Mongor</t>
  </si>
  <si>
    <t>Hộp 1 tuýp x 20 viên nén sủi bọt, uống</t>
  </si>
  <si>
    <t>VD-20050-13</t>
  </si>
  <si>
    <t>652</t>
  </si>
  <si>
    <t>N3-669-1</t>
  </si>
  <si>
    <t>Cồn 70°</t>
  </si>
  <si>
    <t>60ml</t>
  </si>
  <si>
    <t>Alcool 700</t>
  </si>
  <si>
    <t>Chai 60ml cồn thuốc dùng ngoài</t>
  </si>
  <si>
    <t>VD-31793-19</t>
  </si>
  <si>
    <t>653</t>
  </si>
  <si>
    <t>N3-672-1</t>
  </si>
  <si>
    <t>10%. Chai 20ml</t>
  </si>
  <si>
    <t>PVP - Iodine 10%</t>
  </si>
  <si>
    <t>Hộp 1 lọ x 20ml. Dung dịch dùng ngoài. Dùng ngoài</t>
  </si>
  <si>
    <t>VD-15971-11 (Kèm thẻ kho)</t>
  </si>
  <si>
    <t>654</t>
  </si>
  <si>
    <t>N3-672-4</t>
  </si>
  <si>
    <t>Povidon Iod 10%</t>
  </si>
  <si>
    <t>Chai 500 ml dung dịch dùng ngoài, Dùng ngoài</t>
  </si>
  <si>
    <t>VD-23647-15</t>
  </si>
  <si>
    <t>655</t>
  </si>
  <si>
    <t>N3-672-7</t>
  </si>
  <si>
    <t>Povidon-Iod HD</t>
  </si>
  <si>
    <t>Hộp 1 lọ 90ml, dung dịch dùng ngoài, dùng ngoài</t>
  </si>
  <si>
    <t>VD-18443-13</t>
  </si>
  <si>
    <t>656</t>
  </si>
  <si>
    <t>N3-674-1</t>
  </si>
  <si>
    <t>Nước muối sinh lý Natri clorid 0,9 %</t>
  </si>
  <si>
    <t>Chai 1000ml; Dung dịch dùng ngoài; Dùng ngoài</t>
  </si>
  <si>
    <t>VD-32743-19</t>
  </si>
  <si>
    <t>657</t>
  </si>
  <si>
    <t>Hộp 10 vỉ  x  10 viên
Viên nén, Uống</t>
  </si>
  <si>
    <t>VD-31647-19</t>
  </si>
  <si>
    <t>658</t>
  </si>
  <si>
    <t>N3-681-1</t>
  </si>
  <si>
    <t>Bismuth</t>
  </si>
  <si>
    <t>Bisnol</t>
  </si>
  <si>
    <t>Hộp/6 vỉ x 10 viên nén bao phim, uống</t>
  </si>
  <si>
    <t>VD-28446-17</t>
  </si>
  <si>
    <t>659</t>
  </si>
  <si>
    <t>N3-685-2</t>
  </si>
  <si>
    <t>Chai 1000 viên, Viên nang, Uống</t>
  </si>
  <si>
    <t>VD-21314-14 (có công văn gia hạn SĐK)</t>
  </si>
  <si>
    <t>660</t>
  </si>
  <si>
    <t>Hộp 30 gói x 10ml; Hỗn dịch uống, uống</t>
  </si>
  <si>
    <t>VD-31402-18</t>
  </si>
  <si>
    <t>661</t>
  </si>
  <si>
    <t>800,4mg + 3030,3mg</t>
  </si>
  <si>
    <t>Antilox</t>
  </si>
  <si>
    <t>Hộp/20 gói x 15g hỗn dịch, uống</t>
  </si>
  <si>
    <t>VD-26749-17</t>
  </si>
  <si>
    <t>662</t>
  </si>
  <si>
    <t>N3-688-13</t>
  </si>
  <si>
    <t>800,4mg + 3058,83mg +  80mg</t>
  </si>
  <si>
    <t>Hamigel-S</t>
  </si>
  <si>
    <t>Hộp 30 gói x 10ml; hỗn dịch uống, uống</t>
  </si>
  <si>
    <t>VD-23994-15</t>
  </si>
  <si>
    <t>663</t>
  </si>
  <si>
    <t>N3-688-14</t>
  </si>
  <si>
    <t>400mg + 460mg +  50mg.  Gói 10ml gel</t>
  </si>
  <si>
    <t>Aquima</t>
  </si>
  <si>
    <t>Hộp 20 gói x 10ml, Hỗn dịch uống, uống</t>
  </si>
  <si>
    <t>VD-32231-19</t>
  </si>
  <si>
    <t>664</t>
  </si>
  <si>
    <t>Công ty Cổ phần DP Thành Vinh</t>
  </si>
  <si>
    <t>Thành Vinh</t>
  </si>
  <si>
    <t>N3-688-16</t>
  </si>
  <si>
    <t>400mg + 306mg + 30mg</t>
  </si>
  <si>
    <t>Biviantac</t>
  </si>
  <si>
    <t>Hộp 4 vỉ x 10 viên, Viên nén, uống</t>
  </si>
  <si>
    <t>VD-15065-11 (có công văn gia hạn SĐK)</t>
  </si>
  <si>
    <t>Công ty CP BV Pharma</t>
  </si>
  <si>
    <t>665</t>
  </si>
  <si>
    <t>N3-688-4</t>
  </si>
  <si>
    <t>800mg + 400mg +  80mg.  Gói 10ml gel</t>
  </si>
  <si>
    <t>Fumagate</t>
  </si>
  <si>
    <t>Hộp 30 gói x 10g, Hỗn dịch uống, uống</t>
  </si>
  <si>
    <t>VD-24839-16</t>
  </si>
  <si>
    <t>666</t>
  </si>
  <si>
    <t>N3-688-6</t>
  </si>
  <si>
    <t>Tritenols fort</t>
  </si>
  <si>
    <t>Hộp 30 gói x 10ml, Hỗn dịch uống</t>
  </si>
  <si>
    <t>VD-26891-17</t>
  </si>
  <si>
    <t>Công ty cổ phần Dược phẩm Me Di Sun</t>
  </si>
  <si>
    <t>667</t>
  </si>
  <si>
    <t>N3-688-8</t>
  </si>
  <si>
    <t>600.4mg + 3035mg + 60mg.  Gói 10g gel</t>
  </si>
  <si>
    <t>Simanogel</t>
  </si>
  <si>
    <t>Hộp 20 gói x 10g;  gel uống</t>
  </si>
  <si>
    <t>VD-27340-17</t>
  </si>
  <si>
    <t>668</t>
  </si>
  <si>
    <t>Hộp 15 vỉ x 10 viên, Viên nén, Uống</t>
  </si>
  <si>
    <t>VD-18964-13 (có công văn gia hạn SĐK)</t>
  </si>
  <si>
    <t>669</t>
  </si>
  <si>
    <t>N3-693-1</t>
  </si>
  <si>
    <t>Nizatidin</t>
  </si>
  <si>
    <t>Niztahis 150</t>
  </si>
  <si>
    <t>Uống, H/3 vỉ x 10 viên nang cứng</t>
  </si>
  <si>
    <t>VD-30285-18</t>
  </si>
  <si>
    <t>670</t>
  </si>
  <si>
    <t>Hộp 10 vỉ x 10 viên nang cứng chứa vi hạt bao tan trong ruột</t>
  </si>
  <si>
    <t xml:space="preserve">VD-30641-18           </t>
  </si>
  <si>
    <t>671</t>
  </si>
  <si>
    <t>Công ty Cổ phần DP Ngân Lộc</t>
  </si>
  <si>
    <t>Ngân Lộc</t>
  </si>
  <si>
    <t>Hộp 10 vỉ x 10 viên,  Viên nang, Uống</t>
  </si>
  <si>
    <t>Cty CP Dược TW3</t>
  </si>
  <si>
    <t>672</t>
  </si>
  <si>
    <t>N3-697-2</t>
  </si>
  <si>
    <t>VD-13756-11</t>
  </si>
  <si>
    <t>673</t>
  </si>
  <si>
    <t>SucraHasan</t>
  </si>
  <si>
    <t>Hộp 30 gói x 2g; thuốc bột pha hỗn dịch, uống</t>
  </si>
  <si>
    <t>674</t>
  </si>
  <si>
    <t>N3-701-2</t>
  </si>
  <si>
    <t>A.T Sucralfate</t>
  </si>
  <si>
    <t>Hộp 20 gói x 5 g; Hỗn dịch uống; Uống</t>
  </si>
  <si>
    <t>VD-25636-16</t>
  </si>
  <si>
    <t>675</t>
  </si>
  <si>
    <t>Hộp 3 vỉ x 10 viên ; Viên nén, uống</t>
  </si>
  <si>
    <t>VD-24391-16</t>
  </si>
  <si>
    <t>676</t>
  </si>
  <si>
    <t>VD-28971-18</t>
  </si>
  <si>
    <t>677</t>
  </si>
  <si>
    <t>Hộp 1 chai x 30 ml; Hỗn dịch uống; Uống</t>
  </si>
  <si>
    <t>678</t>
  </si>
  <si>
    <t>Hộp 50 vỉ x 30 viên nén, uống</t>
  </si>
  <si>
    <t>VD-26351-17</t>
  </si>
  <si>
    <t>679</t>
  </si>
  <si>
    <t>Uống, H/1 chai 60ml</t>
  </si>
  <si>
    <t>VD-17880-12</t>
  </si>
  <si>
    <t>680</t>
  </si>
  <si>
    <t>N3-707-1</t>
  </si>
  <si>
    <t>Vincomid</t>
  </si>
  <si>
    <t>Hộp 10 ống, Dung dịch tiêm, Tiêm</t>
  </si>
  <si>
    <t>VD-21919-14</t>
  </si>
  <si>
    <t>681</t>
  </si>
  <si>
    <t>Hộp 02 vỉ x 20 viên, Viên nén, Uống</t>
  </si>
  <si>
    <t>VD-18969-13 (có công văn gia hạn SĐK)</t>
  </si>
  <si>
    <t>682</t>
  </si>
  <si>
    <t>Hộp 50 vỉ x 15 viên nén, Viên nén, Uống</t>
  </si>
  <si>
    <t xml:space="preserve"> VD-29221-18</t>
  </si>
  <si>
    <t xml:space="preserve">viên /vỉ </t>
  </si>
  <si>
    <t>683</t>
  </si>
  <si>
    <t>VD-30286-18</t>
  </si>
  <si>
    <t>684</t>
  </si>
  <si>
    <t>N3-714-1</t>
  </si>
  <si>
    <t>Pymenospain</t>
  </si>
  <si>
    <t>Hộp/25 ống x 2ml dung dịch tiêm - Tiêm</t>
  </si>
  <si>
    <t>VD-9696-09</t>
  </si>
  <si>
    <t>685</t>
  </si>
  <si>
    <t>N3-714-2</t>
  </si>
  <si>
    <t xml:space="preserve">Drotaverin </t>
  </si>
  <si>
    <t>VD-25706-16</t>
  </si>
  <si>
    <t>686</t>
  </si>
  <si>
    <t>v/25 h/100 viên nén bao phim tan trong ruột; uống</t>
  </si>
  <si>
    <t>VD-21129-14 (có công văn gia hạn SĐK)</t>
  </si>
  <si>
    <t>687</t>
  </si>
  <si>
    <t>Hộp 6 Vỉ x 10 Viên; Viên nang mềm; Uống</t>
  </si>
  <si>
    <t>VD-29426-18</t>
  </si>
  <si>
    <t>Công Ty Liên Doanh Dược Phẩm Mebiphar-Austrapharm</t>
  </si>
  <si>
    <t>688</t>
  </si>
  <si>
    <t>N3-724-1</t>
  </si>
  <si>
    <t>Glycerol</t>
  </si>
  <si>
    <t>3ml</t>
  </si>
  <si>
    <t>Rectiofar</t>
  </si>
  <si>
    <t>H/50 túi x 1 ống bơm 
Dung dịch bơm 
trực tràng</t>
  </si>
  <si>
    <t>VD-19338-13 (có công văn gia hạn SĐK)</t>
  </si>
  <si>
    <t>689</t>
  </si>
  <si>
    <t>Hộp 20 gói x 5g. Thuốc bột pha dung dịch uống</t>
  </si>
  <si>
    <t>VD-25582-16</t>
  </si>
  <si>
    <t>690</t>
  </si>
  <si>
    <t>Hộp 8vỉ x 5 ống nhựa x 5ml/ống hỗn dịch</t>
  </si>
  <si>
    <t>QLSP-902-15</t>
  </si>
  <si>
    <t>691</t>
  </si>
  <si>
    <t>N3-736-1</t>
  </si>
  <si>
    <t xml:space="preserve"> 1.10(9) - 2.10(9) cfu</t>
  </si>
  <si>
    <t>Hộp 25 gói x 1g, thuốc bột uống, uống</t>
  </si>
  <si>
    <t>Công ty cố phần hóa-dược phẩm Mekophar</t>
  </si>
  <si>
    <t>692</t>
  </si>
  <si>
    <t xml:space="preserve"> Hộp 20 vỉ x 10 viên ; Viên nang cứng, uống</t>
  </si>
  <si>
    <t>VD-19319-13(có công văn gia hạn SĐK)</t>
  </si>
  <si>
    <t>693</t>
  </si>
  <si>
    <t>N3-738-1</t>
  </si>
  <si>
    <t>Lufogel</t>
  </si>
  <si>
    <t>Hộp/ 20 gói x 20ml, Hỗn dịch, uống</t>
  </si>
  <si>
    <t>VD-31089-18</t>
  </si>
  <si>
    <t>694</t>
  </si>
  <si>
    <t>Hộp 50 gói x 3,7g thuốc cốm, uống</t>
  </si>
  <si>
    <t>VD-32092-19</t>
  </si>
  <si>
    <t>695</t>
  </si>
  <si>
    <t>VD-25649-16</t>
  </si>
  <si>
    <t>696</t>
  </si>
  <si>
    <t>N3-742-2</t>
  </si>
  <si>
    <t>70mg</t>
  </si>
  <si>
    <t>Faskit</t>
  </si>
  <si>
    <t>Hộp 30 gói x 1g, Thuốc cốm pha hỗn dịch uống, Uống</t>
  </si>
  <si>
    <t>VD-30383-18</t>
  </si>
  <si>
    <t>697</t>
  </si>
  <si>
    <t>Hộp 30 gói x 1g; thuốc bột, uống</t>
  </si>
  <si>
    <t>QLSP-836-15</t>
  </si>
  <si>
    <t>698</t>
  </si>
  <si>
    <t>Lacbiosyn®</t>
  </si>
  <si>
    <t xml:space="preserve"> Hộp 100 gói x 1g ; Thuốc bột, uống</t>
  </si>
  <si>
    <t>QLSP- 851-15</t>
  </si>
  <si>
    <t>699</t>
  </si>
  <si>
    <t>N3-745-1</t>
  </si>
  <si>
    <t>Natri clorid + natri bicarbonat + kali clorid + dextrose khan</t>
  </si>
  <si>
    <t>0,35g + 0,25g + 0,15g + 2g</t>
  </si>
  <si>
    <t>Hydrite</t>
  </si>
  <si>
    <t>Hộp 25 vỉ x 04 viên, Viên nén, Uống</t>
  </si>
  <si>
    <t>VD-24047-15</t>
  </si>
  <si>
    <t>Công ty TNHH United International Pharma</t>
  </si>
  <si>
    <t>700</t>
  </si>
  <si>
    <t>N3-75-1</t>
  </si>
  <si>
    <t>VD-28974-18</t>
  </si>
  <si>
    <t>701</t>
  </si>
  <si>
    <t>Hộp 3 vỉ x 10 viên  , Viên nang cứng, Uống</t>
  </si>
  <si>
    <t>VD-19629-13 (có công văn gia hạn SĐK)</t>
  </si>
  <si>
    <t>Công ty cổ phần xuất nhập khẩu y tế Domesco</t>
  </si>
  <si>
    <t>702</t>
  </si>
  <si>
    <t>N3-75-2</t>
  </si>
  <si>
    <t>Methocarbamol 750mg</t>
  </si>
  <si>
    <t>Hộp 03 vỉ x 10 viên, viên nén, uống</t>
  </si>
  <si>
    <t>VD-26189-17</t>
  </si>
  <si>
    <t>703</t>
  </si>
  <si>
    <t>N3-753-1</t>
  </si>
  <si>
    <t>v/10 h/50 viên nén bao phim ; uống</t>
  </si>
  <si>
    <t>704</t>
  </si>
  <si>
    <t>N3-771-1</t>
  </si>
  <si>
    <t>Decolic</t>
  </si>
  <si>
    <t>Hộp/20 gói x 1,15g bột pha hỗn dịch, uống</t>
  </si>
  <si>
    <t>VD-19304-13 (có công văn gia hạn SĐK)</t>
  </si>
  <si>
    <t>705</t>
  </si>
  <si>
    <t>Uống, H/5 vỉ x 10 viên nén bao phim</t>
  </si>
  <si>
    <t>VD-13753-11</t>
  </si>
  <si>
    <t>706</t>
  </si>
  <si>
    <t>N3-778-1</t>
  </si>
  <si>
    <t>Zensonid</t>
  </si>
  <si>
    <t>Hộp 2 vỉ x 5 lọ/vỉ x 2ml /lọ, Hỗn dịch dùng cho khí dung</t>
  </si>
  <si>
    <t>VD-27835-17</t>
  </si>
  <si>
    <t>707</t>
  </si>
  <si>
    <t>N3-778-2</t>
  </si>
  <si>
    <t>Hộp 1 lọ 120 liều 64mcg, Hỗn dịch xịt mũi định liều, xịt mũi</t>
  </si>
  <si>
    <t>708</t>
  </si>
  <si>
    <t>Hộp 10 vỉ x 20 viên nén, uống</t>
  </si>
  <si>
    <t>VD-32083-19</t>
  </si>
  <si>
    <t>709</t>
  </si>
  <si>
    <t>VD-19386-13 (có công văn gia hạn SĐK)</t>
  </si>
  <si>
    <t>710</t>
  </si>
  <si>
    <t>N3-80-1</t>
  </si>
  <si>
    <t>90ml</t>
  </si>
  <si>
    <t>Thémaxtene</t>
  </si>
  <si>
    <t>Hộp Chai 90ml dung dịch, uống</t>
  </si>
  <si>
    <t>VD-17021-12</t>
  </si>
  <si>
    <t>711</t>
  </si>
  <si>
    <t>Hộp 40 vỉ x 25 viên nén bao phim, uống</t>
  </si>
  <si>
    <t>VD-23750-15</t>
  </si>
  <si>
    <t>712</t>
  </si>
  <si>
    <t>Hộp 50 vỉ x 10 Viên nén bao phim, uống</t>
  </si>
  <si>
    <t>713</t>
  </si>
  <si>
    <t>N3-812-2</t>
  </si>
  <si>
    <t>Miprotone</t>
  </si>
  <si>
    <t>Hộp/3 vỉ x 10 viên nang mềm uống</t>
  </si>
  <si>
    <t>VD-23281-15</t>
  </si>
  <si>
    <t>714</t>
  </si>
  <si>
    <t>VD-25610-16</t>
  </si>
  <si>
    <t>715</t>
  </si>
  <si>
    <t>Hộp 8 vỉ x 25 viên,  50 vỉ x 25 viên, Viên nén, Uống</t>
  </si>
  <si>
    <t>VD-28151-17</t>
  </si>
  <si>
    <t>716</t>
  </si>
  <si>
    <t>VD-25124-16</t>
  </si>
  <si>
    <t>Công ty TNHH DP Tâm Đan</t>
  </si>
  <si>
    <t>Tâm Đan</t>
  </si>
  <si>
    <t>GREGORY-4</t>
  </si>
  <si>
    <t>Hộp 6 vỉ x 10 viên, viên nén, uống</t>
  </si>
  <si>
    <t>VD-20524-14 (có công văn gia hạn SĐK)</t>
  </si>
  <si>
    <t>Công Ty Cổ Phần DP Đạt Vi Phú</t>
  </si>
  <si>
    <t>718</t>
  </si>
  <si>
    <t>Hộp 3 vỉ x 10 viên; viên nén dài bao phim, uống</t>
  </si>
  <si>
    <t>VD-12002-10</t>
  </si>
  <si>
    <t>719</t>
  </si>
  <si>
    <t>Glipizid</t>
  </si>
  <si>
    <t>Savi Glipizide 5</t>
  </si>
  <si>
    <t>VD-29120-18</t>
  </si>
  <si>
    <t>720</t>
  </si>
  <si>
    <t>N3-822-2</t>
  </si>
  <si>
    <t>Hộp 3 vỉ x 10 viên, viên phóng thích có kiểm soát, uống</t>
  </si>
  <si>
    <t>Công ty TNHH Dược phẩm  Vellpharm Việt Nam</t>
  </si>
  <si>
    <t>721</t>
  </si>
  <si>
    <t>N3-827-1</t>
  </si>
  <si>
    <t>Hộp 3 vỉ, 10 vỉ x 10 VBF, Viên nén bao phim, Uống</t>
  </si>
  <si>
    <t>VD-16375-12 (có công văn gia hạn SĐK)</t>
  </si>
  <si>
    <t>722</t>
  </si>
  <si>
    <t>723</t>
  </si>
  <si>
    <t>Hộp 4 vỉ x 15 viên, viên nén bao phim, uống</t>
  </si>
  <si>
    <t>VD-32001-19</t>
  </si>
  <si>
    <t>724</t>
  </si>
  <si>
    <t>VD-17176-12 (có công văn gia hạn SĐK)</t>
  </si>
  <si>
    <t>725</t>
  </si>
  <si>
    <t>Uống, H/4 vỉ x 7 viên nén bao phim</t>
  </si>
  <si>
    <t>VD-29669-18</t>
  </si>
  <si>
    <t>726</t>
  </si>
  <si>
    <t>N3-832-1</t>
  </si>
  <si>
    <t>Vildagold</t>
  </si>
  <si>
    <t>hộp 3 vỉ x 10 viên - viên nén
 - uống</t>
  </si>
  <si>
    <t>VD-30216-18</t>
  </si>
  <si>
    <t>727</t>
  </si>
  <si>
    <t>Công ty TNHH Dược Phẩm AT &amp; C</t>
  </si>
  <si>
    <t>AT &amp; C</t>
  </si>
  <si>
    <t>N3-84-1</t>
  </si>
  <si>
    <t xml:space="preserve"> 0,5mg/ml. chai 30ml</t>
  </si>
  <si>
    <t>A.T Desloratadin</t>
  </si>
  <si>
    <t>Hộp 1 chai x 30ml, 
Dung dịch uống,
Uống</t>
  </si>
  <si>
    <t>VD-24131-16</t>
  </si>
  <si>
    <t>728</t>
  </si>
  <si>
    <t>Hộp 10 vỉ x 10 viên nén bao phim; Uống</t>
  </si>
  <si>
    <t>VD-30780-18</t>
  </si>
  <si>
    <t>Cty LD Meyer-BPC</t>
  </si>
  <si>
    <t>729</t>
  </si>
  <si>
    <t>VD-23114-15</t>
  </si>
  <si>
    <t>730</t>
  </si>
  <si>
    <t>Hộp 10 vỉ x 10 viên, 10 vỉ x 20, viên nén bao phim, uống</t>
  </si>
  <si>
    <t>VD-31625-19</t>
  </si>
  <si>
    <t>731</t>
  </si>
  <si>
    <t>N3-853-2</t>
  </si>
  <si>
    <t>Detracyl 500</t>
  </si>
  <si>
    <t>Hộp 03 vỉ, 10 vỉ x 10, viên nén bao phim, uống</t>
  </si>
  <si>
    <t>VD-31626-19</t>
  </si>
  <si>
    <t>732</t>
  </si>
  <si>
    <t>N3-86-2</t>
  </si>
  <si>
    <t>Diphenhydramin</t>
  </si>
  <si>
    <t>10mg /ml</t>
  </si>
  <si>
    <t>VD-24899-16</t>
  </si>
  <si>
    <t>733</t>
  </si>
  <si>
    <t>Epinephrin (adrenalin)</t>
  </si>
  <si>
    <t>Hộp 2 vỉ x 5 ống x 1ml,  Hộp 5 vỉ x 10 ống x 1ml, Dung dịch tiêm, Tiêm</t>
  </si>
  <si>
    <t>VD-27151-17</t>
  </si>
  <si>
    <t>734</t>
  </si>
  <si>
    <t>Hydroxypropylmethyl cellulose</t>
  </si>
  <si>
    <t>Hộp 1 lọ 15ml, Dung dịch nhỏ mắt, nhỏ mắt</t>
  </si>
  <si>
    <t>VD-25905-16</t>
  </si>
  <si>
    <t>735</t>
  </si>
  <si>
    <t>VD-26174-17</t>
  </si>
  <si>
    <t>736</t>
  </si>
  <si>
    <t>N3-89-2</t>
  </si>
  <si>
    <t>737</t>
  </si>
  <si>
    <t>N3-89-3</t>
  </si>
  <si>
    <t>VD-13441-10 (có công văn gia hạn SĐK)</t>
  </si>
  <si>
    <t>738</t>
  </si>
  <si>
    <t>Hộp 20 lọ 10ml, nhỏ mắt, nhỏ mũi</t>
  </si>
  <si>
    <t>739</t>
  </si>
  <si>
    <t>Hộp 1 chai 70ml</t>
  </si>
  <si>
    <t>VD-25050-16</t>
  </si>
  <si>
    <t>Dược Đồng Nai</t>
  </si>
  <si>
    <t>740</t>
  </si>
  <si>
    <t>N3-916-1</t>
  </si>
  <si>
    <t>Timolol</t>
  </si>
  <si>
    <t>Timolol 0,5%</t>
  </si>
  <si>
    <t>Hộp 20 lọ 5ml, nhỏ mắt,</t>
  </si>
  <si>
    <t>VD-24234-16</t>
  </si>
  <si>
    <t>741</t>
  </si>
  <si>
    <t>N3-92-2</t>
  </si>
  <si>
    <t>Acritel-10</t>
  </si>
  <si>
    <t>VD-28899-18</t>
  </si>
  <si>
    <t>742</t>
  </si>
  <si>
    <t>N3-925-2</t>
  </si>
  <si>
    <t>0.05% Spr. 60 liều</t>
  </si>
  <si>
    <t>Meseca</t>
  </si>
  <si>
    <t>Hộp 1 lọ 60 liều, Hỗn dịch xịt mũi định liều, xịt mũi</t>
  </si>
  <si>
    <t>VD-23880-15</t>
  </si>
  <si>
    <t>743</t>
  </si>
  <si>
    <t>N3-927-1</t>
  </si>
  <si>
    <t>Naphazolin</t>
  </si>
  <si>
    <t>0,05% 5ml</t>
  </si>
  <si>
    <t>Naphazolin 0,05%</t>
  </si>
  <si>
    <t>Hộp 20 lọ 5ml, thuốc nhỏ mũi</t>
  </si>
  <si>
    <t>VD-24802-16</t>
  </si>
  <si>
    <t>744</t>
  </si>
  <si>
    <t>Công ty Cổ phần Dược phẩm TW25</t>
  </si>
  <si>
    <t>TW25</t>
  </si>
  <si>
    <t>N3-927-2</t>
  </si>
  <si>
    <t>7.5mg/15ml</t>
  </si>
  <si>
    <t>RHINEX 0.05%  (chai xịt)</t>
  </si>
  <si>
    <t>Chai 15ml  1 Hộp/ 1 chai, xịt mũi</t>
  </si>
  <si>
    <t>VD-23085-15</t>
  </si>
  <si>
    <t xml:space="preserve">Cty CPDP TW25
</t>
  </si>
  <si>
    <t xml:space="preserve">VIỆT NAM
</t>
  </si>
  <si>
    <t>745</t>
  </si>
  <si>
    <t>N3-945-1</t>
  </si>
  <si>
    <t>Misoprostol</t>
  </si>
  <si>
    <t>200mcg</t>
  </si>
  <si>
    <t>Hộp 1 vỉ x 2 viên; viên nén; uống</t>
  </si>
  <si>
    <t>VD-20509-14</t>
  </si>
  <si>
    <t xml:space="preserve">Công ty Cổ Phần Sinh Học Dược Phẩm Ba Đình </t>
  </si>
  <si>
    <t>746</t>
  </si>
  <si>
    <t>N3-958-1</t>
  </si>
  <si>
    <t>Hộp 10 ống x 2ml, Dung dịch tiêm</t>
  </si>
  <si>
    <t>VD-25308-16</t>
  </si>
  <si>
    <t>Chi nhánh Công ty cổ phần dược phẩm Trung ương Vidipha Tỉnh Bình Dương</t>
  </si>
  <si>
    <t>747</t>
  </si>
  <si>
    <t>N3-958-2</t>
  </si>
  <si>
    <t>VD-24311-16</t>
  </si>
  <si>
    <t>748</t>
  </si>
  <si>
    <t>749</t>
  </si>
  <si>
    <t>VD-20224-13(có công văn gia hạn SĐK)</t>
  </si>
  <si>
    <t>750</t>
  </si>
  <si>
    <t>Hộp 1 chai 90ml dung dịch, uống</t>
  </si>
  <si>
    <t>VD-17020-12</t>
  </si>
  <si>
    <t>751</t>
  </si>
  <si>
    <t>N3-976-1</t>
  </si>
  <si>
    <t>Levosulpirid</t>
  </si>
  <si>
    <t>Kuplevotin</t>
  </si>
  <si>
    <t>VD-24418-16</t>
  </si>
  <si>
    <t>CT CP Korea United Pharm. Int'l</t>
  </si>
  <si>
    <t>752</t>
  </si>
  <si>
    <t>753</t>
  </si>
  <si>
    <t>VD-25650-16</t>
  </si>
  <si>
    <t>754</t>
  </si>
  <si>
    <t>Hộp 1 vỉ x 12 viên, hộp 5 vỉ x 12 viên, viên nang cứng, Uống</t>
  </si>
  <si>
    <t>VD-28068-17</t>
  </si>
  <si>
    <t>Công ty cổ phần dược phẩm Trung ương 1 - Pharbaco</t>
  </si>
  <si>
    <t>755</t>
  </si>
  <si>
    <t>Hộp 1 vỉ x 12 viên nang cứng, uống</t>
  </si>
  <si>
    <t>Chi nhánh 3 - Công ty Cổ phần Dược phẩm Imexpharm tại Bình Dương</t>
  </si>
  <si>
    <t>756</t>
  </si>
  <si>
    <t>Hộp 10, 14, 20 gói x 3g, thuốc bột pha hổn dịch uống</t>
  </si>
  <si>
    <t>757</t>
  </si>
  <si>
    <t>N4-173-7</t>
  </si>
  <si>
    <t>758</t>
  </si>
  <si>
    <t>N4-188-2</t>
  </si>
  <si>
    <t>759</t>
  </si>
  <si>
    <t>Hộp 30 gói x 1,5g; thuốc bột pha hỗn dịch, uống</t>
  </si>
  <si>
    <t>760</t>
  </si>
  <si>
    <t>N4-224-3</t>
  </si>
  <si>
    <t xml:space="preserve">Azithromycin 200  </t>
  </si>
  <si>
    <t>h/24 gói thuốc bột pha hỗn dịch; uống</t>
  </si>
  <si>
    <t>VD-26004-16</t>
  </si>
  <si>
    <t>761</t>
  </si>
  <si>
    <t>N4-507-1</t>
  </si>
  <si>
    <t>762</t>
  </si>
  <si>
    <t>H/2 vỉ/14 viên nén bao phim - Uống</t>
  </si>
  <si>
    <t>VD-28288-17</t>
  </si>
  <si>
    <t>763</t>
  </si>
  <si>
    <t>H/3vỉ/10 viên nén bao phim - Uống</t>
  </si>
  <si>
    <t>VD-28289-17</t>
  </si>
  <si>
    <t>764</t>
  </si>
  <si>
    <t>N4-518-2</t>
  </si>
  <si>
    <t>Mibeplen 5mg</t>
  </si>
  <si>
    <t>Hộp 3 vỉ x 10 viên; viên nén bao phim tác dụng kéo dài, uống</t>
  </si>
  <si>
    <t>VD-25036-16</t>
  </si>
  <si>
    <t>765</t>
  </si>
  <si>
    <t>766</t>
  </si>
  <si>
    <t>N4-522-1</t>
  </si>
  <si>
    <t>Irbepro 150</t>
  </si>
  <si>
    <t>VD-24671-16</t>
  </si>
  <si>
    <t>Công ty TNHH BRV Healthcare</t>
  </si>
  <si>
    <t>767</t>
  </si>
  <si>
    <t>Hộp/2 vỉ x 14 viên nén bao phim, uống</t>
  </si>
  <si>
    <t>VD-18533-13 (có công văn gia hạn SĐK)</t>
  </si>
  <si>
    <t>Chi nhánh công ty TNHH LD Stada-Việt Nam</t>
  </si>
  <si>
    <t>768</t>
  </si>
  <si>
    <t>H/2 vỉ/15 viên nén bao phim - Uống</t>
  </si>
  <si>
    <t>VD-26430-17</t>
  </si>
  <si>
    <t>769</t>
  </si>
  <si>
    <t>VD-29122-18</t>
  </si>
  <si>
    <t>770</t>
  </si>
  <si>
    <t>N4-544-1</t>
  </si>
  <si>
    <t xml:space="preserve">Hyvalor </t>
  </si>
  <si>
    <t>Hộp 3 vĩ x 10 viên; Viên nén bao phim; Uống</t>
  </si>
  <si>
    <t>VD-23417-15</t>
  </si>
  <si>
    <t xml:space="preserve">Cty TNHH United International Pharma </t>
  </si>
  <si>
    <t>771</t>
  </si>
  <si>
    <t>VD-26571-17</t>
  </si>
  <si>
    <t>772</t>
  </si>
  <si>
    <t>N4-695-2</t>
  </si>
  <si>
    <t>Stadnex 40 Cap</t>
  </si>
  <si>
    <t>Hộp/4 vỉ x 7 viên, viên nang cứng, uống</t>
  </si>
  <si>
    <t>VD-22670-15</t>
  </si>
  <si>
    <t>773</t>
  </si>
  <si>
    <t>N4-700-1</t>
  </si>
  <si>
    <t>Ayite</t>
  </si>
  <si>
    <t>Hộp/6 vỉ x 10 viên  nén bao phim, uống</t>
  </si>
  <si>
    <t>VD-20520-14 (có công văn gia hạn SĐK)</t>
  </si>
  <si>
    <t>774</t>
  </si>
  <si>
    <t>Hộp 10 vỉ x 10 viên nén, Uống</t>
  </si>
  <si>
    <t>VD-24789-16</t>
  </si>
  <si>
    <t>775</t>
  </si>
  <si>
    <t>Hộp 3 vỉ  x 10 viên, Viên nén, Uống</t>
  </si>
  <si>
    <t>VN-19676-16</t>
  </si>
  <si>
    <t xml:space="preserve">Ipca Laboratories Ltd. </t>
  </si>
  <si>
    <t>776</t>
  </si>
  <si>
    <t>N4-820-4</t>
  </si>
  <si>
    <t>Melanov-M</t>
  </si>
  <si>
    <t>VN-20575-17</t>
  </si>
  <si>
    <t xml:space="preserve">Micro Labs Limited </t>
  </si>
  <si>
    <t>777</t>
  </si>
  <si>
    <t>Hộp 3 vỉ x 10 viên; Viên nén , uống</t>
  </si>
  <si>
    <t>Công ty cổ phần  Dược Hậu Giang</t>
  </si>
  <si>
    <t>778</t>
  </si>
  <si>
    <t>H/2 vỉ/15 viên nén - Uống</t>
  </si>
  <si>
    <t>VD-25889-16</t>
  </si>
  <si>
    <t>779</t>
  </si>
  <si>
    <t>Công ty Cổ phần Dược phẩm Goldenlife</t>
  </si>
  <si>
    <t>Goldenlife</t>
  </si>
  <si>
    <t>N4-828-1</t>
  </si>
  <si>
    <t>Gliritdhg 500mg/2.5mg</t>
  </si>
  <si>
    <t>Hộp 3 vỉ x 10 viên-Viên nén bao phim-Uống</t>
  </si>
  <si>
    <t>VD-24598-16</t>
  </si>
  <si>
    <t>Công ty Cổ phần Dược Hậu Giang - chi nhánh nhà máy dược phẩm DHG tại Hậu Giang</t>
  </si>
  <si>
    <t>780</t>
  </si>
  <si>
    <t>VD-24599-16</t>
  </si>
  <si>
    <t>Công ty cổ phần Dược Hậu Giang - Chi nhánh nhà máy Dược phẩm DHG tại Hậu Giang</t>
  </si>
  <si>
    <t>781</t>
  </si>
  <si>
    <t>N4-89-1</t>
  </si>
  <si>
    <t>Danapha - Telfadin</t>
  </si>
  <si>
    <t>Hộp 1 vỉ x 10 viên. Viên nén bao phim. Uống</t>
  </si>
  <si>
    <t>VD-24082-16</t>
  </si>
  <si>
    <t>782</t>
  </si>
  <si>
    <t>N4-89-3</t>
  </si>
  <si>
    <t>Fegra 180</t>
  </si>
  <si>
    <t>H/1 vỉ/10 viên nén bao phim - Uống</t>
  </si>
  <si>
    <t>VD-20324-13</t>
  </si>
  <si>
    <t>783</t>
  </si>
  <si>
    <t>N5-100-1</t>
  </si>
  <si>
    <t>784</t>
  </si>
  <si>
    <t>N5-1003-1</t>
  </si>
  <si>
    <t xml:space="preserve">(0,5 mg +  0,25 mg/1ml) x 20ml </t>
  </si>
  <si>
    <t>Berodual 20ml</t>
  </si>
  <si>
    <t>Hộp 1 lọ 20ml,Dung dịch khí dung,Khí dung</t>
  </si>
  <si>
    <t>VN-16958-13 (có công văn gia hạn SĐK)</t>
  </si>
  <si>
    <t xml:space="preserve">Boehringer Ingelheim do Brasil Quimica e Farmaceutica Ltda </t>
  </si>
  <si>
    <t>Brazil</t>
  </si>
  <si>
    <t>785</t>
  </si>
  <si>
    <t>N5-1047-1</t>
  </si>
  <si>
    <t>786</t>
  </si>
  <si>
    <t>N5-1058-1</t>
  </si>
  <si>
    <t>Kitno</t>
  </si>
  <si>
    <t>Hộp10 vỉ x 10 viên, Viên nén, uống</t>
  </si>
  <si>
    <t>VD-27984-17</t>
  </si>
  <si>
    <t>Công ty CP DP Phương Đông</t>
  </si>
  <si>
    <t>787</t>
  </si>
  <si>
    <t>1.500mcg</t>
  </si>
  <si>
    <t>Mebaal 1500</t>
  </si>
  <si>
    <t>VN-20019-16</t>
  </si>
  <si>
    <t>Windlas Biotech Private Limited.</t>
  </si>
  <si>
    <t>788</t>
  </si>
  <si>
    <t>N5-116-1</t>
  </si>
  <si>
    <t>BFS-Naloxone</t>
  </si>
  <si>
    <t>VD-23379-15</t>
  </si>
  <si>
    <t>789</t>
  </si>
  <si>
    <t>Công ty TNHH DP Châu Á - Thái Bình Dương</t>
  </si>
  <si>
    <t>Châu Á - Thái Bình Dương</t>
  </si>
  <si>
    <t>N5-125-1</t>
  </si>
  <si>
    <t>Pralidoxim iodid</t>
  </si>
  <si>
    <t>Newpudox Inj</t>
  </si>
  <si>
    <t>Hộp 10 lọ,
Bột pha tiêm,
Tiêm</t>
  </si>
  <si>
    <t>VN-16864-13</t>
  </si>
  <si>
    <t>Binex Co., Ltd</t>
  </si>
  <si>
    <t>790</t>
  </si>
  <si>
    <t>N5-15-1</t>
  </si>
  <si>
    <t>Zodalan</t>
  </si>
  <si>
    <t>Hộp 10 ống x 1ml. Dung dịch tiêm, Tiêm</t>
  </si>
  <si>
    <t>VD-27704-17</t>
  </si>
  <si>
    <t>791</t>
  </si>
  <si>
    <t>792</t>
  </si>
  <si>
    <t>N5-166-2</t>
  </si>
  <si>
    <t>793</t>
  </si>
  <si>
    <t>N5-17-1</t>
  </si>
  <si>
    <t>794</t>
  </si>
  <si>
    <t>N5-171-3</t>
  </si>
  <si>
    <t>Hộp 12 gói x 3g, hộp 20 gói x 3g, Bột pha hỗn dịch uống, Uống</t>
  </si>
  <si>
    <t>Chi nhánh Công ty cổ phần Armephaco -  Xí nghiệp dược phẩm 150</t>
  </si>
  <si>
    <t>795</t>
  </si>
  <si>
    <t>N5-173-3</t>
  </si>
  <si>
    <t>796</t>
  </si>
  <si>
    <t>N5-173-4</t>
  </si>
  <si>
    <t>797</t>
  </si>
  <si>
    <t>N5-221-2</t>
  </si>
  <si>
    <t>798</t>
  </si>
  <si>
    <t>N5-228-2</t>
  </si>
  <si>
    <t>799</t>
  </si>
  <si>
    <t>N5-229-4</t>
  </si>
  <si>
    <t>800</t>
  </si>
  <si>
    <t>VD-28229-17</t>
  </si>
  <si>
    <t>801</t>
  </si>
  <si>
    <t>N5-350-1</t>
  </si>
  <si>
    <t>802</t>
  </si>
  <si>
    <t>N5-352-1</t>
  </si>
  <si>
    <t>803</t>
  </si>
  <si>
    <t>N5-352-2</t>
  </si>
  <si>
    <t>804</t>
  </si>
  <si>
    <t>N5-42-1</t>
  </si>
  <si>
    <t>805</t>
  </si>
  <si>
    <t>N5-443-1</t>
  </si>
  <si>
    <t>Sắt ascorbat + acid folic</t>
  </si>
  <si>
    <t>100mg + 1,5mg</t>
  </si>
  <si>
    <t>Ferium- XT</t>
  </si>
  <si>
    <t>Hộp 1 vỉ x 10 viên, Viên nén bao phim, Uống</t>
  </si>
  <si>
    <t>VN-16256-13</t>
  </si>
  <si>
    <t>Emcure Pharmaceuticals Limited</t>
  </si>
  <si>
    <t>806</t>
  </si>
  <si>
    <t>N5-467-4</t>
  </si>
  <si>
    <t>807</t>
  </si>
  <si>
    <t>808</t>
  </si>
  <si>
    <t>Amlodipine + Telmisartan</t>
  </si>
  <si>
    <t>Hộp 14 vỉ x 7 viên,Viên nén,Uống</t>
  </si>
  <si>
    <t>VN-16589-13 (có công văn gia hạn SĐK)</t>
  </si>
  <si>
    <t>809</t>
  </si>
  <si>
    <t>N5-507-8</t>
  </si>
  <si>
    <t>5mg + 80mg</t>
  </si>
  <si>
    <t>Twynsta 80mg + 5mg</t>
  </si>
  <si>
    <t>VN-16590-13 (có công văn gia hạn SĐK)</t>
  </si>
  <si>
    <t>810</t>
  </si>
  <si>
    <t>811</t>
  </si>
  <si>
    <t>N5-528-1</t>
  </si>
  <si>
    <t>Hộp 10 vỉ x 10, viên nén bao phim, uống</t>
  </si>
  <si>
    <t>VD-30330-18</t>
  </si>
  <si>
    <t>812</t>
  </si>
  <si>
    <t>N5-681-1</t>
  </si>
  <si>
    <t>Trymo Tablets</t>
  </si>
  <si>
    <t>Hộp 14Vỉ x 8 viên, Viên nén bao phim, Uống</t>
  </si>
  <si>
    <t>VN-19522-15</t>
  </si>
  <si>
    <t>Raptakos Brett &amp; Co., Ltd</t>
  </si>
  <si>
    <t>Ấn độ</t>
  </si>
  <si>
    <t>813</t>
  </si>
  <si>
    <t>N5-685-2</t>
  </si>
  <si>
    <t>814</t>
  </si>
  <si>
    <t>N5-705-1</t>
  </si>
  <si>
    <t>815</t>
  </si>
  <si>
    <t>816</t>
  </si>
  <si>
    <t>N5-705-3</t>
  </si>
  <si>
    <t>817</t>
  </si>
  <si>
    <t>N5-707-1</t>
  </si>
  <si>
    <t>818</t>
  </si>
  <si>
    <t>N5-732-1</t>
  </si>
  <si>
    <t>819</t>
  </si>
  <si>
    <t>N5-742-1</t>
  </si>
  <si>
    <t>820</t>
  </si>
  <si>
    <t>N5-751-1</t>
  </si>
  <si>
    <t>821</t>
  </si>
  <si>
    <t>Công ty TNHH DV TM DP Nam Khang</t>
  </si>
  <si>
    <t>Nam Khang</t>
  </si>
  <si>
    <t xml:space="preserve">Hộp 1 chai 15ml
Hỗn dịch uống
Uống </t>
  </si>
  <si>
    <t>VD-27681-17</t>
  </si>
  <si>
    <t>Công ty Cổ phần BV Pharma</t>
  </si>
  <si>
    <t>822</t>
  </si>
  <si>
    <t>Hộp 10 Vỉ x 10 Viên; Viên nén nhai; Uống</t>
  </si>
  <si>
    <t>823</t>
  </si>
  <si>
    <t>824</t>
  </si>
  <si>
    <t>VD-32002-19</t>
  </si>
  <si>
    <t>825</t>
  </si>
  <si>
    <t>N5-827-6</t>
  </si>
  <si>
    <t>826</t>
  </si>
  <si>
    <t>N5-87-1</t>
  </si>
  <si>
    <t>Atirin 10</t>
  </si>
  <si>
    <t>Hộp 3 vỉ x 10 viên; Viên nén, Uống</t>
  </si>
  <si>
    <t>VD-26755-17</t>
  </si>
  <si>
    <t>827</t>
  </si>
  <si>
    <t>Hộp 1 lọ 10ml, 
Dung dịch nhỏ mắt, nhỏ mắt</t>
  </si>
  <si>
    <t>36 Tháng</t>
  </si>
  <si>
    <t>VN-10546-10</t>
  </si>
  <si>
    <t>828</t>
  </si>
  <si>
    <t>N5-92-2</t>
  </si>
  <si>
    <t>829</t>
  </si>
  <si>
    <t>N5-945-1</t>
  </si>
  <si>
    <t>ĐY1-104-VBP</t>
  </si>
  <si>
    <t>Nha đam tử, Berberin clorid, Tỏi, Cát căn, Mộc hương</t>
  </si>
  <si>
    <t xml:space="preserve">Bột Nha đam tử 30mg, Berberin clorid 63mg, cao Tỏi 70mg (tương ứng với 350mg Tỏi), Bột Cát căn 100mg, cao khô Mộc hương 100mg (tương ứng 250 mg Mộc hương) </t>
  </si>
  <si>
    <t>Hộp 3 vỉ x 10 viên; Viên bao phim tan trong ruột; Uống</t>
  </si>
  <si>
    <t>VD-19812-13 (CV duy trì hiệu lực SĐK: 23378/QLD-ĐK, 21/12/2018)</t>
  </si>
  <si>
    <t>Công ty cổ phần dược phẩm Khang Minh</t>
  </si>
  <si>
    <t>Khang Minh</t>
  </si>
  <si>
    <t>Đảng sâm, Hoàng kỳ, Đương quy, Bạch truật, Thăng ma, Sài hồ, Trần bì, Cam thảo, Sinh khương</t>
  </si>
  <si>
    <t xml:space="preserve">300mg; 1000mg; 300mg; 300mg; 300mg; 300mg; 300mg; 100mg; 100mg; </t>
  </si>
  <si>
    <t xml:space="preserve"> Hộp lọ 60 viên; Viên nang cứng; Uống</t>
  </si>
  <si>
    <t>VD-21860-14</t>
  </si>
  <si>
    <t>Fitopharma</t>
  </si>
  <si>
    <t>Chai 200ml; Cao lỏng; Uống</t>
  </si>
  <si>
    <t>VD-22328-15</t>
  </si>
  <si>
    <t>ĐY1-112-SR</t>
  </si>
  <si>
    <t>Mỗi 9ml siro chứa dịch chiết hỗn hợp dược liệu tương ứng với: 400mg + 200mg + 200mg + 400mg + 200mg + 400mg + 80mg</t>
  </si>
  <si>
    <t>Sirô kiện tỳ DHĐ</t>
  </si>
  <si>
    <t>Hộp 2 vỉ x 5 ống x 9ml, hộp 4 vỉ x 5 ống x 9ml; Siro; Uống</t>
  </si>
  <si>
    <t>VD-27358-17</t>
  </si>
  <si>
    <t xml:space="preserve">Công ty cổ phần dược phẩm Hoa Việt </t>
  </si>
  <si>
    <t>Công ty cổ phần Thảo Mộc Xanh</t>
  </si>
  <si>
    <t>Thảo Mộc Xanh</t>
  </si>
  <si>
    <t xml:space="preserve">Cao khô trinh nữ hoàng cung </t>
  </si>
  <si>
    <t>Hộp 3 vỉ x 10 viên; Viên nang cứng; Uống</t>
  </si>
  <si>
    <t>VD-31002-18</t>
  </si>
  <si>
    <t xml:space="preserve">Công ty TNHH MTV Dược phẩm Phước Sanh Pharma </t>
  </si>
  <si>
    <t>Hộp 2 vỉ x 21 viên; Viên nén bao phim; Uống</t>
  </si>
  <si>
    <t>Công ty cổ phần Traphaco</t>
  </si>
  <si>
    <t>Traphaco</t>
  </si>
  <si>
    <t>ĐY1-123-TC</t>
  </si>
  <si>
    <t>Cao đặc Dừa cạn, Cao đặc Cúc hoa, Cao đặc Hoa hòe, Cao đặc Tâm sen, Cao đặc Cỏ ngọt</t>
  </si>
  <si>
    <t>28mg, 21mg, 209mg, 21mg, 17mg</t>
  </si>
  <si>
    <t>Thuốc hạ huyết áp Casoran</t>
  </si>
  <si>
    <t>Hộp 10 gói 3g; Thuốc cốm; uống</t>
  </si>
  <si>
    <t>VD-23890-15</t>
  </si>
  <si>
    <t>Công ty cổ phần công nghệ cao Traphaco</t>
  </si>
  <si>
    <t>Việt Nam</t>
  </si>
  <si>
    <t>Cao khô Rễ Đinh lăng, Cao lá Bạch quả</t>
  </si>
  <si>
    <t>15mg (tương đương 150mg dược liệu); 40mg (tương đương 2400mg dược liệu)</t>
  </si>
  <si>
    <t>Hộp 5 vỉ x 20 viên; Viên nén bao phim; Uống</t>
  </si>
  <si>
    <t>GC-222-14 (CV duy trì hiệu lực SĐK: 8244/QLD-ĐK, 31/05/2019)</t>
  </si>
  <si>
    <t>Công ty cổ phần dược phẩm MeDiSun</t>
  </si>
  <si>
    <t xml:space="preserve">Việt Nam  </t>
  </si>
  <si>
    <t>Cao khô rễ đinh lăng, cao khô lá bạch quả</t>
  </si>
  <si>
    <t xml:space="preserve"> 75mg, 40mg</t>
  </si>
  <si>
    <t xml:space="preserve">Hoạt huyết dưỡng não </t>
  </si>
  <si>
    <t xml:space="preserve">Hộp 10 vỉ x 10 viên; Viên nang cứng; Uống </t>
  </si>
  <si>
    <t>VD-22645-15</t>
  </si>
  <si>
    <t>ĐY1-127-VNM</t>
  </si>
  <si>
    <t>Cao đặc Đinh lăng, Cao Bạch quả</t>
  </si>
  <si>
    <t>150mg; 40mg</t>
  </si>
  <si>
    <t>Hoạt huyết dưỡng não ATM</t>
  </si>
  <si>
    <t>Hộp 10 vỉ x 10 viên; Viên nang mềm; Uống</t>
  </si>
  <si>
    <t>VD-18185-13 (CV duy trì hiệu lực SĐK: 14208/QLD-ĐK, 21/08/2019)</t>
  </si>
  <si>
    <t>ĐY1-128-VNC</t>
  </si>
  <si>
    <t xml:space="preserve"> Hoàng kỳ; Xích thược; Xuyên khung; Đương quy; Địa long; Đào nhân; Hồng hoa</t>
  </si>
  <si>
    <t>1.200mg; 180mg; 120mg; 240mg; 120mg; 120mg; 120mg</t>
  </si>
  <si>
    <t>Hoạt huyết dưỡng não Đông dược Việt</t>
  </si>
  <si>
    <t>VD-33193-19</t>
  </si>
  <si>
    <t>Công ty Cổ phần Dược phẩm Việt (Đông Dược Việt)</t>
  </si>
  <si>
    <t>1,3g; 40mg</t>
  </si>
  <si>
    <t>Hộp 3 vĩ x 10 viên 5 vĩ x 10 viên; Viên nang cứng; Uống</t>
  </si>
  <si>
    <t>VD-29530-18</t>
  </si>
  <si>
    <t>Công ty TNHH Nam Dược</t>
  </si>
  <si>
    <t>ĐY1-12-TN</t>
  </si>
  <si>
    <t>Actiso, Sài đất, Thương nhĩ tử, Kim ngân, Hạ khô thảo</t>
  </si>
  <si>
    <t>1,25g; 37,5g; 12,5g; 31,25g; 6,25g</t>
  </si>
  <si>
    <t>Tioga</t>
  </si>
  <si>
    <t>Hộp 1 chai 125ml; Dung dịch; Uống</t>
  </si>
  <si>
    <t>V362-H12-10 (CV duy trì hiệu lực SĐK: 4791/QLD-ĐK, 21/03/2018; hồ sơ có thẻ kho đáp ứng)</t>
  </si>
  <si>
    <t>Công ty cổ phần dược phẩm Trường Thọ</t>
  </si>
  <si>
    <t>Bột Hoài sơn (tương ứng 183mg Hoài Sơn) 100mg, Cao khô Liên nhục (tương ứng 175mg Liên nhục) 35mg, Cao khô Liên tâm (tương ứng 200mg Liên tâm) 65mg, Cao khô hỗn hợp dược liệu (tương ứng 91,25mg Lá dâu, 91,25mg Lá vông, 91,25mg Long nhãn) 80mg, Cao khô Bá tử nhân (tương ứng 91,25mg Bá tử nhân), Cao khô Toan táo nhân (tương ứng 91,25mg Toan táo nhân)</t>
  </si>
  <si>
    <t>VD-28789-18</t>
  </si>
  <si>
    <t>Công ty TNHH Dược phẩm Việt - Thái</t>
  </si>
  <si>
    <t>Việt - Thái</t>
  </si>
  <si>
    <t>ĐY1-133-VNC</t>
  </si>
  <si>
    <t>Cao khô hỗn hợp các dược liệu: Hồng hoa, Đương quy, Xuyên khung, sinh địa, cam thảo, xích thược, sài hồ, chỉ xác, Ngưu tất, lá bạch quả</t>
  </si>
  <si>
    <t>Mỗi  viên nang cứng chứa: 280mg, 685mg, 685mg, 375mg, 375mg, 375mg, 280mg, 280mg, 375mg, 15mg</t>
  </si>
  <si>
    <t>Ibaneuron</t>
  </si>
  <si>
    <t>Hộp 10 vĩ x 10 viên; Viên nang cứng; Uống</t>
  </si>
  <si>
    <t>VD-32909-19</t>
  </si>
  <si>
    <t>Công ty cổ phần dược phẩm trung ương I - pharbaco</t>
  </si>
  <si>
    <t>Công ty TNHH Dược phẩm Kim Long Miền Nam</t>
  </si>
  <si>
    <t>Kim Long Miền Nam</t>
  </si>
  <si>
    <t>Sinh địa, Mạch môn, Thiên môn, Táo nhân, Bá tử nhân, Huyền sâm, Viễn chí, Ngũ vị tử, Đảng sâm, Đương quy, Đan sâm, Phục thần, Cát cánh</t>
  </si>
  <si>
    <t>400mg+130mg+130mg+130mg+139mg+68mg+68mg+68mg+130mg+130mg+68mg+68mg+68mg</t>
  </si>
  <si>
    <t>An thần bổ tâm</t>
  </si>
  <si>
    <t>Hộp 10 vỉ x 10 viên; Viên nnag cứng; Uống</t>
  </si>
  <si>
    <t>VD-18414-13 (CV duy trì hiệu lực SĐK: 11884/QLD-ĐK, 17/07/2019)</t>
  </si>
  <si>
    <t>Chi nhánh Công ty TNHH Dược Phẩm Sài Gòn Tại Bình Dương</t>
  </si>
  <si>
    <t>ĐY1-14-VBP</t>
  </si>
  <si>
    <t>Bạch thược, Bạch truật, Cam thảo, Diệp hạ châu, Đương quy, Đảng sâm, Nhân trần, Phục linh, Trần bì</t>
  </si>
  <si>
    <t>0.6g, 0.6g, 0.6g, 1.2g, 0.6g, 1.2g, 1.2g, 0.6g, 0.6g</t>
  </si>
  <si>
    <t>Bổ gan Trường Phúc</t>
  </si>
  <si>
    <t>VD-30093-18</t>
  </si>
  <si>
    <t>Công ty TNHH Dược Thảo Hoàng Thành</t>
  </si>
  <si>
    <t xml:space="preserve"> 45g;  11,25g;  83,7mg</t>
  </si>
  <si>
    <t>Hộp 1 chai 90ml; Siro; Uống</t>
  </si>
  <si>
    <t>Chi nhánh Công ty Cổ phần Dược phẩm OPC tại Bình Dương - Nhà máy Dược phẩm OPC</t>
  </si>
  <si>
    <t>LD Công ty Cổ phần Đầu tư &amp; Phát triển Seaphaco và Công ty CP Dược Mediplantex</t>
  </si>
  <si>
    <t>Mỗi 100ml siro chứa : Cao khô lá thường xuân ( tỷ lệ 5-7,5:1)700mg</t>
  </si>
  <si>
    <t>Hộp 1 lọ x 100ml; Siro; Uống</t>
  </si>
  <si>
    <t>VD-26338-17</t>
  </si>
  <si>
    <t>Công ty cổ phần Dược Trung Ương Mediplantex</t>
  </si>
  <si>
    <t>ĐY1-158-NT</t>
  </si>
  <si>
    <t>Tỳ bà lá, Cát cánh, Bách bộ, Tiền hồ, Tang bạch bì, Thiên môn đông, Phục linh, Cam thảo, Hoàng cầm, Cineol</t>
  </si>
  <si>
    <t>16,2g; 1,8g; 2,79g; 1,8g; 1,8g; 2,7g; 1,8g; 0,9g; 1,8g; 18mg.</t>
  </si>
  <si>
    <t>Hộp 1 chai 90ml; Nhũ tương; Uống</t>
  </si>
  <si>
    <t>VD-24238-16</t>
  </si>
  <si>
    <t xml:space="preserve">16,2g; 1,8g; 2,79g; 1,8g; 1,8g; 2,7g; 1,8g; 0,9g; 1,8g; 18mg; 18mg </t>
  </si>
  <si>
    <t>VD-25224-16</t>
  </si>
  <si>
    <t>Đương quy, Bạch truật,Đảng sâm, Quế nhục, Thục địa, Cam thảo, Hoàng kỳ, Phục linh Xuyên khung, Bạch thược</t>
  </si>
  <si>
    <t>750mg, 500mg,  500mg,  125mg,  750mg,  250mg, 500mg, 500mg,  250mg, 500mg</t>
  </si>
  <si>
    <t>Hộp 48 gói x 10 viên; Viên hoàn cứng; Uống</t>
  </si>
  <si>
    <t>VD-18759-13 (CV duy trì hiệu lực SĐK: 4225/QLD-ĐK, 27/03/2019)</t>
  </si>
  <si>
    <t>Hộp 02 vỉ x 10 viên; Viên nang cứng; Uống</t>
  </si>
  <si>
    <t>Hộp 10 vỉ x 10 viên; Viên nang cứng; Uống</t>
  </si>
  <si>
    <t>ĐY1-164-VBP</t>
  </si>
  <si>
    <t>Thục địa, Hoài sơn, Sơn thù, Kỷ tử, Thỏ ty tử, Lộc giác giao, Đỗ trọng, Nhục quế, Đương quy, Phụ tử chế</t>
  </si>
  <si>
    <t>530mg, 260mg, 200mg, 260mg, 260mg, 260mg, 260mg, 130mg, 200mg, 130mg.</t>
  </si>
  <si>
    <t>Hữu quy phương</t>
  </si>
  <si>
    <t>Hộp 6 vỉ x 18 viên; Viên nén bao phim; Uống</t>
  </si>
  <si>
    <t>VD-23436-15</t>
  </si>
  <si>
    <t>Công ty cổ phần Bvpharma</t>
  </si>
  <si>
    <t>VD-21496-14 (CV duy trì hiệu lực SĐK: 15630/QLD-ĐK, 12/09/2019)</t>
  </si>
  <si>
    <t>ĐY1-172-VBP</t>
  </si>
  <si>
    <t>Bán hạ nam, Bạch linh, Xa tiền tử, Ngũ gia bì chân chim, Sinh khương, Trần bì, Rụt, Sơn tra, Hậu phác nam</t>
  </si>
  <si>
    <t>440mg; 890mg; 440mg; 440mg; 110mg; 440mg; 560mg; 440mg; 330mg</t>
  </si>
  <si>
    <t>Lipidan</t>
  </si>
  <si>
    <t>Hộp/6 vỉ x 10 viên; Viên nén bao phim; Uống</t>
  </si>
  <si>
    <t>VD-26662-17</t>
  </si>
  <si>
    <t>ĐY1-173-VNC</t>
  </si>
  <si>
    <t xml:space="preserve">Bột bèo hoa dâu </t>
  </si>
  <si>
    <t>Bột chiết bèo hoa dâu (tương đương 3,6 gam dược liệu) 250mg</t>
  </si>
  <si>
    <t>Mediphylamin</t>
  </si>
  <si>
    <t>Hộp 10Vỉ x 10 viên; Viên nang cứng; Uống</t>
  </si>
  <si>
    <t>VD-24351-16</t>
  </si>
  <si>
    <t xml:space="preserve"> Đảng sâm; Đương quy; Bạch truật; Bạch thược; Phục linh; Xuyên khung; Cam thảo; Thục địa</t>
  </si>
  <si>
    <t>250mg; 250mg; 250mg; 250mg; 250mg; 250mg; 125mg; 250mg</t>
  </si>
  <si>
    <t>Viên Bát trân OCTUPPER</t>
  </si>
  <si>
    <t>VD-29906-18</t>
  </si>
  <si>
    <t>Công ty TNHH Dược phẩm An</t>
  </si>
  <si>
    <t>ĐY1-17-VNC</t>
  </si>
  <si>
    <t>Cam thảo, Bạch mao căn, Bạch thược, Đan sâm, Bản lam căn, Hoắc hương, Sài hồ, Liên kiều, Thần khúc, Chỉ thực, Mạch nha, Nghệ</t>
  </si>
  <si>
    <t>20mg, 400mg, 400mg, 400mg, 300mg, 300mg, 400mg, 300mg, 300mg, 400mg, 300mg, 400mg; Cao khô tổng hợp 500mg</t>
  </si>
  <si>
    <t>Pharnanca</t>
  </si>
  <si>
    <t>Hộp 5 vỉ x 10 viên; Viên nang cứng; Uống</t>
  </si>
  <si>
    <t>VD-28954-18</t>
  </si>
  <si>
    <t>20g; 30g; 30g; 30g; 20g; 40g; 15g</t>
  </si>
  <si>
    <t>Hộp 1 chai 125ml; Cao lỏng; Uống</t>
  </si>
  <si>
    <t>VD-21452-14 (CV duy trì hiệu lực SĐK: 17395/ĐK, 11/10/2019)</t>
  </si>
  <si>
    <t>Công ty cổ phần Thương mại dược vật tư y tế Khải Hà</t>
  </si>
  <si>
    <t>Vạn Xuân</t>
  </si>
  <si>
    <t>ĐY1-183-VBP</t>
  </si>
  <si>
    <t>Hoàng kỳ, Đào nhân, Hồng hoa, Địa long, Nhân sâm, Xuyên khung, Đương quy, Xích thược, Bạch thược</t>
  </si>
  <si>
    <t>Cao khô hỗn hợp dược liệu: 190mg  (tương ứng với 760mg; 70mg; 70mg; 160mg; 80mg; 60mg; 140mg; 140mg; 140mg)</t>
  </si>
  <si>
    <t>Vạn Xuân Hộ não tâm</t>
  </si>
  <si>
    <t>Hộp 10 vỉ x vỉ 10 viên; Viên nén bao phim; Uống</t>
  </si>
  <si>
    <t>VD-32487-19</t>
  </si>
  <si>
    <t>Cao khô hỗn hợp dược liệu: 90mg (tương ứng với  150mg; 150mg; 150mg; 300mg)</t>
  </si>
  <si>
    <t>Hộp 10 vỉ x vỉ 10 viên; Viên nang cứng; Uống</t>
  </si>
  <si>
    <t>VD-32486-19</t>
  </si>
  <si>
    <t>ĐY1-189-VNC</t>
  </si>
  <si>
    <t>Quy bản, Thục địa, Hoàng bá, Tri mẫu</t>
  </si>
  <si>
    <t>Mỗi 430mg cao khô hỗn hợp dược liệu tương ứng: (1,5g; 1,5g; 0,5g; 0,5g)</t>
  </si>
  <si>
    <t>Superyin</t>
  </si>
  <si>
    <t>VD-29580-18</t>
  </si>
  <si>
    <t>ĐY1-18-VNC</t>
  </si>
  <si>
    <t>Cao khô lá dâu tằm</t>
  </si>
  <si>
    <t>570mg</t>
  </si>
  <si>
    <t>Didala</t>
  </si>
  <si>
    <t>Hộp 3 vỉ x 10 viên, 6 vỉ x 10 viên; Viên nang cứng; Uống</t>
  </si>
  <si>
    <t>VD-24473-16</t>
  </si>
  <si>
    <t>ĐY1-190-VNC</t>
  </si>
  <si>
    <t xml:space="preserve">Sinh địa; Mạch môn; Thiên hoa phấn; Hoàng kỳ; Kỷ tử; Bạch linh; Ngũ vị tử; Mẫu đơn bì; Hoàng liên; Nhân sâm; Thạch cao </t>
  </si>
  <si>
    <t xml:space="preserve">400mg; 200mg; 200mg; 200mg; 200mg; 34mg; 30mg; 30mg; 20mg; 20mg; 100mg  </t>
  </si>
  <si>
    <t>Tieukhatling caps</t>
  </si>
  <si>
    <t>Hộp 2 túi x 5 vỉ x 10 viên; Viên nang cứng; Uống</t>
  </si>
  <si>
    <t>VD-31729-19</t>
  </si>
  <si>
    <t>Thục địa, Hoài sơn, Sơn thù,Mẫu đơn bì, Phục linh, Trạch tả</t>
  </si>
  <si>
    <t>96,0mg; 48,0mg; 48,0mg; 36,0mg; 36,0mg; 36,0mg</t>
  </si>
  <si>
    <t>Hộp 1 chai 240 viên; Viên hoàn cứng; Uống</t>
  </si>
  <si>
    <t>VD-18756-13 (CV duy trì hiệu lực SĐK: 4225/QLD-ĐK, 27/03/2019)</t>
  </si>
  <si>
    <t>ĐY1-193-HM</t>
  </si>
  <si>
    <t>Thục địa, Hoài sơn, Sơn thù, Mẫu đơn bì, Phục linh, Trạch tả</t>
  </si>
  <si>
    <t>1.15g, 0.96g, 0.96g, 0.71g, 0.71g, 0.71g</t>
  </si>
  <si>
    <t>Hoàn lục vị địa hoàng</t>
  </si>
  <si>
    <t>Hộp 1 vỉ x 10 hoàn mềm  10g; Uống</t>
  </si>
  <si>
    <t>VD-24068-16</t>
  </si>
  <si>
    <t>Công ty cổ phần dược phẩm Hoa Việt</t>
  </si>
  <si>
    <t>Hoa Việt</t>
  </si>
  <si>
    <t>ĐY1-196-CL</t>
  </si>
  <si>
    <t>Xuyên khung; Đương quy; Thục địa; Bạch thược; Đảng sâm; Bạch linh; Bạch truật; Ích mẫu; Cam thảo</t>
  </si>
  <si>
    <t>Mỗi 10ml cao lỏng chứa: (0,36g; 0,72g; 0,72g; 0,36g; 0,36g; 0,36g; 0,36g; 1,44g; 0,18g)</t>
  </si>
  <si>
    <t>Cao lỏng nguyệt quý</t>
  </si>
  <si>
    <t>Hộp 1 lọ 120ml; Cao lỏng; Uống</t>
  </si>
  <si>
    <t>VD-26839-17</t>
  </si>
  <si>
    <t>Công ty Cổ phần Dược phẩm Hoa Việt</t>
  </si>
  <si>
    <t>0,1g+ 0,1g+ 0,1g+ 0,05g+ 0,2g+ 0,1g+ 0,2g+ 0,1g+ 0,3g</t>
  </si>
  <si>
    <t>Hộp 5 vỉ x 10 viên; Viên nang; Uống</t>
  </si>
  <si>
    <t>VD-17052-12 (CV duy trì hiệu lực SĐK: 16690/QLD-ĐK, 27/09/2019)</t>
  </si>
  <si>
    <t>Công ty cổ phần dược phẩm Yên Bái</t>
  </si>
  <si>
    <t>ĐY1-199-CL</t>
  </si>
  <si>
    <t>Ích mẫu, Hương phụ, Ngãi cứu</t>
  </si>
  <si>
    <t>96g, 30g, 24g</t>
  </si>
  <si>
    <t>Phusacim</t>
  </si>
  <si>
    <t>Hộp 1 chai 120ml; Cao lỏng; Uống</t>
  </si>
  <si>
    <t>VD-31409-18</t>
  </si>
  <si>
    <t>Thục địa; Đương quy; Bạch thược; Xuyên khung; Ích mẫu; Ngải cứu; Hương phụ</t>
  </si>
  <si>
    <t>0,48g; 0,48g; 0,32g; 0,24g; 0,96g; 0,48g; 0,48g</t>
  </si>
  <si>
    <t>Kimazen Bổ huyết điều kinh</t>
  </si>
  <si>
    <t>Hộp/ 20 gói x 10ml; Cao lỏng; Uống</t>
  </si>
  <si>
    <t>VD-26172-17</t>
  </si>
  <si>
    <t>Bạch chỉ, Tân di hoa, Thương nhĩ tử, Tinh dầu Bạc hà</t>
  </si>
  <si>
    <t>VD-21491-14 (CV duy trì hiệu lực SĐK: 15628/QLD-ĐK, 12/09/2019)</t>
  </si>
  <si>
    <t>ĐY1-206-XM</t>
  </si>
  <si>
    <t>Liên kiều; Kim ngân hoa; Hoàng cầm; Menthol; Eucalyptol; Camphor</t>
  </si>
  <si>
    <t>1g; 0,5g; 0,5g; 0,008g; 0,006g; 0,004g</t>
  </si>
  <si>
    <t>XoangSpray</t>
  </si>
  <si>
    <t>Hộp/1 chai 20ml; Dung dịch xịt mũi; Xịt mũi</t>
  </si>
  <si>
    <t>VD-20945-14 (CV duy trì hiệu lực SĐK: 11441/QLD-ĐK, 11/07/2019)</t>
  </si>
  <si>
    <t>Công ty cổ phần dược  Nature Việt Nam</t>
  </si>
  <si>
    <t>Tân di hoa, Thương nhĩ tử, Ngũ sắc</t>
  </si>
  <si>
    <t>Hộp 1 lọ 15ml; Thuốc xịt; Dùng ngoài</t>
  </si>
  <si>
    <t>V86-H12-13 (CV duy trì hiệu lực SĐK: 11388/QLD-ĐK, 19/06/18; thẻ kho đáp ứng)</t>
  </si>
  <si>
    <t>Công ty TNHH Nam Dược - Việt Nam</t>
  </si>
  <si>
    <t>Tân di, Bạch chỉ, Cảo bản, Phòng phong, Tế tân, Xuyên khung, Thăng ma, Cam thảo</t>
  </si>
  <si>
    <t>200mg, 300mg, 200mg, 200mg, 200mg, 100mg, 200mg, 100mg</t>
  </si>
  <si>
    <t>Hộp 10 vỉ x 10 viên; Viên nang; Uống</t>
  </si>
  <si>
    <t>V87-H12-13 (CV duy trì hiệu lực SĐK: 17/09/2018</t>
  </si>
  <si>
    <t>600mg; 300mg; 300mg; 300mg; 50mg</t>
  </si>
  <si>
    <t>Khanh Minh Tỷ viêm nang</t>
  </si>
  <si>
    <t>Hộp/10 vỉ x 10 viên; Viên nang cứng; Uống</t>
  </si>
  <si>
    <t>VD-21858-14</t>
  </si>
  <si>
    <t>75mg; 300mg</t>
  </si>
  <si>
    <t>Hộp 6 vỉ  x 10 viên; Viên nang mềm; Uống</t>
  </si>
  <si>
    <t>Công ty cổ phần Dược phẩm Phương Đông - Chi nhánh I</t>
  </si>
  <si>
    <t>Thục địa, Hoài sơn, Mẫu đơn bì, Phục linh, Trạch tả, Sơn thù, Câu kỷ tử, Cúc hoa</t>
  </si>
  <si>
    <t>VD-16698-12 (CV duy trì hiệu lực SĐK: 5083/QLD-ĐK, 08/04/2019)</t>
  </si>
  <si>
    <t>ĐY1-212-VNC</t>
  </si>
  <si>
    <t>Thục địa, bột Hoài sơn, Cao đặc rễ Trạch tả, Cao đặc hoa Cúc hoa, Cao đặc hạt Thảo quyết minh, Cao đặc quả Hạ khô thảo, Cao đặc rễ Hà thủ ô đỏ, bột Đương quy</t>
  </si>
  <si>
    <t>125mg, 160mg, 40mg, 24mg, 50mg, 12.5mg, 40mg, 160mg</t>
  </si>
  <si>
    <t>Sáng mắt</t>
  </si>
  <si>
    <t>Hộp 10 vỉ x 10 viên; Viên nang cứng; Uống</t>
  </si>
  <si>
    <t>VD-24070-16</t>
  </si>
  <si>
    <t>Thục địa, Hoài sơn, Trạch tả, Cúc hoa, Thảo quyết minh, Hạ khô thảo, Hà thủ ô, bột Đương quy</t>
  </si>
  <si>
    <t>Hộp 3 vỉ x 10 viên; Viên nang mềm; Uống</t>
  </si>
  <si>
    <t>VD-21455-14 (CV duy trì hiệu lực SĐK: 11443/QLD-ĐK, 11/07/2019)</t>
  </si>
  <si>
    <t>Công ty TNHH TM - Đầu tư - Xuất nhập khẩu H.P Cát</t>
  </si>
  <si>
    <t>H.P Cát</t>
  </si>
  <si>
    <t>ĐY1-21-VBP</t>
  </si>
  <si>
    <t>Hộp 2 vỉ x 20 viên, Hộp 5 vỉ x 20 viên; Viên nén bao phim; Uống</t>
  </si>
  <si>
    <t>VD-20913-14 (CV duy trì hiệu lực SĐK: 14241/QLD-ĐK ngày 21/08/2019)</t>
  </si>
  <si>
    <t>ĐY1-21-VNC</t>
  </si>
  <si>
    <t xml:space="preserve">Cao khô (tương đương 4g Diệp hạ châu) 350mg </t>
  </si>
  <si>
    <t>Diệp hạ châu V</t>
  </si>
  <si>
    <t>VD-27650-17</t>
  </si>
  <si>
    <t>ĐY1-226-CT</t>
  </si>
  <si>
    <t>Ô đầu, Mã tiền, Thiên niên kiện, Quế nhục, Đại hồi, Huyết giác, Tinh dầu Long não, Methyl salicylat</t>
  </si>
  <si>
    <t>0,32g+ 0,64g+ 0,64g+ 0,32g+ 0,32g+ 0,32g+ 0,4ml+ 2,00g.</t>
  </si>
  <si>
    <t>Acocina</t>
  </si>
  <si>
    <t>Hộp 1 chai 40 ml; Cồn thuốc; Dùng ngoài</t>
  </si>
  <si>
    <t>VD-16313-12 (CV duy trì hiệu lực SĐK: 16684/QLD-ĐK, 27/09/2019)</t>
  </si>
  <si>
    <t>V45-H12-13 (CV duy trì hiệu lực SĐK: 5253/QLD-ĐK, 31/05/2019)</t>
  </si>
  <si>
    <t>500mg, 1820mg, 350mg, 850mg</t>
  </si>
  <si>
    <t>Hộp 4 vỉ x 10 viên; Viên nén bao phim; Uống</t>
  </si>
  <si>
    <t xml:space="preserve"> VD-26683-17</t>
  </si>
  <si>
    <t>Diệp hạ châu đắng; Xuyên tâm liên; Bồ công anh; Cỏ mực</t>
  </si>
  <si>
    <t>800mg; 200mg; 200mg; 200mg</t>
  </si>
  <si>
    <t>Atiliver Diệp hạ châu</t>
  </si>
  <si>
    <t>VD-22167-15</t>
  </si>
  <si>
    <t>ĐY1-35-VBĐ</t>
  </si>
  <si>
    <t>Cao đặc Kim tiền thảo</t>
  </si>
  <si>
    <t>Lọ 100 viên; Viên bao đường; Uống</t>
  </si>
  <si>
    <t>ĐY1-35-VBP</t>
  </si>
  <si>
    <t>Cao khô kim tiền thảo</t>
  </si>
  <si>
    <t>Kim Tiền Thảo MKP</t>
  </si>
  <si>
    <t>Hộp 1 chai 100 viên; Viên nén bao phim; Uống</t>
  </si>
  <si>
    <t>VD-20317-13 (CV duy trì hiệu lực SĐK: 23606/QLD-ĐK, 26/12/2018)</t>
  </si>
  <si>
    <t>ĐY1-35-VNC</t>
  </si>
  <si>
    <t xml:space="preserve">Cao khô  (tương đương 4g Kim tiền thảo) 0,28g </t>
  </si>
  <si>
    <t>VD-27651-17</t>
  </si>
  <si>
    <t>Cao khô Kim tiền thảo (tương ứng 1000mg kim tiền thảo): 90mg, Cao khô hỗn hợp (Chỉ thực, Nhân trần, Hậu Phác, Hoàng cầm, Bạch mao căn, Nghệ, Binh lang): 230mg, Mộc hương: 100mg, Đại Hoàng: 50mg</t>
  </si>
  <si>
    <t>Hộp 5 vỉ x 10 viên; Viên nén bao phim; Uống</t>
  </si>
  <si>
    <t>VD-19811-13 (CV duy trì hiệu lực SĐK: 23382/QLD-ĐK, 21/12/2018)</t>
  </si>
  <si>
    <t>Kim tiền thảo, Râu ngô</t>
  </si>
  <si>
    <t>120mg; 35mg</t>
  </si>
  <si>
    <t>Hộp 1 lọ 100 viên; Viên bao đường; uống</t>
  </si>
  <si>
    <t>Công ty TNHH đông dược Xuân Quang</t>
  </si>
  <si>
    <t>Xuân Quang</t>
  </si>
  <si>
    <t>ĐY1-45-VNC</t>
  </si>
  <si>
    <t>Nhân trần, Trạch tả, Đại hoàng, Sinh địa, Đương quy, Mạch môn, Long đởm, Chi tử, Hoàng cầm, Cam thảo, Mộc thông</t>
  </si>
  <si>
    <t xml:space="preserve">Hộp 02 vỉ x 10 viên; Viên nang cứng; Uống </t>
  </si>
  <si>
    <t>V582-H12-10 (CV duy trì hiệu lực SĐK: 1759/QLD-ĐK, 15/02/2019)</t>
  </si>
  <si>
    <t xml:space="preserve">Hộp 10 vỉ x 10 viên; Viên nang cứng; Uống  </t>
  </si>
  <si>
    <t>Cao xương hỗn hợp: Hoàng bá, Tri mẫu, Trần bì, Bạch thược, Can khương, Thục địa</t>
  </si>
  <si>
    <t>Hộp 20 túi 5g viên Hoàn cứng; Uống</t>
  </si>
  <si>
    <t>VD-17817-12 (CV duy trì hiệu lực SĐK: 23593/QLD, 25/12/2018)</t>
  </si>
  <si>
    <t>ĐY1-55-VNC</t>
  </si>
  <si>
    <t>Đỗ trọng, Ngũ gia bì chân chim, Thiên niên kiện, Tục đoạn, Đại hoàng, Xuyên khung, Tần giao, Sinh địa, Uy linh tiên, Đương quy, Quế nhục, Cam thảo</t>
  </si>
  <si>
    <t xml:space="preserve">1100mg. 1100mg. 1100mg. 1100mg. 800mg. 470mg. 470mg. 470mg. 470mg. 470mg. 350mg. 350mg.  </t>
  </si>
  <si>
    <t>VD-29444-18</t>
  </si>
  <si>
    <t>Độc hoạt, Phòng phong,  Tang ký sinh, Tần giao, Bạch thược, Ngưu tất, Sinh địa, Cam thảo, Đỗ trọng, Tế tân, Quế nhục, Nhân sâm, Đương quy, Xuyên khung</t>
  </si>
  <si>
    <t>Cao khô hỗn hợp dược liệu 390mg (tương ứng với: 330mg; 330mg; 330mg; 330mg; 330mg; 330mg; 330mg; 330mg; 330mg; 60mg; 60mg; 60mg; 60mg; 30mg)</t>
  </si>
  <si>
    <t>SĐK cũ: V731-H12-10; SĐK mới: VD-33981-19</t>
  </si>
  <si>
    <t>ĐY1-58-VBP</t>
  </si>
  <si>
    <t>Độc hoạt, Tang ký sinh, Quế chi, Tần giao, Tế tân, Phòng phong, Ngưu tất, Đổ trọng, Sinh địa, Đương quy, Bạch thược, Xuyên khung, Nhân sâm, Phục linh, Cam thảo</t>
  </si>
  <si>
    <t>203mg, 320mg, 123mg, 134mg, 80mg, 123mg, 198mg, 198mg, 240mg, 123mg, 400mg, 123mg, 160mg, 160mg, 80mg</t>
  </si>
  <si>
    <t>Độc hoạt tang ký sinh - BVP</t>
  </si>
  <si>
    <t>Hộp 1 chai x 100 viên; Viên nén bao phim; Uống</t>
  </si>
  <si>
    <t>VD-24061-16</t>
  </si>
  <si>
    <t>VD-21488-14 (CV duy trì hiệu lực SĐK: 15636/QLD-ĐK, 12/09/2019)</t>
  </si>
  <si>
    <t>Hà thủ ô đỏ, Thổ phục linh, Thương nhĩ  tử, Hy thiêm, Thiên niên kiện, Đương quy, Huyết giác</t>
  </si>
  <si>
    <t>30g, 30g, 30g, 30g, 17g,  16.5g, 16.5g</t>
  </si>
  <si>
    <t>VD-23928-15</t>
  </si>
  <si>
    <t>VD-18103-12 (CV duy trì hiệu lực SĐK: 20416/QLD-ĐK, 20/12/2018)</t>
  </si>
  <si>
    <t>ĐY1-68-VNC</t>
  </si>
  <si>
    <t>Mã tiền chế, Ma hoàng, Tằm vôi, Nhũ hương, Một dược, Ngưu tất, Cam thảo, Thương truật</t>
  </si>
  <si>
    <t>50mg; 11,5mg; 11,5mg; 11,5mg; 11,5mg; 11,5mg; 11,5mg; 11,5mg</t>
  </si>
  <si>
    <t>Marathone</t>
  </si>
  <si>
    <t>VD-32649-19</t>
  </si>
  <si>
    <t>Công ty cổ phần dược phẩm Trung Ương 3</t>
  </si>
  <si>
    <t>Tần giao, Đỗ trọng, Ngưu tất, Độc hoạt, Phòng Phong, Phục Linh, Xuyên Khung, Tục Đoạn, Hoàng kỳ, Bạch thược, Cam thảo, Đương quy, Thiên niên kiện</t>
  </si>
  <si>
    <t>Thấp khớp hoàn P/H</t>
  </si>
  <si>
    <t>Hộp 10 gói x 5g; Viên hoàn cứng; Uống</t>
  </si>
  <si>
    <t>VD-25448-16</t>
  </si>
  <si>
    <t>Công ty TNHH Đông Dược Phúc Hưng</t>
  </si>
  <si>
    <t>ĐY1-76-VNC</t>
  </si>
  <si>
    <t>Tục đoạn, Phòng phong, Hy thiêm, Độc hoạt, Tần giao, Bạch thược, Đương quy, Xuyên khung, Thiên niên kiện, Ngưu tất, Hoàng kỳ, Đỗ trọng, mã tiền</t>
  </si>
  <si>
    <t xml:space="preserve">Cao khô hỗn hợp dược liệu (tương ứng với: Tục đoạn 500mg; Phòng phong 500mg; Hy thiêm 500mg; Độc hoạt  400mg; Tần giao 400mg; Đương quy 300mg; Ngưu tất 300mg; Thiên niên kiện 300mg; Hoàng kỳ 300mg; Đỗ trọng 200mg; Bạch thược 300mg; Xuyên khung 300mg) 560mg; Bột Mã tiền chế 40mg </t>
  </si>
  <si>
    <t>Phong Dan</t>
  </si>
  <si>
    <t>VD-26637-17</t>
  </si>
  <si>
    <t>Bạch truật, Đảng sâm, Liên nhục, Cát cánh, Sa nhân, Cam thảo, Bạch linh, Trần bì, Mạch nha, Long nhãn, Sử quân tử, Bán hạ</t>
  </si>
  <si>
    <t>Siro Bổ tỳ /H</t>
  </si>
  <si>
    <t>Chai 100ml; Siro; Uống</t>
  </si>
  <si>
    <t>VD-24999-16</t>
  </si>
  <si>
    <t>Công ty cổ phần dược phẩm Tây Ninh</t>
  </si>
  <si>
    <t>ĐY1-86-TB</t>
  </si>
  <si>
    <t>Cát lâm sâm, Đảng sâm, Bạch linh, Bạch truật, Cam thảo, Ý dĩ, Hoài sơn, Khiếm thực, Liên nhục, Mạch nha, Sử quân tử, Sơn tra, Thần khúc, Cốc tinh thảo, Ô tặc cốt, Bạch biển đậu</t>
  </si>
  <si>
    <t xml:space="preserve">0,5g + 1g + 0,7g + 0,6g + 0,45g + 0,5g + 0,55g + 0,3g + 1,2g + 0,5g + 0,4g + 0,5g + 0,2g + 0,12g + 0,17g+ 0,31g </t>
  </si>
  <si>
    <t>Thuốc cam Hàng Bạc gia truyền Tùng Lộc</t>
  </si>
  <si>
    <t>Hộp 10 gói × 8g; Thuốc bột; Uống</t>
  </si>
  <si>
    <t>VD-27501-17</t>
  </si>
  <si>
    <t>Công ty Cổ phần Dược Quốc tế Tùng Lộc</t>
  </si>
  <si>
    <t>ĐY1-88-VNC</t>
  </si>
  <si>
    <t>Chỉ thực, Đảng sâm, Bạch truật, Phục linh, Bán hạ, Mạch nha, Hậu phác, Cam thảo, Can khương, Ngô thù du</t>
  </si>
  <si>
    <t>0,3g+ 0,15g+ 0,1g+ 0,1g+ 0,15g+ 0,1g+ 0,2g+ 0,1g+ 0,05g+ 0,25g</t>
  </si>
  <si>
    <t>Phugia</t>
  </si>
  <si>
    <t>Hộp 1 túi x 10 vỉ x 10 viên; Viên nang cứng; Uống</t>
  </si>
  <si>
    <t>VD-30956-18</t>
  </si>
  <si>
    <t>ĐY1-8-VNM</t>
  </si>
  <si>
    <t>Cao đặc Actiso; Cao đặc Rau đắng đất; Bột Bìm bìm biếc</t>
  </si>
  <si>
    <t>Cao đặc Actiso 200mg (tương đương 2,1g lá Actiso); Cao đặc Rau đắng đất 150mg (tương đương 1,6g Rau đắng đất); Bột Bìm bìm biếc 16mg</t>
  </si>
  <si>
    <t>Quanliver</t>
  </si>
  <si>
    <t>Hộp 2 vỉ x 15 viên; Hộp 5 vỉ x 10 viên; Viên nang mềm; Uống</t>
  </si>
  <si>
    <t>VD-21423-14 (hồ sơ có thẻ kho đáp ứng)</t>
  </si>
  <si>
    <t>ĐY1-91-TC</t>
  </si>
  <si>
    <t>Hoài sơn, Bạch biển đậu, Ý dĩ, Sa nhân, Mạch nha, Trần bì, Nhục đậu khấu, Đảng sâm, Liên nhục.</t>
  </si>
  <si>
    <t>800mg + 800mg + 800mg + 16mg + 400mg + 24mg + 16mg + 800mg + 400mg</t>
  </si>
  <si>
    <t>Digesleen</t>
  </si>
  <si>
    <t>Hộp 10 gói x gói 4,1g; Thuốc cốm; Uống</t>
  </si>
  <si>
    <t>VD-31246-18</t>
  </si>
  <si>
    <t>Kha tử; Cam thảo; Bạch truật; Bạch thược; Mộc hương; Hoàng liên</t>
  </si>
  <si>
    <t>200mg; 25mg; 10mg; 10mg; 100mg; 50mg</t>
  </si>
  <si>
    <t>Hộp 2 vỉ x 20 viên, hộp 5 vỉ x 12 viên, hộp 1 lọ 20 viên; Viên nén bao phim; Uống</t>
  </si>
  <si>
    <t>VD-27232-17</t>
  </si>
  <si>
    <t>ĐY1-97-VBP</t>
  </si>
  <si>
    <t>Bột nghệ khô (dưới dạng cao nghệ); Mật ong</t>
  </si>
  <si>
    <t>400mg; 50mg</t>
  </si>
  <si>
    <t xml:space="preserve">Mekocurcuma </t>
  </si>
  <si>
    <t>Chai 100 viên; Viên nén bao phim; Uống</t>
  </si>
  <si>
    <t>VD-24411-16</t>
  </si>
  <si>
    <t>Đông Á</t>
  </si>
  <si>
    <t>2g; 1g</t>
  </si>
  <si>
    <t>Phong liễu tràng vị khang</t>
  </si>
  <si>
    <t>8g/gói x 9gói/hộp; Thuốc cốm; Uống</t>
  </si>
  <si>
    <t>Haikou Pharmaceutical Factory Co., Ltd</t>
  </si>
  <si>
    <t>China</t>
  </si>
  <si>
    <t>2,4g; 2,4g; 2,4g; 2,4g; 1,6g; 2,4g; 1,6g; 2,4g; 0,08g</t>
  </si>
  <si>
    <t>Hoa đà tái tạo hoàn</t>
  </si>
  <si>
    <t>Hộp 10 gói, gói 8g; Hoàn cứng; Uống</t>
  </si>
  <si>
    <t>Guangzhou Baiyunshan Qixing Pharmaceutical Co., Ltd</t>
  </si>
  <si>
    <t>Công ty TNHH bào chế đông dược Dược Phát</t>
  </si>
  <si>
    <t>Dược Phát</t>
  </si>
  <si>
    <t>A giao, Bạc hà, Bách bộ, Bách hợp, Bối mẫu, Cam thảo, Đương qui, Sinh khương, Hạnh nhân, Cát cánh, Mã đậu linh, Ngũ vị tử, Thiên hoa phấn, Thiên môn, Tri mẫu,Tử tô, Tử uyển, Ý dĩ</t>
  </si>
  <si>
    <t>12g;8g; 12g; 12g; 12g; 6g; 12g; 5,6g; 10g; 10g; 4g; 6g; 6g; 8g; 6g; 6g; 8g; 8g</t>
  </si>
  <si>
    <t>Bách hạnh Chỉ khái lộ</t>
  </si>
  <si>
    <t>Chai 280ml; Cao lỏng; Uống</t>
  </si>
  <si>
    <t>V14-H12-16</t>
  </si>
  <si>
    <t xml:space="preserve">CSSX thuốc đông y, thuốc từ dược liệu Dược Phát
</t>
  </si>
  <si>
    <t>8,4g; 5,6g; 8,4g; 8,4g; 7g; 5,6g; 5,6g; 5,6g; 4,2g; 2,8g; 2,8g</t>
  </si>
  <si>
    <t>Độc hoạt, Quế chi, Phòng phong, Đương quy, Tế tân, Xuyên khung, Tần giao, Bạch thược, Tang ký sinh, Thục địa, Đỗ trọng, Ngưu tất, Bạch linh, Cam thảo, Đảng sâm</t>
  </si>
  <si>
    <t>14,8g; 6,2g; 8,1g; 8,1g; 6,2g; 12,9g; 8,1g; 10,9g; 15,1g; 9,1g; 10,9g; 8,1g; 8,1g; 6,2g; 8,1g</t>
  </si>
  <si>
    <t>V62-H12-16</t>
  </si>
  <si>
    <t>Công ty cổ phần AFP Gia Vũ</t>
  </si>
  <si>
    <t>Gia Vũ</t>
  </si>
  <si>
    <t>Bạch truật, Bạch linh, Hoàng kỳ, Toan táo nhân, Đẳng sâm, Mộc hương, Cam thảo, Đương quy, Viễn chí, Long nhãn, Đại táo</t>
  </si>
  <si>
    <t>10,8g; 6,75g; 6,75g; 9,0g; 7,5g; 3,0g; 3,0g; 9,0g; 6,75g; 9,0g; 6,75g</t>
  </si>
  <si>
    <t>Hộp 1 lọ x 90ml; Cao lỏng; Uống</t>
  </si>
  <si>
    <t>V94-H12-16</t>
  </si>
  <si>
    <t>Cơ sở sản xuất thuốc YHCT Bảo Phương</t>
  </si>
  <si>
    <t>Công ty Cổ phần Dược liệu Trung Ương 2</t>
  </si>
  <si>
    <t>VC-N1-11</t>
  </si>
  <si>
    <t>Vắc xin phòng Human Papillomavirus type 6, 11, 16, 18</t>
  </si>
  <si>
    <t>0,5ml</t>
  </si>
  <si>
    <t>Gardasil Inj 0.5ml 1's</t>
  </si>
  <si>
    <t>Hộp 1 lọ vắc xin đơn liều; dịch treo vô khuẩn. Tiêm bắp  (IM)</t>
  </si>
  <si>
    <t>Merck Sharp &amp; Dohme corp</t>
  </si>
  <si>
    <t xml:space="preserve">Mỹ </t>
  </si>
  <si>
    <t>Công ty cổ phần vắc xin &amp; sinh phẩm Nam Hưng Việt</t>
  </si>
  <si>
    <t>Nam Hưng Việt</t>
  </si>
  <si>
    <t>VC-N3-1</t>
  </si>
  <si>
    <t>Vắc xin ngừa viêm não nhật bản</t>
  </si>
  <si>
    <t>Lọ/1 liều 1ml</t>
  </si>
  <si>
    <t>Vắc xin viêm não Nhật Bản - Jevax</t>
  </si>
  <si>
    <t>Hộp 10 lọ, dung dịch tiêm; tiêm dưới da</t>
  </si>
  <si>
    <t>QLVX-0763-13</t>
  </si>
  <si>
    <t>Công ty TNHH MTV Vắc xin và Sinh phẩm số 1 (Vabiotech)</t>
  </si>
  <si>
    <t>Công ty Cổ phần Y tế AMV Group</t>
  </si>
  <si>
    <t>AMV Group</t>
  </si>
  <si>
    <t>VC-N5-12</t>
  </si>
  <si>
    <t>20mcg/ 1ml</t>
  </si>
  <si>
    <t xml:space="preserve">Heberbiovac HB -1ml (vắc xin Viêm gan B tái tổ hợp) </t>
  </si>
  <si>
    <t>25 lọ/hộp. Hỗn dịch. Tiêm</t>
  </si>
  <si>
    <t xml:space="preserve">Center for Genetic Engineering and  Biotechnology </t>
  </si>
  <si>
    <t>Cu Ba</t>
  </si>
  <si>
    <t>VC-N5-16</t>
  </si>
  <si>
    <t>Vắc xin ngừa viêm não mô cầu BC</t>
  </si>
  <si>
    <t>Lọ-1 liều 0,5ml</t>
  </si>
  <si>
    <t>VA Mengoc BC</t>
  </si>
  <si>
    <t>Hộp/10 lọ, hỗn dịch tiêm; tiêm bắp sâu</t>
  </si>
  <si>
    <t>QLVX-H02-985-16</t>
  </si>
  <si>
    <t>Instituto Finlay de Vacunas</t>
  </si>
  <si>
    <t>CuBa</t>
  </si>
  <si>
    <t>Lọ/1 liều 0,5ml</t>
  </si>
  <si>
    <t>Hộp/50 lọ, bột đông khô+dung môi nước cất pha tiêm, Tiêm dưới da sâu</t>
  </si>
  <si>
    <t>QLVX-1045-17</t>
  </si>
  <si>
    <t>Serum Institute of India Private Limited</t>
  </si>
  <si>
    <t>VC-N5-5</t>
  </si>
  <si>
    <t>Vắc xin ngừa Thủy đậu</t>
  </si>
  <si>
    <t>0,7ml/lọ</t>
  </si>
  <si>
    <t>Vắc xin Varicella sống giảm độc lực-Varicella Vaccine-GCC Inj</t>
  </si>
  <si>
    <t xml:space="preserve">Hộp/1 lọ, bột đông khô+dung môi pha tiêm, Tiêm dưới da </t>
  </si>
  <si>
    <t>QLVX-1046-17</t>
  </si>
  <si>
    <t>Green cross corporation</t>
  </si>
  <si>
    <t xml:space="preserve">Hàn Quốc </t>
  </si>
  <si>
    <t xml:space="preserve">Tổng cộng </t>
  </si>
  <si>
    <t>Tên hoạt chất (2)</t>
  </si>
  <si>
    <t>Tên biệt dược (5)</t>
  </si>
  <si>
    <t>Mã ATC (3)</t>
  </si>
  <si>
    <t>Mã nội bộ (4)</t>
  </si>
  <si>
    <t>Số 
Đăng ký (6)</t>
  </si>
  <si>
    <t>Nơi sản xuất (7)</t>
  </si>
  <si>
    <t>Nồng độ, hàm lượng (8)</t>
  </si>
  <si>
    <t>Đơn vị 
tính (9)</t>
  </si>
  <si>
    <t>Đường dùng, dạng bào chế (10)</t>
  </si>
  <si>
    <t>Đơn giá
(VNĐ) (11)</t>
  </si>
  <si>
    <t>Tồn đầu kỳ (12)</t>
  </si>
  <si>
    <t>Nhập (13)</t>
  </si>
  <si>
    <t>Số lượng thầu còn lại đến ngày 01/01/2019</t>
  </si>
  <si>
    <t>EYAREN Ophthalmic Drops</t>
  </si>
  <si>
    <t>VD-15672-11; VD-28154-17</t>
  </si>
  <si>
    <t>456mg + 426mg/ ống 10ml</t>
  </si>
  <si>
    <t>Viên nén bao đường; uống</t>
  </si>
  <si>
    <t>Viên sủi; uống</t>
  </si>
  <si>
    <t>Viên nén bao phim tan trong ruột; uống</t>
  </si>
  <si>
    <t>Viên nén phóng thích kéo dài; uống</t>
  </si>
  <si>
    <t>Dung dịch truyền tĩnh mạch</t>
  </si>
  <si>
    <t>Viên nén bao phim tác dụng kéo dài; Uống</t>
  </si>
  <si>
    <t>Viên nang mềm; Uống</t>
  </si>
  <si>
    <t>Viên nang; Uống</t>
  </si>
  <si>
    <t>viên sủi; Uống</t>
  </si>
  <si>
    <t>Viên nang</t>
  </si>
  <si>
    <t>Viên nén bao phim giải phóng chậm,Uống</t>
  </si>
  <si>
    <t>Viên nén bao phim phóng thích kéo dài, Uống</t>
  </si>
  <si>
    <t>Viên nén bao phim giải phóng kéo dài, Uống</t>
  </si>
  <si>
    <t xml:space="preserve">Viên nén bao phim; Uống </t>
  </si>
  <si>
    <t>Viên nén bao phim tan trong ruột, uống</t>
  </si>
  <si>
    <t xml:space="preserve">Viên nén bao phim , Dạng Uống </t>
  </si>
  <si>
    <t>Viên nén bao phim tác dụng kéo dài, uống</t>
  </si>
  <si>
    <t>Viên nén giải phóng chậm, uống</t>
  </si>
  <si>
    <t>Viên nén bao đường, Uống</t>
  </si>
  <si>
    <t>Dung dịch khí dung,Xịt</t>
  </si>
  <si>
    <t>Thuốc phun mù hệ hỗn dịch để hít qua đường miệng, Hít qua đường miệng</t>
  </si>
  <si>
    <t>Thuốc bột để hít, Hít</t>
  </si>
  <si>
    <t>Hỗn dịch xịt qua bình định liều điều áp, Xịt qua đường miệng</t>
  </si>
  <si>
    <t>Bột pha dung dịch uống, Uống</t>
  </si>
  <si>
    <t>Dung dịch uống, Uống</t>
  </si>
  <si>
    <t>Dung dịch tiêm truyền, tiêm</t>
  </si>
  <si>
    <t>Bột Pha Tiêm</t>
  </si>
  <si>
    <t>Dung dịch tiêm, Tiêm</t>
  </si>
  <si>
    <t>Gel bôi ngoài da, Bôi ngoài da</t>
  </si>
  <si>
    <t>Dung dịch tiêm,Tiêm tĩnh mạch</t>
  </si>
  <si>
    <t>Thuốc đạn,Đặt hậu môn</t>
  </si>
  <si>
    <t>Dung dịch tiêm truyền tĩnh mạch, tiêm</t>
  </si>
  <si>
    <t>Dung dịch đậm đặc để pha dịch tiêm truyền, Tiêm truyền</t>
  </si>
  <si>
    <t>Hỗn dịch tiêm,Tiêm</t>
  </si>
  <si>
    <t>Dung dịch tiêm trong bút tiêm nạp sẵn-Tiêm dưới da</t>
  </si>
  <si>
    <t>Dung dịch, Tiêm</t>
  </si>
  <si>
    <t>Dung dịch tiêm truyền, Tiêm truyền</t>
  </si>
  <si>
    <t>Dung dịch tiêm truyền; Tiêm truyền</t>
  </si>
  <si>
    <t>Bột đông khô pha tiêm + nước cất-Tiêm</t>
  </si>
  <si>
    <t>Dung dịch uống; Uống</t>
  </si>
  <si>
    <t>dung dịch uống</t>
  </si>
  <si>
    <t>Dung dịch tiêm, Tiêm tĩnh mạch</t>
  </si>
  <si>
    <t>Bột pha hỗn dịch; uống</t>
  </si>
  <si>
    <t>Vên nang mềm, Uống</t>
  </si>
  <si>
    <t>Viên nang cứng, uống.</t>
  </si>
  <si>
    <t>Thuốc nhỏ mắt</t>
  </si>
  <si>
    <t>Dung dịch nhỏ mắt, nhỏ mắt</t>
  </si>
  <si>
    <t>Kem bôi da</t>
  </si>
  <si>
    <t>Thuốc bột rà miệng, uống</t>
  </si>
  <si>
    <t>Viên nang mềm,Uống</t>
  </si>
  <si>
    <t>Viên nang cứng(vàng-nâu), Uống</t>
  </si>
  <si>
    <t>Thuốc đặt hậu môn,  đặt hậu môn</t>
  </si>
  <si>
    <t>Cồn thuốc dùng ngoài</t>
  </si>
  <si>
    <t>Dung dịch dùng ngoài. Dùng ngoài</t>
  </si>
  <si>
    <t>Viên nang cứng chứa vi hạt bao tan trong ruột; Uống</t>
  </si>
  <si>
    <t>Hỗn dịch uống; Uống</t>
  </si>
  <si>
    <t>Viên nang cứng; Uống</t>
  </si>
  <si>
    <t>Thuốc bột pha dung dịch uống</t>
  </si>
  <si>
    <t>Dung dịch nhỏ mắt, nhỏ mắt, nhỏ mũi</t>
  </si>
  <si>
    <t>Viên nang cứng, Uống</t>
  </si>
  <si>
    <t>Thuốc bột pha hỗn dịch, uống</t>
  </si>
  <si>
    <t xml:space="preserve">Hỗn dịch uống, Uống </t>
  </si>
  <si>
    <t>Cao lỏng; Uống</t>
  </si>
  <si>
    <t xml:space="preserve">Viên nang cứng; Uống </t>
  </si>
  <si>
    <t>Siro; Uống</t>
  </si>
  <si>
    <t>Nhũ tương; Uống</t>
  </si>
  <si>
    <t>Viên hoàn cứng; Uống</t>
  </si>
  <si>
    <t>Thuốc xịt; Dùng ngoài</t>
  </si>
  <si>
    <t>Hoàn cứng; Uống</t>
  </si>
  <si>
    <t>Thuốc cốm; Uống</t>
  </si>
  <si>
    <t>Hoàn cứng; Uống</t>
  </si>
  <si>
    <t>Bột đông khô+dung môi nước cất pha tiêm, Tiêm dưới da sâu</t>
  </si>
  <si>
    <t>Bột đông khô pha tiêm -Tiêm</t>
  </si>
  <si>
    <t>Xuất nội trú</t>
  </si>
  <si>
    <t>Huyện Dương Minh Châu, ngày 31 tháng 10 năm 2018</t>
  </si>
  <si>
    <t>BÁO CÁO KIỂM KÊ THUỐC TRUNG TÂM Y TẾ  NĂM 2018 (Từ ngày 01/10/2017 đến ngày 30/9/2018)</t>
  </si>
  <si>
    <t>Atorvastatin 21</t>
  </si>
  <si>
    <r>
      <t xml:space="preserve">                  </t>
    </r>
    <r>
      <rPr>
        <b/>
        <u/>
        <sz val="12"/>
        <rFont val="Times New Roman"/>
        <family val="1"/>
      </rPr>
      <t>Độc lập - Tự do - Hạnh phúc</t>
    </r>
  </si>
  <si>
    <t>Dương Minh Châu, Ngày 27 tháng 11  năm 2017</t>
  </si>
  <si>
    <t>BÁO CÁO KIỂM KÊ THUỐC TRUNG TÂM Y TẾ  NĂM 2017 (TỪ NGÀY 01/10/2016 ĐẾN 30/9/2017)</t>
  </si>
  <si>
    <t xml:space="preserve">Diclophenac +Paracetamol                        </t>
  </si>
  <si>
    <t>AC Diclo 50mg + 500mg</t>
  </si>
  <si>
    <t>VD-13824-11</t>
  </si>
  <si>
    <t>50mg + 500mg</t>
  </si>
  <si>
    <t xml:space="preserve">Acetylcystein </t>
  </si>
  <si>
    <t>Ace-cold 200mg (Bifacold)</t>
  </si>
  <si>
    <t>VD-13330-10</t>
  </si>
  <si>
    <t xml:space="preserve">Acetaminophen </t>
  </si>
  <si>
    <t>Acefalgan 150mg</t>
  </si>
  <si>
    <t>VD-9377-09</t>
  </si>
  <si>
    <t>Cốm sủi, uống</t>
  </si>
  <si>
    <t>Acefalgan 250mg</t>
  </si>
  <si>
    <t>VD-9378-09</t>
  </si>
  <si>
    <t>AceHasan 100mg</t>
  </si>
  <si>
    <t>VD-15582-11</t>
  </si>
  <si>
    <t xml:space="preserve">Paracetamol </t>
  </si>
  <si>
    <t>Acepron 325mg</t>
  </si>
  <si>
    <t xml:space="preserve"> thuốc bột, uống</t>
  </si>
  <si>
    <t>Acepron 650mg</t>
  </si>
  <si>
    <t>VD-6190-08</t>
  </si>
  <si>
    <t>viên, uống</t>
  </si>
  <si>
    <t>Acetyl cystein 200mg</t>
  </si>
  <si>
    <t>031113</t>
  </si>
  <si>
    <t>Acezin 5mg</t>
  </si>
  <si>
    <t>020611</t>
  </si>
  <si>
    <t>Acyclovir</t>
  </si>
  <si>
    <t>5%. Tube 5g</t>
  </si>
  <si>
    <t>tub</t>
  </si>
  <si>
    <t>thuốc mỡ, dùng ngoài</t>
  </si>
  <si>
    <t>Aciclovir MKP 5% 5gr</t>
  </si>
  <si>
    <t xml:space="preserve">Telmisartan </t>
  </si>
  <si>
    <t>VN-16554-13</t>
  </si>
  <si>
    <t>Iceland</t>
  </si>
  <si>
    <t>VN-16555-13</t>
  </si>
  <si>
    <t xml:space="preserve">Nefopam </t>
  </si>
  <si>
    <t>Acupan 20mg/2ml</t>
  </si>
  <si>
    <t>VD-16690-11</t>
  </si>
  <si>
    <t>Acyclovir 200mg</t>
  </si>
  <si>
    <t>VD-13018-10</t>
  </si>
  <si>
    <t>Acyclovir Boston 800mg</t>
  </si>
  <si>
    <t>VD-19769-13</t>
  </si>
  <si>
    <t xml:space="preserve">Acylclovir </t>
  </si>
  <si>
    <t>Acyclovir VPC 200mg</t>
  </si>
  <si>
    <t>VD-16005-11</t>
  </si>
  <si>
    <t xml:space="preserve">Nifedipin </t>
  </si>
  <si>
    <t>Adalat 10mg</t>
  </si>
  <si>
    <t>Nifedipine</t>
  </si>
  <si>
    <t xml:space="preserve">Adalat LA 20mg </t>
  </si>
  <si>
    <t>Viên phóng thích kéo dài, Uống</t>
  </si>
  <si>
    <t xml:space="preserve">Adalat LA 30mg </t>
  </si>
  <si>
    <t>VN-10754-10</t>
  </si>
  <si>
    <t xml:space="preserve">Adrenalin </t>
  </si>
  <si>
    <t>VD - 8917 - 09</t>
  </si>
  <si>
    <t xml:space="preserve">Epinephrin </t>
  </si>
  <si>
    <t>091013</t>
  </si>
  <si>
    <t>12006</t>
  </si>
  <si>
    <t xml:space="preserve">Carbazochrom dihydrate </t>
  </si>
  <si>
    <t>VD-10359-10</t>
  </si>
  <si>
    <t>Aecysmux 200mg</t>
  </si>
  <si>
    <t>VD-20185-13</t>
  </si>
  <si>
    <t>VN-14033-11</t>
  </si>
  <si>
    <t>Agi-Bromhexine 4mg/5ml x 60ml</t>
  </si>
  <si>
    <t xml:space="preserve"> siro, uống</t>
  </si>
  <si>
    <t xml:space="preserve">Bromhexin </t>
  </si>
  <si>
    <t>Agi-Bromhexine 4mg/5ml. 60ml</t>
  </si>
  <si>
    <t>Agilecox 100mg</t>
  </si>
  <si>
    <t>VD-9305-09</t>
  </si>
  <si>
    <t>Uống, viên nang</t>
  </si>
  <si>
    <t>Paracetamol + Ibuprofen</t>
  </si>
  <si>
    <t>Ailaxon 200mg/325mg</t>
  </si>
  <si>
    <t>VD-16516-12</t>
  </si>
  <si>
    <t>200/325mg</t>
  </si>
  <si>
    <t xml:space="preserve"> viên </t>
  </si>
  <si>
    <t xml:space="preserve">Simethicon </t>
  </si>
  <si>
    <t>Air-X 40mg</t>
  </si>
  <si>
    <t>viên nén,  uống</t>
  </si>
  <si>
    <t>Air-X 80mg</t>
  </si>
  <si>
    <t>Ranitidine HCl  + Tripotassium Bismuth Dicitrate  + Sucralfate</t>
  </si>
  <si>
    <t>Albis (84+100+300)mg</t>
  </si>
  <si>
    <t>VN-13113-11</t>
  </si>
  <si>
    <t>84mg + 100mg +  300mg</t>
  </si>
  <si>
    <t>Aldaron 200mg</t>
  </si>
  <si>
    <t>VN-18178-14</t>
  </si>
  <si>
    <t>Alertin 10mg</t>
  </si>
  <si>
    <t>VD-12635-10</t>
  </si>
  <si>
    <t xml:space="preserve">Allopurinol </t>
  </si>
  <si>
    <t>VD-13112-10</t>
  </si>
  <si>
    <t>Alphachymotrypsin 5000 IU</t>
  </si>
  <si>
    <t>VD-12777-10 kèm CV gia hạn22385/QLD-§K, ngµy</t>
  </si>
  <si>
    <t xml:space="preserve">thuốc tiêm đông khô </t>
  </si>
  <si>
    <t>Alvesin 5E 250ml</t>
  </si>
  <si>
    <t>VN-10762-10</t>
  </si>
  <si>
    <t>Dung dịch tiêm truyền TM</t>
  </si>
  <si>
    <t xml:space="preserve">Albendazol </t>
  </si>
  <si>
    <t>Alzental 400mg</t>
  </si>
  <si>
    <t>VD-18522-13</t>
  </si>
  <si>
    <t xml:space="preserve">Glimepirid </t>
  </si>
  <si>
    <t>Amapirid 2mg</t>
  </si>
  <si>
    <t>VD-18858-13</t>
  </si>
  <si>
    <t xml:space="preserve">Glimepiride </t>
  </si>
  <si>
    <t>Amaryl 2mg</t>
  </si>
  <si>
    <t>VN-8878-09 (Có biên nhận gia hạn)</t>
  </si>
  <si>
    <t>Amaryl 4mg</t>
  </si>
  <si>
    <t xml:space="preserve">VN-8879-09 </t>
  </si>
  <si>
    <t xml:space="preserve">Amlodipin </t>
  </si>
  <si>
    <t xml:space="preserve">Ambelin 10mg </t>
  </si>
  <si>
    <t>VD-12645-10</t>
  </si>
  <si>
    <t>Ambelin 5mg</t>
  </si>
  <si>
    <t>VD-12646-10</t>
  </si>
  <si>
    <t>VD-17522-12</t>
  </si>
  <si>
    <t>viên nén tròn uống</t>
  </si>
  <si>
    <t>Amcardia-5mg</t>
  </si>
  <si>
    <t>VN-12707-11</t>
  </si>
  <si>
    <t xml:space="preserve">Viên nén, Uống </t>
  </si>
  <si>
    <t>Amdiaryl 2mg</t>
  </si>
  <si>
    <t>VD-6369-08</t>
  </si>
  <si>
    <t>VD-6370-08</t>
  </si>
  <si>
    <t>4 mg</t>
  </si>
  <si>
    <t>Amelicol</t>
  </si>
  <si>
    <t>VD - 13331 - 10</t>
  </si>
  <si>
    <t>100 mg + 50 mg + 0,75 mg + 0,36 mg + 0,5 mg</t>
  </si>
  <si>
    <t>Amfendin 120mg</t>
  </si>
  <si>
    <t>VD-8475-09</t>
  </si>
  <si>
    <t>Amfendin 60mg</t>
  </si>
  <si>
    <t>VD-8476-09</t>
  </si>
  <si>
    <t>60 mg</t>
  </si>
  <si>
    <t>Viên nén, Đường uống</t>
  </si>
  <si>
    <t xml:space="preserve">Amlodipin DMC 5mg </t>
  </si>
  <si>
    <t>VD-15242-11</t>
  </si>
  <si>
    <t xml:space="preserve">Amoxicillin </t>
  </si>
  <si>
    <t>AmoDHG 250mg</t>
  </si>
  <si>
    <t>VN - 12383-11</t>
  </si>
  <si>
    <t>thuốc bột pha hỗn dịch uống; uống</t>
  </si>
  <si>
    <t xml:space="preserve">Amoxicilline +A.Clavulanic </t>
  </si>
  <si>
    <t>Amogentine 1,2mg</t>
  </si>
  <si>
    <t>VD-16300-12</t>
  </si>
  <si>
    <t>1.000mg + 200mg</t>
  </si>
  <si>
    <t>bột pha tiêm</t>
  </si>
  <si>
    <t xml:space="preserve">Amoxicilin  500mg </t>
  </si>
  <si>
    <t>VD 17888 12</t>
  </si>
  <si>
    <t xml:space="preserve"> Viên nang cứng, uống</t>
  </si>
  <si>
    <t>VD - 11820 - 10</t>
  </si>
  <si>
    <t xml:space="preserve">Amoxicilin 250mg </t>
  </si>
  <si>
    <t>VD-18249-13</t>
  </si>
  <si>
    <t>Thuốc bột pha hỗn dịch uống</t>
  </si>
  <si>
    <t>Amoxicillin 250mg</t>
  </si>
  <si>
    <t>VD-5513-08</t>
  </si>
  <si>
    <t xml:space="preserve">Amoxycillin 250mg </t>
  </si>
  <si>
    <t>VD-20471-14</t>
  </si>
  <si>
    <t xml:space="preserve">Amoxicilline </t>
  </si>
  <si>
    <t xml:space="preserve">Amoxycillin 500mg </t>
  </si>
  <si>
    <t>VD-20472-14</t>
  </si>
  <si>
    <t>Ampha E 400UI</t>
  </si>
  <si>
    <t>VD-15099-11</t>
  </si>
  <si>
    <t xml:space="preserve">DL-Alpha tocopherol acetat </t>
  </si>
  <si>
    <t xml:space="preserve">Ampha E-400 </t>
  </si>
  <si>
    <t>Sinh địa, Đảng sâm, Đương quy, Mạch môn, Thiên môn, Táo nhân, Bá tử nhân, Đan sâm, Phục thần, Huyền sâm, Viễn chí Ngũ vị tử Cát cánh</t>
  </si>
  <si>
    <t>480mg, 133.3mg, 133.3mg, 66.7mg, 66.7mg, 133.3mg, 133.3mg, 133.3mg, 133.3mg, 66.7mg, 66.7mg, 66.7mg, 66.7mg</t>
  </si>
  <si>
    <t xml:space="preserve">Paracetamol +Codein </t>
  </si>
  <si>
    <t>Anacegine 500mg/30mg</t>
  </si>
  <si>
    <t>VD-17954-12</t>
  </si>
  <si>
    <t>500mg+30mg</t>
  </si>
  <si>
    <t>VN-16719-13</t>
  </si>
  <si>
    <t xml:space="preserve"> 150mg</t>
  </si>
  <si>
    <t>Aprovel 3000mg</t>
  </si>
  <si>
    <t xml:space="preserve">Vitamin C </t>
  </si>
  <si>
    <t>Asgizole 40mg</t>
  </si>
  <si>
    <t>Acetylsalicylic</t>
  </si>
  <si>
    <t>VD-10460-10</t>
  </si>
  <si>
    <t xml:space="preserve">Acetylsalicylic </t>
  </si>
  <si>
    <t xml:space="preserve">Aspirin 81mg   </t>
  </si>
  <si>
    <t xml:space="preserve"> 81mg</t>
  </si>
  <si>
    <t>Atenolol 50mg</t>
  </si>
  <si>
    <t>VN-4948-10</t>
  </si>
  <si>
    <t>Aticef  500mg</t>
  </si>
  <si>
    <t>070312</t>
  </si>
  <si>
    <t xml:space="preserve">Paracetamol+Dextromethorphan+Loratadin </t>
  </si>
  <si>
    <t>Atnoflu (500+15+5) mg</t>
  </si>
  <si>
    <t>VD-17900-12</t>
  </si>
  <si>
    <t>500mg + 15mg + 5mg</t>
  </si>
  <si>
    <t xml:space="preserve">Atorvastatin </t>
  </si>
  <si>
    <t>VD-21312-14</t>
  </si>
  <si>
    <t>Atropin sulfat 0,25mg/ml</t>
  </si>
  <si>
    <t>VD - 6032 - 08</t>
  </si>
  <si>
    <t>Auclanityl 1g</t>
  </si>
  <si>
    <t>VD-11694-10</t>
  </si>
  <si>
    <t xml:space="preserve">Amoxicilline +A.Clavulanide </t>
  </si>
  <si>
    <t>Auclanityl 625mg</t>
  </si>
  <si>
    <t>VD-11695-10</t>
  </si>
  <si>
    <t>500mg+125mg</t>
  </si>
  <si>
    <t>Augbactam 1gr</t>
  </si>
  <si>
    <t>VN-9839-10</t>
  </si>
  <si>
    <t>Augbactam 312,5</t>
  </si>
  <si>
    <t>VD-21958-14</t>
  </si>
  <si>
    <t>250mg + 62.5mg</t>
  </si>
  <si>
    <t>Augbactam 312,5mg</t>
  </si>
  <si>
    <t>VN-5526-10</t>
  </si>
  <si>
    <t>1000mg; 200mg</t>
  </si>
  <si>
    <t>Augxicine 250mg/31,25mg</t>
  </si>
  <si>
    <t>VD-17976-12</t>
  </si>
  <si>
    <t>250mg/31,25mg</t>
  </si>
  <si>
    <t>gói, uống</t>
  </si>
  <si>
    <t>VN-13488-11</t>
  </si>
  <si>
    <t>VD-11310-10</t>
  </si>
  <si>
    <t>Austriol 0.25μg</t>
  </si>
  <si>
    <t>VN-11708-11</t>
  </si>
  <si>
    <t>Viên nang mềm. Uống</t>
  </si>
  <si>
    <t>Axore 20mg</t>
  </si>
  <si>
    <t>VN-9634-10</t>
  </si>
  <si>
    <t>viên nén bao phim, Uống</t>
  </si>
  <si>
    <t>Azefti 500mg</t>
  </si>
  <si>
    <t>bột pha hỗn dịch, uống</t>
  </si>
  <si>
    <t>Azihasan 250mg</t>
  </si>
  <si>
    <t>VD-12202-10</t>
  </si>
  <si>
    <t>Azucefox 100mg</t>
  </si>
  <si>
    <t>10882</t>
  </si>
  <si>
    <t>A giao
Bạc hà
Bách bộ
Bách hợp
Bối mẫu
Cam thảo
Đương qui
Sinh khương
Hạnh nhân
Cát cánh
Mã đâu linh
Ngũ vị tử
Thiên hoa phấn
Thiên môn
Tri mẫu
Tử tô
Tử uyển
Ý dĩ nhân</t>
  </si>
  <si>
    <t>Bách hạnh chỉ khái lộ</t>
  </si>
  <si>
    <t>V662-H12-10</t>
  </si>
  <si>
    <t xml:space="preserve">Chai 280ml </t>
  </si>
  <si>
    <t>Thuốc nước, Uống</t>
  </si>
  <si>
    <t>Cao khô Kim tiền thảo: 90 mg ( Tương đương 1000 mg Kim tiền thảo,+ Cao hỗn hợp: 230 mg( Nhân trần, Hoàng cầm, Nghệ, Binh lang, Chỉ thực, Hậu phác, Bạch mao căn) + Mộc hương: 100 mg + Đại hoàng: 50 mg</t>
  </si>
  <si>
    <t>90mg (tương đương 1.000mg Kim tiền thảo), 230mg, 100mg, 50mg</t>
  </si>
  <si>
    <t>Kim tiền thảo, Chỉ thực, Nhân trần, Hậu phác, Hoàng cầm, Bạch mao căn, Nghệ Binh lang, Mộc hương, Đại hoàng.</t>
  </si>
  <si>
    <t xml:space="preserve"> Lactobacillus acidophilus + kẽm gluconat </t>
  </si>
  <si>
    <t>Bailuzym-Zn</t>
  </si>
  <si>
    <t>QLĐB-368-13</t>
  </si>
  <si>
    <t>10 (8) (CFU) + 35 mg</t>
  </si>
  <si>
    <t>Đương quy, Xuyên khung, Thục địa, Bạch thược,Đảng sâm, Bạch linh, Bạch truật, Cam thảo.</t>
  </si>
  <si>
    <t>Bát trân</t>
  </si>
  <si>
    <t>V1555-H12-10</t>
  </si>
  <si>
    <t>Hoài sơn, Sơn thù Mẫu Đơn bì Thục địa, Phụ tử chế Trạch tả Phục linh, Quế  nhục</t>
  </si>
  <si>
    <t>Bát vị</t>
  </si>
  <si>
    <t>V162-H12-13, VD-23284-15</t>
  </si>
  <si>
    <t>400mg, 400mg, 300mg, 800mg, 50mg, 300mg, 300mg, 50mg</t>
  </si>
  <si>
    <t>Bát vị chai 40 viên</t>
  </si>
  <si>
    <t>V949-H12-10</t>
  </si>
  <si>
    <t xml:space="preserve">Glibenclamid </t>
  </si>
  <si>
    <t>VD 18704-13</t>
  </si>
  <si>
    <t xml:space="preserve">Clopidogrel </t>
  </si>
  <si>
    <t>Beclopi 75mg</t>
  </si>
  <si>
    <t>VD-19151-13</t>
  </si>
  <si>
    <t>viên,uống</t>
  </si>
  <si>
    <t>Becopanthyl 160mg</t>
  </si>
  <si>
    <t>VD-18493-13</t>
  </si>
  <si>
    <t xml:space="preserve"> viên, uống</t>
  </si>
  <si>
    <t>Becoridone 1mg/1ml 30ml</t>
  </si>
  <si>
    <t xml:space="preserve">Gabapentin </t>
  </si>
  <si>
    <t>Begaba 300mg</t>
  </si>
  <si>
    <t>VD-19154-13</t>
  </si>
  <si>
    <t>Fenoterol HBr + Ipratropium Br</t>
  </si>
  <si>
    <t>Berodual  200 liều</t>
  </si>
  <si>
    <t>0,02mg/nhát xịt; 0,05mg/nhát xịt</t>
  </si>
  <si>
    <t>dd phun sương trong bình định liều,Xịt qua đường miệng</t>
  </si>
  <si>
    <t xml:space="preserve">Cefaclor </t>
  </si>
  <si>
    <t>Bestcelor 250mg</t>
  </si>
  <si>
    <t>VD-13876-11</t>
  </si>
  <si>
    <t>Bestcelor 375mg</t>
  </si>
  <si>
    <t>VD-8157-09</t>
  </si>
  <si>
    <t>Betaloc Zok 25 mg</t>
  </si>
  <si>
    <t>ích mẫu, Bạch thược, Đại hoàng, Thục địa, Hương phụ Đương quy, Bạch truật, Xuyên khung, Huyền hồ sách, Phục linh.</t>
  </si>
  <si>
    <t>Biacti</t>
  </si>
  <si>
    <t>V576 - H12 - 10</t>
  </si>
  <si>
    <t>Bidiclor 125mg</t>
  </si>
  <si>
    <t>VD-16854-12</t>
  </si>
  <si>
    <t>Thuốc bột pha uống</t>
  </si>
  <si>
    <t>Bidiclor 500mg</t>
  </si>
  <si>
    <t>VD-6519-08</t>
  </si>
  <si>
    <t xml:space="preserve">Vitamin A + Vitamin D </t>
  </si>
  <si>
    <t>Bidivit AD</t>
  </si>
  <si>
    <t>VD-11517-10</t>
  </si>
  <si>
    <t>325/400mg</t>
  </si>
  <si>
    <t xml:space="preserve">Bidivit AD </t>
  </si>
  <si>
    <t>VD-21629-14</t>
  </si>
  <si>
    <t>5000 IU + 400 IU</t>
  </si>
  <si>
    <t xml:space="preserve"> Viên nang mềm, uống</t>
  </si>
  <si>
    <t xml:space="preserve">Sắt fumarate +Acide Folic  +Vitamine B12 </t>
  </si>
  <si>
    <t>162 mg + 0,75 mg + 7,5 mcg</t>
  </si>
  <si>
    <t xml:space="preserve">Cefuroxim </t>
  </si>
  <si>
    <t xml:space="preserve">Bifumax 125mg </t>
  </si>
  <si>
    <t>VD-16851-12</t>
  </si>
  <si>
    <t>BiHasal 2,5mg</t>
  </si>
  <si>
    <t>VD-18849-13</t>
  </si>
  <si>
    <t xml:space="preserve">Ofloxacin </t>
  </si>
  <si>
    <t xml:space="preserve"> dd thuốc nhỏ mắt</t>
  </si>
  <si>
    <t>Biloxcin Eye 15mg x 5ml</t>
  </si>
  <si>
    <t>dung dịch , thuốc nhỏ mắt</t>
  </si>
  <si>
    <t>Biorindol 4mg</t>
  </si>
  <si>
    <t>VN-12194-11</t>
  </si>
  <si>
    <t>Pantoprazol +
Domperidon</t>
  </si>
  <si>
    <t>Bipando 40/10mg</t>
  </si>
  <si>
    <t>Bisoprolol 5mg</t>
  </si>
  <si>
    <t>Bipro Tab 5mg</t>
  </si>
  <si>
    <t>VD-17752-12</t>
  </si>
  <si>
    <t xml:space="preserve">Isosorbid dinitrat </t>
  </si>
  <si>
    <t>VD-13335-10</t>
  </si>
  <si>
    <t xml:space="preserve">Isosorbide dinitrate </t>
  </si>
  <si>
    <t>Biresort 5mg</t>
  </si>
  <si>
    <t>VD - 13337 - 10</t>
  </si>
  <si>
    <t>Bisacodyl DHG 5mg</t>
  </si>
  <si>
    <t>viên nén bao phim; uống</t>
  </si>
  <si>
    <t xml:space="preserve">Bisacodyl </t>
  </si>
  <si>
    <t>BisacodylDHG 5mg</t>
  </si>
  <si>
    <t>VD-11436-10</t>
  </si>
  <si>
    <t>Bisoprolol Fumarate 2,5mg</t>
  </si>
  <si>
    <t>Ireland</t>
  </si>
  <si>
    <t>Bisoprolol + Hydroclorothiazid</t>
  </si>
  <si>
    <t>Bisoprolol Plus 2,5/6,25mg</t>
  </si>
  <si>
    <t>Diệp hạ châu, Bồ bồ, Chi tử</t>
  </si>
  <si>
    <t>Bổ gan P/H</t>
  </si>
  <si>
    <t>V786-H12-10</t>
  </si>
  <si>
    <t>1300mg, 40mg</t>
  </si>
  <si>
    <t>Bách bộ, Mạch môn, Bán hạ chế, Cát cánh, Bạch linh, Ma hoàng, Tỳ bà diệp, Tang bạch bì, Mơ muối, Cam thảo, Bạch phàn, Bạc hà</t>
  </si>
  <si>
    <t>Bổ phế chỉ khái lộ</t>
  </si>
  <si>
    <t>VD-21451-14</t>
  </si>
  <si>
    <t>0.9g, 3.13g, 3.25g, 3.13g, 0.68g, 3.13g, 0.18g, 2.08g, 7.15g, 3.3g, 0.63g, 0.2g, 0.13g, 0.2g</t>
  </si>
  <si>
    <t>Thục địa+Hoài sơn+Sơn thù+Mẫu Đơn bì +Trạch tả+Phục linh</t>
  </si>
  <si>
    <t>Bổ thận âm hộp/ 10 gói</t>
  </si>
  <si>
    <t>VD-8679-09</t>
  </si>
  <si>
    <t>Nhân sâm, Hoàng kỳ, Đương quy, Bạch truật, Thăng ma, Sài hồ Trần bì Cam thảo, Sinh khương, Đại táo.</t>
  </si>
  <si>
    <t>Bổ trung ích khí – f</t>
  </si>
  <si>
    <t>250mg, 833mg, 250mg, 250mg, 250mg, 250mg, 250mg, 417mg, 83mg, 167mg</t>
  </si>
  <si>
    <t>Hoàng kỳ, Cam thảo, Bạch truật, Trần bì, Đương quy, Thăng ma, Nhân sâm, Sài hồ, Đại táo, Gừng tươi</t>
  </si>
  <si>
    <t xml:space="preserve">Bổ trung ích khí-F </t>
  </si>
  <si>
    <t>V480-H12-10</t>
  </si>
  <si>
    <t xml:space="preserve">Bạch linh, Liên nhục, Sơn tra, Bạch truật, Mạch nha, Cam thảo, Trần bì, Đảng sâm, Sa nhân, Ý dĩ, Hoài sơn, Thần khúc </t>
  </si>
  <si>
    <t>Bổ tỳ KH</t>
  </si>
  <si>
    <t>VD-21737-14</t>
  </si>
  <si>
    <t>VD-16373-12</t>
  </si>
  <si>
    <t>VN-8413-09</t>
  </si>
  <si>
    <t>Hyoscin-N-butylbromid</t>
  </si>
  <si>
    <t>Buscopan 10mg</t>
  </si>
  <si>
    <t>VN-11700-11</t>
  </si>
  <si>
    <t>Viên nén,Uống</t>
  </si>
  <si>
    <t xml:space="preserve">Hyoscine N-Butylbromide </t>
  </si>
  <si>
    <t>Buscopan 20mg/ml</t>
  </si>
  <si>
    <t>VN-15234-12</t>
  </si>
  <si>
    <t xml:space="preserve">Buto-Asma  100mcg/liều x 200 liều </t>
  </si>
  <si>
    <t>khí dung chia liều, Đường  xịt</t>
  </si>
  <si>
    <t>Buto-asma 100mcg/ liều</t>
  </si>
  <si>
    <t>100mcg/liều x 200 iều</t>
  </si>
  <si>
    <t xml:space="preserve">Calci glubionat </t>
  </si>
  <si>
    <t>86GKA027</t>
  </si>
  <si>
    <t>Calcitriol 0,25mcg</t>
  </si>
  <si>
    <t>VD-6757-09</t>
  </si>
  <si>
    <t>Calci glucoheptonat 1,1g+Vitamin D2 100IU+Vitamin C 100mg+Vitamin PP 50mg</t>
  </si>
  <si>
    <t xml:space="preserve">Calcium Domesco </t>
  </si>
  <si>
    <t>VD-12465-10</t>
  </si>
  <si>
    <t>1,1g+100IU+100mg+50mg</t>
  </si>
  <si>
    <t>Calcium Gluconate 10%, 10ml</t>
  </si>
  <si>
    <t>20973/QLD-KD</t>
  </si>
  <si>
    <t>10%, 10ml</t>
  </si>
  <si>
    <t>01920413</t>
  </si>
  <si>
    <t xml:space="preserve">Calci carbonat + Calci gluconolactat </t>
  </si>
  <si>
    <t>VD-6564-08</t>
  </si>
  <si>
    <t>viên sủi, uống</t>
  </si>
  <si>
    <t>Caldihasan 1250mg + 125IU</t>
  </si>
  <si>
    <t>VD-20539-14</t>
  </si>
  <si>
    <t>1250mg +125 IU</t>
  </si>
  <si>
    <t>Thanh cao, Kim ngân hoa, Địa liền, Tía tô, Kinh giới, Thích gia đằng, Bạc hà.</t>
  </si>
  <si>
    <t>Cảm cúm – f</t>
  </si>
  <si>
    <t>V641-H12-10</t>
  </si>
  <si>
    <t>0.545g, 0.273g, 0.273g, 0.273g, 0.273g, 0.273g, 0.09g</t>
  </si>
  <si>
    <t xml:space="preserve">Candesartan </t>
  </si>
  <si>
    <t>Cancetyl 8mg</t>
  </si>
  <si>
    <t>VD-21076-14</t>
  </si>
  <si>
    <t>Candelong 4mg</t>
  </si>
  <si>
    <t>VN-9311-09</t>
  </si>
  <si>
    <t xml:space="preserve">Clotrimazol </t>
  </si>
  <si>
    <t>viên nén, Đặt âm đạo</t>
  </si>
  <si>
    <t>Canzeal 2mg</t>
  </si>
  <si>
    <t>VN-11157-10</t>
  </si>
  <si>
    <t>VN-11158-10</t>
  </si>
  <si>
    <t>Ích mẫu
Hương phụ
Ngải cứu</t>
  </si>
  <si>
    <t>cao thuốc, uống</t>
  </si>
  <si>
    <t>Lạc tiên , Vông nem, Lá dâu.</t>
  </si>
  <si>
    <t>Cao lỏng, Uống</t>
  </si>
  <si>
    <t>Cao lạc tiên</t>
  </si>
  <si>
    <t>V1501-H12-10</t>
  </si>
  <si>
    <t>Hy thiêm, Thiên niên kiện.</t>
  </si>
  <si>
    <t>Cao Phong thấp</t>
  </si>
  <si>
    <t xml:space="preserve">Tang ký sinh
Xuyên khung 
Đổ trọng 
Thục địa 
Phòng phong 
Bạch phục linh
Quế chi 
Tế tân 
Độc hoạt 
Bạch thược 
Đương quy 
Ngưu tất 
Đảng sâm 
Tần giao 
Cam thảo </t>
  </si>
  <si>
    <t>Cao phong thấp</t>
  </si>
  <si>
    <t>V1412-H12-10</t>
  </si>
  <si>
    <t>Camphor,
Tinh dầu Bạc hà, 
Tinh dầu Tràm,
Tinh dầu Hương nhu, 
Tinh dầu Quế, Menthol.</t>
  </si>
  <si>
    <t>cao thoa, dùng ngoài</t>
  </si>
  <si>
    <t xml:space="preserve">Captopril  + Hydroclorothiazid </t>
  </si>
  <si>
    <t>Captohasan 25/12,5 mg</t>
  </si>
  <si>
    <t>VD-15584-11</t>
  </si>
  <si>
    <t>25mg + 12.5mg</t>
  </si>
  <si>
    <t xml:space="preserve">Captopril </t>
  </si>
  <si>
    <t xml:space="preserve">Carbocistein </t>
  </si>
  <si>
    <t>Carbocistein 200mg</t>
  </si>
  <si>
    <t>VD-11602-10</t>
  </si>
  <si>
    <t>Cardidroxim 125mg</t>
  </si>
  <si>
    <t>070313</t>
  </si>
  <si>
    <t xml:space="preserve">Vinpocetine </t>
  </si>
  <si>
    <t>VN-5362-10</t>
  </si>
  <si>
    <t>Diếp cá Rau má.</t>
  </si>
  <si>
    <t>Ceditan (75+300)mg</t>
  </si>
  <si>
    <t>GC-229-14</t>
  </si>
  <si>
    <t>CedroDHG 250mg</t>
  </si>
  <si>
    <t>VD-9986-10</t>
  </si>
  <si>
    <t>bột pha hỗn dịch; uống</t>
  </si>
  <si>
    <t>1413</t>
  </si>
  <si>
    <t xml:space="preserve"> viên nang cứng; Uống</t>
  </si>
  <si>
    <t xml:space="preserve">Cefixim </t>
  </si>
  <si>
    <t>Cefix VPC 200mg</t>
  </si>
  <si>
    <t>Cefixim 100mg</t>
  </si>
  <si>
    <t>VD-20251-13</t>
  </si>
  <si>
    <t>VN-10374-10</t>
  </si>
  <si>
    <t xml:space="preserve"> thuốc bột uống</t>
  </si>
  <si>
    <t>Cefixim 400 - CGP</t>
  </si>
  <si>
    <t>021112</t>
  </si>
  <si>
    <t>Cefixim 400-CGP</t>
  </si>
  <si>
    <t>VD-16223-12</t>
  </si>
  <si>
    <t>Cefixim 400mg -CGP</t>
  </si>
  <si>
    <t>Cefixim100-CGP</t>
  </si>
  <si>
    <t>050313</t>
  </si>
  <si>
    <t>Cefpodoxim 200mg Glomed</t>
  </si>
  <si>
    <t>1303002</t>
  </si>
  <si>
    <t xml:space="preserve">Cefdinir </t>
  </si>
  <si>
    <t>VD-12510-10</t>
  </si>
  <si>
    <t>viên nang cứng; Uống</t>
  </si>
  <si>
    <t>Ceftriaxone panpharma 1g</t>
  </si>
  <si>
    <t>Ceftriaxone Panpharma 1gr</t>
  </si>
  <si>
    <t>CefuDHG 250mg</t>
  </si>
  <si>
    <t>010313</t>
  </si>
  <si>
    <t xml:space="preserve">Cefudroxim </t>
  </si>
  <si>
    <t>Cefuro B 500mg</t>
  </si>
  <si>
    <t>040313</t>
  </si>
  <si>
    <t>Cefuroxim Axetil 500mg</t>
  </si>
  <si>
    <t>Cefuroxime TVP 250mg</t>
  </si>
  <si>
    <t>VD-10490-10</t>
  </si>
  <si>
    <t>Cefuroxime TVP 500mg</t>
  </si>
  <si>
    <t>VD-10491-10</t>
  </si>
  <si>
    <t>Cenditan</t>
  </si>
  <si>
    <t>V104-H12-13</t>
  </si>
  <si>
    <t>Cenpadol 150mg</t>
  </si>
  <si>
    <t>VD-19702-13</t>
  </si>
  <si>
    <t>Cenpadol 250mg</t>
  </si>
  <si>
    <t xml:space="preserve">Roxithromycin </t>
  </si>
  <si>
    <t>Cenrobaby 50mg</t>
  </si>
  <si>
    <t>110312</t>
  </si>
  <si>
    <t xml:space="preserve">Cefpodoxim </t>
  </si>
  <si>
    <t>Ceodox 100mg</t>
  </si>
  <si>
    <t>VD-8451-09</t>
  </si>
  <si>
    <t xml:space="preserve">Cefalexin </t>
  </si>
  <si>
    <t>VD-14109-11</t>
  </si>
  <si>
    <t>viên nang uống</t>
  </si>
  <si>
    <t>110813</t>
  </si>
  <si>
    <t>Cephalexin 500 mg</t>
  </si>
  <si>
    <t>VD-8956-09</t>
  </si>
  <si>
    <t>viên nang; Uống</t>
  </si>
  <si>
    <t>VD-10140-10</t>
  </si>
  <si>
    <t>VD-13735-11</t>
  </si>
  <si>
    <t>viên nang; uống</t>
  </si>
  <si>
    <t>121113</t>
  </si>
  <si>
    <t>Ceplor VPC 125mg</t>
  </si>
  <si>
    <t>VD-14700-11</t>
  </si>
  <si>
    <t>Ceplor VPC 500mg</t>
  </si>
  <si>
    <t>VD-13356-10</t>
  </si>
  <si>
    <t xml:space="preserve">Cerebrolysin </t>
  </si>
  <si>
    <t>VN-15431-12</t>
  </si>
  <si>
    <t>Cetazin 10mg</t>
  </si>
  <si>
    <t xml:space="preserve">Cetirizin </t>
  </si>
  <si>
    <t xml:space="preserve">Paracetamol  + Loratadin </t>
  </si>
  <si>
    <t xml:space="preserve">Ceteco Rhumedol fort </t>
  </si>
  <si>
    <t>VD-9019-09</t>
  </si>
  <si>
    <t>650mg + 5mg</t>
  </si>
  <si>
    <t>viên nén dài bao phim; uống</t>
  </si>
  <si>
    <t>Paracetamol + Loratadin</t>
  </si>
  <si>
    <t>Ceteco Rhumedol Fort 650mg+5mg</t>
  </si>
  <si>
    <t>VD-10948-10</t>
  </si>
  <si>
    <t>Chỉ thực, Hoàng liên,  Nhân sâm, Bạch truật, Bạch linh, Bán hạ , Mạch nha, Hậu phác, Cam thảo, Can khương.</t>
  </si>
  <si>
    <t>Chỉ  thực tiêu bĩ – f</t>
  </si>
  <si>
    <t>480mg, 480mg, 29mg, 290mg, 290mg, 290mg, 290mg, 250mg, 187.3mg, 187.3mg</t>
  </si>
  <si>
    <t>Chlopheniramin maleat</t>
  </si>
  <si>
    <t xml:space="preserve">Chlopheniramin  4mg </t>
  </si>
  <si>
    <t>VD-7087-09</t>
  </si>
  <si>
    <t>Ngưu tất : 500 mg ( tương ứng 200mg cao khô), Nghệ 500 mg ( tương ứng 5 mg Curcumin), Hoa hòe ( Rutin): 100mg</t>
  </si>
  <si>
    <t xml:space="preserve">500mg, 500mg, 100mg
</t>
  </si>
  <si>
    <t xml:space="preserve">Cholestin chai/ 50 viên </t>
  </si>
  <si>
    <t xml:space="preserve">500mg (t­¬ng øng 200mg cao kh«), 500mg (T­¬ng øng 5mg Curcumin), 100mg
</t>
  </si>
  <si>
    <t xml:space="preserve">Cimetidin </t>
  </si>
  <si>
    <t>Cimedine 300mg</t>
  </si>
  <si>
    <t xml:space="preserve">Cinnarizine </t>
  </si>
  <si>
    <t>Ciprobay 500mg</t>
  </si>
  <si>
    <t>Ciprobay IV 200/100ml</t>
  </si>
  <si>
    <t xml:space="preserve"> 200/100ml</t>
  </si>
  <si>
    <t>Dịch truyền, Tiêm truyền</t>
  </si>
  <si>
    <t>Ciprofloxacin inj</t>
  </si>
  <si>
    <t>Ciprofloxacin - hameln 200mg/100ml</t>
  </si>
  <si>
    <t xml:space="preserve">Dd tiêm truyền, </t>
  </si>
  <si>
    <t xml:space="preserve">Ciprofloxacin Collyre </t>
  </si>
  <si>
    <t xml:space="preserve">Ciprofloxacin 0,3% </t>
  </si>
  <si>
    <t>VD-19322-13</t>
  </si>
  <si>
    <t>16,65 mg</t>
  </si>
  <si>
    <t>Thuốc nhỏ mắt, nhỏ tai</t>
  </si>
  <si>
    <t>Ciprofloxacin 0,3% x 5ml</t>
  </si>
  <si>
    <t>Ciprofloxacin 200mg/100ml</t>
  </si>
  <si>
    <t>86GAG002</t>
  </si>
  <si>
    <t>viên nén bao phim. Uống</t>
  </si>
  <si>
    <t xml:space="preserve">Ciprofloxacin </t>
  </si>
  <si>
    <t>VD-10353-10</t>
  </si>
  <si>
    <t>Ciprofloxacin-hameln 2mg/mlx100ml</t>
  </si>
  <si>
    <t>200mg/ 100ml, chai 100ml</t>
  </si>
  <si>
    <t>DD tiêm truyền</t>
  </si>
  <si>
    <t xml:space="preserve">Levocetirizin </t>
  </si>
  <si>
    <t>VD-14328-11</t>
  </si>
  <si>
    <t xml:space="preserve">Clarithromycine </t>
  </si>
  <si>
    <t>Clarithromycin Stada 500mg</t>
  </si>
  <si>
    <t>VD-11962-10</t>
  </si>
  <si>
    <t>Cledomox 1000</t>
  </si>
  <si>
    <t>Cledomox 250/125mg</t>
  </si>
  <si>
    <t>Cledomox 500/125mg</t>
  </si>
  <si>
    <t>VN-9841-10</t>
  </si>
  <si>
    <t xml:space="preserve">Clindamycin </t>
  </si>
  <si>
    <t>VD-13613-10</t>
  </si>
  <si>
    <t>010113</t>
  </si>
  <si>
    <t>Clopidogrel 75mg</t>
  </si>
  <si>
    <t>VD-21412-14</t>
  </si>
  <si>
    <t xml:space="preserve">Chlorpheniramin maleat </t>
  </si>
  <si>
    <t>Cloxacillin 500mg</t>
  </si>
  <si>
    <t>3760/QLD-KD</t>
  </si>
  <si>
    <t>C-Mark 100mg</t>
  </si>
  <si>
    <t>VN-13776-11</t>
  </si>
  <si>
    <t>Co Miaryl 500/2mg</t>
  </si>
  <si>
    <t>500mg+ 2mg</t>
  </si>
  <si>
    <t>Coduroxyl 500mg</t>
  </si>
  <si>
    <t>VD-14985-11</t>
  </si>
  <si>
    <t xml:space="preserve">Irbesartan + hydroclorothiazid </t>
  </si>
  <si>
    <t>Coirbevel 150/12,5mg</t>
  </si>
  <si>
    <t>VN-15748-12</t>
  </si>
  <si>
    <t>150 mg/12.5 mg</t>
  </si>
  <si>
    <t xml:space="preserve">Colchicin </t>
  </si>
  <si>
    <t>Colchicin 1mg</t>
  </si>
  <si>
    <t>Colchicine 1mg</t>
  </si>
  <si>
    <t>VD-12821-10</t>
  </si>
  <si>
    <t>1 mg</t>
  </si>
  <si>
    <t xml:space="preserve">Collyre Biloxcin Eye </t>
  </si>
  <si>
    <t>0213</t>
  </si>
  <si>
    <t>dung dịch nhỏ mắt</t>
  </si>
  <si>
    <t>Collyre Ciprofloxacin 0,3% 5ml</t>
  </si>
  <si>
    <t>VN-9510-10</t>
  </si>
  <si>
    <t>Neomycin + polymyxin B +dexamethason</t>
  </si>
  <si>
    <t xml:space="preserve">Collyre Eyrus Ophthalmic Drops </t>
  </si>
  <si>
    <t>VN-5614-10</t>
  </si>
  <si>
    <t>3500IU/ml +6000IU/ml+ 0,1% (lọ 10ml)</t>
  </si>
  <si>
    <t>Dung dịch, nhỏ mắt</t>
  </si>
  <si>
    <t xml:space="preserve">Gentamicin </t>
  </si>
  <si>
    <t>Collyre Gentamicin  0,3% 5ml</t>
  </si>
  <si>
    <t>VD-12213-10</t>
  </si>
  <si>
    <t>Collyre Gentamycin 0.3%</t>
  </si>
  <si>
    <t>071013</t>
  </si>
  <si>
    <t xml:space="preserve">Tobramycin </t>
  </si>
  <si>
    <t>Collyre Tobramycin 15mg/mlx5ml</t>
  </si>
  <si>
    <t>VN-5194-10</t>
  </si>
  <si>
    <t>VIỆT NAM</t>
  </si>
  <si>
    <t xml:space="preserve">Glimepirid + Metformin </t>
  </si>
  <si>
    <t xml:space="preserve">Cồn boric </t>
  </si>
  <si>
    <t>VD-10047-10</t>
  </si>
  <si>
    <t>dung dịch nhỏ tai</t>
  </si>
  <si>
    <t>Ô đầu, Địa liền, Đại hồi, Quế Thiên niên kiện, Uy Linh tiên, Mã tiền, Huyết giác, Xuyên khung, Methyl salicylal, Tế tân.</t>
  </si>
  <si>
    <t>500mg, 500mg, 500mg, 500mg, 500mg, 500mg, 500mg, 500mg, 500mg,  5ml, 500ml</t>
  </si>
  <si>
    <t>dung dịch xoa, dùng ngoài</t>
  </si>
  <si>
    <t>Dịch chiết  Pygeum africanum</t>
  </si>
  <si>
    <t>Connec 50mg</t>
  </si>
  <si>
    <t>12001</t>
  </si>
  <si>
    <t>VN-11316-10</t>
  </si>
  <si>
    <t>Dung dịch tiêm IV, Tiêm</t>
  </si>
  <si>
    <t xml:space="preserve">Amiodarone hydrochloride </t>
  </si>
  <si>
    <t xml:space="preserve">Cordarone 200mg </t>
  </si>
  <si>
    <t>Viên nén bẻ được, Uống</t>
  </si>
  <si>
    <t>Corneil-5mg</t>
  </si>
  <si>
    <t>VD-19653-13</t>
  </si>
  <si>
    <t>Coryol 12,5mg</t>
  </si>
  <si>
    <t>12,5mg</t>
  </si>
  <si>
    <t>Perindopril + Amlodipin</t>
  </si>
  <si>
    <t xml:space="preserve">Coversyl plus 5mg/1.25 mg </t>
  </si>
  <si>
    <t>Coversyl tab 5mg 30s</t>
  </si>
  <si>
    <t xml:space="preserve">Cao khô Trinh nữ hoàng cung </t>
  </si>
  <si>
    <t>Crila</t>
  </si>
  <si>
    <t>VD-15304-11</t>
  </si>
  <si>
    <t>Cypdicar 6,25 mg</t>
  </si>
  <si>
    <t>Cytan 50mg</t>
  </si>
  <si>
    <t xml:space="preserve">Diacerein </t>
  </si>
  <si>
    <t xml:space="preserve">DEP </t>
  </si>
  <si>
    <t>D.E.P</t>
  </si>
  <si>
    <t>VS-4773-10</t>
  </si>
  <si>
    <t>lọ 10g</t>
  </si>
  <si>
    <t xml:space="preserve"> thuốc mỡ, dùng ngoài</t>
  </si>
  <si>
    <t>Huyền hồ sách, Mai mực, Phèn chua.</t>
  </si>
  <si>
    <t>V588-H12-10</t>
  </si>
  <si>
    <t>0.126g, 0.274g, 0.5g</t>
  </si>
  <si>
    <t>Dacolfort 450mg + 50mg</t>
  </si>
  <si>
    <t>Diosmin + Hesperidin</t>
  </si>
  <si>
    <t xml:space="preserve">Diosmin + Hesperidin </t>
  </si>
  <si>
    <t>Daflavon 500mg</t>
  </si>
  <si>
    <t>060612</t>
  </si>
  <si>
    <t>Daflon 450/50mg</t>
  </si>
  <si>
    <t>VN-15519-12</t>
  </si>
  <si>
    <t>Daflon 450mg + 50mg</t>
  </si>
  <si>
    <t xml:space="preserve">VN-15519-12 </t>
  </si>
  <si>
    <t>Hoàng liên, Mộc hương, Ngô thù du</t>
  </si>
  <si>
    <t>Đại tràng F</t>
  </si>
  <si>
    <t>V640-H12-10</t>
  </si>
  <si>
    <t>100mg; 50mg; 25mg</t>
  </si>
  <si>
    <t>ĐẠI TRÀN HOÀN P/H (Bạch truật; Mộc hương; Hoằng đằng; Hoài sơn; Trần bì ; Hoàng liên ; Bạch linh ; Sa nhân ; Bạch thược ; Cam thảo ; Đẳng sâm; )</t>
  </si>
  <si>
    <t>Đại tràng hoàn P/H</t>
  </si>
  <si>
    <t>V826-H12-10</t>
  </si>
  <si>
    <t>200mg; 100mg; 50mg; 25mg; 10mg; 10mg</t>
  </si>
  <si>
    <t xml:space="preserve">Gói </t>
  </si>
  <si>
    <t xml:space="preserve"> viên hoàn cứng, Uống viên</t>
  </si>
  <si>
    <t>Danircap 125mg</t>
  </si>
  <si>
    <t>VD-20024-13</t>
  </si>
  <si>
    <t xml:space="preserve"> thuốc bột pha hỗn dịch, uống</t>
  </si>
  <si>
    <t>Darinol 300mg</t>
  </si>
  <si>
    <t>011013</t>
  </si>
  <si>
    <t xml:space="preserve">Amoxicillin + A.Clavulanic </t>
  </si>
  <si>
    <t>DD Amonalic uống</t>
  </si>
  <si>
    <t>B009</t>
  </si>
  <si>
    <t>Bột pha hỗn dịch; Uống</t>
  </si>
  <si>
    <t>Vitamin B6 + magnesi</t>
  </si>
  <si>
    <t>Debomin 940/10mg</t>
  </si>
  <si>
    <t>940mg+10mg</t>
  </si>
  <si>
    <t>Defaton 40/10mg</t>
  </si>
  <si>
    <t>VD-21002-14</t>
  </si>
  <si>
    <t>40 mg; 10 mg</t>
  </si>
  <si>
    <t xml:space="preserve">Tramadol +Paracetamol </t>
  </si>
  <si>
    <t>Degevic 37,5mg + 325mg</t>
  </si>
  <si>
    <t>VD-21414-14</t>
  </si>
  <si>
    <t>Viên nén ,Uống</t>
  </si>
  <si>
    <t>Methyl prednisolone acetate</t>
  </si>
  <si>
    <t>Depo-Medrol 40mg/ml</t>
  </si>
  <si>
    <t>VN-11978-11</t>
  </si>
  <si>
    <t xml:space="preserve">hỗn dịch tiêm </t>
  </si>
  <si>
    <t>VD-11840-10 (CV 20571/QLD-§K, 05/11/2015)</t>
  </si>
  <si>
    <t xml:space="preserve">Glucose </t>
  </si>
  <si>
    <t>Dextrose 10%(100ml-C/250ml)</t>
  </si>
  <si>
    <t>VN-14667-13</t>
  </si>
  <si>
    <t>10%100ml</t>
  </si>
  <si>
    <t>Dextrose 5% 500ml</t>
  </si>
  <si>
    <t>Philippine</t>
  </si>
  <si>
    <t>Diabifar 5mg</t>
  </si>
  <si>
    <t>VD-12809-10</t>
  </si>
  <si>
    <t>VN-13764-11</t>
  </si>
  <si>
    <t>VD-12410-10</t>
  </si>
  <si>
    <t xml:space="preserve">Ibuprofen + Paracetamol </t>
  </si>
  <si>
    <t>Dibulaxan 200mg+325mg</t>
  </si>
  <si>
    <t>Dibulaxan 325mg+ 200mg</t>
  </si>
  <si>
    <t>325mg+ 200mg</t>
  </si>
  <si>
    <t>viên bao tan trong ruột, uống</t>
  </si>
  <si>
    <t xml:space="preserve">Diclofenac </t>
  </si>
  <si>
    <t>041013A</t>
  </si>
  <si>
    <t>Diệp Hạ Châu</t>
  </si>
  <si>
    <t>VD-13229-10</t>
  </si>
  <si>
    <t>Diệp hạ châu -BVP</t>
  </si>
  <si>
    <t>VD-21607-14</t>
  </si>
  <si>
    <t>viên nén bao film, uống</t>
  </si>
  <si>
    <t xml:space="preserve">Digoxin </t>
  </si>
  <si>
    <t>Digoxin 0,5mg/2ml</t>
  </si>
  <si>
    <t>8729/QLD-KD (Đơn hàng nhập khẩu không có địa chỉ)</t>
  </si>
  <si>
    <t>0,5mg/2ml</t>
  </si>
  <si>
    <t xml:space="preserve"> viên nén, uống</t>
  </si>
  <si>
    <t xml:space="preserve">Tramadol+Paracetamol </t>
  </si>
  <si>
    <t>Dinalvic VPC 37,5mg+325mg</t>
  </si>
  <si>
    <t>75mg, 150mg, 10mg</t>
  </si>
  <si>
    <t>viên, Uống</t>
  </si>
  <si>
    <t xml:space="preserve">Piracetam </t>
  </si>
  <si>
    <t>Diorophyl 400mg</t>
  </si>
  <si>
    <t>VN-8838-09 kèm giấy BNHSĐK thuốc ngày 27/11/2014</t>
  </si>
  <si>
    <t>Diosmectit 3g</t>
  </si>
  <si>
    <t xml:space="preserve">N-acetylcystein 
</t>
  </si>
  <si>
    <t>Disolvan 8 mg</t>
  </si>
  <si>
    <t>12014AN</t>
  </si>
  <si>
    <t>Diurefar 40mg</t>
  </si>
  <si>
    <t xml:space="preserve">Dobutamin </t>
  </si>
  <si>
    <t>Dobutamin 250mg/20ml</t>
  </si>
  <si>
    <t>28049DK</t>
  </si>
  <si>
    <t>250mg/20ml</t>
  </si>
  <si>
    <t>DD, tiêm truyền</t>
  </si>
  <si>
    <t>Dobutamine-hameln 12,5mg/ml</t>
  </si>
  <si>
    <t>VN-15324-12</t>
  </si>
  <si>
    <t>Độc hoạt,Quế nhục, Phòng phong, Đương quy, Tế tân , Xuyên khung, Tần giao, Bạch thược, Tang ký sinh, Địa hoàng, Đỗ trọng, Ngưu tất, Phục linh, Cam thảo, Đảng sâm.</t>
  </si>
  <si>
    <t>148mg, 92mg, 92mg, 92mg, 60mg, 92mg, 104mg, 300mg, 240mg, 184mg, 148mg, 148mg, 120mg, 120mg, 60mg</t>
  </si>
  <si>
    <t>Độc hoạt, Quế chi/Quế nhục, Phòng phong, Đương quy, Tế tân (Dây đau xương), Xuyên khung, Tần giao, Bạch thược, Tang ký sinh, Sinh địa/Thục địa/Địa hoàng, Đỗ trọng, Ngưu tất, Phục linh/Bạch linh, Cam thảo, (Đảng sâm/Nhân sâm).</t>
  </si>
  <si>
    <t>Độc hoạt tang ký sinh - BV</t>
  </si>
  <si>
    <t>Viên, Uống</t>
  </si>
  <si>
    <t xml:space="preserve">Độc hoạt tang ký sinh - BVP </t>
  </si>
  <si>
    <t>viên nén bao phim, Uống</t>
  </si>
  <si>
    <t xml:space="preserve">Pethidin </t>
  </si>
  <si>
    <t>Dolargan 100mg/2ml</t>
  </si>
  <si>
    <t>147083</t>
  </si>
  <si>
    <t xml:space="preserve">Bột malva +Camphoronobromid +Xanh methylen </t>
  </si>
  <si>
    <t>viên bao đường, uống</t>
  </si>
  <si>
    <t>Domitazol 20mg+25 mg+250mg</t>
  </si>
  <si>
    <t>20mg + 25 mg + 250mg</t>
  </si>
  <si>
    <t>VD-16384-12</t>
  </si>
  <si>
    <t>VD-11802-10</t>
  </si>
  <si>
    <t>271113</t>
  </si>
  <si>
    <t>Domstal 10mg</t>
  </si>
  <si>
    <t>VN-14379-11</t>
  </si>
  <si>
    <t xml:space="preserve">Isosorbid-5-mononitrat </t>
  </si>
  <si>
    <t>Donox 60 mg</t>
  </si>
  <si>
    <t>VD-15046-11</t>
  </si>
  <si>
    <t xml:space="preserve">Paracetamol  </t>
  </si>
  <si>
    <t>Dopagan-effervescent 500mg</t>
  </si>
  <si>
    <t>641113</t>
  </si>
  <si>
    <t xml:space="preserve">viên sủi </t>
  </si>
  <si>
    <t>Viên xủi tan trong nước</t>
  </si>
  <si>
    <t xml:space="preserve">Dopamin </t>
  </si>
  <si>
    <t>Dopamine 4% 200mg/5ml</t>
  </si>
  <si>
    <t>Doparexid  200mg</t>
  </si>
  <si>
    <t>213602</t>
  </si>
  <si>
    <t>Dorobay 100mg</t>
  </si>
  <si>
    <t>VD-14005-11</t>
  </si>
  <si>
    <t xml:space="preserve"> viên nén , uống</t>
  </si>
  <si>
    <t>Dorobay 50mg</t>
  </si>
  <si>
    <t>VD-14006-11</t>
  </si>
  <si>
    <t xml:space="preserve">Acarbose </t>
  </si>
  <si>
    <t>040413</t>
  </si>
  <si>
    <t xml:space="preserve">Gliclazide </t>
  </si>
  <si>
    <t>Dorocron MR 30mg</t>
  </si>
  <si>
    <t>080313</t>
  </si>
  <si>
    <t>Dorogyne F 1.5M UI + 250mg</t>
  </si>
  <si>
    <t>Doropycin 0,75UI</t>
  </si>
  <si>
    <t>241013</t>
  </si>
  <si>
    <t>0.75UI</t>
  </si>
  <si>
    <t>Doropycin 1,5M UI</t>
  </si>
  <si>
    <t>VD-18218-13</t>
  </si>
  <si>
    <t>Dorotyl 250mg</t>
  </si>
  <si>
    <t>VD-13615-10</t>
  </si>
  <si>
    <t>Dospasmin 40mg</t>
  </si>
  <si>
    <t>VD-16680-12</t>
  </si>
  <si>
    <t xml:space="preserve">Doxycyclin </t>
  </si>
  <si>
    <t>VD-16130-11</t>
  </si>
  <si>
    <t>Droxicef 500mg</t>
  </si>
  <si>
    <t>VD-8158-09</t>
  </si>
  <si>
    <t>Cao xương hỗn hợp, Hoàng bá, Tri mẫu, Trần bì, Bạch thược, Can khương, Thục địa</t>
  </si>
  <si>
    <t>VD-17817-12</t>
  </si>
  <si>
    <t>Đương quy+Xuyên khung+Bạch thược+Thục địa hoàng +Câu đằng +9Kê huyết đằng+Hạ khô thảo +Quyết minh tử+Trân châu mẫu+Diên hồ sách+Tế tân</t>
  </si>
  <si>
    <t>Dưỡng huyết thanh não</t>
  </si>
  <si>
    <t>thuốc cốm, Uống</t>
  </si>
  <si>
    <t>Lá sen, Lá vông, Lạc tiên, Tâm sen, Bình vôi</t>
  </si>
  <si>
    <t>VD-17080-12</t>
  </si>
  <si>
    <t>0,65g; 0,50g;0,65g; 0,15g;1,20g</t>
  </si>
  <si>
    <t>Hoài sơn, Liên nhục, Liên tâm, Bá tử nhân, Toan táo nhân, Lá dâu, Lá vông, Long nhãn</t>
  </si>
  <si>
    <t>VD-16788-12</t>
  </si>
  <si>
    <t>183mg, 91,25mg, 91,25mg, 91,25mg, 175mg, 200mg, 91,25mg, 91,25mg</t>
  </si>
  <si>
    <t>Hoài sơn, Cao khô: Liên nhục, Liên tâm, Bá tử nhân, Toan táo nhân, Cao khô: Lá vông, lá dâu, Long nhãn</t>
  </si>
  <si>
    <t xml:space="preserve">Dưỡng tâm an thần - HT </t>
  </si>
  <si>
    <t>V1232-H12-10</t>
  </si>
  <si>
    <t>Viên nén bao đường. Uống</t>
  </si>
  <si>
    <t>Ecomin OD 1.500Mcg</t>
  </si>
  <si>
    <t>VD-16395-13</t>
  </si>
  <si>
    <t>1500Mcg</t>
  </si>
  <si>
    <t>VD-8463-09</t>
  </si>
  <si>
    <t>Viên đạn, Đặt hậu môn</t>
  </si>
  <si>
    <t>Efferalgan 250mg sachets</t>
  </si>
  <si>
    <t>VN-9193-09 (có biên nhận gia hạn)</t>
  </si>
  <si>
    <t>Thuốc bột sủi, Uống</t>
  </si>
  <si>
    <t xml:space="preserve">Tramadol +Paracetamol  </t>
  </si>
  <si>
    <t>Effer-Bostacet 37,5mg + 325mg</t>
  </si>
  <si>
    <t>VD-18258-13</t>
  </si>
  <si>
    <t xml:space="preserve"> 37,5mg + 325mg</t>
  </si>
  <si>
    <t>Efferhasan 80mg</t>
  </si>
  <si>
    <t xml:space="preserve">VN-9193-09 </t>
  </si>
  <si>
    <t>thuốc bột sủi bọt, uống</t>
  </si>
  <si>
    <t xml:space="preserve">Eftimol 500/8 mg </t>
  </si>
  <si>
    <t xml:space="preserve"> viên nang cứng, uống</t>
  </si>
  <si>
    <t xml:space="preserve">Esomeprazol </t>
  </si>
  <si>
    <t>Enahexal 10mg</t>
  </si>
  <si>
    <t>VN-11090-10</t>
  </si>
  <si>
    <t>Thổ nhĩ kỳ</t>
  </si>
  <si>
    <t>viên nén, Uống</t>
  </si>
  <si>
    <t>Enalapril 10mg</t>
  </si>
  <si>
    <t>Enalapril 5mg Glomed</t>
  </si>
  <si>
    <t>VD-7952-09</t>
  </si>
  <si>
    <t>Enamigal 5mg</t>
  </si>
  <si>
    <t>VD-12004-10</t>
  </si>
  <si>
    <t>Enpovid AD (5000+400)UI</t>
  </si>
  <si>
    <t>Amylase + papain + simethicon</t>
  </si>
  <si>
    <t>Enterpass (100+100+30)mg</t>
  </si>
  <si>
    <t>VD-6783-09</t>
  </si>
  <si>
    <t>100mg
+ 100mg
+ 30mg</t>
  </si>
  <si>
    <t xml:space="preserve">Ephedrin </t>
  </si>
  <si>
    <t>Ephedrin 10mg/1ml</t>
  </si>
  <si>
    <t>613001</t>
  </si>
  <si>
    <t xml:space="preserve">Eprazinon </t>
  </si>
  <si>
    <t>Eramux 50mg</t>
  </si>
  <si>
    <t>VD-12497-10</t>
  </si>
  <si>
    <t>Erythromycine + Sulfamethoxazole  + Trimethoprim</t>
  </si>
  <si>
    <t>Erybact 365mg</t>
  </si>
  <si>
    <t>VD-16086-11</t>
  </si>
  <si>
    <t xml:space="preserve"> 125mg + 200 mg + 40 mg</t>
  </si>
  <si>
    <t xml:space="preserve">Erythromycine </t>
  </si>
  <si>
    <t xml:space="preserve">Erythromycin 250mg </t>
  </si>
  <si>
    <t xml:space="preserve">Erythromycin </t>
  </si>
  <si>
    <t>11014AN</t>
  </si>
  <si>
    <t>Esogas</t>
  </si>
  <si>
    <t>VD-14200-11</t>
  </si>
  <si>
    <t>gói hổn dịch, uống</t>
  </si>
  <si>
    <t xml:space="preserve">Espumisan L 40mg/ml </t>
  </si>
  <si>
    <t>40mg/ml x 30ml</t>
  </si>
  <si>
    <t>Nhũ dịch uống, uống</t>
  </si>
  <si>
    <t xml:space="preserve">Ketoconazol </t>
  </si>
  <si>
    <t>Etoral 200mg</t>
  </si>
  <si>
    <t>VD-9997-10</t>
  </si>
  <si>
    <t>viên nén; uống</t>
  </si>
  <si>
    <t>Attapulgit mormoivon hoạt hóa + hổ hợp magnesi carbonat-nhôm hydroxyd</t>
  </si>
  <si>
    <t>Europulgite 2,5g+0,5g</t>
  </si>
  <si>
    <t xml:space="preserve">Valsartan + hydroclorothiazid </t>
  </si>
  <si>
    <t>Euvaltan Plus 80mg + 12,5mg</t>
  </si>
  <si>
    <t>VD-14211-11</t>
  </si>
  <si>
    <t xml:space="preserve">Oxacilin </t>
  </si>
  <si>
    <t>Euvioxcin 500mg</t>
  </si>
  <si>
    <t>viên nang, Uống</t>
  </si>
  <si>
    <t>Euvixim 200mg</t>
  </si>
  <si>
    <t>0603002</t>
  </si>
  <si>
    <t>Euvixim 50mg</t>
  </si>
  <si>
    <t>0623002</t>
  </si>
  <si>
    <t>Expecto 4mg/5ml.  60ml</t>
  </si>
  <si>
    <t>VD-15532-12</t>
  </si>
  <si>
    <t>Bangladesh</t>
  </si>
  <si>
    <t>Eyaren Ophthalmic Drops 10ml</t>
  </si>
  <si>
    <t>30mg + 30mg</t>
  </si>
  <si>
    <t xml:space="preserve">Famotidin </t>
  </si>
  <si>
    <t xml:space="preserve">Calci glycerophosphat +Magnesi gluconat </t>
  </si>
  <si>
    <t>Farisant 456mg +426mg</t>
  </si>
  <si>
    <t>VD-20152-13</t>
  </si>
  <si>
    <t>456 mg + 426 mg. Ống 10ml</t>
  </si>
  <si>
    <t>Fatig 0,426g; 0,456g</t>
  </si>
  <si>
    <t>VN-10352-10</t>
  </si>
  <si>
    <t>0,426g; 0,456g</t>
  </si>
  <si>
    <t>Feb C37 1g/100ml</t>
  </si>
  <si>
    <t>VN-15197-12</t>
  </si>
  <si>
    <t xml:space="preserve">1g/100ml </t>
  </si>
  <si>
    <t>Felodil ER 5mg</t>
  </si>
  <si>
    <t>VN-15946-12</t>
  </si>
  <si>
    <t>viên nén, bao phim phóng tích, kéo dài, uống</t>
  </si>
  <si>
    <t>Felodipin Stada retard 5mg</t>
  </si>
  <si>
    <t>VD-7122-09</t>
  </si>
  <si>
    <t>Fenbrat 300mg</t>
  </si>
  <si>
    <t>VD-21124-14</t>
  </si>
  <si>
    <t xml:space="preserve">Mã tiền 
Hy thiêm 
Ngũ gia bì 
Tam thất </t>
  </si>
  <si>
    <t>Fengshi- OPC viên phong thấp</t>
  </si>
  <si>
    <t>0,7mg, 852mg, 232mg, 50mg.</t>
  </si>
  <si>
    <t>Fenilham 0,1mg/2ml</t>
  </si>
  <si>
    <t>VN-17888-14</t>
  </si>
  <si>
    <t>0,1mg/2ml</t>
  </si>
  <si>
    <t>Fenofibrate 200mg</t>
  </si>
  <si>
    <t>VD-10703-10</t>
  </si>
  <si>
    <t xml:space="preserve">Lisinopril </t>
  </si>
  <si>
    <t>Fibsol 10mg</t>
  </si>
  <si>
    <t>VN-12996-11</t>
  </si>
  <si>
    <t>Fibsol 5mg</t>
  </si>
  <si>
    <t>VN-12997-11</t>
  </si>
  <si>
    <t xml:space="preserve">Moxifloxacin </t>
  </si>
  <si>
    <t>Fipmoxo 5mg/ml</t>
  </si>
  <si>
    <t>VN-15903-12</t>
  </si>
  <si>
    <t>Sử quân tử Binh lang, Nhục đậu khấu, Lục thần khúc, Mạch nha, Hồ hoàng liên, Mộc hương.</t>
  </si>
  <si>
    <t>Fitôbaby</t>
  </si>
  <si>
    <t>Thục địa, Phục linh, Hoài Sơn, Sơn thù Trạch tả Xa tiền tử Ngưu tất, Mẫu đơn bì Nhục quế Phụ tử chế.</t>
  </si>
  <si>
    <t>V83-H12-13</t>
  </si>
  <si>
    <t>700mg, 530mg, 350mg, 350mg, 265mg, 180mg, 180mg, 265mg, 90mg,  90mg.</t>
  </si>
  <si>
    <t>Hải m• Lộc nhung, Nhân sâm, Quế.</t>
  </si>
  <si>
    <t>Fitôgra – f</t>
  </si>
  <si>
    <t>0.33g, 0.33g, 0.33g, 0.1g</t>
  </si>
  <si>
    <t>Đan sâm, Tam thất, Borneol/Băng phiến/Camphor.</t>
  </si>
  <si>
    <t>Fitogra-f</t>
  </si>
  <si>
    <t>VD-6279-08</t>
  </si>
  <si>
    <t>Fixkem 200mg</t>
  </si>
  <si>
    <t>VD-62421-10</t>
  </si>
  <si>
    <t>Thỏ ty tử Hà thủ ô, Dây đau xương, cốt toái bổ Đỗ trọng, Cúc bất tử Nấm sò khô.</t>
  </si>
  <si>
    <t>25mg, 25mg, 25mg, 25mg, 25mg, 50mg, 500mg</t>
  </si>
  <si>
    <t>Flexen 2,5% 50g</t>
  </si>
  <si>
    <t xml:space="preserve">Gel -Dạng bôi </t>
  </si>
  <si>
    <t>VD-11963-10</t>
  </si>
  <si>
    <t>S¾t (III) hydroxyd polymaltose</t>
  </si>
  <si>
    <t>Salmeterol+Fluticasone</t>
  </si>
  <si>
    <t>Forair 25/125mcg Inhaler</t>
  </si>
  <si>
    <t>VN-15746-12</t>
  </si>
  <si>
    <t>25mgc +125mcg</t>
  </si>
  <si>
    <t>Thuốc xịt phun mù-Xịt mũi</t>
  </si>
  <si>
    <t>Forair 25/250mcg Inhaler</t>
  </si>
  <si>
    <t>VN-15747-12</t>
  </si>
  <si>
    <t>25mgc +250mcg</t>
  </si>
  <si>
    <t>Thuôc xịt phun mù-Xịt mũi</t>
  </si>
  <si>
    <t>Clopidogrel bisulfat</t>
  </si>
  <si>
    <t>Freeclo 75mg</t>
  </si>
  <si>
    <t>E41852</t>
  </si>
  <si>
    <t xml:space="preserve">Fe fumarate + ascorbic acid +folic acid + vit B12  + vit B6 +sulfate đồng  </t>
  </si>
  <si>
    <t>Fudilac</t>
  </si>
  <si>
    <t>VD-11263-10</t>
  </si>
  <si>
    <t>190mg + 30mg + 1,6mg + 30mcg + 5mg + 1mg</t>
  </si>
  <si>
    <t xml:space="preserve"> Viên nang mềm, Uống</t>
  </si>
  <si>
    <t xml:space="preserve">Perindopril </t>
  </si>
  <si>
    <t>Fudnostra 5mg</t>
  </si>
  <si>
    <t>VD-9096-09</t>
  </si>
  <si>
    <t xml:space="preserve">Calci carbonat + tribasic calci phosphat+ calci fluorid + magnesi hydroxyd + cholecalciferol </t>
  </si>
  <si>
    <t>Fudocal</t>
  </si>
  <si>
    <t>VD-11117-10</t>
  </si>
  <si>
    <t>450mg +  150mg + 1mg + 100mg + 260UI</t>
  </si>
  <si>
    <t xml:space="preserve"> Viên nén, Uống</t>
  </si>
  <si>
    <t>Fudophos 1g/5g</t>
  </si>
  <si>
    <t>VD-11118-10</t>
  </si>
  <si>
    <t>1g/5g</t>
  </si>
  <si>
    <t>gel, uống</t>
  </si>
  <si>
    <t>Fudrovide 20mg/2ml</t>
  </si>
  <si>
    <t>VD-20853-14</t>
  </si>
  <si>
    <t xml:space="preserve">Magnesi hydroxid + nhôm hydroxid + simethicon </t>
  </si>
  <si>
    <t>Fumagate-Fort</t>
  </si>
  <si>
    <t>VD-11121-10</t>
  </si>
  <si>
    <t>Magnesi hydroxid + nh«m hydroxid gel t­¬ng ®­¬ng nh«m oxid  + simethicon</t>
  </si>
  <si>
    <t>Fumagate-Fort (800+800+100)mg</t>
  </si>
  <si>
    <t>VD-24257-16</t>
  </si>
  <si>
    <t>Furacin 500</t>
  </si>
  <si>
    <t>VD-13359-10</t>
  </si>
  <si>
    <t>viên nén,, uống</t>
  </si>
  <si>
    <t>Furosemid 40mg</t>
  </si>
  <si>
    <t>13016AN</t>
  </si>
  <si>
    <t>dd - Tiêm</t>
  </si>
  <si>
    <t>Furosol 20mg</t>
  </si>
  <si>
    <t>VD-10925-10</t>
  </si>
  <si>
    <t>Cao Tỏi+Cao Nghệ</t>
  </si>
  <si>
    <t>Garlicap viên tỏi nghệ</t>
  </si>
  <si>
    <t>1500mg, 100mg.</t>
  </si>
  <si>
    <t xml:space="preserve">Atapulgite + nhôm hydroxyd +magnesi carbonat </t>
  </si>
  <si>
    <t>Gastropulgite 2,5g + 0,5g</t>
  </si>
  <si>
    <t>Bột pha hỗn dịch uống, uống</t>
  </si>
  <si>
    <t>Gelofusine 4% 500ml</t>
  </si>
  <si>
    <t>4% x 500ml</t>
  </si>
  <si>
    <t>Genocefaclor 125mg</t>
  </si>
  <si>
    <t>VN-17375-13</t>
  </si>
  <si>
    <t>Gentamycin</t>
  </si>
  <si>
    <t>Gentamicin 0,3%</t>
  </si>
  <si>
    <t>VD-16494-12</t>
  </si>
  <si>
    <t xml:space="preserve"> 0.3% 5ml (3mg/ml)</t>
  </si>
  <si>
    <t>Gentamycin 80mg/2ml</t>
  </si>
  <si>
    <t>dd, tiêm</t>
  </si>
  <si>
    <t>VD - 19094 - 13</t>
  </si>
  <si>
    <t xml:space="preserve">Dịch chiết Pygeum africanum </t>
  </si>
  <si>
    <t>Gentiana 50mg</t>
  </si>
  <si>
    <t>V231-H12-13</t>
  </si>
  <si>
    <t>Nhân trần, Trạch tả Đại hoàng, Sinh địa, Đương qui, Mạch môn, Long đởm, Chi tử Hoàng cầm, Cam thảo, Mộc thông.</t>
  </si>
  <si>
    <t>V582 - H12 - 10</t>
  </si>
  <si>
    <t>1,70g. 0,83g. 0,83g. 0,60g. 0,60g. 0,60g. 0,83g. 0,42g. 0,42g. 0,23g. 0,42g.</t>
  </si>
  <si>
    <t xml:space="preserve">Acetyl-DL-leucin </t>
  </si>
  <si>
    <t>VD-8667-09</t>
  </si>
  <si>
    <t>Ginkgo 3000   60mg</t>
  </si>
  <si>
    <t>VN-5612-10</t>
  </si>
  <si>
    <t>VD-17084-12</t>
  </si>
  <si>
    <t>Natri montelukast 5mg</t>
  </si>
  <si>
    <t>VN-18313-14</t>
  </si>
  <si>
    <t>viên nhai, Uống</t>
  </si>
  <si>
    <t>Gliclazid 80mg</t>
  </si>
  <si>
    <t>Gliclamark 80mg</t>
  </si>
  <si>
    <t>VN-10384-10</t>
  </si>
  <si>
    <t>VD-14212-11</t>
  </si>
  <si>
    <t>viên nén , uống</t>
  </si>
  <si>
    <t>Glisan 30mg MR</t>
  </si>
  <si>
    <t>VD-9086-09</t>
  </si>
  <si>
    <t>viên nén dài giải phóng hoạt chất có kiểm soát, uống</t>
  </si>
  <si>
    <t>Glisan MR 30mg</t>
  </si>
  <si>
    <t>Gliclazide MR</t>
  </si>
  <si>
    <t>VD-5270-08</t>
  </si>
  <si>
    <t xml:space="preserve">Gliclazid +Metformin </t>
  </si>
  <si>
    <t>Glizym-M 80mg + 500mg</t>
  </si>
  <si>
    <t>VN-7144-08</t>
  </si>
  <si>
    <t>80mg+500mg</t>
  </si>
  <si>
    <t>VN-10757-10</t>
  </si>
  <si>
    <t>Glucobay 50mg</t>
  </si>
  <si>
    <t>VN-10758-10</t>
  </si>
  <si>
    <t>Glucofast 850mg</t>
  </si>
  <si>
    <t>VD-16436-12</t>
  </si>
  <si>
    <t>Glucored forte 500/5mg</t>
  </si>
  <si>
    <t>VD-14231-12</t>
  </si>
  <si>
    <t>500mg+ 5mg</t>
  </si>
  <si>
    <t xml:space="preserve">Glucosamin </t>
  </si>
  <si>
    <t xml:space="preserve"> Dung dịch, tiêm truyền</t>
  </si>
  <si>
    <t>Glucose 30% 5ml</t>
  </si>
  <si>
    <t>86FIA009</t>
  </si>
  <si>
    <t>Glucose Kabi 30% 5ml</t>
  </si>
  <si>
    <t>Metformin + Glibenclamid</t>
  </si>
  <si>
    <t>Glucovance 500mg/ 2,5mg</t>
  </si>
  <si>
    <t>VN-8829-09</t>
  </si>
  <si>
    <t>500mg / 2.5mg</t>
  </si>
  <si>
    <t>Glumeform 500mg</t>
  </si>
  <si>
    <t>VD-9261-09</t>
  </si>
  <si>
    <t>Gluzitop 60mg MR</t>
  </si>
  <si>
    <t xml:space="preserve">Glyceryl trinitrat </t>
  </si>
  <si>
    <t>Glyceryl Trinitrate 10mg/10ml Injection</t>
  </si>
  <si>
    <t>VN-8506-09</t>
  </si>
  <si>
    <t xml:space="preserve">10mg/10ml </t>
  </si>
  <si>
    <t xml:space="preserve"> nén phóng thích có kiểm soát, uống</t>
  </si>
  <si>
    <t>Gracox 200mg</t>
  </si>
  <si>
    <t>VN-5077-10</t>
  </si>
  <si>
    <t>VN-8147-09</t>
  </si>
  <si>
    <t>Hỗn dịch uống, Uống</t>
  </si>
  <si>
    <t xml:space="preserve">Nhôm oxit+ Magie hydroxit+Simethicone </t>
  </si>
  <si>
    <t>0,3922g + 0,6g +0,06g Gói 10ml</t>
  </si>
  <si>
    <t>Hỗn dịch, Uống</t>
  </si>
  <si>
    <t>GRS-3021</t>
  </si>
  <si>
    <t xml:space="preserve">Griséofulvin </t>
  </si>
  <si>
    <t xml:space="preserve">Griseofukvin 500mg </t>
  </si>
  <si>
    <t>VD-10470-10</t>
  </si>
  <si>
    <t>Griseofulvin 5% 5gr</t>
  </si>
  <si>
    <t>gel, dùng ngoài</t>
  </si>
  <si>
    <t xml:space="preserve">Griseofulvin </t>
  </si>
  <si>
    <t>Griseofulvin 500 mg</t>
  </si>
  <si>
    <t>11002</t>
  </si>
  <si>
    <t>Việt nam</t>
  </si>
  <si>
    <t>5% 10 mg</t>
  </si>
  <si>
    <t xml:space="preserve">Norfloxacin </t>
  </si>
  <si>
    <t>Gyrablock 400mg</t>
  </si>
  <si>
    <t>VN-11186-10</t>
  </si>
  <si>
    <t>400 mg</t>
  </si>
  <si>
    <t>Hafenthyl 160mg</t>
  </si>
  <si>
    <t>0090712</t>
  </si>
  <si>
    <t>Hafenthyl 300mg</t>
  </si>
  <si>
    <t>VD-18106-13</t>
  </si>
  <si>
    <t>Hafenthyl Supra 160Mg</t>
  </si>
  <si>
    <t>VD-18106-12</t>
  </si>
  <si>
    <t>Hafenxin 250mg</t>
  </si>
  <si>
    <t>010912</t>
  </si>
  <si>
    <t xml:space="preserve">Ibuprofen </t>
  </si>
  <si>
    <t>Hagifen 400mg</t>
  </si>
  <si>
    <t>VD-11445-10</t>
  </si>
  <si>
    <t>Hagizin 5mg</t>
  </si>
  <si>
    <t>VD-17850-12</t>
  </si>
  <si>
    <t>viên nang cứng; uống</t>
  </si>
  <si>
    <t xml:space="preserve">Pantoprazol </t>
  </si>
  <si>
    <t>viên nén dài bao phim tan trong ruột, uống</t>
  </si>
  <si>
    <t>Hapacol 150 Flu 150/1mg</t>
  </si>
  <si>
    <t xml:space="preserve">Paracetamol+Codein </t>
  </si>
  <si>
    <t>Hapacol codein 500mg/30mg sủi</t>
  </si>
  <si>
    <t>360712</t>
  </si>
  <si>
    <t>500/30mg</t>
  </si>
  <si>
    <t>Hapacol codein sủi 500mg+30mg</t>
  </si>
  <si>
    <t>VD-6268-08</t>
  </si>
  <si>
    <t>viên nén sủi bọt; uống</t>
  </si>
  <si>
    <t xml:space="preserve">Ibuprofen+Paracetamol </t>
  </si>
  <si>
    <t>Hapacol đau nhức 200mg+325mg</t>
  </si>
  <si>
    <t>VD-14657-11</t>
  </si>
  <si>
    <t>Hasanbest 500/2,5mg</t>
  </si>
  <si>
    <t>VD-15927-11</t>
  </si>
  <si>
    <t>500mg+2,5mg</t>
  </si>
  <si>
    <t>Hasanbest 500/5mg</t>
  </si>
  <si>
    <t>VD-10791-10</t>
  </si>
  <si>
    <t>500mg+5mg</t>
  </si>
  <si>
    <t>Hasanbest 500mg/5mg</t>
  </si>
  <si>
    <t xml:space="preserve">Metformin +Glibenclamide </t>
  </si>
  <si>
    <t>0090913</t>
  </si>
  <si>
    <t>500/5mg</t>
  </si>
  <si>
    <t>Hasanflon 500mg</t>
  </si>
  <si>
    <t>VD-17236-12</t>
  </si>
  <si>
    <t>Hasanlor 5mg</t>
  </si>
  <si>
    <t>0040813</t>
  </si>
  <si>
    <t>Sắt (III)  + Acid folic</t>
  </si>
  <si>
    <t>Hemafolic 280/1mg x 10ml</t>
  </si>
  <si>
    <t>VD-12182-10</t>
  </si>
  <si>
    <t>Hộ Tâm Đơn chai/ 45 viên</t>
  </si>
  <si>
    <t>V69-H12-13</t>
  </si>
  <si>
    <t>720mg (t­¬ng øng 270mg cao kh«), 141mg, 8mg</t>
  </si>
  <si>
    <t>Xuyên khung+Tần giao+Bạch chỉ+Mạch môn+Băng phiến+Ngô phù du+Ngũ vị tử+Đương qui+Hồng sâm</t>
  </si>
  <si>
    <t>VN-5257-10</t>
  </si>
  <si>
    <t>48mg + 48mg + 48mg, 48mg + 32mg + 48mg + 32mg + 48mg + 1,6mg</t>
  </si>
  <si>
    <t>viên hoàn cứng, Uống</t>
  </si>
  <si>
    <t>Xuyên khung, Tần giao, Bạch chỉ Đương quy, Mạch môn, Hồng sâm, Ngô thù du, Ngũ vị tử Băng phiến.</t>
  </si>
  <si>
    <t>Hoa đà Thephaco</t>
  </si>
  <si>
    <t>V52 - H12 - 13, gia hạn đến 20/10/2016</t>
  </si>
  <si>
    <t>Hòai sơn, Sơn thù Mẫu đơn bì Thục địa, Phụ tử Trạch tả Phục linh, Quế</t>
  </si>
  <si>
    <t>Hoàn bát vị bổ thận dương</t>
  </si>
  <si>
    <t>72mg, 66mg, 48,75mg, 78,75mg, 16,5mg, 48,75mg, 48,75mg, 16,5mg.</t>
  </si>
  <si>
    <t>Thục địa, Đương quy, Bạch thược, Xuyên khung, Cao đặc ích mẫu, Cao đặc ngải cứu, Hương phụ chế</t>
  </si>
  <si>
    <t>Hoàn điều kinh bổ huyết</t>
  </si>
  <si>
    <t>VD-12718-10</t>
  </si>
  <si>
    <t>Thục địa
Hoài sơn
Sơn thù
Mẫu Đơn bì 
Trạch tả
Phục linh</t>
  </si>
  <si>
    <t>96mg, 48mg, 36mg, 36mg, 48mg, 36mg.</t>
  </si>
  <si>
    <t>Đảng sâm, Bạch linh, Bạch truật, Cam thảo, Xuyên khung, Đương quy, Thục địa, Bạch thược, Hoàng kỳ, Quế nhục</t>
  </si>
  <si>
    <t>0.32g, 0.32g, 0.32g, 0.08g, 0.16g, 0.48g, 0.32g, 0.16g, 0.48g, 0.32g</t>
  </si>
  <si>
    <t xml:space="preserve"> hoàn cứng, uống</t>
  </si>
  <si>
    <t>Sài đất, Kim ngân hoa, thổ phục linh, Thương nhĩ tử Bồ công anh, Sinh địa, Thảo quyết minh.</t>
  </si>
  <si>
    <t>Hoàn Tiêu Độc TW3</t>
  </si>
  <si>
    <t>V1369-H12-10</t>
  </si>
  <si>
    <t>1.2g, 1.2g, 1.2g, 0.88g, 0.8g, 0.72g, 0.36g</t>
  </si>
  <si>
    <t>Húng chanh+Núc nác+Cineol</t>
  </si>
  <si>
    <t>HoAstex 90ml</t>
  </si>
  <si>
    <t>45g, 11,25g, 0,08g.</t>
  </si>
  <si>
    <t>thuốc nước, uống</t>
  </si>
  <si>
    <t>Cao đinh lăng 150mg
Cao bạch quả 50mg</t>
  </si>
  <si>
    <t>VD-6785-09</t>
  </si>
  <si>
    <t>120mg, 60mg</t>
  </si>
  <si>
    <t>viên nang mềm, Uống</t>
  </si>
  <si>
    <t>Cao khô lá bạch quả, Đinh lăng khô</t>
  </si>
  <si>
    <t>V28-H12-13</t>
  </si>
  <si>
    <t xml:space="preserve">Hoạt huyết dưỡng não </t>
  </si>
  <si>
    <t>V1378 - H12 - 10</t>
  </si>
  <si>
    <t>150mg + 5mg</t>
  </si>
  <si>
    <t>Hoa hồng ,  hà thủ ô đỏ, bạch thược, đương quy, xuyên khung , ích mẫu, thục địa</t>
  </si>
  <si>
    <t>15g; 20g; 30g; 30g; 30g; 20g; 40g</t>
  </si>
  <si>
    <t xml:space="preserve">Hồng hoa, Hà thủ ô đỏ, Bạch thược, Đương quy, Xuyên khung, Ích mẫu, Thục địa </t>
  </si>
  <si>
    <t>Hoạt huyết thông mạch KH</t>
  </si>
  <si>
    <t>Aluminium hydroxyde + Magne hydroxyde</t>
  </si>
  <si>
    <t>Hull 400mg + 800,4mg</t>
  </si>
  <si>
    <t>VD-13653-10</t>
  </si>
  <si>
    <t>400mg +  800,4mg</t>
  </si>
  <si>
    <t>hỗn dịch, uống</t>
  </si>
  <si>
    <t>Bạch truật, Bạch linh, Đảng sâm, Bán hạ, Trần bì, Sa nhân, Mộc hương, Cam thảo, Gừng tươi</t>
  </si>
  <si>
    <t>V219-H12-13</t>
  </si>
  <si>
    <t>Hurmat 25mg</t>
  </si>
  <si>
    <t>VN-8236-09</t>
  </si>
  <si>
    <t>Cyrus</t>
  </si>
  <si>
    <t xml:space="preserve">Trimetazidine </t>
  </si>
  <si>
    <t>Hy thiêm, ngũ gia bì, bột mã tiền chế</t>
  </si>
  <si>
    <t>Hydan 500</t>
  </si>
  <si>
    <t>V193-H12-13</t>
  </si>
  <si>
    <t>500mg + 170mg + 22mg</t>
  </si>
  <si>
    <t>NaCl + NaHCO3 + KCl + Dextrose khan</t>
  </si>
  <si>
    <t>VD-11372-10</t>
  </si>
  <si>
    <t xml:space="preserve">0,35g +0,15g +0,25g +2g </t>
  </si>
  <si>
    <t xml:space="preserve">Prednisolon  acetat </t>
  </si>
  <si>
    <t>Hyoscin Butyl bromide Injection BP20mg/ml</t>
  </si>
  <si>
    <t>Dung dịch, tiêm</t>
  </si>
  <si>
    <t>I.P.Cyl Forte 300mg</t>
  </si>
  <si>
    <t>VN-17342-13</t>
  </si>
  <si>
    <t>VD-8165-09</t>
  </si>
  <si>
    <t>Ích mẫu+Hương phụ+Ngải cứu</t>
  </si>
  <si>
    <t>VD-10563-10</t>
  </si>
  <si>
    <t>Idarac 200mg</t>
  </si>
  <si>
    <t>Isosorbid mononitrat</t>
  </si>
  <si>
    <t xml:space="preserve">Imdur 30mg </t>
  </si>
  <si>
    <t>RAAD</t>
  </si>
  <si>
    <t>Pháp</t>
  </si>
  <si>
    <t>Imidu 60mg</t>
  </si>
  <si>
    <t>0030713</t>
  </si>
  <si>
    <t>Incepdazol 250mg</t>
  </si>
  <si>
    <t>Interfixim 100mg</t>
  </si>
  <si>
    <t>010413</t>
  </si>
  <si>
    <t xml:space="preserve">Irbesartan </t>
  </si>
  <si>
    <t>Irsatim 150mg</t>
  </si>
  <si>
    <t>VD-9320-09</t>
  </si>
  <si>
    <t xml:space="preserve">Isosorbid </t>
  </si>
  <si>
    <t>Mequitazin</t>
  </si>
  <si>
    <t>Itametazin 5mg</t>
  </si>
  <si>
    <t>VN-17222-13</t>
  </si>
  <si>
    <t>viên nén-Dạng uống</t>
  </si>
  <si>
    <t>430513</t>
  </si>
  <si>
    <t xml:space="preserve">Piracetam +Cinnarizin </t>
  </si>
  <si>
    <t>Kaflovo 500mg</t>
  </si>
  <si>
    <t>VN-14246-11</t>
  </si>
  <si>
    <t>Viên nén bao phim,uống</t>
  </si>
  <si>
    <t>1891213</t>
  </si>
  <si>
    <t xml:space="preserve">Levofloxacin </t>
  </si>
  <si>
    <t xml:space="preserve">Kali clorid </t>
  </si>
  <si>
    <t xml:space="preserve"> viên nang giải phóng chậm, uống</t>
  </si>
  <si>
    <t>Clarythromycin</t>
  </si>
  <si>
    <t>Kalecin 250mg</t>
  </si>
  <si>
    <t>12010XIFN</t>
  </si>
  <si>
    <t>VD-15279-11</t>
  </si>
  <si>
    <t>Viên nang-Uống</t>
  </si>
  <si>
    <t xml:space="preserve">Spiramycin +Metronidazol </t>
  </si>
  <si>
    <t>Kamydazol 0,75 MUI+ 125mg</t>
  </si>
  <si>
    <t>VD-13444-10</t>
  </si>
  <si>
    <t>0,75 MUI+ 125mg</t>
  </si>
  <si>
    <t xml:space="preserve">Alphachymotrypsine </t>
  </si>
  <si>
    <t xml:space="preserve">Alphachymotrypsin </t>
  </si>
  <si>
    <t>Katrypsin 21mcrk</t>
  </si>
  <si>
    <t>800 mg</t>
  </si>
  <si>
    <t xml:space="preserve">Ketamin HCl </t>
  </si>
  <si>
    <t>Ketamin HCl 50mg/10ml</t>
  </si>
  <si>
    <t>00163</t>
  </si>
  <si>
    <t xml:space="preserve">Ketotifen fumarate </t>
  </si>
  <si>
    <t>Ketolerg eye Drops</t>
  </si>
  <si>
    <t>VN-13335-11</t>
  </si>
  <si>
    <t>0,69mg/ml lọ 5ml</t>
  </si>
  <si>
    <t>DD, nhỏ mắt</t>
  </si>
  <si>
    <t>Hoài sơn 120mg, Sơn thù 120mg , Mẫu đơn bì 90mg, Thục địa 240mg, Trạch tả 90mg, Phục linh 90mg.</t>
  </si>
  <si>
    <t>Khang Minh lục vị nang</t>
  </si>
  <si>
    <t>V1364-H12-10</t>
  </si>
  <si>
    <t>120mg, 120mg, 90mg, 240mg, 90mg, 90mg.</t>
  </si>
  <si>
    <t xml:space="preserve">Xuyên khung
Thục địa 
Bạch thược
Đảng sâm
Bạch linh 
Bạch truật
Cam thảo
Đương quy </t>
  </si>
  <si>
    <t>Khanh Minh bát trân nang</t>
  </si>
  <si>
    <t>VD-21856-14</t>
  </si>
  <si>
    <t>Hy thiêm+Lá lốt+Ngưu tất+Thổ phục linh</t>
  </si>
  <si>
    <t>Khanh Minh Phong thấp nang</t>
  </si>
  <si>
    <t>V1317-H12-10</t>
  </si>
  <si>
    <t>Thục địa
Hoài sơn
Mẫu đơn bì 
Trạch tả 
Phục linh 
Sơn thù 
Phụ tử chế 
Quế nhục</t>
  </si>
  <si>
    <t>Kidneycap Bát vị - Bổ thận vương</t>
  </si>
  <si>
    <t>VD-20227-13</t>
  </si>
  <si>
    <t>Hộp 50 viên nang cứng, uống</t>
  </si>
  <si>
    <t xml:space="preserve">Toan táo nhân +Đương qui +Hoài sơn +Nhục thung dung+Kỷ tử+Ngũ vị tử +Ích trí nhân +Hổ phách+Thiên trúc hoàng+Long cốt+Tiết xương bồ +Thiên ma +Đan sâm+Nhân sâm +Trắc bách diệp </t>
  </si>
  <si>
    <t>VN-5597-10</t>
  </si>
  <si>
    <t>viên bao phim, Uống</t>
  </si>
  <si>
    <t>Kim Tiền Thảo MKP (Cao khô kim tiền thảo 120mg)</t>
  </si>
  <si>
    <t>Kim tiền thảo MKP</t>
  </si>
  <si>
    <t>VD-20317-13</t>
  </si>
  <si>
    <t>Kipel 10mg</t>
  </si>
  <si>
    <t>VN-11964-11</t>
  </si>
  <si>
    <t>Viên nén bao phim-Uống</t>
  </si>
  <si>
    <t>Klamentine 1gr</t>
  </si>
  <si>
    <t>VD-07061-12</t>
  </si>
  <si>
    <t>Koact 625mg</t>
  </si>
  <si>
    <t>VN-18496-14</t>
  </si>
  <si>
    <t xml:space="preserve">Hydrocortison </t>
  </si>
  <si>
    <t xml:space="preserve">Bột pha tiêm - dạng tiêm </t>
  </si>
  <si>
    <t>Kupmebamol 500mg</t>
  </si>
  <si>
    <t xml:space="preserve">Methocarbamol </t>
  </si>
  <si>
    <t>VD-10799-10</t>
  </si>
  <si>
    <t>Pancreatin+Simethicon</t>
  </si>
  <si>
    <t>Kyungdongastren 170mg+84.433m.</t>
  </si>
  <si>
    <t>VN-5614-11</t>
  </si>
  <si>
    <t xml:space="preserve">Korea </t>
  </si>
  <si>
    <t>170mg+84.433mg</t>
  </si>
  <si>
    <t>Labavie 2,6mg+ 0,7mg</t>
  </si>
  <si>
    <t>2,6mg+ 0,7mg</t>
  </si>
  <si>
    <t xml:space="preserve">Lansoprazole </t>
  </si>
  <si>
    <t>Lansoprazol Stada 30mg</t>
  </si>
  <si>
    <t>VD-21532-14</t>
  </si>
  <si>
    <t xml:space="preserve">Lansoprazol </t>
  </si>
  <si>
    <t>Lanzadon 30mg</t>
  </si>
  <si>
    <t>24/08/2013</t>
  </si>
  <si>
    <t>VD-16188-12</t>
  </si>
  <si>
    <t xml:space="preserve">Ginkgo biloba </t>
  </si>
  <si>
    <t>Levical Soft 80mg</t>
  </si>
  <si>
    <t>VD-11783-10</t>
  </si>
  <si>
    <t>Levoquin 500mg</t>
  </si>
  <si>
    <t>VD-12524-10</t>
  </si>
  <si>
    <t>Lidocaine  spray</t>
  </si>
  <si>
    <t>Lidocain 10%</t>
  </si>
  <si>
    <t>VN-9201-09</t>
  </si>
  <si>
    <t>10%</t>
  </si>
  <si>
    <t>khí dung</t>
  </si>
  <si>
    <t>Lidocain 2% 40mg/2ml</t>
  </si>
  <si>
    <t>VD - 20496 - 14</t>
  </si>
  <si>
    <t>dd thuốc tiêm</t>
  </si>
  <si>
    <t xml:space="preserve">Lidocain </t>
  </si>
  <si>
    <t xml:space="preserve">Lidocain Kabi 2% </t>
  </si>
  <si>
    <t>86GCA034</t>
  </si>
  <si>
    <t>Lidocain Kabi 2% 2ml</t>
  </si>
  <si>
    <t>VD-18043-12</t>
  </si>
  <si>
    <t>2% 2ml</t>
  </si>
  <si>
    <t xml:space="preserve">Limitral 2.5mg </t>
  </si>
  <si>
    <t>060213</t>
  </si>
  <si>
    <t>Linh chi, Đương quy.</t>
  </si>
  <si>
    <t>V716-H12-10, VD-23289-15</t>
  </si>
  <si>
    <t>0.5g, 0.3g</t>
  </si>
  <si>
    <t>Lipidcare 200mg</t>
  </si>
  <si>
    <t>VD-16158-11</t>
  </si>
  <si>
    <t>Fenofibrate 300mg</t>
  </si>
  <si>
    <t>Lipidcare 300mg</t>
  </si>
  <si>
    <t>VD-19792-13</t>
  </si>
  <si>
    <t>Lipotatin 10mg</t>
  </si>
  <si>
    <t>1213</t>
  </si>
  <si>
    <t>VD-11347-10</t>
  </si>
  <si>
    <t>Lipotatin 20mg</t>
  </si>
  <si>
    <t>VD-7796-09</t>
  </si>
  <si>
    <t>Amlodipin + Lisinopril</t>
  </si>
  <si>
    <t>Lisonorm 5/10mg</t>
  </si>
  <si>
    <t>Hungay</t>
  </si>
  <si>
    <t>5mg+10mg</t>
  </si>
  <si>
    <t xml:space="preserve">Lansoprazole +Domperidone </t>
  </si>
  <si>
    <t>Lomerate 30/10mg</t>
  </si>
  <si>
    <t>VD-18823-13</t>
  </si>
  <si>
    <t>30mg + 10mg</t>
  </si>
  <si>
    <t>Viên - uống</t>
  </si>
  <si>
    <t xml:space="preserve">Loperamid </t>
  </si>
  <si>
    <t>180213</t>
  </si>
  <si>
    <t>Lordivas 5mg</t>
  </si>
  <si>
    <t>VD-18529-13</t>
  </si>
  <si>
    <t xml:space="preserve">Losartan </t>
  </si>
  <si>
    <t>Losamark 25mg</t>
  </si>
  <si>
    <t>VN-11175-10</t>
  </si>
  <si>
    <t>Losamark 50mg</t>
  </si>
  <si>
    <t>VN-11176-10</t>
  </si>
  <si>
    <t>VD-16522-12</t>
  </si>
  <si>
    <t xml:space="preserve">Losartan  </t>
  </si>
  <si>
    <t xml:space="preserve">25mg  </t>
  </si>
  <si>
    <t>VD-21259-14</t>
  </si>
  <si>
    <t>Enoxaparin</t>
  </si>
  <si>
    <t>Lovenox 60mg/0,6ml</t>
  </si>
  <si>
    <t xml:space="preserve">VN-10556-10 </t>
  </si>
  <si>
    <t>60mg (6000 anti-Xa IU/0,6ml)</t>
  </si>
  <si>
    <t>Dung dịch thuốc tiêm, Tiêm</t>
  </si>
  <si>
    <t>Loxfen 60mg</t>
  </si>
  <si>
    <t>Loxfen Tab 60mg</t>
  </si>
  <si>
    <t>VD-9082-09</t>
  </si>
  <si>
    <t xml:space="preserve">Lysozym </t>
  </si>
  <si>
    <t>Lysozyme 90mg</t>
  </si>
  <si>
    <t>1741013</t>
  </si>
  <si>
    <t>Nifedipin (LA)</t>
  </si>
  <si>
    <t xml:space="preserve">Magne sulfat </t>
  </si>
  <si>
    <t xml:space="preserve">Magne sulfat 15%/10ml </t>
  </si>
  <si>
    <t>86EMA001</t>
  </si>
  <si>
    <t xml:space="preserve">Magnesium lactate+ Vitamin B6 </t>
  </si>
  <si>
    <t>Magnesi B6</t>
  </si>
  <si>
    <t>161013</t>
  </si>
  <si>
    <t>470mg+5mg</t>
  </si>
  <si>
    <t>Magnesi+Vitamin B6</t>
  </si>
  <si>
    <t>Magnesi-B6 470/5mg</t>
  </si>
  <si>
    <t>VD-18967-13</t>
  </si>
  <si>
    <t xml:space="preserve">Magnesi (lactat) + Vitamin B6 </t>
  </si>
  <si>
    <t>Magnesium - B6 470mg + 5mg</t>
  </si>
  <si>
    <t>VD-16231-12</t>
  </si>
  <si>
    <t>Magnesium - B6 5/470mg</t>
  </si>
  <si>
    <t>5mg
+ 470mg</t>
  </si>
  <si>
    <t xml:space="preserve">Magne sulfate </t>
  </si>
  <si>
    <t>Magnesium Sulphate 0,15g/ml 10ml</t>
  </si>
  <si>
    <t>8822/QLD-KD</t>
  </si>
  <si>
    <t>Dung dịch tiêm,Tiêm truyền</t>
  </si>
  <si>
    <t xml:space="preserve">Manitol </t>
  </si>
  <si>
    <t>Mannitol 20% 250ml</t>
  </si>
  <si>
    <t>VD-8937-09</t>
  </si>
  <si>
    <t>Mã tiền chế Ma hoàng, Tằm vôi, Nhũ hương, Một dược, Ngưu tất, Cam thảo, Thương truật</t>
  </si>
  <si>
    <t>V1431-H12-10</t>
  </si>
  <si>
    <t>50mg, 11.5mg, 11.5mg, 11.5mg, 11.5mg, 11.5mg, 11.5mg, 11.5mg</t>
  </si>
  <si>
    <t>Marcaine Spinal 5mg/ml, 4ml</t>
  </si>
  <si>
    <t>VN-10738-10</t>
  </si>
  <si>
    <t>5mg/ml, 4ml</t>
  </si>
  <si>
    <t>Dung dịch, tiêm tủy sống</t>
  </si>
  <si>
    <t>Lactobacillus acidophilus + KÏm gluconat +</t>
  </si>
  <si>
    <t>Masozym-Zn 21mg + 10(8) CFU</t>
  </si>
  <si>
    <t>QLSP-837-15</t>
  </si>
  <si>
    <t>21mg + 10(8) CFU</t>
  </si>
  <si>
    <t>Long đởm thảo+Sài hồ+Nhân trần+Kim ngân hoa+Hoàng cầm+Sinh địa+Trạch tả+9Chi tử+Đương quy+Xa tiền tử+Cam thảo</t>
  </si>
  <si>
    <t>VD-0823-06</t>
  </si>
  <si>
    <t>Long đởm, Sài hồ Nhân trần, Kim ngân hoa, Hoàng cầm, Sinh địa, Trạch tả Chi tử Đương qui, Xa tiền tử Cam thảo.</t>
  </si>
  <si>
    <t xml:space="preserve">Alendronate </t>
  </si>
  <si>
    <t>Maxlen 70mg</t>
  </si>
  <si>
    <t>VD-11341-10</t>
  </si>
  <si>
    <t>Viên nén-Uống</t>
  </si>
  <si>
    <t>Mcefix-B.E 75mg</t>
  </si>
  <si>
    <t>VD-17710-12</t>
  </si>
  <si>
    <t>Mebaal 1500mcg</t>
  </si>
  <si>
    <t>VN-11195-10</t>
  </si>
  <si>
    <t>13005FN</t>
  </si>
  <si>
    <t xml:space="preserve">Mebendazol </t>
  </si>
  <si>
    <t xml:space="preserve">Nabumeton </t>
  </si>
  <si>
    <t>VD- 20234-13</t>
  </si>
  <si>
    <t>Mecefix - B.E 150mg</t>
  </si>
  <si>
    <t>VD-8880-09</t>
  </si>
  <si>
    <t>Mecefix - B.E 200mg</t>
  </si>
  <si>
    <t>VD-17711-12</t>
  </si>
  <si>
    <t>Mecefix - B.E 50mg</t>
  </si>
  <si>
    <t>75 mg</t>
  </si>
  <si>
    <t>Cốm pha hỗn dịch,Uống</t>
  </si>
  <si>
    <t>VD-17709-12</t>
  </si>
  <si>
    <t xml:space="preserve"> 75mg</t>
  </si>
  <si>
    <t>Cốm pha hỗn dịch, Uống</t>
  </si>
  <si>
    <t>Meceta 350mg</t>
  </si>
  <si>
    <t>0051212</t>
  </si>
  <si>
    <t>350mg</t>
  </si>
  <si>
    <t>Meceta 700mg</t>
  </si>
  <si>
    <t>0020113</t>
  </si>
  <si>
    <t>Metronidazol+Clotrimazol</t>
  </si>
  <si>
    <t>Meclon 500mg+100mg</t>
  </si>
  <si>
    <t>VD-15097-11</t>
  </si>
  <si>
    <t>Italia</t>
  </si>
  <si>
    <t>Viên, Đặt âm đạo</t>
  </si>
  <si>
    <t>Mecob-500mcg</t>
  </si>
  <si>
    <t>VD-15279-12</t>
  </si>
  <si>
    <t xml:space="preserve">Mecotran 500mcg/1ml </t>
  </si>
  <si>
    <t>N01402</t>
  </si>
  <si>
    <t>500mcg/ml</t>
  </si>
  <si>
    <t>Medbose 100mg</t>
  </si>
  <si>
    <t>VD-12190-10</t>
  </si>
  <si>
    <t>VN-9858-10</t>
  </si>
  <si>
    <t>Medbose 50mg</t>
  </si>
  <si>
    <t>VD-11486-10</t>
  </si>
  <si>
    <t>Medicaine 1.8ml</t>
  </si>
  <si>
    <t>VN-11994-11</t>
  </si>
  <si>
    <t>2% 1,8ml</t>
  </si>
  <si>
    <t>DD tiêm</t>
  </si>
  <si>
    <t>Medo Alpha 21</t>
  </si>
  <si>
    <t>520813</t>
  </si>
  <si>
    <t>21mcrk</t>
  </si>
  <si>
    <t xml:space="preserve">Tranexamic acid </t>
  </si>
  <si>
    <t>Medsamic 250mg/ 5ml</t>
  </si>
  <si>
    <t>250mg/ 5ml</t>
  </si>
  <si>
    <t>Medsidin 125 mg</t>
  </si>
  <si>
    <t>1303006</t>
  </si>
  <si>
    <t xml:space="preserve">Acyclovir </t>
  </si>
  <si>
    <t xml:space="preserve">Medskin Acyclovir 800mg </t>
  </si>
  <si>
    <t>VD-18200-13</t>
  </si>
  <si>
    <t>viên nén. Uống</t>
  </si>
  <si>
    <t>Medsolu 4mg</t>
  </si>
  <si>
    <t>VD-21349-14</t>
  </si>
  <si>
    <t xml:space="preserve">Vitamin B1 + Vitamin B6 + Vitamin B12 </t>
  </si>
  <si>
    <t>Medtrivit-B</t>
  </si>
  <si>
    <t>VD-16693-12</t>
  </si>
  <si>
    <t xml:space="preserve">Chloramphenicol +Metronidazole +Dexamethasone acetate +Nystatin </t>
  </si>
  <si>
    <t>Megyna</t>
  </si>
  <si>
    <t>VD-16496-12</t>
  </si>
  <si>
    <t>80mg + 200mg + 0.5mg +100000 IU</t>
  </si>
  <si>
    <t xml:space="preserve"> viên nén đặt âm đạo</t>
  </si>
  <si>
    <t>11016GN</t>
  </si>
  <si>
    <t>Mekofenac 50mg</t>
  </si>
  <si>
    <t>VD-15028-11</t>
  </si>
  <si>
    <t xml:space="preserve">Sắt fumarat + acid folic </t>
  </si>
  <si>
    <t>Mekoferrat-B9</t>
  </si>
  <si>
    <t>13007JN</t>
  </si>
  <si>
    <t>200mg+1mg</t>
  </si>
  <si>
    <t xml:space="preserve">Tyrothricin + Tetracain </t>
  </si>
  <si>
    <t>Mekotyrossin 1mg+0,1mg</t>
  </si>
  <si>
    <t>VD-9678-09</t>
  </si>
  <si>
    <t>1mg + 0,1mg</t>
  </si>
  <si>
    <t>viên ngậm, ngậm</t>
  </si>
  <si>
    <t>Meloxicam 15mg</t>
  </si>
  <si>
    <t xml:space="preserve">Meloxicam </t>
  </si>
  <si>
    <t>VD-10568-10</t>
  </si>
  <si>
    <t>VD-16392-12</t>
  </si>
  <si>
    <t>7.5mg</t>
  </si>
  <si>
    <t>Meloxicam 7.5mg</t>
  </si>
  <si>
    <t>2061113</t>
  </si>
  <si>
    <t>Melstar 15mg</t>
  </si>
  <si>
    <t>VN-11915-11</t>
  </si>
  <si>
    <t>Melstar 7,5mg</t>
  </si>
  <si>
    <t>VN-11916-11</t>
  </si>
  <si>
    <t>Mephenesin 500mg</t>
  </si>
  <si>
    <t>VD-17074-12</t>
  </si>
  <si>
    <t>Mepoly (35mg+100.000UI+10mg) x 10ml</t>
  </si>
  <si>
    <t>35mg + 100.000UI + 10mg/10ml</t>
  </si>
  <si>
    <t>dung dich, nhỏ mắt</t>
  </si>
  <si>
    <t xml:space="preserve">Bacillus subtilis + Lactobacillus acidophilus </t>
  </si>
  <si>
    <t xml:space="preserve"> 10 (8) +  5* 10(8)</t>
  </si>
  <si>
    <t>Bột, Uống</t>
  </si>
  <si>
    <t>Metformin 500mg</t>
  </si>
  <si>
    <t>VD-11219-10</t>
  </si>
  <si>
    <t>1411013</t>
  </si>
  <si>
    <t>Metformin Denk 1000mg</t>
  </si>
  <si>
    <t>VN-18292-14</t>
  </si>
  <si>
    <t>Metformin Savi 500mg</t>
  </si>
  <si>
    <t>VD-8739-09</t>
  </si>
  <si>
    <t>VD-13784-11</t>
  </si>
  <si>
    <t xml:space="preserve">Methionin </t>
  </si>
  <si>
    <t>VD-17374-12</t>
  </si>
  <si>
    <t>41081013</t>
  </si>
  <si>
    <t xml:space="preserve">Methyl Ergometrin </t>
  </si>
  <si>
    <t>Methyl Ergometrin 0,2mg</t>
  </si>
  <si>
    <t>20727</t>
  </si>
  <si>
    <t>0.2mg/ml</t>
  </si>
  <si>
    <t>18718/QLD-KD</t>
  </si>
  <si>
    <t xml:space="preserve">Methyldopa </t>
  </si>
  <si>
    <t>16492/QLD-KD</t>
  </si>
  <si>
    <t>viên nén uống</t>
  </si>
  <si>
    <t>Metoclopramid Kabi 10mg/2ml</t>
  </si>
  <si>
    <t>viên nén, uống</t>
  </si>
  <si>
    <t>1013</t>
  </si>
  <si>
    <t>Metronidazole 500mg/100ml</t>
  </si>
  <si>
    <t>Meyeramic 250mg</t>
  </si>
  <si>
    <t>VD-19161-13</t>
  </si>
  <si>
    <t>Viên nang/uống</t>
  </si>
  <si>
    <t>Meyersucral</t>
  </si>
  <si>
    <t>0010</t>
  </si>
  <si>
    <t>3gr</t>
  </si>
  <si>
    <t>Meyerverin 2mg</t>
  </si>
  <si>
    <t>VD-24505-16</t>
  </si>
  <si>
    <t xml:space="preserve">Loxoprofen </t>
  </si>
  <si>
    <t>Mezafen 60mg</t>
  </si>
  <si>
    <t>VD-19878-13</t>
  </si>
  <si>
    <t>Mezavitin 20/40mg</t>
  </si>
  <si>
    <t xml:space="preserve">Telmisartan +Hydrochlorothiazide </t>
  </si>
  <si>
    <t>Mibetel Plus 40mg + 12,5mg</t>
  </si>
  <si>
    <t>Mibeviru 800mg</t>
  </si>
  <si>
    <t>0310813</t>
  </si>
  <si>
    <t>Micardis Plus 40mg + 12,5mg</t>
  </si>
  <si>
    <t>Midagentin 250/31,25mg</t>
  </si>
  <si>
    <t>Midanir 300mg</t>
  </si>
  <si>
    <t>VD-9448-09</t>
  </si>
  <si>
    <t>Midantin 500/62,5mg</t>
  </si>
  <si>
    <t>VN-15828-12</t>
  </si>
  <si>
    <t>Lá sen, Lá vông, Lạc tiên, Bình vôi, Trinh nữ</t>
  </si>
  <si>
    <t>180mg, 600mg, 600mg, 150mg, 638mg.</t>
  </si>
  <si>
    <t>Miowan 10mg</t>
  </si>
  <si>
    <t>VN-16688-13</t>
  </si>
  <si>
    <t>Mitux E 100mg</t>
  </si>
  <si>
    <t>VD-9271-09</t>
  </si>
  <si>
    <t>thuốc bột; uống</t>
  </si>
  <si>
    <t xml:space="preserve">Insulin (30/70) </t>
  </si>
  <si>
    <t xml:space="preserve">Mixtard 30 </t>
  </si>
  <si>
    <t>Mixtard 30 Flexpen</t>
  </si>
  <si>
    <t>VN-11010-10</t>
  </si>
  <si>
    <t>100IU x 3ml</t>
  </si>
  <si>
    <t>Insulin trén (M)  30/70</t>
  </si>
  <si>
    <t>Mixtard 30 Flexpen 100IU/ml x 3ml</t>
  </si>
  <si>
    <t>VN-11010-10; QLSP-927-16</t>
  </si>
  <si>
    <t>100IU/ml</t>
  </si>
  <si>
    <t xml:space="preserve">Lansoprazole + Domperidone </t>
  </si>
  <si>
    <t>Molingas 30mg + 10mg</t>
  </si>
  <si>
    <t>VD-18259-13</t>
  </si>
  <si>
    <t>Montelukast-Teva 10mg</t>
  </si>
  <si>
    <t>Morphin hydroclorid</t>
  </si>
  <si>
    <t>Morphin 0.01g/1ml</t>
  </si>
  <si>
    <t>VD-10474-10</t>
  </si>
  <si>
    <t>0.01g/1ml</t>
  </si>
  <si>
    <t xml:space="preserve">dung dịch, Tiêm  </t>
  </si>
  <si>
    <t>500mg/ 10ml</t>
  </si>
  <si>
    <t>Mutecium - M 1mg/ml 30ml</t>
  </si>
  <si>
    <t>VD-13054-10</t>
  </si>
  <si>
    <t xml:space="preserve">Ketoconazol cream </t>
  </si>
  <si>
    <t>VD-16016-11</t>
  </si>
  <si>
    <t>Tub</t>
  </si>
  <si>
    <t xml:space="preserve">Mephenesin </t>
  </si>
  <si>
    <t>Myolaxyl 250mg</t>
  </si>
  <si>
    <t>VD-8419-09</t>
  </si>
  <si>
    <t>Nacardio Plus 150/12,5mg</t>
  </si>
  <si>
    <t>Viên nén bao phim,Uống</t>
  </si>
  <si>
    <t>Nacardio Plus 150mg + 12,5mg</t>
  </si>
  <si>
    <t xml:space="preserve">Naloxon </t>
  </si>
  <si>
    <t xml:space="preserve">Naloxone-hameln 0.4mg/ml </t>
  </si>
  <si>
    <t>VN-17327-13 (VN-7008-08)</t>
  </si>
  <si>
    <t>0,4mg/1ml</t>
  </si>
  <si>
    <t>Nalsarac 37,5/325mg</t>
  </si>
  <si>
    <t>Alpha Amyla + Papaine + Simethicon</t>
  </si>
  <si>
    <t>Napepsin</t>
  </si>
  <si>
    <t>VN-13447-11</t>
  </si>
  <si>
    <t>100mg + 100mg + 30mg</t>
  </si>
  <si>
    <t>viên nang cứng</t>
  </si>
  <si>
    <t>NaCl (dùng ngoài)</t>
  </si>
  <si>
    <t>VD-15359-11</t>
  </si>
  <si>
    <t xml:space="preserve"> dung dịch dùng ngoài</t>
  </si>
  <si>
    <t>Natri Clorid</t>
  </si>
  <si>
    <t>Natri Clorid 0,9% 500ml dùng ngoài</t>
  </si>
  <si>
    <t>399136</t>
  </si>
  <si>
    <t>dung dịch, dùng ngoài</t>
  </si>
  <si>
    <t>Natri clorid 0,9% x 10ml</t>
  </si>
  <si>
    <t xml:space="preserve"> dung dịch nhỏ mắt, mũi</t>
  </si>
  <si>
    <t>Natri Clorid F.T 0,9% 10ml</t>
  </si>
  <si>
    <t>VD-20417-14</t>
  </si>
  <si>
    <t xml:space="preserve">NaCl </t>
  </si>
  <si>
    <t>Natriclorid 0.9% 100ml</t>
  </si>
  <si>
    <t xml:space="preserve">Nebivolol </t>
  </si>
  <si>
    <t>VN-9949-10</t>
  </si>
  <si>
    <t>Nenvofam 20mg</t>
  </si>
  <si>
    <t>VN-5217-10</t>
  </si>
  <si>
    <t>Thổ Nhĩ Kỳ</t>
  </si>
  <si>
    <t>Neocin 0,5%</t>
  </si>
  <si>
    <t>VN-7869-09</t>
  </si>
  <si>
    <t>Viên nén bao, uống</t>
  </si>
  <si>
    <t xml:space="preserve">Nystatin +Metronidazol +Neomycin </t>
  </si>
  <si>
    <t>Neo-Gynotab</t>
  </si>
  <si>
    <t>VD-12250-10</t>
  </si>
  <si>
    <t>500mg +65.000IU +100.000IU</t>
  </si>
  <si>
    <t>Viên đặt phụ khoa</t>
  </si>
  <si>
    <t xml:space="preserve">Nystatin +Metronidazol + Neomycin </t>
  </si>
  <si>
    <t>Neo-Gynoternan (Viên đặt PK)</t>
  </si>
  <si>
    <t>13002FN</t>
  </si>
  <si>
    <t>400mg, 600mg, 600mg</t>
  </si>
  <si>
    <t>Viên, đặt âm đạo</t>
  </si>
  <si>
    <t>Neostyl 100.000UI +500mg +65.000 IU</t>
  </si>
  <si>
    <t>VD-22298-15</t>
  </si>
  <si>
    <t>100.000UI +500mg +65.000 IU</t>
  </si>
  <si>
    <t xml:space="preserve">Trimetazidine MR </t>
  </si>
  <si>
    <t>VD-12201-10</t>
  </si>
  <si>
    <t>Nepotel 200mg</t>
  </si>
  <si>
    <t>VN-12955-11</t>
  </si>
  <si>
    <t>791013</t>
  </si>
  <si>
    <t>Nalidixic acide</t>
  </si>
  <si>
    <t xml:space="preserve">Nalidixic acide </t>
  </si>
  <si>
    <t>Neurocetam 800mg</t>
  </si>
  <si>
    <t>VN-11208-10</t>
  </si>
  <si>
    <t>Neurohadin Hadine 300mg</t>
  </si>
  <si>
    <t>VD-13268-10</t>
  </si>
  <si>
    <t>Neuropyl 1gr 5ml</t>
  </si>
  <si>
    <t>VD-15690-11</t>
  </si>
  <si>
    <t xml:space="preserve">1g </t>
  </si>
  <si>
    <t>Neuropyl 400mg</t>
  </si>
  <si>
    <t>VD-10929-10</t>
  </si>
  <si>
    <t>viên nang , uống</t>
  </si>
  <si>
    <t>Neuropyl 800mg</t>
  </si>
  <si>
    <t>VD-15970-11</t>
  </si>
  <si>
    <t xml:space="preserve">Esomeprazole </t>
  </si>
  <si>
    <t xml:space="preserve">Nexium 40mg </t>
  </si>
  <si>
    <t>Bột pha dung dịch tiêm(IV)</t>
  </si>
  <si>
    <t>Kim ngân hoa, Liên kiều, Cát cánh, Bạc hà Đạm trúc diệp, Cam thảo,Kinh giới, Ngưu bàng tử Đạm đậu sị.</t>
  </si>
  <si>
    <t>Actiso, sài đất, Thương nhĩ tử, Kim ngân, hạ khô thảo</t>
  </si>
  <si>
    <t>Ngân kiều giải độc chai/40 viên</t>
  </si>
  <si>
    <t>VN-15747-13</t>
  </si>
  <si>
    <t>Dầu hồng hoa tinh chế+Vitamin E+Vitamin B6+Borneol</t>
  </si>
  <si>
    <t>Ngũ phúc tâm não thanh</t>
  </si>
  <si>
    <t>VN-5258-10</t>
  </si>
  <si>
    <t>390mg, 17mg, 5mg, 3mg</t>
  </si>
  <si>
    <t>Nicardipine 10mg/10ml</t>
  </si>
  <si>
    <t>VN-5465-10</t>
  </si>
  <si>
    <t>Nifedipin  10mg</t>
  </si>
  <si>
    <t>VD15074-11</t>
  </si>
  <si>
    <t xml:space="preserve">10mg </t>
  </si>
  <si>
    <t>Nifedipin 20mg Retard Stada</t>
  </si>
  <si>
    <t>080510</t>
  </si>
  <si>
    <t>Nifedipin Hasan 20mg Retard</t>
  </si>
  <si>
    <t>viên nén bao phim tác dụng kéo dài, uống</t>
  </si>
  <si>
    <t>Nifedipin Stada retard 20mg</t>
  </si>
  <si>
    <t xml:space="preserve">Nifehexal 30 LA </t>
  </si>
  <si>
    <t>VN-9688-10</t>
  </si>
  <si>
    <t xml:space="preserve">Nifehexal Retard </t>
  </si>
  <si>
    <t>VN-12499-11</t>
  </si>
  <si>
    <t>Nilitis 750mg</t>
  </si>
  <si>
    <t>VN-5435-10</t>
  </si>
  <si>
    <t>Nimemax 100mg</t>
  </si>
  <si>
    <t>VD-10878-10</t>
  </si>
  <si>
    <t>Nefopam</t>
  </si>
  <si>
    <t>VD-16690-12</t>
  </si>
  <si>
    <t>1781213</t>
  </si>
  <si>
    <t>Glyceryl trinitrat
(Nitroglycerin)</t>
  </si>
  <si>
    <t>Nootropil 1g/5ml</t>
  </si>
  <si>
    <t>VN-9424-09</t>
  </si>
  <si>
    <t>1g/5ml</t>
  </si>
  <si>
    <t>Dung dịch Tiêm hoặc truyền tĩnh mạch (IV)</t>
  </si>
  <si>
    <t>Nootropil 3g/15ml</t>
  </si>
  <si>
    <t>VN-8945-09</t>
  </si>
  <si>
    <t>3g/15ml</t>
  </si>
  <si>
    <t>Notired</t>
  </si>
  <si>
    <t>VD-7348-09</t>
  </si>
  <si>
    <t>Novamet 500mg 100ml</t>
  </si>
  <si>
    <t xml:space="preserve">Spiramycin+Metronidazol </t>
  </si>
  <si>
    <t>Novogyl 0,75M UI+125mg</t>
  </si>
  <si>
    <t>VD-14497-11</t>
  </si>
  <si>
    <t xml:space="preserve">Nước cất pha tiêm </t>
  </si>
  <si>
    <t>VD-16600-12</t>
  </si>
  <si>
    <t>việt nam</t>
  </si>
  <si>
    <t>dung dịch pha tiêm</t>
  </si>
  <si>
    <t>203131</t>
  </si>
  <si>
    <t>Nước cất tiêm 5ml</t>
  </si>
  <si>
    <t>VD-15083-11</t>
  </si>
  <si>
    <t xml:space="preserve">Sắt nguyên tố + lysine HCl + vit A + vit D +vit B1 + vit B2  + vit B3 + vit B6 +vit B12 + Ca glycerophosphat +  Magnesi gluconat </t>
  </si>
  <si>
    <t>Nutroplex</t>
  </si>
  <si>
    <t>VD-12075-10</t>
  </si>
  <si>
    <t>2.500USP + 200USP + 10mg + 1,25mg +  12,5mg + 5mg + 50mcg + 15mg +  12,5mg + 4mg + 12,5mg/5ml</t>
  </si>
  <si>
    <t xml:space="preserve">Nystatin   </t>
  </si>
  <si>
    <t>NYST thuốc rơ miệng 25000UI</t>
  </si>
  <si>
    <t>VD-16027-11</t>
  </si>
  <si>
    <t xml:space="preserve"> bột, rơ miệng</t>
  </si>
  <si>
    <t xml:space="preserve">Nystatin </t>
  </si>
  <si>
    <t>Nystatin 100.000 UI</t>
  </si>
  <si>
    <t>100000 UI</t>
  </si>
  <si>
    <t>Viên nén ; đặt âm đạo</t>
  </si>
  <si>
    <t>Nystatin 100.000UI</t>
  </si>
  <si>
    <t>Nystatin 100.000UI (viên đặt PK)</t>
  </si>
  <si>
    <t>002132</t>
  </si>
  <si>
    <t>100000UI</t>
  </si>
  <si>
    <t>Nystatin 25.000IU</t>
  </si>
  <si>
    <t>bột rà miệng</t>
  </si>
  <si>
    <t>500000UI</t>
  </si>
  <si>
    <t>VD-12416-10</t>
  </si>
  <si>
    <t xml:space="preserve">Ofloxacine </t>
  </si>
  <si>
    <t>VD-15528-11</t>
  </si>
  <si>
    <t>Olesom 100ml</t>
  </si>
  <si>
    <t>VN-14057-11</t>
  </si>
  <si>
    <t>(30mg/5ml) x 100ml</t>
  </si>
  <si>
    <t>Hộp 1 chai 100ml siro uống</t>
  </si>
  <si>
    <t xml:space="preserve">Hộp/lọ, Bột pha tiêm, Tiêm </t>
  </si>
  <si>
    <t>Omicap D 20/10mg</t>
  </si>
  <si>
    <t>VN-11209-10</t>
  </si>
  <si>
    <t>Omidop 20mg+10mg</t>
  </si>
  <si>
    <t>VN-17821-14</t>
  </si>
  <si>
    <t>Oralme 20mg</t>
  </si>
  <si>
    <t>207N3</t>
  </si>
  <si>
    <t>Gói bột, uống</t>
  </si>
  <si>
    <t xml:space="preserve">Lynestrenol </t>
  </si>
  <si>
    <t>Orgametril  5mg 30's</t>
  </si>
  <si>
    <t>VN-15548-12</t>
  </si>
  <si>
    <t xml:space="preserve">Calci glycerophosphat+Magnesi gluconat </t>
  </si>
  <si>
    <t>Origluta</t>
  </si>
  <si>
    <t>03</t>
  </si>
  <si>
    <t>Orkan 0,25mcg</t>
  </si>
  <si>
    <t>E117131</t>
  </si>
  <si>
    <t>Oresol (natri clorid + kali clorid + natri citrat+ natri bicarbonat+ glucose)</t>
  </si>
  <si>
    <t>ORS</t>
  </si>
  <si>
    <t>5113031</t>
  </si>
  <si>
    <t>245gr</t>
  </si>
  <si>
    <t>Osmofundin 20% Ep 250ml</t>
  </si>
  <si>
    <t>VN-15548-13</t>
  </si>
  <si>
    <t>Dung dịch truyền tĩnh mạch, tiêm truyền</t>
  </si>
  <si>
    <t>Otibone 1000mg</t>
  </si>
  <si>
    <t>VD-20178-13</t>
  </si>
  <si>
    <t>thuốc bột uống</t>
  </si>
  <si>
    <t>H2O2</t>
  </si>
  <si>
    <t>Oxy gìa</t>
  </si>
  <si>
    <t>13074</t>
  </si>
  <si>
    <t>30đv</t>
  </si>
  <si>
    <t xml:space="preserve">Oxytocin </t>
  </si>
  <si>
    <t>Oxytocin 5UI inj</t>
  </si>
  <si>
    <t>20413</t>
  </si>
  <si>
    <t>5UI/2ml</t>
  </si>
  <si>
    <t>Oxytocin 5UI/ml</t>
  </si>
  <si>
    <t>Paciflam 5mg/1ml</t>
  </si>
  <si>
    <t>VN-8026-09</t>
  </si>
  <si>
    <t>VD-18743-13</t>
  </si>
  <si>
    <t>Panactol 500mg</t>
  </si>
  <si>
    <t>VD-5925-08</t>
  </si>
  <si>
    <t>VD-4687-08</t>
  </si>
  <si>
    <t>Paracetamol codein</t>
  </si>
  <si>
    <t>Panactol codein 500/10 mg</t>
  </si>
  <si>
    <t>VD-9092-09</t>
  </si>
  <si>
    <t>500mg+10mg</t>
  </si>
  <si>
    <t>Panactol codein 500mg/10mg</t>
  </si>
  <si>
    <t>Panactol codein Plus 500/30mg</t>
  </si>
  <si>
    <t>Panadol 500mg viên sủi</t>
  </si>
  <si>
    <t>viên nén sủi , uống</t>
  </si>
  <si>
    <t>Panalganeffer 500</t>
  </si>
  <si>
    <t>VD-17904-12</t>
  </si>
  <si>
    <t>Panalganeffer 500mg</t>
  </si>
  <si>
    <t>Panalganeffer Codein 500/30mg</t>
  </si>
  <si>
    <t>500mg
+ 30mg</t>
  </si>
  <si>
    <t>Magnesium asparticum anhydricum + Kalium asparticum anhydricum</t>
  </si>
  <si>
    <t>Panangin</t>
  </si>
  <si>
    <t>VN-5367-10</t>
  </si>
  <si>
    <t xml:space="preserve">140 mg + 158 mg </t>
  </si>
  <si>
    <t>Pandex</t>
  </si>
  <si>
    <t>VD-19200-13</t>
  </si>
  <si>
    <t>15mg + 5mg.</t>
  </si>
  <si>
    <t>Pantoloc I.V</t>
  </si>
  <si>
    <t>VN-5170-08</t>
  </si>
  <si>
    <t>Pantoprazol G.E.S 40mg</t>
  </si>
  <si>
    <t>VN-15778-12</t>
  </si>
  <si>
    <t>Paracetamol 1gr/100ml</t>
  </si>
  <si>
    <t>VN-19010-15</t>
  </si>
  <si>
    <t>1000gr</t>
  </si>
  <si>
    <t>VD-23604-15</t>
  </si>
  <si>
    <t>viên nén dài, uống</t>
  </si>
  <si>
    <t>Paracetamol -Codein 500mg + 15mg</t>
  </si>
  <si>
    <t>VD-17875-12</t>
  </si>
  <si>
    <t xml:space="preserve">Paracetamol+Chlorpheniramine maleate </t>
  </si>
  <si>
    <t xml:space="preserve">Paracold 150mg Flu </t>
  </si>
  <si>
    <t>Parafizz 650mg</t>
  </si>
  <si>
    <t>Paratramol 37,5mg + 325mg</t>
  </si>
  <si>
    <t xml:space="preserve">Methocarbamol +Paracetamol 
</t>
  </si>
  <si>
    <t>Parocotin 400/325mg</t>
  </si>
  <si>
    <t>400mg 
+325mg</t>
  </si>
  <si>
    <t>Partamol 500mg</t>
  </si>
  <si>
    <t>VD-23978-15</t>
  </si>
  <si>
    <t>Pd Aciclovir  5%  5gr</t>
  </si>
  <si>
    <t>Gel bôi da</t>
  </si>
  <si>
    <t>Pd Bikozol 100mg/5g</t>
  </si>
  <si>
    <t>VD-14935-11</t>
  </si>
  <si>
    <t>100mg/5g</t>
  </si>
  <si>
    <t xml:space="preserve">Ketoconazole </t>
  </si>
  <si>
    <t>Pd Etoral</t>
  </si>
  <si>
    <t>071111</t>
  </si>
  <si>
    <t>200mg/5gr</t>
  </si>
  <si>
    <t>Crème, dùng ngoài</t>
  </si>
  <si>
    <t>Pd Mykezol 10gr</t>
  </si>
  <si>
    <t xml:space="preserve">Tetracycllin pomade </t>
  </si>
  <si>
    <t>Pd Tetracyclin 1%</t>
  </si>
  <si>
    <t>VD-12463-10</t>
  </si>
  <si>
    <t>Mỡ tra mắt</t>
  </si>
  <si>
    <t>Pectolvan IVY 35mg/5ml</t>
  </si>
  <si>
    <t>Ukraina</t>
  </si>
  <si>
    <t xml:space="preserve">Penicilline </t>
  </si>
  <si>
    <t>Penicilin V Kali 400.000 IU</t>
  </si>
  <si>
    <t>VD-20476-14</t>
  </si>
  <si>
    <t>400.000 UI</t>
  </si>
  <si>
    <t>Perindopril +Indapamide</t>
  </si>
  <si>
    <t>Periloz Plus 4mg/ 1,25mg</t>
  </si>
  <si>
    <t>VN-15517-12</t>
  </si>
  <si>
    <t>4mg + 1,25mg</t>
  </si>
  <si>
    <t>Pethidine 50mg/ml x 2ml</t>
  </si>
  <si>
    <t>VN-9053-09</t>
  </si>
  <si>
    <t>Phezam 40mg + 25mg</t>
  </si>
  <si>
    <t>Bulgary</t>
  </si>
  <si>
    <t>Phì nhi đại bổ hộp 12 viên</t>
  </si>
  <si>
    <t>V30-H12-13</t>
  </si>
  <si>
    <t>500mg, 500mg, 400mg, 400mg, 400mg, 300mg, 100mg, 1g, 1,4g</t>
  </si>
  <si>
    <t>Viên hoàn mềm, uống</t>
  </si>
  <si>
    <t>thuốc cốm, uống</t>
  </si>
  <si>
    <t>độc hoạt, phòng phong, tang kí sinh, tế tân, tần giao, ngưu tất, đỗ trọng, quế chi, xuyên khung, sinh địa, bạch thược, đương quy, đảng sâm, phục linh, cam thảo</t>
  </si>
  <si>
    <t>Phong thấp khải hà</t>
  </si>
  <si>
    <t>V265-H12-13</t>
  </si>
  <si>
    <t>2.4g, 1.2g, 1.8g, 1.2g, 1.2g, 0.9g, 1.2g, 1.8g, 3g, 1.8g, 1.8g, 1.8g, 1.8g, 0.9g, 1.8g</t>
  </si>
  <si>
    <t xml:space="preserve"> viên hoàn cứng, uống</t>
  </si>
  <si>
    <t xml:space="preserve">Metoclopramid </t>
  </si>
  <si>
    <t>Pimeran 10mg</t>
  </si>
  <si>
    <t>0532002</t>
  </si>
  <si>
    <t xml:space="preserve">Promethazin </t>
  </si>
  <si>
    <t>VN-9202-09</t>
  </si>
  <si>
    <t>280311</t>
  </si>
  <si>
    <t>Piracetam 800mg</t>
  </si>
  <si>
    <t>VD-19687-13</t>
  </si>
  <si>
    <t>VD-15910-11</t>
  </si>
  <si>
    <t xml:space="preserve">Piroxicam </t>
  </si>
  <si>
    <t xml:space="preserve">Clopidogrel  </t>
  </si>
  <si>
    <t>20728</t>
  </si>
  <si>
    <t xml:space="preserve">Felodipin +Metoprolol </t>
  </si>
  <si>
    <t>Plendil Plus 5mg; 50mg</t>
  </si>
  <si>
    <t>VN-9937-10</t>
  </si>
  <si>
    <t>5mg; 50mg</t>
  </si>
  <si>
    <t>Viên nén giải phóng kéo dài, uống</t>
  </si>
  <si>
    <t>pms Claminat 250mg</t>
  </si>
  <si>
    <t>281012</t>
  </si>
  <si>
    <t>pms Opxil 250mg</t>
  </si>
  <si>
    <t>191211</t>
  </si>
  <si>
    <t>Pms-Bactamox 500mg</t>
  </si>
  <si>
    <t>Ferrous fumarat +Acid folic+Vitamin B12</t>
  </si>
  <si>
    <t>pms-Rolivit</t>
  </si>
  <si>
    <t>VD-20206-13</t>
  </si>
  <si>
    <t>162mg +0.75mg +7.5mcg</t>
  </si>
  <si>
    <t xml:space="preserve">Nystatin +Neomycin sulfate +Polymyxin B sulfate </t>
  </si>
  <si>
    <t>011212</t>
  </si>
  <si>
    <t>100.000IU +35.000IU +35.000 IU</t>
  </si>
  <si>
    <t>Viên nang mềm, đặt âm đạo</t>
  </si>
  <si>
    <t>Prednison 5mg</t>
  </si>
  <si>
    <t>VD-21030-14</t>
  </si>
  <si>
    <t>VD-10792-10</t>
  </si>
  <si>
    <t>Primezane 10mg</t>
  </si>
  <si>
    <t>Primperan 10mg/2ml</t>
  </si>
  <si>
    <t>2Y033</t>
  </si>
  <si>
    <t>Projoint 750mg</t>
  </si>
  <si>
    <t>VD-20684-14</t>
  </si>
  <si>
    <t>Promethazin ( tube/ 10g)</t>
  </si>
  <si>
    <t>020412</t>
  </si>
  <si>
    <t>10gr</t>
  </si>
  <si>
    <t xml:space="preserve">Promethazin cream </t>
  </si>
  <si>
    <t>Promethazin 10g</t>
  </si>
  <si>
    <t>VD-10554-10</t>
  </si>
  <si>
    <t>Tube 10g</t>
  </si>
  <si>
    <t>Kem bôi da, tube</t>
  </si>
  <si>
    <t xml:space="preserve">Sp Promethazin </t>
  </si>
  <si>
    <t>Propofol-Lipuro 1% (10mg/ ml)</t>
  </si>
  <si>
    <t>Propofol, 10mg/ml</t>
  </si>
  <si>
    <t>Pyfaclor  500 mg</t>
  </si>
  <si>
    <t>Pyfaclor 250 mg</t>
  </si>
  <si>
    <t>VD-11877-10</t>
  </si>
  <si>
    <t>VD-11878-10</t>
  </si>
  <si>
    <t>Pymenife 10mg</t>
  </si>
  <si>
    <t>VD - 13590 - 10</t>
  </si>
  <si>
    <t>Pymenife Retard 20mg</t>
  </si>
  <si>
    <t>VD-7015-09</t>
  </si>
  <si>
    <t>Quibay 1g x 5ml</t>
  </si>
  <si>
    <t xml:space="preserve">Rabeprazol </t>
  </si>
  <si>
    <t>Rabetac 20mg</t>
  </si>
  <si>
    <t>02050512</t>
  </si>
  <si>
    <t>Ramsey 750mg</t>
  </si>
  <si>
    <t>VD-14036-11</t>
  </si>
  <si>
    <t xml:space="preserve">Ranitidin </t>
  </si>
  <si>
    <t>VD-9737-09</t>
  </si>
  <si>
    <t>Redlip 160mg</t>
  </si>
  <si>
    <t>VN-16795-13</t>
  </si>
  <si>
    <t>Bezafibrate</t>
  </si>
  <si>
    <t>Regadrin B 200mg</t>
  </si>
  <si>
    <t>VN-14470-12</t>
  </si>
  <si>
    <t>00313</t>
  </si>
  <si>
    <t>VN-9552-10</t>
  </si>
  <si>
    <t>Renatab 10mg</t>
  </si>
  <si>
    <t>Cao khô hỗn hợp: 300mg Tương ứng với : Tế tân: 160mg, Tang ký sinh: 320mg, Phòng phong: 240mg, Bạch thược: 320mg, Đỗ trọng: 320mg, Bạch linh: 320mg, Tần giao: 240mg, Xuyên khung: 240mg, Ngưu tất: 320mg, Cam thảo: 80mg, Đương quy: 320mg, Thục địa: 320mg, Đảng sâm: 320mg, Bột quế: 80mg, Độc hoạt 240mg</t>
  </si>
  <si>
    <t>Revmaton</t>
  </si>
  <si>
    <t>VD-20151-13</t>
  </si>
  <si>
    <t>160mg, 320mg, 240mg, 320mg, 320mg, 320mg, 240mg, 240mg, 320mg, 80mg, 320mg, 320mg, 320mg, 80mg, 240mg</t>
  </si>
  <si>
    <t>Paracetamol+Dextromethorphan+Loratadin</t>
  </si>
  <si>
    <t>Rhetanol Day 500mg+15mg+5mg</t>
  </si>
  <si>
    <t>VD-7847-09</t>
  </si>
  <si>
    <t>500mg +15mg + 5mg</t>
  </si>
  <si>
    <t>Hy thiêm, hà thủ ô đỏ chế thương nhĩ tử thổ phục linh,dây đau xương, thiên niên kiện, huyết giác</t>
  </si>
  <si>
    <t xml:space="preserve"> Hy thiêm, Hà thủ ô đỏ, Thương nhĩ tử, Thổ phục linh, Phòng kỷ, Thiên niên kiện, Huyết giác</t>
  </si>
  <si>
    <t>Rheumapain-f</t>
  </si>
  <si>
    <t xml:space="preserve">Budesonid </t>
  </si>
  <si>
    <t>Rhinocort Aqua 64mcg/liều</t>
  </si>
  <si>
    <t>VN-10734-10</t>
  </si>
  <si>
    <t>Hỗn dịch xịt mũi, Xịt mũi</t>
  </si>
  <si>
    <t>Rifaxon 1g/100ml</t>
  </si>
  <si>
    <t>VN-16188-13</t>
  </si>
  <si>
    <t>Rocaltrol Cap 0.25mcg</t>
  </si>
  <si>
    <t>VN-8689-09</t>
  </si>
  <si>
    <t>0.25mcg</t>
  </si>
  <si>
    <t>Roceta 500mg (Repamax)</t>
  </si>
  <si>
    <t>0150913</t>
  </si>
  <si>
    <t>Rodilar 15mg</t>
  </si>
  <si>
    <t xml:space="preserve">Dextromethorphan </t>
  </si>
  <si>
    <t>13007AN</t>
  </si>
  <si>
    <t>Romaprolol 5mg</t>
  </si>
  <si>
    <t>VN-14964-12</t>
  </si>
  <si>
    <t>Rosuvastatin 10mg</t>
  </si>
  <si>
    <t>120112</t>
  </si>
  <si>
    <t>Rosuvastatin SaVi 10mg</t>
  </si>
  <si>
    <t>VD-15439-11</t>
  </si>
  <si>
    <t xml:space="preserve">Rotundin </t>
  </si>
  <si>
    <t>VD-11929-10</t>
  </si>
  <si>
    <t xml:space="preserve">Rotundin- 30mg </t>
  </si>
  <si>
    <t>VD-16644-12</t>
  </si>
  <si>
    <t>Rovabiotic 3M</t>
  </si>
  <si>
    <t>005</t>
  </si>
  <si>
    <t>3MUI</t>
  </si>
  <si>
    <t>Rovacent 750.000IU</t>
  </si>
  <si>
    <t>Rovas 750 000 UI</t>
  </si>
  <si>
    <t>010811</t>
  </si>
  <si>
    <t>750000UI</t>
  </si>
  <si>
    <t>R-Tist 125mg/5ml</t>
  </si>
  <si>
    <t>VN-16115-13</t>
  </si>
  <si>
    <t>125mg/5ml. Chai 30ml</t>
  </si>
  <si>
    <t xml:space="preserve"> Cốm pha hỗn dịch uống</t>
  </si>
  <si>
    <t xml:space="preserve">Rutine + Vitamin C </t>
  </si>
  <si>
    <t>VD-14501-11</t>
  </si>
  <si>
    <t>Rutin -Vitamin C  50mg/50mg</t>
  </si>
  <si>
    <t>50/50mg</t>
  </si>
  <si>
    <t>Sacendol E 80mg</t>
  </si>
  <si>
    <t xml:space="preserve"> Viên nén, uống</t>
  </si>
  <si>
    <t>Salbutamol 2mg</t>
  </si>
  <si>
    <t>VD-16217-12</t>
  </si>
  <si>
    <t xml:space="preserve">Salbutamol </t>
  </si>
  <si>
    <t>1613</t>
  </si>
  <si>
    <t xml:space="preserve">Fluconazol </t>
  </si>
  <si>
    <t>Salgad 150mg</t>
  </si>
  <si>
    <t>VD-14866-11</t>
  </si>
  <si>
    <t>00113</t>
  </si>
  <si>
    <t>Amylase + Papain + Simethicon</t>
  </si>
  <si>
    <t>Sanagum 100mg, 100mg, 30mg</t>
  </si>
  <si>
    <t>VN-13953-11</t>
  </si>
  <si>
    <t>100mg, 100mg, 30mg</t>
  </si>
  <si>
    <t>Sanbeclaneksi 1.2g</t>
  </si>
  <si>
    <t>OL4184</t>
  </si>
  <si>
    <t>Sandostatin 0,1mg/ml</t>
  </si>
  <si>
    <t>Thụy Sĩ</t>
  </si>
  <si>
    <t>Dung dịch tiêm IV, SC, Tiêm</t>
  </si>
  <si>
    <t>viên nén dài bao phim, Uống</t>
  </si>
  <si>
    <t>SaVi Cipro 500mg</t>
  </si>
  <si>
    <t>VD-11691-10</t>
  </si>
  <si>
    <t xml:space="preserve">Losartan + Hydrochlorothiazide </t>
  </si>
  <si>
    <t>Savi Losartan plus HCT 50/12.5mg</t>
  </si>
  <si>
    <t>50mg + 12.5mg</t>
  </si>
  <si>
    <t>Savi Metformin 850mg</t>
  </si>
  <si>
    <t>VD-9555-09</t>
  </si>
  <si>
    <t>SaVi Pamol 650mg</t>
  </si>
  <si>
    <t>VD-9556-09</t>
  </si>
  <si>
    <t>SaVi Trimetazidine 20mg</t>
  </si>
  <si>
    <t>SaVi Trimetazidine 35MR</t>
  </si>
  <si>
    <t>viên nén bao phim tác dụng kéo dài, Uống</t>
  </si>
  <si>
    <t>Insulin (30/70)</t>
  </si>
  <si>
    <t>Scilin M30 40UI/ml, 10ml (30/70)</t>
  </si>
  <si>
    <t>QLSP0648-13</t>
  </si>
  <si>
    <t xml:space="preserve">  40UI/ml, 10ml</t>
  </si>
  <si>
    <t>Hộp 01 lọ, Hỗn dịch tiêm, Tiêm</t>
  </si>
  <si>
    <t xml:space="preserve">Insulin nhanh </t>
  </si>
  <si>
    <t>Scilin R 40UI/ml, 10ml</t>
  </si>
  <si>
    <t>QLSP0650-13</t>
  </si>
  <si>
    <t xml:space="preserve"> 40UI/ml x 10ml</t>
  </si>
  <si>
    <t>Hộp 01 lọ, Dung dịch tiêm, Tiêm</t>
  </si>
  <si>
    <t xml:space="preserve">Paracetamol + codein phosphat </t>
  </si>
  <si>
    <t>Sedangen 500mg + 20mg</t>
  </si>
  <si>
    <t>VD-10562-10</t>
  </si>
  <si>
    <t>500mg + 20mg</t>
  </si>
  <si>
    <t>018513</t>
  </si>
  <si>
    <t>Lá sen, Lá vông, Lạc tiên, Tâm sen</t>
  </si>
  <si>
    <t>Sen vông - BVP h/100 viên</t>
  </si>
  <si>
    <t>VN - 11642-10</t>
  </si>
  <si>
    <t>(500+ 700+ 500+ 100+ 1000)mg</t>
  </si>
  <si>
    <t>Serbutam 100mcg</t>
  </si>
  <si>
    <t>VN-15460-12</t>
  </si>
  <si>
    <t>100mcg</t>
  </si>
  <si>
    <t>Hỗn dịch dùng để hít, Xịt mũi</t>
  </si>
  <si>
    <t>Salmeterol + Fluticason propionat</t>
  </si>
  <si>
    <t>Seretide 25/125mcg lọ 120 liều</t>
  </si>
  <si>
    <t>VN-15448-12</t>
  </si>
  <si>
    <t>Seretide 25/250mcg lọ 120 liều</t>
  </si>
  <si>
    <t>Shinapril 5mg</t>
  </si>
  <si>
    <t>SIT-3004</t>
  </si>
  <si>
    <t>Shinclop 75mg</t>
  </si>
  <si>
    <t>SLT-3001</t>
  </si>
  <si>
    <t>Simacone 60/300mg</t>
  </si>
  <si>
    <t>VD-10711-10 (CV gia hạn 1926/QLD-§K ®Õn</t>
  </si>
  <si>
    <t>viên nang mền, uống</t>
  </si>
  <si>
    <t>Alverine citrat + simethicon</t>
  </si>
  <si>
    <t>Simacone 60mg+300mg</t>
  </si>
  <si>
    <t>VD-10711-10</t>
  </si>
  <si>
    <t xml:space="preserve">Simvastatin </t>
  </si>
  <si>
    <t>Simvahexal Tab. 20mg</t>
  </si>
  <si>
    <t>Simvashasan 10mg</t>
  </si>
  <si>
    <t>Sinova 500mg</t>
  </si>
  <si>
    <t>01E12</t>
  </si>
  <si>
    <t>Siro thuốc, uống</t>
  </si>
  <si>
    <t>Dextromethorphan hydrobromua + clorpheniramin maleat + sodium citrate dihydrat + glyceryl guaiacolat</t>
  </si>
  <si>
    <t>5mg + 1,33mg 
+ 133mg + 50mg  60ml</t>
  </si>
  <si>
    <t xml:space="preserve">Kẽm gluconat </t>
  </si>
  <si>
    <t>Sirozinc 10mg/5ml 60ml</t>
  </si>
  <si>
    <t>VN-15854-12</t>
  </si>
  <si>
    <t xml:space="preserve">Paracetamol +Chlorpheniramine maleate </t>
  </si>
  <si>
    <t>Skdol baby fort 150/1 mg</t>
  </si>
  <si>
    <t>VD-14972-11</t>
  </si>
  <si>
    <t xml:space="preserve">bột, uống </t>
  </si>
  <si>
    <t>Skdol Baby Fort 250/2mg</t>
  </si>
  <si>
    <t>VD-14973-11</t>
  </si>
  <si>
    <t>VD-7671-09</t>
  </si>
  <si>
    <t>250mg+2mg</t>
  </si>
  <si>
    <t>Bột pha uống</t>
  </si>
  <si>
    <t>Sodium chloride 0.9% 500ml</t>
  </si>
  <si>
    <t>VD-12017-10</t>
  </si>
  <si>
    <t>Solu-Medrol 40mg</t>
  </si>
  <si>
    <t>VN-11234-10</t>
  </si>
  <si>
    <t>Bột pha tiêm, (IV, IM)</t>
  </si>
  <si>
    <t>Somidex 40mg</t>
  </si>
  <si>
    <t>VD-17322-13</t>
  </si>
  <si>
    <t>Bột pha tiêm, tiêm</t>
  </si>
  <si>
    <t>Song hảo đại bổ tinh-F</t>
  </si>
  <si>
    <t>V718-H12-10</t>
  </si>
  <si>
    <t>210mg, 210mg, 105mg, 105mg, 105mg, 105mg, 105mg, 105mg, 105mg, 105mg, 105mg, 105mg, 105mg, 105mg, 105mg, 105mg</t>
  </si>
  <si>
    <t xml:space="preserve">Sorbitol </t>
  </si>
  <si>
    <t>Sorbitol  5g</t>
  </si>
  <si>
    <t>VD-9979-10</t>
  </si>
  <si>
    <t>231113</t>
  </si>
  <si>
    <t>5gr</t>
  </si>
  <si>
    <t>Sorbitol 5gr</t>
  </si>
  <si>
    <t>Sorbitol Bidiphar 5gr</t>
  </si>
  <si>
    <t>VD-19324-13</t>
  </si>
  <si>
    <t xml:space="preserve">Sắt sulfat  + vitamin B1  + vitamin B6  + vitamin B12 </t>
  </si>
  <si>
    <t>Sp Euvifer / 60ml</t>
  </si>
  <si>
    <t>14403003</t>
  </si>
  <si>
    <t>162 mg + 12,5mg +12,5mg + 7,5 mcg</t>
  </si>
  <si>
    <t xml:space="preserve">lọ </t>
  </si>
  <si>
    <t>Ct Cnh, Bch Bộ, Tiền Hồ, Thin Mơn, Tỳ B…</t>
  </si>
  <si>
    <t>Sp Ho OPC  30ml</t>
  </si>
  <si>
    <t>13015</t>
  </si>
  <si>
    <t>Sp Mutecium-M 1mg/ml  chai 30ml</t>
  </si>
  <si>
    <t>Sp Phenergan 90ml</t>
  </si>
  <si>
    <t>070811</t>
  </si>
  <si>
    <t>Cao lá thường xuân</t>
  </si>
  <si>
    <t>Sp Prospan 100ml</t>
  </si>
  <si>
    <t>VN-7617-09</t>
  </si>
  <si>
    <t xml:space="preserve">sp Alimemazin </t>
  </si>
  <si>
    <t>Sp Themaxtene 90ml</t>
  </si>
  <si>
    <t xml:space="preserve">Đảng sâm, Đan sâm, Huyền sâm, Bạch linh, Ngũ vị tử, Viễn chí, Cát cánh, Đương quy, Thiên môn, Mạch môn đông, Toan táo nhân, Chu sa, Cam thảo, Địa hoàng </t>
  </si>
  <si>
    <t>Sp Thiên vương bổ tâm  chai 100ml</t>
  </si>
  <si>
    <t>0,8g; 0,1g; 0,1g; 0,1g; 0,1g; 0,2g; 0,1g; 0,1g; 0,2g; 0,2g; 0,2g; 0,2g; 0,04g; 0,1g.</t>
  </si>
  <si>
    <t>Sp Thuốc ho bổ phế chai 200ml</t>
  </si>
  <si>
    <t>VD-12716-10</t>
  </si>
  <si>
    <t>Thuốc nước,Uống</t>
  </si>
  <si>
    <t>Spiramicin 0,750M UI</t>
  </si>
  <si>
    <t>VD-11276-10</t>
  </si>
  <si>
    <t>1,5MUI</t>
  </si>
  <si>
    <t>1,5 M UI</t>
  </si>
  <si>
    <t>Spiramycin 1,5 MUI</t>
  </si>
  <si>
    <t>1330913</t>
  </si>
  <si>
    <t>1.5UI</t>
  </si>
  <si>
    <t>Spiramycin 1,5M IU</t>
  </si>
  <si>
    <t>Spiramycin 3M IU</t>
  </si>
  <si>
    <t xml:space="preserve">Splozarsin 50mg </t>
  </si>
  <si>
    <t>LZT3002</t>
  </si>
  <si>
    <t>SpLozarsin Plus 50/12,5mg</t>
  </si>
  <si>
    <t>Splozarsin Plus 50mg + 12,5mg</t>
  </si>
  <si>
    <t>Losartan 50mg+Hydrochlorothiazide 12,5mg</t>
  </si>
  <si>
    <t>Splozarsin Plus Tab 50mg+12.5mg</t>
  </si>
  <si>
    <t>Viên bao phim,Uống</t>
  </si>
  <si>
    <t xml:space="preserve">Diosmectite </t>
  </si>
  <si>
    <t>Stamectin 3g</t>
  </si>
  <si>
    <t>Dioctahedral smecti</t>
  </si>
  <si>
    <t>Stanmece 3gr</t>
  </si>
  <si>
    <t>VD-18183-13</t>
  </si>
  <si>
    <t>Statinrosu 20mg</t>
  </si>
  <si>
    <t>VD-19646-13</t>
  </si>
  <si>
    <t>Statripsine 21 microkatal</t>
  </si>
  <si>
    <t xml:space="preserve">Sulpirid </t>
  </si>
  <si>
    <t>Stogurad 50mg</t>
  </si>
  <si>
    <t>VD-9210-09</t>
  </si>
  <si>
    <t>Stomedon 20mg+10mg</t>
  </si>
  <si>
    <t>VD - 16099 - 11</t>
  </si>
  <si>
    <t>Stopress 4mg</t>
  </si>
  <si>
    <t>VN-13808-11</t>
  </si>
  <si>
    <t xml:space="preserve">Bacillus subtilis </t>
  </si>
  <si>
    <t xml:space="preserve">Subtyl </t>
  </si>
  <si>
    <t>13004CN</t>
  </si>
  <si>
    <t>10(6)-10(7)</t>
  </si>
  <si>
    <t>Succipres 50mg</t>
  </si>
  <si>
    <t>VN-15928-12</t>
  </si>
  <si>
    <t>Sucrahasan 1gr</t>
  </si>
  <si>
    <t xml:space="preserve">Sulfaguanidin </t>
  </si>
  <si>
    <t>VD-7331-09</t>
  </si>
  <si>
    <t>Sulfaprim 400/80mg</t>
  </si>
  <si>
    <t xml:space="preserve">Sulfamethoxazole + Trimethoprim </t>
  </si>
  <si>
    <t>Sulfaprim 480mg</t>
  </si>
  <si>
    <t>13001AN</t>
  </si>
  <si>
    <t>480mg</t>
  </si>
  <si>
    <t>Sulfaprim 960mg</t>
  </si>
  <si>
    <t>10002AN</t>
  </si>
  <si>
    <t>960mg</t>
  </si>
  <si>
    <t>Sulpirid 50mg</t>
  </si>
  <si>
    <t>VD-11431-10</t>
  </si>
  <si>
    <t>Sunirovel 150mg</t>
  </si>
  <si>
    <t>VN-16912-13</t>
  </si>
  <si>
    <t>Sunirovel 300mg</t>
  </si>
  <si>
    <t>VN-17202-13</t>
  </si>
  <si>
    <t>Sustonit 6,5mg</t>
  </si>
  <si>
    <t>1758/QLD-KD</t>
  </si>
  <si>
    <t>6.5mg</t>
  </si>
  <si>
    <t xml:space="preserve">Suxamethonium Cl </t>
  </si>
  <si>
    <t>Suxamethonium 100mg/2ml</t>
  </si>
  <si>
    <t xml:space="preserve">Valsartan </t>
  </si>
  <si>
    <t>Tabarex 80mg</t>
  </si>
  <si>
    <t>VN-13163-11</t>
  </si>
  <si>
    <t>Viên nén tròn bao phim, uống</t>
  </si>
  <si>
    <t>Trinh nữ hoàng cung, Tri mẫu, Hoàng bá ích mẫu, Đào nhân, Trạch tả Xích thược, Nhục quế.</t>
  </si>
  <si>
    <t>Dihydroergotamin</t>
  </si>
  <si>
    <t>Tamik 3mg</t>
  </si>
  <si>
    <t>859</t>
  </si>
  <si>
    <t>Tanganil Inj. 500Mg/5Ml</t>
  </si>
  <si>
    <t xml:space="preserve">VN-5714-08 </t>
  </si>
  <si>
    <t xml:space="preserve">Cefotaxim </t>
  </si>
  <si>
    <t>Tarcefoksym 1g</t>
  </si>
  <si>
    <t>VN-18105-14</t>
  </si>
  <si>
    <t>Tenaclor 250mg</t>
  </si>
  <si>
    <t>VD-13877-11</t>
  </si>
  <si>
    <t>Tenafalexin 250mg</t>
  </si>
  <si>
    <t>021011</t>
  </si>
  <si>
    <t>Tenafalexin 500mg</t>
  </si>
  <si>
    <t>VD-8877-09</t>
  </si>
  <si>
    <t>Tenafixim 200mg</t>
  </si>
  <si>
    <t>Tenocar 50mg</t>
  </si>
  <si>
    <t>020113</t>
  </si>
  <si>
    <t>Terpin hydrat + Codein</t>
  </si>
  <si>
    <t>Terdein F 200mg + 5mg</t>
  </si>
  <si>
    <t>VD-10713-10</t>
  </si>
  <si>
    <t>200mg + 5mg</t>
  </si>
  <si>
    <t>Terpin hydrate+Codein</t>
  </si>
  <si>
    <t>Terdein F 200mg/5mg</t>
  </si>
  <si>
    <t>Tetracyclin 1% 5g</t>
  </si>
  <si>
    <t>421212</t>
  </si>
  <si>
    <t xml:space="preserve">Tetracyclin 500mg </t>
  </si>
  <si>
    <t>Độc hoạt, Phòng phong, Tang ký sinh, Đỗ trọng, Ngưu tất, Trinh nữ, Hồng hoa, Bạch chỉ, Tục đoạn, Bổ cốt chi</t>
  </si>
  <si>
    <t>Thấp khớp hoàn P/H hộp 10 gói</t>
  </si>
  <si>
    <t>V1262-H12-10</t>
  </si>
  <si>
    <t>Viên hoàn cứng, Uống viên</t>
  </si>
  <si>
    <t>Thấp khớp ND</t>
  </si>
  <si>
    <t>1,5g+ 1g+1g+ 1g
+1g+1g+ 1g+1g
+1g+0,5g</t>
  </si>
  <si>
    <t>751213</t>
  </si>
  <si>
    <t xml:space="preserve">Alimemazin </t>
  </si>
  <si>
    <t>Themaxtene 5mg</t>
  </si>
  <si>
    <t>VD-11742-10</t>
  </si>
  <si>
    <t>Theophylin 100mg</t>
  </si>
  <si>
    <t>VD-7412-09</t>
  </si>
  <si>
    <t xml:space="preserve">Theophyllin </t>
  </si>
  <si>
    <t>Theophyllin 100mg</t>
  </si>
  <si>
    <t>390612</t>
  </si>
  <si>
    <t>Theostat L.P.  100mg</t>
  </si>
  <si>
    <t>VN-14339-11</t>
  </si>
  <si>
    <t xml:space="preserve">Hypothiazid </t>
  </si>
  <si>
    <t>0010111</t>
  </si>
  <si>
    <t>Cao đan sâm 17,5mg, cao tam thất 3,43mg, Borneol 0,2mg</t>
  </si>
  <si>
    <t>Thiên sứ hộ tâm đan hộp 2 lọ x 100 viên/lọ</t>
  </si>
  <si>
    <t>010713</t>
  </si>
  <si>
    <t>17,5mg, 3,43mg, 0,2mg</t>
  </si>
  <si>
    <t>Thiên vương bổ tâm đan</t>
  </si>
  <si>
    <t>V127-H12-13</t>
  </si>
  <si>
    <t>Trần bìCát cánh,Tiền hồTô diệp,Tử uyển, Thiên môn, Tang bạch bì Tang diệp,Cam thảo,Ô mai,Khương hoàng, menthol</t>
  </si>
  <si>
    <t>50g + 25g + 25g + 25g + 25g + 10g + 10g + 10g + 7.5g + 7.5g + 5g + 0.11g + 0.4g + 17.2g</t>
  </si>
  <si>
    <t>Tỳ bà diêp+Cát cánh+9Bách bộ+9Tiền hồ+Tang bạch bì+Thiên môn+Bạch linh+Cam thảo+Hoàng cầm +Menthol+Cineol</t>
  </si>
  <si>
    <t>Thuốc ho người lớn - OPC</t>
  </si>
  <si>
    <t xml:space="preserve">16,20g, 1,80g, 2,79g, 1,80g, 1,80g, 2,70g, 1,80g, 0,90g, 1,80g, 18,00mg </t>
  </si>
  <si>
    <t>Sài hồ Bạch truật, Gừng tươi, Bạch linh, Đương quy, Bạch thược, Cam thảo, Bạc hà.</t>
  </si>
  <si>
    <t>257mg, 257mg, 257mg, 257mg, 257mg, 257mg,  206mg, 52mg.</t>
  </si>
  <si>
    <t xml:space="preserve">Tinidazol </t>
  </si>
  <si>
    <t xml:space="preserve">Tinidazol 500mg </t>
  </si>
  <si>
    <t>0712</t>
  </si>
  <si>
    <t xml:space="preserve">Sulfamethoxazole + Trimethoprim  </t>
  </si>
  <si>
    <t>Tipharim 960mg</t>
  </si>
  <si>
    <t>VD-19463-13</t>
  </si>
  <si>
    <t xml:space="preserve">Tân di hoa
Xuyên khung 
Thăng ma 
Bạch chỉ 
Cam thảo </t>
  </si>
  <si>
    <t>VD-16402-12</t>
  </si>
  <si>
    <t>1000mg, 500mg, 500mg, 360mg, 60mg</t>
  </si>
  <si>
    <t>Tân di hoa, Thăng ma, Xuyên khung, Bạch chỉ Cam thảo.</t>
  </si>
  <si>
    <t xml:space="preserve">Tobramycin collyre </t>
  </si>
  <si>
    <t>Tobcol 0,3% 5ml</t>
  </si>
  <si>
    <t>VD-18219-13</t>
  </si>
  <si>
    <t xml:space="preserve"> dung dịch nhỏ mắt</t>
  </si>
  <si>
    <t>Tobrex 3mg/ml x 5ml</t>
  </si>
  <si>
    <t>Toginko 80mg</t>
  </si>
  <si>
    <t>V316-H12-13</t>
  </si>
  <si>
    <t>Oxomemazin + guaifenesin + paracetamol + 
natri benzoat</t>
  </si>
  <si>
    <t>1,65mg
+33,3mg
+33,3mg
+33,3mg</t>
  </si>
  <si>
    <t xml:space="preserve">Paracetamol + Oxomemazin  + Guaifenesin + Natribenzoat </t>
  </si>
  <si>
    <t>33,3mg + 1,65mg + 33,3mg + 33,3mg</t>
  </si>
  <si>
    <t>Torlaxime 1gr</t>
  </si>
  <si>
    <t>VN-9417-09</t>
  </si>
  <si>
    <t>Torvalipin 10mg</t>
  </si>
  <si>
    <t>VN-16556-13</t>
  </si>
  <si>
    <t>Dextromethorphan HBr +
Clorpheniramin maleat +
Guaifenesin +
Natri benzoat</t>
  </si>
  <si>
    <t>Touxirup (gói bột)</t>
  </si>
  <si>
    <t>Gói nước, uống</t>
  </si>
  <si>
    <t>Ngưu nhĩ phong 2g, La liễu 1g</t>
  </si>
  <si>
    <t>Tràng vị khang hộp 6gói x 8g</t>
  </si>
  <si>
    <t>130802</t>
  </si>
  <si>
    <t>Treatan 8mg tablet</t>
  </si>
  <si>
    <t>VN-5576-10</t>
  </si>
  <si>
    <t>Vitamin B1+B6+B12</t>
  </si>
  <si>
    <t>Trib F (125mg+125mg+250mcg)</t>
  </si>
  <si>
    <t>VD-17135-12</t>
  </si>
  <si>
    <t>Tributel 200mg</t>
  </si>
  <si>
    <t>VD-8306-09</t>
  </si>
  <si>
    <t>Magnesi hydroxid + nhôm hydroxid + simethicon</t>
  </si>
  <si>
    <t>VN-14658-12</t>
  </si>
  <si>
    <t>800,4mg + 3030,3mg + 30%- 266,7mg</t>
  </si>
  <si>
    <t>Trizodom 20mg + 10mg</t>
  </si>
  <si>
    <t>Cao Tân di hoa+Cao
Xuyên khung+Cao Thăng ma+Bột Bạch chỉ+Bột Cam thảo</t>
  </si>
  <si>
    <t>Tỷ viêm nang ( hộp/ 100v)</t>
  </si>
  <si>
    <t>13008</t>
  </si>
  <si>
    <t>60mg+30mg+30mg+300mg+
50mg</t>
  </si>
  <si>
    <t xml:space="preserve">Metformin + glibenclamid </t>
  </si>
  <si>
    <t>Tyrozet Forte 850/5mg</t>
  </si>
  <si>
    <t>VD-21927-13</t>
  </si>
  <si>
    <t>850mg+5mg</t>
  </si>
  <si>
    <t>Uscmusol 200mg</t>
  </si>
  <si>
    <t>VD-21188-14</t>
  </si>
  <si>
    <t>Vắc xin ngừa uốn ván</t>
  </si>
  <si>
    <t>Vắc xin ngừa uốn ván - VAT</t>
  </si>
  <si>
    <t>QLVX-0169-09</t>
  </si>
  <si>
    <t>Ống-1 liều 0,5ml</t>
  </si>
  <si>
    <t>Dung dịch tiêm bắp sâu</t>
  </si>
  <si>
    <t xml:space="preserve">Vắc xin ngừa viêm não nhật bản </t>
  </si>
  <si>
    <t>Vắc xin ngừa viêm não Nhật Bản - JEVAX</t>
  </si>
  <si>
    <t>Dung dịch tiêm dưới da</t>
  </si>
  <si>
    <t xml:space="preserve">Ca + Vit D </t>
  </si>
  <si>
    <t>Vaco Calcium 500mg+200UI</t>
  </si>
  <si>
    <t>VD-17626-12</t>
  </si>
  <si>
    <t>500 mg + 200UI</t>
  </si>
  <si>
    <t xml:space="preserve">Ca + Vit D (Cholecalciferol) </t>
  </si>
  <si>
    <t>Vacocalcium</t>
  </si>
  <si>
    <t>0620513</t>
  </si>
  <si>
    <t>501 mg + 200UI</t>
  </si>
  <si>
    <t>Vacocal-D</t>
  </si>
  <si>
    <t>VD-17628-12</t>
  </si>
  <si>
    <t xml:space="preserve">Loratadin </t>
  </si>
  <si>
    <t>Vacoloratdin 10mg</t>
  </si>
  <si>
    <t>0741013</t>
  </si>
  <si>
    <t>thuốc bột, uống</t>
  </si>
  <si>
    <t xml:space="preserve">Omeprazol </t>
  </si>
  <si>
    <t>Vacoomez 40mg</t>
  </si>
  <si>
    <t>Vacoomez S 20mg</t>
  </si>
  <si>
    <t xml:space="preserve">Natri thiosulfat </t>
  </si>
  <si>
    <t xml:space="preserve">Vacosulfene - 330mg </t>
  </si>
  <si>
    <t>VD-6926-09</t>
  </si>
  <si>
    <t>330mg</t>
  </si>
  <si>
    <t>Vacotop</t>
  </si>
  <si>
    <t>VN-14067-11</t>
  </si>
  <si>
    <t>33,3mg + 1,65mg +33,3mg + 33,3mg</t>
  </si>
  <si>
    <t xml:space="preserve">Alverine citrate </t>
  </si>
  <si>
    <t>Vacoverin 40mg</t>
  </si>
  <si>
    <t>0280913</t>
  </si>
  <si>
    <t>40,g</t>
  </si>
  <si>
    <t>Vadol 500mg</t>
  </si>
  <si>
    <t>VD-6934-09</t>
  </si>
  <si>
    <t>VD-233117-15</t>
  </si>
  <si>
    <t>Nystatin + neomycin +
polymyxin B</t>
  </si>
  <si>
    <t>Vaginapoly (100.000+35.000+35.000) IU</t>
  </si>
  <si>
    <t>Valbelis 80mg/12.5mg</t>
  </si>
  <si>
    <t>VN-17297-13</t>
  </si>
  <si>
    <t>VN-12019-11 (CV gia hạn 3941/QLD-§K ng</t>
  </si>
  <si>
    <t>VN-12020-11 ( Cv gia hạn 3941/QLD-§K ng</t>
  </si>
  <si>
    <t>VN-12020-11</t>
  </si>
  <si>
    <t>Valygyno (viên đặt PK)</t>
  </si>
  <si>
    <t xml:space="preserve">Trimetazidin </t>
  </si>
  <si>
    <t>Vashasan 20mg</t>
  </si>
  <si>
    <t>0051012</t>
  </si>
  <si>
    <t xml:space="preserve">Vashasan 35MR </t>
  </si>
  <si>
    <t>01600814</t>
  </si>
  <si>
    <t>01600813</t>
  </si>
  <si>
    <t>Venrutine 100/500mg</t>
  </si>
  <si>
    <t>Rutine + Vitamin C</t>
  </si>
  <si>
    <t>Venrutine 500mg + 100mg</t>
  </si>
  <si>
    <t>viên nén  bao phim, uống</t>
  </si>
  <si>
    <t xml:space="preserve">Sucralfat </t>
  </si>
  <si>
    <t>dạng hạt cốm, uống</t>
  </si>
  <si>
    <t>Ventolin  Inh 100mcg/liều</t>
  </si>
  <si>
    <t>YE0133</t>
  </si>
  <si>
    <t>dd xịt định liều</t>
  </si>
  <si>
    <t>Salbutamol Neb Sol</t>
  </si>
  <si>
    <t>Ventolin Nebules 2,5mg/2,5ml</t>
  </si>
  <si>
    <t xml:space="preserve">VN-11572-10 </t>
  </si>
  <si>
    <t>2.5mg/ 2.5ml</t>
  </si>
  <si>
    <t>Dung dịch dùng cho máy khí dung</t>
  </si>
  <si>
    <t>Ventolin Nebules 5mg/2,5ml</t>
  </si>
  <si>
    <t>5mg/ 2.5ml</t>
  </si>
  <si>
    <t xml:space="preserve">Spironolacton </t>
  </si>
  <si>
    <t>VN-5369-10
VN-19163-15</t>
  </si>
  <si>
    <t>Cao diệp hạ châu+Cao nhân trần+Cao cỏ nhọ nồi+Râu bắp</t>
  </si>
  <si>
    <t>VG5</t>
  </si>
  <si>
    <t>VD-16477-12</t>
  </si>
  <si>
    <t>100mg, 130mg, 50mg, 50mg</t>
  </si>
  <si>
    <t xml:space="preserve"> viên nén dài bao phim, uống</t>
  </si>
  <si>
    <t>Viadacef 1g</t>
  </si>
  <si>
    <t>VD-16613-12</t>
  </si>
  <si>
    <t>Vicef 300 mg</t>
  </si>
  <si>
    <t>02110513</t>
  </si>
  <si>
    <t>Vicef 300mg</t>
  </si>
  <si>
    <t>Vidxac  K1 - 10mg/1ml</t>
  </si>
  <si>
    <t>23801N</t>
  </si>
  <si>
    <t>Hoàng kỳ 1000mg, Sài hồ 300mg, Thăng ma 300mg, Đảng sâm 300mg, Trần bì 300mg, Đương quy 300mg, Cam thảo 100mg, Gừng tươi 100mg, Bạch truật 300mg.</t>
  </si>
  <si>
    <t>V1001-H12-10</t>
  </si>
  <si>
    <t>1000mg, 300mg, 300mg, 300mg, 300mg, 300mg, 100mg, 100mg, 300mg.</t>
  </si>
  <si>
    <t>Thỏ ty tử Phúc bồn tử Câu kỷ tử Cửu thái tử Thạch liên tửPhá cố tử Xà sàng tử Kim anh tử Ngũ vị tử Thục địa, Dâm dương hoắc, Hải m• Nhân sâm, Lộc nhung, Quế nhục.</t>
  </si>
  <si>
    <t>Viên nang cửu tử bổ thận</t>
  </si>
  <si>
    <t>VD-16699-12</t>
  </si>
  <si>
    <t>400mg, 400mg, 400mg, 240mg, 240mg, 80mg, 80mg, 80mg, 80mg, 400mg, 400mg, 10mg, 10mg, 10mg, 3mg</t>
  </si>
  <si>
    <t>Viên phong thấp Topphote</t>
  </si>
  <si>
    <t>VD-16404-12</t>
  </si>
  <si>
    <t>VD-14706-11</t>
  </si>
  <si>
    <t>VD-14364-12</t>
  </si>
  <si>
    <t>Vitafxim 1g</t>
  </si>
  <si>
    <t>VD-16616-12</t>
  </si>
  <si>
    <t xml:space="preserve">Vitamin A </t>
  </si>
  <si>
    <t>Vitamin A 5.000 U.I</t>
  </si>
  <si>
    <t>VD-12503-10</t>
  </si>
  <si>
    <t>Vitamin A 5000IU</t>
  </si>
  <si>
    <t>13010AN</t>
  </si>
  <si>
    <t>5000UI</t>
  </si>
  <si>
    <t>Vitamin B1 250mg</t>
  </si>
  <si>
    <t>VD-15532-11</t>
  </si>
  <si>
    <t>13023AN</t>
  </si>
  <si>
    <t>VD-14505-11</t>
  </si>
  <si>
    <t xml:space="preserve">Vitamin B1+ Vitamin B6 + Vitamin B12 </t>
  </si>
  <si>
    <t>Vitamin B1, B6, B12</t>
  </si>
  <si>
    <t>0390</t>
  </si>
  <si>
    <t>125+125+125mg</t>
  </si>
  <si>
    <t>VD-16237-12</t>
  </si>
  <si>
    <t xml:space="preserve">Vitamin B6 </t>
  </si>
  <si>
    <t>VD-11811-10</t>
  </si>
  <si>
    <t>VD-15533-11</t>
  </si>
  <si>
    <t>051013</t>
  </si>
  <si>
    <t>1601013</t>
  </si>
  <si>
    <t xml:space="preserve">Vitamin C 250mg </t>
  </si>
  <si>
    <t>VD-7679-09</t>
  </si>
  <si>
    <t>Vitamin C 500mg</t>
  </si>
  <si>
    <t>371113</t>
  </si>
  <si>
    <t xml:space="preserve">Vitamin C 500mg </t>
  </si>
  <si>
    <t>VD-6407-08</t>
  </si>
  <si>
    <t>Vitamin E 400UI</t>
  </si>
  <si>
    <t>D-alpha-tocopheryl acetat</t>
  </si>
  <si>
    <t>Vitamin E 400UI Thiên nhiên</t>
  </si>
  <si>
    <t>VD-13618-10</t>
  </si>
  <si>
    <t xml:space="preserve">Phytomenadion (Vitamin K1) </t>
  </si>
  <si>
    <t>VN-11675-11</t>
  </si>
  <si>
    <t xml:space="preserve">Phytomenadion </t>
  </si>
  <si>
    <t>Vitamin K1 10mg/ml</t>
  </si>
  <si>
    <t>VD-15156-11</t>
  </si>
  <si>
    <t xml:space="preserve">Vitamin PP </t>
  </si>
  <si>
    <t>2011213</t>
  </si>
  <si>
    <t>Vitamin PP 50mg</t>
  </si>
  <si>
    <t>VD-16528-12</t>
  </si>
  <si>
    <t>VD-6566-08</t>
  </si>
  <si>
    <t>gói bột pha hỗn dịch uống, uống</t>
  </si>
  <si>
    <t>VN-9361-09 có Gia hạn Visa 06 tháng ngày 14/01/2015</t>
  </si>
  <si>
    <t>Dung dịch tiêm - Dạng tiêm</t>
  </si>
  <si>
    <t>Viên nén không tan trong dạ dày, Uống</t>
  </si>
  <si>
    <t>Ybio</t>
  </si>
  <si>
    <t>VD-11454-10 CV gia hạn số 3797/QLD-ĐK</t>
  </si>
  <si>
    <t>?10^8 CFU/g</t>
  </si>
  <si>
    <t>Zentonamic 250mg/5ml inj</t>
  </si>
  <si>
    <t>020613</t>
  </si>
  <si>
    <t>Zestril tab 10mg</t>
  </si>
  <si>
    <t>Anh</t>
  </si>
  <si>
    <t>Zestril tab 5mg</t>
  </si>
  <si>
    <t>VN-15213-12</t>
  </si>
  <si>
    <t>Zhekof 40mg</t>
  </si>
  <si>
    <t>VD-21070-14</t>
  </si>
  <si>
    <t>Zinbebe 10mg/5ml x 60ml</t>
  </si>
  <si>
    <t xml:space="preserve">Spiramycin + Metronidazol </t>
  </si>
  <si>
    <t>Zolgyl 75UI+ 125mg</t>
  </si>
  <si>
    <t>0413</t>
  </si>
  <si>
    <t>75UI+125mg</t>
  </si>
  <si>
    <t>Zymycin 500mg</t>
  </si>
  <si>
    <t>VD-17322-12</t>
  </si>
  <si>
    <t>Alphachymotrypsine + Nước pha tiêm</t>
  </si>
  <si>
    <t>α-chymotrypsin 5000 IU</t>
  </si>
  <si>
    <t>VD-12777-10</t>
  </si>
  <si>
    <t>Fexodinefast 180</t>
  </si>
  <si>
    <t>Phong tê thấp TW3</t>
  </si>
  <si>
    <t>Kim tiền thảo + râu nhô</t>
  </si>
  <si>
    <t>Pymeazi 250mg</t>
  </si>
  <si>
    <t>SaVi Eperison 50</t>
  </si>
  <si>
    <t>Siro Bổ tỳ P/H</t>
  </si>
  <si>
    <t>Sulpirid Stada 50mg</t>
  </si>
  <si>
    <t>Utrogestan 200mg Capsule 2x15's</t>
  </si>
  <si>
    <t>Vacoomez 20</t>
  </si>
  <si>
    <t xml:space="preserve">600mg; 600mg; 600mg; 300mg; 300mg; 300mg; 300mg; 100mg; 100mg; </t>
  </si>
  <si>
    <t>Ztatko 50mg</t>
  </si>
  <si>
    <t>Insulin glulisine ( 10 đơn vị/ml)</t>
  </si>
  <si>
    <t>QLSP-915-16</t>
  </si>
  <si>
    <t>Acetylsalicylic acid 81mg</t>
  </si>
  <si>
    <t>VD-24306-16</t>
  </si>
  <si>
    <t>Budesonid (64mcg/liều lọ 120 liều)</t>
  </si>
  <si>
    <t>VN-17600-13</t>
  </si>
  <si>
    <t>Cetirizin 10mg</t>
  </si>
  <si>
    <t>Bluepharma</t>
  </si>
  <si>
    <t>VN-11128-10 có biên nhận gia hạn Visa 12 tháng ngày 11/4/2017 đến 10/4/2018</t>
  </si>
  <si>
    <t>Candesartan 4mg</t>
  </si>
  <si>
    <t>VN-19273-15</t>
  </si>
  <si>
    <t>Fenofibrate  160mg</t>
  </si>
  <si>
    <t>VN-14260-11 kèm công văn số 22153/QLD-ĐK ngày 18/12/2014 về việc thay đổi tên và địa chỉ công ty đăng ký và công văn số 24396/QLD-ĐK ngày 12/12/2016 về việc gia hạn số đăng ký</t>
  </si>
  <si>
    <t>Xuyên bối mẫu, đại hoàng, diên hồ sách, bạch cập, ô tặc cốt, cam thảo. (0.3g, 0.3g, 0.3g, 0.6g, 0.6g, 1g.)</t>
  </si>
  <si>
    <t>Perindopril 8mg</t>
  </si>
  <si>
    <t>Công ty Cổ Phần Dược Danapha</t>
  </si>
  <si>
    <t>VD-20150-13</t>
  </si>
  <si>
    <t>Calci carbonat + Vitamin D3 (300mg + 100 IU)</t>
  </si>
  <si>
    <t>VD-13852-11; CV gia hạn hiệu lực SĐK đến ngày 06/10/2017</t>
  </si>
  <si>
    <t>Itraconazol 100mg</t>
  </si>
  <si>
    <t>Kusum Healthcare Pvt.Ltd</t>
  </si>
  <si>
    <t>VD-17639-14</t>
  </si>
  <si>
    <t>Econazol nitrat 150mg</t>
  </si>
  <si>
    <t>Xian-Janssen Pharmaceutical Ltd.</t>
  </si>
  <si>
    <t>VN-19988-16</t>
  </si>
  <si>
    <t>Acid tranexamic 50mg/ml</t>
  </si>
  <si>
    <t>PT. Novell Pharmaceutical Laboratories</t>
  </si>
  <si>
    <t>VN-11014-10 (có CV gia hạn hiệu lực SĐK 26/7/2017)</t>
  </si>
  <si>
    <t>Bút tiêm,dung dịch tiêm</t>
  </si>
  <si>
    <t>Viên bao phim; Uống</t>
  </si>
  <si>
    <t>Bột pha nước, uống</t>
  </si>
  <si>
    <t>Cốm; uống</t>
  </si>
  <si>
    <t>Viên nén; đặt phụ khoa</t>
  </si>
  <si>
    <t>Dung dịch; uống</t>
  </si>
  <si>
    <t>10 đơn vị/ml</t>
  </si>
  <si>
    <t>0.3g, 0.3g, 0.3g, 0.6g, 0.6g, 1g</t>
  </si>
  <si>
    <t>(0.25g, 0.10g, 0.20g, 0.25g, 0.25g, 0.25g, 0.20g, 0.20g0.25g, 0.30g,  0.10g, 0.25g,  0.15g, 0.15g, 0.20g, 0.10g.)</t>
  </si>
  <si>
    <t xml:space="preserve">50mg/ml </t>
  </si>
  <si>
    <t>Natri clorid 9g/1000ml</t>
  </si>
  <si>
    <t>VN-16752-13</t>
  </si>
  <si>
    <t>Dung dịch; dùng ngoài</t>
  </si>
  <si>
    <t xml:space="preserve"> Bạch truật, Cam thảo, Mạch nha, Đảng sâm, Đỗ trọng, Đương quy, Phục linh, Sa nhân, Hoài sơn,Táo nhân, Liên nhục, Bạch thược,Trần bì, Viễn chí,Ý dĩ , Bạch tật lê.</t>
  </si>
  <si>
    <t>Cordarone 200mg B/ 2bls x 15 Tabs</t>
  </si>
  <si>
    <t>VD-15659-11; VD-28146-17</t>
  </si>
  <si>
    <t>Synmosa Biopharma; Corporation</t>
  </si>
  <si>
    <t xml:space="preserve">Viên bao phim, Dạng Uống </t>
  </si>
  <si>
    <t>Viên nén phân tán; Uống</t>
  </si>
  <si>
    <t>Cream, Bôi</t>
  </si>
  <si>
    <t>viên nén,uống</t>
  </si>
  <si>
    <t>Viên nén bao phim phóng thích kéo dài,Uống</t>
  </si>
  <si>
    <t>Viên nang mềm, uống, đặt âm đạo</t>
  </si>
  <si>
    <t>Viên nang; uống</t>
  </si>
  <si>
    <t>Bình định liều dung dịch; xịt họng</t>
  </si>
  <si>
    <t>Viên nang cứng - Uống</t>
  </si>
  <si>
    <t>Huyện Dương Minh Châu, ngày 19 tháng 10 năm 2020</t>
  </si>
  <si>
    <t>BÁO CÁO KIỂM KÊ THUỐC TRUNG TÂM Y TẾ  NĂM 2020 (Từ ngày 01/10/2019 đến ngày 30/9/2020)</t>
  </si>
  <si>
    <t>Công ty CP DP Hà Tây</t>
  </si>
  <si>
    <t>STT</t>
  </si>
  <si>
    <t>Mã</t>
  </si>
  <si>
    <t>Mã BV</t>
  </si>
  <si>
    <t>Giá nhập</t>
  </si>
  <si>
    <t>Giá BH</t>
  </si>
  <si>
    <t>Tồn ĐK</t>
  </si>
  <si>
    <t>Tổng Nhập</t>
  </si>
  <si>
    <t>Tổng Xuất</t>
  </si>
  <si>
    <t>Tồn CK</t>
  </si>
  <si>
    <t xml:space="preserve">Nhóm Dược-Vật tư: Khác </t>
  </si>
  <si>
    <t>A.T009</t>
  </si>
  <si>
    <t>0100014</t>
  </si>
  <si>
    <t>0100015</t>
  </si>
  <si>
    <t>A.T010</t>
  </si>
  <si>
    <t>103166</t>
  </si>
  <si>
    <t>ACC001</t>
  </si>
  <si>
    <t>0M1538</t>
  </si>
  <si>
    <t>ACE013</t>
  </si>
  <si>
    <t>02060121</t>
  </si>
  <si>
    <t>06070121</t>
  </si>
  <si>
    <t>22070121</t>
  </si>
  <si>
    <t>ACE014</t>
  </si>
  <si>
    <t>2651220</t>
  </si>
  <si>
    <t>3750521</t>
  </si>
  <si>
    <t>ACI002</t>
  </si>
  <si>
    <t>ACR001</t>
  </si>
  <si>
    <t>210245</t>
  </si>
  <si>
    <t>ACT010</t>
  </si>
  <si>
    <t>F96064</t>
  </si>
  <si>
    <t>ACT009</t>
  </si>
  <si>
    <t>ADR007</t>
  </si>
  <si>
    <t>180920</t>
  </si>
  <si>
    <t>ADR006</t>
  </si>
  <si>
    <t>AES003</t>
  </si>
  <si>
    <t>0051120</t>
  </si>
  <si>
    <t>AGI006</t>
  </si>
  <si>
    <t>010221</t>
  </si>
  <si>
    <t>AGI011</t>
  </si>
  <si>
    <t>080920</t>
  </si>
  <si>
    <t>AGI010</t>
  </si>
  <si>
    <t>AGI007</t>
  </si>
  <si>
    <t>371220</t>
  </si>
  <si>
    <t>AGI013</t>
  </si>
  <si>
    <t>061220</t>
  </si>
  <si>
    <t>AIR007</t>
  </si>
  <si>
    <t>050920</t>
  </si>
  <si>
    <t>106T001</t>
  </si>
  <si>
    <t>106T003</t>
  </si>
  <si>
    <t>106T007</t>
  </si>
  <si>
    <t>AIR008</t>
  </si>
  <si>
    <t>58S015</t>
  </si>
  <si>
    <t>58S030</t>
  </si>
  <si>
    <t>58S039</t>
  </si>
  <si>
    <t>ALE007</t>
  </si>
  <si>
    <t>20028</t>
  </si>
  <si>
    <t>21009</t>
  </si>
  <si>
    <t>ALV007</t>
  </si>
  <si>
    <t>060920</t>
  </si>
  <si>
    <t>ALV009</t>
  </si>
  <si>
    <t>219031</t>
  </si>
  <si>
    <t>AMB010</t>
  </si>
  <si>
    <t>0770121</t>
  </si>
  <si>
    <t>AML005</t>
  </si>
  <si>
    <t>KK3732</t>
  </si>
  <si>
    <t>KR2212</t>
  </si>
  <si>
    <t>KR2221</t>
  </si>
  <si>
    <t>ASP006</t>
  </si>
  <si>
    <t>110521</t>
  </si>
  <si>
    <t>210920</t>
  </si>
  <si>
    <t>ATA002</t>
  </si>
  <si>
    <t>251T01</t>
  </si>
  <si>
    <t>ATE005</t>
  </si>
  <si>
    <t>ATI007</t>
  </si>
  <si>
    <t>Atirlic</t>
  </si>
  <si>
    <t>4320019</t>
  </si>
  <si>
    <t>ATO009</t>
  </si>
  <si>
    <t>4590520</t>
  </si>
  <si>
    <t>AUS004</t>
  </si>
  <si>
    <t>AVE002</t>
  </si>
  <si>
    <t>20025</t>
  </si>
  <si>
    <t>BAB002</t>
  </si>
  <si>
    <t>02090320</t>
  </si>
  <si>
    <t>06290520</t>
  </si>
  <si>
    <t>BAM005</t>
  </si>
  <si>
    <t>BAT004</t>
  </si>
  <si>
    <t>BER011</t>
  </si>
  <si>
    <t>005578</t>
  </si>
  <si>
    <t>BER012</t>
  </si>
  <si>
    <t>C35202</t>
  </si>
  <si>
    <t>BET009</t>
  </si>
  <si>
    <t>714937</t>
  </si>
  <si>
    <t>BIH004</t>
  </si>
  <si>
    <t>0050</t>
  </si>
  <si>
    <t>BIR007</t>
  </si>
  <si>
    <t>BIR008</t>
  </si>
  <si>
    <t>2006</t>
  </si>
  <si>
    <t>BIS009</t>
  </si>
  <si>
    <t>020920A</t>
  </si>
  <si>
    <t>021220B</t>
  </si>
  <si>
    <t>030121B</t>
  </si>
  <si>
    <t>BIS011</t>
  </si>
  <si>
    <t>020121</t>
  </si>
  <si>
    <t>030321</t>
  </si>
  <si>
    <t>091020</t>
  </si>
  <si>
    <t>BIS014</t>
  </si>
  <si>
    <t>080620</t>
  </si>
  <si>
    <t>BIS013</t>
  </si>
  <si>
    <t>2105710</t>
  </si>
  <si>
    <t>BIS012</t>
  </si>
  <si>
    <t>100920</t>
  </si>
  <si>
    <t>BRO012</t>
  </si>
  <si>
    <t>001212</t>
  </si>
  <si>
    <t>004202</t>
  </si>
  <si>
    <t>006202</t>
  </si>
  <si>
    <t>BRO013</t>
  </si>
  <si>
    <t>CAD003</t>
  </si>
  <si>
    <t>J0017</t>
  </si>
  <si>
    <t>L0021</t>
  </si>
  <si>
    <t>CAN017</t>
  </si>
  <si>
    <t>JX4258AA</t>
  </si>
  <si>
    <t>CAN018</t>
  </si>
  <si>
    <t>KX7981</t>
  </si>
  <si>
    <t>CAP008</t>
  </si>
  <si>
    <t>00121</t>
  </si>
  <si>
    <t>CAR007</t>
  </si>
  <si>
    <t>030520</t>
  </si>
  <si>
    <t>050820</t>
  </si>
  <si>
    <t>CEL006</t>
  </si>
  <si>
    <t>CCX21005</t>
  </si>
  <si>
    <t>CER003</t>
  </si>
  <si>
    <t>CET011</t>
  </si>
  <si>
    <t>1571020</t>
  </si>
  <si>
    <t>1761020</t>
  </si>
  <si>
    <t>CIP021</t>
  </si>
  <si>
    <t>CIPREMI H1 100MG</t>
  </si>
  <si>
    <t>REMDESIVIR</t>
  </si>
  <si>
    <t>L610339</t>
  </si>
  <si>
    <t>CLO015</t>
  </si>
  <si>
    <t>Acetylsalicylic acid+ Clopidogrel</t>
  </si>
  <si>
    <t>010321</t>
  </si>
  <si>
    <t>020421</t>
  </si>
  <si>
    <t>CLO014</t>
  </si>
  <si>
    <t>1021020</t>
  </si>
  <si>
    <t>4270421</t>
  </si>
  <si>
    <t>520121</t>
  </si>
  <si>
    <t>COL010</t>
  </si>
  <si>
    <t>COL011</t>
  </si>
  <si>
    <t>23983</t>
  </si>
  <si>
    <t>24456</t>
  </si>
  <si>
    <t>COM004</t>
  </si>
  <si>
    <t>01620</t>
  </si>
  <si>
    <t>CON015</t>
  </si>
  <si>
    <t>017191</t>
  </si>
  <si>
    <t>COR013</t>
  </si>
  <si>
    <t>9A132</t>
  </si>
  <si>
    <t>AA075</t>
  </si>
  <si>
    <t>COV006</t>
  </si>
  <si>
    <t>309066</t>
  </si>
  <si>
    <t>309068</t>
  </si>
  <si>
    <t>314725</t>
  </si>
  <si>
    <t>COV007</t>
  </si>
  <si>
    <t>6012194</t>
  </si>
  <si>
    <t>6013339</t>
  </si>
  <si>
    <t>CYP003</t>
  </si>
  <si>
    <t>87377</t>
  </si>
  <si>
    <t>DEX008</t>
  </si>
  <si>
    <t>0520521</t>
  </si>
  <si>
    <t>0740121</t>
  </si>
  <si>
    <t>DIA029</t>
  </si>
  <si>
    <t>6015941</t>
  </si>
  <si>
    <t>6022516</t>
  </si>
  <si>
    <t>6013304</t>
  </si>
  <si>
    <t>6013305</t>
  </si>
  <si>
    <t>DIA018</t>
  </si>
  <si>
    <t>010121</t>
  </si>
  <si>
    <t>071120</t>
  </si>
  <si>
    <t>081220</t>
  </si>
  <si>
    <t>DIB004</t>
  </si>
  <si>
    <t>DIC007</t>
  </si>
  <si>
    <t>2291220</t>
  </si>
  <si>
    <t>2540321</t>
  </si>
  <si>
    <t>2841023</t>
  </si>
  <si>
    <t>DIC008</t>
  </si>
  <si>
    <t>0480621</t>
  </si>
  <si>
    <t>DIL004</t>
  </si>
  <si>
    <t>020321</t>
  </si>
  <si>
    <t>051020</t>
  </si>
  <si>
    <t>DIL003</t>
  </si>
  <si>
    <t>010421</t>
  </si>
  <si>
    <t>DIM002</t>
  </si>
  <si>
    <t>171220</t>
  </si>
  <si>
    <t>DIM001</t>
  </si>
  <si>
    <t>DIO008</t>
  </si>
  <si>
    <t>DIS006</t>
  </si>
  <si>
    <t>040820</t>
  </si>
  <si>
    <t>DOG004</t>
  </si>
  <si>
    <t>DOM016</t>
  </si>
  <si>
    <t>0510521</t>
  </si>
  <si>
    <t>DOM014</t>
  </si>
  <si>
    <t>DOM015</t>
  </si>
  <si>
    <t>82969</t>
  </si>
  <si>
    <t>DOM013</t>
  </si>
  <si>
    <t>010521</t>
  </si>
  <si>
    <t>011020</t>
  </si>
  <si>
    <t>DOP008</t>
  </si>
  <si>
    <t>DOP006</t>
  </si>
  <si>
    <t>DOR016</t>
  </si>
  <si>
    <t>DRO006</t>
  </si>
  <si>
    <t>021220</t>
  </si>
  <si>
    <t>170520</t>
  </si>
  <si>
    <t>DRO009</t>
  </si>
  <si>
    <t>EBI004</t>
  </si>
  <si>
    <t>200720</t>
  </si>
  <si>
    <t>EBI003</t>
  </si>
  <si>
    <t>170620</t>
  </si>
  <si>
    <t>EFF017</t>
  </si>
  <si>
    <t>0121</t>
  </si>
  <si>
    <t>EFF019</t>
  </si>
  <si>
    <t>040519</t>
  </si>
  <si>
    <t>EFF018</t>
  </si>
  <si>
    <t>X6724</t>
  </si>
  <si>
    <t>X7676</t>
  </si>
  <si>
    <t>X9371</t>
  </si>
  <si>
    <t>ELA005</t>
  </si>
  <si>
    <t>A207AJ</t>
  </si>
  <si>
    <t>A316BA</t>
  </si>
  <si>
    <t>ENT006</t>
  </si>
  <si>
    <t>21013GN</t>
  </si>
  <si>
    <t>N3-756-1</t>
  </si>
  <si>
    <t>ERA003</t>
  </si>
  <si>
    <t>2105671</t>
  </si>
  <si>
    <t>2106853</t>
  </si>
  <si>
    <t>ESO004</t>
  </si>
  <si>
    <t>05/1220</t>
  </si>
  <si>
    <t>ESP008</t>
  </si>
  <si>
    <t>FAS003</t>
  </si>
  <si>
    <t>0153A</t>
  </si>
  <si>
    <t>FEG001</t>
  </si>
  <si>
    <t>FEL005</t>
  </si>
  <si>
    <t>110421</t>
  </si>
  <si>
    <t>FEN016</t>
  </si>
  <si>
    <t>FEX003</t>
  </si>
  <si>
    <t>2004865</t>
  </si>
  <si>
    <t>FLA002</t>
  </si>
  <si>
    <t>FLU008</t>
  </si>
  <si>
    <t>002-270320</t>
  </si>
  <si>
    <t>006-230520</t>
  </si>
  <si>
    <t>009-080920</t>
  </si>
  <si>
    <t>FLU013</t>
  </si>
  <si>
    <t>070920</t>
  </si>
  <si>
    <t>FOR003</t>
  </si>
  <si>
    <t>FOR006</t>
  </si>
  <si>
    <t>U02526</t>
  </si>
  <si>
    <t>FUM005</t>
  </si>
  <si>
    <t>022006</t>
  </si>
  <si>
    <t>GAL001</t>
  </si>
  <si>
    <t>BUA17</t>
  </si>
  <si>
    <t>GAS005</t>
  </si>
  <si>
    <t>SH4334</t>
  </si>
  <si>
    <t>GEL006</t>
  </si>
  <si>
    <t>5121</t>
  </si>
  <si>
    <t>GEM001</t>
  </si>
  <si>
    <t>OA21066</t>
  </si>
  <si>
    <t>GIN009</t>
  </si>
  <si>
    <t>T09030</t>
  </si>
  <si>
    <t>GIN008</t>
  </si>
  <si>
    <t>GLI017</t>
  </si>
  <si>
    <t>GLI018</t>
  </si>
  <si>
    <t>040620A</t>
  </si>
  <si>
    <t>040620B</t>
  </si>
  <si>
    <t>GLI019</t>
  </si>
  <si>
    <t>021020B</t>
  </si>
  <si>
    <t>030121</t>
  </si>
  <si>
    <t>120620A</t>
  </si>
  <si>
    <t>GLU058</t>
  </si>
  <si>
    <t>5220</t>
  </si>
  <si>
    <t>GLU059</t>
  </si>
  <si>
    <t>5920</t>
  </si>
  <si>
    <t>GLU060</t>
  </si>
  <si>
    <t>4520</t>
  </si>
  <si>
    <t>6820</t>
  </si>
  <si>
    <t>GLU057</t>
  </si>
  <si>
    <t>050420</t>
  </si>
  <si>
    <t>GLU062</t>
  </si>
  <si>
    <t>0721</t>
  </si>
  <si>
    <t>GLY005</t>
  </si>
  <si>
    <t>Glyceryl trinitrat(Nitroglycerin)</t>
  </si>
  <si>
    <t>104009</t>
  </si>
  <si>
    <t>GLY004</t>
  </si>
  <si>
    <t>GOM001</t>
  </si>
  <si>
    <t>Gomes</t>
  </si>
  <si>
    <t>Methylprednisolon</t>
  </si>
  <si>
    <t>201744</t>
  </si>
  <si>
    <t>GRA011</t>
  </si>
  <si>
    <t>19DO3033</t>
  </si>
  <si>
    <t>HAF003</t>
  </si>
  <si>
    <t>00321</t>
  </si>
  <si>
    <t>HAL001</t>
  </si>
  <si>
    <t>4954A0219</t>
  </si>
  <si>
    <t>2046A0318</t>
  </si>
  <si>
    <t>2787A0918</t>
  </si>
  <si>
    <t>391A0517</t>
  </si>
  <si>
    <t>HAM001</t>
  </si>
  <si>
    <t>6720</t>
  </si>
  <si>
    <t>HAP005</t>
  </si>
  <si>
    <t>170120</t>
  </si>
  <si>
    <t>190220</t>
  </si>
  <si>
    <t>380320</t>
  </si>
  <si>
    <t>HIS004</t>
  </si>
  <si>
    <t>1720221</t>
  </si>
  <si>
    <t>3810620</t>
  </si>
  <si>
    <t>7670620</t>
  </si>
  <si>
    <t>IDA008</t>
  </si>
  <si>
    <t>0240220</t>
  </si>
  <si>
    <t>IDA009</t>
  </si>
  <si>
    <t>IND003</t>
  </si>
  <si>
    <t>PZ10621</t>
  </si>
  <si>
    <t>PZ10721</t>
  </si>
  <si>
    <t>03H20</t>
  </si>
  <si>
    <t>JAP001</t>
  </si>
  <si>
    <t>THA7583</t>
  </si>
  <si>
    <t>KAC007</t>
  </si>
  <si>
    <t>1721020</t>
  </si>
  <si>
    <t>2891020</t>
  </si>
  <si>
    <t>3671020</t>
  </si>
  <si>
    <t>4121020</t>
  </si>
  <si>
    <t>KAN004</t>
  </si>
  <si>
    <t>KAT007</t>
  </si>
  <si>
    <t>1260521</t>
  </si>
  <si>
    <t>5090720</t>
  </si>
  <si>
    <t>KAV006</t>
  </si>
  <si>
    <t>2070521</t>
  </si>
  <si>
    <t>2240221</t>
  </si>
  <si>
    <t>KHI001</t>
  </si>
  <si>
    <t>Khí Oxy</t>
  </si>
  <si>
    <t>Oxy dược dụng</t>
  </si>
  <si>
    <t>Giờ</t>
  </si>
  <si>
    <t>052020</t>
  </si>
  <si>
    <t>19122018</t>
  </si>
  <si>
    <t>231020</t>
  </si>
  <si>
    <t>KOT001</t>
  </si>
  <si>
    <t>ETWS9008</t>
  </si>
  <si>
    <t>LAC009</t>
  </si>
  <si>
    <t>20030</t>
  </si>
  <si>
    <t>21002</t>
  </si>
  <si>
    <t>LAE002</t>
  </si>
  <si>
    <t>17204851</t>
  </si>
  <si>
    <t>LAN009</t>
  </si>
  <si>
    <t>LER002</t>
  </si>
  <si>
    <t>L93749</t>
  </si>
  <si>
    <t>LIP010</t>
  </si>
  <si>
    <t>M1470</t>
  </si>
  <si>
    <t>LIS004</t>
  </si>
  <si>
    <t>T01269B</t>
  </si>
  <si>
    <t>T01748E</t>
  </si>
  <si>
    <t>T04027A</t>
  </si>
  <si>
    <t>T06190B</t>
  </si>
  <si>
    <t>T07246A</t>
  </si>
  <si>
    <t>LOS016</t>
  </si>
  <si>
    <t>0331120</t>
  </si>
  <si>
    <t>LOS020</t>
  </si>
  <si>
    <t>020221</t>
  </si>
  <si>
    <t>241219</t>
  </si>
  <si>
    <t>LOS021</t>
  </si>
  <si>
    <t>791020</t>
  </si>
  <si>
    <t>LOX006</t>
  </si>
  <si>
    <t>MAG014</t>
  </si>
  <si>
    <t>86OFA019</t>
  </si>
  <si>
    <t>86OGA023</t>
  </si>
  <si>
    <t>MAS011</t>
  </si>
  <si>
    <t>MEB012</t>
  </si>
  <si>
    <t>MBL155</t>
  </si>
  <si>
    <t>MED034</t>
  </si>
  <si>
    <t>244320</t>
  </si>
  <si>
    <t>MED030</t>
  </si>
  <si>
    <t>021120</t>
  </si>
  <si>
    <t>MEL014</t>
  </si>
  <si>
    <t>Gliclazid + Metformin</t>
  </si>
  <si>
    <t>GMHH0016</t>
  </si>
  <si>
    <t>MET037</t>
  </si>
  <si>
    <t>Metformin Stella 500 mg</t>
  </si>
  <si>
    <t>040521</t>
  </si>
  <si>
    <t>MEY007</t>
  </si>
  <si>
    <t>MIB007</t>
  </si>
  <si>
    <t>00221</t>
  </si>
  <si>
    <t>MIC006</t>
  </si>
  <si>
    <t>002458</t>
  </si>
  <si>
    <t>MID011</t>
  </si>
  <si>
    <t>MIG003</t>
  </si>
  <si>
    <t>MIR002</t>
  </si>
  <si>
    <t>147C09</t>
  </si>
  <si>
    <t>MIS005</t>
  </si>
  <si>
    <t>040720</t>
  </si>
  <si>
    <t>MON007</t>
  </si>
  <si>
    <t>BMD82007B</t>
  </si>
  <si>
    <t>MYL001</t>
  </si>
  <si>
    <t>2012007</t>
  </si>
  <si>
    <t>MYO004</t>
  </si>
  <si>
    <t>49S029</t>
  </si>
  <si>
    <t>49U009</t>
  </si>
  <si>
    <t>MYP001</t>
  </si>
  <si>
    <t>Paracetamol + Phenylephrin + Dextromethorphan</t>
  </si>
  <si>
    <t>2003001</t>
  </si>
  <si>
    <t>2004002</t>
  </si>
  <si>
    <t>NAL006</t>
  </si>
  <si>
    <t>NAS001</t>
  </si>
  <si>
    <t>NAT023</t>
  </si>
  <si>
    <t>NAT003</t>
  </si>
  <si>
    <t>NEB005</t>
  </si>
  <si>
    <t>NEO020</t>
  </si>
  <si>
    <t>1836</t>
  </si>
  <si>
    <t>1851</t>
  </si>
  <si>
    <t>1852</t>
  </si>
  <si>
    <t>NIK002</t>
  </si>
  <si>
    <t>851020</t>
  </si>
  <si>
    <t>861020</t>
  </si>
  <si>
    <t>NOK001</t>
  </si>
  <si>
    <t>G100537</t>
  </si>
  <si>
    <t>NOV006</t>
  </si>
  <si>
    <t>KP52137</t>
  </si>
  <si>
    <t>LP56696</t>
  </si>
  <si>
    <t>NOV007</t>
  </si>
  <si>
    <t>LP56272</t>
  </si>
  <si>
    <t>NUO010</t>
  </si>
  <si>
    <t>105075</t>
  </si>
  <si>
    <t>106101</t>
  </si>
  <si>
    <t>3080164</t>
  </si>
  <si>
    <t>OCI001</t>
  </si>
  <si>
    <t>M001118</t>
  </si>
  <si>
    <t>OCT002</t>
  </si>
  <si>
    <t>OME008</t>
  </si>
  <si>
    <t>T3671</t>
  </si>
  <si>
    <t>ORE005</t>
  </si>
  <si>
    <t>ORG002</t>
  </si>
  <si>
    <t>T042426</t>
  </si>
  <si>
    <t>OSA001</t>
  </si>
  <si>
    <t>PAC005</t>
  </si>
  <si>
    <t>20103</t>
  </si>
  <si>
    <t>PAN039</t>
  </si>
  <si>
    <t>500321</t>
  </si>
  <si>
    <t>6560320</t>
  </si>
  <si>
    <t>720421</t>
  </si>
  <si>
    <t>PAN040</t>
  </si>
  <si>
    <t>01210221</t>
  </si>
  <si>
    <t>26020321</t>
  </si>
  <si>
    <t>36030321</t>
  </si>
  <si>
    <t>PAR017</t>
  </si>
  <si>
    <t>86PAG010</t>
  </si>
  <si>
    <t>86PEG62</t>
  </si>
  <si>
    <t>PAR018</t>
  </si>
  <si>
    <t>86OGG084</t>
  </si>
  <si>
    <t>86PEG062</t>
  </si>
  <si>
    <t>PAR019</t>
  </si>
  <si>
    <t>200034</t>
  </si>
  <si>
    <t>PAR020</t>
  </si>
  <si>
    <t>0080</t>
  </si>
  <si>
    <t>PED001</t>
  </si>
  <si>
    <t>B115E8003</t>
  </si>
  <si>
    <t>PER007</t>
  </si>
  <si>
    <t>KW3206</t>
  </si>
  <si>
    <t>PHO006</t>
  </si>
  <si>
    <t>028442</t>
  </si>
  <si>
    <t>028568</t>
  </si>
  <si>
    <t>PIP004</t>
  </si>
  <si>
    <t>PIR009</t>
  </si>
  <si>
    <t>4560321</t>
  </si>
  <si>
    <t>7720620</t>
  </si>
  <si>
    <t>PIR011</t>
  </si>
  <si>
    <t>A677A0121</t>
  </si>
  <si>
    <t>PLA003</t>
  </si>
  <si>
    <t>PMS003</t>
  </si>
  <si>
    <t>PMS007</t>
  </si>
  <si>
    <t>625682</t>
  </si>
  <si>
    <t>POM002</t>
  </si>
  <si>
    <t>090321</t>
  </si>
  <si>
    <t>PRA003</t>
  </si>
  <si>
    <t>040320</t>
  </si>
  <si>
    <t>PRA004</t>
  </si>
  <si>
    <t>060320</t>
  </si>
  <si>
    <t>070121</t>
  </si>
  <si>
    <t>PRO021</t>
  </si>
  <si>
    <t>PVP001</t>
  </si>
  <si>
    <t>PYZ001</t>
  </si>
  <si>
    <t>111120</t>
  </si>
  <si>
    <t>081020</t>
  </si>
  <si>
    <t>RAM003</t>
  </si>
  <si>
    <t>2101181</t>
  </si>
  <si>
    <t>RAM002</t>
  </si>
  <si>
    <t>A0672</t>
  </si>
  <si>
    <t>A0754</t>
  </si>
  <si>
    <t>B0033</t>
  </si>
  <si>
    <t>B0034</t>
  </si>
  <si>
    <t>RHI005</t>
  </si>
  <si>
    <t>210301</t>
  </si>
  <si>
    <t>ROC004</t>
  </si>
  <si>
    <t>0060620</t>
  </si>
  <si>
    <t>ROS010</t>
  </si>
  <si>
    <t>ROS009</t>
  </si>
  <si>
    <t>ROT009</t>
  </si>
  <si>
    <t>KU8101</t>
  </si>
  <si>
    <t>ROT006</t>
  </si>
  <si>
    <t>D87666</t>
  </si>
  <si>
    <t>ROT007</t>
  </si>
  <si>
    <t>2670820</t>
  </si>
  <si>
    <t>2750421</t>
  </si>
  <si>
    <t>890221</t>
  </si>
  <si>
    <t>ROT008</t>
  </si>
  <si>
    <t>3010221</t>
  </si>
  <si>
    <t>RUZ005</t>
  </si>
  <si>
    <t>190160</t>
  </si>
  <si>
    <t>SAD004</t>
  </si>
  <si>
    <t>91961</t>
  </si>
  <si>
    <t>SAV028</t>
  </si>
  <si>
    <t>2008366</t>
  </si>
  <si>
    <t>SAV035</t>
  </si>
  <si>
    <t>2008376</t>
  </si>
  <si>
    <t>SAV039</t>
  </si>
  <si>
    <t>2011762</t>
  </si>
  <si>
    <t>2102216</t>
  </si>
  <si>
    <t>2102217</t>
  </si>
  <si>
    <t>2102218</t>
  </si>
  <si>
    <t>2104497</t>
  </si>
  <si>
    <t>SAV044</t>
  </si>
  <si>
    <t>SAV046</t>
  </si>
  <si>
    <t>2008406</t>
  </si>
  <si>
    <t>SAV030</t>
  </si>
  <si>
    <t>2105716</t>
  </si>
  <si>
    <t>SCO002</t>
  </si>
  <si>
    <t>LC58977</t>
  </si>
  <si>
    <t>SER017</t>
  </si>
  <si>
    <t>SER014</t>
  </si>
  <si>
    <t>LD4J</t>
  </si>
  <si>
    <t>SIT001</t>
  </si>
  <si>
    <t>040620</t>
  </si>
  <si>
    <t>061120</t>
  </si>
  <si>
    <t>SME003</t>
  </si>
  <si>
    <t>T15651</t>
  </si>
  <si>
    <t>SOR006</t>
  </si>
  <si>
    <t>090121</t>
  </si>
  <si>
    <t>250421</t>
  </si>
  <si>
    <t>SOR007</t>
  </si>
  <si>
    <t>080121</t>
  </si>
  <si>
    <t>270521</t>
  </si>
  <si>
    <t>SPA002</t>
  </si>
  <si>
    <t>STA008</t>
  </si>
  <si>
    <t>120321</t>
  </si>
  <si>
    <t>210321</t>
  </si>
  <si>
    <t>220321</t>
  </si>
  <si>
    <t>260720</t>
  </si>
  <si>
    <t>320920</t>
  </si>
  <si>
    <t>370920</t>
  </si>
  <si>
    <t>431020</t>
  </si>
  <si>
    <t>STA007</t>
  </si>
  <si>
    <t>140520</t>
  </si>
  <si>
    <t>190620</t>
  </si>
  <si>
    <t>280720</t>
  </si>
  <si>
    <t>STE002</t>
  </si>
  <si>
    <t>2104593</t>
  </si>
  <si>
    <t>SUC011</t>
  </si>
  <si>
    <t>SUN009</t>
  </si>
  <si>
    <t>JKU4268A</t>
  </si>
  <si>
    <t>JKX3159A</t>
  </si>
  <si>
    <t>SYS002</t>
  </si>
  <si>
    <t>0010121</t>
  </si>
  <si>
    <t>0080521</t>
  </si>
  <si>
    <t>0100820</t>
  </si>
  <si>
    <t>TAN005</t>
  </si>
  <si>
    <t>2016003</t>
  </si>
  <si>
    <t>TEL005</t>
  </si>
  <si>
    <t>101220</t>
  </si>
  <si>
    <t>251220</t>
  </si>
  <si>
    <t>TEN014</t>
  </si>
  <si>
    <t>220050</t>
  </si>
  <si>
    <t>TEN015</t>
  </si>
  <si>
    <t>KY6350</t>
  </si>
  <si>
    <t>TER005</t>
  </si>
  <si>
    <t>097-091220</t>
  </si>
  <si>
    <t>THE010</t>
  </si>
  <si>
    <t>G00510</t>
  </si>
  <si>
    <t>G00511</t>
  </si>
  <si>
    <t>THI007</t>
  </si>
  <si>
    <t>TRA007</t>
  </si>
  <si>
    <t>002-180121</t>
  </si>
  <si>
    <t>TUR002</t>
  </si>
  <si>
    <t>0590121</t>
  </si>
  <si>
    <t>TUS001</t>
  </si>
  <si>
    <t>0640521</t>
  </si>
  <si>
    <t>TWY001</t>
  </si>
  <si>
    <t>001775</t>
  </si>
  <si>
    <t>UTR002</t>
  </si>
  <si>
    <t>2090</t>
  </si>
  <si>
    <t>VAC025</t>
  </si>
  <si>
    <t>1470920</t>
  </si>
  <si>
    <t>VAC026</t>
  </si>
  <si>
    <t>0360521</t>
  </si>
  <si>
    <t>0530121</t>
  </si>
  <si>
    <t>VAC027</t>
  </si>
  <si>
    <t>VAC028</t>
  </si>
  <si>
    <t>1280920</t>
  </si>
  <si>
    <t>1370221</t>
  </si>
  <si>
    <t>VAD003</t>
  </si>
  <si>
    <t>0591220</t>
  </si>
  <si>
    <t>VAS009</t>
  </si>
  <si>
    <t>VAS008</t>
  </si>
  <si>
    <t>0390521</t>
  </si>
  <si>
    <t>VEN023</t>
  </si>
  <si>
    <t>R183</t>
  </si>
  <si>
    <t>VEN021</t>
  </si>
  <si>
    <t>2G2G</t>
  </si>
  <si>
    <t>XF4B</t>
  </si>
  <si>
    <t>VEN024</t>
  </si>
  <si>
    <t>FV0707</t>
  </si>
  <si>
    <t>FV0713</t>
  </si>
  <si>
    <t>VEN025</t>
  </si>
  <si>
    <t>FW0566</t>
  </si>
  <si>
    <t>FW0567</t>
  </si>
  <si>
    <t>FW0568</t>
  </si>
  <si>
    <t>VEN020</t>
  </si>
  <si>
    <t>FW0569</t>
  </si>
  <si>
    <t>VIC012</t>
  </si>
  <si>
    <t>VIL001</t>
  </si>
  <si>
    <t>032020</t>
  </si>
  <si>
    <t>VIN003</t>
  </si>
  <si>
    <t>100720</t>
  </si>
  <si>
    <t>110820</t>
  </si>
  <si>
    <t>VIR003</t>
  </si>
  <si>
    <t>VOR006</t>
  </si>
  <si>
    <t>081120</t>
  </si>
  <si>
    <t>XEL001</t>
  </si>
  <si>
    <t>Xelestad</t>
  </si>
  <si>
    <t>Rivaroxaban</t>
  </si>
  <si>
    <t>060821</t>
  </si>
  <si>
    <t>ZOA001</t>
  </si>
  <si>
    <t>141119</t>
  </si>
  <si>
    <t>150920</t>
  </si>
  <si>
    <t>171020</t>
  </si>
  <si>
    <t>201220</t>
  </si>
  <si>
    <t>ZOL002</t>
  </si>
  <si>
    <t>ZYR001</t>
  </si>
  <si>
    <t>G100511</t>
  </si>
  <si>
    <t>G101111</t>
  </si>
  <si>
    <t>ZYR002</t>
  </si>
  <si>
    <t>G100486</t>
  </si>
  <si>
    <t xml:space="preserve">Nhóm Dược-Vật tư: Nhóm dịch truyền </t>
  </si>
  <si>
    <t>AMI008</t>
  </si>
  <si>
    <t>202138061</t>
  </si>
  <si>
    <t>GLU053</t>
  </si>
  <si>
    <t>86PCN001</t>
  </si>
  <si>
    <t>GLU063</t>
  </si>
  <si>
    <t>203967741</t>
  </si>
  <si>
    <t>204227742</t>
  </si>
  <si>
    <t>MAN007</t>
  </si>
  <si>
    <t>NAT017</t>
  </si>
  <si>
    <t>86OME880</t>
  </si>
  <si>
    <t>86PCP054</t>
  </si>
  <si>
    <t>86PDP121</t>
  </si>
  <si>
    <t>86PEE205</t>
  </si>
  <si>
    <t>NAT019</t>
  </si>
  <si>
    <t>86OKE706</t>
  </si>
  <si>
    <t>86OKE715</t>
  </si>
  <si>
    <t>86OLE856</t>
  </si>
  <si>
    <t>RIN002</t>
  </si>
  <si>
    <t>86PBE110</t>
  </si>
  <si>
    <t>RIN003</t>
  </si>
  <si>
    <t>86OKP196</t>
  </si>
  <si>
    <t>86PAE007</t>
  </si>
  <si>
    <t>SMO001</t>
  </si>
  <si>
    <t>16QB0391</t>
  </si>
  <si>
    <t xml:space="preserve">Nhóm Dược-Vật tư: Nhóm kháng sinh </t>
  </si>
  <si>
    <t>AGI016</t>
  </si>
  <si>
    <t>091220</t>
  </si>
  <si>
    <t>AUC006</t>
  </si>
  <si>
    <t>AXU001</t>
  </si>
  <si>
    <t>P262407</t>
  </si>
  <si>
    <t>BIC001</t>
  </si>
  <si>
    <t>BIL006</t>
  </si>
  <si>
    <t>20005</t>
  </si>
  <si>
    <t>21001</t>
  </si>
  <si>
    <t>CEF055</t>
  </si>
  <si>
    <t>010621</t>
  </si>
  <si>
    <t>CEF068</t>
  </si>
  <si>
    <t>CEF056</t>
  </si>
  <si>
    <t>CEF059</t>
  </si>
  <si>
    <t>CEF060</t>
  </si>
  <si>
    <t>CEF072</t>
  </si>
  <si>
    <t>050421</t>
  </si>
  <si>
    <t>CEF073</t>
  </si>
  <si>
    <t>061020</t>
  </si>
  <si>
    <t>071020</t>
  </si>
  <si>
    <t>CEF066</t>
  </si>
  <si>
    <t>CEP022</t>
  </si>
  <si>
    <t>CLA011</t>
  </si>
  <si>
    <t>767Y</t>
  </si>
  <si>
    <t>COT001</t>
  </si>
  <si>
    <t>CUR001</t>
  </si>
  <si>
    <t>KV9007</t>
  </si>
  <si>
    <t>DEX009</t>
  </si>
  <si>
    <t>317620</t>
  </si>
  <si>
    <t>317920</t>
  </si>
  <si>
    <t>DON002</t>
  </si>
  <si>
    <t>421120</t>
  </si>
  <si>
    <t>ERY008</t>
  </si>
  <si>
    <t>1800121</t>
  </si>
  <si>
    <t>1960920</t>
  </si>
  <si>
    <t>EYE001</t>
  </si>
  <si>
    <t>GRI006</t>
  </si>
  <si>
    <t>HAG006</t>
  </si>
  <si>
    <t>031020</t>
  </si>
  <si>
    <t>091120</t>
  </si>
  <si>
    <t>HAP007</t>
  </si>
  <si>
    <t>031120</t>
  </si>
  <si>
    <t>HAP006</t>
  </si>
  <si>
    <t>140221</t>
  </si>
  <si>
    <t>160920</t>
  </si>
  <si>
    <t>IME003</t>
  </si>
  <si>
    <t>Imedroxil 500 mg</t>
  </si>
  <si>
    <t>ING001</t>
  </si>
  <si>
    <t>KAM006</t>
  </si>
  <si>
    <t>1120920</t>
  </si>
  <si>
    <t>1180521</t>
  </si>
  <si>
    <t>180121</t>
  </si>
  <si>
    <t>KET003</t>
  </si>
  <si>
    <t>20104</t>
  </si>
  <si>
    <t>MEP006</t>
  </si>
  <si>
    <t>0020121</t>
  </si>
  <si>
    <t>0081220</t>
  </si>
  <si>
    <t>MID009</t>
  </si>
  <si>
    <t>020521</t>
  </si>
  <si>
    <t>MID012</t>
  </si>
  <si>
    <t>N3-177-1</t>
  </si>
  <si>
    <t>Midataxim 2g</t>
  </si>
  <si>
    <t>040920</t>
  </si>
  <si>
    <t>MIN001</t>
  </si>
  <si>
    <t>NEO022</t>
  </si>
  <si>
    <t>0230720</t>
  </si>
  <si>
    <t>0290720</t>
  </si>
  <si>
    <t>NEO023</t>
  </si>
  <si>
    <t>M124</t>
  </si>
  <si>
    <t>NEO021</t>
  </si>
  <si>
    <t>FK85J901</t>
  </si>
  <si>
    <t>NIZ002</t>
  </si>
  <si>
    <t>20D75</t>
  </si>
  <si>
    <t>NYS015</t>
  </si>
  <si>
    <t>003201</t>
  </si>
  <si>
    <t>004201</t>
  </si>
  <si>
    <t>PMS006</t>
  </si>
  <si>
    <t>POL003</t>
  </si>
  <si>
    <t>54484</t>
  </si>
  <si>
    <t>QUA007</t>
  </si>
  <si>
    <t>ROV009</t>
  </si>
  <si>
    <t>090720</t>
  </si>
  <si>
    <t>SAL005</t>
  </si>
  <si>
    <t>210042</t>
  </si>
  <si>
    <t>SCD003</t>
  </si>
  <si>
    <t>SPI013</t>
  </si>
  <si>
    <t>2180420</t>
  </si>
  <si>
    <t>2670321</t>
  </si>
  <si>
    <t>3911219</t>
  </si>
  <si>
    <t>SPI014</t>
  </si>
  <si>
    <t>7930420</t>
  </si>
  <si>
    <t>8850420</t>
  </si>
  <si>
    <t>8990420</t>
  </si>
  <si>
    <t>TIN007</t>
  </si>
  <si>
    <t>5120421</t>
  </si>
  <si>
    <t>TOB016</t>
  </si>
  <si>
    <t>20013</t>
  </si>
  <si>
    <t>21006</t>
  </si>
  <si>
    <t>TOB015</t>
  </si>
  <si>
    <t>VIZ002</t>
  </si>
  <si>
    <t>2219</t>
  </si>
  <si>
    <t xml:space="preserve">Nhóm Dược-Vật tư: Nhóm máu </t>
  </si>
  <si>
    <t>CHI026</t>
  </si>
  <si>
    <t>Chi phí vận chuyển máu</t>
  </si>
  <si>
    <t xml:space="preserve"> </t>
  </si>
  <si>
    <t>Lần</t>
  </si>
  <si>
    <t>001</t>
  </si>
  <si>
    <t>003</t>
  </si>
  <si>
    <t>26022019</t>
  </si>
  <si>
    <t>Khối hồng cầu từ 350 ml máu toàn phần (Đã bao gồm chi phí xét nghiệm NAT và chi phí xét nghiệm sàng lọc kháng thể bất thường)</t>
  </si>
  <si>
    <t>Đơn vị</t>
  </si>
  <si>
    <t>002</t>
  </si>
  <si>
    <t>KHO003</t>
  </si>
  <si>
    <t>Khối hồng cầu từ 350 ml máu toàn phần (Đã bao gồm chi phí xét nghiệm NAT)</t>
  </si>
  <si>
    <t>TIM001</t>
  </si>
  <si>
    <t>Tìm ký sinh trùng sốt rét trong máu (bằng phương pháp thủ công)</t>
  </si>
  <si>
    <t xml:space="preserve">Nhóm Dược-Vật tư: Nhóm thuốc Corticoid </t>
  </si>
  <si>
    <t>HYD012</t>
  </si>
  <si>
    <t>1860421</t>
  </si>
  <si>
    <t>3060221</t>
  </si>
  <si>
    <t>SYM001</t>
  </si>
  <si>
    <t xml:space="preserve">Nhóm Dược-Vật tư: Nhóm thuốc Đông Y </t>
  </si>
  <si>
    <t>ACO001</t>
  </si>
  <si>
    <t>0,32g, 0,64g, 0,64g, 0,32g, 0,32g, 0,32g, 0,4ml, 2,00g</t>
  </si>
  <si>
    <t>1720</t>
  </si>
  <si>
    <t>2020</t>
  </si>
  <si>
    <t>ANT016</t>
  </si>
  <si>
    <t>0010620</t>
  </si>
  <si>
    <t>0020620</t>
  </si>
  <si>
    <t>ATI006</t>
  </si>
  <si>
    <t>20029</t>
  </si>
  <si>
    <t>21007</t>
  </si>
  <si>
    <t>BAC004</t>
  </si>
  <si>
    <t>BAI006</t>
  </si>
  <si>
    <t>050121</t>
  </si>
  <si>
    <t>BOH002</t>
  </si>
  <si>
    <t>BOH003</t>
  </si>
  <si>
    <t>BOT007</t>
  </si>
  <si>
    <t>CAM007</t>
  </si>
  <si>
    <t>CAO012</t>
  </si>
  <si>
    <t>Đảng sâm, Bạch linh, Bạch truật, Cam thảo, Thục địa, Bạch thược, Đương quy, Xuyên khung, Ích mẫu</t>
  </si>
  <si>
    <t>0,36g, 0,36g, 0,36g, 0,18g, 0,72g, 0,36g, 0,72g, 0,36g, 1,44g</t>
  </si>
  <si>
    <t>010920</t>
  </si>
  <si>
    <t>CAO013</t>
  </si>
  <si>
    <t>CAO014</t>
  </si>
  <si>
    <t>COL012</t>
  </si>
  <si>
    <t>30mg, 63mg, 70mg, 100mg, 100mg</t>
  </si>
  <si>
    <t>CRI005</t>
  </si>
  <si>
    <t>DAD002</t>
  </si>
  <si>
    <t>DAI010</t>
  </si>
  <si>
    <t>DIE005</t>
  </si>
  <si>
    <t>DIE006</t>
  </si>
  <si>
    <t>DIG011</t>
  </si>
  <si>
    <t>Hoài sơn,Bạch biển đậu, Ý dĩ, Sa nhân, Mạch nha, Trần bì, Nhục đấu khấu, Đảng sâm, Liên nhục</t>
  </si>
  <si>
    <t>800mg, 800mg, 800mg, 16mg, 400mg, 24mg, 16mg, 800mg, 400mg</t>
  </si>
  <si>
    <t>DOC005</t>
  </si>
  <si>
    <t>0321</t>
  </si>
  <si>
    <t>2021</t>
  </si>
  <si>
    <t>DUO018</t>
  </si>
  <si>
    <t>2921</t>
  </si>
  <si>
    <t>5120</t>
  </si>
  <si>
    <t>7220</t>
  </si>
  <si>
    <t>DUO019</t>
  </si>
  <si>
    <t>020320</t>
  </si>
  <si>
    <t>FIT006</t>
  </si>
  <si>
    <t>0520</t>
  </si>
  <si>
    <t>FIT009</t>
  </si>
  <si>
    <t>0221</t>
  </si>
  <si>
    <t>FIT007</t>
  </si>
  <si>
    <t>FIT008</t>
  </si>
  <si>
    <t>GIA019</t>
  </si>
  <si>
    <t>1,70g. 0,83g. 0,83g. 0,60g. 0,60g. 0,60g. 0,83g. 0,42g. 0,42g. 0,23g. 0,42g</t>
  </si>
  <si>
    <t>051220</t>
  </si>
  <si>
    <t>HAM002</t>
  </si>
  <si>
    <t>011120</t>
  </si>
  <si>
    <t>HOA037</t>
  </si>
  <si>
    <t>C20010</t>
  </si>
  <si>
    <t>C21011</t>
  </si>
  <si>
    <t>C20002</t>
  </si>
  <si>
    <t>C20008</t>
  </si>
  <si>
    <t>C20009</t>
  </si>
  <si>
    <t>HOA038</t>
  </si>
  <si>
    <t>20010</t>
  </si>
  <si>
    <t>HOA039</t>
  </si>
  <si>
    <t>Hoàn lục vị địa hoàng</t>
  </si>
  <si>
    <t>HOA040</t>
  </si>
  <si>
    <t>20099</t>
  </si>
  <si>
    <t>21010</t>
  </si>
  <si>
    <t>21022</t>
  </si>
  <si>
    <t>21058</t>
  </si>
  <si>
    <t>21093</t>
  </si>
  <si>
    <t>HOA041</t>
  </si>
  <si>
    <t>HOA042</t>
  </si>
  <si>
    <t>111220</t>
  </si>
  <si>
    <t>121220</t>
  </si>
  <si>
    <t>211220</t>
  </si>
  <si>
    <t>220720</t>
  </si>
  <si>
    <t>HOA043</t>
  </si>
  <si>
    <t>150mg, 40mg</t>
  </si>
  <si>
    <t>130820</t>
  </si>
  <si>
    <t>HOA045</t>
  </si>
  <si>
    <t>HOẠT HUYẾT DƯỠNG NÃO ĐÔNG DƯỢC VIỆT</t>
  </si>
  <si>
    <t>Địa long, Hoàng kỳ, Đương quy, Xích thược, Xuyên khung, Đào nhân, Hồng hoa.</t>
  </si>
  <si>
    <t>120mg, 1.200mg, 240mg, 180mg, 120mg, 120mg, 120mg</t>
  </si>
  <si>
    <t>080621</t>
  </si>
  <si>
    <t>090621</t>
  </si>
  <si>
    <t>181220</t>
  </si>
  <si>
    <t>191220</t>
  </si>
  <si>
    <t>HOA044</t>
  </si>
  <si>
    <t>IBA001</t>
  </si>
  <si>
    <t>Hồng hoa, Đương quy, Sinh địa, Sài hồ, Cam thảo, Xích thược, Xuyên khung, Chỉ xác, Ngưu tất, Bạch quả</t>
  </si>
  <si>
    <t>280mg, 685mg, 375mg, 280mg, 375mg, 375mg, 685mg, 280mg, 375mg, 15mg</t>
  </si>
  <si>
    <t>720012</t>
  </si>
  <si>
    <t>KEN001</t>
  </si>
  <si>
    <t>060707</t>
  </si>
  <si>
    <t>160704</t>
  </si>
  <si>
    <t>KHA013</t>
  </si>
  <si>
    <t>20017</t>
  </si>
  <si>
    <t>20018</t>
  </si>
  <si>
    <t>21004</t>
  </si>
  <si>
    <t>21005</t>
  </si>
  <si>
    <t>21008</t>
  </si>
  <si>
    <t>KHA014</t>
  </si>
  <si>
    <t>18008</t>
  </si>
  <si>
    <t>KIM042</t>
  </si>
  <si>
    <t>KIM TIỀN THẢO</t>
  </si>
  <si>
    <t>21019</t>
  </si>
  <si>
    <t>KIM043</t>
  </si>
  <si>
    <t>120mg, 35mg</t>
  </si>
  <si>
    <t>050520</t>
  </si>
  <si>
    <t>KIM044</t>
  </si>
  <si>
    <t>0,28g</t>
  </si>
  <si>
    <t>KIM046</t>
  </si>
  <si>
    <t>LIN002</t>
  </si>
  <si>
    <t>LIP011</t>
  </si>
  <si>
    <t>LIPIDAN</t>
  </si>
  <si>
    <t>440mg, 890mg, 440mg, 440mg, 110mg, 440mg, 560mg, 440mg, 330mg</t>
  </si>
  <si>
    <t>010821</t>
  </si>
  <si>
    <t>03L20</t>
  </si>
  <si>
    <t>05M20</t>
  </si>
  <si>
    <t>MAS012</t>
  </si>
  <si>
    <t>104320</t>
  </si>
  <si>
    <t>106521</t>
  </si>
  <si>
    <t>109520</t>
  </si>
  <si>
    <t>MAT004</t>
  </si>
  <si>
    <t>MÁT GAN 
GIẢI ĐỘC</t>
  </si>
  <si>
    <t>8,4g, 5,6g, 8,4g, 8,4g, 7g, 5,6g, 5,6g, 5,6g, 4,2g, 2,8g, 2,8g</t>
  </si>
  <si>
    <t>MED036</t>
  </si>
  <si>
    <t>Bột bèo hoa dâu</t>
  </si>
  <si>
    <t>107921</t>
  </si>
  <si>
    <t>PHA001</t>
  </si>
  <si>
    <t>20mg, 400mg, 400mg, 400mg, 300mg, 300mg, 400mg, 300mg, 300mg, 400mg, 300mg, 400mg</t>
  </si>
  <si>
    <t>040120</t>
  </si>
  <si>
    <t>PHO008</t>
  </si>
  <si>
    <t>200605</t>
  </si>
  <si>
    <t>200606</t>
  </si>
  <si>
    <t>200815</t>
  </si>
  <si>
    <t>PHO009</t>
  </si>
  <si>
    <t>0821</t>
  </si>
  <si>
    <t>1421</t>
  </si>
  <si>
    <t>2720</t>
  </si>
  <si>
    <t>3320</t>
  </si>
  <si>
    <t>4320</t>
  </si>
  <si>
    <t>PHU002</t>
  </si>
  <si>
    <t>0,3g, 0,15g, 0,1g, 0,1g, 0,15g, 0,1g, 0,2g, 0,1g, 0,05g, 0,25g</t>
  </si>
  <si>
    <t>PHY001</t>
  </si>
  <si>
    <t>011021</t>
  </si>
  <si>
    <t>QUA008</t>
  </si>
  <si>
    <t>200mg, 150mg, 16mg</t>
  </si>
  <si>
    <t>RHE008</t>
  </si>
  <si>
    <t>0621</t>
  </si>
  <si>
    <t>2421</t>
  </si>
  <si>
    <t>2620</t>
  </si>
  <si>
    <t>SAN015</t>
  </si>
  <si>
    <t>0421</t>
  </si>
  <si>
    <t>SIR007</t>
  </si>
  <si>
    <t>SIR008</t>
  </si>
  <si>
    <t>400mg, 200mg, 200mg, 400mg, 200mg, 400mg, 80mg</t>
  </si>
  <si>
    <t>030820</t>
  </si>
  <si>
    <t>SON005</t>
  </si>
  <si>
    <t>1020</t>
  </si>
  <si>
    <t>SUP003</t>
  </si>
  <si>
    <t>1,5g, 1,5g, 0,5g, 0,5g</t>
  </si>
  <si>
    <t>TAD003</t>
  </si>
  <si>
    <t>090820</t>
  </si>
  <si>
    <t>THA009</t>
  </si>
  <si>
    <t>300321</t>
  </si>
  <si>
    <t>THA010</t>
  </si>
  <si>
    <t>THO001</t>
  </si>
  <si>
    <t>20-0008E</t>
  </si>
  <si>
    <t>20-0009</t>
  </si>
  <si>
    <t>THO002</t>
  </si>
  <si>
    <t>20-1005</t>
  </si>
  <si>
    <t>THU011</t>
  </si>
  <si>
    <t>Thuốc hạ huyết áp Casoran</t>
  </si>
  <si>
    <t>Dừa cạn, Cúc hoa, Hòe hoa, Tâm sen, Cỏ ngọt</t>
  </si>
  <si>
    <t>THU012</t>
  </si>
  <si>
    <t>20037</t>
  </si>
  <si>
    <t>20046</t>
  </si>
  <si>
    <t>21003</t>
  </si>
  <si>
    <t>TIS001</t>
  </si>
  <si>
    <t>Đỗ trọng, Ngũ gia bì chân chim, Thiên niên kiện, Tục đoạn, Đại hoàng, Xuyên khung, Tần giao, Sinh địa, Uy linh tiên, Đương quy, Quế, Cam thảo</t>
  </si>
  <si>
    <t>1100mg. 1100mg. 1100mg. 1100mg. 800mg. 470mg. 470mg. 470mg. 470mg. 470mg. 350mg. 350mg</t>
  </si>
  <si>
    <t>040221</t>
  </si>
  <si>
    <t>060621</t>
  </si>
  <si>
    <t>111020</t>
  </si>
  <si>
    <t>131120</t>
  </si>
  <si>
    <t>V.P001</t>
  </si>
  <si>
    <t>011220</t>
  </si>
  <si>
    <t>020821</t>
  </si>
  <si>
    <t>03012</t>
  </si>
  <si>
    <t>VAN001</t>
  </si>
  <si>
    <t>Vạn Xuân 
Hộ não tâm</t>
  </si>
  <si>
    <t>Hoàng kỳ, Đào nhân, Hồng hoa, Địa long,  Nhân sâm, Xuyên khung, Đương quy, Xích thược, Bạch thược</t>
  </si>
  <si>
    <t>760mg, 70mg, 70mg, 160mg, 80mg, 60mg, 140mg, 140mg, 140mg</t>
  </si>
  <si>
    <t>VG-002</t>
  </si>
  <si>
    <t>030221</t>
  </si>
  <si>
    <t>VIE009</t>
  </si>
  <si>
    <t>100221</t>
  </si>
  <si>
    <t>VIE007</t>
  </si>
  <si>
    <t>VIE008</t>
  </si>
  <si>
    <t>XOA001</t>
  </si>
  <si>
    <t>XOANGSPRAY</t>
  </si>
  <si>
    <t>Liên kiều, Kim ngân hoa, Hoàng cầm, Menthol, Eucalyptol, Camphor</t>
  </si>
  <si>
    <t>1g, 0,5g, 0,5g, 0,008g, 0,006g, 0,004g</t>
  </si>
  <si>
    <t>0017</t>
  </si>
  <si>
    <t>1007</t>
  </si>
  <si>
    <t xml:space="preserve">Nhóm Dược-Vật tư: Nhóm thuốc thường </t>
  </si>
  <si>
    <t>CAL029</t>
  </si>
  <si>
    <t>Calcium Stella 500 mg</t>
  </si>
  <si>
    <t>040121</t>
  </si>
  <si>
    <t>260221</t>
  </si>
  <si>
    <t>310221</t>
  </si>
  <si>
    <t>420321</t>
  </si>
  <si>
    <t>430321</t>
  </si>
  <si>
    <t>460321</t>
  </si>
  <si>
    <t>590421</t>
  </si>
  <si>
    <t>710521</t>
  </si>
  <si>
    <t>931220</t>
  </si>
  <si>
    <t>DEX006</t>
  </si>
  <si>
    <t>LIS006</t>
  </si>
  <si>
    <t>Lisinopril Stella 10mg</t>
  </si>
  <si>
    <t>120820</t>
  </si>
  <si>
    <t>VIN007</t>
  </si>
  <si>
    <t>Vinphyton</t>
  </si>
  <si>
    <t>070220</t>
  </si>
  <si>
    <t xml:space="preserve">Nhóm Dược-Vật tư: Thầu tập trung 2017 </t>
  </si>
  <si>
    <t>030320</t>
  </si>
  <si>
    <t>G905441</t>
  </si>
  <si>
    <t>2371120</t>
  </si>
  <si>
    <t>060520</t>
  </si>
  <si>
    <t>275619</t>
  </si>
  <si>
    <t>275719</t>
  </si>
  <si>
    <t>294819</t>
  </si>
  <si>
    <t>C07090</t>
  </si>
  <si>
    <t>191768</t>
  </si>
  <si>
    <t>200018</t>
  </si>
  <si>
    <t>3910120</t>
  </si>
  <si>
    <t>1701120</t>
  </si>
  <si>
    <t>1810220</t>
  </si>
  <si>
    <t>86OHG004</t>
  </si>
  <si>
    <t>800820</t>
  </si>
  <si>
    <t>810820</t>
  </si>
  <si>
    <t>980920</t>
  </si>
  <si>
    <t>3781020</t>
  </si>
  <si>
    <t>2921120</t>
  </si>
  <si>
    <t>330920</t>
  </si>
  <si>
    <t>380920</t>
  </si>
  <si>
    <t>431120</t>
  </si>
  <si>
    <t>2201020</t>
  </si>
  <si>
    <t>541120</t>
  </si>
  <si>
    <t>591220</t>
  </si>
  <si>
    <t>4120520</t>
  </si>
  <si>
    <t>7140620</t>
  </si>
  <si>
    <t>7150620</t>
  </si>
  <si>
    <t>2550920</t>
  </si>
  <si>
    <t>020920</t>
  </si>
  <si>
    <t>3841120</t>
  </si>
  <si>
    <t>601220</t>
  </si>
  <si>
    <t>4090420</t>
  </si>
  <si>
    <t>1361020</t>
  </si>
  <si>
    <t>631120</t>
  </si>
  <si>
    <t>120620</t>
  </si>
  <si>
    <t>06OHN040</t>
  </si>
  <si>
    <t>0170</t>
  </si>
  <si>
    <t>01320</t>
  </si>
  <si>
    <t>110201</t>
  </si>
  <si>
    <t>045-090920</t>
  </si>
  <si>
    <t>A06057A</t>
  </si>
  <si>
    <t>4520520</t>
  </si>
  <si>
    <t>5900520</t>
  </si>
  <si>
    <t>7760520</t>
  </si>
  <si>
    <t>143537</t>
  </si>
  <si>
    <t>143538</t>
  </si>
  <si>
    <t>7020520</t>
  </si>
  <si>
    <t>3271120</t>
  </si>
  <si>
    <t>851120</t>
  </si>
  <si>
    <t>2011760</t>
  </si>
  <si>
    <t>1908859</t>
  </si>
  <si>
    <t>20019</t>
  </si>
  <si>
    <t>20026</t>
  </si>
  <si>
    <t>004-020720</t>
  </si>
  <si>
    <t>004-290420</t>
  </si>
  <si>
    <t xml:space="preserve">Nhóm Dược-Vật tư: Thuốc COVID </t>
  </si>
  <si>
    <t>DEX010</t>
  </si>
  <si>
    <t>Dexastad 4mg</t>
  </si>
  <si>
    <t>Dexamethason phosphat 4mg</t>
  </si>
  <si>
    <t xml:space="preserve">Nhóm Dược-Vật tư: Thuốc gây nghiện </t>
  </si>
  <si>
    <t>MOR002</t>
  </si>
  <si>
    <t>331220</t>
  </si>
  <si>
    <t xml:space="preserve">Nhóm Dược-Vật tư: Thuốc hướng tâm thần </t>
  </si>
  <si>
    <t>DIA020</t>
  </si>
  <si>
    <t>945014</t>
  </si>
  <si>
    <t>SED005</t>
  </si>
  <si>
    <t xml:space="preserve">Nhóm Dược-Vật tư: Vitamin - Khoáng chất </t>
  </si>
  <si>
    <t>A.T004</t>
  </si>
  <si>
    <t>103126</t>
  </si>
  <si>
    <t>2990021</t>
  </si>
  <si>
    <t>A.T003</t>
  </si>
  <si>
    <t>0269</t>
  </si>
  <si>
    <t>1150</t>
  </si>
  <si>
    <t>A.T006</t>
  </si>
  <si>
    <t>0460007</t>
  </si>
  <si>
    <t>AGI005</t>
  </si>
  <si>
    <t>BAB004</t>
  </si>
  <si>
    <t>12.000IU</t>
  </si>
  <si>
    <t>BOC001</t>
  </si>
  <si>
    <t>030121A</t>
  </si>
  <si>
    <t>060820A</t>
  </si>
  <si>
    <t>100121B</t>
  </si>
  <si>
    <t>110121A</t>
  </si>
  <si>
    <t>CAL023</t>
  </si>
  <si>
    <t>00921</t>
  </si>
  <si>
    <t>01920</t>
  </si>
  <si>
    <t>02621</t>
  </si>
  <si>
    <t>CAL021</t>
  </si>
  <si>
    <t>CAL025</t>
  </si>
  <si>
    <t>74998</t>
  </si>
  <si>
    <t>CAL022</t>
  </si>
  <si>
    <t>CAL026</t>
  </si>
  <si>
    <t>7050521</t>
  </si>
  <si>
    <t>DEB003</t>
  </si>
  <si>
    <t>133613</t>
  </si>
  <si>
    <t>133614</t>
  </si>
  <si>
    <t>FAT005</t>
  </si>
  <si>
    <t>GRO006</t>
  </si>
  <si>
    <t>1571218</t>
  </si>
  <si>
    <t>HUM001</t>
  </si>
  <si>
    <t>INC001</t>
  </si>
  <si>
    <t>KIT001</t>
  </si>
  <si>
    <t>138401</t>
  </si>
  <si>
    <t>138403</t>
  </si>
  <si>
    <t>19001</t>
  </si>
  <si>
    <t>MAG013</t>
  </si>
  <si>
    <t>062020</t>
  </si>
  <si>
    <t>MEZ009</t>
  </si>
  <si>
    <t>531220</t>
  </si>
  <si>
    <t>761220</t>
  </si>
  <si>
    <t>NEU012</t>
  </si>
  <si>
    <t>OBI001</t>
  </si>
  <si>
    <t>200321</t>
  </si>
  <si>
    <t>SAV047</t>
  </si>
  <si>
    <t>2101076</t>
  </si>
  <si>
    <t>2101077</t>
  </si>
  <si>
    <t>VAC024</t>
  </si>
  <si>
    <t>1181120</t>
  </si>
  <si>
    <t>VIN002</t>
  </si>
  <si>
    <t>101020</t>
  </si>
  <si>
    <t>VIT040</t>
  </si>
  <si>
    <t>1220</t>
  </si>
  <si>
    <t>VIT037</t>
  </si>
  <si>
    <t>110121</t>
  </si>
  <si>
    <t>141120</t>
  </si>
  <si>
    <t>VIT038</t>
  </si>
  <si>
    <t>1750920</t>
  </si>
  <si>
    <t>670521</t>
  </si>
  <si>
    <t>VIT041</t>
  </si>
  <si>
    <t>0151220</t>
  </si>
  <si>
    <t>0220621</t>
  </si>
  <si>
    <t>VIT042</t>
  </si>
  <si>
    <t>290121</t>
  </si>
  <si>
    <t>3460121</t>
  </si>
  <si>
    <t>4360421</t>
  </si>
  <si>
    <t>651020</t>
  </si>
  <si>
    <t>VIT043</t>
  </si>
  <si>
    <t>4000321</t>
  </si>
  <si>
    <t>5640520</t>
  </si>
  <si>
    <t>8470620</t>
  </si>
  <si>
    <t>8490620</t>
  </si>
  <si>
    <t>VIT044</t>
  </si>
  <si>
    <t>1431120</t>
  </si>
  <si>
    <t>24319020</t>
  </si>
  <si>
    <t>2440820</t>
  </si>
  <si>
    <t>Tổng cộng</t>
  </si>
  <si>
    <t>Tuyến xã sử dụng được</t>
  </si>
  <si>
    <t>Nồng độ -
Hàm lượng</t>
  </si>
  <si>
    <t>Tên thuốc</t>
  </si>
  <si>
    <t>Quy cách,
Dạng bào chế, Đường dùng</t>
  </si>
  <si>
    <t>SĐK hoặc GPNK</t>
  </si>
  <si>
    <t>Cơ sở sản xuất</t>
  </si>
  <si>
    <t>Đơn giá
trúng thầu
(có VAT)</t>
  </si>
  <si>
    <t>Thuốc từ chối thanh toán</t>
  </si>
  <si>
    <t>Số lượng</t>
  </si>
  <si>
    <t>X</t>
  </si>
  <si>
    <t>x</t>
  </si>
  <si>
    <t>Quỹ BHYT thanh toán trong giới hạn chỉ định điều trị viêm xoang, viêm mũi dị ứng.</t>
  </si>
  <si>
    <t>Quỹ BHYT thanh toán trong giới hạn chỉ định điều trị bệnh lý tim mạch, hạ Cholesterol trong máu, giảm vữa xơ mạch máu.</t>
  </si>
  <si>
    <t>Quỹ BHYT thanh toán trong giới hạn chỉ định điều trị tai biến mạch máu não, di chứng sau tai biến mạch máu não.</t>
  </si>
  <si>
    <t>Quỹ BHYT thanh toán trong giới hạn chỉ định điều trị viêm đại tràng mạn tính.</t>
  </si>
  <si>
    <t>Quỹ BHYT thanh toán trong giới hạn sử dụng tại bệnh viện/viện YHCT hoặc bệnh viện/viện hạng II trở lên.</t>
  </si>
  <si>
    <t>Huyện Dương Minh Châu, ngày 10 tháng 01 năm 2022</t>
  </si>
  <si>
    <t>BÁO CÁO SỬ DỤNG THUỐC TRUNG TÂM Y TẾ  NĂM 2022 (Từ ngày 01/01/2021 đến ngày 01/01/2022)</t>
  </si>
  <si>
    <t>Số lượng thầu còn lại đến ngày 01/01/2020</t>
  </si>
  <si>
    <t>nhập bổ sung tháng 1 của 106k tổng tiền: 36.083.460 đồng</t>
  </si>
  <si>
    <t>Ever Neuro Pharma GMBH</t>
  </si>
  <si>
    <t>Công ty cổ phần dược phẩm 3/1</t>
  </si>
  <si>
    <t>Medisun</t>
  </si>
  <si>
    <t>Công ty cổ phần dược phẩm Trung ương 1</t>
  </si>
  <si>
    <t>VD-28704-18</t>
  </si>
  <si>
    <t>VD-21323-14</t>
  </si>
  <si>
    <t>N3-464-2</t>
  </si>
  <si>
    <t>Viên nang mềm , Uống</t>
  </si>
  <si>
    <t>Dung dịch tiêm, tiêm</t>
  </si>
  <si>
    <t>Dung dịch thuốc tiêm, tiêm</t>
  </si>
  <si>
    <t>456 mg + 426 mgống 10ml</t>
  </si>
  <si>
    <t>Acetylsalicylic acid(DL-lysin-acetylsalicylat)</t>
  </si>
  <si>
    <t>CSSX thuốc đông y, thuốc từ dược liệu Dược Phát</t>
  </si>
  <si>
    <t>0.05mg+0.02mg/liều lọ 10ml (200 liều)</t>
  </si>
  <si>
    <t>Hộp/10 vỉ x 10 viên, viên nén, uống</t>
  </si>
  <si>
    <t>6573/QLD-KD, 12/05/2017</t>
  </si>
  <si>
    <t>Hộp/06 vỉ x 10 viên, viên nén bao phim, uống</t>
  </si>
  <si>
    <t>Hộp/10 vỉ x 10 viên,  viên nén bao phim, uống</t>
  </si>
  <si>
    <t>Hộp/10 vỉ x 10 viên, viên nén bao phim, uống</t>
  </si>
  <si>
    <t xml:space="preserve">Hộp 1 chai 15ml, Hỗn dịch uống, Uống </t>
  </si>
  <si>
    <t>Hộp 1 lọ x 5ml; Thuốc nhỏ mắt</t>
  </si>
  <si>
    <t>100.000UI + 500mg +65.000 IU</t>
  </si>
  <si>
    <t>Hộp 20 gói  x 2g, Thuốc bột uống, Uống</t>
  </si>
  <si>
    <t>Cty CPDP TW25</t>
  </si>
  <si>
    <t>Hộp/05 vỉ x 10 viên, viên nén, uống</t>
  </si>
  <si>
    <t>25mcg + 250mcg/120 liều</t>
  </si>
  <si>
    <t>Hộp 10 vỉ  x  10 viên; Viên nén, Uống</t>
  </si>
  <si>
    <t>Số lượng tồn kho đến ngày 31/12/2021</t>
  </si>
  <si>
    <t>Quy cách, dạng bào chế, đường dùng</t>
  </si>
  <si>
    <t>DANH MỤC THUỐC HIỆN ĐANG SỬ DỤNG ĐẾN 31/12/2021</t>
  </si>
  <si>
    <t>Baách hạnh chỉ khái lộ</t>
  </si>
  <si>
    <t>GIÁM ĐỐC</t>
  </si>
  <si>
    <t>Huỳnh Ngọc Bảnh</t>
  </si>
  <si>
    <t>Tổng cộng: 629 khoản</t>
  </si>
  <si>
    <t>Huyện Dương Minh Châu, ngày ….. tháng …...năm 2022</t>
  </si>
</sst>
</file>

<file path=xl/styles.xml><?xml version="1.0" encoding="utf-8"?>
<styleSheet xmlns="http://schemas.openxmlformats.org/spreadsheetml/2006/main">
  <numFmts count="7">
    <numFmt numFmtId="41" formatCode="_(* #,##0_);_(* \(#,##0\);_(* &quot;-&quot;_);_(@_)"/>
    <numFmt numFmtId="43" formatCode="_(* #,##0.00_);_(* \(#,##0.00\);_(* &quot;-&quot;??_);_(@_)"/>
    <numFmt numFmtId="164" formatCode="_(* #,##0_);_(* \(#,##0\);_(* &quot;-&quot;??_);_(@_)"/>
    <numFmt numFmtId="165" formatCode="#,##0;[Red]#,##0"/>
    <numFmt numFmtId="166" formatCode="###,###,###,###,###"/>
    <numFmt numFmtId="167" formatCode="0_);\(0\)"/>
    <numFmt numFmtId="168" formatCode="_-* #,##0\ _₫_-;\-* #,##0\ _₫_-;_-* &quot;-&quot;??\ _₫_-;_-@_-"/>
  </numFmts>
  <fonts count="45">
    <font>
      <sz val="12"/>
      <color theme="1"/>
      <name val="Times New Roman"/>
      <family val="2"/>
    </font>
    <font>
      <sz val="12"/>
      <color theme="1"/>
      <name val="Times New Roman"/>
      <family val="2"/>
    </font>
    <font>
      <sz val="10"/>
      <color theme="1"/>
      <name val="Times New Roman"/>
      <family val="2"/>
    </font>
    <font>
      <sz val="10"/>
      <name val="Times New Roman"/>
      <family val="1"/>
    </font>
    <font>
      <sz val="11"/>
      <color indexed="8"/>
      <name val="Calibri"/>
      <family val="2"/>
    </font>
    <font>
      <sz val="10"/>
      <color theme="1"/>
      <name val="Times New Roman"/>
      <family val="1"/>
    </font>
    <font>
      <sz val="11"/>
      <color theme="1"/>
      <name val="Calibri"/>
      <family val="2"/>
      <scheme val="minor"/>
    </font>
    <font>
      <sz val="10"/>
      <color rgb="FFFF0000"/>
      <name val="Times New Roman"/>
      <family val="1"/>
    </font>
    <font>
      <sz val="10"/>
      <name val="Times New Roman"/>
      <family val="2"/>
    </font>
    <font>
      <sz val="10"/>
      <name val="Arial"/>
      <family val="2"/>
    </font>
    <font>
      <sz val="10"/>
      <name val="VNI-Times"/>
    </font>
    <font>
      <sz val="12"/>
      <name val="VNI-Times"/>
    </font>
    <font>
      <sz val="10"/>
      <color indexed="8"/>
      <name val="Arial"/>
      <family val="2"/>
    </font>
    <font>
      <vertAlign val="superscript"/>
      <sz val="10"/>
      <name val="Times New Roman"/>
      <family val="1"/>
    </font>
    <font>
      <sz val="11"/>
      <name val="VNI-Times"/>
    </font>
    <font>
      <b/>
      <sz val="12"/>
      <name val="Times New Roman"/>
      <family val="1"/>
    </font>
    <font>
      <sz val="12"/>
      <name val="Times New Roman"/>
      <family val="1"/>
    </font>
    <font>
      <sz val="14"/>
      <name val="Times New Roman"/>
      <family val="1"/>
    </font>
    <font>
      <b/>
      <sz val="14"/>
      <name val="Times New Roman"/>
      <family val="1"/>
    </font>
    <font>
      <i/>
      <sz val="14"/>
      <name val="Times New Roman"/>
      <family val="1"/>
    </font>
    <font>
      <sz val="11"/>
      <name val="Times New Roman"/>
      <family val="1"/>
    </font>
    <font>
      <i/>
      <sz val="12"/>
      <name val="Times New Roman"/>
      <family val="1"/>
    </font>
    <font>
      <b/>
      <sz val="10"/>
      <name val="Times New Roman"/>
      <family val="1"/>
    </font>
    <font>
      <b/>
      <sz val="8"/>
      <name val="Times New Roman"/>
      <family val="1"/>
    </font>
    <font>
      <sz val="8"/>
      <name val="Tahoma"/>
      <family val="2"/>
    </font>
    <font>
      <sz val="14"/>
      <color theme="1"/>
      <name val="Times New Roman"/>
      <family val="2"/>
    </font>
    <font>
      <sz val="11"/>
      <color theme="1"/>
      <name val="Times New Roman"/>
      <family val="2"/>
    </font>
    <font>
      <sz val="8"/>
      <name val="Times New Roman"/>
      <family val="1"/>
    </font>
    <font>
      <sz val="12"/>
      <color rgb="FFFF0000"/>
      <name val="Times New Roman"/>
      <family val="1"/>
    </font>
    <font>
      <b/>
      <u/>
      <sz val="12"/>
      <name val="Times New Roman"/>
      <family val="1"/>
    </font>
    <font>
      <b/>
      <sz val="12"/>
      <color rgb="FFFF0000"/>
      <name val="Times New Roman"/>
      <family val="1"/>
    </font>
    <font>
      <sz val="12"/>
      <color rgb="FF000000"/>
      <name val="Times New Roman"/>
      <family val="1"/>
    </font>
    <font>
      <sz val="10"/>
      <name val="Times New Roman"/>
      <family val="1"/>
      <charset val="204"/>
    </font>
    <font>
      <sz val="12"/>
      <name val="Times New Roman"/>
      <family val="1"/>
      <charset val="204"/>
    </font>
    <font>
      <sz val="11"/>
      <color rgb="FFFF0000"/>
      <name val="Times New Roman"/>
      <family val="1"/>
    </font>
    <font>
      <b/>
      <sz val="9"/>
      <color indexed="81"/>
      <name val="Tahoma"/>
      <family val="2"/>
    </font>
    <font>
      <sz val="8"/>
      <color rgb="FFFF0000"/>
      <name val="Times New Roman"/>
      <family val="1"/>
    </font>
    <font>
      <b/>
      <sz val="10"/>
      <color rgb="FFFF0000"/>
      <name val="Times New Roman"/>
      <family val="1"/>
    </font>
    <font>
      <sz val="11"/>
      <color rgb="FF4D5156"/>
      <name val="Arial"/>
      <family val="2"/>
    </font>
    <font>
      <sz val="11"/>
      <color rgb="FF4D5156"/>
      <name val="Times New Roman"/>
      <family val="1"/>
    </font>
    <font>
      <sz val="10"/>
      <color rgb="FF212529"/>
      <name val="Times New Roman"/>
      <family val="1"/>
    </font>
    <font>
      <sz val="10"/>
      <color rgb="FF202124"/>
      <name val="Times New Roman"/>
      <family val="1"/>
    </font>
    <font>
      <sz val="10"/>
      <color rgb="FF4D5156"/>
      <name val="Times New Roman"/>
      <family val="1"/>
    </font>
    <font>
      <sz val="10"/>
      <color rgb="FF1F1F1F"/>
      <name val="Times New Roman"/>
      <family val="1"/>
    </font>
    <font>
      <sz val="11"/>
      <color theme="1"/>
      <name val="Times New Roman"/>
      <family val="1"/>
    </font>
  </fonts>
  <fills count="21">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D3D3D3"/>
      </patternFill>
    </fill>
    <fill>
      <patternFill patternType="solid">
        <fgColor rgb="FFFFFFFF"/>
      </patternFill>
    </fill>
    <fill>
      <patternFill patternType="solid">
        <fgColor rgb="FFA9A9A9"/>
      </patternFill>
    </fill>
    <fill>
      <patternFill patternType="solid">
        <fgColor rgb="FFFFFF00"/>
        <bgColor indexed="64"/>
      </patternFill>
    </fill>
    <fill>
      <patternFill patternType="solid">
        <fgColor rgb="FFFF000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DCDCDC"/>
      </patternFill>
    </fill>
    <fill>
      <patternFill patternType="solid">
        <fgColor theme="8"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style="thin">
        <color indexed="59"/>
      </left>
      <right/>
      <top style="thin">
        <color indexed="59"/>
      </top>
      <bottom style="thin">
        <color indexed="59"/>
      </bottom>
      <diagonal/>
    </border>
    <border>
      <left style="thin">
        <color indexed="64"/>
      </left>
      <right style="thin">
        <color indexed="64"/>
      </right>
      <top style="thin">
        <color indexed="64"/>
      </top>
      <bottom/>
      <diagonal/>
    </border>
  </borders>
  <cellStyleXfs count="28">
    <xf numFmtId="0" fontId="0" fillId="0" borderId="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9" fillId="0" borderId="0"/>
    <xf numFmtId="0" fontId="6" fillId="0" borderId="0"/>
    <xf numFmtId="0" fontId="10" fillId="0" borderId="0"/>
    <xf numFmtId="0" fontId="11" fillId="0" borderId="0"/>
    <xf numFmtId="0" fontId="12" fillId="0" borderId="0"/>
    <xf numFmtId="0" fontId="12" fillId="0" borderId="0">
      <alignment vertical="top"/>
    </xf>
    <xf numFmtId="43" fontId="1" fillId="0" borderId="0" applyFont="0" applyFill="0" applyBorder="0" applyAlignment="0" applyProtection="0"/>
    <xf numFmtId="0" fontId="14" fillId="0" borderId="0"/>
    <xf numFmtId="0" fontId="6" fillId="0" borderId="0"/>
    <xf numFmtId="0" fontId="6" fillId="0" borderId="0"/>
    <xf numFmtId="0" fontId="25" fillId="0" borderId="0"/>
    <xf numFmtId="0" fontId="26" fillId="0" borderId="0"/>
    <xf numFmtId="0" fontId="6" fillId="0" borderId="0"/>
    <xf numFmtId="0" fontId="12" fillId="0" borderId="0"/>
    <xf numFmtId="43" fontId="25"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9" fillId="0" borderId="0" applyFont="0" applyFill="0" applyBorder="0" applyAlignment="0" applyProtection="0"/>
    <xf numFmtId="0" fontId="12" fillId="0" borderId="0">
      <alignment vertical="top"/>
    </xf>
    <xf numFmtId="0" fontId="32" fillId="0" borderId="0"/>
    <xf numFmtId="0" fontId="9" fillId="0" borderId="0"/>
  </cellStyleXfs>
  <cellXfs count="723">
    <xf numFmtId="0" fontId="0" fillId="0" borderId="0" xfId="0"/>
    <xf numFmtId="0" fontId="5" fillId="0" borderId="0" xfId="0" applyFont="1" applyAlignment="1">
      <alignment horizontal="center"/>
    </xf>
    <xf numFmtId="0" fontId="3" fillId="0" borderId="1" xfId="0" applyFont="1" applyFill="1" applyBorder="1" applyAlignment="1">
      <alignment horizontal="center" wrapText="1"/>
    </xf>
    <xf numFmtId="164" fontId="3" fillId="0" borderId="1" xfId="3" applyNumberFormat="1" applyFont="1" applyFill="1" applyBorder="1" applyAlignment="1">
      <alignment wrapText="1"/>
    </xf>
    <xf numFmtId="0" fontId="3" fillId="0" borderId="1" xfId="0" applyFont="1" applyFill="1" applyBorder="1" applyAlignment="1">
      <alignment wrapText="1"/>
    </xf>
    <xf numFmtId="0" fontId="3" fillId="0" borderId="1" xfId="0" applyFont="1" applyBorder="1" applyAlignment="1">
      <alignment horizontal="center" wrapText="1"/>
    </xf>
    <xf numFmtId="2"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49" fontId="3" fillId="0" borderId="1" xfId="0" applyNumberFormat="1" applyFont="1" applyFill="1" applyBorder="1" applyAlignment="1">
      <alignment horizontal="center" wrapText="1"/>
    </xf>
    <xf numFmtId="41" fontId="3" fillId="0" borderId="1" xfId="2" applyFont="1" applyFill="1" applyBorder="1" applyAlignment="1">
      <alignment horizontal="center" wrapText="1"/>
    </xf>
    <xf numFmtId="0" fontId="3" fillId="0" borderId="1" xfId="5" applyNumberFormat="1" applyFont="1" applyFill="1" applyBorder="1" applyAlignment="1" applyProtection="1">
      <alignment horizontal="center" wrapText="1"/>
    </xf>
    <xf numFmtId="49" fontId="3" fillId="0" borderId="1" xfId="0" applyNumberFormat="1" applyFont="1" applyFill="1" applyBorder="1" applyAlignment="1">
      <alignment wrapText="1"/>
    </xf>
    <xf numFmtId="14" fontId="3" fillId="0" borderId="1" xfId="0" applyNumberFormat="1" applyFont="1" applyFill="1" applyBorder="1" applyAlignment="1">
      <alignment horizontal="center" wrapText="1"/>
    </xf>
    <xf numFmtId="0" fontId="3" fillId="0" borderId="1" xfId="7" applyFont="1" applyFill="1" applyBorder="1" applyAlignment="1">
      <alignment horizontal="center" wrapText="1"/>
    </xf>
    <xf numFmtId="0" fontId="3" fillId="0" borderId="1" xfId="8" applyFont="1" applyFill="1" applyBorder="1" applyAlignment="1">
      <alignment horizontal="center" wrapText="1"/>
    </xf>
    <xf numFmtId="165" fontId="3" fillId="0" borderId="1" xfId="0" applyNumberFormat="1" applyFont="1" applyFill="1" applyBorder="1" applyAlignment="1">
      <alignment horizontal="center" wrapText="1"/>
    </xf>
    <xf numFmtId="0" fontId="8" fillId="0" borderId="1" xfId="0" applyFont="1" applyFill="1" applyBorder="1" applyAlignment="1">
      <alignment wrapText="1"/>
    </xf>
    <xf numFmtId="3" fontId="3" fillId="0" borderId="1" xfId="0" applyNumberFormat="1" applyFont="1" applyFill="1" applyBorder="1" applyAlignment="1">
      <alignment horizontal="center" wrapText="1"/>
    </xf>
    <xf numFmtId="0" fontId="3" fillId="0" borderId="0" xfId="0" applyFont="1" applyFill="1"/>
    <xf numFmtId="0" fontId="3" fillId="0" borderId="1" xfId="9" applyFont="1" applyFill="1" applyBorder="1" applyAlignment="1">
      <alignment horizontal="center" wrapText="1"/>
    </xf>
    <xf numFmtId="49" fontId="8" fillId="0" borderId="1" xfId="0" applyNumberFormat="1" applyFont="1" applyFill="1" applyBorder="1" applyAlignment="1">
      <alignment horizontal="left" wrapText="1"/>
    </xf>
    <xf numFmtId="0" fontId="17" fillId="0" borderId="0" xfId="0" applyFont="1" applyFill="1" applyAlignment="1">
      <alignment horizontal="left"/>
    </xf>
    <xf numFmtId="0" fontId="17" fillId="0" borderId="0" xfId="0" applyFont="1" applyFill="1"/>
    <xf numFmtId="0" fontId="17" fillId="0" borderId="0" xfId="0" applyFont="1" applyFill="1" applyAlignment="1">
      <alignment horizontal="center"/>
    </xf>
    <xf numFmtId="0" fontId="18" fillId="0" borderId="0" xfId="0" applyFont="1" applyFill="1" applyAlignment="1">
      <alignment horizontal="center"/>
    </xf>
    <xf numFmtId="0" fontId="18" fillId="0" borderId="0" xfId="0" applyFont="1" applyFill="1" applyAlignment="1">
      <alignment horizontal="left"/>
    </xf>
    <xf numFmtId="0" fontId="19" fillId="0" borderId="0" xfId="0" applyFont="1" applyFill="1" applyAlignment="1">
      <alignment horizontal="center"/>
    </xf>
    <xf numFmtId="0" fontId="18" fillId="0" borderId="0" xfId="0" applyFont="1" applyFill="1" applyBorder="1" applyAlignment="1">
      <alignment horizontal="left"/>
    </xf>
    <xf numFmtId="0" fontId="15" fillId="0" borderId="0" xfId="0" applyFont="1" applyFill="1" applyBorder="1" applyAlignment="1"/>
    <xf numFmtId="0" fontId="15" fillId="0" borderId="0" xfId="0" applyFont="1" applyFill="1" applyBorder="1" applyAlignment="1">
      <alignment horizontal="center"/>
    </xf>
    <xf numFmtId="164" fontId="15" fillId="0" borderId="0" xfId="4" applyNumberFormat="1" applyFont="1" applyFill="1" applyBorder="1" applyAlignment="1">
      <alignment horizontal="center"/>
    </xf>
    <xf numFmtId="49" fontId="15" fillId="0" borderId="0" xfId="0" applyNumberFormat="1" applyFont="1" applyFill="1" applyBorder="1" applyAlignment="1">
      <alignment horizontal="center"/>
    </xf>
    <xf numFmtId="0" fontId="16" fillId="0" borderId="0" xfId="0" applyFont="1" applyFill="1"/>
    <xf numFmtId="0" fontId="16" fillId="0" borderId="0" xfId="0" applyFont="1" applyFill="1" applyAlignment="1">
      <alignment horizontal="center"/>
    </xf>
    <xf numFmtId="164" fontId="16" fillId="0" borderId="0" xfId="4" applyNumberFormat="1" applyFont="1" applyFill="1" applyAlignment="1">
      <alignment horizontal="center"/>
    </xf>
    <xf numFmtId="0" fontId="15" fillId="4" borderId="1" xfId="0" applyFont="1" applyFill="1" applyBorder="1" applyAlignment="1">
      <alignment horizontal="center" vertical="center" wrapText="1"/>
    </xf>
    <xf numFmtId="0" fontId="15" fillId="0" borderId="0" xfId="0" applyFont="1" applyFill="1" applyAlignment="1">
      <alignment horizontal="center"/>
    </xf>
    <xf numFmtId="0" fontId="7" fillId="0" borderId="0" xfId="0" applyFont="1" applyFill="1"/>
    <xf numFmtId="0" fontId="7" fillId="0" borderId="0" xfId="0" applyFont="1" applyFill="1" applyAlignment="1">
      <alignment horizontal="center"/>
    </xf>
    <xf numFmtId="0" fontId="3" fillId="0" borderId="0" xfId="0" applyFont="1" applyFill="1" applyAlignment="1">
      <alignment horizontal="center"/>
    </xf>
    <xf numFmtId="164" fontId="3" fillId="0" borderId="0" xfId="4" applyNumberFormat="1" applyFont="1" applyFill="1"/>
    <xf numFmtId="0" fontId="18" fillId="0" borderId="0" xfId="0" applyFont="1" applyFill="1"/>
    <xf numFmtId="0" fontId="3" fillId="0" borderId="0" xfId="0" applyNumberFormat="1" applyFont="1" applyFill="1"/>
    <xf numFmtId="164" fontId="17" fillId="0" borderId="0" xfId="1" applyNumberFormat="1" applyFont="1" applyFill="1" applyAlignment="1">
      <alignment wrapText="1"/>
    </xf>
    <xf numFmtId="164" fontId="17" fillId="0" borderId="0" xfId="1" applyNumberFormat="1" applyFont="1" applyFill="1"/>
    <xf numFmtId="164" fontId="16" fillId="0" borderId="0" xfId="1" applyNumberFormat="1" applyFont="1" applyFill="1" applyAlignment="1">
      <alignment wrapText="1"/>
    </xf>
    <xf numFmtId="164" fontId="16" fillId="0" borderId="0" xfId="1" applyNumberFormat="1" applyFont="1" applyFill="1"/>
    <xf numFmtId="164" fontId="15" fillId="4" borderId="1" xfId="1" applyNumberFormat="1" applyFont="1" applyFill="1" applyBorder="1" applyAlignment="1">
      <alignment horizontal="center" wrapText="1"/>
    </xf>
    <xf numFmtId="164" fontId="15" fillId="4" borderId="1" xfId="1" applyNumberFormat="1" applyFont="1" applyFill="1" applyBorder="1" applyAlignment="1">
      <alignment horizontal="center"/>
    </xf>
    <xf numFmtId="164" fontId="18" fillId="0" borderId="0" xfId="1" applyNumberFormat="1" applyFont="1" applyFill="1" applyAlignment="1">
      <alignment wrapText="1"/>
    </xf>
    <xf numFmtId="164" fontId="18" fillId="0" borderId="0" xfId="1" applyNumberFormat="1" applyFont="1" applyFill="1"/>
    <xf numFmtId="164" fontId="7" fillId="0" borderId="0" xfId="1" applyNumberFormat="1" applyFont="1" applyFill="1"/>
    <xf numFmtId="164" fontId="7" fillId="0" borderId="0" xfId="1" applyNumberFormat="1" applyFont="1" applyFill="1" applyAlignment="1">
      <alignment wrapText="1"/>
    </xf>
    <xf numFmtId="164" fontId="3" fillId="0" borderId="0" xfId="1" applyNumberFormat="1" applyFont="1" applyFill="1" applyAlignment="1">
      <alignment wrapText="1"/>
    </xf>
    <xf numFmtId="164" fontId="3" fillId="0" borderId="0" xfId="1" applyNumberFormat="1" applyFont="1" applyFill="1"/>
    <xf numFmtId="49" fontId="17" fillId="0" borderId="0" xfId="0" applyNumberFormat="1" applyFont="1" applyFill="1"/>
    <xf numFmtId="49" fontId="15" fillId="0" borderId="0" xfId="0" applyNumberFormat="1" applyFont="1" applyFill="1" applyBorder="1" applyAlignment="1"/>
    <xf numFmtId="49" fontId="16" fillId="0" borderId="0" xfId="0" applyNumberFormat="1" applyFont="1" applyFill="1"/>
    <xf numFmtId="49" fontId="15" fillId="4" borderId="1" xfId="0" applyNumberFormat="1" applyFont="1" applyFill="1" applyBorder="1" applyAlignment="1">
      <alignment horizontal="center" vertical="center" wrapText="1"/>
    </xf>
    <xf numFmtId="49" fontId="7" fillId="0" borderId="0" xfId="0" applyNumberFormat="1" applyFont="1" applyFill="1"/>
    <xf numFmtId="49" fontId="3" fillId="0" borderId="0" xfId="0" applyNumberFormat="1" applyFont="1" applyFill="1"/>
    <xf numFmtId="49" fontId="18" fillId="0" borderId="0" xfId="0" applyNumberFormat="1" applyFont="1" applyFill="1"/>
    <xf numFmtId="49" fontId="18" fillId="0" borderId="0" xfId="0" applyNumberFormat="1" applyFont="1" applyFill="1" applyAlignment="1">
      <alignment horizontal="center"/>
    </xf>
    <xf numFmtId="164" fontId="3" fillId="0" borderId="1" xfId="1" applyNumberFormat="1" applyFont="1" applyFill="1" applyBorder="1" applyAlignment="1">
      <alignment wrapText="1"/>
    </xf>
    <xf numFmtId="49" fontId="3" fillId="0" borderId="1" xfId="3" applyNumberFormat="1" applyFont="1" applyFill="1" applyBorder="1" applyAlignment="1">
      <alignment wrapText="1"/>
    </xf>
    <xf numFmtId="49" fontId="3" fillId="0" borderId="1" xfId="0" applyNumberFormat="1" applyFont="1" applyFill="1" applyBorder="1" applyAlignment="1" applyProtection="1">
      <alignment wrapText="1"/>
    </xf>
    <xf numFmtId="49" fontId="3" fillId="0" borderId="1" xfId="0" applyNumberFormat="1" applyFont="1" applyFill="1" applyBorder="1" applyAlignment="1" applyProtection="1">
      <alignment horizontal="center" wrapText="1"/>
    </xf>
    <xf numFmtId="49" fontId="3" fillId="0" borderId="1" xfId="4" applyNumberFormat="1" applyFont="1" applyFill="1" applyBorder="1" applyAlignment="1">
      <alignment wrapText="1"/>
    </xf>
    <xf numFmtId="164" fontId="3" fillId="0" borderId="1" xfId="4" applyNumberFormat="1" applyFont="1" applyFill="1" applyBorder="1" applyAlignment="1">
      <alignment horizontal="center" wrapText="1"/>
    </xf>
    <xf numFmtId="49" fontId="3" fillId="0" borderId="1" xfId="0" quotePrefix="1" applyNumberFormat="1" applyFont="1" applyFill="1" applyBorder="1" applyAlignment="1">
      <alignment wrapText="1"/>
    </xf>
    <xf numFmtId="49" fontId="3" fillId="0" borderId="1" xfId="11" applyNumberFormat="1" applyFont="1" applyFill="1" applyBorder="1" applyAlignment="1">
      <alignment wrapText="1"/>
    </xf>
    <xf numFmtId="49" fontId="3" fillId="0" borderId="1" xfId="5" applyNumberFormat="1" applyFont="1" applyFill="1" applyBorder="1" applyAlignment="1">
      <alignment wrapText="1"/>
    </xf>
    <xf numFmtId="0" fontId="3" fillId="0" borderId="1" xfId="5" applyFont="1" applyFill="1" applyBorder="1" applyAlignment="1">
      <alignment wrapText="1"/>
    </xf>
    <xf numFmtId="0" fontId="3" fillId="0" borderId="1" xfId="5" applyFont="1" applyFill="1" applyBorder="1" applyAlignment="1">
      <alignment horizontal="center" wrapText="1"/>
    </xf>
    <xf numFmtId="49" fontId="3" fillId="0" borderId="1" xfId="9" applyNumberFormat="1" applyFont="1" applyFill="1" applyBorder="1" applyAlignment="1">
      <alignment wrapText="1"/>
    </xf>
    <xf numFmtId="3" fontId="3" fillId="0" borderId="1" xfId="8" applyNumberFormat="1" applyFont="1" applyFill="1" applyBorder="1" applyAlignment="1">
      <alignment horizontal="center" wrapText="1"/>
    </xf>
    <xf numFmtId="0" fontId="3" fillId="0" borderId="1" xfId="0" applyFont="1" applyFill="1" applyBorder="1" applyAlignment="1">
      <alignment horizontal="center" wrapText="1" readingOrder="1"/>
    </xf>
    <xf numFmtId="49" fontId="3" fillId="0" borderId="1" xfId="0" applyNumberFormat="1" applyFont="1" applyBorder="1" applyAlignment="1">
      <alignment wrapText="1"/>
    </xf>
    <xf numFmtId="164" fontId="3" fillId="0" borderId="1" xfId="4" applyNumberFormat="1" applyFont="1" applyFill="1" applyBorder="1" applyAlignment="1">
      <alignment wrapText="1"/>
    </xf>
    <xf numFmtId="0" fontId="3" fillId="0" borderId="1" xfId="0" applyFont="1" applyFill="1" applyBorder="1" applyAlignment="1" applyProtection="1">
      <alignment horizontal="center" wrapText="1"/>
      <protection locked="0"/>
    </xf>
    <xf numFmtId="49" fontId="3" fillId="0" borderId="1" xfId="0" applyNumberFormat="1" applyFont="1" applyFill="1" applyBorder="1" applyAlignment="1">
      <alignment wrapText="1" readingOrder="1"/>
    </xf>
    <xf numFmtId="49" fontId="3" fillId="0" borderId="1" xfId="10" applyNumberFormat="1" applyFont="1" applyFill="1" applyBorder="1" applyAlignment="1">
      <alignment wrapText="1"/>
    </xf>
    <xf numFmtId="2" fontId="3" fillId="0" borderId="1" xfId="5" applyNumberFormat="1" applyFont="1" applyFill="1" applyBorder="1" applyAlignment="1">
      <alignment horizontal="center" wrapText="1"/>
    </xf>
    <xf numFmtId="2" fontId="3" fillId="0" borderId="1" xfId="10" applyNumberFormat="1" applyFont="1" applyFill="1" applyBorder="1" applyAlignment="1">
      <alignment horizontal="center" wrapText="1"/>
    </xf>
    <xf numFmtId="49" fontId="3" fillId="2" borderId="1" xfId="5" applyNumberFormat="1" applyFont="1" applyFill="1" applyBorder="1" applyAlignment="1">
      <alignment wrapText="1"/>
    </xf>
    <xf numFmtId="49" fontId="20" fillId="0" borderId="1" xfId="0" applyNumberFormat="1" applyFont="1" applyBorder="1" applyAlignment="1">
      <alignment wrapText="1"/>
    </xf>
    <xf numFmtId="0" fontId="20" fillId="0" borderId="1" xfId="0" applyFont="1" applyBorder="1" applyAlignment="1">
      <alignment horizontal="center" wrapText="1"/>
    </xf>
    <xf numFmtId="49" fontId="3" fillId="0" borderId="1" xfId="8" applyNumberFormat="1" applyFont="1" applyFill="1" applyBorder="1" applyAlignment="1">
      <alignment wrapText="1"/>
    </xf>
    <xf numFmtId="9" fontId="3" fillId="0" borderId="1" xfId="0" applyNumberFormat="1" applyFont="1" applyFill="1" applyBorder="1" applyAlignment="1">
      <alignment horizontal="center" wrapText="1"/>
    </xf>
    <xf numFmtId="3" fontId="3" fillId="0" borderId="1" xfId="3" applyNumberFormat="1" applyFont="1" applyFill="1" applyBorder="1" applyAlignment="1">
      <alignment horizontal="center" wrapText="1"/>
    </xf>
    <xf numFmtId="3" fontId="3" fillId="0" borderId="1" xfId="12" applyNumberFormat="1" applyFont="1" applyFill="1" applyBorder="1" applyAlignment="1" applyProtection="1">
      <alignment horizontal="center" wrapText="1"/>
    </xf>
    <xf numFmtId="166" fontId="3" fillId="0" borderId="1" xfId="13" applyNumberFormat="1" applyFont="1" applyFill="1" applyBorder="1" applyAlignment="1" applyProtection="1">
      <alignment horizontal="center" wrapText="1"/>
      <protection locked="0"/>
    </xf>
    <xf numFmtId="0" fontId="3" fillId="0" borderId="1" xfId="12" applyFont="1" applyFill="1" applyBorder="1" applyAlignment="1" applyProtection="1">
      <alignment horizontal="center" wrapText="1"/>
    </xf>
    <xf numFmtId="3" fontId="3" fillId="0" borderId="1" xfId="4" applyNumberFormat="1" applyFont="1" applyFill="1" applyBorder="1" applyAlignment="1">
      <alignment horizontal="center" wrapText="1"/>
    </xf>
    <xf numFmtId="0" fontId="16" fillId="0" borderId="1" xfId="0" applyFont="1" applyBorder="1" applyAlignment="1">
      <alignment horizontal="center" wrapText="1"/>
    </xf>
    <xf numFmtId="49" fontId="3" fillId="0" borderId="1" xfId="5" applyNumberFormat="1" applyFont="1" applyFill="1" applyBorder="1" applyAlignment="1" applyProtection="1">
      <alignment wrapText="1"/>
    </xf>
    <xf numFmtId="0" fontId="18" fillId="0" borderId="1" xfId="0" applyFont="1" applyFill="1" applyBorder="1" applyAlignment="1">
      <alignment wrapText="1"/>
    </xf>
    <xf numFmtId="49" fontId="3" fillId="2" borderId="1" xfId="0" applyNumberFormat="1" applyFont="1" applyFill="1" applyBorder="1" applyAlignment="1">
      <alignment wrapText="1"/>
    </xf>
    <xf numFmtId="49" fontId="3" fillId="0" borderId="1" xfId="12" applyNumberFormat="1" applyFont="1" applyFill="1" applyBorder="1" applyAlignment="1" applyProtection="1">
      <alignment wrapText="1"/>
    </xf>
    <xf numFmtId="164" fontId="3" fillId="0" borderId="1" xfId="1" applyNumberFormat="1" applyFont="1" applyFill="1" applyBorder="1"/>
    <xf numFmtId="164" fontId="3" fillId="0" borderId="0" xfId="0" applyNumberFormat="1" applyFont="1" applyFill="1"/>
    <xf numFmtId="164" fontId="17" fillId="3" borderId="0" xfId="1" applyNumberFormat="1" applyFont="1" applyFill="1" applyAlignment="1"/>
    <xf numFmtId="164" fontId="16" fillId="3" borderId="0" xfId="1" applyNumberFormat="1" applyFont="1" applyFill="1" applyBorder="1"/>
    <xf numFmtId="164" fontId="16" fillId="3" borderId="0" xfId="1" applyNumberFormat="1" applyFont="1" applyFill="1"/>
    <xf numFmtId="164" fontId="15" fillId="3" borderId="1" xfId="1" applyNumberFormat="1" applyFont="1" applyFill="1" applyBorder="1" applyAlignment="1">
      <alignment horizontal="center" vertical="center" wrapText="1"/>
    </xf>
    <xf numFmtId="164" fontId="3" fillId="3" borderId="1" xfId="1" applyNumberFormat="1" applyFont="1" applyFill="1" applyBorder="1" applyAlignment="1">
      <alignment wrapText="1"/>
    </xf>
    <xf numFmtId="164" fontId="3" fillId="3" borderId="1" xfId="1" applyNumberFormat="1" applyFont="1" applyFill="1" applyBorder="1" applyAlignment="1" applyProtection="1">
      <alignment wrapText="1"/>
    </xf>
    <xf numFmtId="164" fontId="18" fillId="3" borderId="0" xfId="1" applyNumberFormat="1" applyFont="1" applyFill="1" applyAlignment="1">
      <alignment horizontal="center"/>
    </xf>
    <xf numFmtId="164" fontId="3" fillId="3" borderId="0" xfId="1" applyNumberFormat="1" applyFont="1" applyFill="1" applyAlignment="1">
      <alignment horizontal="center"/>
    </xf>
    <xf numFmtId="164" fontId="3" fillId="3" borderId="0" xfId="1" applyNumberFormat="1" applyFont="1" applyFill="1" applyAlignment="1"/>
    <xf numFmtId="164" fontId="3" fillId="3" borderId="0" xfId="1" applyNumberFormat="1" applyFont="1" applyFill="1"/>
    <xf numFmtId="164" fontId="7" fillId="0" borderId="1" xfId="1" applyNumberFormat="1" applyFont="1" applyFill="1" applyBorder="1" applyAlignment="1">
      <alignment wrapText="1"/>
    </xf>
    <xf numFmtId="49" fontId="16" fillId="0" borderId="0" xfId="0" applyNumberFormat="1" applyFont="1" applyFill="1" applyAlignment="1">
      <alignment horizontal="center"/>
    </xf>
    <xf numFmtId="49" fontId="16" fillId="0" borderId="0" xfId="0" applyNumberFormat="1" applyFont="1" applyFill="1" applyAlignment="1">
      <alignment horizontal="left"/>
    </xf>
    <xf numFmtId="49" fontId="17" fillId="0" borderId="0" xfId="0" applyNumberFormat="1" applyFont="1" applyFill="1" applyAlignment="1">
      <alignment horizontal="left"/>
    </xf>
    <xf numFmtId="0" fontId="16" fillId="0" borderId="0" xfId="0" applyFont="1"/>
    <xf numFmtId="49" fontId="3" fillId="0" borderId="1" xfId="0" applyNumberFormat="1" applyFont="1" applyFill="1" applyBorder="1" applyAlignment="1">
      <alignment horizontal="left" wrapText="1"/>
    </xf>
    <xf numFmtId="0" fontId="3" fillId="0" borderId="1" xfId="0" applyFont="1" applyFill="1" applyBorder="1" applyAlignment="1">
      <alignment horizontal="left" wrapText="1"/>
    </xf>
    <xf numFmtId="164" fontId="3" fillId="0" borderId="1" xfId="1" applyNumberFormat="1" applyFont="1" applyFill="1" applyBorder="1" applyAlignment="1">
      <alignment horizontal="right"/>
    </xf>
    <xf numFmtId="164" fontId="3" fillId="0" borderId="1" xfId="1" applyNumberFormat="1" applyFont="1" applyFill="1" applyBorder="1" applyAlignment="1" applyProtection="1">
      <alignment wrapText="1"/>
    </xf>
    <xf numFmtId="0" fontId="15" fillId="0" borderId="0" xfId="0" applyFont="1" applyFill="1"/>
    <xf numFmtId="49" fontId="3" fillId="0" borderId="0" xfId="0" applyNumberFormat="1" applyFont="1" applyFill="1" applyAlignment="1">
      <alignment horizontal="center"/>
    </xf>
    <xf numFmtId="164" fontId="18" fillId="0" borderId="0" xfId="1" applyNumberFormat="1" applyFont="1" applyFill="1" applyAlignment="1">
      <alignment horizontal="center"/>
    </xf>
    <xf numFmtId="0" fontId="3" fillId="0" borderId="1" xfId="0" applyFont="1" applyFill="1" applyBorder="1"/>
    <xf numFmtId="164" fontId="3" fillId="0" borderId="1" xfId="1" applyNumberFormat="1" applyFont="1" applyFill="1" applyBorder="1" applyAlignment="1">
      <alignment horizontal="right" wrapText="1"/>
    </xf>
    <xf numFmtId="164" fontId="8" fillId="0" borderId="1" xfId="1" applyNumberFormat="1" applyFont="1" applyFill="1" applyBorder="1" applyAlignment="1">
      <alignment horizontal="right" wrapText="1"/>
    </xf>
    <xf numFmtId="49" fontId="18" fillId="0" borderId="0" xfId="1" applyNumberFormat="1" applyFont="1" applyFill="1" applyAlignment="1" applyProtection="1">
      <alignment horizontal="center"/>
    </xf>
    <xf numFmtId="0" fontId="18" fillId="0" borderId="0" xfId="1" applyNumberFormat="1" applyFont="1" applyFill="1" applyAlignment="1" applyProtection="1">
      <alignment horizontal="left"/>
    </xf>
    <xf numFmtId="0" fontId="15" fillId="0" borderId="0" xfId="1" applyNumberFormat="1" applyFont="1" applyFill="1" applyAlignment="1" applyProtection="1">
      <alignment horizontal="center"/>
    </xf>
    <xf numFmtId="0" fontId="15" fillId="0" borderId="0" xfId="1" applyNumberFormat="1" applyFont="1" applyFill="1" applyAlignment="1" applyProtection="1">
      <alignment horizontal="left"/>
    </xf>
    <xf numFmtId="0" fontId="15" fillId="0" borderId="0" xfId="1" applyNumberFormat="1" applyFont="1" applyFill="1" applyAlignment="1" applyProtection="1"/>
    <xf numFmtId="164" fontId="16" fillId="0" borderId="0" xfId="1" applyNumberFormat="1" applyFont="1" applyFill="1" applyAlignment="1" applyProtection="1">
      <protection locked="0"/>
    </xf>
    <xf numFmtId="164" fontId="15" fillId="10" borderId="0" xfId="1" applyNumberFormat="1" applyFont="1" applyFill="1" applyAlignment="1" applyProtection="1">
      <protection locked="0"/>
    </xf>
    <xf numFmtId="164" fontId="15" fillId="0" borderId="0" xfId="1" applyNumberFormat="1" applyFont="1" applyFill="1" applyAlignment="1" applyProtection="1">
      <protection locked="0"/>
    </xf>
    <xf numFmtId="0" fontId="16" fillId="0" borderId="0" xfId="15" applyFont="1" applyFill="1" applyAlignment="1" applyProtection="1">
      <protection locked="0"/>
    </xf>
    <xf numFmtId="49" fontId="16" fillId="0" borderId="0" xfId="1" applyNumberFormat="1" applyFont="1" applyFill="1" applyAlignment="1" applyProtection="1">
      <alignment horizontal="center"/>
    </xf>
    <xf numFmtId="0" fontId="16" fillId="0" borderId="0" xfId="15" applyFont="1" applyFill="1" applyAlignment="1" applyProtection="1">
      <alignment horizontal="left"/>
    </xf>
    <xf numFmtId="0" fontId="16" fillId="0" borderId="0" xfId="15" applyFont="1" applyFill="1" applyAlignment="1" applyProtection="1">
      <alignment horizontal="center"/>
    </xf>
    <xf numFmtId="0" fontId="16" fillId="0" borderId="0" xfId="15" applyFont="1" applyFill="1" applyAlignment="1" applyProtection="1"/>
    <xf numFmtId="164" fontId="16" fillId="0" borderId="0" xfId="1" applyNumberFormat="1" applyFont="1" applyFill="1" applyAlignment="1" applyProtection="1"/>
    <xf numFmtId="164" fontId="15" fillId="11" borderId="1" xfId="1" applyNumberFormat="1" applyFont="1" applyFill="1" applyBorder="1" applyAlignment="1" applyProtection="1">
      <protection locked="0"/>
    </xf>
    <xf numFmtId="0" fontId="15" fillId="13" borderId="1" xfId="16" applyFont="1" applyFill="1" applyBorder="1" applyAlignment="1" applyProtection="1">
      <alignment horizontal="center" vertical="center"/>
    </xf>
    <xf numFmtId="0" fontId="15" fillId="13" borderId="1" xfId="16" applyNumberFormat="1" applyFont="1" applyFill="1" applyBorder="1" applyAlignment="1" applyProtection="1">
      <alignment horizontal="center" vertical="center" wrapText="1"/>
    </xf>
    <xf numFmtId="164" fontId="15" fillId="13" borderId="1" xfId="1" applyNumberFormat="1" applyFont="1" applyFill="1" applyBorder="1" applyAlignment="1" applyProtection="1">
      <alignment horizontal="center" vertical="center" wrapText="1"/>
    </xf>
    <xf numFmtId="164" fontId="15" fillId="13" borderId="1" xfId="1" applyNumberFormat="1" applyFont="1" applyFill="1" applyBorder="1" applyAlignment="1" applyProtection="1">
      <alignment horizontal="center" vertical="center" wrapText="1"/>
      <protection locked="0"/>
    </xf>
    <xf numFmtId="164" fontId="15" fillId="10" borderId="2" xfId="1" applyNumberFormat="1" applyFont="1" applyFill="1" applyBorder="1" applyAlignment="1" applyProtection="1">
      <alignment horizontal="center" vertical="center" wrapText="1"/>
      <protection locked="0"/>
    </xf>
    <xf numFmtId="164" fontId="15" fillId="13" borderId="2" xfId="1" applyNumberFormat="1" applyFont="1" applyFill="1" applyBorder="1" applyAlignment="1" applyProtection="1">
      <alignment horizontal="center" vertical="center" wrapText="1"/>
      <protection locked="0"/>
    </xf>
    <xf numFmtId="164" fontId="15" fillId="8" borderId="1" xfId="1" applyNumberFormat="1" applyFont="1" applyFill="1" applyBorder="1" applyAlignment="1" applyProtection="1">
      <alignment horizontal="center" vertical="center" wrapText="1"/>
      <protection locked="0"/>
    </xf>
    <xf numFmtId="49" fontId="16" fillId="0" borderId="1" xfId="1" applyNumberFormat="1" applyFont="1" applyFill="1" applyBorder="1" applyAlignment="1" applyProtection="1">
      <alignment horizontal="center" wrapText="1"/>
    </xf>
    <xf numFmtId="0" fontId="16" fillId="0" borderId="1" xfId="17" applyNumberFormat="1" applyFont="1" applyFill="1" applyBorder="1" applyAlignment="1" applyProtection="1">
      <alignment horizontal="left" wrapText="1"/>
    </xf>
    <xf numFmtId="0" fontId="16" fillId="0" borderId="1" xfId="0" applyFont="1" applyFill="1" applyBorder="1" applyAlignment="1">
      <alignment horizontal="left" wrapText="1"/>
    </xf>
    <xf numFmtId="0" fontId="16" fillId="0" borderId="1" xfId="0" applyFont="1" applyFill="1" applyBorder="1" applyAlignment="1">
      <alignment horizontal="center" wrapText="1"/>
    </xf>
    <xf numFmtId="0" fontId="16" fillId="0" borderId="1" xfId="0" applyFont="1" applyFill="1" applyBorder="1" applyAlignment="1">
      <alignment horizontal="center"/>
    </xf>
    <xf numFmtId="0" fontId="16" fillId="0" borderId="1" xfId="0" applyFont="1" applyBorder="1" applyAlignment="1">
      <alignment wrapText="1"/>
    </xf>
    <xf numFmtId="3" fontId="16" fillId="0" borderId="1" xfId="0" applyNumberFormat="1" applyFont="1" applyFill="1" applyBorder="1" applyAlignment="1">
      <alignment wrapText="1"/>
    </xf>
    <xf numFmtId="3" fontId="16" fillId="0" borderId="1" xfId="0" applyNumberFormat="1" applyFont="1" applyFill="1" applyBorder="1" applyAlignment="1">
      <alignment horizontal="right" wrapText="1"/>
    </xf>
    <xf numFmtId="164" fontId="16" fillId="0" borderId="1" xfId="1" applyNumberFormat="1" applyFont="1" applyBorder="1" applyAlignment="1"/>
    <xf numFmtId="164" fontId="15" fillId="10" borderId="1" xfId="1" applyNumberFormat="1" applyFont="1" applyFill="1" applyBorder="1" applyAlignment="1" applyProtection="1">
      <protection locked="0"/>
    </xf>
    <xf numFmtId="164" fontId="15" fillId="13" borderId="1" xfId="0" applyNumberFormat="1" applyFont="1" applyFill="1" applyBorder="1" applyAlignment="1" applyProtection="1">
      <alignment wrapText="1"/>
      <protection locked="0"/>
    </xf>
    <xf numFmtId="164" fontId="15" fillId="8" borderId="1" xfId="1" applyNumberFormat="1" applyFont="1" applyFill="1" applyBorder="1" applyAlignment="1" applyProtection="1">
      <protection locked="0"/>
    </xf>
    <xf numFmtId="164" fontId="16" fillId="14" borderId="1" xfId="1" applyNumberFormat="1" applyFont="1" applyFill="1" applyBorder="1" applyAlignment="1"/>
    <xf numFmtId="164" fontId="16" fillId="15" borderId="1" xfId="1" applyNumberFormat="1" applyFont="1" applyFill="1" applyBorder="1" applyAlignment="1"/>
    <xf numFmtId="164" fontId="16" fillId="16" borderId="1" xfId="1" applyNumberFormat="1" applyFont="1" applyFill="1" applyBorder="1" applyAlignment="1"/>
    <xf numFmtId="164" fontId="16" fillId="12" borderId="1" xfId="1" applyNumberFormat="1" applyFont="1" applyFill="1" applyBorder="1" applyAlignment="1"/>
    <xf numFmtId="164" fontId="16" fillId="12" borderId="1" xfId="1" applyNumberFormat="1" applyFont="1" applyFill="1" applyBorder="1" applyAlignment="1" applyProtection="1">
      <protection locked="0"/>
    </xf>
    <xf numFmtId="164" fontId="16" fillId="15" borderId="1" xfId="1" applyNumberFormat="1" applyFont="1" applyFill="1" applyBorder="1" applyAlignment="1" applyProtection="1">
      <protection locked="0"/>
    </xf>
    <xf numFmtId="164" fontId="16" fillId="14" borderId="1" xfId="1" applyNumberFormat="1" applyFont="1" applyFill="1" applyBorder="1" applyAlignment="1" applyProtection="1">
      <protection locked="0"/>
    </xf>
    <xf numFmtId="164" fontId="16" fillId="17" borderId="1" xfId="1" applyNumberFormat="1" applyFont="1" applyFill="1" applyBorder="1" applyAlignment="1"/>
    <xf numFmtId="164" fontId="16" fillId="16" borderId="1" xfId="1" applyNumberFormat="1" applyFont="1" applyFill="1" applyBorder="1" applyAlignment="1" applyProtection="1">
      <protection locked="0"/>
    </xf>
    <xf numFmtId="164" fontId="16" fillId="18" borderId="1" xfId="1" applyNumberFormat="1" applyFont="1" applyFill="1" applyBorder="1" applyAlignment="1"/>
    <xf numFmtId="164" fontId="16" fillId="18" borderId="1" xfId="1" applyNumberFormat="1" applyFont="1" applyFill="1" applyBorder="1" applyAlignment="1" applyProtection="1">
      <protection locked="0"/>
    </xf>
    <xf numFmtId="0" fontId="16" fillId="0" borderId="0" xfId="0" applyFont="1" applyAlignment="1" applyProtection="1">
      <alignment vertical="top" wrapText="1"/>
      <protection locked="0"/>
    </xf>
    <xf numFmtId="49" fontId="16" fillId="0" borderId="1" xfId="0" applyNumberFormat="1" applyFont="1" applyBorder="1" applyAlignment="1">
      <alignment horizontal="center"/>
    </xf>
    <xf numFmtId="164" fontId="16" fillId="17" borderId="1" xfId="1" applyNumberFormat="1" applyFont="1" applyFill="1" applyBorder="1" applyAlignment="1" applyProtection="1">
      <protection locked="0"/>
    </xf>
    <xf numFmtId="164" fontId="16" fillId="0" borderId="1" xfId="1" applyNumberFormat="1" applyFont="1" applyFill="1" applyBorder="1" applyAlignment="1">
      <alignment horizontal="center" wrapText="1"/>
    </xf>
    <xf numFmtId="164" fontId="16" fillId="0" borderId="1" xfId="1" applyNumberFormat="1" applyFont="1" applyFill="1" applyBorder="1" applyAlignment="1">
      <alignment horizontal="left" wrapText="1"/>
    </xf>
    <xf numFmtId="168" fontId="16" fillId="0" borderId="1" xfId="1" applyNumberFormat="1" applyFont="1" applyFill="1" applyBorder="1" applyAlignment="1"/>
    <xf numFmtId="3" fontId="16" fillId="0" borderId="1" xfId="1" applyNumberFormat="1" applyFont="1" applyFill="1" applyBorder="1" applyAlignment="1">
      <alignment horizontal="right"/>
    </xf>
    <xf numFmtId="14" fontId="16" fillId="0" borderId="0" xfId="15" applyNumberFormat="1" applyFont="1" applyFill="1" applyAlignment="1" applyProtection="1">
      <protection locked="0"/>
    </xf>
    <xf numFmtId="168" fontId="16" fillId="0" borderId="1" xfId="1" applyNumberFormat="1" applyFont="1" applyFill="1" applyBorder="1" applyAlignment="1">
      <alignment horizontal="right"/>
    </xf>
    <xf numFmtId="168" fontId="16" fillId="0" borderId="1" xfId="1" applyNumberFormat="1" applyFont="1" applyFill="1" applyBorder="1" applyAlignment="1">
      <alignment wrapText="1"/>
    </xf>
    <xf numFmtId="3" fontId="16" fillId="0" borderId="1" xfId="1" applyNumberFormat="1" applyFont="1" applyFill="1" applyBorder="1" applyAlignment="1">
      <alignment horizontal="right" wrapText="1"/>
    </xf>
    <xf numFmtId="0" fontId="16" fillId="0" borderId="1" xfId="18" applyFont="1" applyBorder="1" applyAlignment="1">
      <alignment horizontal="center" wrapText="1"/>
    </xf>
    <xf numFmtId="0" fontId="16" fillId="0" borderId="1" xfId="18" applyFont="1" applyBorder="1" applyAlignment="1">
      <alignment horizontal="left" wrapText="1"/>
    </xf>
    <xf numFmtId="0" fontId="16" fillId="0" borderId="1" xfId="0" applyFont="1" applyBorder="1" applyAlignment="1">
      <alignment horizontal="left" wrapText="1"/>
    </xf>
    <xf numFmtId="0" fontId="16" fillId="0" borderId="1" xfId="18" applyFont="1" applyFill="1" applyBorder="1" applyAlignment="1">
      <alignment horizontal="center" wrapText="1"/>
    </xf>
    <xf numFmtId="164" fontId="16" fillId="0" borderId="1" xfId="1" applyNumberFormat="1" applyFont="1" applyBorder="1" applyAlignment="1">
      <alignment wrapText="1"/>
    </xf>
    <xf numFmtId="164" fontId="16" fillId="0" borderId="1" xfId="1" applyNumberFormat="1" applyFont="1" applyBorder="1" applyAlignment="1">
      <alignment horizontal="center" wrapText="1"/>
    </xf>
    <xf numFmtId="3" fontId="16" fillId="0" borderId="1" xfId="6" applyNumberFormat="1" applyFont="1" applyBorder="1" applyAlignment="1">
      <alignment horizontal="center" wrapText="1"/>
    </xf>
    <xf numFmtId="164" fontId="16" fillId="0" borderId="1" xfId="19" applyNumberFormat="1" applyFont="1" applyBorder="1" applyAlignment="1" applyProtection="1">
      <alignment wrapText="1"/>
    </xf>
    <xf numFmtId="3" fontId="16" fillId="0" borderId="1" xfId="6" applyNumberFormat="1" applyFont="1" applyBorder="1" applyAlignment="1" applyProtection="1">
      <protection locked="0"/>
    </xf>
    <xf numFmtId="164" fontId="16" fillId="0" borderId="1" xfId="0" applyNumberFormat="1" applyFont="1" applyBorder="1" applyAlignment="1" applyProtection="1">
      <alignment wrapText="1"/>
      <protection locked="0"/>
    </xf>
    <xf numFmtId="3" fontId="16" fillId="10" borderId="1" xfId="6" applyNumberFormat="1" applyFont="1" applyFill="1" applyBorder="1" applyAlignment="1" applyProtection="1">
      <protection locked="0"/>
    </xf>
    <xf numFmtId="0" fontId="16" fillId="14" borderId="1" xfId="0" applyFont="1" applyFill="1" applyBorder="1" applyAlignment="1" applyProtection="1">
      <alignment wrapText="1"/>
      <protection locked="0"/>
    </xf>
    <xf numFmtId="0" fontId="16" fillId="15" borderId="1" xfId="0" applyFont="1" applyFill="1" applyBorder="1" applyAlignment="1" applyProtection="1">
      <alignment wrapText="1"/>
      <protection locked="0"/>
    </xf>
    <xf numFmtId="164" fontId="16" fillId="16" borderId="1" xfId="1" applyNumberFormat="1" applyFont="1" applyFill="1" applyBorder="1" applyAlignment="1" applyProtection="1">
      <alignment wrapText="1"/>
      <protection locked="0"/>
    </xf>
    <xf numFmtId="164" fontId="16" fillId="12" borderId="1" xfId="1" applyNumberFormat="1" applyFont="1" applyFill="1" applyBorder="1" applyAlignment="1" applyProtection="1">
      <alignment wrapText="1"/>
      <protection locked="0"/>
    </xf>
    <xf numFmtId="164" fontId="16" fillId="15" borderId="1" xfId="1" applyNumberFormat="1" applyFont="1" applyFill="1" applyBorder="1" applyAlignment="1" applyProtection="1">
      <alignment wrapText="1"/>
      <protection locked="0"/>
    </xf>
    <xf numFmtId="164" fontId="16" fillId="14" borderId="1" xfId="1" applyNumberFormat="1" applyFont="1" applyFill="1" applyBorder="1" applyAlignment="1" applyProtection="1">
      <alignment wrapText="1"/>
      <protection locked="0"/>
    </xf>
    <xf numFmtId="164" fontId="16" fillId="17" borderId="1" xfId="1" applyNumberFormat="1" applyFont="1" applyFill="1" applyBorder="1" applyAlignment="1" applyProtection="1">
      <alignment wrapText="1"/>
      <protection locked="0"/>
    </xf>
    <xf numFmtId="164" fontId="16" fillId="18" borderId="1" xfId="1" applyNumberFormat="1" applyFont="1" applyFill="1" applyBorder="1" applyAlignment="1" applyProtection="1">
      <alignment wrapText="1"/>
      <protection locked="0"/>
    </xf>
    <xf numFmtId="0" fontId="16" fillId="0" borderId="1" xfId="18" applyFont="1" applyFill="1" applyBorder="1" applyAlignment="1">
      <alignment horizontal="left" wrapText="1"/>
    </xf>
    <xf numFmtId="164" fontId="16" fillId="0" borderId="1" xfId="20" applyNumberFormat="1" applyFont="1" applyFill="1" applyBorder="1" applyAlignment="1" applyProtection="1">
      <alignment horizontal="center" wrapText="1"/>
    </xf>
    <xf numFmtId="0" fontId="16" fillId="0" borderId="1" xfId="20" applyNumberFormat="1" applyFont="1" applyFill="1" applyBorder="1" applyAlignment="1" applyProtection="1">
      <alignment horizontal="left" wrapText="1"/>
    </xf>
    <xf numFmtId="0" fontId="16" fillId="0" borderId="1" xfId="20" applyNumberFormat="1" applyFont="1" applyFill="1" applyBorder="1" applyAlignment="1" applyProtection="1">
      <alignment horizontal="center" wrapText="1"/>
    </xf>
    <xf numFmtId="0" fontId="16" fillId="0" borderId="1" xfId="20" applyNumberFormat="1" applyFont="1" applyFill="1" applyBorder="1" applyAlignment="1" applyProtection="1">
      <alignment wrapText="1"/>
    </xf>
    <xf numFmtId="164" fontId="16" fillId="0" borderId="1" xfId="1" applyNumberFormat="1" applyFont="1" applyFill="1" applyBorder="1" applyAlignment="1" applyProtection="1">
      <alignment wrapText="1"/>
    </xf>
    <xf numFmtId="164" fontId="16" fillId="0" borderId="1" xfId="1" applyNumberFormat="1" applyFont="1" applyFill="1" applyBorder="1" applyAlignment="1" applyProtection="1">
      <protection locked="0"/>
    </xf>
    <xf numFmtId="9" fontId="16" fillId="0" borderId="1" xfId="21" applyFont="1" applyFill="1" applyBorder="1" applyAlignment="1" applyProtection="1">
      <alignment horizontal="center" wrapText="1"/>
    </xf>
    <xf numFmtId="0" fontId="17" fillId="0" borderId="1" xfId="20" applyNumberFormat="1" applyFont="1" applyFill="1" applyBorder="1" applyAlignment="1" applyProtection="1">
      <alignment wrapText="1"/>
    </xf>
    <xf numFmtId="49" fontId="16" fillId="9" borderId="1" xfId="0" applyNumberFormat="1" applyFont="1" applyFill="1" applyBorder="1" applyAlignment="1">
      <alignment horizontal="center"/>
    </xf>
    <xf numFmtId="0" fontId="16" fillId="9" borderId="1" xfId="17" applyNumberFormat="1" applyFont="1" applyFill="1" applyBorder="1" applyAlignment="1" applyProtection="1">
      <alignment horizontal="left" wrapText="1"/>
    </xf>
    <xf numFmtId="164" fontId="16" fillId="9" borderId="1" xfId="20" applyNumberFormat="1" applyFont="1" applyFill="1" applyBorder="1" applyAlignment="1" applyProtection="1">
      <alignment horizontal="center" wrapText="1"/>
    </xf>
    <xf numFmtId="0" fontId="16" fillId="9" borderId="1" xfId="20" applyNumberFormat="1" applyFont="1" applyFill="1" applyBorder="1" applyAlignment="1" applyProtection="1">
      <alignment horizontal="left" wrapText="1"/>
    </xf>
    <xf numFmtId="0" fontId="16" fillId="9" borderId="1" xfId="20" applyNumberFormat="1" applyFont="1" applyFill="1" applyBorder="1" applyAlignment="1" applyProtection="1">
      <alignment horizontal="center" wrapText="1"/>
    </xf>
    <xf numFmtId="164" fontId="16" fillId="9" borderId="1" xfId="1" applyNumberFormat="1" applyFont="1" applyFill="1" applyBorder="1" applyAlignment="1" applyProtection="1">
      <alignment wrapText="1"/>
    </xf>
    <xf numFmtId="164" fontId="16" fillId="9" borderId="1" xfId="1" applyNumberFormat="1" applyFont="1" applyFill="1" applyBorder="1" applyAlignment="1" applyProtection="1">
      <protection locked="0"/>
    </xf>
    <xf numFmtId="164" fontId="15" fillId="9" borderId="1" xfId="1" applyNumberFormat="1" applyFont="1" applyFill="1" applyBorder="1" applyAlignment="1" applyProtection="1">
      <protection locked="0"/>
    </xf>
    <xf numFmtId="164" fontId="15" fillId="9" borderId="1" xfId="0" applyNumberFormat="1" applyFont="1" applyFill="1" applyBorder="1" applyAlignment="1" applyProtection="1">
      <alignment wrapText="1"/>
      <protection locked="0"/>
    </xf>
    <xf numFmtId="164" fontId="16" fillId="9" borderId="1" xfId="1" applyNumberFormat="1" applyFont="1" applyFill="1" applyBorder="1" applyAlignment="1"/>
    <xf numFmtId="0" fontId="16" fillId="9" borderId="0" xfId="15" applyFont="1" applyFill="1" applyAlignment="1" applyProtection="1">
      <protection locked="0"/>
    </xf>
    <xf numFmtId="49" fontId="16" fillId="9" borderId="1" xfId="1" applyNumberFormat="1" applyFont="1" applyFill="1" applyBorder="1" applyAlignment="1" applyProtection="1">
      <alignment horizontal="center" wrapText="1"/>
    </xf>
    <xf numFmtId="164" fontId="16" fillId="0" borderId="1" xfId="20" applyNumberFormat="1" applyFont="1" applyFill="1" applyBorder="1" applyAlignment="1">
      <alignment horizontal="center" wrapText="1"/>
    </xf>
    <xf numFmtId="0" fontId="16" fillId="0" borderId="1" xfId="20" applyNumberFormat="1" applyFont="1" applyFill="1" applyBorder="1" applyAlignment="1">
      <alignment horizontal="left" wrapText="1"/>
    </xf>
    <xf numFmtId="0" fontId="16" fillId="0" borderId="1" xfId="20" applyNumberFormat="1" applyFont="1" applyFill="1" applyBorder="1" applyAlignment="1">
      <alignment horizontal="center" wrapText="1"/>
    </xf>
    <xf numFmtId="0" fontId="16" fillId="0" borderId="1" xfId="20" applyNumberFormat="1" applyFont="1" applyFill="1" applyBorder="1" applyAlignment="1">
      <alignment wrapText="1"/>
    </xf>
    <xf numFmtId="164" fontId="16" fillId="0" borderId="1" xfId="1" applyNumberFormat="1" applyFont="1" applyFill="1" applyBorder="1" applyAlignment="1">
      <alignment wrapText="1"/>
    </xf>
    <xf numFmtId="164" fontId="16" fillId="9" borderId="0" xfId="1" applyNumberFormat="1" applyFont="1" applyFill="1" applyAlignment="1" applyProtection="1">
      <protection locked="0"/>
    </xf>
    <xf numFmtId="164" fontId="16" fillId="8" borderId="1" xfId="20" applyNumberFormat="1" applyFont="1" applyFill="1" applyBorder="1" applyAlignment="1" applyProtection="1">
      <alignment horizontal="center" wrapText="1"/>
    </xf>
    <xf numFmtId="0" fontId="16" fillId="8" borderId="1" xfId="20" applyNumberFormat="1" applyFont="1" applyFill="1" applyBorder="1" applyAlignment="1" applyProtection="1">
      <alignment horizontal="left" wrapText="1"/>
    </xf>
    <xf numFmtId="0" fontId="16" fillId="8" borderId="1" xfId="20" applyNumberFormat="1" applyFont="1" applyFill="1" applyBorder="1" applyAlignment="1" applyProtection="1">
      <alignment horizontal="center" wrapText="1"/>
    </xf>
    <xf numFmtId="0" fontId="16" fillId="8" borderId="1" xfId="20" applyNumberFormat="1" applyFont="1" applyFill="1" applyBorder="1" applyAlignment="1" applyProtection="1">
      <alignment wrapText="1"/>
    </xf>
    <xf numFmtId="164" fontId="16" fillId="8" borderId="1" xfId="1" applyNumberFormat="1" applyFont="1" applyFill="1" applyBorder="1" applyAlignment="1" applyProtection="1">
      <alignment wrapText="1"/>
    </xf>
    <xf numFmtId="164" fontId="16" fillId="8" borderId="1" xfId="1" applyNumberFormat="1" applyFont="1" applyFill="1" applyBorder="1" applyAlignment="1" applyProtection="1">
      <protection locked="0"/>
    </xf>
    <xf numFmtId="0" fontId="16" fillId="9" borderId="1" xfId="20" applyNumberFormat="1" applyFont="1" applyFill="1" applyBorder="1" applyAlignment="1" applyProtection="1">
      <alignment wrapText="1"/>
    </xf>
    <xf numFmtId="0" fontId="16" fillId="0" borderId="1" xfId="22" applyFont="1" applyFill="1" applyBorder="1" applyAlignment="1">
      <alignment horizontal="left" wrapText="1"/>
    </xf>
    <xf numFmtId="0" fontId="16" fillId="0" borderId="1" xfId="13" applyFont="1" applyFill="1" applyBorder="1" applyAlignment="1">
      <alignment horizontal="center" wrapText="1"/>
    </xf>
    <xf numFmtId="0" fontId="16" fillId="0" borderId="0" xfId="15" applyFont="1" applyFill="1" applyAlignment="1" applyProtection="1">
      <alignment vertical="top"/>
      <protection locked="0"/>
    </xf>
    <xf numFmtId="0" fontId="16" fillId="9" borderId="0" xfId="0" applyFont="1" applyFill="1"/>
    <xf numFmtId="0" fontId="20" fillId="0" borderId="0" xfId="0" applyFont="1"/>
    <xf numFmtId="49" fontId="16" fillId="0" borderId="1" xfId="20" applyNumberFormat="1" applyFont="1" applyFill="1" applyBorder="1" applyAlignment="1" applyProtection="1">
      <alignment horizontal="center" wrapText="1"/>
    </xf>
    <xf numFmtId="0" fontId="16" fillId="0" borderId="1" xfId="23" applyFont="1" applyBorder="1" applyAlignment="1">
      <alignment horizontal="center" wrapText="1"/>
    </xf>
    <xf numFmtId="0" fontId="16" fillId="0" borderId="1" xfId="23" applyFont="1" applyBorder="1" applyAlignment="1">
      <alignment horizontal="left" wrapText="1"/>
    </xf>
    <xf numFmtId="0" fontId="27" fillId="0" borderId="1" xfId="23" applyFont="1" applyBorder="1" applyAlignment="1">
      <alignment wrapText="1"/>
    </xf>
    <xf numFmtId="0" fontId="16" fillId="0" borderId="1" xfId="23" applyFont="1" applyBorder="1" applyAlignment="1">
      <alignment wrapText="1"/>
    </xf>
    <xf numFmtId="164" fontId="16" fillId="0" borderId="1" xfId="20" applyNumberFormat="1" applyFont="1" applyFill="1" applyBorder="1" applyAlignment="1">
      <alignment wrapText="1"/>
    </xf>
    <xf numFmtId="3" fontId="16" fillId="0" borderId="1" xfId="17" applyNumberFormat="1" applyFont="1" applyBorder="1" applyAlignment="1">
      <alignment wrapText="1"/>
    </xf>
    <xf numFmtId="3" fontId="16" fillId="0" borderId="1" xfId="23" applyNumberFormat="1" applyFont="1" applyBorder="1" applyAlignment="1">
      <alignment wrapText="1"/>
    </xf>
    <xf numFmtId="0" fontId="20" fillId="0" borderId="1" xfId="0" applyFont="1" applyBorder="1" applyAlignment="1"/>
    <xf numFmtId="164" fontId="20" fillId="0" borderId="1" xfId="1" applyNumberFormat="1" applyFont="1" applyBorder="1" applyAlignment="1"/>
    <xf numFmtId="49" fontId="16" fillId="0" borderId="1" xfId="23" applyNumberFormat="1" applyFont="1" applyBorder="1" applyAlignment="1">
      <alignment horizontal="center" wrapText="1"/>
    </xf>
    <xf numFmtId="37" fontId="20" fillId="0" borderId="1" xfId="1" applyNumberFormat="1" applyFont="1" applyBorder="1" applyAlignment="1"/>
    <xf numFmtId="2" fontId="20" fillId="0" borderId="1" xfId="1" applyNumberFormat="1" applyFont="1" applyBorder="1" applyAlignment="1"/>
    <xf numFmtId="0" fontId="3" fillId="0" borderId="1" xfId="23" applyFont="1" applyBorder="1" applyAlignment="1">
      <alignment wrapText="1"/>
    </xf>
    <xf numFmtId="49" fontId="16" fillId="9" borderId="1" xfId="23" applyNumberFormat="1" applyFont="1" applyFill="1" applyBorder="1" applyAlignment="1">
      <alignment horizontal="center" wrapText="1"/>
    </xf>
    <xf numFmtId="49" fontId="16" fillId="0" borderId="1" xfId="6" applyNumberFormat="1" applyFont="1" applyFill="1" applyBorder="1" applyAlignment="1">
      <alignment horizontal="center" wrapText="1"/>
    </xf>
    <xf numFmtId="0" fontId="16" fillId="0" borderId="1" xfId="0" applyFont="1" applyFill="1" applyBorder="1" applyAlignment="1">
      <alignment wrapText="1"/>
    </xf>
    <xf numFmtId="0" fontId="16" fillId="0" borderId="1" xfId="0" applyFont="1" applyFill="1" applyBorder="1" applyAlignment="1"/>
    <xf numFmtId="3" fontId="16" fillId="0" borderId="1" xfId="0" applyNumberFormat="1" applyFont="1" applyFill="1" applyBorder="1" applyAlignment="1">
      <alignment horizontal="center" wrapText="1"/>
    </xf>
    <xf numFmtId="168" fontId="16" fillId="4" borderId="1" xfId="0" applyNumberFormat="1" applyFont="1" applyFill="1" applyBorder="1" applyAlignment="1"/>
    <xf numFmtId="43" fontId="16" fillId="0" borderId="1" xfId="24" applyFont="1" applyFill="1" applyBorder="1" applyAlignment="1">
      <alignment horizontal="left" wrapText="1"/>
    </xf>
    <xf numFmtId="3" fontId="16" fillId="0" borderId="1" xfId="0" applyNumberFormat="1" applyFont="1" applyBorder="1" applyAlignment="1">
      <alignment horizontal="center" wrapText="1"/>
    </xf>
    <xf numFmtId="0" fontId="16" fillId="0" borderId="1" xfId="24" applyNumberFormat="1" applyFont="1" applyFill="1" applyBorder="1" applyAlignment="1">
      <alignment horizontal="left" wrapText="1"/>
    </xf>
    <xf numFmtId="49" fontId="16" fillId="0" borderId="1" xfId="0" applyNumberFormat="1" applyFont="1" applyFill="1" applyBorder="1" applyAlignment="1">
      <alignment horizontal="center" wrapText="1"/>
    </xf>
    <xf numFmtId="49" fontId="16" fillId="8" borderId="1" xfId="15" applyNumberFormat="1" applyFont="1" applyFill="1" applyBorder="1" applyAlignment="1" applyProtection="1">
      <alignment horizontal="center"/>
      <protection locked="0"/>
    </xf>
    <xf numFmtId="0" fontId="16" fillId="8" borderId="1" xfId="15" applyFont="1" applyFill="1" applyBorder="1" applyAlignment="1" applyProtection="1">
      <alignment horizontal="left"/>
      <protection locked="0"/>
    </xf>
    <xf numFmtId="0" fontId="16" fillId="8" borderId="1" xfId="15" applyFont="1" applyFill="1" applyBorder="1" applyAlignment="1" applyProtection="1">
      <alignment horizontal="center"/>
      <protection locked="0"/>
    </xf>
    <xf numFmtId="0" fontId="15" fillId="8" borderId="1" xfId="15" applyFont="1" applyFill="1" applyBorder="1" applyAlignment="1" applyProtection="1">
      <alignment horizontal="left" vertical="center"/>
      <protection locked="0"/>
    </xf>
    <xf numFmtId="0" fontId="15" fillId="8" borderId="1" xfId="15" applyFont="1" applyFill="1" applyBorder="1" applyAlignment="1" applyProtection="1">
      <alignment horizontal="center" vertical="center"/>
      <protection locked="0"/>
    </xf>
    <xf numFmtId="0" fontId="15" fillId="8" borderId="1" xfId="15" applyFont="1" applyFill="1" applyBorder="1" applyAlignment="1" applyProtection="1">
      <alignment vertical="center"/>
      <protection locked="0"/>
    </xf>
    <xf numFmtId="164" fontId="15" fillId="8" borderId="1" xfId="15" applyNumberFormat="1" applyFont="1" applyFill="1" applyBorder="1" applyAlignment="1" applyProtection="1">
      <alignment vertical="center"/>
      <protection locked="0"/>
    </xf>
    <xf numFmtId="164" fontId="15" fillId="10" borderId="1" xfId="1" applyNumberFormat="1" applyFont="1" applyFill="1" applyBorder="1" applyAlignment="1" applyProtection="1">
      <alignment vertical="center"/>
      <protection locked="0"/>
    </xf>
    <xf numFmtId="164" fontId="15" fillId="13" borderId="1" xfId="1" applyNumberFormat="1" applyFont="1" applyFill="1" applyBorder="1" applyAlignment="1" applyProtection="1">
      <alignment vertical="center"/>
      <protection locked="0"/>
    </xf>
    <xf numFmtId="164" fontId="15" fillId="8" borderId="1" xfId="1" applyNumberFormat="1" applyFont="1" applyFill="1" applyBorder="1" applyAlignment="1" applyProtection="1">
      <alignment vertical="center"/>
      <protection locked="0"/>
    </xf>
    <xf numFmtId="164" fontId="15" fillId="14" borderId="1" xfId="1" applyNumberFormat="1" applyFont="1" applyFill="1" applyBorder="1" applyAlignment="1" applyProtection="1">
      <alignment vertical="center"/>
      <protection locked="0"/>
    </xf>
    <xf numFmtId="49" fontId="16" fillId="0" borderId="0" xfId="15" applyNumberFormat="1" applyFont="1" applyFill="1" applyAlignment="1" applyProtection="1">
      <alignment horizontal="center"/>
      <protection locked="0"/>
    </xf>
    <xf numFmtId="0" fontId="16" fillId="0" borderId="0" xfId="15" applyFont="1" applyFill="1" applyAlignment="1" applyProtection="1">
      <alignment horizontal="left"/>
      <protection locked="0"/>
    </xf>
    <xf numFmtId="0" fontId="16" fillId="0" borderId="0" xfId="15" applyFont="1" applyFill="1" applyAlignment="1" applyProtection="1">
      <alignment horizontal="center"/>
      <protection locked="0"/>
    </xf>
    <xf numFmtId="164" fontId="16" fillId="10" borderId="0" xfId="1" applyNumberFormat="1" applyFont="1" applyFill="1" applyAlignment="1" applyProtection="1">
      <protection locked="0"/>
    </xf>
    <xf numFmtId="164" fontId="16" fillId="13" borderId="0" xfId="1" applyNumberFormat="1" applyFont="1" applyFill="1" applyAlignment="1" applyProtection="1">
      <protection locked="0"/>
    </xf>
    <xf numFmtId="164" fontId="16" fillId="8" borderId="0" xfId="1" applyNumberFormat="1" applyFont="1" applyFill="1" applyAlignment="1" applyProtection="1">
      <protection locked="0"/>
    </xf>
    <xf numFmtId="164" fontId="16" fillId="14" borderId="0" xfId="1" applyNumberFormat="1" applyFont="1" applyFill="1" applyAlignment="1" applyProtection="1">
      <protection locked="0"/>
    </xf>
    <xf numFmtId="164" fontId="16" fillId="15" borderId="0" xfId="1" applyNumberFormat="1" applyFont="1" applyFill="1" applyAlignment="1" applyProtection="1">
      <protection locked="0"/>
    </xf>
    <xf numFmtId="164" fontId="16" fillId="16" borderId="0" xfId="1" applyNumberFormat="1" applyFont="1" applyFill="1" applyAlignment="1" applyProtection="1">
      <protection locked="0"/>
    </xf>
    <xf numFmtId="164" fontId="16" fillId="12" borderId="0" xfId="1" applyNumberFormat="1" applyFont="1" applyFill="1" applyAlignment="1" applyProtection="1">
      <protection locked="0"/>
    </xf>
    <xf numFmtId="164" fontId="16" fillId="17" borderId="0" xfId="1" applyNumberFormat="1" applyFont="1" applyFill="1" applyAlignment="1" applyProtection="1">
      <protection locked="0"/>
    </xf>
    <xf numFmtId="164" fontId="16" fillId="18" borderId="0" xfId="1" applyNumberFormat="1" applyFont="1" applyFill="1" applyAlignment="1" applyProtection="1">
      <protection locked="0"/>
    </xf>
    <xf numFmtId="49" fontId="16" fillId="0" borderId="0" xfId="1" applyNumberFormat="1" applyFont="1" applyFill="1" applyAlignment="1" applyProtection="1">
      <alignment horizontal="center"/>
      <protection locked="0"/>
    </xf>
    <xf numFmtId="164" fontId="15" fillId="13" borderId="0" xfId="1" applyNumberFormat="1" applyFont="1" applyFill="1" applyAlignment="1" applyProtection="1">
      <protection locked="0"/>
    </xf>
    <xf numFmtId="164" fontId="15" fillId="8" borderId="0" xfId="1" applyNumberFormat="1" applyFont="1" applyFill="1" applyAlignment="1" applyProtection="1">
      <protection locked="0"/>
    </xf>
    <xf numFmtId="0" fontId="15" fillId="8" borderId="1" xfId="0"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164" fontId="15" fillId="8" borderId="1" xfId="1" applyNumberFormat="1" applyFont="1" applyFill="1" applyBorder="1" applyAlignment="1">
      <alignment horizontal="center" vertical="center" wrapText="1"/>
    </xf>
    <xf numFmtId="164" fontId="15" fillId="8" borderId="1" xfId="1" applyNumberFormat="1" applyFont="1" applyFill="1" applyBorder="1" applyAlignment="1">
      <alignment horizontal="center" wrapText="1"/>
    </xf>
    <xf numFmtId="164" fontId="15" fillId="8" borderId="1" xfId="1" applyNumberFormat="1" applyFont="1" applyFill="1" applyBorder="1" applyAlignment="1">
      <alignment horizontal="center"/>
    </xf>
    <xf numFmtId="164" fontId="15" fillId="11" borderId="0" xfId="1" applyNumberFormat="1" applyFont="1" applyFill="1" applyBorder="1" applyAlignment="1" applyProtection="1">
      <protection locked="0"/>
    </xf>
    <xf numFmtId="49" fontId="17" fillId="0" borderId="0" xfId="0" applyNumberFormat="1" applyFont="1" applyFill="1" applyAlignment="1">
      <alignment horizontal="center"/>
    </xf>
    <xf numFmtId="164" fontId="17" fillId="0" borderId="0" xfId="1" applyNumberFormat="1" applyFont="1" applyFill="1" applyAlignment="1"/>
    <xf numFmtId="164" fontId="16" fillId="0" borderId="0" xfId="1" applyNumberFormat="1" applyFont="1" applyFill="1" applyBorder="1"/>
    <xf numFmtId="49" fontId="3" fillId="0" borderId="1" xfId="0" applyNumberFormat="1" applyFont="1" applyFill="1" applyBorder="1" applyAlignment="1">
      <alignment horizontal="center"/>
    </xf>
    <xf numFmtId="49" fontId="3" fillId="0" borderId="1" xfId="22" applyNumberFormat="1" applyFont="1" applyFill="1" applyBorder="1" applyAlignment="1">
      <alignment horizontal="left" wrapText="1"/>
    </xf>
    <xf numFmtId="49" fontId="3" fillId="0" borderId="1" xfId="20" applyNumberFormat="1" applyFont="1" applyFill="1" applyBorder="1" applyAlignment="1">
      <alignment horizontal="left" wrapText="1"/>
    </xf>
    <xf numFmtId="164" fontId="3" fillId="0" borderId="1" xfId="1" applyNumberFormat="1" applyFont="1" applyFill="1" applyBorder="1" applyAlignment="1" applyProtection="1">
      <protection locked="0"/>
    </xf>
    <xf numFmtId="164" fontId="22" fillId="0" borderId="1" xfId="1" applyNumberFormat="1" applyFont="1" applyFill="1" applyBorder="1" applyAlignment="1" applyProtection="1">
      <protection locked="0"/>
    </xf>
    <xf numFmtId="49" fontId="3" fillId="0" borderId="1" xfId="1" applyNumberFormat="1" applyFont="1" applyFill="1" applyBorder="1" applyAlignment="1" applyProtection="1">
      <alignment horizontal="center" wrapText="1"/>
    </xf>
    <xf numFmtId="49" fontId="3" fillId="0" borderId="1" xfId="20" applyNumberFormat="1" applyFont="1" applyFill="1" applyBorder="1" applyAlignment="1" applyProtection="1">
      <alignment horizontal="left" wrapText="1"/>
    </xf>
    <xf numFmtId="49" fontId="3" fillId="0" borderId="1" xfId="18" applyNumberFormat="1" applyFont="1" applyFill="1" applyBorder="1" applyAlignment="1">
      <alignment horizontal="left" wrapText="1"/>
    </xf>
    <xf numFmtId="49" fontId="3" fillId="0" borderId="1" xfId="1" applyNumberFormat="1" applyFont="1" applyFill="1" applyBorder="1" applyAlignment="1">
      <alignment horizontal="left" wrapText="1"/>
    </xf>
    <xf numFmtId="3" fontId="3" fillId="0" borderId="1" xfId="1" applyNumberFormat="1" applyFont="1" applyFill="1" applyBorder="1" applyAlignment="1">
      <alignment horizontal="right"/>
    </xf>
    <xf numFmtId="49" fontId="3" fillId="0" borderId="1" xfId="23" applyNumberFormat="1" applyFont="1" applyFill="1" applyBorder="1" applyAlignment="1">
      <alignment horizontal="left" wrapText="1"/>
    </xf>
    <xf numFmtId="164" fontId="3" fillId="0" borderId="1" xfId="20" applyNumberFormat="1" applyFont="1" applyFill="1" applyBorder="1" applyAlignment="1">
      <alignment wrapText="1"/>
    </xf>
    <xf numFmtId="49" fontId="3" fillId="0" borderId="1" xfId="23" applyNumberFormat="1" applyFont="1" applyFill="1" applyBorder="1" applyAlignment="1">
      <alignment horizontal="left"/>
    </xf>
    <xf numFmtId="164" fontId="3" fillId="0" borderId="1" xfId="19" applyNumberFormat="1" applyFont="1" applyFill="1" applyBorder="1" applyAlignment="1" applyProtection="1">
      <alignment wrapText="1"/>
    </xf>
    <xf numFmtId="3" fontId="3" fillId="0" borderId="1" xfId="0" applyNumberFormat="1" applyFont="1" applyFill="1" applyBorder="1" applyAlignment="1">
      <alignment horizontal="right" wrapText="1"/>
    </xf>
    <xf numFmtId="164" fontId="3" fillId="0" borderId="0" xfId="1" applyNumberFormat="1" applyFont="1" applyFill="1" applyAlignment="1">
      <alignment horizontal="center"/>
    </xf>
    <xf numFmtId="164" fontId="3" fillId="0" borderId="0" xfId="1" applyNumberFormat="1" applyFont="1" applyFill="1" applyAlignment="1"/>
    <xf numFmtId="167" fontId="17" fillId="0" borderId="0" xfId="4" applyNumberFormat="1" applyFont="1" applyFill="1" applyAlignment="1"/>
    <xf numFmtId="167" fontId="17" fillId="0" borderId="0" xfId="4" applyNumberFormat="1" applyFont="1" applyFill="1" applyAlignment="1">
      <alignment wrapText="1"/>
    </xf>
    <xf numFmtId="167" fontId="17" fillId="0" borderId="0" xfId="4" applyNumberFormat="1" applyFont="1" applyFill="1"/>
    <xf numFmtId="167" fontId="16" fillId="0" borderId="0" xfId="4" applyNumberFormat="1" applyFont="1" applyFill="1" applyBorder="1"/>
    <xf numFmtId="167" fontId="16" fillId="0" borderId="0" xfId="4" applyNumberFormat="1" applyFont="1" applyFill="1" applyAlignment="1">
      <alignment wrapText="1"/>
    </xf>
    <xf numFmtId="167" fontId="16" fillId="0" borderId="0" xfId="4" applyNumberFormat="1" applyFont="1" applyFill="1"/>
    <xf numFmtId="167" fontId="15" fillId="4" borderId="1" xfId="4" applyNumberFormat="1" applyFont="1" applyFill="1" applyBorder="1" applyAlignment="1">
      <alignment horizontal="center" vertical="center" wrapText="1"/>
    </xf>
    <xf numFmtId="167" fontId="15" fillId="4" borderId="1" xfId="4" applyNumberFormat="1" applyFont="1" applyFill="1" applyBorder="1" applyAlignment="1">
      <alignment horizontal="center" wrapText="1"/>
    </xf>
    <xf numFmtId="167" fontId="15" fillId="4" borderId="1" xfId="4" applyNumberFormat="1" applyFont="1" applyFill="1" applyBorder="1" applyAlignment="1">
      <alignment horizontal="center"/>
    </xf>
    <xf numFmtId="0" fontId="3" fillId="0" borderId="6" xfId="0" applyFont="1" applyFill="1" applyBorder="1" applyAlignment="1">
      <alignment horizontal="center" wrapText="1"/>
    </xf>
    <xf numFmtId="0" fontId="3" fillId="0" borderId="6" xfId="0" applyFont="1" applyFill="1" applyBorder="1" applyAlignment="1">
      <alignment wrapText="1"/>
    </xf>
    <xf numFmtId="167" fontId="3" fillId="0" borderId="6" xfId="4" applyNumberFormat="1" applyFont="1" applyFill="1" applyBorder="1" applyAlignment="1">
      <alignment wrapText="1"/>
    </xf>
    <xf numFmtId="0" fontId="3" fillId="0" borderId="7" xfId="0" applyFont="1" applyFill="1" applyBorder="1" applyAlignment="1">
      <alignment horizontal="center" wrapText="1"/>
    </xf>
    <xf numFmtId="0" fontId="3" fillId="0" borderId="7" xfId="0" applyFont="1" applyFill="1" applyBorder="1" applyAlignment="1">
      <alignment wrapText="1"/>
    </xf>
    <xf numFmtId="167" fontId="3" fillId="0" borderId="7" xfId="4" applyNumberFormat="1" applyFont="1" applyFill="1" applyBorder="1" applyAlignment="1">
      <alignment wrapText="1"/>
    </xf>
    <xf numFmtId="164" fontId="3" fillId="0" borderId="7" xfId="3" applyNumberFormat="1" applyFont="1" applyFill="1" applyBorder="1" applyAlignment="1">
      <alignment wrapText="1"/>
    </xf>
    <xf numFmtId="49" fontId="3" fillId="0" borderId="7" xfId="0" applyNumberFormat="1" applyFont="1" applyFill="1" applyBorder="1" applyAlignment="1" applyProtection="1">
      <alignment wrapText="1"/>
    </xf>
    <xf numFmtId="49" fontId="3" fillId="0" borderId="7" xfId="0" applyNumberFormat="1" applyFont="1" applyFill="1" applyBorder="1" applyAlignment="1">
      <alignment wrapText="1"/>
    </xf>
    <xf numFmtId="49" fontId="3" fillId="0" borderId="7" xfId="0" applyNumberFormat="1" applyFont="1" applyFill="1" applyBorder="1" applyAlignment="1" applyProtection="1">
      <alignment horizontal="center" wrapText="1"/>
    </xf>
    <xf numFmtId="167" fontId="3" fillId="0" borderId="7" xfId="4" applyNumberFormat="1" applyFont="1" applyFill="1" applyBorder="1" applyAlignment="1" applyProtection="1">
      <alignment wrapText="1"/>
    </xf>
    <xf numFmtId="164" fontId="3" fillId="0" borderId="7" xfId="4" applyNumberFormat="1" applyFont="1" applyFill="1" applyBorder="1" applyAlignment="1">
      <alignment wrapText="1"/>
    </xf>
    <xf numFmtId="164" fontId="3" fillId="0" borderId="7" xfId="4" applyNumberFormat="1" applyFont="1" applyFill="1" applyBorder="1" applyAlignment="1">
      <alignment horizontal="center" wrapText="1"/>
    </xf>
    <xf numFmtId="164" fontId="3" fillId="0" borderId="7" xfId="11" applyNumberFormat="1" applyFont="1" applyFill="1" applyBorder="1" applyAlignment="1">
      <alignment wrapText="1"/>
    </xf>
    <xf numFmtId="3" fontId="3" fillId="0" borderId="7" xfId="0" applyNumberFormat="1" applyFont="1" applyFill="1" applyBorder="1" applyAlignment="1">
      <alignment wrapText="1"/>
    </xf>
    <xf numFmtId="49" fontId="3" fillId="0" borderId="7" xfId="0" applyNumberFormat="1" applyFont="1" applyFill="1" applyBorder="1" applyAlignment="1">
      <alignment horizontal="center" wrapText="1"/>
    </xf>
    <xf numFmtId="0" fontId="3" fillId="0" borderId="7" xfId="9" applyFont="1" applyFill="1" applyBorder="1" applyAlignment="1">
      <alignment horizontal="center" wrapText="1"/>
    </xf>
    <xf numFmtId="0" fontId="3" fillId="0" borderId="7" xfId="5" applyFont="1" applyFill="1" applyBorder="1" applyAlignment="1">
      <alignment wrapText="1"/>
    </xf>
    <xf numFmtId="0" fontId="3" fillId="0" borderId="7" xfId="5" applyFont="1" applyFill="1" applyBorder="1" applyAlignment="1">
      <alignment horizontal="center" wrapText="1"/>
    </xf>
    <xf numFmtId="0" fontId="3" fillId="0" borderId="7" xfId="0" applyNumberFormat="1" applyFont="1" applyFill="1" applyBorder="1" applyAlignment="1" applyProtection="1">
      <alignment wrapText="1"/>
    </xf>
    <xf numFmtId="3" fontId="3" fillId="0" borderId="7" xfId="8" applyNumberFormat="1" applyFont="1" applyFill="1" applyBorder="1" applyAlignment="1">
      <alignment horizontal="center" wrapText="1"/>
    </xf>
    <xf numFmtId="0" fontId="3" fillId="0" borderId="7" xfId="0" applyFont="1" applyFill="1" applyBorder="1" applyAlignment="1">
      <alignment horizontal="center" wrapText="1" readingOrder="1"/>
    </xf>
    <xf numFmtId="0" fontId="3" fillId="0" borderId="7" xfId="0" applyFont="1" applyBorder="1" applyAlignment="1">
      <alignment wrapText="1"/>
    </xf>
    <xf numFmtId="0" fontId="3" fillId="0" borderId="7" xfId="0" applyFont="1" applyBorder="1" applyAlignment="1">
      <alignment horizontal="center" wrapText="1"/>
    </xf>
    <xf numFmtId="0" fontId="3" fillId="0" borderId="7" xfId="0" applyFont="1" applyFill="1" applyBorder="1" applyAlignment="1" applyProtection="1">
      <alignment horizontal="center" wrapText="1"/>
      <protection locked="0"/>
    </xf>
    <xf numFmtId="0" fontId="3" fillId="0" borderId="7" xfId="0" applyFont="1" applyFill="1" applyBorder="1" applyAlignment="1">
      <alignment wrapText="1" readingOrder="1"/>
    </xf>
    <xf numFmtId="0" fontId="3" fillId="0" borderId="7" xfId="0" applyNumberFormat="1" applyFont="1" applyFill="1" applyBorder="1" applyAlignment="1">
      <alignment horizontal="center" wrapText="1"/>
    </xf>
    <xf numFmtId="2" fontId="3" fillId="0" borderId="7" xfId="10" applyNumberFormat="1" applyFont="1" applyFill="1" applyBorder="1" applyAlignment="1">
      <alignment wrapText="1"/>
    </xf>
    <xf numFmtId="2" fontId="3" fillId="0" borderId="7" xfId="5" applyNumberFormat="1" applyFont="1" applyFill="1" applyBorder="1" applyAlignment="1">
      <alignment horizontal="center" wrapText="1"/>
    </xf>
    <xf numFmtId="2" fontId="3" fillId="0" borderId="7" xfId="10" applyNumberFormat="1" applyFont="1" applyFill="1" applyBorder="1" applyAlignment="1">
      <alignment horizontal="center" wrapText="1"/>
    </xf>
    <xf numFmtId="3" fontId="3" fillId="0" borderId="7" xfId="0" applyNumberFormat="1" applyFont="1" applyFill="1" applyBorder="1" applyAlignment="1">
      <alignment horizontal="center" wrapText="1"/>
    </xf>
    <xf numFmtId="0" fontId="3" fillId="0" borderId="7" xfId="0" applyNumberFormat="1" applyFont="1" applyFill="1" applyBorder="1" applyAlignment="1">
      <alignment wrapText="1"/>
    </xf>
    <xf numFmtId="2" fontId="3" fillId="0" borderId="7" xfId="0" applyNumberFormat="1" applyFont="1" applyFill="1" applyBorder="1" applyAlignment="1">
      <alignment horizontal="center" wrapText="1"/>
    </xf>
    <xf numFmtId="165" fontId="3" fillId="0" borderId="7" xfId="0" applyNumberFormat="1" applyFont="1" applyFill="1" applyBorder="1" applyAlignment="1">
      <alignment horizontal="center" wrapText="1"/>
    </xf>
    <xf numFmtId="0" fontId="3" fillId="0" borderId="7" xfId="8" applyFont="1" applyFill="1" applyBorder="1" applyAlignment="1">
      <alignment horizontal="center" wrapText="1"/>
    </xf>
    <xf numFmtId="0" fontId="3" fillId="2" borderId="7" xfId="5" applyFont="1" applyFill="1" applyBorder="1" applyAlignment="1">
      <alignment wrapText="1"/>
    </xf>
    <xf numFmtId="41" fontId="3" fillId="0" borderId="7" xfId="2" applyFont="1" applyFill="1" applyBorder="1" applyAlignment="1">
      <alignment horizontal="center" wrapText="1"/>
    </xf>
    <xf numFmtId="0" fontId="20" fillId="0" borderId="7" xfId="0" applyFont="1" applyBorder="1" applyAlignment="1">
      <alignment wrapText="1"/>
    </xf>
    <xf numFmtId="0" fontId="20" fillId="0" borderId="7" xfId="0" applyFont="1" applyBorder="1" applyAlignment="1">
      <alignment horizontal="center" wrapText="1"/>
    </xf>
    <xf numFmtId="0" fontId="3" fillId="0" borderId="7" xfId="8" applyFont="1" applyFill="1" applyBorder="1" applyAlignment="1">
      <alignment wrapText="1"/>
    </xf>
    <xf numFmtId="9" fontId="3" fillId="0" borderId="7" xfId="0" applyNumberFormat="1" applyFont="1" applyFill="1" applyBorder="1" applyAlignment="1">
      <alignment horizontal="center" wrapText="1"/>
    </xf>
    <xf numFmtId="3" fontId="3" fillId="0" borderId="7" xfId="3" applyNumberFormat="1" applyFont="1" applyFill="1" applyBorder="1" applyAlignment="1">
      <alignment horizontal="center" wrapText="1"/>
    </xf>
    <xf numFmtId="3" fontId="3" fillId="0" borderId="7" xfId="12" applyNumberFormat="1" applyFont="1" applyFill="1" applyBorder="1" applyAlignment="1" applyProtection="1">
      <alignment horizontal="center" wrapText="1"/>
    </xf>
    <xf numFmtId="166" fontId="3" fillId="0" borderId="7" xfId="13" applyNumberFormat="1" applyFont="1" applyFill="1" applyBorder="1" applyAlignment="1" applyProtection="1">
      <alignment horizontal="center" wrapText="1"/>
      <protection locked="0"/>
    </xf>
    <xf numFmtId="0" fontId="3" fillId="0" borderId="7" xfId="12" applyFont="1" applyFill="1" applyBorder="1" applyAlignment="1" applyProtection="1">
      <alignment horizontal="center" wrapText="1"/>
    </xf>
    <xf numFmtId="0" fontId="3" fillId="0" borderId="7" xfId="7" applyFont="1" applyFill="1" applyBorder="1" applyAlignment="1">
      <alignment horizontal="center" wrapText="1"/>
    </xf>
    <xf numFmtId="3" fontId="3" fillId="0" borderId="7" xfId="4" applyNumberFormat="1" applyFont="1" applyFill="1" applyBorder="1" applyAlignment="1">
      <alignment horizontal="center" wrapText="1"/>
    </xf>
    <xf numFmtId="0" fontId="16" fillId="0" borderId="7" xfId="0" applyFont="1" applyBorder="1" applyAlignment="1">
      <alignment horizontal="center" wrapText="1"/>
    </xf>
    <xf numFmtId="0" fontId="3" fillId="0" borderId="7" xfId="5" applyNumberFormat="1" applyFont="1" applyFill="1" applyBorder="1" applyAlignment="1" applyProtection="1">
      <alignment wrapText="1"/>
    </xf>
    <xf numFmtId="0" fontId="3" fillId="0" borderId="7" xfId="5" applyNumberFormat="1" applyFont="1" applyFill="1" applyBorder="1" applyAlignment="1" applyProtection="1">
      <alignment horizontal="center" wrapText="1"/>
    </xf>
    <xf numFmtId="14" fontId="3" fillId="0" borderId="7" xfId="0" applyNumberFormat="1" applyFont="1" applyFill="1" applyBorder="1" applyAlignment="1">
      <alignment horizontal="center" wrapText="1"/>
    </xf>
    <xf numFmtId="0" fontId="18" fillId="0" borderId="7" xfId="0" applyFont="1" applyFill="1" applyBorder="1" applyAlignment="1">
      <alignment wrapText="1"/>
    </xf>
    <xf numFmtId="0" fontId="3" fillId="2" borderId="7" xfId="0" applyFont="1" applyFill="1" applyBorder="1" applyAlignment="1">
      <alignment wrapText="1"/>
    </xf>
    <xf numFmtId="0" fontId="3" fillId="0" borderId="8" xfId="0" applyFont="1" applyFill="1" applyBorder="1" applyAlignment="1">
      <alignment horizontal="center" wrapText="1"/>
    </xf>
    <xf numFmtId="164" fontId="3" fillId="0" borderId="8" xfId="4" applyNumberFormat="1" applyFont="1" applyFill="1" applyBorder="1" applyAlignment="1">
      <alignment wrapText="1"/>
    </xf>
    <xf numFmtId="167" fontId="3" fillId="0" borderId="8" xfId="4" applyNumberFormat="1" applyFont="1" applyFill="1" applyBorder="1" applyAlignment="1">
      <alignment wrapText="1"/>
    </xf>
    <xf numFmtId="167" fontId="3" fillId="0" borderId="8" xfId="4" applyNumberFormat="1" applyFont="1" applyFill="1" applyBorder="1"/>
    <xf numFmtId="167" fontId="18" fillId="0" borderId="0" xfId="4" applyNumberFormat="1" applyFont="1" applyFill="1" applyAlignment="1">
      <alignment horizontal="center"/>
    </xf>
    <xf numFmtId="167" fontId="18" fillId="0" borderId="0" xfId="4" applyNumberFormat="1" applyFont="1" applyFill="1" applyAlignment="1">
      <alignment wrapText="1"/>
    </xf>
    <xf numFmtId="167" fontId="18" fillId="0" borderId="0" xfId="4" applyNumberFormat="1" applyFont="1" applyFill="1"/>
    <xf numFmtId="167" fontId="7" fillId="0" borderId="0" xfId="4" applyNumberFormat="1" applyFont="1" applyFill="1"/>
    <xf numFmtId="167" fontId="7" fillId="0" borderId="0" xfId="4" applyNumberFormat="1" applyFont="1" applyFill="1" applyAlignment="1">
      <alignment wrapText="1"/>
    </xf>
    <xf numFmtId="167" fontId="3" fillId="0" borderId="0" xfId="4" applyNumberFormat="1" applyFont="1" applyFill="1" applyAlignment="1">
      <alignment horizontal="center"/>
    </xf>
    <xf numFmtId="167" fontId="3" fillId="0" borderId="0" xfId="4" applyNumberFormat="1" applyFont="1" applyFill="1" applyAlignment="1">
      <alignment wrapText="1"/>
    </xf>
    <xf numFmtId="167" fontId="3" fillId="0" borderId="0" xfId="4" applyNumberFormat="1" applyFont="1" applyFill="1"/>
    <xf numFmtId="167" fontId="3" fillId="0" borderId="0" xfId="4" applyNumberFormat="1" applyFont="1" applyFill="1" applyAlignment="1"/>
    <xf numFmtId="0" fontId="15" fillId="0" borderId="0" xfId="0" applyFont="1" applyFill="1" applyAlignment="1">
      <alignment horizontal="center" vertical="center"/>
    </xf>
    <xf numFmtId="164" fontId="16" fillId="0" borderId="0" xfId="4" applyNumberFormat="1" applyFont="1" applyFill="1" applyAlignment="1">
      <alignment horizontal="right"/>
    </xf>
    <xf numFmtId="164" fontId="28" fillId="0" borderId="0" xfId="4" applyNumberFormat="1" applyFont="1" applyFill="1" applyAlignment="1">
      <alignment horizontal="right"/>
    </xf>
    <xf numFmtId="164" fontId="16" fillId="0" borderId="0" xfId="4" applyNumberFormat="1" applyFont="1" applyFill="1"/>
    <xf numFmtId="0" fontId="15" fillId="0" borderId="0" xfId="0" applyFont="1" applyFill="1" applyAlignment="1"/>
    <xf numFmtId="0" fontId="16" fillId="0" borderId="0" xfId="0" applyFont="1" applyFill="1" applyAlignment="1">
      <alignment vertical="center"/>
    </xf>
    <xf numFmtId="0" fontId="21" fillId="0" borderId="0" xfId="0" applyFont="1" applyFill="1" applyAlignment="1">
      <alignment horizontal="center" vertical="center"/>
    </xf>
    <xf numFmtId="0" fontId="18" fillId="0" borderId="0" xfId="0" applyFont="1" applyFill="1" applyBorder="1" applyAlignment="1"/>
    <xf numFmtId="164" fontId="15" fillId="0" borderId="0" xfId="4" applyNumberFormat="1" applyFont="1" applyFill="1" applyBorder="1" applyAlignment="1">
      <alignment horizontal="right"/>
    </xf>
    <xf numFmtId="164" fontId="30" fillId="0" borderId="0" xfId="4" applyNumberFormat="1" applyFont="1" applyFill="1" applyBorder="1" applyAlignment="1">
      <alignment horizontal="right"/>
    </xf>
    <xf numFmtId="164" fontId="16" fillId="0" borderId="0" xfId="4" applyNumberFormat="1" applyFont="1" applyFill="1" applyBorder="1"/>
    <xf numFmtId="164" fontId="28" fillId="0" borderId="0" xfId="4" applyNumberFormat="1" applyFont="1" applyFill="1"/>
    <xf numFmtId="0" fontId="15" fillId="0" borderId="1" xfId="0" applyFont="1" applyFill="1" applyBorder="1" applyAlignment="1">
      <alignment horizontal="center" vertical="center" wrapText="1"/>
    </xf>
    <xf numFmtId="164" fontId="15" fillId="0" borderId="1" xfId="4" applyNumberFormat="1" applyFont="1" applyFill="1" applyBorder="1" applyAlignment="1">
      <alignment horizontal="center" vertical="center" wrapText="1"/>
    </xf>
    <xf numFmtId="164" fontId="30" fillId="0" borderId="1" xfId="4" applyNumberFormat="1" applyFont="1" applyFill="1" applyBorder="1" applyAlignment="1">
      <alignment horizontal="center" vertical="center" wrapText="1"/>
    </xf>
    <xf numFmtId="0" fontId="16" fillId="0" borderId="6" xfId="0" applyFont="1" applyFill="1" applyBorder="1" applyAlignment="1">
      <alignment horizontal="center"/>
    </xf>
    <xf numFmtId="0" fontId="16" fillId="0" borderId="6" xfId="0" applyFont="1" applyFill="1" applyBorder="1" applyAlignment="1">
      <alignment wrapText="1"/>
    </xf>
    <xf numFmtId="0" fontId="16" fillId="0" borderId="6" xfId="0" applyFont="1" applyFill="1" applyBorder="1"/>
    <xf numFmtId="164" fontId="16" fillId="0" borderId="6" xfId="4" applyNumberFormat="1" applyFont="1" applyFill="1" applyBorder="1"/>
    <xf numFmtId="164" fontId="28" fillId="0" borderId="6" xfId="4" applyNumberFormat="1" applyFont="1" applyFill="1" applyBorder="1"/>
    <xf numFmtId="0" fontId="16" fillId="0" borderId="7" xfId="0" applyFont="1" applyFill="1" applyBorder="1" applyAlignment="1">
      <alignment horizontal="center"/>
    </xf>
    <xf numFmtId="0" fontId="16" fillId="0" borderId="7" xfId="0" applyFont="1" applyFill="1" applyBorder="1" applyAlignment="1">
      <alignment wrapText="1"/>
    </xf>
    <xf numFmtId="0" fontId="16" fillId="0" borderId="7" xfId="0" applyFont="1" applyFill="1" applyBorder="1"/>
    <xf numFmtId="164" fontId="16" fillId="0" borderId="7" xfId="4" applyNumberFormat="1" applyFont="1" applyFill="1" applyBorder="1"/>
    <xf numFmtId="164" fontId="28" fillId="0" borderId="7" xfId="4" applyNumberFormat="1" applyFont="1" applyFill="1" applyBorder="1"/>
    <xf numFmtId="0" fontId="16" fillId="0" borderId="7" xfId="0" applyFont="1" applyFill="1" applyBorder="1" applyAlignment="1">
      <alignment horizontal="left" wrapText="1"/>
    </xf>
    <xf numFmtId="0" fontId="16" fillId="0" borderId="7" xfId="0" applyFont="1" applyFill="1" applyBorder="1" applyAlignment="1">
      <alignment horizontal="center" wrapText="1"/>
    </xf>
    <xf numFmtId="164" fontId="16" fillId="0" borderId="7" xfId="4" applyNumberFormat="1" applyFont="1" applyFill="1" applyBorder="1" applyAlignment="1">
      <alignment wrapText="1"/>
    </xf>
    <xf numFmtId="164" fontId="28" fillId="0" borderId="7" xfId="4" applyNumberFormat="1" applyFont="1" applyFill="1" applyBorder="1" applyAlignment="1">
      <alignment wrapText="1"/>
    </xf>
    <xf numFmtId="0" fontId="16" fillId="0" borderId="7" xfId="5" applyFont="1" applyFill="1" applyBorder="1" applyAlignment="1">
      <alignment wrapText="1"/>
    </xf>
    <xf numFmtId="0" fontId="16" fillId="0" borderId="7" xfId="5" applyFont="1" applyFill="1" applyBorder="1" applyAlignment="1">
      <alignment horizontal="left" wrapText="1"/>
    </xf>
    <xf numFmtId="49" fontId="31" fillId="0" borderId="7" xfId="0" applyNumberFormat="1" applyFont="1" applyFill="1" applyBorder="1" applyAlignment="1">
      <alignment horizontal="center" wrapText="1" shrinkToFit="1"/>
    </xf>
    <xf numFmtId="49" fontId="31" fillId="0" borderId="7" xfId="0" applyNumberFormat="1" applyFont="1" applyFill="1" applyBorder="1" applyAlignment="1">
      <alignment horizontal="center" vertical="top" wrapText="1" shrinkToFit="1"/>
    </xf>
    <xf numFmtId="0" fontId="16" fillId="0" borderId="7" xfId="5" applyFont="1" applyFill="1" applyBorder="1" applyAlignment="1">
      <alignment horizontal="left" vertical="center" wrapText="1"/>
    </xf>
    <xf numFmtId="0" fontId="16" fillId="0" borderId="7" xfId="5" applyFont="1" applyFill="1" applyBorder="1" applyAlignment="1">
      <alignment horizontal="center" vertical="center" wrapText="1"/>
    </xf>
    <xf numFmtId="0" fontId="16" fillId="0" borderId="7" xfId="0" applyFont="1" applyFill="1" applyBorder="1" applyAlignment="1">
      <alignment horizontal="center" vertical="center"/>
    </xf>
    <xf numFmtId="0" fontId="16" fillId="0" borderId="7" xfId="5" applyFont="1" applyFill="1" applyBorder="1" applyAlignment="1">
      <alignment vertical="center" wrapText="1"/>
    </xf>
    <xf numFmtId="0" fontId="16" fillId="0" borderId="7" xfId="25" applyFont="1" applyFill="1" applyBorder="1" applyAlignment="1">
      <alignment horizontal="center" vertical="center" wrapText="1"/>
    </xf>
    <xf numFmtId="164" fontId="16" fillId="0" borderId="7" xfId="4" applyNumberFormat="1" applyFont="1" applyFill="1" applyBorder="1" applyAlignment="1">
      <alignment horizontal="center" vertical="center" wrapText="1"/>
    </xf>
    <xf numFmtId="164" fontId="28" fillId="0" borderId="7" xfId="4" applyNumberFormat="1" applyFont="1" applyFill="1" applyBorder="1" applyAlignment="1">
      <alignment horizontal="center" vertical="center" wrapText="1"/>
    </xf>
    <xf numFmtId="164" fontId="16" fillId="0" borderId="7" xfId="4" applyNumberFormat="1" applyFont="1" applyFill="1" applyBorder="1" applyAlignment="1">
      <alignment horizontal="left" vertical="center" wrapText="1"/>
    </xf>
    <xf numFmtId="0" fontId="16" fillId="0" borderId="7" xfId="5" applyFont="1" applyFill="1" applyBorder="1" applyAlignment="1"/>
    <xf numFmtId="0" fontId="16" fillId="0" borderId="7" xfId="0" applyFont="1" applyFill="1" applyBorder="1" applyAlignment="1"/>
    <xf numFmtId="164" fontId="16" fillId="0" borderId="7" xfId="4" applyNumberFormat="1" applyFont="1" applyFill="1" applyBorder="1" applyAlignment="1">
      <alignment horizontal="center" wrapText="1"/>
    </xf>
    <xf numFmtId="164" fontId="28" fillId="0" borderId="7" xfId="4" applyNumberFormat="1" applyFont="1" applyFill="1" applyBorder="1" applyAlignment="1">
      <alignment horizontal="center" wrapText="1"/>
    </xf>
    <xf numFmtId="0" fontId="16" fillId="0" borderId="7" xfId="0" applyFont="1" applyFill="1" applyBorder="1" applyAlignment="1">
      <alignment horizontal="center" vertical="center" wrapText="1"/>
    </xf>
    <xf numFmtId="0" fontId="20" fillId="0" borderId="7" xfId="0" applyFont="1" applyFill="1" applyBorder="1"/>
    <xf numFmtId="0" fontId="16" fillId="0" borderId="7" xfId="0" applyFont="1" applyFill="1" applyBorder="1" applyAlignment="1">
      <alignment horizontal="left"/>
    </xf>
    <xf numFmtId="0" fontId="16" fillId="0" borderId="7" xfId="0" applyFont="1" applyFill="1" applyBorder="1" applyAlignment="1">
      <alignment vertical="center" wrapText="1"/>
    </xf>
    <xf numFmtId="0" fontId="16" fillId="0" borderId="7" xfId="0" applyFont="1" applyFill="1" applyBorder="1" applyAlignment="1">
      <alignment vertical="center"/>
    </xf>
    <xf numFmtId="164" fontId="16" fillId="0" borderId="7" xfId="4" applyNumberFormat="1" applyFont="1" applyFill="1" applyBorder="1" applyAlignment="1">
      <alignment vertical="center" wrapText="1"/>
    </xf>
    <xf numFmtId="0" fontId="16" fillId="0" borderId="7" xfId="26" applyFont="1" applyFill="1" applyBorder="1" applyAlignment="1">
      <alignment horizontal="left" vertical="center" wrapText="1"/>
    </xf>
    <xf numFmtId="0" fontId="16" fillId="0" borderId="7" xfId="26" applyFont="1" applyFill="1" applyBorder="1" applyAlignment="1">
      <alignment horizontal="center" vertical="center" wrapText="1"/>
    </xf>
    <xf numFmtId="0" fontId="16" fillId="0" borderId="7" xfId="24" applyNumberFormat="1" applyFont="1" applyFill="1" applyBorder="1" applyAlignment="1">
      <alignment wrapText="1"/>
    </xf>
    <xf numFmtId="0" fontId="16" fillId="0" borderId="7" xfId="27" applyFont="1" applyFill="1" applyBorder="1" applyAlignment="1">
      <alignment horizontal="left" wrapText="1"/>
    </xf>
    <xf numFmtId="49" fontId="31" fillId="0" borderId="7" xfId="0" applyNumberFormat="1" applyFont="1" applyFill="1" applyBorder="1" applyAlignment="1">
      <alignment horizontal="left" wrapText="1" shrinkToFit="1"/>
    </xf>
    <xf numFmtId="0" fontId="20" fillId="0" borderId="7" xfId="0" applyFont="1" applyFill="1" applyBorder="1" applyAlignment="1">
      <alignment horizontal="center" vertical="center" wrapText="1"/>
    </xf>
    <xf numFmtId="3" fontId="33" fillId="0" borderId="7" xfId="25" applyNumberFormat="1" applyFont="1" applyFill="1" applyBorder="1" applyAlignment="1">
      <alignment vertical="center" wrapText="1"/>
    </xf>
    <xf numFmtId="0" fontId="3" fillId="0" borderId="7" xfId="0" applyFont="1" applyFill="1" applyBorder="1" applyAlignment="1">
      <alignment horizontal="center" vertical="center" wrapText="1"/>
    </xf>
    <xf numFmtId="49" fontId="16" fillId="0" borderId="7" xfId="0" applyNumberFormat="1" applyFont="1" applyFill="1" applyBorder="1" applyAlignment="1">
      <alignment horizontal="left" vertical="center" wrapText="1"/>
    </xf>
    <xf numFmtId="0" fontId="9" fillId="0" borderId="7" xfId="0" applyFont="1" applyFill="1" applyBorder="1" applyAlignment="1">
      <alignment horizontal="center" vertical="center" wrapText="1"/>
    </xf>
    <xf numFmtId="0" fontId="20" fillId="0" borderId="8" xfId="0" applyFont="1" applyFill="1" applyBorder="1" applyAlignment="1">
      <alignment horizontal="center"/>
    </xf>
    <xf numFmtId="0" fontId="20" fillId="0" borderId="8" xfId="0" applyFont="1" applyFill="1" applyBorder="1"/>
    <xf numFmtId="164" fontId="20" fillId="0" borderId="8" xfId="4" applyNumberFormat="1" applyFont="1" applyFill="1" applyBorder="1"/>
    <xf numFmtId="164" fontId="34" fillId="0" borderId="8" xfId="4" applyNumberFormat="1" applyFont="1" applyFill="1" applyBorder="1"/>
    <xf numFmtId="0" fontId="20" fillId="0" borderId="0" xfId="0" applyFont="1" applyFill="1"/>
    <xf numFmtId="0" fontId="20" fillId="0" borderId="0" xfId="0" applyFont="1" applyFill="1" applyAlignment="1">
      <alignment horizontal="center"/>
    </xf>
    <xf numFmtId="164" fontId="20" fillId="0" borderId="0" xfId="4" applyNumberFormat="1" applyFont="1" applyFill="1"/>
    <xf numFmtId="164" fontId="34" fillId="0" borderId="0" xfId="4" applyNumberFormat="1" applyFont="1" applyFill="1"/>
    <xf numFmtId="0" fontId="34" fillId="0" borderId="0" xfId="0" applyFont="1" applyFill="1"/>
    <xf numFmtId="164" fontId="3" fillId="0" borderId="1" xfId="1" applyNumberFormat="1" applyFont="1" applyFill="1" applyBorder="1" applyAlignment="1">
      <alignment horizontal="left" wrapText="1"/>
    </xf>
    <xf numFmtId="14" fontId="3" fillId="0" borderId="0" xfId="15" applyNumberFormat="1" applyFont="1" applyFill="1" applyAlignment="1" applyProtection="1">
      <protection locked="0"/>
    </xf>
    <xf numFmtId="0" fontId="3" fillId="0" borderId="1" xfId="20" applyNumberFormat="1" applyFont="1" applyFill="1" applyBorder="1" applyAlignment="1" applyProtection="1">
      <alignment horizontal="left" wrapText="1"/>
    </xf>
    <xf numFmtId="0" fontId="3" fillId="0" borderId="0" xfId="15" applyFont="1" applyFill="1" applyAlignment="1" applyProtection="1">
      <protection locked="0"/>
    </xf>
    <xf numFmtId="164" fontId="3" fillId="0" borderId="7" xfId="1" applyNumberFormat="1" applyFont="1" applyFill="1" applyBorder="1" applyAlignment="1">
      <alignment wrapText="1"/>
    </xf>
    <xf numFmtId="164" fontId="8" fillId="0" borderId="1" xfId="3" applyNumberFormat="1" applyFont="1" applyFill="1" applyBorder="1" applyAlignment="1">
      <alignment wrapText="1"/>
    </xf>
    <xf numFmtId="164" fontId="8" fillId="0" borderId="1" xfId="1" applyNumberFormat="1" applyFont="1" applyFill="1" applyBorder="1" applyAlignment="1">
      <alignment horizontal="center" wrapText="1"/>
    </xf>
    <xf numFmtId="164" fontId="8" fillId="0" borderId="1" xfId="1" applyNumberFormat="1" applyFont="1" applyFill="1" applyBorder="1" applyAlignment="1">
      <alignment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justify" wrapText="1"/>
    </xf>
    <xf numFmtId="0" fontId="8" fillId="0" borderId="1" xfId="0" applyNumberFormat="1" applyFont="1" applyFill="1" applyBorder="1" applyAlignment="1">
      <alignment horizontal="left" wrapText="1"/>
    </xf>
    <xf numFmtId="164" fontId="8" fillId="0" borderId="1" xfId="11" applyNumberFormat="1" applyFont="1" applyFill="1" applyBorder="1" applyAlignment="1">
      <alignment horizontal="left" wrapText="1"/>
    </xf>
    <xf numFmtId="164" fontId="8" fillId="0" borderId="1" xfId="3" applyNumberFormat="1" applyFont="1" applyFill="1" applyBorder="1" applyAlignment="1">
      <alignment horizontal="right" wrapText="1"/>
    </xf>
    <xf numFmtId="49" fontId="3" fillId="0" borderId="7" xfId="20" applyNumberFormat="1" applyFont="1" applyFill="1" applyBorder="1" applyAlignment="1" applyProtection="1">
      <alignment horizontal="left" wrapText="1"/>
    </xf>
    <xf numFmtId="0" fontId="3" fillId="0" borderId="1" xfId="5" applyFont="1" applyFill="1" applyBorder="1" applyAlignment="1">
      <alignment horizontal="left" wrapText="1"/>
    </xf>
    <xf numFmtId="164" fontId="3" fillId="0" borderId="1" xfId="4" applyNumberFormat="1" applyFont="1" applyFill="1" applyBorder="1"/>
    <xf numFmtId="164" fontId="3" fillId="0" borderId="7" xfId="1" applyNumberFormat="1" applyFont="1" applyFill="1" applyBorder="1" applyAlignment="1" applyProtection="1">
      <alignment wrapText="1"/>
    </xf>
    <xf numFmtId="167" fontId="3" fillId="0" borderId="1" xfId="4" applyNumberFormat="1" applyFont="1" applyFill="1" applyBorder="1" applyAlignment="1">
      <alignment wrapText="1"/>
    </xf>
    <xf numFmtId="164" fontId="3" fillId="0" borderId="7" xfId="1" applyNumberFormat="1" applyFont="1" applyFill="1" applyBorder="1" applyAlignment="1" applyProtection="1">
      <protection locked="0"/>
    </xf>
    <xf numFmtId="164" fontId="22" fillId="0" borderId="7" xfId="1" applyNumberFormat="1" applyFont="1" applyFill="1" applyBorder="1" applyAlignment="1" applyProtection="1">
      <protection locked="0"/>
    </xf>
    <xf numFmtId="49" fontId="3" fillId="0" borderId="7" xfId="23" applyNumberFormat="1" applyFont="1" applyFill="1" applyBorder="1" applyAlignment="1">
      <alignment horizontal="left" wrapText="1"/>
    </xf>
    <xf numFmtId="49" fontId="3" fillId="0" borderId="7" xfId="1" applyNumberFormat="1" applyFont="1" applyFill="1" applyBorder="1" applyAlignment="1">
      <alignment horizontal="left" wrapText="1"/>
    </xf>
    <xf numFmtId="49" fontId="3" fillId="0" borderId="7" xfId="0" applyNumberFormat="1" applyFont="1" applyFill="1" applyBorder="1" applyAlignment="1">
      <alignment horizontal="left" wrapText="1"/>
    </xf>
    <xf numFmtId="164" fontId="3" fillId="0" borderId="7" xfId="1" applyNumberFormat="1" applyFont="1" applyFill="1" applyBorder="1" applyAlignment="1">
      <alignment horizontal="right"/>
    </xf>
    <xf numFmtId="164" fontId="3" fillId="0" borderId="7" xfId="1" applyNumberFormat="1" applyFont="1" applyFill="1" applyBorder="1" applyAlignment="1">
      <alignment horizontal="center" wrapText="1"/>
    </xf>
    <xf numFmtId="164" fontId="3" fillId="0" borderId="7" xfId="20" applyNumberFormat="1" applyFont="1" applyFill="1" applyBorder="1" applyAlignment="1">
      <alignment wrapText="1"/>
    </xf>
    <xf numFmtId="3" fontId="3" fillId="0" borderId="7" xfId="1" applyNumberFormat="1" applyFont="1" applyFill="1" applyBorder="1" applyAlignment="1">
      <alignment horizontal="right"/>
    </xf>
    <xf numFmtId="0" fontId="36" fillId="0" borderId="0" xfId="0" applyFont="1" applyFill="1" applyAlignment="1">
      <alignment horizontal="center"/>
    </xf>
    <xf numFmtId="49" fontId="36" fillId="0" borderId="0" xfId="0" applyNumberFormat="1" applyFont="1" applyFill="1"/>
    <xf numFmtId="49" fontId="36" fillId="0" borderId="0" xfId="0" applyNumberFormat="1" applyFont="1" applyFill="1" applyAlignment="1">
      <alignment horizontal="center"/>
    </xf>
    <xf numFmtId="49" fontId="27" fillId="0" borderId="0" xfId="0" applyNumberFormat="1" applyFont="1" applyFill="1" applyAlignment="1">
      <alignment horizontal="center"/>
    </xf>
    <xf numFmtId="164" fontId="23" fillId="0" borderId="0" xfId="1" applyNumberFormat="1" applyFont="1" applyFill="1" applyAlignment="1">
      <alignment horizontal="center"/>
    </xf>
    <xf numFmtId="164" fontId="23" fillId="0" borderId="0" xfId="1" applyNumberFormat="1" applyFont="1" applyFill="1" applyAlignment="1">
      <alignment wrapText="1"/>
    </xf>
    <xf numFmtId="164" fontId="27" fillId="0" borderId="0" xfId="1" applyNumberFormat="1" applyFont="1" applyFill="1"/>
    <xf numFmtId="164" fontId="23" fillId="0" borderId="0" xfId="1" applyNumberFormat="1" applyFont="1" applyFill="1"/>
    <xf numFmtId="164" fontId="36" fillId="0" borderId="0" xfId="1" applyNumberFormat="1" applyFont="1" applyFill="1"/>
    <xf numFmtId="164" fontId="36" fillId="0" borderId="0" xfId="1" applyNumberFormat="1" applyFont="1" applyFill="1" applyAlignment="1">
      <alignment wrapText="1"/>
    </xf>
    <xf numFmtId="0" fontId="36" fillId="0" borderId="0" xfId="0" applyFont="1" applyFill="1"/>
    <xf numFmtId="164" fontId="37" fillId="0" borderId="0" xfId="1" applyNumberFormat="1" applyFont="1" applyFill="1" applyAlignment="1">
      <alignment wrapText="1"/>
    </xf>
    <xf numFmtId="164" fontId="37" fillId="0" borderId="0" xfId="1" applyNumberFormat="1" applyFont="1" applyFill="1"/>
    <xf numFmtId="49" fontId="15" fillId="0" borderId="0" xfId="0" applyNumberFormat="1" applyFont="1" applyFill="1" applyBorder="1" applyAlignment="1">
      <alignment horizontal="left"/>
    </xf>
    <xf numFmtId="49" fontId="3" fillId="0" borderId="1" xfId="4" applyNumberFormat="1" applyFont="1" applyFill="1" applyBorder="1" applyAlignment="1">
      <alignment horizontal="left" wrapText="1"/>
    </xf>
    <xf numFmtId="49" fontId="3" fillId="0" borderId="1" xfId="0" quotePrefix="1" applyNumberFormat="1" applyFont="1" applyFill="1" applyBorder="1" applyAlignment="1">
      <alignment horizontal="left" wrapText="1"/>
    </xf>
    <xf numFmtId="49" fontId="3" fillId="0" borderId="1" xfId="0" applyNumberFormat="1" applyFont="1" applyFill="1" applyBorder="1" applyAlignment="1" applyProtection="1">
      <alignment horizontal="left" wrapText="1"/>
    </xf>
    <xf numFmtId="164" fontId="8" fillId="0" borderId="1" xfId="3" applyNumberFormat="1" applyFont="1" applyFill="1" applyBorder="1" applyAlignment="1">
      <alignment horizontal="left" wrapText="1"/>
    </xf>
    <xf numFmtId="49" fontId="3" fillId="0" borderId="1" xfId="9" applyNumberFormat="1" applyFont="1" applyFill="1" applyBorder="1" applyAlignment="1">
      <alignment horizontal="left" wrapText="1"/>
    </xf>
    <xf numFmtId="49" fontId="3" fillId="0" borderId="1" xfId="0" applyNumberFormat="1" applyFont="1" applyFill="1" applyBorder="1" applyAlignment="1">
      <alignment horizontal="left" wrapText="1" readingOrder="1"/>
    </xf>
    <xf numFmtId="3" fontId="8" fillId="0" borderId="1" xfId="0" applyNumberFormat="1" applyFont="1" applyFill="1" applyBorder="1" applyAlignment="1">
      <alignment horizontal="left" wrapText="1"/>
    </xf>
    <xf numFmtId="0" fontId="3" fillId="0" borderId="1" xfId="0" applyFont="1" applyFill="1" applyBorder="1" applyAlignment="1">
      <alignment horizontal="left"/>
    </xf>
    <xf numFmtId="49" fontId="3" fillId="0" borderId="7" xfId="8" applyNumberFormat="1" applyFont="1" applyFill="1" applyBorder="1" applyAlignment="1">
      <alignment horizontal="left" wrapText="1"/>
    </xf>
    <xf numFmtId="164" fontId="3" fillId="0" borderId="1" xfId="4" applyNumberFormat="1" applyFont="1" applyFill="1" applyBorder="1" applyAlignment="1">
      <alignment horizontal="left" wrapText="1"/>
    </xf>
    <xf numFmtId="49" fontId="3" fillId="0" borderId="1" xfId="3" applyNumberFormat="1" applyFont="1" applyFill="1" applyBorder="1" applyAlignment="1">
      <alignment horizontal="left" wrapText="1"/>
    </xf>
    <xf numFmtId="49" fontId="3" fillId="0" borderId="1" xfId="5" applyNumberFormat="1" applyFont="1" applyFill="1" applyBorder="1" applyAlignment="1">
      <alignment horizontal="left" wrapText="1"/>
    </xf>
    <xf numFmtId="49" fontId="3" fillId="0" borderId="1" xfId="12" applyNumberFormat="1" applyFont="1" applyFill="1" applyBorder="1" applyAlignment="1" applyProtection="1">
      <alignment horizontal="left" wrapText="1"/>
    </xf>
    <xf numFmtId="49" fontId="36" fillId="0" borderId="0" xfId="0" applyNumberFormat="1" applyFont="1" applyFill="1" applyAlignment="1">
      <alignment horizontal="left"/>
    </xf>
    <xf numFmtId="49" fontId="3" fillId="0" borderId="0" xfId="0" applyNumberFormat="1" applyFont="1" applyFill="1" applyAlignment="1">
      <alignment horizontal="left"/>
    </xf>
    <xf numFmtId="49" fontId="18" fillId="0" borderId="0" xfId="0" applyNumberFormat="1" applyFont="1" applyFill="1" applyAlignment="1">
      <alignment horizontal="left"/>
    </xf>
    <xf numFmtId="49" fontId="3" fillId="0" borderId="1" xfId="4" applyNumberFormat="1" applyFont="1" applyFill="1" applyBorder="1" applyAlignment="1">
      <alignment horizontal="left"/>
    </xf>
    <xf numFmtId="0" fontId="3" fillId="0" borderId="1" xfId="0" applyNumberFormat="1" applyFont="1" applyFill="1" applyBorder="1" applyAlignment="1">
      <alignment horizontal="left" wrapText="1"/>
    </xf>
    <xf numFmtId="49" fontId="3" fillId="0" borderId="1" xfId="0" applyNumberFormat="1" applyFont="1" applyFill="1" applyBorder="1" applyAlignment="1" applyProtection="1">
      <alignment horizontal="left" wrapText="1"/>
      <protection locked="0"/>
    </xf>
    <xf numFmtId="49" fontId="3" fillId="0" borderId="7" xfId="0" applyNumberFormat="1" applyFont="1" applyFill="1" applyBorder="1" applyAlignment="1">
      <alignment horizontal="left"/>
    </xf>
    <xf numFmtId="49" fontId="5" fillId="0" borderId="0" xfId="0" applyNumberFormat="1" applyFont="1" applyFill="1" applyAlignment="1">
      <alignment horizontal="left"/>
    </xf>
    <xf numFmtId="49" fontId="19" fillId="0" borderId="0" xfId="0" applyNumberFormat="1" applyFont="1" applyFill="1" applyAlignment="1">
      <alignment horizontal="left"/>
    </xf>
    <xf numFmtId="49" fontId="15" fillId="0" borderId="0" xfId="4" applyNumberFormat="1" applyFont="1" applyFill="1" applyBorder="1" applyAlignment="1">
      <alignment horizontal="left"/>
    </xf>
    <xf numFmtId="49" fontId="16" fillId="0" borderId="0" xfId="4" applyNumberFormat="1" applyFont="1" applyFill="1" applyAlignment="1">
      <alignment horizontal="left"/>
    </xf>
    <xf numFmtId="49" fontId="3" fillId="0" borderId="1" xfId="8" applyNumberFormat="1" applyFont="1" applyFill="1" applyBorder="1" applyAlignment="1">
      <alignment horizontal="left" wrapText="1"/>
    </xf>
    <xf numFmtId="49" fontId="3" fillId="0" borderId="7" xfId="2" applyNumberFormat="1" applyFont="1" applyFill="1" applyBorder="1" applyAlignment="1">
      <alignment horizontal="left" wrapText="1"/>
    </xf>
    <xf numFmtId="49" fontId="3" fillId="0" borderId="1" xfId="2" applyNumberFormat="1" applyFont="1" applyFill="1" applyBorder="1" applyAlignment="1">
      <alignment horizontal="left" wrapText="1"/>
    </xf>
    <xf numFmtId="49" fontId="3" fillId="0" borderId="1" xfId="13" applyNumberFormat="1" applyFont="1" applyFill="1" applyBorder="1" applyAlignment="1">
      <alignment horizontal="left" wrapText="1"/>
    </xf>
    <xf numFmtId="3" fontId="3" fillId="0" borderId="1" xfId="0" applyNumberFormat="1" applyFont="1" applyFill="1" applyBorder="1" applyAlignment="1">
      <alignment horizontal="left" wrapText="1"/>
    </xf>
    <xf numFmtId="49" fontId="3" fillId="0" borderId="1" xfId="0" applyNumberFormat="1" applyFont="1" applyFill="1" applyBorder="1" applyAlignment="1">
      <alignment horizontal="left"/>
    </xf>
    <xf numFmtId="0" fontId="3" fillId="0" borderId="1" xfId="18" applyFont="1" applyFill="1" applyBorder="1" applyAlignment="1">
      <alignment horizontal="left" wrapText="1"/>
    </xf>
    <xf numFmtId="49" fontId="3" fillId="0" borderId="7" xfId="0" applyNumberFormat="1" applyFont="1" applyFill="1" applyBorder="1" applyAlignment="1">
      <alignment horizontal="left" wrapText="1" readingOrder="1"/>
    </xf>
    <xf numFmtId="0" fontId="16" fillId="0" borderId="0" xfId="0" applyFont="1" applyFill="1" applyAlignment="1">
      <alignment horizontal="center"/>
    </xf>
    <xf numFmtId="0" fontId="15" fillId="0" borderId="0" xfId="0" applyFont="1" applyFill="1" applyAlignment="1">
      <alignment horizontal="center"/>
    </xf>
    <xf numFmtId="49" fontId="15"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left" vertical="center" wrapText="1"/>
    </xf>
    <xf numFmtId="164" fontId="15" fillId="0" borderId="1" xfId="1" applyNumberFormat="1" applyFont="1" applyFill="1" applyBorder="1" applyAlignment="1">
      <alignment horizontal="center" vertical="center" wrapText="1"/>
    </xf>
    <xf numFmtId="164" fontId="15" fillId="0" borderId="1" xfId="1" applyNumberFormat="1" applyFont="1" applyFill="1" applyBorder="1" applyAlignment="1">
      <alignment horizontal="center" wrapText="1"/>
    </xf>
    <xf numFmtId="164" fontId="15" fillId="0" borderId="1" xfId="1" applyNumberFormat="1" applyFont="1" applyFill="1" applyBorder="1" applyAlignment="1">
      <alignment horizontal="center"/>
    </xf>
    <xf numFmtId="0" fontId="2" fillId="0" borderId="1" xfId="0" applyFont="1" applyFill="1" applyBorder="1"/>
    <xf numFmtId="0" fontId="2" fillId="0" borderId="1" xfId="0" applyFont="1" applyFill="1" applyBorder="1" applyAlignment="1">
      <alignment horizontal="left"/>
    </xf>
    <xf numFmtId="164" fontId="2" fillId="0" borderId="1" xfId="1" applyNumberFormat="1" applyFont="1" applyFill="1" applyBorder="1"/>
    <xf numFmtId="49" fontId="3" fillId="0" borderId="1" xfId="0" applyNumberFormat="1" applyFont="1" applyFill="1" applyBorder="1" applyAlignment="1" applyProtection="1">
      <alignment horizontal="left"/>
    </xf>
    <xf numFmtId="164" fontId="15" fillId="0" borderId="1" xfId="1" applyNumberFormat="1" applyFont="1" applyFill="1" applyBorder="1" applyAlignment="1" applyProtection="1">
      <protection locked="0"/>
    </xf>
    <xf numFmtId="49" fontId="24" fillId="5" borderId="4" xfId="0" applyNumberFormat="1" applyFont="1" applyFill="1" applyBorder="1" applyAlignment="1" applyProtection="1">
      <alignment horizontal="center" vertical="center"/>
    </xf>
    <xf numFmtId="0" fontId="24" fillId="6" borderId="0" xfId="0" applyNumberFormat="1" applyFont="1" applyFill="1" applyBorder="1" applyAlignment="1" applyProtection="1">
      <alignment horizontal="left" vertical="top"/>
    </xf>
    <xf numFmtId="3" fontId="24" fillId="6" borderId="4" xfId="0" applyNumberFormat="1" applyFont="1" applyFill="1" applyBorder="1" applyAlignment="1" applyProtection="1">
      <alignment horizontal="center" vertical="center"/>
    </xf>
    <xf numFmtId="0" fontId="24" fillId="6" borderId="4" xfId="0" applyNumberFormat="1" applyFont="1" applyFill="1" applyBorder="1" applyAlignment="1" applyProtection="1">
      <alignment horizontal="right" vertical="center"/>
    </xf>
    <xf numFmtId="49" fontId="24" fillId="6" borderId="4" xfId="0" applyNumberFormat="1" applyFont="1" applyFill="1" applyBorder="1" applyAlignment="1" applyProtection="1">
      <alignment horizontal="left" vertical="center"/>
    </xf>
    <xf numFmtId="14" fontId="24" fillId="6" borderId="4" xfId="0" applyNumberFormat="1" applyFont="1" applyFill="1" applyBorder="1" applyAlignment="1" applyProtection="1">
      <alignment horizontal="left" vertical="center"/>
    </xf>
    <xf numFmtId="3" fontId="24" fillId="6" borderId="4" xfId="0" applyNumberFormat="1" applyFont="1" applyFill="1" applyBorder="1" applyAlignment="1" applyProtection="1">
      <alignment horizontal="right" vertical="center"/>
    </xf>
    <xf numFmtId="0" fontId="24" fillId="5" borderId="10" xfId="0" applyNumberFormat="1" applyFont="1" applyFill="1" applyBorder="1" applyAlignment="1" applyProtection="1">
      <alignment horizontal="right" vertical="center"/>
    </xf>
    <xf numFmtId="3" fontId="24" fillId="5" borderId="4" xfId="0" applyNumberFormat="1" applyFont="1" applyFill="1" applyBorder="1" applyAlignment="1" applyProtection="1">
      <alignment horizontal="right" vertical="center"/>
    </xf>
    <xf numFmtId="0" fontId="24" fillId="5" borderId="15" xfId="0" applyNumberFormat="1" applyFont="1" applyFill="1" applyBorder="1" applyAlignment="1" applyProtection="1">
      <alignment horizontal="right" vertical="center"/>
    </xf>
    <xf numFmtId="3" fontId="24" fillId="7" borderId="5" xfId="0" applyNumberFormat="1" applyFont="1" applyFill="1" applyBorder="1" applyAlignment="1" applyProtection="1">
      <alignment horizontal="right" vertical="center"/>
    </xf>
    <xf numFmtId="0" fontId="24" fillId="6" borderId="4" xfId="0" applyNumberFormat="1" applyFont="1" applyFill="1" applyBorder="1" applyAlignment="1" applyProtection="1">
      <alignment horizontal="left" vertical="top"/>
    </xf>
    <xf numFmtId="49" fontId="24" fillId="6" borderId="14" xfId="0" applyNumberFormat="1" applyFont="1" applyFill="1" applyBorder="1" applyAlignment="1" applyProtection="1">
      <alignment horizontal="left" vertical="center"/>
    </xf>
    <xf numFmtId="49" fontId="24" fillId="6" borderId="9" xfId="0" applyNumberFormat="1" applyFont="1" applyFill="1" applyBorder="1" applyAlignment="1" applyProtection="1">
      <alignment horizontal="left" vertical="center"/>
    </xf>
    <xf numFmtId="49" fontId="24" fillId="6" borderId="12" xfId="0" applyNumberFormat="1" applyFont="1" applyFill="1" applyBorder="1" applyAlignment="1" applyProtection="1">
      <alignment horizontal="left" vertical="center"/>
    </xf>
    <xf numFmtId="3" fontId="24" fillId="6" borderId="14" xfId="0" applyNumberFormat="1" applyFont="1" applyFill="1" applyBorder="1" applyAlignment="1" applyProtection="1">
      <alignment horizontal="right" vertical="center"/>
    </xf>
    <xf numFmtId="3" fontId="24" fillId="6" borderId="9" xfId="0" applyNumberFormat="1" applyFont="1" applyFill="1" applyBorder="1" applyAlignment="1" applyProtection="1">
      <alignment horizontal="right" vertical="center"/>
    </xf>
    <xf numFmtId="3" fontId="24" fillId="6" borderId="12" xfId="0" applyNumberFormat="1" applyFont="1" applyFill="1" applyBorder="1" applyAlignment="1" applyProtection="1">
      <alignment horizontal="right" vertical="center"/>
    </xf>
    <xf numFmtId="3" fontId="24" fillId="6" borderId="15" xfId="0" applyNumberFormat="1" applyFont="1" applyFill="1" applyBorder="1" applyAlignment="1" applyProtection="1">
      <alignment horizontal="center" vertical="center"/>
    </xf>
    <xf numFmtId="3" fontId="24" fillId="6" borderId="10" xfId="0" applyNumberFormat="1" applyFont="1" applyFill="1" applyBorder="1" applyAlignment="1" applyProtection="1">
      <alignment horizontal="center" vertical="center"/>
    </xf>
    <xf numFmtId="3" fontId="24" fillId="6" borderId="16" xfId="0" applyNumberFormat="1" applyFont="1" applyFill="1" applyBorder="1" applyAlignment="1" applyProtection="1">
      <alignment horizontal="right" vertical="center"/>
    </xf>
    <xf numFmtId="3" fontId="24" fillId="6" borderId="11" xfId="0" applyNumberFormat="1" applyFont="1" applyFill="1" applyBorder="1" applyAlignment="1" applyProtection="1">
      <alignment horizontal="right" vertical="center"/>
    </xf>
    <xf numFmtId="3" fontId="24" fillId="6" borderId="13" xfId="0" applyNumberFormat="1" applyFont="1" applyFill="1" applyBorder="1" applyAlignment="1" applyProtection="1">
      <alignment horizontal="right" vertical="center"/>
    </xf>
    <xf numFmtId="3" fontId="24" fillId="6" borderId="16" xfId="0" applyNumberFormat="1" applyFont="1" applyFill="1" applyBorder="1" applyAlignment="1" applyProtection="1">
      <alignment horizontal="center" vertical="center"/>
    </xf>
    <xf numFmtId="3" fontId="24" fillId="6" borderId="11" xfId="0" applyNumberFormat="1" applyFont="1" applyFill="1" applyBorder="1" applyAlignment="1" applyProtection="1">
      <alignment horizontal="center" vertical="center"/>
    </xf>
    <xf numFmtId="3" fontId="24" fillId="6" borderId="13" xfId="0" applyNumberFormat="1" applyFont="1" applyFill="1" applyBorder="1" applyAlignment="1" applyProtection="1">
      <alignment horizontal="center" vertical="center"/>
    </xf>
    <xf numFmtId="49" fontId="24" fillId="8" borderId="4" xfId="0" applyNumberFormat="1" applyFont="1" applyFill="1" applyBorder="1" applyAlignment="1" applyProtection="1">
      <alignment vertical="center"/>
    </xf>
    <xf numFmtId="49" fontId="24" fillId="8" borderId="4" xfId="0" applyNumberFormat="1" applyFont="1" applyFill="1" applyBorder="1" applyAlignment="1" applyProtection="1">
      <alignment horizontal="center" vertical="center"/>
    </xf>
    <xf numFmtId="3" fontId="24" fillId="20" borderId="4" xfId="0" applyNumberFormat="1" applyFont="1" applyFill="1" applyBorder="1" applyAlignment="1" applyProtection="1">
      <alignment horizontal="right" vertical="center"/>
    </xf>
    <xf numFmtId="0" fontId="0" fillId="20" borderId="0" xfId="0" applyFill="1"/>
    <xf numFmtId="0" fontId="15" fillId="8" borderId="0" xfId="1" applyNumberFormat="1" applyFont="1" applyFill="1" applyAlignment="1" applyProtection="1"/>
    <xf numFmtId="164" fontId="16" fillId="0" borderId="0" xfId="1" applyNumberFormat="1" applyFont="1" applyFill="1" applyAlignment="1" applyProtection="1">
      <alignment horizontal="center"/>
      <protection locked="0"/>
    </xf>
    <xf numFmtId="0" fontId="16" fillId="8" borderId="0" xfId="15" applyFont="1" applyFill="1" applyAlignment="1" applyProtection="1"/>
    <xf numFmtId="49" fontId="15" fillId="13" borderId="1" xfId="1" applyNumberFormat="1" applyFont="1" applyFill="1" applyBorder="1" applyAlignment="1" applyProtection="1">
      <alignment horizontal="center" wrapText="1"/>
    </xf>
    <xf numFmtId="164" fontId="15" fillId="14" borderId="2" xfId="1" applyNumberFormat="1" applyFont="1" applyFill="1" applyBorder="1" applyAlignment="1" applyProtection="1">
      <alignment horizontal="center" vertical="center" wrapText="1"/>
      <protection locked="0"/>
    </xf>
    <xf numFmtId="164" fontId="15" fillId="14" borderId="1" xfId="1" applyNumberFormat="1" applyFont="1" applyFill="1" applyBorder="1" applyAlignment="1" applyProtection="1">
      <alignment horizontal="center" vertical="center" wrapText="1"/>
      <protection locked="0"/>
    </xf>
    <xf numFmtId="164" fontId="15" fillId="15" borderId="1" xfId="1" applyNumberFormat="1" applyFont="1" applyFill="1" applyBorder="1" applyAlignment="1" applyProtection="1">
      <alignment horizontal="center" vertical="center" wrapText="1"/>
      <protection locked="0"/>
    </xf>
    <xf numFmtId="164" fontId="15" fillId="16" borderId="1" xfId="1" applyNumberFormat="1" applyFont="1" applyFill="1" applyBorder="1" applyAlignment="1" applyProtection="1">
      <alignment horizontal="center" vertical="center" wrapText="1"/>
      <protection locked="0"/>
    </xf>
    <xf numFmtId="164" fontId="15" fillId="12" borderId="1" xfId="1" applyNumberFormat="1" applyFont="1" applyFill="1" applyBorder="1" applyAlignment="1" applyProtection="1">
      <alignment horizontal="center" vertical="center" wrapText="1"/>
      <protection locked="0"/>
    </xf>
    <xf numFmtId="164" fontId="15" fillId="17" borderId="1" xfId="1" applyNumberFormat="1" applyFont="1" applyFill="1" applyBorder="1" applyAlignment="1" applyProtection="1">
      <alignment horizontal="center" vertical="center" wrapText="1"/>
      <protection locked="0"/>
    </xf>
    <xf numFmtId="164" fontId="15" fillId="18" borderId="1" xfId="1" applyNumberFormat="1" applyFont="1" applyFill="1" applyBorder="1" applyAlignment="1" applyProtection="1">
      <alignment horizontal="center" vertical="center" wrapText="1"/>
      <protection locked="0"/>
    </xf>
    <xf numFmtId="0" fontId="15" fillId="0" borderId="0" xfId="15" applyFont="1" applyFill="1" applyAlignment="1" applyProtection="1">
      <alignment horizontal="center"/>
      <protection locked="0"/>
    </xf>
    <xf numFmtId="0" fontId="16" fillId="8" borderId="1" xfId="0" applyFont="1" applyFill="1" applyBorder="1" applyAlignment="1"/>
    <xf numFmtId="164" fontId="15" fillId="14" borderId="1" xfId="1" applyNumberFormat="1" applyFont="1" applyFill="1" applyBorder="1" applyAlignment="1" applyProtection="1">
      <alignment horizontal="center"/>
      <protection locked="0"/>
    </xf>
    <xf numFmtId="164" fontId="16" fillId="8" borderId="1" xfId="20" applyNumberFormat="1" applyFont="1" applyFill="1" applyBorder="1" applyAlignment="1" applyProtection="1">
      <alignment wrapText="1"/>
    </xf>
    <xf numFmtId="164" fontId="16" fillId="8" borderId="1" xfId="20" applyNumberFormat="1" applyFont="1" applyFill="1" applyBorder="1" applyAlignment="1">
      <alignment wrapText="1"/>
    </xf>
    <xf numFmtId="0" fontId="20" fillId="0" borderId="1" xfId="0" applyFont="1" applyFill="1" applyBorder="1" applyAlignment="1">
      <alignment horizontal="center" wrapText="1"/>
    </xf>
    <xf numFmtId="0" fontId="16" fillId="8" borderId="1" xfId="15" applyFont="1" applyFill="1" applyBorder="1" applyAlignment="1" applyProtection="1">
      <protection locked="0"/>
    </xf>
    <xf numFmtId="164" fontId="15" fillId="14" borderId="1" xfId="15" applyNumberFormat="1" applyFont="1" applyFill="1" applyBorder="1" applyAlignment="1" applyProtection="1">
      <alignment horizontal="center" vertical="center"/>
      <protection locked="0"/>
    </xf>
    <xf numFmtId="0" fontId="16" fillId="8" borderId="0" xfId="15" applyFont="1" applyFill="1" applyAlignment="1" applyProtection="1">
      <protection locked="0"/>
    </xf>
    <xf numFmtId="0" fontId="16" fillId="14" borderId="0" xfId="15" applyFont="1" applyFill="1" applyAlignment="1" applyProtection="1">
      <alignment horizontal="center"/>
      <protection locked="0"/>
    </xf>
    <xf numFmtId="164" fontId="16" fillId="14" borderId="0" xfId="1" applyNumberFormat="1" applyFont="1" applyFill="1" applyAlignment="1" applyProtection="1">
      <alignment horizontal="center"/>
      <protection locked="0"/>
    </xf>
    <xf numFmtId="49" fontId="15" fillId="3" borderId="18" xfId="0" applyNumberFormat="1" applyFont="1" applyFill="1" applyBorder="1" applyAlignment="1">
      <alignment horizontal="center" vertical="center" wrapText="1"/>
    </xf>
    <xf numFmtId="49" fontId="18" fillId="0" borderId="0" xfId="0" applyNumberFormat="1" applyFont="1" applyFill="1" applyBorder="1" applyAlignment="1">
      <alignment horizontal="left"/>
    </xf>
    <xf numFmtId="49" fontId="15" fillId="0" borderId="0" xfId="1" applyNumberFormat="1" applyFont="1" applyFill="1" applyAlignment="1" applyProtection="1">
      <alignment horizontal="center"/>
    </xf>
    <xf numFmtId="49" fontId="16" fillId="0" borderId="0" xfId="15" applyNumberFormat="1" applyFont="1" applyFill="1" applyAlignment="1" applyProtection="1">
      <alignment horizontal="center"/>
    </xf>
    <xf numFmtId="49" fontId="15" fillId="13" borderId="1" xfId="16" applyNumberFormat="1" applyFont="1" applyFill="1" applyBorder="1" applyAlignment="1" applyProtection="1">
      <alignment horizontal="center" vertical="center" wrapText="1"/>
    </xf>
    <xf numFmtId="49" fontId="16" fillId="0" borderId="1" xfId="18" applyNumberFormat="1" applyFont="1" applyBorder="1" applyAlignment="1">
      <alignment horizontal="center" wrapText="1"/>
    </xf>
    <xf numFmtId="49" fontId="16" fillId="0" borderId="1" xfId="0" applyNumberFormat="1" applyFont="1" applyBorder="1" applyAlignment="1">
      <alignment wrapText="1"/>
    </xf>
    <xf numFmtId="49" fontId="16" fillId="0" borderId="1" xfId="0" applyNumberFormat="1" applyFont="1" applyFill="1" applyBorder="1" applyAlignment="1">
      <alignment wrapText="1"/>
    </xf>
    <xf numFmtId="49" fontId="16" fillId="9" borderId="1" xfId="20" applyNumberFormat="1" applyFont="1" applyFill="1" applyBorder="1" applyAlignment="1" applyProtection="1">
      <alignment horizontal="center" wrapText="1"/>
    </xf>
    <xf numFmtId="49" fontId="16" fillId="8" borderId="1" xfId="20" applyNumberFormat="1" applyFont="1" applyFill="1" applyBorder="1" applyAlignment="1" applyProtection="1">
      <alignment horizontal="center" wrapText="1"/>
    </xf>
    <xf numFmtId="49" fontId="16" fillId="0" borderId="1" xfId="20" applyNumberFormat="1" applyFont="1" applyFill="1" applyBorder="1" applyAlignment="1">
      <alignment horizontal="center" wrapText="1"/>
    </xf>
    <xf numFmtId="49" fontId="16" fillId="0" borderId="1" xfId="0" applyNumberFormat="1" applyFont="1" applyFill="1" applyBorder="1" applyAlignment="1">
      <alignment horizontal="left" wrapText="1"/>
    </xf>
    <xf numFmtId="0" fontId="17" fillId="0" borderId="0" xfId="0" applyNumberFormat="1" applyFont="1" applyFill="1" applyAlignment="1">
      <alignment horizontal="left"/>
    </xf>
    <xf numFmtId="0" fontId="17" fillId="0" borderId="0" xfId="0" applyNumberFormat="1" applyFont="1" applyFill="1" applyAlignment="1">
      <alignment horizontal="center"/>
    </xf>
    <xf numFmtId="0" fontId="18" fillId="0" borderId="0" xfId="0" applyNumberFormat="1" applyFont="1" applyFill="1" applyAlignment="1">
      <alignment horizontal="left"/>
    </xf>
    <xf numFmtId="0" fontId="17" fillId="0" borderId="0" xfId="1" applyNumberFormat="1" applyFont="1" applyFill="1" applyAlignment="1"/>
    <xf numFmtId="0" fontId="19" fillId="0" borderId="0" xfId="0" applyNumberFormat="1" applyFont="1" applyFill="1" applyAlignment="1">
      <alignment horizontal="left"/>
    </xf>
    <xf numFmtId="0" fontId="15" fillId="0" borderId="0" xfId="0" applyNumberFormat="1" applyFont="1" applyFill="1" applyBorder="1" applyAlignment="1"/>
    <xf numFmtId="0" fontId="15" fillId="0" borderId="0" xfId="0" applyNumberFormat="1" applyFont="1" applyFill="1" applyBorder="1" applyAlignment="1">
      <alignment horizontal="left"/>
    </xf>
    <xf numFmtId="0" fontId="15" fillId="0" borderId="0" xfId="4" applyNumberFormat="1" applyFont="1" applyFill="1" applyBorder="1" applyAlignment="1">
      <alignment horizontal="left"/>
    </xf>
    <xf numFmtId="0" fontId="16" fillId="0" borderId="0" xfId="0" applyNumberFormat="1" applyFont="1" applyFill="1" applyAlignment="1">
      <alignment horizontal="left"/>
    </xf>
    <xf numFmtId="0" fontId="16" fillId="0" borderId="0" xfId="4" applyNumberFormat="1" applyFont="1" applyFill="1" applyAlignment="1">
      <alignment horizontal="left"/>
    </xf>
    <xf numFmtId="0" fontId="15" fillId="3" borderId="18" xfId="0" applyNumberFormat="1" applyFont="1" applyFill="1" applyBorder="1" applyAlignment="1">
      <alignment horizontal="center" vertical="center" wrapText="1"/>
    </xf>
    <xf numFmtId="0" fontId="3" fillId="0" borderId="1" xfId="0" applyNumberFormat="1" applyFont="1" applyFill="1" applyBorder="1" applyAlignment="1">
      <alignment horizontal="center"/>
    </xf>
    <xf numFmtId="0" fontId="3" fillId="0" borderId="1" xfId="0" applyNumberFormat="1" applyFont="1" applyFill="1" applyBorder="1" applyAlignment="1">
      <alignment horizontal="left"/>
    </xf>
    <xf numFmtId="0" fontId="3" fillId="0" borderId="1" xfId="4" applyNumberFormat="1" applyFont="1" applyFill="1" applyBorder="1" applyAlignment="1">
      <alignment wrapText="1"/>
    </xf>
    <xf numFmtId="0" fontId="36" fillId="0" borderId="0" xfId="0" applyNumberFormat="1" applyFont="1" applyFill="1" applyAlignment="1">
      <alignment horizontal="center"/>
    </xf>
    <xf numFmtId="0" fontId="27" fillId="0" borderId="0" xfId="0" applyNumberFormat="1" applyFont="1" applyFill="1" applyAlignment="1">
      <alignment horizontal="center"/>
    </xf>
    <xf numFmtId="0" fontId="36" fillId="0" borderId="0" xfId="0" applyNumberFormat="1" applyFont="1" applyFill="1" applyAlignment="1">
      <alignment horizontal="left"/>
    </xf>
    <xf numFmtId="0" fontId="3" fillId="0" borderId="0" xfId="0" applyNumberFormat="1" applyFont="1" applyFill="1" applyAlignment="1">
      <alignment horizontal="center"/>
    </xf>
    <xf numFmtId="0" fontId="3" fillId="0" borderId="0" xfId="0" applyNumberFormat="1" applyFont="1" applyFill="1" applyAlignment="1">
      <alignment horizontal="left"/>
    </xf>
    <xf numFmtId="0" fontId="5" fillId="0" borderId="0" xfId="0" applyNumberFormat="1" applyFont="1" applyFill="1" applyAlignment="1">
      <alignment horizontal="left"/>
    </xf>
    <xf numFmtId="0" fontId="3" fillId="0" borderId="0" xfId="1" applyNumberFormat="1" applyFont="1" applyFill="1" applyAlignment="1"/>
    <xf numFmtId="164" fontId="16" fillId="8" borderId="1" xfId="1" applyNumberFormat="1" applyFont="1" applyFill="1" applyBorder="1" applyAlignment="1">
      <alignment horizontal="left" wrapText="1"/>
    </xf>
    <xf numFmtId="0" fontId="16" fillId="8" borderId="1" xfId="0" applyFont="1" applyFill="1" applyBorder="1" applyAlignment="1">
      <alignment horizontal="left" wrapText="1"/>
    </xf>
    <xf numFmtId="3" fontId="16" fillId="8" borderId="1" xfId="0" applyNumberFormat="1" applyFont="1" applyFill="1" applyBorder="1" applyAlignment="1">
      <alignment horizontal="right" wrapText="1"/>
    </xf>
    <xf numFmtId="49" fontId="16" fillId="0" borderId="1" xfId="1" applyNumberFormat="1" applyFont="1" applyFill="1" applyBorder="1" applyAlignment="1">
      <alignment horizontal="center" wrapText="1"/>
    </xf>
    <xf numFmtId="49" fontId="3" fillId="0" borderId="6" xfId="0" applyNumberFormat="1" applyFont="1" applyFill="1" applyBorder="1" applyAlignment="1">
      <alignment wrapText="1"/>
    </xf>
    <xf numFmtId="49" fontId="3" fillId="0" borderId="7" xfId="4" applyNumberFormat="1" applyFont="1" applyFill="1" applyBorder="1" applyAlignment="1">
      <alignment wrapText="1"/>
    </xf>
    <xf numFmtId="49" fontId="3" fillId="0" borderId="7" xfId="0" quotePrefix="1" applyNumberFormat="1" applyFont="1" applyFill="1" applyBorder="1" applyAlignment="1">
      <alignment wrapText="1"/>
    </xf>
    <xf numFmtId="49" fontId="3" fillId="0" borderId="7" xfId="5" applyNumberFormat="1" applyFont="1" applyFill="1" applyBorder="1" applyAlignment="1">
      <alignment wrapText="1"/>
    </xf>
    <xf numFmtId="49" fontId="3" fillId="0" borderId="7" xfId="9" applyNumberFormat="1" applyFont="1" applyFill="1" applyBorder="1" applyAlignment="1">
      <alignment wrapText="1"/>
    </xf>
    <xf numFmtId="49" fontId="3" fillId="0" borderId="7" xfId="0" applyNumberFormat="1" applyFont="1" applyBorder="1" applyAlignment="1">
      <alignment wrapText="1"/>
    </xf>
    <xf numFmtId="49" fontId="3" fillId="0" borderId="7" xfId="0" applyNumberFormat="1" applyFont="1" applyFill="1" applyBorder="1" applyAlignment="1">
      <alignment wrapText="1" readingOrder="1"/>
    </xf>
    <xf numFmtId="49" fontId="3" fillId="0" borderId="7" xfId="10" applyNumberFormat="1" applyFont="1" applyFill="1" applyBorder="1" applyAlignment="1">
      <alignment wrapText="1"/>
    </xf>
    <xf numFmtId="49" fontId="20" fillId="0" borderId="7" xfId="0" applyNumberFormat="1" applyFont="1" applyBorder="1" applyAlignment="1">
      <alignment wrapText="1"/>
    </xf>
    <xf numFmtId="49" fontId="3" fillId="0" borderId="7" xfId="8" applyNumberFormat="1" applyFont="1" applyFill="1" applyBorder="1" applyAlignment="1">
      <alignment wrapText="1"/>
    </xf>
    <xf numFmtId="49" fontId="3" fillId="0" borderId="7" xfId="3" applyNumberFormat="1" applyFont="1" applyFill="1" applyBorder="1" applyAlignment="1">
      <alignment wrapText="1"/>
    </xf>
    <xf numFmtId="49" fontId="3" fillId="0" borderId="7" xfId="5" applyNumberFormat="1" applyFont="1" applyFill="1" applyBorder="1" applyAlignment="1" applyProtection="1">
      <alignment wrapText="1"/>
    </xf>
    <xf numFmtId="49" fontId="3" fillId="0" borderId="7" xfId="12" applyNumberFormat="1" applyFont="1" applyFill="1" applyBorder="1" applyAlignment="1" applyProtection="1">
      <alignment wrapText="1"/>
    </xf>
    <xf numFmtId="49" fontId="3" fillId="0" borderId="8" xfId="0" applyNumberFormat="1" applyFont="1" applyFill="1" applyBorder="1" applyAlignment="1">
      <alignment wrapText="1"/>
    </xf>
    <xf numFmtId="0" fontId="3" fillId="6" borderId="1" xfId="0" applyNumberFormat="1" applyFont="1" applyFill="1" applyBorder="1" applyAlignment="1" applyProtection="1">
      <alignment horizontal="left"/>
    </xf>
    <xf numFmtId="0" fontId="15" fillId="0" borderId="0" xfId="4" applyNumberFormat="1" applyFont="1" applyFill="1" applyBorder="1" applyAlignment="1">
      <alignment horizontal="center"/>
    </xf>
    <xf numFmtId="0" fontId="16" fillId="0" borderId="0" xfId="4" applyNumberFormat="1" applyFont="1" applyFill="1" applyAlignment="1">
      <alignment horizontal="center"/>
    </xf>
    <xf numFmtId="0" fontId="3" fillId="6" borderId="1" xfId="0" applyNumberFormat="1" applyFont="1" applyFill="1" applyBorder="1" applyAlignment="1" applyProtection="1">
      <alignment horizontal="center"/>
    </xf>
    <xf numFmtId="0" fontId="18" fillId="0" borderId="0" xfId="0" applyNumberFormat="1" applyFont="1" applyFill="1" applyAlignment="1">
      <alignment horizontal="center"/>
    </xf>
    <xf numFmtId="0" fontId="17" fillId="0" borderId="0" xfId="0" applyNumberFormat="1" applyFont="1" applyFill="1" applyAlignment="1"/>
    <xf numFmtId="0" fontId="16" fillId="0" borderId="0" xfId="1" applyNumberFormat="1" applyFont="1" applyFill="1" applyAlignment="1"/>
    <xf numFmtId="0" fontId="16" fillId="0" borderId="0" xfId="0" applyNumberFormat="1" applyFont="1" applyFill="1" applyAlignment="1"/>
    <xf numFmtId="49" fontId="3" fillId="6" borderId="1" xfId="0" applyNumberFormat="1" applyFont="1" applyFill="1" applyBorder="1" applyAlignment="1" applyProtection="1">
      <alignment horizontal="left"/>
    </xf>
    <xf numFmtId="0" fontId="5" fillId="0" borderId="0" xfId="1" applyNumberFormat="1" applyFont="1" applyAlignment="1"/>
    <xf numFmtId="0" fontId="5" fillId="0" borderId="0" xfId="0" applyNumberFormat="1" applyFont="1" applyAlignment="1"/>
    <xf numFmtId="0" fontId="40" fillId="0" borderId="0" xfId="0" applyFont="1" applyAlignment="1"/>
    <xf numFmtId="0" fontId="41" fillId="0" borderId="0" xfId="0" applyFont="1" applyAlignment="1"/>
    <xf numFmtId="0" fontId="42" fillId="0" borderId="0" xfId="0" applyNumberFormat="1" applyFont="1" applyAlignment="1"/>
    <xf numFmtId="0" fontId="43" fillId="0" borderId="0" xfId="0" applyFont="1" applyAlignment="1"/>
    <xf numFmtId="0" fontId="44" fillId="0" borderId="0" xfId="0" applyFont="1" applyAlignment="1"/>
    <xf numFmtId="0" fontId="7" fillId="0" borderId="0" xfId="1" applyNumberFormat="1" applyFont="1" applyFill="1" applyAlignment="1"/>
    <xf numFmtId="0" fontId="7" fillId="0" borderId="0" xfId="0" applyNumberFormat="1" applyFont="1" applyFill="1" applyAlignment="1"/>
    <xf numFmtId="0" fontId="36" fillId="0" borderId="0" xfId="0" applyNumberFormat="1" applyFont="1" applyFill="1" applyAlignment="1"/>
    <xf numFmtId="0" fontId="39" fillId="0" borderId="0" xfId="0" applyFont="1" applyAlignment="1"/>
    <xf numFmtId="0" fontId="36" fillId="0" borderId="0" xfId="1" applyNumberFormat="1" applyFont="1" applyFill="1" applyAlignment="1"/>
    <xf numFmtId="0" fontId="3" fillId="0" borderId="0" xfId="0" applyNumberFormat="1" applyFont="1" applyFill="1" applyAlignment="1"/>
    <xf numFmtId="0" fontId="38" fillId="0" borderId="0" xfId="0" applyFont="1" applyAlignment="1"/>
    <xf numFmtId="0" fontId="18" fillId="0" borderId="0" xfId="0" applyNumberFormat="1" applyFont="1" applyFill="1" applyAlignment="1"/>
    <xf numFmtId="0" fontId="18" fillId="0" borderId="0" xfId="1" applyNumberFormat="1" applyFont="1" applyFill="1" applyAlignment="1"/>
    <xf numFmtId="0" fontId="15" fillId="0" borderId="0" xfId="1" applyNumberFormat="1" applyFont="1" applyFill="1" applyAlignment="1">
      <alignment horizontal="center" vertical="center"/>
    </xf>
    <xf numFmtId="0" fontId="15" fillId="0" borderId="0" xfId="0" applyNumberFormat="1" applyFont="1" applyFill="1" applyAlignment="1">
      <alignment horizontal="center" vertical="center"/>
    </xf>
    <xf numFmtId="164" fontId="16" fillId="0" borderId="0" xfId="1" applyNumberFormat="1" applyFont="1" applyFill="1" applyBorder="1" applyAlignment="1"/>
    <xf numFmtId="164" fontId="16" fillId="0" borderId="0" xfId="1" applyNumberFormat="1" applyFont="1" applyFill="1" applyAlignment="1"/>
    <xf numFmtId="164" fontId="15" fillId="3" borderId="18" xfId="1" applyNumberFormat="1" applyFont="1" applyFill="1" applyBorder="1" applyAlignment="1">
      <alignment horizontal="center" vertical="center" wrapText="1"/>
    </xf>
    <xf numFmtId="164" fontId="15" fillId="3" borderId="18" xfId="1" applyNumberFormat="1" applyFont="1" applyFill="1" applyBorder="1" applyAlignment="1">
      <alignment horizontal="center" vertical="center"/>
    </xf>
    <xf numFmtId="164" fontId="3" fillId="6" borderId="1" xfId="1" applyNumberFormat="1" applyFont="1" applyFill="1" applyBorder="1" applyAlignment="1" applyProtection="1">
      <alignment horizontal="right"/>
    </xf>
    <xf numFmtId="164" fontId="3" fillId="6" borderId="1" xfId="1" applyNumberFormat="1" applyFont="1" applyFill="1" applyBorder="1" applyAlignment="1" applyProtection="1">
      <alignment horizontal="center"/>
    </xf>
    <xf numFmtId="164" fontId="3" fillId="20" borderId="1" xfId="1" applyNumberFormat="1" applyFont="1" applyFill="1" applyBorder="1" applyAlignment="1" applyProtection="1">
      <alignment horizontal="right"/>
    </xf>
    <xf numFmtId="164" fontId="3" fillId="0" borderId="1" xfId="1" applyNumberFormat="1" applyFont="1" applyFill="1" applyBorder="1" applyAlignment="1"/>
    <xf numFmtId="164" fontId="27" fillId="0" borderId="0" xfId="1" applyNumberFormat="1" applyFont="1" applyFill="1" applyAlignment="1"/>
    <xf numFmtId="164" fontId="23" fillId="0" borderId="0" xfId="1" applyNumberFormat="1" applyFont="1" applyFill="1" applyAlignment="1"/>
    <xf numFmtId="164" fontId="36" fillId="0" borderId="0" xfId="1" applyNumberFormat="1" applyFont="1" applyFill="1" applyAlignment="1"/>
    <xf numFmtId="164" fontId="37" fillId="0" borderId="0" xfId="1" applyNumberFormat="1" applyFont="1" applyFill="1" applyAlignment="1"/>
    <xf numFmtId="164" fontId="18" fillId="0" borderId="0" xfId="1" applyNumberFormat="1" applyFont="1" applyFill="1" applyAlignment="1"/>
    <xf numFmtId="0" fontId="3" fillId="6" borderId="1" xfId="0" applyNumberFormat="1" applyFont="1" applyFill="1" applyBorder="1" applyAlignment="1" applyProtection="1">
      <alignment horizontal="left" wrapText="1"/>
    </xf>
    <xf numFmtId="0" fontId="3" fillId="6" borderId="1" xfId="0" applyNumberFormat="1" applyFont="1" applyFill="1" applyBorder="1" applyAlignment="1" applyProtection="1">
      <alignment horizontal="center" wrapText="1"/>
    </xf>
    <xf numFmtId="164" fontId="3" fillId="6" borderId="1" xfId="1" applyNumberFormat="1" applyFont="1" applyFill="1" applyBorder="1" applyAlignment="1" applyProtection="1">
      <alignment horizontal="right" wrapText="1"/>
    </xf>
    <xf numFmtId="164" fontId="3" fillId="6" borderId="1" xfId="1" applyNumberFormat="1" applyFont="1" applyFill="1" applyBorder="1" applyAlignment="1" applyProtection="1">
      <alignment horizontal="center" wrapText="1"/>
    </xf>
    <xf numFmtId="0" fontId="5" fillId="0" borderId="0" xfId="0" applyNumberFormat="1" applyFont="1" applyAlignment="1">
      <alignment wrapText="1"/>
    </xf>
    <xf numFmtId="0" fontId="3" fillId="0" borderId="0" xfId="0" applyNumberFormat="1" applyFont="1" applyFill="1" applyBorder="1" applyAlignment="1">
      <alignment horizontal="left" wrapText="1"/>
    </xf>
    <xf numFmtId="0" fontId="43" fillId="0" borderId="1" xfId="0" applyFont="1" applyBorder="1" applyAlignment="1">
      <alignment wrapText="1"/>
    </xf>
    <xf numFmtId="0" fontId="16" fillId="0" borderId="0" xfId="0" applyNumberFormat="1" applyFont="1" applyFill="1" applyAlignment="1">
      <alignment horizontal="center"/>
    </xf>
    <xf numFmtId="0" fontId="41" fillId="0" borderId="1" xfId="0" applyFont="1" applyBorder="1" applyAlignment="1">
      <alignment horizontal="center" wrapText="1"/>
    </xf>
    <xf numFmtId="0" fontId="42" fillId="0" borderId="1" xfId="0" applyNumberFormat="1" applyFont="1" applyBorder="1" applyAlignment="1">
      <alignment horizontal="center" wrapText="1"/>
    </xf>
    <xf numFmtId="0" fontId="3" fillId="0" borderId="0" xfId="0" applyNumberFormat="1" applyFont="1" applyFill="1" applyBorder="1" applyAlignment="1">
      <alignment horizontal="center" wrapText="1"/>
    </xf>
    <xf numFmtId="0" fontId="5" fillId="0" borderId="1" xfId="0" applyNumberFormat="1" applyFont="1" applyBorder="1" applyAlignment="1">
      <alignment horizontal="center" wrapText="1"/>
    </xf>
    <xf numFmtId="0" fontId="39" fillId="0" borderId="0" xfId="0" applyFont="1" applyAlignment="1">
      <alignment horizontal="center"/>
    </xf>
    <xf numFmtId="0" fontId="5" fillId="0" borderId="0" xfId="0" applyNumberFormat="1" applyFont="1" applyFill="1" applyAlignment="1">
      <alignment horizontal="center"/>
    </xf>
    <xf numFmtId="0" fontId="5" fillId="0" borderId="0" xfId="1" applyNumberFormat="1" applyFont="1" applyAlignment="1">
      <alignment wrapText="1"/>
    </xf>
    <xf numFmtId="49" fontId="3" fillId="6" borderId="1" xfId="0" applyNumberFormat="1" applyFont="1" applyFill="1" applyBorder="1" applyAlignment="1" applyProtection="1">
      <alignment horizontal="center" wrapText="1"/>
    </xf>
    <xf numFmtId="0" fontId="19" fillId="0" borderId="0" xfId="0" applyNumberFormat="1" applyFont="1" applyFill="1" applyAlignment="1">
      <alignment horizontal="right"/>
    </xf>
    <xf numFmtId="0" fontId="22" fillId="0" borderId="1" xfId="4" applyNumberFormat="1" applyFont="1" applyFill="1" applyBorder="1" applyAlignment="1">
      <alignment horizontal="center" vertical="center" wrapText="1"/>
    </xf>
    <xf numFmtId="49" fontId="18" fillId="0" borderId="0" xfId="0" applyNumberFormat="1" applyFont="1" applyFill="1" applyBorder="1" applyAlignment="1">
      <alignment horizontal="center"/>
    </xf>
    <xf numFmtId="164" fontId="15" fillId="12" borderId="2" xfId="1" applyNumberFormat="1" applyFont="1" applyFill="1" applyBorder="1" applyAlignment="1" applyProtection="1">
      <alignment horizontal="center"/>
      <protection locked="0"/>
    </xf>
    <xf numFmtId="164" fontId="15" fillId="12" borderId="3" xfId="1" applyNumberFormat="1" applyFont="1" applyFill="1" applyBorder="1" applyAlignment="1" applyProtection="1">
      <alignment horizontal="center"/>
      <protection locked="0"/>
    </xf>
    <xf numFmtId="164" fontId="15" fillId="8" borderId="2" xfId="1" applyNumberFormat="1" applyFont="1" applyFill="1" applyBorder="1" applyAlignment="1" applyProtection="1">
      <alignment horizontal="center"/>
      <protection locked="0"/>
    </xf>
    <xf numFmtId="164" fontId="15" fillId="8" borderId="3" xfId="1" applyNumberFormat="1" applyFont="1" applyFill="1" applyBorder="1" applyAlignment="1" applyProtection="1">
      <alignment horizontal="center"/>
      <protection locked="0"/>
    </xf>
    <xf numFmtId="0" fontId="16" fillId="0" borderId="0" xfId="0" applyFont="1" applyFill="1" applyAlignment="1">
      <alignment horizontal="center"/>
    </xf>
    <xf numFmtId="0" fontId="15" fillId="0" borderId="0" xfId="0" applyFont="1" applyFill="1" applyAlignment="1">
      <alignment horizontal="center"/>
    </xf>
    <xf numFmtId="0" fontId="24" fillId="5" borderId="14" xfId="0" applyNumberFormat="1" applyFont="1" applyFill="1" applyBorder="1" applyAlignment="1" applyProtection="1">
      <alignment horizontal="right" vertical="center"/>
    </xf>
    <xf numFmtId="0" fontId="24" fillId="5" borderId="16" xfId="0" applyNumberFormat="1" applyFont="1" applyFill="1" applyBorder="1" applyAlignment="1" applyProtection="1">
      <alignment horizontal="right" vertical="center"/>
    </xf>
    <xf numFmtId="0" fontId="24" fillId="7" borderId="17" xfId="0" applyNumberFormat="1" applyFont="1" applyFill="1" applyBorder="1" applyAlignment="1" applyProtection="1">
      <alignment horizontal="right" vertical="center"/>
    </xf>
    <xf numFmtId="49" fontId="24" fillId="19" borderId="4" xfId="0" applyNumberFormat="1" applyFont="1" applyFill="1" applyBorder="1" applyAlignment="1" applyProtection="1">
      <alignment horizontal="left" vertical="center"/>
    </xf>
    <xf numFmtId="0" fontId="24" fillId="5" borderId="9" xfId="0" applyNumberFormat="1" applyFont="1" applyFill="1" applyBorder="1" applyAlignment="1" applyProtection="1">
      <alignment horizontal="right" vertical="center"/>
    </xf>
    <xf numFmtId="0" fontId="24" fillId="5" borderId="11" xfId="0" applyNumberFormat="1" applyFont="1" applyFill="1" applyBorder="1" applyAlignment="1" applyProtection="1">
      <alignment horizontal="right" vertical="center"/>
    </xf>
    <xf numFmtId="0" fontId="24" fillId="5" borderId="12" xfId="0" applyNumberFormat="1" applyFont="1" applyFill="1" applyBorder="1" applyAlignment="1" applyProtection="1">
      <alignment horizontal="right" vertical="center"/>
    </xf>
    <xf numFmtId="0" fontId="24" fillId="5" borderId="13" xfId="0" applyNumberFormat="1" applyFont="1" applyFill="1" applyBorder="1" applyAlignment="1" applyProtection="1">
      <alignment horizontal="right" vertical="center"/>
    </xf>
    <xf numFmtId="49" fontId="24" fillId="5" borderId="4" xfId="0" applyNumberFormat="1" applyFont="1" applyFill="1" applyBorder="1" applyAlignment="1" applyProtection="1">
      <alignment horizontal="center" vertical="center"/>
    </xf>
  </cellXfs>
  <cellStyles count="28">
    <cellStyle name="Comma" xfId="1" builtinId="3"/>
    <cellStyle name="Comma [0]" xfId="2" builtinId="6"/>
    <cellStyle name="Comma 10" xfId="24"/>
    <cellStyle name="Comma 11" xfId="3"/>
    <cellStyle name="Comma 12" xfId="4"/>
    <cellStyle name="Comma 2" xfId="19"/>
    <cellStyle name="Comma 2 2 18" xfId="20"/>
    <cellStyle name="Comma 4" xfId="11"/>
    <cellStyle name="Normal" xfId="0" builtinId="0"/>
    <cellStyle name="Normal 110" xfId="15"/>
    <cellStyle name="Normal 18" xfId="13"/>
    <cellStyle name="Normal 2" xfId="6"/>
    <cellStyle name="Normal 2 2" xfId="26"/>
    <cellStyle name="Normal 2 2 2 15" xfId="17"/>
    <cellStyle name="Normal 2 2 2 2" xfId="5"/>
    <cellStyle name="Normal 3" xfId="14"/>
    <cellStyle name="Normal 3 2" xfId="23"/>
    <cellStyle name="Normal 4" xfId="7"/>
    <cellStyle name="Normal 40" xfId="16"/>
    <cellStyle name="Normal 6" xfId="22"/>
    <cellStyle name="Normal 7" xfId="18"/>
    <cellStyle name="Normal_BANG CHAO GIA 2008 3" xfId="27"/>
    <cellStyle name="Normal_DANH MUC THUOC TRUNG THAU" xfId="12"/>
    <cellStyle name="Normal_Dutruthuoc2011Cacdonvi ver.3" xfId="25"/>
    <cellStyle name="Normal_Sheet1" xfId="8"/>
    <cellStyle name="Normal_Sheet1_1" xfId="10"/>
    <cellStyle name="Normal_Sheet3" xfId="9"/>
    <cellStyle name="Percent 2" xf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11616</xdr:colOff>
      <xdr:row>2</xdr:row>
      <xdr:rowOff>54429</xdr:rowOff>
    </xdr:from>
    <xdr:to>
      <xdr:col>1</xdr:col>
      <xdr:colOff>1266128</xdr:colOff>
      <xdr:row>2</xdr:row>
      <xdr:rowOff>58079</xdr:rowOff>
    </xdr:to>
    <xdr:cxnSp macro="">
      <xdr:nvCxnSpPr>
        <xdr:cNvPr id="2" name="Straight Connector 1"/>
        <xdr:cNvCxnSpPr/>
      </xdr:nvCxnSpPr>
      <xdr:spPr>
        <a:xfrm>
          <a:off x="859341" y="530679"/>
          <a:ext cx="1254512"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1739782</xdr:colOff>
      <xdr:row>2</xdr:row>
      <xdr:rowOff>21405</xdr:rowOff>
    </xdr:from>
    <xdr:to>
      <xdr:col>6</xdr:col>
      <xdr:colOff>511969</xdr:colOff>
      <xdr:row>2</xdr:row>
      <xdr:rowOff>23812</xdr:rowOff>
    </xdr:to>
    <xdr:cxnSp macro="">
      <xdr:nvCxnSpPr>
        <xdr:cNvPr id="3" name="Straight Connector 2"/>
        <xdr:cNvCxnSpPr/>
      </xdr:nvCxnSpPr>
      <xdr:spPr>
        <a:xfrm>
          <a:off x="7252376" y="497655"/>
          <a:ext cx="2177374" cy="24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11616</xdr:colOff>
      <xdr:row>2</xdr:row>
      <xdr:rowOff>54429</xdr:rowOff>
    </xdr:from>
    <xdr:to>
      <xdr:col>1</xdr:col>
      <xdr:colOff>1266128</xdr:colOff>
      <xdr:row>2</xdr:row>
      <xdr:rowOff>58079</xdr:rowOff>
    </xdr:to>
    <xdr:cxnSp macro="">
      <xdr:nvCxnSpPr>
        <xdr:cNvPr id="2" name="Straight Connector 1"/>
        <xdr:cNvCxnSpPr/>
      </xdr:nvCxnSpPr>
      <xdr:spPr>
        <a:xfrm>
          <a:off x="421191" y="530679"/>
          <a:ext cx="1254512"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727754</xdr:colOff>
      <xdr:row>2</xdr:row>
      <xdr:rowOff>21405</xdr:rowOff>
    </xdr:from>
    <xdr:to>
      <xdr:col>6</xdr:col>
      <xdr:colOff>2836096</xdr:colOff>
      <xdr:row>2</xdr:row>
      <xdr:rowOff>21405</xdr:rowOff>
    </xdr:to>
    <xdr:cxnSp macro="">
      <xdr:nvCxnSpPr>
        <xdr:cNvPr id="3" name="Straight Connector 2"/>
        <xdr:cNvCxnSpPr/>
      </xdr:nvCxnSpPr>
      <xdr:spPr>
        <a:xfrm>
          <a:off x="4276725" y="49765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11616</xdr:colOff>
      <xdr:row>2</xdr:row>
      <xdr:rowOff>54429</xdr:rowOff>
    </xdr:from>
    <xdr:to>
      <xdr:col>1</xdr:col>
      <xdr:colOff>1266128</xdr:colOff>
      <xdr:row>2</xdr:row>
      <xdr:rowOff>58079</xdr:rowOff>
    </xdr:to>
    <xdr:cxnSp macro="">
      <xdr:nvCxnSpPr>
        <xdr:cNvPr id="2" name="Straight Connector 1"/>
        <xdr:cNvCxnSpPr/>
      </xdr:nvCxnSpPr>
      <xdr:spPr>
        <a:xfrm>
          <a:off x="421191" y="530679"/>
          <a:ext cx="1254512"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727754</xdr:colOff>
      <xdr:row>2</xdr:row>
      <xdr:rowOff>21405</xdr:rowOff>
    </xdr:from>
    <xdr:to>
      <xdr:col>6</xdr:col>
      <xdr:colOff>2836096</xdr:colOff>
      <xdr:row>2</xdr:row>
      <xdr:rowOff>21405</xdr:rowOff>
    </xdr:to>
    <xdr:cxnSp macro="">
      <xdr:nvCxnSpPr>
        <xdr:cNvPr id="3" name="Straight Connector 2"/>
        <xdr:cNvCxnSpPr/>
      </xdr:nvCxnSpPr>
      <xdr:spPr>
        <a:xfrm>
          <a:off x="7233329" y="497655"/>
          <a:ext cx="164161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11616</xdr:colOff>
      <xdr:row>2</xdr:row>
      <xdr:rowOff>54429</xdr:rowOff>
    </xdr:from>
    <xdr:to>
      <xdr:col>1</xdr:col>
      <xdr:colOff>1266128</xdr:colOff>
      <xdr:row>2</xdr:row>
      <xdr:rowOff>58079</xdr:rowOff>
    </xdr:to>
    <xdr:cxnSp macro="">
      <xdr:nvCxnSpPr>
        <xdr:cNvPr id="2" name="Straight Connector 1"/>
        <xdr:cNvCxnSpPr/>
      </xdr:nvCxnSpPr>
      <xdr:spPr>
        <a:xfrm>
          <a:off x="421191" y="530679"/>
          <a:ext cx="1254512"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1242896</xdr:colOff>
      <xdr:row>2</xdr:row>
      <xdr:rowOff>31197</xdr:rowOff>
    </xdr:from>
    <xdr:to>
      <xdr:col>7</xdr:col>
      <xdr:colOff>220704</xdr:colOff>
      <xdr:row>2</xdr:row>
      <xdr:rowOff>34847</xdr:rowOff>
    </xdr:to>
    <xdr:cxnSp macro="">
      <xdr:nvCxnSpPr>
        <xdr:cNvPr id="3" name="Straight Connector 2"/>
        <xdr:cNvCxnSpPr/>
      </xdr:nvCxnSpPr>
      <xdr:spPr>
        <a:xfrm flipV="1">
          <a:off x="9520121" y="507447"/>
          <a:ext cx="5740558"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11616</xdr:colOff>
      <xdr:row>2</xdr:row>
      <xdr:rowOff>54429</xdr:rowOff>
    </xdr:from>
    <xdr:to>
      <xdr:col>1</xdr:col>
      <xdr:colOff>1266128</xdr:colOff>
      <xdr:row>2</xdr:row>
      <xdr:rowOff>58079</xdr:rowOff>
    </xdr:to>
    <xdr:cxnSp macro="">
      <xdr:nvCxnSpPr>
        <xdr:cNvPr id="2" name="Straight Connector 1"/>
        <xdr:cNvCxnSpPr/>
      </xdr:nvCxnSpPr>
      <xdr:spPr>
        <a:xfrm>
          <a:off x="421191" y="530679"/>
          <a:ext cx="1254512" cy="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727754</xdr:colOff>
      <xdr:row>2</xdr:row>
      <xdr:rowOff>21405</xdr:rowOff>
    </xdr:from>
    <xdr:to>
      <xdr:col>6</xdr:col>
      <xdr:colOff>2836096</xdr:colOff>
      <xdr:row>2</xdr:row>
      <xdr:rowOff>21405</xdr:rowOff>
    </xdr:to>
    <xdr:cxnSp macro="">
      <xdr:nvCxnSpPr>
        <xdr:cNvPr id="3" name="Straight Connector 2"/>
        <xdr:cNvCxnSpPr/>
      </xdr:nvCxnSpPr>
      <xdr:spPr>
        <a:xfrm>
          <a:off x="12275479" y="492304"/>
          <a:ext cx="21083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20THAU%20THUOC%202019\DANH%20GIA%20TAI%20CHINH\GOI2\CD\GOI%202_TONG%20HOP%20CD%20NHA%20THA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20MY%20DUNG\1%20KHOA%20DUOC-TTB-VTYT\1%20C&#212;NG%20T&#193;C%20D&#431;&#7906;C\1%20THAU%20THUOC\2018%20&#273;&#7871;n%202019%20&#273;&#7871;n%202020\DS%20C.ty%20&amp;%20DM%20tr&#250;ng%20th&#7847;u%20&#273;ang%20s&#7917;%20d&#7909;ng.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07_VIMEDIMEX-BD"/>
      <sheetName val="06_DLTW2"/>
      <sheetName val="05_BENTRE"/>
      <sheetName val="04_KIMDO"/>
      <sheetName val="03_CPC1"/>
      <sheetName val="02_HOANGDUC"/>
      <sheetName val="01_TBYT-HN"/>
    </sheetNames>
    <sheetDataSet>
      <sheetData sheetId="0" refreshError="1">
        <row r="14">
          <cell r="B14" t="str">
            <v>Mã HH</v>
          </cell>
          <cell r="C14" t="str">
            <v>Tên thuốc</v>
          </cell>
          <cell r="D14" t="str">
            <v>Tên hoạt chất</v>
          </cell>
          <cell r="E14" t="str">
            <v>Nồng độ - Hàm lượng</v>
          </cell>
          <cell r="F14" t="str">
            <v>Quy cách, Dạng bào chế, Đường dùng</v>
          </cell>
          <cell r="G14" t="str">
            <v>Hạn dùng (Tuổi thọ) (tháng)</v>
          </cell>
          <cell r="H14" t="str">
            <v>SĐK hoặc GPNK</v>
          </cell>
          <cell r="I14" t="str">
            <v xml:space="preserve">Cơ sở sản xuất </v>
          </cell>
          <cell r="J14" t="str">
            <v xml:space="preserve"> Nước sản xuất</v>
          </cell>
          <cell r="K14" t="str">
            <v>Đơn vị tính</v>
          </cell>
          <cell r="L14" t="str">
            <v>Giá bán buôn kê khai</v>
          </cell>
          <cell r="M14" t="str">
            <v>Đơn giá dự thầu (VAT) (VNĐ)</v>
          </cell>
          <cell r="N14" t="str">
            <v>Số lượng dự thầu</v>
          </cell>
          <cell r="O14" t="str">
            <v>Thành tiền (VNĐ)</v>
          </cell>
        </row>
        <row r="15">
          <cell r="B15" t="str">
            <v>BD-50-7</v>
          </cell>
          <cell r="C15" t="str">
            <v>Perfalgan</v>
          </cell>
          <cell r="D15" t="str">
            <v>Paracetamol</v>
          </cell>
          <cell r="E15" t="str">
            <v>10mg/ml</v>
          </cell>
          <cell r="F15" t="str">
            <v>Gói 12 lọ x 100ml,Dung dịch tiêm truyền tĩnh mạch,Tiêm truyền tĩnh mạch</v>
          </cell>
          <cell r="G15">
            <v>24</v>
          </cell>
          <cell r="H15" t="str">
            <v>VN-19071-15</v>
          </cell>
          <cell r="I15" t="str">
            <v>Bristol-Myers Squibb S.r.l</v>
          </cell>
          <cell r="J15" t="str">
            <v>Ý</v>
          </cell>
          <cell r="K15" t="str">
            <v>Lọ</v>
          </cell>
          <cell r="L15">
            <v>47730</v>
          </cell>
          <cell r="M15">
            <v>47730</v>
          </cell>
          <cell r="N15">
            <v>63000</v>
          </cell>
          <cell r="O15">
            <v>3006990000</v>
          </cell>
        </row>
        <row r="16">
          <cell r="B16" t="str">
            <v>BD-210-1</v>
          </cell>
          <cell r="C16" t="str">
            <v xml:space="preserve">Tobrex Drop 0.3% 5ml </v>
          </cell>
          <cell r="D16" t="str">
            <v xml:space="preserve">Tobramycin </v>
          </cell>
          <cell r="E16" t="str">
            <v>3 mg/ml</v>
          </cell>
          <cell r="F16" t="str">
            <v>Hộp 1 lọ đếm giọt Droptainer 5 ml,Dung dịch nhỏ mắt vô khuẩn,Nhỏ mắt</v>
          </cell>
          <cell r="G16">
            <v>36</v>
          </cell>
          <cell r="H16" t="str">
            <v>VN-19385-15</v>
          </cell>
          <cell r="I16" t="str">
            <v>s.a. Alcon-Couvreur N.V</v>
          </cell>
          <cell r="J16" t="str">
            <v>Bỉ</v>
          </cell>
          <cell r="K16" t="str">
            <v>Lọ</v>
          </cell>
          <cell r="L16">
            <v>42000</v>
          </cell>
          <cell r="M16">
            <v>40000</v>
          </cell>
          <cell r="N16">
            <v>1000</v>
          </cell>
          <cell r="O16">
            <v>40000000</v>
          </cell>
        </row>
        <row r="17">
          <cell r="B17" t="str">
            <v>BD-234-1</v>
          </cell>
          <cell r="C17" t="str">
            <v>Cravit</v>
          </cell>
          <cell r="D17" t="str">
            <v>Levofloxacin hydrat</v>
          </cell>
          <cell r="E17" t="str">
            <v>25mg/5ml</v>
          </cell>
          <cell r="F17" t="str">
            <v>Hộp 1 lọ 5ml,Dung dịch nhỏ mắt,Nhỏ mắt</v>
          </cell>
          <cell r="G17">
            <v>36</v>
          </cell>
          <cell r="H17" t="str">
            <v>VN-19340-15</v>
          </cell>
          <cell r="I17" t="str">
            <v xml:space="preserve">Santen Pharmaceutical Co., Ltd.- Nhà máy Noto </v>
          </cell>
          <cell r="J17" t="str">
            <v>Nhật</v>
          </cell>
          <cell r="K17" t="str">
            <v>Lọ</v>
          </cell>
          <cell r="L17">
            <v>88515</v>
          </cell>
          <cell r="M17">
            <v>88515</v>
          </cell>
          <cell r="N17">
            <v>1500</v>
          </cell>
          <cell r="O17">
            <v>132772500</v>
          </cell>
        </row>
        <row r="18">
          <cell r="B18" t="str">
            <v>BD-240-1</v>
          </cell>
          <cell r="C18" t="str">
            <v>Oflovid</v>
          </cell>
          <cell r="D18" t="str">
            <v>Ofloxacin</v>
          </cell>
          <cell r="E18" t="str">
            <v>15mg/5ml</v>
          </cell>
          <cell r="F18" t="str">
            <v>Hộp 1 lọ 5ml,Dung dịch nhỏ mắt,Nhỏ mắt</v>
          </cell>
          <cell r="G18">
            <v>36</v>
          </cell>
          <cell r="H18" t="str">
            <v>VN-19341-15</v>
          </cell>
          <cell r="I18" t="str">
            <v xml:space="preserve">Santen Pharmaceutical Co., Ltd.- Nhà máy Noto </v>
          </cell>
          <cell r="J18" t="str">
            <v>Nhật</v>
          </cell>
          <cell r="K18" t="str">
            <v>Lọ</v>
          </cell>
          <cell r="L18">
            <v>55873</v>
          </cell>
          <cell r="M18">
            <v>55872</v>
          </cell>
          <cell r="N18">
            <v>2500</v>
          </cell>
          <cell r="O18">
            <v>139680000</v>
          </cell>
        </row>
        <row r="19">
          <cell r="B19" t="str">
            <v>BD-428-1</v>
          </cell>
          <cell r="C19" t="str">
            <v>Xatral XL 10mg</v>
          </cell>
          <cell r="D19" t="str">
            <v xml:space="preserve">Alfuzosin HCL </v>
          </cell>
          <cell r="E19" t="str">
            <v>10mg</v>
          </cell>
          <cell r="F19" t="str">
            <v>Hộp 1 vỉ x 30 viên,viên nén phóng thích chậm,Uống</v>
          </cell>
          <cell r="G19">
            <v>36</v>
          </cell>
          <cell r="H19" t="str">
            <v>VN-14355-11 (có CV gia hạn số 22836/QLD-ĐK ngày 13/12/2018)</v>
          </cell>
          <cell r="I19" t="str">
            <v>Sanofi Winthrop Industrie</v>
          </cell>
          <cell r="J19" t="str">
            <v>Pháp</v>
          </cell>
          <cell r="K19" t="str">
            <v>Viên</v>
          </cell>
          <cell r="L19">
            <v>16056</v>
          </cell>
          <cell r="M19">
            <v>15291</v>
          </cell>
          <cell r="N19">
            <v>3500</v>
          </cell>
          <cell r="O19">
            <v>53518500</v>
          </cell>
        </row>
        <row r="20">
          <cell r="B20" t="str">
            <v>BD-459-1</v>
          </cell>
          <cell r="C20" t="str">
            <v>Lovenox 40mg/ 0,4ml</v>
          </cell>
          <cell r="D20" t="str">
            <v>Enoxaparin Natri</v>
          </cell>
          <cell r="E20" t="str">
            <v>4000 anti-Xa IU/0,4ml tương đương 40mg/ 0,4ml</v>
          </cell>
          <cell r="F20" t="str">
            <v>Hộp 2 bơm tiêm đóng sẵn 0,4ml,Dung dịch tiêm đóng sẵn trong bơm tiêm,Tiêm dưới da</v>
          </cell>
          <cell r="G20">
            <v>24</v>
          </cell>
          <cell r="H20" t="str">
            <v>QLSP-892-15</v>
          </cell>
          <cell r="I20" t="str">
            <v>Sanofi Winthrop Industrie</v>
          </cell>
          <cell r="J20" t="str">
            <v>Pháp</v>
          </cell>
          <cell r="K20" t="str">
            <v>Bơm tiêm</v>
          </cell>
          <cell r="L20">
            <v>85831</v>
          </cell>
          <cell r="M20">
            <v>85381</v>
          </cell>
          <cell r="N20">
            <v>12800</v>
          </cell>
          <cell r="O20">
            <v>1092876800</v>
          </cell>
        </row>
        <row r="21">
          <cell r="B21" t="str">
            <v>BD-459-2</v>
          </cell>
          <cell r="C21" t="str">
            <v>Lovenox 60mg/ 0,6ml</v>
          </cell>
          <cell r="D21" t="str">
            <v>Enoxaparin Natri</v>
          </cell>
          <cell r="E21" t="str">
            <v>6000 anti-Xa IU/0,6ml tương đương 60mg/ 0,6ml</v>
          </cell>
          <cell r="F21" t="str">
            <v>Hộp 2 bơm tiêm đóng sẵn 0,6ml,Dung dịch tiêm đóng sẵn trong bơm tiêm,Tiêm dưới da</v>
          </cell>
          <cell r="G21">
            <v>24</v>
          </cell>
          <cell r="H21" t="str">
            <v>QLSP-893-15</v>
          </cell>
          <cell r="I21" t="str">
            <v>Sanofi Winthrop Industrie</v>
          </cell>
          <cell r="J21" t="str">
            <v>Pháp</v>
          </cell>
          <cell r="K21" t="str">
            <v>Bơm tiêm</v>
          </cell>
          <cell r="L21">
            <v>113164</v>
          </cell>
          <cell r="M21">
            <v>113163</v>
          </cell>
          <cell r="N21">
            <v>7600</v>
          </cell>
          <cell r="O21">
            <v>860038800</v>
          </cell>
        </row>
        <row r="22">
          <cell r="B22" t="str">
            <v>BD-488-1</v>
          </cell>
          <cell r="C22" t="str">
            <v>Eprex 4000 U</v>
          </cell>
          <cell r="D22" t="str">
            <v xml:space="preserve">Epoetin alfa </v>
          </cell>
          <cell r="E22" t="str">
            <v>4000 IU/ 0,4ml</v>
          </cell>
          <cell r="F22" t="str">
            <v>Hộp 6 ống tiêm chứa sẵn thuốc kèm kim tiêm an toàn,Dung dịch tiêm,Tiêm</v>
          </cell>
          <cell r="G22">
            <v>18</v>
          </cell>
          <cell r="H22" t="str">
            <v>QLSP-975-16</v>
          </cell>
          <cell r="I22" t="str">
            <v>CiLag AG</v>
          </cell>
          <cell r="J22" t="str">
            <v>Thụy Sỹ</v>
          </cell>
          <cell r="K22" t="str">
            <v>Ống</v>
          </cell>
          <cell r="L22">
            <v>588667</v>
          </cell>
          <cell r="M22">
            <v>539999</v>
          </cell>
          <cell r="N22">
            <v>6000</v>
          </cell>
          <cell r="O22">
            <v>3239994000</v>
          </cell>
        </row>
        <row r="23">
          <cell r="B23" t="str">
            <v>BD-499-1</v>
          </cell>
          <cell r="C23" t="str">
            <v>Cordarone 150mg/3ml</v>
          </cell>
          <cell r="D23" t="str">
            <v>Amiodarone hydrochloride</v>
          </cell>
          <cell r="E23" t="str">
            <v>150mg/ 3ml</v>
          </cell>
          <cell r="F23" t="str">
            <v>Hộp 6 ống x 3ml,Dung dịch tiêm,Tiêm tĩnh mạch</v>
          </cell>
          <cell r="G23">
            <v>24</v>
          </cell>
          <cell r="H23" t="str">
            <v>VN-20734-17</v>
          </cell>
          <cell r="I23" t="str">
            <v>Sanofi Winthrop Industrie</v>
          </cell>
          <cell r="J23" t="str">
            <v>Pháp</v>
          </cell>
          <cell r="K23" t="str">
            <v>Ống</v>
          </cell>
          <cell r="L23">
            <v>30049</v>
          </cell>
          <cell r="M23">
            <v>30048</v>
          </cell>
          <cell r="N23">
            <v>1800</v>
          </cell>
          <cell r="O23">
            <v>54086400</v>
          </cell>
        </row>
        <row r="24">
          <cell r="B24" t="str">
            <v>BD-507-7</v>
          </cell>
          <cell r="C24" t="str">
            <v>Twynsta 40mg + 5mg</v>
          </cell>
          <cell r="D24" t="str">
            <v xml:space="preserve">Telmisartan + Amlodipine (dưới dạng Amlodipine besylate) </v>
          </cell>
          <cell r="E24" t="str">
            <v>40mg + 5mg</v>
          </cell>
          <cell r="F24" t="str">
            <v>Hộp 14 vỉ x 7 viên,Viên nén,Uống</v>
          </cell>
          <cell r="G24">
            <v>36</v>
          </cell>
          <cell r="H24" t="str">
            <v>VN-16589-13 (có CV gia hạn số 5306/QLD-ĐK ngày 10/04/2019)</v>
          </cell>
          <cell r="I24" t="str">
            <v>M/s Cipla Ltd (đóng gói và xuất xưởng: Boehringer Ingelheim Pharma GmbH &amp; Co. KG., Đức)</v>
          </cell>
          <cell r="J24" t="str">
            <v>Ấn Độ</v>
          </cell>
          <cell r="K24" t="str">
            <v>Viên</v>
          </cell>
          <cell r="L24">
            <v>12482</v>
          </cell>
          <cell r="M24">
            <v>12482</v>
          </cell>
          <cell r="N24">
            <v>10000</v>
          </cell>
          <cell r="O24">
            <v>124820000</v>
          </cell>
        </row>
        <row r="25">
          <cell r="B25" t="str">
            <v>BD-507-8</v>
          </cell>
          <cell r="C25" t="str">
            <v>Twynsta 80mg + 5mg</v>
          </cell>
          <cell r="D25" t="str">
            <v xml:space="preserve">Telmisartan + Amlodipine (dưới dạng Amlodipine besylate) </v>
          </cell>
          <cell r="E25" t="str">
            <v>80mg + 5mg</v>
          </cell>
          <cell r="F25" t="str">
            <v>Hộp 14 vỉ x 7 viên,Viên nén,Uống</v>
          </cell>
          <cell r="G25">
            <v>36</v>
          </cell>
          <cell r="H25" t="str">
            <v>VN-16590-13 (có CV gia hạn số 5306/QLD-ĐK ngày 10/04/2019)</v>
          </cell>
          <cell r="I25" t="str">
            <v>M/s Cipla Ltd (đóng gói và xuất xưởng: Boehringer Ingelheim Pharma GmbH &amp; Co. KG., Đức)</v>
          </cell>
          <cell r="J25" t="str">
            <v>Ấn Độ</v>
          </cell>
          <cell r="K25" t="str">
            <v>Viên</v>
          </cell>
          <cell r="L25">
            <v>13122</v>
          </cell>
          <cell r="M25">
            <v>13122</v>
          </cell>
          <cell r="N25">
            <v>10000</v>
          </cell>
          <cell r="O25">
            <v>131220000</v>
          </cell>
        </row>
        <row r="26">
          <cell r="B26" t="str">
            <v>BD-520-2</v>
          </cell>
          <cell r="C26" t="str">
            <v>Tanatril 5mg</v>
          </cell>
          <cell r="D26" t="str">
            <v>Imidapril hydrochloride</v>
          </cell>
          <cell r="E26" t="str">
            <v>5mg</v>
          </cell>
          <cell r="F26" t="str">
            <v>Hộp 10 vỉ x 10 viên, Viên nén, Uống</v>
          </cell>
          <cell r="G26">
            <v>48</v>
          </cell>
          <cell r="H26" t="str">
            <v>VN-13231-11 (Có CV gia hạn số 19642/QLD-ĐK ngày 17/10/2018)</v>
          </cell>
          <cell r="I26" t="str">
            <v>P.T. Tanabe Indonesia</v>
          </cell>
          <cell r="J26" t="str">
            <v>Indonesia</v>
          </cell>
          <cell r="K26" t="str">
            <v>Viên</v>
          </cell>
          <cell r="L26">
            <v>4767</v>
          </cell>
          <cell r="M26">
            <v>4767</v>
          </cell>
          <cell r="N26">
            <v>15000</v>
          </cell>
          <cell r="O26">
            <v>71505000</v>
          </cell>
        </row>
        <row r="27">
          <cell r="B27" t="str">
            <v>BD-522-1</v>
          </cell>
          <cell r="C27" t="str">
            <v>Aprovel 150mg</v>
          </cell>
          <cell r="D27" t="str">
            <v>Irbesartan</v>
          </cell>
          <cell r="E27" t="str">
            <v>150 mg</v>
          </cell>
          <cell r="F27" t="str">
            <v>Hộp 2 vỉ x 14 viên,viên nén bao phim,Uống</v>
          </cell>
          <cell r="G27">
            <v>36</v>
          </cell>
          <cell r="H27" t="str">
            <v>VN-16719-13 (có CV gia hạn số 11440/QLD-ĐK ngày 19/06/2018)</v>
          </cell>
          <cell r="I27" t="str">
            <v>Sanofi Winthrop Industrie</v>
          </cell>
          <cell r="J27" t="str">
            <v>Pháp</v>
          </cell>
          <cell r="K27" t="str">
            <v>Viên</v>
          </cell>
          <cell r="L27">
            <v>10518</v>
          </cell>
          <cell r="M27">
            <v>9561</v>
          </cell>
          <cell r="N27">
            <v>265000</v>
          </cell>
          <cell r="O27">
            <v>2533665000</v>
          </cell>
        </row>
        <row r="28">
          <cell r="B28" t="str">
            <v>BD-522-3</v>
          </cell>
          <cell r="C28" t="str">
            <v>Aprovel 300mg</v>
          </cell>
          <cell r="D28" t="str">
            <v>Irbesartan</v>
          </cell>
          <cell r="E28" t="str">
            <v>300 mg</v>
          </cell>
          <cell r="F28" t="str">
            <v>Hộp 2 vỉ x 14 viên,viên nén bao phim,Uống</v>
          </cell>
          <cell r="G28">
            <v>36</v>
          </cell>
          <cell r="H28" t="str">
            <v>VN-16720-13(có CV gia hạn số 11440/QLD-ĐK ngày 19/06/2018)</v>
          </cell>
          <cell r="I28" t="str">
            <v>Sanofi Winthrop Industrie</v>
          </cell>
          <cell r="J28" t="str">
            <v>Pháp</v>
          </cell>
          <cell r="K28" t="str">
            <v>Viên</v>
          </cell>
          <cell r="L28">
            <v>15777</v>
          </cell>
          <cell r="M28">
            <v>14342</v>
          </cell>
          <cell r="N28">
            <v>5000</v>
          </cell>
          <cell r="O28">
            <v>71710000</v>
          </cell>
        </row>
        <row r="29">
          <cell r="B29" t="str">
            <v>BD-523-1</v>
          </cell>
          <cell r="C29" t="str">
            <v>CoAprovel 150/12.5mg</v>
          </cell>
          <cell r="D29" t="str">
            <v>Irbesartan+Hydrochlorothiazide</v>
          </cell>
          <cell r="E29" t="str">
            <v>150mg + 12.5mg</v>
          </cell>
          <cell r="F29" t="str">
            <v>Hộp 2 vỉ x 14 viên,viên nén bao phim,Uống</v>
          </cell>
          <cell r="G29">
            <v>36</v>
          </cell>
          <cell r="H29" t="str">
            <v>VN-16721-13(có CV gia hạn số 11440/QLD-ĐK ngày 19/06/2018)</v>
          </cell>
          <cell r="I29" t="str">
            <v>Sanofi Winthrop Industrie</v>
          </cell>
          <cell r="J29" t="str">
            <v>Pháp</v>
          </cell>
          <cell r="K29" t="str">
            <v>Viên</v>
          </cell>
          <cell r="L29">
            <v>10518</v>
          </cell>
          <cell r="M29">
            <v>9561</v>
          </cell>
          <cell r="N29">
            <v>68000</v>
          </cell>
          <cell r="O29">
            <v>650148000</v>
          </cell>
        </row>
        <row r="30">
          <cell r="B30" t="str">
            <v>BD-555-3</v>
          </cell>
          <cell r="C30" t="str">
            <v>Duoplavin</v>
          </cell>
          <cell r="D30" t="str">
            <v>Clopidogrel hydrogen sulfate form II+ acetylsalicylic acid dạng kết hợp tinh bột ngô</v>
          </cell>
          <cell r="E30" t="str">
            <v>75mg Clopidogrel base + 100mg acid acetylsalicylic</v>
          </cell>
          <cell r="F30" t="str">
            <v>Hộp 3 vỉ x 10 viên,viên nén bao phim,Uống</v>
          </cell>
          <cell r="G30">
            <v>24</v>
          </cell>
          <cell r="H30" t="str">
            <v>VN-14356-11 (có CV gia hạn số 22836/QLD-ĐK ngày 15/12/2018)</v>
          </cell>
          <cell r="I30" t="str">
            <v>Sanofi Winthrop Industrie</v>
          </cell>
          <cell r="J30" t="str">
            <v>Pháp</v>
          </cell>
          <cell r="K30" t="str">
            <v>Viên</v>
          </cell>
          <cell r="L30">
            <v>23100</v>
          </cell>
          <cell r="M30">
            <v>20828</v>
          </cell>
          <cell r="N30">
            <v>35000</v>
          </cell>
          <cell r="O30">
            <v>728980000</v>
          </cell>
        </row>
        <row r="31">
          <cell r="B31" t="str">
            <v>BD-570-1</v>
          </cell>
          <cell r="C31" t="str">
            <v>Lipanthyl NT 145mg</v>
          </cell>
          <cell r="D31" t="str">
            <v>Fenofibrate (dưới dạng fenofibrate nanoparticules)</v>
          </cell>
          <cell r="E31" t="str">
            <v>145mg</v>
          </cell>
          <cell r="F31" t="str">
            <v>Hộp 3 vỉ x 10 viên, Viên nén bao phim, Uống</v>
          </cell>
          <cell r="G31">
            <v>36</v>
          </cell>
          <cell r="H31" t="str">
            <v>VN-21162-18</v>
          </cell>
          <cell r="I31" t="str">
            <v>Fournier Laboratories Ireland Limited</v>
          </cell>
          <cell r="J31" t="str">
            <v>Ireland</v>
          </cell>
          <cell r="K31" t="str">
            <v>Viên</v>
          </cell>
          <cell r="L31">
            <v>11618</v>
          </cell>
          <cell r="M31">
            <v>10561</v>
          </cell>
          <cell r="N31">
            <v>60000</v>
          </cell>
          <cell r="O31">
            <v>633660000</v>
          </cell>
        </row>
        <row r="32">
          <cell r="B32" t="str">
            <v>BD-570-2</v>
          </cell>
          <cell r="C32" t="str">
            <v>Lipanthyl Supra 160mg</v>
          </cell>
          <cell r="D32" t="str">
            <v>Fenofibrate</v>
          </cell>
          <cell r="E32" t="str">
            <v>160mg</v>
          </cell>
          <cell r="F32" t="str">
            <v>Hộp 3 vỉ x 10 viên, Viên nén bao phim, Uống</v>
          </cell>
          <cell r="G32">
            <v>24</v>
          </cell>
          <cell r="H32" t="str">
            <v>VN-15514-12 (Có CV gia hạn số 19029/QLD-ĐK ngày 09/10/2018)</v>
          </cell>
          <cell r="I32" t="str">
            <v>Recipharm Fontaine</v>
          </cell>
          <cell r="J32" t="str">
            <v>Pháp</v>
          </cell>
          <cell r="K32" t="str">
            <v>Viên</v>
          </cell>
          <cell r="L32">
            <v>10863</v>
          </cell>
          <cell r="M32">
            <v>10863</v>
          </cell>
          <cell r="N32">
            <v>5000</v>
          </cell>
          <cell r="O32">
            <v>54315000</v>
          </cell>
        </row>
        <row r="33">
          <cell r="B33" t="str">
            <v>BD-583-1</v>
          </cell>
          <cell r="C33" t="str">
            <v>Tanakan</v>
          </cell>
          <cell r="D33" t="str">
            <v>Ginkgo biloba extract</v>
          </cell>
          <cell r="E33" t="str">
            <v>40mg</v>
          </cell>
          <cell r="F33" t="str">
            <v>Hộp 2 vỉ x 15 viên,Viên nén bao phim,Uống</v>
          </cell>
          <cell r="G33">
            <v>22</v>
          </cell>
          <cell r="H33" t="str">
            <v>VN-16289-13 (có CV gia hạn số 1755/QLD-ĐK ngày 15/02/2019)</v>
          </cell>
          <cell r="I33" t="str">
            <v>Beaufour Ipsen Industrie</v>
          </cell>
          <cell r="J33" t="str">
            <v>Pháp</v>
          </cell>
          <cell r="K33" t="str">
            <v>Viên</v>
          </cell>
          <cell r="L33">
            <v>4234</v>
          </cell>
          <cell r="M33">
            <v>4031</v>
          </cell>
          <cell r="N33">
            <v>40000</v>
          </cell>
          <cell r="O33">
            <v>161240000</v>
          </cell>
        </row>
        <row r="34">
          <cell r="B34" t="str">
            <v>BD-679-1</v>
          </cell>
          <cell r="C34" t="str">
            <v xml:space="preserve">Phosphalugel </v>
          </cell>
          <cell r="D34" t="str">
            <v>Aluminium phosphate 20% gel</v>
          </cell>
          <cell r="E34" t="str">
            <v>12,38g/gói 20g</v>
          </cell>
          <cell r="F34" t="str">
            <v>Hộp 26 gói x 20g,Hỗn dịch uống,Uống</v>
          </cell>
          <cell r="G34">
            <v>36</v>
          </cell>
          <cell r="H34" t="str">
            <v>VN-16964-13 (có CV gia hạn số 20015/QLD-ĐK ngày 22/10/2018)</v>
          </cell>
          <cell r="I34" t="str">
            <v>Pharmatis</v>
          </cell>
          <cell r="J34" t="str">
            <v>Pháp</v>
          </cell>
          <cell r="K34" t="str">
            <v>Gói</v>
          </cell>
          <cell r="L34">
            <v>3752</v>
          </cell>
          <cell r="M34">
            <v>3751</v>
          </cell>
          <cell r="N34">
            <v>5000</v>
          </cell>
          <cell r="O34">
            <v>18755000</v>
          </cell>
        </row>
        <row r="35">
          <cell r="B35" t="str">
            <v>BD-697-2</v>
          </cell>
          <cell r="C35" t="str">
            <v>Pariet Tablets. 20mg (đóng gói bởi Interthai Pharmaceutical manufacturing Ltd. - Thailand)</v>
          </cell>
          <cell r="D35" t="str">
            <v>Rabeprazole sodium</v>
          </cell>
          <cell r="E35" t="str">
            <v>20mg</v>
          </cell>
          <cell r="F35" t="str">
            <v>Hộp 1 vỉ x 14 viên,Viên nén bao tan trong ruột,Uống</v>
          </cell>
          <cell r="G35">
            <v>36</v>
          </cell>
          <cell r="H35" t="str">
            <v>VN-14560-12 (Có CV gia hạn số 5098/QLD-ĐK ngày 23/03/2018)</v>
          </cell>
          <cell r="I35" t="str">
            <v>Bushu Pharmaceuticals Ltd. Misato Factory</v>
          </cell>
          <cell r="J35" t="str">
            <v>Nhật</v>
          </cell>
          <cell r="K35" t="str">
            <v>Viên</v>
          </cell>
          <cell r="L35">
            <v>21150</v>
          </cell>
          <cell r="M35">
            <v>19700</v>
          </cell>
          <cell r="N35">
            <v>27000</v>
          </cell>
          <cell r="O35">
            <v>531900000</v>
          </cell>
        </row>
        <row r="36">
          <cell r="B36" t="str">
            <v>BD-714-1</v>
          </cell>
          <cell r="C36" t="str">
            <v>No-Spa 40mg/2ml</v>
          </cell>
          <cell r="D36" t="str">
            <v>Drotaverine hydrochloride</v>
          </cell>
          <cell r="E36" t="str">
            <v>40mg/ 2ml</v>
          </cell>
          <cell r="F36" t="str">
            <v>Hộp 25 ống 2ml,Dung dịch tiêm,Tiêm</v>
          </cell>
          <cell r="G36">
            <v>60</v>
          </cell>
          <cell r="H36" t="str">
            <v>VN-14353-11 (có CV gia hạn số 15493/QLD-ĐK ngày 06/08/2018)</v>
          </cell>
          <cell r="I36" t="str">
            <v>Chinoin Pharmaceutical &amp; Chemical Works Private Co.,Ltd.</v>
          </cell>
          <cell r="J36" t="str">
            <v>Hungary</v>
          </cell>
          <cell r="K36" t="str">
            <v>Ống</v>
          </cell>
          <cell r="L36">
            <v>5586</v>
          </cell>
          <cell r="M36">
            <v>5306</v>
          </cell>
          <cell r="N36">
            <v>9000</v>
          </cell>
          <cell r="O36">
            <v>47754000</v>
          </cell>
        </row>
        <row r="37">
          <cell r="B37" t="str">
            <v>BD-714-3</v>
          </cell>
          <cell r="C37" t="str">
            <v xml:space="preserve">No-Spa forte </v>
          </cell>
          <cell r="D37" t="str">
            <v>Drotaverin hydroclorid</v>
          </cell>
          <cell r="E37" t="str">
            <v>80 mg</v>
          </cell>
          <cell r="F37" t="str">
            <v>Hộp 2 vỉ x 10 viên,Viên nén,Uống</v>
          </cell>
          <cell r="G37">
            <v>36</v>
          </cell>
          <cell r="H37" t="str">
            <v>VN-18876-15</v>
          </cell>
          <cell r="I37" t="str">
            <v>Chinoin Pharmaceutical &amp; Chemical Works Private Co.,Ltd.</v>
          </cell>
          <cell r="J37" t="str">
            <v>Hungary</v>
          </cell>
          <cell r="K37" t="str">
            <v>Viên</v>
          </cell>
          <cell r="L37">
            <v>1288</v>
          </cell>
          <cell r="M37">
            <v>1158</v>
          </cell>
          <cell r="N37">
            <v>18000</v>
          </cell>
          <cell r="O37">
            <v>20844000</v>
          </cell>
        </row>
        <row r="38">
          <cell r="B38" t="str">
            <v>BD-749-2</v>
          </cell>
          <cell r="C38" t="str">
            <v>Hidrasec 30mg Children</v>
          </cell>
          <cell r="D38" t="str">
            <v>Racecadotril</v>
          </cell>
          <cell r="E38" t="str">
            <v>30mg</v>
          </cell>
          <cell r="F38" t="str">
            <v>Hộp 30 gói, Bột uống, Uống</v>
          </cell>
          <cell r="G38">
            <v>24</v>
          </cell>
          <cell r="H38" t="str">
            <v>VN-21165-18</v>
          </cell>
          <cell r="I38" t="str">
            <v>Sophartex</v>
          </cell>
          <cell r="J38" t="str">
            <v>Pháp</v>
          </cell>
          <cell r="K38" t="str">
            <v>Gói</v>
          </cell>
          <cell r="L38">
            <v>5515</v>
          </cell>
          <cell r="M38">
            <v>5515</v>
          </cell>
          <cell r="N38">
            <v>1200</v>
          </cell>
          <cell r="O38">
            <v>6618000</v>
          </cell>
        </row>
        <row r="39">
          <cell r="B39" t="str">
            <v>BD-825-8</v>
          </cell>
          <cell r="C39" t="str">
            <v xml:space="preserve">NovoMix® 30 FlexPen </v>
          </cell>
          <cell r="D39" t="str">
            <v>Insulin aspart biphasic (rDNA) hỗn dịch chứa insulin aspart hòa tan/insulin kết tinh với protamine theo tỷ lệ 30/70 (tương đương 3,5 mg)</v>
          </cell>
          <cell r="E39" t="str">
            <v>100U/ml</v>
          </cell>
          <cell r="F39" t="str">
            <v>Hộp chứa 5 bút tiêm x 3ml,Hỗn dịch tiêm,Tiêm</v>
          </cell>
          <cell r="G39">
            <v>24</v>
          </cell>
          <cell r="H39" t="str">
            <v>QLSP-0793-14 (Có CV gia hạn số 5076/QLD-ĐK ngày 08/04/2019)</v>
          </cell>
          <cell r="I39" t="str">
            <v xml:space="preserve">Novo Nordisk A/S </v>
          </cell>
          <cell r="J39" t="str">
            <v>Đan Mạch</v>
          </cell>
          <cell r="K39" t="str">
            <v>Bút tiêm</v>
          </cell>
          <cell r="L39">
            <v>250745</v>
          </cell>
          <cell r="M39">
            <v>227850</v>
          </cell>
          <cell r="N39">
            <v>8000</v>
          </cell>
          <cell r="O39">
            <v>1822800000</v>
          </cell>
        </row>
        <row r="40">
          <cell r="B40" t="str">
            <v>BD-826-1</v>
          </cell>
          <cell r="C40" t="str">
            <v>Lantus Solostar</v>
          </cell>
          <cell r="D40" t="str">
            <v xml:space="preserve">Insulin glargine </v>
          </cell>
          <cell r="E40" t="str">
            <v>300IU/3ml</v>
          </cell>
          <cell r="F40" t="str">
            <v>Hộp 5 bút tiêm x 3ml dung dịch tiêm, 5 hộp sản phẩm kèm 1 hộp kim(100 cây),Dung dịch tiêm trong bút tiêm nạp sẵn,Tiêm dưới da</v>
          </cell>
          <cell r="G40">
            <v>36</v>
          </cell>
          <cell r="H40" t="str">
            <v>QLSP-857-15</v>
          </cell>
          <cell r="I40" t="str">
            <v>Sanofi-Aventis Deutschland GmbH</v>
          </cell>
          <cell r="J40" t="str">
            <v>Đức</v>
          </cell>
          <cell r="K40" t="str">
            <v>Bút  tiêm</v>
          </cell>
          <cell r="L40">
            <v>428550</v>
          </cell>
          <cell r="M40">
            <v>277000</v>
          </cell>
          <cell r="N40">
            <v>9000</v>
          </cell>
          <cell r="O40">
            <v>2493000000</v>
          </cell>
        </row>
        <row r="41">
          <cell r="B41" t="str">
            <v>BD-826-2</v>
          </cell>
          <cell r="C41" t="str">
            <v>Lantus</v>
          </cell>
          <cell r="D41" t="str">
            <v xml:space="preserve">Insulin glargine </v>
          </cell>
          <cell r="E41" t="str">
            <v>100 đơn vị/ml (1000 đơn vị/lọ 10ml)</v>
          </cell>
          <cell r="F41" t="str">
            <v>Hộp 1 lọ 10ml,Dung dịch tiêm,Tiêm dưới da</v>
          </cell>
          <cell r="G41">
            <v>36</v>
          </cell>
          <cell r="H41" t="str">
            <v>QLSP-0790-14 (có CV gia hạn số 10963/QLD-ĐK ngày 03/07/2019)</v>
          </cell>
          <cell r="I41" t="str">
            <v>Sanofi-Aventis Deutschland GmbH</v>
          </cell>
          <cell r="J41" t="str">
            <v>Đức</v>
          </cell>
          <cell r="K41" t="str">
            <v>lọ</v>
          </cell>
          <cell r="L41">
            <v>736626</v>
          </cell>
          <cell r="M41">
            <v>505030</v>
          </cell>
          <cell r="N41">
            <v>2000</v>
          </cell>
          <cell r="O41">
            <v>1010060000</v>
          </cell>
        </row>
        <row r="42">
          <cell r="B42" t="str">
            <v>BD-903-1</v>
          </cell>
          <cell r="C42" t="str">
            <v>Sanlein 0,1</v>
          </cell>
          <cell r="D42" t="str">
            <v>Natri hyaluronat</v>
          </cell>
          <cell r="E42" t="str">
            <v>1mg/ml</v>
          </cell>
          <cell r="F42" t="str">
            <v>Hộp 1 lọ 5ml,Dung dịch nhỏ mắt,Nhỏ mắt</v>
          </cell>
          <cell r="G42">
            <v>36</v>
          </cell>
          <cell r="H42" t="str">
            <v>VN-17157-13 (có CV gia hạn số 19216/QLD-ĐK ngày 10/10/2018)</v>
          </cell>
          <cell r="I42" t="str">
            <v xml:space="preserve">Santen Pharmaceutical Co. Ltd. </v>
          </cell>
          <cell r="J42" t="str">
            <v>Nhật</v>
          </cell>
          <cell r="K42" t="str">
            <v>Lọ</v>
          </cell>
          <cell r="L42">
            <v>62159</v>
          </cell>
          <cell r="M42">
            <v>62158</v>
          </cell>
          <cell r="N42">
            <v>3800</v>
          </cell>
          <cell r="O42">
            <v>236200400</v>
          </cell>
        </row>
        <row r="43">
          <cell r="B43" t="str">
            <v>BD-1003-2</v>
          </cell>
          <cell r="C43" t="str">
            <v>Berodual 10ml</v>
          </cell>
          <cell r="D43" t="str">
            <v xml:space="preserve">Ipratropium bromide khan (dưới dạng Ipratropium bromide monohydrate) + Fenoterol Hydrobromide </v>
          </cell>
          <cell r="E43" t="str">
            <v>0,02mg/ nhát xịt + 0,05mg/ nhát xịt</v>
          </cell>
          <cell r="F43" t="str">
            <v>Hộp 1 bình xịt 200 nhát xịt (10ml),Dung dịch khí dung,Xịt</v>
          </cell>
          <cell r="G43">
            <v>24</v>
          </cell>
          <cell r="H43" t="str">
            <v>VN-17269-13 (có CV gia hạn số 5306/QLD-ĐK ngày 10/04/2019)</v>
          </cell>
          <cell r="I43" t="str">
            <v>Boehringer Ingelheim Pharma GmbH &amp; Co. KG.</v>
          </cell>
          <cell r="J43" t="str">
            <v>Đức</v>
          </cell>
          <cell r="K43" t="str">
            <v>Bình</v>
          </cell>
          <cell r="L43">
            <v>132323</v>
          </cell>
          <cell r="M43">
            <v>132323</v>
          </cell>
          <cell r="N43">
            <v>13200</v>
          </cell>
          <cell r="O43">
            <v>1746663600</v>
          </cell>
        </row>
        <row r="44">
          <cell r="B44" t="str">
            <v>BD-1008-1</v>
          </cell>
          <cell r="C44" t="str">
            <v xml:space="preserve">Combivent </v>
          </cell>
          <cell r="D44" t="str">
            <v xml:space="preserve">Ipratropium bromide anhydrous (dưới dạng Ipratropium bromide monohydrate) + Salbutamol (dưới dạng Salbutamol sulfate) </v>
          </cell>
          <cell r="E44" t="str">
            <v>0,5mg + 2,5mg</v>
          </cell>
          <cell r="F44" t="str">
            <v>Hộp 10 lọ x 2,5ml,Dung dịch khí dung,Dạng hít</v>
          </cell>
          <cell r="G44">
            <v>24</v>
          </cell>
          <cell r="H44" t="str">
            <v>VN-19797-16</v>
          </cell>
          <cell r="I44" t="str">
            <v>Laboratoire Unither</v>
          </cell>
          <cell r="J44" t="str">
            <v>Pháp</v>
          </cell>
          <cell r="K44" t="str">
            <v>Lọ</v>
          </cell>
          <cell r="L44">
            <v>16075</v>
          </cell>
          <cell r="M44">
            <v>16074</v>
          </cell>
          <cell r="N44">
            <v>101000</v>
          </cell>
          <cell r="O44">
            <v>1623474000</v>
          </cell>
        </row>
        <row r="45">
          <cell r="B45" t="str">
            <v>BD-1013-1</v>
          </cell>
          <cell r="C45" t="str">
            <v xml:space="preserve">Spiriva Respimat </v>
          </cell>
          <cell r="D45" t="str">
            <v>Tiotropium</v>
          </cell>
          <cell r="E45" t="str">
            <v>0,0025mg/ nhát xịt</v>
          </cell>
          <cell r="F45" t="str">
            <v>Hộp chứa 1 dụng cụ khí dung và 1 ống thuốc 4ml chứa 60 nhát xịt ,Dung dịch khí dung,Dạng hít</v>
          </cell>
          <cell r="G45">
            <v>36</v>
          </cell>
          <cell r="H45" t="str">
            <v>VN-16963-13 (có CV gia hạn số 5306/QLD-ĐK ngày 10/04/2019)</v>
          </cell>
          <cell r="I45" t="str">
            <v>Boehringer Ingelheim Pharma GmbH &amp; Co. KG.</v>
          </cell>
          <cell r="J45" t="str">
            <v>Đức</v>
          </cell>
          <cell r="K45" t="str">
            <v>Hộp</v>
          </cell>
          <cell r="L45">
            <v>1016388</v>
          </cell>
          <cell r="M45">
            <v>1016387</v>
          </cell>
          <cell r="N45">
            <v>100</v>
          </cell>
          <cell r="O45">
            <v>101638700</v>
          </cell>
        </row>
        <row r="46">
          <cell r="B46" t="str">
            <v>BD-1038-4</v>
          </cell>
          <cell r="C46" t="str">
            <v>Morihepamin Infusion 200ml</v>
          </cell>
          <cell r="D46" t="str">
            <v>L-Isoleucine + L-Leucine + L-Lysine acetate + L-Methionine + L-Phenylalanine + L-Threonine + L-Tryptophan + L-Valine, L-Alanine + L-Arginine + L-Aspartic acid + L-Histidine +  L-Proline + L-Serine + L-Tyrosine + Glycine</v>
          </cell>
          <cell r="E46" t="str">
            <v>7,58%</v>
          </cell>
          <cell r="F46" t="str">
            <v>Túi 200ml,Dung dịch truyền tĩnh mạch,Truyền tĩnh mạch</v>
          </cell>
          <cell r="G46">
            <v>36</v>
          </cell>
          <cell r="H46" t="str">
            <v>VN-17215-13 (có CV gia hạn số 23200/QLD-ĐK ngày 19/12/2018)</v>
          </cell>
          <cell r="I46" t="str">
            <v>Ay Pharmaceuticals Co., Ltd</v>
          </cell>
          <cell r="J46" t="str">
            <v>Nhật</v>
          </cell>
          <cell r="K46" t="str">
            <v>Túi</v>
          </cell>
          <cell r="L46">
            <v>116633</v>
          </cell>
          <cell r="M46">
            <v>116632</v>
          </cell>
          <cell r="N46">
            <v>500</v>
          </cell>
          <cell r="O46">
            <v>58316000</v>
          </cell>
        </row>
        <row r="47">
          <cell r="D47" t="str">
            <v>Cộng: 32 khoản</v>
          </cell>
          <cell r="O47">
            <v>23499243700</v>
          </cell>
        </row>
        <row r="49">
          <cell r="N49" t="str">
            <v>Bình Dương, ngày 27 tháng 08 năm 2019</v>
          </cell>
        </row>
        <row r="50">
          <cell r="N50" t="str">
            <v>ĐẠI DIỆN HỢP PHÁP CỦA NHÀ THẦU</v>
          </cell>
        </row>
        <row r="51">
          <cell r="N51" t="str">
            <v>TUQ. CHỦ TỊCH CÔNG TY</v>
          </cell>
        </row>
        <row r="52">
          <cell r="N52" t="str">
            <v>PHÓ GIÁM ĐỐC</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08_PVCC"/>
      <sheetName val="DS chung"/>
      <sheetName val="DS C.ty Ký HĐ"/>
      <sheetName val="DS C.ty trúng thầu"/>
      <sheetName val="DM Thuốc trúng thầu"/>
      <sheetName val="DM Vaccin trúng thầu"/>
      <sheetName val="File Vaccin"/>
      <sheetName val="DM vật tư-hóa chất-dụng cụ"/>
      <sheetName val="DMT trúng thầu"/>
      <sheetName val="DS C.ty không trúng thầu"/>
    </sheetNames>
    <sheetDataSet>
      <sheetData sheetId="0"/>
      <sheetData sheetId="1"/>
      <sheetData sheetId="2"/>
      <sheetData sheetId="3"/>
      <sheetData sheetId="4"/>
      <sheetData sheetId="5"/>
      <sheetData sheetId="6">
        <row r="9">
          <cell r="B9" t="str">
            <v>VC-N1-3</v>
          </cell>
          <cell r="C9" t="str">
            <v>M-M-R-II &amp; dung dịch pha 0.5ml 10's</v>
          </cell>
          <cell r="D9" t="str">
            <v xml:space="preserve">Vắc xin phòng Sởi, Quai bị, Rubella </v>
          </cell>
          <cell r="E9" t="str">
            <v>0,5ml</v>
          </cell>
          <cell r="F9" t="str">
            <v>Hộp 10 lọ vắc xin đơn liều kèm hộp 10 lọ dung môi pha tiêm; bột đông khô pha tiêm; Tiêm bắp (IM) hoặc tiêm dưới da (SC)</v>
          </cell>
          <cell r="G9" t="str">
            <v>24 tháng</v>
          </cell>
          <cell r="H9" t="str">
            <v>QLVX-878-15</v>
          </cell>
          <cell r="I9" t="str">
            <v>Merck Sharp &amp; Dohme corp- Mỹ</v>
          </cell>
          <cell r="J9" t="str">
            <v>Lọ</v>
          </cell>
          <cell r="K9">
            <v>153850</v>
          </cell>
          <cell r="L9">
            <v>15370</v>
          </cell>
          <cell r="M9">
            <v>7000</v>
          </cell>
          <cell r="N9">
            <v>0</v>
          </cell>
          <cell r="O9">
            <v>300</v>
          </cell>
          <cell r="P9" t="str">
            <v xml:space="preserve"> </v>
          </cell>
          <cell r="Q9">
            <v>0</v>
          </cell>
          <cell r="R9">
            <v>0</v>
          </cell>
          <cell r="S9">
            <v>1500</v>
          </cell>
          <cell r="T9">
            <v>300</v>
          </cell>
          <cell r="U9">
            <v>800</v>
          </cell>
          <cell r="V9">
            <v>5000</v>
          </cell>
          <cell r="W9">
            <v>150</v>
          </cell>
          <cell r="X9">
            <v>320</v>
          </cell>
        </row>
        <row r="10">
          <cell r="B10" t="str">
            <v>VC-N1-4</v>
          </cell>
          <cell r="C10" t="str">
            <v>Varivax &amp;Diluent Inj 0.5ml 1's</v>
          </cell>
          <cell r="D10" t="str">
            <v xml:space="preserve">Vắc xin ngừa Thuỷ đậu </v>
          </cell>
          <cell r="E10" t="str">
            <v>0,5ml</v>
          </cell>
          <cell r="F10" t="str">
            <v>Hộp 1 lọ bột đơn liều kèm 1 lọ dung môi; bột đông khô kèm lọ dung môi tiêm; Tiêm</v>
          </cell>
          <cell r="G10" t="str">
            <v>24 tháng</v>
          </cell>
          <cell r="H10" t="str">
            <v>QLVX-909-15</v>
          </cell>
          <cell r="I10" t="str">
            <v>Merck Sharp &amp; Dohme corp-Mỹ</v>
          </cell>
          <cell r="J10" t="str">
            <v>Lọ</v>
          </cell>
          <cell r="K10">
            <v>583170</v>
          </cell>
          <cell r="L10">
            <v>10450</v>
          </cell>
          <cell r="M10">
            <v>5000</v>
          </cell>
          <cell r="N10">
            <v>0</v>
          </cell>
          <cell r="O10">
            <v>0</v>
          </cell>
          <cell r="P10">
            <v>0</v>
          </cell>
          <cell r="Q10">
            <v>0</v>
          </cell>
          <cell r="R10">
            <v>0</v>
          </cell>
          <cell r="S10">
            <v>1000</v>
          </cell>
          <cell r="T10">
            <v>500</v>
          </cell>
          <cell r="U10">
            <v>500</v>
          </cell>
          <cell r="V10">
            <v>3000</v>
          </cell>
          <cell r="W10">
            <v>150</v>
          </cell>
          <cell r="X10">
            <v>300</v>
          </cell>
        </row>
        <row r="11">
          <cell r="B11" t="str">
            <v>VC-N1-8</v>
          </cell>
          <cell r="C11" t="str">
            <v>Rotarix vial 1.5ml 1's</v>
          </cell>
          <cell r="D11" t="str">
            <v xml:space="preserve">Vắc xin ngừa tiêu chảy do Rotavirus gây ra </v>
          </cell>
          <cell r="E11" t="str">
            <v>1,5ml</v>
          </cell>
          <cell r="F11" t="str">
            <v>Hộp chứa 1 ống x 1,5ml; hộp chứa 1 tuýp x 1,5ml; hỗn dịch uống; Uống</v>
          </cell>
          <cell r="G11" t="str">
            <v>36 tháng</v>
          </cell>
          <cell r="H11" t="str">
            <v>QLVX-1049-17</v>
          </cell>
          <cell r="I11" t="str">
            <v>GlaxoSmithkLine Biologicals S.A-Bỉ</v>
          </cell>
          <cell r="J11" t="str">
            <v>Ống; Tuýp</v>
          </cell>
          <cell r="K11">
            <v>700719</v>
          </cell>
          <cell r="L11">
            <v>9600</v>
          </cell>
          <cell r="M11">
            <v>5000</v>
          </cell>
          <cell r="N11">
            <v>0</v>
          </cell>
          <cell r="O11">
            <v>0</v>
          </cell>
          <cell r="P11">
            <v>0</v>
          </cell>
          <cell r="Q11">
            <v>0</v>
          </cell>
          <cell r="R11">
            <v>0</v>
          </cell>
          <cell r="S11">
            <v>600</v>
          </cell>
          <cell r="T11">
            <v>0</v>
          </cell>
          <cell r="U11">
            <v>0</v>
          </cell>
          <cell r="V11">
            <v>4000</v>
          </cell>
          <cell r="W11">
            <v>0</v>
          </cell>
          <cell r="X11">
            <v>0</v>
          </cell>
        </row>
        <row r="12">
          <cell r="B12" t="str">
            <v>VC-N1-9</v>
          </cell>
          <cell r="C12" t="str">
            <v>Rotateq 2ml 10's</v>
          </cell>
          <cell r="D12" t="str">
            <v xml:space="preserve">Vắc xin ngừa tiêu chảy do Rotavirus gây ra </v>
          </cell>
          <cell r="E12" t="str">
            <v>2ml</v>
          </cell>
          <cell r="F12" t="str">
            <v>Hộp 10 túi x 1 tuýp nhựa 2ml; dung dịch uống; Uống</v>
          </cell>
          <cell r="G12" t="str">
            <v>24 tháng</v>
          </cell>
          <cell r="H12" t="str">
            <v>QLVX-990-17</v>
          </cell>
          <cell r="I12" t="str">
            <v xml:space="preserve">Merck Sharp &amp; Dohme corp -Mỹ </v>
          </cell>
          <cell r="J12" t="str">
            <v>Tuýp</v>
          </cell>
          <cell r="K12">
            <v>500300</v>
          </cell>
          <cell r="L12">
            <v>4000</v>
          </cell>
          <cell r="M12">
            <v>3000</v>
          </cell>
          <cell r="N12">
            <v>0</v>
          </cell>
          <cell r="O12">
            <v>200</v>
          </cell>
          <cell r="P12">
            <v>0</v>
          </cell>
          <cell r="Q12">
            <v>0</v>
          </cell>
          <cell r="R12">
            <v>0</v>
          </cell>
          <cell r="S12">
            <v>0</v>
          </cell>
          <cell r="T12">
            <v>0</v>
          </cell>
          <cell r="U12">
            <v>0</v>
          </cell>
          <cell r="V12">
            <v>0</v>
          </cell>
          <cell r="W12">
            <v>0</v>
          </cell>
          <cell r="X12">
            <v>800</v>
          </cell>
        </row>
        <row r="13">
          <cell r="B13" t="str">
            <v>VC-N1-11</v>
          </cell>
          <cell r="C13" t="str">
            <v>Gardasil Inj 0.5ml 1's</v>
          </cell>
          <cell r="D13" t="str">
            <v>Vắc xin phòng Human Papillomavirus type 6, 11, 16, 18</v>
          </cell>
          <cell r="E13" t="str">
            <v>0,5ml</v>
          </cell>
          <cell r="F13" t="str">
            <v>Hộp 1 lọ vắc xin đơn liều; dịch treo vô khuẩn. Tiêm bắp  (IM)</v>
          </cell>
          <cell r="G13" t="str">
            <v>36 tháng</v>
          </cell>
          <cell r="H13" t="str">
            <v>QLVX-883-15</v>
          </cell>
          <cell r="I13" t="str">
            <v xml:space="preserve">Merck Sharp &amp; Dohme corp -Mỹ </v>
          </cell>
          <cell r="J13" t="str">
            <v>Lọ</v>
          </cell>
          <cell r="K13">
            <v>1182109</v>
          </cell>
          <cell r="L13">
            <v>5250</v>
          </cell>
          <cell r="M13">
            <v>4000</v>
          </cell>
          <cell r="N13">
            <v>0</v>
          </cell>
          <cell r="O13">
            <v>0</v>
          </cell>
          <cell r="P13">
            <v>0</v>
          </cell>
          <cell r="Q13">
            <v>0</v>
          </cell>
          <cell r="R13">
            <v>50</v>
          </cell>
          <cell r="S13">
            <v>600</v>
          </cell>
          <cell r="T13">
            <v>0</v>
          </cell>
          <cell r="U13">
            <v>500</v>
          </cell>
          <cell r="V13">
            <v>0</v>
          </cell>
          <cell r="W13">
            <v>0</v>
          </cell>
          <cell r="X13">
            <v>100</v>
          </cell>
        </row>
        <row r="14">
          <cell r="B14" t="str">
            <v>2. Công ty Cổ phần Y tế AMV Group</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B15" t="str">
            <v>VC-N3-9</v>
          </cell>
          <cell r="C15" t="str">
            <v>Rotavin-M1</v>
          </cell>
          <cell r="D15" t="str">
            <v>Vắc xin ngừa tiêu chảy do Rotavirus gây ra</v>
          </cell>
          <cell r="E15" t="str">
            <v>2ml/lọ</v>
          </cell>
          <cell r="F15" t="str">
            <v>Hộp to chứa 10 hộp nhỏ x 1 lọ x 2ml, Dạng dung dịch uống, 
Uống</v>
          </cell>
          <cell r="G15" t="str">
            <v>24 tháng</v>
          </cell>
          <cell r="H15" t="str">
            <v>QLVX-1039-17</v>
          </cell>
          <cell r="I15" t="str">
            <v>Trung tâm nghiên cứu sản xuất vacxin và sinh phẩm Y tế-Việt Nam</v>
          </cell>
          <cell r="J15" t="str">
            <v>Lọ</v>
          </cell>
          <cell r="K15">
            <v>350000</v>
          </cell>
          <cell r="L15">
            <v>6200</v>
          </cell>
          <cell r="M15">
            <v>4000</v>
          </cell>
          <cell r="N15">
            <v>0</v>
          </cell>
          <cell r="O15">
            <v>200</v>
          </cell>
          <cell r="P15">
            <v>0</v>
          </cell>
          <cell r="Q15">
            <v>0</v>
          </cell>
          <cell r="R15">
            <v>0</v>
          </cell>
          <cell r="S15">
            <v>2000</v>
          </cell>
          <cell r="T15">
            <v>0</v>
          </cell>
          <cell r="U15">
            <v>0</v>
          </cell>
          <cell r="V15">
            <v>0</v>
          </cell>
          <cell r="W15">
            <v>0</v>
          </cell>
          <cell r="X15">
            <v>0</v>
          </cell>
        </row>
        <row r="16">
          <cell r="B16" t="str">
            <v>VC-N3-22</v>
          </cell>
          <cell r="C16" t="str">
            <v>Havax 0,5 ml</v>
          </cell>
          <cell r="D16" t="str">
            <v>Vắc xin ngừa viêm gan siêu vi A</v>
          </cell>
          <cell r="E16" t="str">
            <v>0,5ml/lọ</v>
          </cell>
          <cell r="F16" t="str">
            <v>Hộp 10 lọ x 0,5 ml - 1 liều,
Dạng hỗn dịch tiêm, Tiêm bắp</v>
          </cell>
          <cell r="G16" t="str">
            <v>24 tháng</v>
          </cell>
          <cell r="H16" t="str">
            <v>QLVX-1110-18</v>
          </cell>
          <cell r="I16" t="str">
            <v>Công ty TNHH MTV Vắc xin và sinh phẩm số 1 - Việt Nam</v>
          </cell>
          <cell r="J16" t="str">
            <v>Lọ</v>
          </cell>
          <cell r="K16">
            <v>95400</v>
          </cell>
          <cell r="L16">
            <v>14000</v>
          </cell>
          <cell r="M16">
            <v>9000</v>
          </cell>
          <cell r="N16">
            <v>0</v>
          </cell>
          <cell r="O16">
            <v>4000</v>
          </cell>
          <cell r="P16">
            <v>0</v>
          </cell>
          <cell r="Q16">
            <v>0</v>
          </cell>
          <cell r="R16">
            <v>0</v>
          </cell>
          <cell r="S16">
            <v>600</v>
          </cell>
          <cell r="T16">
            <v>0</v>
          </cell>
          <cell r="U16">
            <v>0</v>
          </cell>
          <cell r="V16">
            <v>0</v>
          </cell>
          <cell r="W16">
            <v>0</v>
          </cell>
          <cell r="X16">
            <v>400</v>
          </cell>
        </row>
        <row r="17">
          <cell r="B17" t="str">
            <v>VC-N3-30</v>
          </cell>
          <cell r="C17" t="str">
            <v>Vắc xin uốn ván bạch hầu hấp phụ (Td)</v>
          </cell>
          <cell r="D17" t="str">
            <v>Vắc xin phòng ngừa uốn ván - Bạch hầu hấp phụ</v>
          </cell>
          <cell r="E17" t="str">
            <v>Ống 1 liều 0,5ml</v>
          </cell>
          <cell r="F17" t="str">
            <v>Hộp 20 ống,mỗi uống chứa 0,5ml - 1 liều, Dạng dung dịch tiêm , Tiêm bắp sâu</v>
          </cell>
          <cell r="G17" t="str">
            <v>30 tháng</v>
          </cell>
          <cell r="H17" t="str">
            <v>QLVX-943-16</v>
          </cell>
          <cell r="I17" t="str">
            <v>Viện vắc xin và sinh phẩm y tế (IVAC)-Việt Nam</v>
          </cell>
          <cell r="J17" t="str">
            <v>Lọ (Liều)</v>
          </cell>
          <cell r="K17">
            <v>23342</v>
          </cell>
          <cell r="L17">
            <v>10100</v>
          </cell>
          <cell r="M17">
            <v>8000</v>
          </cell>
          <cell r="N17">
            <v>0</v>
          </cell>
          <cell r="O17">
            <v>100</v>
          </cell>
          <cell r="P17">
            <v>0</v>
          </cell>
          <cell r="Q17">
            <v>0</v>
          </cell>
          <cell r="R17">
            <v>0</v>
          </cell>
          <cell r="S17">
            <v>0</v>
          </cell>
          <cell r="T17">
            <v>0</v>
          </cell>
          <cell r="U17">
            <v>0</v>
          </cell>
          <cell r="V17">
            <v>2000</v>
          </cell>
          <cell r="W17">
            <v>0</v>
          </cell>
          <cell r="X17">
            <v>0</v>
          </cell>
        </row>
        <row r="18">
          <cell r="B18" t="str">
            <v>VC-N5-2</v>
          </cell>
          <cell r="C18" t="str">
            <v>Quimi-Hib (Vắc xin phòng các bệnh nhiễm trùng do Haemophilus influenzae type b)</v>
          </cell>
          <cell r="D18" t="str">
            <v>Vắc xin ngừa viêm phổi và viêm màng não mũ do Hib</v>
          </cell>
          <cell r="E18" t="str">
            <v>0,5ml/lọ</v>
          </cell>
          <cell r="F18" t="str">
            <v>25 lọ/hộp. Dung dịch tiêm. Tiêm</v>
          </cell>
          <cell r="G18" t="str">
            <v>36 tháng</v>
          </cell>
          <cell r="H18" t="str">
            <v>QLVX-987-17</v>
          </cell>
          <cell r="I18" t="str">
            <v>Center for Genetic Engineering and  Biotechnology (CIGB) - Cu Ba</v>
          </cell>
          <cell r="J18" t="str">
            <v>Lọ</v>
          </cell>
          <cell r="K18">
            <v>180000</v>
          </cell>
          <cell r="L18">
            <v>15100</v>
          </cell>
          <cell r="M18">
            <v>0</v>
          </cell>
          <cell r="N18">
            <v>0</v>
          </cell>
          <cell r="O18">
            <v>0</v>
          </cell>
          <cell r="P18">
            <v>0</v>
          </cell>
          <cell r="Q18">
            <v>0</v>
          </cell>
          <cell r="R18">
            <v>0</v>
          </cell>
          <cell r="S18">
            <v>5000</v>
          </cell>
          <cell r="T18">
            <v>0</v>
          </cell>
          <cell r="U18">
            <v>0</v>
          </cell>
          <cell r="V18">
            <v>10000</v>
          </cell>
          <cell r="W18">
            <v>0</v>
          </cell>
          <cell r="X18">
            <v>100</v>
          </cell>
        </row>
        <row r="19">
          <cell r="B19" t="str">
            <v>VC-N5-12</v>
          </cell>
          <cell r="C19" t="str">
            <v xml:space="preserve">Heberbiovac HB -1ml (vắc xin Viêm gan B tái tổ hợp) </v>
          </cell>
          <cell r="D19" t="str">
            <v>Vắc xin ngừa viêm gan siêu vi B</v>
          </cell>
          <cell r="E19" t="str">
            <v>20mcg/ 1ml</v>
          </cell>
          <cell r="F19" t="str">
            <v>25 lọ/hộp. Hỗn dịch. Tiêm</v>
          </cell>
          <cell r="G19" t="str">
            <v>36 tháng</v>
          </cell>
          <cell r="H19" t="str">
            <v>QLVX-0624-13</v>
          </cell>
          <cell r="I19" t="str">
            <v>Center for Genetic Engineering and  Biotechnology (CIGB) - Cu Ba</v>
          </cell>
          <cell r="J19" t="str">
            <v>Lọ</v>
          </cell>
          <cell r="K19">
            <v>66800</v>
          </cell>
          <cell r="L19">
            <v>21250</v>
          </cell>
          <cell r="M19">
            <v>14000</v>
          </cell>
          <cell r="N19">
            <v>0</v>
          </cell>
          <cell r="O19">
            <v>4000</v>
          </cell>
          <cell r="P19">
            <v>0</v>
          </cell>
          <cell r="Q19">
            <v>0</v>
          </cell>
          <cell r="R19">
            <v>500</v>
          </cell>
          <cell r="S19">
            <v>2600</v>
          </cell>
          <cell r="T19">
            <v>100</v>
          </cell>
          <cell r="U19">
            <v>0</v>
          </cell>
          <cell r="V19">
            <v>0</v>
          </cell>
          <cell r="W19">
            <v>50</v>
          </cell>
          <cell r="X19">
            <v>0</v>
          </cell>
        </row>
        <row r="20">
          <cell r="B20" t="str">
            <v>VC-N5-13</v>
          </cell>
          <cell r="C20" t="str">
            <v>Heberbiovac HB-0,5ml (vắc xin Viêm gan B tái tổ hợp)</v>
          </cell>
          <cell r="D20" t="str">
            <v>Vắc xin ngừa viêm gan siêu vi B</v>
          </cell>
          <cell r="E20" t="str">
            <v>10mcg/ 0,5ml</v>
          </cell>
          <cell r="F20" t="str">
            <v>25 lọ/hộp. Hỗn dịch.  Tiêm</v>
          </cell>
          <cell r="G20" t="str">
            <v>36 tháng</v>
          </cell>
          <cell r="H20" t="str">
            <v>QLVX-0748-13</v>
          </cell>
          <cell r="I20" t="str">
            <v>Center for Genetic Engineering and  Biotechnology (CIGB) - Cu Ba</v>
          </cell>
          <cell r="J20" t="str">
            <v>Lọ</v>
          </cell>
          <cell r="K20">
            <v>47250</v>
          </cell>
          <cell r="L20">
            <v>5800</v>
          </cell>
          <cell r="M20">
            <v>3000</v>
          </cell>
          <cell r="N20">
            <v>0</v>
          </cell>
          <cell r="O20">
            <v>200</v>
          </cell>
          <cell r="P20">
            <v>0</v>
          </cell>
          <cell r="Q20">
            <v>0</v>
          </cell>
          <cell r="R20">
            <v>0</v>
          </cell>
          <cell r="S20">
            <v>600</v>
          </cell>
          <cell r="T20">
            <v>0</v>
          </cell>
          <cell r="U20">
            <v>0</v>
          </cell>
          <cell r="V20">
            <v>2000</v>
          </cell>
          <cell r="W20">
            <v>0</v>
          </cell>
          <cell r="X20">
            <v>0</v>
          </cell>
        </row>
        <row r="21">
          <cell r="B21" t="str">
            <v>3. Công ty cổ phần dược phẩm Phúc Thiện</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VC-N1-6</v>
          </cell>
          <cell r="C22" t="str">
            <v>Influvac</v>
          </cell>
          <cell r="D22" t="str">
            <v xml:space="preserve">Vắc xin ngừa Cúm  </v>
          </cell>
          <cell r="E22" t="str">
            <v>0,5ml/lọ</v>
          </cell>
          <cell r="F22" t="str">
            <v>Hộp 1 xy lanh đóng sẳn 0,5ml vắc xin, hỗn dịch tiêm; tiêm bắp hoặc tiêm sâu dưới da</v>
          </cell>
          <cell r="G22" t="str">
            <v>12 tháng</v>
          </cell>
          <cell r="H22" t="str">
            <v>QLVX-0653-13</v>
          </cell>
          <cell r="I22" t="str">
            <v>Abbott Biologicals B.V - Hà Lan</v>
          </cell>
          <cell r="J22" t="str">
            <v>Lọ</v>
          </cell>
          <cell r="K22">
            <v>188000</v>
          </cell>
          <cell r="L22">
            <v>3000</v>
          </cell>
          <cell r="M22">
            <v>3000</v>
          </cell>
          <cell r="N22">
            <v>0</v>
          </cell>
          <cell r="O22">
            <v>0</v>
          </cell>
          <cell r="P22">
            <v>0</v>
          </cell>
          <cell r="Q22">
            <v>0</v>
          </cell>
          <cell r="R22">
            <v>0</v>
          </cell>
          <cell r="S22">
            <v>0</v>
          </cell>
          <cell r="T22">
            <v>0</v>
          </cell>
          <cell r="U22">
            <v>0</v>
          </cell>
          <cell r="V22">
            <v>0</v>
          </cell>
          <cell r="W22">
            <v>0</v>
          </cell>
          <cell r="X22">
            <v>0</v>
          </cell>
        </row>
        <row r="23">
          <cell r="B23" t="str">
            <v>4. Công ty cổ phần vắc xin &amp; sinh phẩm Nam Hưng Việt</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B24" t="str">
            <v>VC-N3-1</v>
          </cell>
          <cell r="C24" t="str">
            <v>Vắc xin viêm não Nhật Bản - Jevax</v>
          </cell>
          <cell r="D24" t="str">
            <v>Vắc xin ngừa viêm não nhật bản</v>
          </cell>
          <cell r="E24" t="str">
            <v>Lọ/1 liều 1ml</v>
          </cell>
          <cell r="F24" t="str">
            <v>Hộp 10 lọ, dung dịch tiêm; tiêm dưới da</v>
          </cell>
          <cell r="G24" t="str">
            <v>24 tháng</v>
          </cell>
          <cell r="H24" t="str">
            <v>QLVX-0763-13</v>
          </cell>
          <cell r="I24" t="str">
            <v>Công ty TNHH MTV Vắc xin và Sinh phẩm số 1 (Vabiotech) - Việt Nam</v>
          </cell>
          <cell r="J24" t="str">
            <v>Lọ</v>
          </cell>
          <cell r="K24">
            <v>49815</v>
          </cell>
          <cell r="L24">
            <v>18215</v>
          </cell>
          <cell r="M24">
            <v>8000</v>
          </cell>
          <cell r="N24">
            <v>0</v>
          </cell>
          <cell r="O24">
            <v>300</v>
          </cell>
          <cell r="P24">
            <v>0</v>
          </cell>
          <cell r="Q24">
            <v>0</v>
          </cell>
          <cell r="R24">
            <v>200</v>
          </cell>
          <cell r="S24">
            <v>1200</v>
          </cell>
          <cell r="T24">
            <v>0</v>
          </cell>
          <cell r="U24">
            <v>2000</v>
          </cell>
          <cell r="V24">
            <v>6000</v>
          </cell>
          <cell r="W24">
            <v>200</v>
          </cell>
          <cell r="X24">
            <v>315</v>
          </cell>
        </row>
        <row r="25">
          <cell r="B25" t="str">
            <v>VC-N5-3</v>
          </cell>
          <cell r="C25" t="str">
            <v>Measles, Mumps and Rubella Vaccine Live, Attenuated (Freeze-dried)</v>
          </cell>
          <cell r="D25" t="str">
            <v>Vắc xin ngừa Sởi, Quai bị, Rubella</v>
          </cell>
          <cell r="E25" t="str">
            <v>Lọ/1 liều 0,5ml</v>
          </cell>
          <cell r="F25" t="str">
            <v>Hộp/50 lọ, bột đông khô+dung môi nước cất pha tiêm, Tiêm dưới da sâu</v>
          </cell>
          <cell r="G25" t="str">
            <v>24 tháng</v>
          </cell>
          <cell r="H25" t="str">
            <v>QLVX-1045-17</v>
          </cell>
          <cell r="I25" t="str">
            <v>Serum Institute of India Private Limited - Ấn Độ</v>
          </cell>
          <cell r="J25" t="str">
            <v>Lọ</v>
          </cell>
          <cell r="K25">
            <v>137550</v>
          </cell>
          <cell r="L25">
            <v>11750</v>
          </cell>
          <cell r="M25">
            <v>7000</v>
          </cell>
          <cell r="N25">
            <v>0</v>
          </cell>
          <cell r="O25">
            <v>600</v>
          </cell>
          <cell r="P25">
            <v>0</v>
          </cell>
          <cell r="Q25">
            <v>0</v>
          </cell>
          <cell r="R25">
            <v>100</v>
          </cell>
          <cell r="S25">
            <v>0</v>
          </cell>
          <cell r="T25">
            <v>300</v>
          </cell>
          <cell r="U25">
            <v>700</v>
          </cell>
          <cell r="V25">
            <v>3000</v>
          </cell>
          <cell r="W25">
            <v>50</v>
          </cell>
          <cell r="X25">
            <v>0</v>
          </cell>
        </row>
        <row r="26">
          <cell r="B26" t="str">
            <v>VC-N5-5</v>
          </cell>
          <cell r="C26" t="str">
            <v>Vắc xin Varicella sống giảm độc lực-Varicella Vaccine-GCC Inj</v>
          </cell>
          <cell r="D26" t="str">
            <v>Vắc xin ngừa Thủy đậu</v>
          </cell>
          <cell r="E26" t="str">
            <v>0,7ml/lọ</v>
          </cell>
          <cell r="F26" t="str">
            <v xml:space="preserve">Hộp/1 lọ, bột đông khô+dung môi pha tiêm, Tiêm dưới da </v>
          </cell>
          <cell r="G26" t="str">
            <v>24 tháng</v>
          </cell>
          <cell r="H26" t="str">
            <v>QLVX-1046-17</v>
          </cell>
          <cell r="I26" t="str">
            <v xml:space="preserve">Green cross corporation-Hàn Quốc </v>
          </cell>
          <cell r="J26" t="str">
            <v>Lọ</v>
          </cell>
          <cell r="K26">
            <v>501000</v>
          </cell>
          <cell r="L26">
            <v>10700</v>
          </cell>
          <cell r="M26">
            <v>7000</v>
          </cell>
          <cell r="N26">
            <v>0</v>
          </cell>
          <cell r="O26">
            <v>0</v>
          </cell>
          <cell r="P26">
            <v>0</v>
          </cell>
          <cell r="Q26">
            <v>0</v>
          </cell>
          <cell r="R26">
            <v>200</v>
          </cell>
          <cell r="S26">
            <v>0</v>
          </cell>
          <cell r="T26">
            <v>0</v>
          </cell>
          <cell r="U26">
            <v>500</v>
          </cell>
          <cell r="V26">
            <v>3000</v>
          </cell>
          <cell r="W26">
            <v>0</v>
          </cell>
          <cell r="X26">
            <v>0</v>
          </cell>
        </row>
        <row r="27">
          <cell r="B27" t="str">
            <v>VC-N5-16</v>
          </cell>
          <cell r="C27" t="str">
            <v>VA Mengoc BC</v>
          </cell>
          <cell r="D27" t="str">
            <v>Vắc xin ngừa viêm não mô cầu BC</v>
          </cell>
          <cell r="E27" t="str">
            <v>Lọ-1 liều 0,5ml</v>
          </cell>
          <cell r="F27" t="str">
            <v>Hộp/10 lọ, hỗn dịch tiêm; tiêm bắp sâu</v>
          </cell>
          <cell r="G27" t="str">
            <v>36 tháng</v>
          </cell>
          <cell r="H27" t="str">
            <v>QLVX-H02-985-16</v>
          </cell>
          <cell r="I27" t="str">
            <v>Instituto Finlay de Vacunas-CuBa</v>
          </cell>
          <cell r="J27" t="str">
            <v>Lọ</v>
          </cell>
          <cell r="K27">
            <v>151200</v>
          </cell>
          <cell r="L27">
            <v>16200</v>
          </cell>
          <cell r="M27">
            <v>10000</v>
          </cell>
          <cell r="N27">
            <v>0</v>
          </cell>
          <cell r="O27">
            <v>0</v>
          </cell>
          <cell r="P27">
            <v>0</v>
          </cell>
          <cell r="Q27">
            <v>0</v>
          </cell>
          <cell r="R27">
            <v>400</v>
          </cell>
          <cell r="S27">
            <v>600</v>
          </cell>
          <cell r="T27">
            <v>0</v>
          </cell>
          <cell r="U27">
            <v>0</v>
          </cell>
          <cell r="V27">
            <v>5000</v>
          </cell>
          <cell r="W27">
            <v>0</v>
          </cell>
          <cell r="X27">
            <v>200</v>
          </cell>
        </row>
        <row r="28">
          <cell r="B28" t="str">
            <v>04 công ty: 16 mặt hàng</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K645"/>
  <sheetViews>
    <sheetView tabSelected="1" topLeftCell="A28" zoomScale="80" zoomScaleNormal="80" workbookViewId="0">
      <selection activeCell="F15" sqref="F15"/>
    </sheetView>
  </sheetViews>
  <sheetFormatPr defaultRowHeight="12.75"/>
  <cols>
    <col min="1" max="1" width="6.5" style="121" customWidth="1"/>
    <col min="2" max="2" width="27.375" style="670" customWidth="1"/>
    <col min="3" max="3" width="23" style="628" customWidth="1"/>
    <col min="4" max="4" width="14.25" style="627" customWidth="1"/>
    <col min="5" max="5" width="29.75" style="628" customWidth="1"/>
    <col min="6" max="6" width="15" style="627" customWidth="1"/>
    <col min="7" max="7" width="8.125" style="627" customWidth="1"/>
    <col min="8" max="8" width="24.625" style="628" customWidth="1"/>
    <col min="9" max="9" width="10.25" style="315" customWidth="1"/>
    <col min="10" max="10" width="13.5" style="315" customWidth="1"/>
    <col min="11" max="11" width="9" style="630"/>
    <col min="12" max="16384" width="9" style="670"/>
  </cols>
  <sheetData>
    <row r="1" spans="1:11" s="654" customFormat="1" ht="18.75">
      <c r="A1" s="114" t="s">
        <v>2626</v>
      </c>
      <c r="C1" s="610"/>
      <c r="D1" s="611"/>
      <c r="F1" s="653" t="s">
        <v>2</v>
      </c>
      <c r="G1" s="611"/>
      <c r="H1" s="610"/>
      <c r="I1" s="297"/>
      <c r="J1" s="297"/>
      <c r="K1" s="613"/>
    </row>
    <row r="2" spans="1:11" s="654" customFormat="1" ht="18.75">
      <c r="A2" s="517" t="s">
        <v>2627</v>
      </c>
      <c r="C2" s="610"/>
      <c r="D2" s="611"/>
      <c r="F2" s="653" t="s">
        <v>3</v>
      </c>
      <c r="G2" s="611"/>
      <c r="H2" s="610"/>
      <c r="I2" s="297"/>
      <c r="J2" s="297"/>
      <c r="K2" s="613"/>
    </row>
    <row r="3" spans="1:11" s="654" customFormat="1" ht="18.75">
      <c r="A3" s="296"/>
      <c r="C3" s="610"/>
      <c r="D3" s="611"/>
      <c r="E3" s="610"/>
      <c r="F3" s="611"/>
      <c r="G3" s="611"/>
      <c r="H3" s="610"/>
      <c r="I3" s="297"/>
      <c r="J3" s="297"/>
      <c r="K3" s="613"/>
    </row>
    <row r="4" spans="1:11" s="654" customFormat="1" ht="18.75">
      <c r="A4" s="296"/>
      <c r="C4" s="610"/>
      <c r="D4" s="611"/>
      <c r="F4" s="611"/>
      <c r="G4" s="611"/>
      <c r="H4" s="610"/>
      <c r="I4" s="705" t="s">
        <v>12687</v>
      </c>
      <c r="J4" s="297"/>
      <c r="K4" s="613"/>
    </row>
    <row r="6" spans="1:11" s="656" customFormat="1" ht="18.75">
      <c r="A6" s="707" t="s">
        <v>12682</v>
      </c>
      <c r="B6" s="707"/>
      <c r="C6" s="707"/>
      <c r="D6" s="707"/>
      <c r="E6" s="707"/>
      <c r="F6" s="707"/>
      <c r="G6" s="707"/>
      <c r="H6" s="707"/>
      <c r="I6" s="707"/>
      <c r="J6" s="707"/>
      <c r="K6" s="655"/>
    </row>
    <row r="7" spans="1:11" s="656" customFormat="1" ht="15.75">
      <c r="A7" s="112"/>
      <c r="C7" s="618"/>
      <c r="D7" s="696"/>
      <c r="E7" s="619"/>
      <c r="F7" s="696"/>
      <c r="G7" s="651"/>
      <c r="H7" s="618"/>
      <c r="I7" s="677"/>
      <c r="J7" s="677"/>
      <c r="K7" s="655"/>
    </row>
    <row r="8" spans="1:11" s="675" customFormat="1" ht="47.25" customHeight="1">
      <c r="A8" s="598" t="s">
        <v>2628</v>
      </c>
      <c r="B8" s="620" t="s">
        <v>214</v>
      </c>
      <c r="C8" s="620" t="s">
        <v>2631</v>
      </c>
      <c r="D8" s="620" t="s">
        <v>2632</v>
      </c>
      <c r="E8" s="620" t="s">
        <v>2633</v>
      </c>
      <c r="F8" s="620" t="s">
        <v>2634</v>
      </c>
      <c r="G8" s="620" t="s">
        <v>2635</v>
      </c>
      <c r="H8" s="620" t="s">
        <v>12681</v>
      </c>
      <c r="I8" s="678" t="s">
        <v>2637</v>
      </c>
      <c r="J8" s="678" t="s">
        <v>12680</v>
      </c>
      <c r="K8" s="674"/>
    </row>
    <row r="9" spans="1:11" s="693" customFormat="1" ht="76.5">
      <c r="A9" s="704" t="s">
        <v>5098</v>
      </c>
      <c r="B9" s="689" t="s">
        <v>2233</v>
      </c>
      <c r="C9" s="689" t="s">
        <v>12683</v>
      </c>
      <c r="D9" s="7" t="s">
        <v>8888</v>
      </c>
      <c r="E9" s="519" t="s">
        <v>12665</v>
      </c>
      <c r="F9" s="690" t="s">
        <v>4602</v>
      </c>
      <c r="G9" s="690" t="s">
        <v>15</v>
      </c>
      <c r="H9" s="519" t="s">
        <v>8887</v>
      </c>
      <c r="I9" s="691">
        <v>55000</v>
      </c>
      <c r="J9" s="692">
        <v>335</v>
      </c>
      <c r="K9" s="703"/>
    </row>
    <row r="10" spans="1:11" s="693" customFormat="1" ht="25.5">
      <c r="A10" s="704" t="s">
        <v>5</v>
      </c>
      <c r="B10" s="689" t="s">
        <v>289</v>
      </c>
      <c r="C10" s="689" t="s">
        <v>500</v>
      </c>
      <c r="D10" s="7" t="s">
        <v>501</v>
      </c>
      <c r="E10" s="519" t="s">
        <v>5343</v>
      </c>
      <c r="F10" s="690" t="s">
        <v>291</v>
      </c>
      <c r="G10" s="690" t="s">
        <v>10</v>
      </c>
      <c r="H10" s="519" t="s">
        <v>5342</v>
      </c>
      <c r="I10" s="691">
        <v>798</v>
      </c>
      <c r="J10" s="692">
        <v>68</v>
      </c>
      <c r="K10" s="703"/>
    </row>
    <row r="11" spans="1:11" s="693" customFormat="1" ht="25.5">
      <c r="A11" s="704" t="s">
        <v>6</v>
      </c>
      <c r="B11" s="689" t="s">
        <v>289</v>
      </c>
      <c r="C11" s="689" t="s">
        <v>4301</v>
      </c>
      <c r="D11" s="7" t="s">
        <v>6830</v>
      </c>
      <c r="E11" s="519" t="s">
        <v>6532</v>
      </c>
      <c r="F11" s="690" t="s">
        <v>258</v>
      </c>
      <c r="G11" s="690" t="s">
        <v>11</v>
      </c>
      <c r="H11" s="519" t="s">
        <v>6829</v>
      </c>
      <c r="I11" s="691">
        <v>4000</v>
      </c>
      <c r="J11" s="692">
        <v>244</v>
      </c>
      <c r="K11" s="703"/>
    </row>
    <row r="12" spans="1:11" s="693" customFormat="1" ht="25.5">
      <c r="A12" s="704" t="s">
        <v>7</v>
      </c>
      <c r="B12" s="689" t="s">
        <v>289</v>
      </c>
      <c r="C12" s="689" t="s">
        <v>500</v>
      </c>
      <c r="D12" s="7" t="s">
        <v>501</v>
      </c>
      <c r="E12" s="519" t="s">
        <v>5343</v>
      </c>
      <c r="F12" s="690" t="s">
        <v>291</v>
      </c>
      <c r="G12" s="690" t="s">
        <v>10</v>
      </c>
      <c r="H12" s="519" t="s">
        <v>5342</v>
      </c>
      <c r="I12" s="691">
        <v>798</v>
      </c>
      <c r="J12" s="692">
        <v>500</v>
      </c>
      <c r="K12" s="703"/>
    </row>
    <row r="13" spans="1:11" s="693" customFormat="1">
      <c r="A13" s="704" t="s">
        <v>5117</v>
      </c>
      <c r="B13" s="689" t="s">
        <v>2038</v>
      </c>
      <c r="C13" s="689" t="s">
        <v>4362</v>
      </c>
      <c r="D13" s="7" t="s">
        <v>2045</v>
      </c>
      <c r="E13" s="519" t="s">
        <v>2046</v>
      </c>
      <c r="F13" s="690" t="s">
        <v>225</v>
      </c>
      <c r="G13" s="690" t="s">
        <v>11</v>
      </c>
      <c r="H13" s="519" t="s">
        <v>6274</v>
      </c>
      <c r="I13" s="691">
        <v>4612</v>
      </c>
      <c r="J13" s="692">
        <v>882</v>
      </c>
      <c r="K13" s="703"/>
    </row>
    <row r="14" spans="1:11" s="693" customFormat="1">
      <c r="A14" s="704" t="s">
        <v>5122</v>
      </c>
      <c r="B14" s="689" t="s">
        <v>2038</v>
      </c>
      <c r="C14" s="689" t="s">
        <v>4362</v>
      </c>
      <c r="D14" s="7" t="s">
        <v>2045</v>
      </c>
      <c r="E14" s="519" t="s">
        <v>2046</v>
      </c>
      <c r="F14" s="690" t="s">
        <v>225</v>
      </c>
      <c r="G14" s="690" t="s">
        <v>11</v>
      </c>
      <c r="H14" s="519" t="s">
        <v>6274</v>
      </c>
      <c r="I14" s="691">
        <v>4612</v>
      </c>
      <c r="J14" s="692">
        <v>5100</v>
      </c>
      <c r="K14" s="703"/>
    </row>
    <row r="15" spans="1:11" s="693" customFormat="1" ht="25.5">
      <c r="A15" s="704" t="s">
        <v>5125</v>
      </c>
      <c r="B15" s="689" t="s">
        <v>2038</v>
      </c>
      <c r="C15" s="689" t="s">
        <v>3763</v>
      </c>
      <c r="D15" s="7" t="s">
        <v>7954</v>
      </c>
      <c r="E15" s="519" t="s">
        <v>7011</v>
      </c>
      <c r="F15" s="690" t="s">
        <v>225</v>
      </c>
      <c r="G15" s="690" t="s">
        <v>11</v>
      </c>
      <c r="H15" s="519" t="s">
        <v>7953</v>
      </c>
      <c r="I15" s="691">
        <v>420</v>
      </c>
      <c r="J15" s="692">
        <v>12000</v>
      </c>
      <c r="K15" s="703"/>
    </row>
    <row r="16" spans="1:11" s="693" customFormat="1" ht="25.5">
      <c r="A16" s="704" t="s">
        <v>5128</v>
      </c>
      <c r="B16" s="689" t="s">
        <v>2038</v>
      </c>
      <c r="C16" s="689" t="s">
        <v>3763</v>
      </c>
      <c r="D16" s="7" t="s">
        <v>7954</v>
      </c>
      <c r="E16" s="519" t="s">
        <v>7011</v>
      </c>
      <c r="F16" s="690" t="s">
        <v>225</v>
      </c>
      <c r="G16" s="690" t="s">
        <v>11</v>
      </c>
      <c r="H16" s="519" t="s">
        <v>7953</v>
      </c>
      <c r="I16" s="691">
        <v>420</v>
      </c>
      <c r="J16" s="692">
        <v>25935</v>
      </c>
      <c r="K16" s="703"/>
    </row>
    <row r="17" spans="1:11" s="693" customFormat="1" ht="25.5">
      <c r="A17" s="704" t="s">
        <v>5131</v>
      </c>
      <c r="B17" s="689" t="s">
        <v>6623</v>
      </c>
      <c r="C17" s="689" t="s">
        <v>3778</v>
      </c>
      <c r="D17" s="7" t="s">
        <v>7491</v>
      </c>
      <c r="E17" s="519" t="s">
        <v>7211</v>
      </c>
      <c r="F17" s="690" t="s">
        <v>1915</v>
      </c>
      <c r="G17" s="690" t="s">
        <v>11</v>
      </c>
      <c r="H17" s="519" t="s">
        <v>7490</v>
      </c>
      <c r="I17" s="691">
        <v>72</v>
      </c>
      <c r="J17" s="692">
        <v>4920</v>
      </c>
      <c r="K17" s="703"/>
    </row>
    <row r="18" spans="1:11" s="693" customFormat="1" ht="25.5">
      <c r="A18" s="704" t="s">
        <v>5142</v>
      </c>
      <c r="B18" s="689" t="s">
        <v>12664</v>
      </c>
      <c r="C18" s="689" t="s">
        <v>3778</v>
      </c>
      <c r="D18" s="7" t="s">
        <v>7491</v>
      </c>
      <c r="E18" s="519" t="s">
        <v>7211</v>
      </c>
      <c r="F18" s="690" t="s">
        <v>1915</v>
      </c>
      <c r="G18" s="690" t="s">
        <v>11</v>
      </c>
      <c r="H18" s="519" t="s">
        <v>7490</v>
      </c>
      <c r="I18" s="691">
        <v>72</v>
      </c>
      <c r="J18" s="692">
        <v>4776</v>
      </c>
      <c r="K18" s="703"/>
    </row>
    <row r="19" spans="1:11" s="693" customFormat="1" ht="25.5">
      <c r="A19" s="704" t="s">
        <v>5147</v>
      </c>
      <c r="B19" s="689" t="s">
        <v>11608</v>
      </c>
      <c r="C19" s="689" t="s">
        <v>7764</v>
      </c>
      <c r="D19" s="7" t="s">
        <v>7766</v>
      </c>
      <c r="E19" s="519" t="s">
        <v>7767</v>
      </c>
      <c r="F19" s="690" t="s">
        <v>1165</v>
      </c>
      <c r="G19" s="690" t="s">
        <v>11</v>
      </c>
      <c r="H19" s="519" t="s">
        <v>7765</v>
      </c>
      <c r="I19" s="691">
        <v>3675</v>
      </c>
      <c r="J19" s="692">
        <v>2730</v>
      </c>
      <c r="K19" s="703"/>
    </row>
    <row r="20" spans="1:11" s="693" customFormat="1" ht="25.5">
      <c r="A20" s="704" t="s">
        <v>5152</v>
      </c>
      <c r="B20" s="689" t="s">
        <v>11608</v>
      </c>
      <c r="C20" s="689" t="s">
        <v>7764</v>
      </c>
      <c r="D20" s="7" t="s">
        <v>7766</v>
      </c>
      <c r="E20" s="519" t="s">
        <v>7767</v>
      </c>
      <c r="F20" s="690" t="s">
        <v>1165</v>
      </c>
      <c r="G20" s="690" t="s">
        <v>11</v>
      </c>
      <c r="H20" s="519" t="s">
        <v>7765</v>
      </c>
      <c r="I20" s="691">
        <v>3675</v>
      </c>
      <c r="J20" s="692">
        <v>3270</v>
      </c>
      <c r="K20" s="703"/>
    </row>
    <row r="21" spans="1:11" s="693" customFormat="1" ht="25.5">
      <c r="A21" s="704" t="s">
        <v>5157</v>
      </c>
      <c r="B21" s="689" t="s">
        <v>639</v>
      </c>
      <c r="C21" s="689" t="s">
        <v>3742</v>
      </c>
      <c r="D21" s="7" t="s">
        <v>7416</v>
      </c>
      <c r="E21" s="519" t="s">
        <v>7211</v>
      </c>
      <c r="F21" s="690" t="s">
        <v>299</v>
      </c>
      <c r="G21" s="690" t="s">
        <v>11</v>
      </c>
      <c r="H21" s="519" t="s">
        <v>7415</v>
      </c>
      <c r="I21" s="691">
        <v>340</v>
      </c>
      <c r="J21" s="692">
        <v>20</v>
      </c>
      <c r="K21" s="703"/>
    </row>
    <row r="22" spans="1:11" s="693" customFormat="1">
      <c r="A22" s="704" t="s">
        <v>5161</v>
      </c>
      <c r="B22" s="689" t="s">
        <v>639</v>
      </c>
      <c r="C22" s="689" t="s">
        <v>4239</v>
      </c>
      <c r="D22" s="7" t="s">
        <v>7412</v>
      </c>
      <c r="E22" s="519" t="s">
        <v>7413</v>
      </c>
      <c r="F22" s="690" t="s">
        <v>2435</v>
      </c>
      <c r="G22" s="690" t="s">
        <v>4240</v>
      </c>
      <c r="H22" s="519" t="s">
        <v>7411</v>
      </c>
      <c r="I22" s="691">
        <v>4095</v>
      </c>
      <c r="J22" s="692">
        <v>51</v>
      </c>
      <c r="K22" s="703"/>
    </row>
    <row r="23" spans="1:11" s="693" customFormat="1">
      <c r="A23" s="704" t="s">
        <v>4578</v>
      </c>
      <c r="B23" s="689" t="s">
        <v>639</v>
      </c>
      <c r="C23" s="689" t="s">
        <v>1717</v>
      </c>
      <c r="D23" s="7" t="s">
        <v>1719</v>
      </c>
      <c r="E23" s="519" t="s">
        <v>1170</v>
      </c>
      <c r="F23" s="690" t="s">
        <v>299</v>
      </c>
      <c r="G23" s="690" t="s">
        <v>11</v>
      </c>
      <c r="H23" s="519" t="s">
        <v>1718</v>
      </c>
      <c r="I23" s="691">
        <v>1200</v>
      </c>
      <c r="J23" s="692">
        <v>151</v>
      </c>
      <c r="K23" s="703"/>
    </row>
    <row r="24" spans="1:11" s="693" customFormat="1" ht="25.5">
      <c r="A24" s="704" t="s">
        <v>5172</v>
      </c>
      <c r="B24" s="689" t="s">
        <v>639</v>
      </c>
      <c r="C24" s="689" t="s">
        <v>7422</v>
      </c>
      <c r="D24" s="7" t="s">
        <v>7423</v>
      </c>
      <c r="E24" s="519" t="s">
        <v>6536</v>
      </c>
      <c r="F24" s="690" t="s">
        <v>641</v>
      </c>
      <c r="G24" s="690" t="s">
        <v>11</v>
      </c>
      <c r="H24" s="519" t="s">
        <v>6893</v>
      </c>
      <c r="I24" s="691">
        <v>3600</v>
      </c>
      <c r="J24" s="692">
        <v>1760</v>
      </c>
      <c r="K24" s="703"/>
    </row>
    <row r="25" spans="1:11" s="693" customFormat="1" ht="25.5">
      <c r="A25" s="704" t="s">
        <v>5180</v>
      </c>
      <c r="B25" s="689" t="s">
        <v>2439</v>
      </c>
      <c r="C25" s="689" t="s">
        <v>2438</v>
      </c>
      <c r="D25" s="7" t="s">
        <v>2671</v>
      </c>
      <c r="E25" s="519" t="s">
        <v>5794</v>
      </c>
      <c r="F25" s="690" t="s">
        <v>2440</v>
      </c>
      <c r="G25" s="690" t="s">
        <v>15</v>
      </c>
      <c r="H25" s="519" t="s">
        <v>5797</v>
      </c>
      <c r="I25" s="691">
        <v>67725</v>
      </c>
      <c r="J25" s="692">
        <v>10</v>
      </c>
      <c r="K25" s="703"/>
    </row>
    <row r="26" spans="1:11" s="693" customFormat="1" ht="38.25">
      <c r="A26" s="704" t="s">
        <v>5186</v>
      </c>
      <c r="B26" s="689" t="s">
        <v>100</v>
      </c>
      <c r="C26" s="689" t="s">
        <v>8853</v>
      </c>
      <c r="D26" s="7" t="s">
        <v>8855</v>
      </c>
      <c r="E26" s="519" t="s">
        <v>2426</v>
      </c>
      <c r="F26" s="690" t="s">
        <v>12407</v>
      </c>
      <c r="G26" s="690" t="s">
        <v>11</v>
      </c>
      <c r="H26" s="519" t="s">
        <v>8854</v>
      </c>
      <c r="I26" s="691">
        <v>1640</v>
      </c>
      <c r="J26" s="692">
        <v>4048</v>
      </c>
      <c r="K26" s="703"/>
    </row>
    <row r="27" spans="1:11" s="693" customFormat="1" ht="25.5">
      <c r="A27" s="704" t="s">
        <v>5189</v>
      </c>
      <c r="B27" s="689" t="s">
        <v>3739</v>
      </c>
      <c r="C27" s="689" t="s">
        <v>1885</v>
      </c>
      <c r="D27" s="7" t="s">
        <v>1886</v>
      </c>
      <c r="E27" s="519" t="s">
        <v>7426</v>
      </c>
      <c r="F27" s="690" t="s">
        <v>235</v>
      </c>
      <c r="G27" s="690" t="s">
        <v>11</v>
      </c>
      <c r="H27" s="519" t="s">
        <v>7425</v>
      </c>
      <c r="I27" s="691">
        <v>2980</v>
      </c>
      <c r="J27" s="692">
        <v>21380</v>
      </c>
      <c r="K27" s="703"/>
    </row>
    <row r="28" spans="1:11" s="693" customFormat="1" ht="25.5">
      <c r="A28" s="704" t="s">
        <v>5199</v>
      </c>
      <c r="B28" s="689" t="s">
        <v>1307</v>
      </c>
      <c r="C28" s="689" t="s">
        <v>4394</v>
      </c>
      <c r="D28" s="7" t="s">
        <v>8091</v>
      </c>
      <c r="E28" s="519" t="s">
        <v>2385</v>
      </c>
      <c r="F28" s="690" t="s">
        <v>1004</v>
      </c>
      <c r="G28" s="690" t="s">
        <v>11</v>
      </c>
      <c r="H28" s="519" t="s">
        <v>8090</v>
      </c>
      <c r="I28" s="691">
        <v>72</v>
      </c>
      <c r="J28" s="692">
        <v>5000</v>
      </c>
      <c r="K28" s="703"/>
    </row>
    <row r="29" spans="1:11" s="693" customFormat="1" ht="25.5">
      <c r="A29" s="704" t="s">
        <v>5205</v>
      </c>
      <c r="B29" s="689" t="s">
        <v>359</v>
      </c>
      <c r="C29" s="689" t="s">
        <v>456</v>
      </c>
      <c r="D29" s="7" t="s">
        <v>457</v>
      </c>
      <c r="E29" s="519" t="s">
        <v>458</v>
      </c>
      <c r="F29" s="690" t="s">
        <v>262</v>
      </c>
      <c r="G29" s="690" t="s">
        <v>10</v>
      </c>
      <c r="H29" s="519" t="s">
        <v>5221</v>
      </c>
      <c r="I29" s="691">
        <v>1780</v>
      </c>
      <c r="J29" s="692">
        <v>63</v>
      </c>
      <c r="K29" s="703"/>
    </row>
    <row r="30" spans="1:11" s="693" customFormat="1" ht="25.5">
      <c r="A30" s="704" t="s">
        <v>5209</v>
      </c>
      <c r="B30" s="689" t="s">
        <v>359</v>
      </c>
      <c r="C30" s="689" t="s">
        <v>456</v>
      </c>
      <c r="D30" s="7" t="s">
        <v>457</v>
      </c>
      <c r="E30" s="519" t="s">
        <v>458</v>
      </c>
      <c r="F30" s="690" t="s">
        <v>262</v>
      </c>
      <c r="G30" s="690" t="s">
        <v>10</v>
      </c>
      <c r="H30" s="519" t="s">
        <v>5221</v>
      </c>
      <c r="I30" s="691">
        <v>1780</v>
      </c>
      <c r="J30" s="692">
        <v>464</v>
      </c>
      <c r="K30" s="703"/>
    </row>
    <row r="31" spans="1:11" s="693" customFormat="1">
      <c r="A31" s="704" t="s">
        <v>5210</v>
      </c>
      <c r="B31" s="689" t="s">
        <v>359</v>
      </c>
      <c r="C31" s="689" t="s">
        <v>1532</v>
      </c>
      <c r="D31" s="7" t="s">
        <v>6207</v>
      </c>
      <c r="E31" s="519" t="s">
        <v>458</v>
      </c>
      <c r="F31" s="690" t="s">
        <v>258</v>
      </c>
      <c r="G31" s="690" t="s">
        <v>11</v>
      </c>
      <c r="H31" s="519" t="s">
        <v>12677</v>
      </c>
      <c r="I31" s="691">
        <v>1750</v>
      </c>
      <c r="J31" s="692">
        <v>1000</v>
      </c>
      <c r="K31" s="703"/>
    </row>
    <row r="32" spans="1:11" s="693" customFormat="1" ht="25.5">
      <c r="A32" s="704" t="s">
        <v>5218</v>
      </c>
      <c r="B32" s="689" t="s">
        <v>1311</v>
      </c>
      <c r="C32" s="689" t="s">
        <v>1720</v>
      </c>
      <c r="D32" s="7" t="s">
        <v>1721</v>
      </c>
      <c r="E32" s="519" t="s">
        <v>6102</v>
      </c>
      <c r="F32" s="690" t="s">
        <v>1313</v>
      </c>
      <c r="G32" s="690" t="s">
        <v>11</v>
      </c>
      <c r="H32" s="519" t="s">
        <v>6704</v>
      </c>
      <c r="I32" s="691">
        <v>1000</v>
      </c>
      <c r="J32" s="692">
        <v>6</v>
      </c>
      <c r="K32" s="703"/>
    </row>
    <row r="33" spans="1:11" s="693" customFormat="1" ht="25.5">
      <c r="A33" s="704" t="s">
        <v>5223</v>
      </c>
      <c r="B33" s="689" t="s">
        <v>1311</v>
      </c>
      <c r="C33" s="689" t="s">
        <v>1720</v>
      </c>
      <c r="D33" s="7" t="s">
        <v>1721</v>
      </c>
      <c r="E33" s="519" t="s">
        <v>6102</v>
      </c>
      <c r="F33" s="690" t="s">
        <v>1313</v>
      </c>
      <c r="G33" s="690" t="s">
        <v>11</v>
      </c>
      <c r="H33" s="519" t="s">
        <v>6704</v>
      </c>
      <c r="I33" s="691">
        <v>1000</v>
      </c>
      <c r="J33" s="692">
        <v>138</v>
      </c>
      <c r="K33" s="703"/>
    </row>
    <row r="34" spans="1:11" s="693" customFormat="1" ht="25.5">
      <c r="A34" s="704" t="s">
        <v>5226</v>
      </c>
      <c r="B34" s="689" t="s">
        <v>1311</v>
      </c>
      <c r="C34" s="689" t="s">
        <v>1720</v>
      </c>
      <c r="D34" s="7" t="s">
        <v>1721</v>
      </c>
      <c r="E34" s="519" t="s">
        <v>6102</v>
      </c>
      <c r="F34" s="690" t="s">
        <v>1313</v>
      </c>
      <c r="G34" s="690" t="s">
        <v>11</v>
      </c>
      <c r="H34" s="519" t="s">
        <v>6704</v>
      </c>
      <c r="I34" s="691">
        <v>1000</v>
      </c>
      <c r="J34" s="692">
        <v>7742</v>
      </c>
      <c r="K34" s="703"/>
    </row>
    <row r="35" spans="1:11" s="693" customFormat="1" ht="38.25">
      <c r="A35" s="704" t="s">
        <v>5228</v>
      </c>
      <c r="B35" s="689" t="s">
        <v>6212</v>
      </c>
      <c r="C35" s="689" t="s">
        <v>6214</v>
      </c>
      <c r="D35" s="7" t="s">
        <v>6216</v>
      </c>
      <c r="E35" s="519" t="s">
        <v>2097</v>
      </c>
      <c r="F35" s="690" t="s">
        <v>6213</v>
      </c>
      <c r="G35" s="690" t="s">
        <v>12</v>
      </c>
      <c r="H35" s="519" t="s">
        <v>6215</v>
      </c>
      <c r="I35" s="691">
        <v>3751</v>
      </c>
      <c r="J35" s="692">
        <v>397</v>
      </c>
      <c r="K35" s="703"/>
    </row>
    <row r="36" spans="1:11" s="693" customFormat="1" ht="25.5">
      <c r="A36" s="704" t="s">
        <v>5235</v>
      </c>
      <c r="B36" s="689" t="s">
        <v>1315</v>
      </c>
      <c r="C36" s="689" t="s">
        <v>3767</v>
      </c>
      <c r="D36" s="7" t="s">
        <v>7975</v>
      </c>
      <c r="E36" s="519" t="s">
        <v>7015</v>
      </c>
      <c r="F36" s="690" t="s">
        <v>267</v>
      </c>
      <c r="G36" s="690" t="s">
        <v>11</v>
      </c>
      <c r="H36" s="519" t="s">
        <v>7974</v>
      </c>
      <c r="I36" s="691">
        <v>100</v>
      </c>
      <c r="J36" s="692">
        <v>17786</v>
      </c>
      <c r="K36" s="703"/>
    </row>
    <row r="37" spans="1:11" s="693" customFormat="1" ht="25.5">
      <c r="A37" s="704" t="s">
        <v>5243</v>
      </c>
      <c r="B37" s="689" t="s">
        <v>2445</v>
      </c>
      <c r="C37" s="689" t="s">
        <v>6804</v>
      </c>
      <c r="D37" s="7" t="s">
        <v>6806</v>
      </c>
      <c r="E37" s="519" t="s">
        <v>485</v>
      </c>
      <c r="F37" s="690" t="s">
        <v>6803</v>
      </c>
      <c r="G37" s="690" t="s">
        <v>11</v>
      </c>
      <c r="H37" s="519" t="s">
        <v>6805</v>
      </c>
      <c r="I37" s="691">
        <v>2380</v>
      </c>
      <c r="J37" s="692">
        <v>4789</v>
      </c>
      <c r="K37" s="703"/>
    </row>
    <row r="38" spans="1:11" s="693" customFormat="1" ht="25.5">
      <c r="A38" s="704" t="s">
        <v>5244</v>
      </c>
      <c r="B38" s="689" t="s">
        <v>4345</v>
      </c>
      <c r="C38" s="689" t="s">
        <v>4344</v>
      </c>
      <c r="D38" s="7" t="s">
        <v>7978</v>
      </c>
      <c r="E38" s="519" t="s">
        <v>7211</v>
      </c>
      <c r="F38" s="690" t="s">
        <v>869</v>
      </c>
      <c r="G38" s="690" t="s">
        <v>11</v>
      </c>
      <c r="H38" s="519" t="s">
        <v>7931</v>
      </c>
      <c r="I38" s="691">
        <v>465</v>
      </c>
      <c r="J38" s="692">
        <v>1200</v>
      </c>
      <c r="K38" s="703"/>
    </row>
    <row r="39" spans="1:11" s="693" customFormat="1" ht="25.5">
      <c r="A39" s="704" t="s">
        <v>5248</v>
      </c>
      <c r="B39" s="689" t="s">
        <v>4345</v>
      </c>
      <c r="C39" s="689" t="s">
        <v>4344</v>
      </c>
      <c r="D39" s="7" t="s">
        <v>7978</v>
      </c>
      <c r="E39" s="519" t="s">
        <v>7211</v>
      </c>
      <c r="F39" s="690" t="s">
        <v>869</v>
      </c>
      <c r="G39" s="690" t="s">
        <v>11</v>
      </c>
      <c r="H39" s="519" t="s">
        <v>7931</v>
      </c>
      <c r="I39" s="691">
        <v>465</v>
      </c>
      <c r="J39" s="692">
        <v>3660</v>
      </c>
      <c r="K39" s="703"/>
    </row>
    <row r="40" spans="1:11" s="693" customFormat="1" ht="25.5">
      <c r="A40" s="704" t="s">
        <v>5249</v>
      </c>
      <c r="B40" s="689" t="s">
        <v>1480</v>
      </c>
      <c r="C40" s="689" t="s">
        <v>3971</v>
      </c>
      <c r="D40" s="7" t="s">
        <v>6928</v>
      </c>
      <c r="E40" s="519" t="s">
        <v>6929</v>
      </c>
      <c r="F40" s="690" t="s">
        <v>1512</v>
      </c>
      <c r="G40" s="690" t="s">
        <v>520</v>
      </c>
      <c r="H40" s="519" t="s">
        <v>6927</v>
      </c>
      <c r="I40" s="691">
        <v>3350</v>
      </c>
      <c r="J40" s="692">
        <v>9</v>
      </c>
      <c r="K40" s="703"/>
    </row>
    <row r="41" spans="1:11" s="693" customFormat="1" ht="25.5">
      <c r="A41" s="704" t="s">
        <v>5256</v>
      </c>
      <c r="B41" s="689" t="s">
        <v>1480</v>
      </c>
      <c r="C41" s="689" t="s">
        <v>3971</v>
      </c>
      <c r="D41" s="7" t="s">
        <v>6928</v>
      </c>
      <c r="E41" s="519" t="s">
        <v>6929</v>
      </c>
      <c r="F41" s="690" t="s">
        <v>1512</v>
      </c>
      <c r="G41" s="690" t="s">
        <v>520</v>
      </c>
      <c r="H41" s="519" t="s">
        <v>6927</v>
      </c>
      <c r="I41" s="691">
        <v>3350</v>
      </c>
      <c r="J41" s="692">
        <v>1900</v>
      </c>
      <c r="K41" s="703"/>
    </row>
    <row r="42" spans="1:11" s="693" customFormat="1" ht="38.25">
      <c r="A42" s="704" t="s">
        <v>5257</v>
      </c>
      <c r="B42" s="689" t="s">
        <v>1480</v>
      </c>
      <c r="C42" s="689" t="s">
        <v>5770</v>
      </c>
      <c r="D42" s="7" t="s">
        <v>5772</v>
      </c>
      <c r="E42" s="519" t="s">
        <v>1812</v>
      </c>
      <c r="F42" s="690" t="s">
        <v>310</v>
      </c>
      <c r="G42" s="690" t="s">
        <v>11</v>
      </c>
      <c r="H42" s="519" t="s">
        <v>5771</v>
      </c>
      <c r="I42" s="691">
        <v>1100</v>
      </c>
      <c r="J42" s="692">
        <v>6200</v>
      </c>
      <c r="K42" s="703"/>
    </row>
    <row r="43" spans="1:11" s="693" customFormat="1" ht="38.25">
      <c r="A43" s="704" t="s">
        <v>5260</v>
      </c>
      <c r="B43" s="689" t="s">
        <v>1480</v>
      </c>
      <c r="C43" s="689" t="s">
        <v>5770</v>
      </c>
      <c r="D43" s="7" t="s">
        <v>5772</v>
      </c>
      <c r="E43" s="519" t="s">
        <v>1812</v>
      </c>
      <c r="F43" s="690" t="s">
        <v>310</v>
      </c>
      <c r="G43" s="690" t="s">
        <v>11</v>
      </c>
      <c r="H43" s="519" t="s">
        <v>5771</v>
      </c>
      <c r="I43" s="691">
        <v>1100</v>
      </c>
      <c r="J43" s="692">
        <v>6800</v>
      </c>
      <c r="K43" s="703"/>
    </row>
    <row r="44" spans="1:11" s="693" customFormat="1">
      <c r="A44" s="704" t="s">
        <v>5262</v>
      </c>
      <c r="B44" s="689" t="s">
        <v>4950</v>
      </c>
      <c r="C44" s="689" t="s">
        <v>4949</v>
      </c>
      <c r="D44" s="7" t="s">
        <v>5447</v>
      </c>
      <c r="E44" s="519" t="s">
        <v>530</v>
      </c>
      <c r="F44" s="690" t="s">
        <v>4951</v>
      </c>
      <c r="G44" s="690" t="s">
        <v>628</v>
      </c>
      <c r="H44" s="519" t="s">
        <v>5446</v>
      </c>
      <c r="I44" s="691">
        <v>8274</v>
      </c>
      <c r="J44" s="692">
        <v>10</v>
      </c>
      <c r="K44" s="703"/>
    </row>
    <row r="45" spans="1:11" s="693" customFormat="1" ht="25.5">
      <c r="A45" s="704" t="s">
        <v>5265</v>
      </c>
      <c r="B45" s="689" t="s">
        <v>3890</v>
      </c>
      <c r="C45" s="689" t="s">
        <v>3891</v>
      </c>
      <c r="D45" s="7" t="s">
        <v>5648</v>
      </c>
      <c r="E45" s="519" t="s">
        <v>298</v>
      </c>
      <c r="F45" s="690" t="s">
        <v>3892</v>
      </c>
      <c r="G45" s="690" t="s">
        <v>520</v>
      </c>
      <c r="H45" s="519" t="s">
        <v>5647</v>
      </c>
      <c r="I45" s="691">
        <v>30048</v>
      </c>
      <c r="J45" s="692">
        <v>18</v>
      </c>
      <c r="K45" s="703"/>
    </row>
    <row r="46" spans="1:11" s="693" customFormat="1" ht="25.5">
      <c r="A46" s="704" t="s">
        <v>5269</v>
      </c>
      <c r="B46" s="689" t="s">
        <v>3890</v>
      </c>
      <c r="C46" s="689" t="s">
        <v>3891</v>
      </c>
      <c r="D46" s="7" t="s">
        <v>5648</v>
      </c>
      <c r="E46" s="519" t="s">
        <v>298</v>
      </c>
      <c r="F46" s="690" t="s">
        <v>3892</v>
      </c>
      <c r="G46" s="690" t="s">
        <v>520</v>
      </c>
      <c r="H46" s="519" t="s">
        <v>5647</v>
      </c>
      <c r="I46" s="691">
        <v>30048</v>
      </c>
      <c r="J46" s="692">
        <v>30</v>
      </c>
      <c r="K46" s="703"/>
    </row>
    <row r="47" spans="1:11" s="693" customFormat="1" ht="38.25">
      <c r="A47" s="704" t="s">
        <v>5274</v>
      </c>
      <c r="B47" s="689" t="s">
        <v>347</v>
      </c>
      <c r="C47" s="689" t="s">
        <v>4790</v>
      </c>
      <c r="D47" s="7" t="s">
        <v>349</v>
      </c>
      <c r="E47" s="519" t="s">
        <v>350</v>
      </c>
      <c r="F47" s="690" t="s">
        <v>327</v>
      </c>
      <c r="G47" s="690" t="s">
        <v>10</v>
      </c>
      <c r="H47" s="519" t="s">
        <v>5107</v>
      </c>
      <c r="I47" s="691">
        <v>254</v>
      </c>
      <c r="J47" s="692">
        <v>43</v>
      </c>
      <c r="K47" s="703"/>
    </row>
    <row r="48" spans="1:11" s="693" customFormat="1" ht="25.5">
      <c r="A48" s="704" t="s">
        <v>5280</v>
      </c>
      <c r="B48" s="689" t="s">
        <v>347</v>
      </c>
      <c r="C48" s="689" t="s">
        <v>858</v>
      </c>
      <c r="D48" s="7" t="s">
        <v>860</v>
      </c>
      <c r="E48" s="519" t="s">
        <v>7635</v>
      </c>
      <c r="F48" s="690" t="s">
        <v>238</v>
      </c>
      <c r="G48" s="690" t="s">
        <v>11</v>
      </c>
      <c r="H48" s="519" t="s">
        <v>7634</v>
      </c>
      <c r="I48" s="691">
        <v>335</v>
      </c>
      <c r="J48" s="692">
        <v>2116</v>
      </c>
      <c r="K48" s="703"/>
    </row>
    <row r="49" spans="1:11" s="693" customFormat="1">
      <c r="A49" s="704" t="s">
        <v>5282</v>
      </c>
      <c r="B49" s="689" t="s">
        <v>347</v>
      </c>
      <c r="C49" s="689" t="s">
        <v>3772</v>
      </c>
      <c r="D49" s="7" t="s">
        <v>6072</v>
      </c>
      <c r="E49" s="519" t="s">
        <v>954</v>
      </c>
      <c r="F49" s="690" t="s">
        <v>238</v>
      </c>
      <c r="G49" s="690" t="s">
        <v>11</v>
      </c>
      <c r="H49" s="519" t="s">
        <v>6071</v>
      </c>
      <c r="I49" s="691">
        <v>1009</v>
      </c>
      <c r="J49" s="692">
        <v>7280</v>
      </c>
      <c r="K49" s="703"/>
    </row>
    <row r="50" spans="1:11" s="693" customFormat="1">
      <c r="A50" s="704" t="s">
        <v>5287</v>
      </c>
      <c r="B50" s="689" t="s">
        <v>347</v>
      </c>
      <c r="C50" s="689" t="s">
        <v>3772</v>
      </c>
      <c r="D50" s="7" t="s">
        <v>6072</v>
      </c>
      <c r="E50" s="519" t="s">
        <v>954</v>
      </c>
      <c r="F50" s="690" t="s">
        <v>238</v>
      </c>
      <c r="G50" s="690" t="s">
        <v>11</v>
      </c>
      <c r="H50" s="519" t="s">
        <v>6071</v>
      </c>
      <c r="I50" s="691">
        <v>1009</v>
      </c>
      <c r="J50" s="692">
        <v>9990</v>
      </c>
      <c r="K50" s="703"/>
    </row>
    <row r="51" spans="1:11" s="693" customFormat="1">
      <c r="A51" s="704" t="s">
        <v>5292</v>
      </c>
      <c r="B51" s="689" t="s">
        <v>347</v>
      </c>
      <c r="C51" s="689" t="s">
        <v>361</v>
      </c>
      <c r="D51" s="7" t="s">
        <v>362</v>
      </c>
      <c r="E51" s="519" t="s">
        <v>360</v>
      </c>
      <c r="F51" s="690" t="s">
        <v>327</v>
      </c>
      <c r="G51" s="690" t="s">
        <v>10</v>
      </c>
      <c r="H51" s="519" t="s">
        <v>5103</v>
      </c>
      <c r="I51" s="691">
        <v>81</v>
      </c>
      <c r="J51" s="692">
        <v>14288</v>
      </c>
      <c r="K51" s="703"/>
    </row>
    <row r="52" spans="1:11" s="693" customFormat="1">
      <c r="A52" s="704" t="s">
        <v>5297</v>
      </c>
      <c r="B52" s="689" t="s">
        <v>7638</v>
      </c>
      <c r="C52" s="689" t="s">
        <v>7640</v>
      </c>
      <c r="D52" s="7" t="s">
        <v>7642</v>
      </c>
      <c r="E52" s="519" t="s">
        <v>463</v>
      </c>
      <c r="F52" s="690" t="s">
        <v>7639</v>
      </c>
      <c r="G52" s="690" t="s">
        <v>11</v>
      </c>
      <c r="H52" s="519" t="s">
        <v>7641</v>
      </c>
      <c r="I52" s="691">
        <v>3150</v>
      </c>
      <c r="J52" s="692">
        <v>200</v>
      </c>
      <c r="K52" s="703"/>
    </row>
    <row r="53" spans="1:11" s="693" customFormat="1">
      <c r="A53" s="704" t="s">
        <v>5300</v>
      </c>
      <c r="B53" s="689" t="s">
        <v>7638</v>
      </c>
      <c r="C53" s="689" t="s">
        <v>7640</v>
      </c>
      <c r="D53" s="7" t="s">
        <v>7642</v>
      </c>
      <c r="E53" s="519" t="s">
        <v>463</v>
      </c>
      <c r="F53" s="690" t="s">
        <v>7639</v>
      </c>
      <c r="G53" s="690" t="s">
        <v>11</v>
      </c>
      <c r="H53" s="519" t="s">
        <v>7641</v>
      </c>
      <c r="I53" s="691">
        <v>3150</v>
      </c>
      <c r="J53" s="692">
        <v>247</v>
      </c>
      <c r="K53" s="703"/>
    </row>
    <row r="54" spans="1:11" s="693" customFormat="1">
      <c r="A54" s="704" t="s">
        <v>5305</v>
      </c>
      <c r="B54" s="689" t="s">
        <v>7638</v>
      </c>
      <c r="C54" s="689" t="s">
        <v>7640</v>
      </c>
      <c r="D54" s="7" t="s">
        <v>7642</v>
      </c>
      <c r="E54" s="519" t="s">
        <v>463</v>
      </c>
      <c r="F54" s="690" t="s">
        <v>7639</v>
      </c>
      <c r="G54" s="690" t="s">
        <v>11</v>
      </c>
      <c r="H54" s="519" t="s">
        <v>7641</v>
      </c>
      <c r="I54" s="691">
        <v>3150</v>
      </c>
      <c r="J54" s="692">
        <v>8940</v>
      </c>
      <c r="K54" s="703"/>
    </row>
    <row r="55" spans="1:11" s="693" customFormat="1" ht="38.25">
      <c r="A55" s="704" t="s">
        <v>5309</v>
      </c>
      <c r="B55" s="689" t="s">
        <v>4399</v>
      </c>
      <c r="C55" s="689" t="s">
        <v>4398</v>
      </c>
      <c r="D55" s="7" t="s">
        <v>8441</v>
      </c>
      <c r="E55" s="519" t="s">
        <v>2114</v>
      </c>
      <c r="F55" s="690" t="s">
        <v>4400</v>
      </c>
      <c r="G55" s="690" t="s">
        <v>11</v>
      </c>
      <c r="H55" s="519" t="s">
        <v>8440</v>
      </c>
      <c r="I55" s="691">
        <v>12482</v>
      </c>
      <c r="J55" s="692">
        <v>349</v>
      </c>
      <c r="K55" s="703"/>
    </row>
    <row r="56" spans="1:11" s="693" customFormat="1" ht="38.25">
      <c r="A56" s="704" t="s">
        <v>5313</v>
      </c>
      <c r="B56" s="689" t="s">
        <v>4399</v>
      </c>
      <c r="C56" s="689" t="s">
        <v>4398</v>
      </c>
      <c r="D56" s="7" t="s">
        <v>8441</v>
      </c>
      <c r="E56" s="519" t="s">
        <v>2114</v>
      </c>
      <c r="F56" s="690" t="s">
        <v>4400</v>
      </c>
      <c r="G56" s="690" t="s">
        <v>11</v>
      </c>
      <c r="H56" s="519" t="s">
        <v>8440</v>
      </c>
      <c r="I56" s="691">
        <v>12482</v>
      </c>
      <c r="J56" s="692">
        <v>2940</v>
      </c>
      <c r="K56" s="703"/>
    </row>
    <row r="57" spans="1:11" s="693" customFormat="1">
      <c r="A57" s="704" t="s">
        <v>5318</v>
      </c>
      <c r="B57" s="689" t="s">
        <v>649</v>
      </c>
      <c r="C57" s="689" t="s">
        <v>650</v>
      </c>
      <c r="D57" s="7" t="s">
        <v>6075</v>
      </c>
      <c r="E57" s="519" t="s">
        <v>245</v>
      </c>
      <c r="F57" s="690" t="s">
        <v>651</v>
      </c>
      <c r="G57" s="690" t="s">
        <v>11</v>
      </c>
      <c r="H57" s="519" t="s">
        <v>6074</v>
      </c>
      <c r="I57" s="691">
        <v>4725</v>
      </c>
      <c r="J57" s="692">
        <v>1662</v>
      </c>
      <c r="K57" s="703"/>
    </row>
    <row r="58" spans="1:11" s="693" customFormat="1">
      <c r="A58" s="704" t="s">
        <v>5322</v>
      </c>
      <c r="B58" s="689" t="s">
        <v>649</v>
      </c>
      <c r="C58" s="689" t="s">
        <v>650</v>
      </c>
      <c r="D58" s="7" t="s">
        <v>6075</v>
      </c>
      <c r="E58" s="519" t="s">
        <v>245</v>
      </c>
      <c r="F58" s="690" t="s">
        <v>651</v>
      </c>
      <c r="G58" s="690" t="s">
        <v>11</v>
      </c>
      <c r="H58" s="519" t="s">
        <v>6074</v>
      </c>
      <c r="I58" s="691">
        <v>4725</v>
      </c>
      <c r="J58" s="692">
        <v>3000</v>
      </c>
      <c r="K58" s="703"/>
    </row>
    <row r="59" spans="1:11" s="693" customFormat="1" ht="25.5">
      <c r="A59" s="704" t="s">
        <v>5327</v>
      </c>
      <c r="B59" s="689" t="s">
        <v>411</v>
      </c>
      <c r="C59" s="689" t="s">
        <v>1192</v>
      </c>
      <c r="D59" s="7" t="s">
        <v>1194</v>
      </c>
      <c r="E59" s="519" t="s">
        <v>6536</v>
      </c>
      <c r="F59" s="690" t="s">
        <v>272</v>
      </c>
      <c r="G59" s="690" t="s">
        <v>13</v>
      </c>
      <c r="H59" s="519" t="s">
        <v>7233</v>
      </c>
      <c r="I59" s="691">
        <v>536</v>
      </c>
      <c r="J59" s="692">
        <v>241</v>
      </c>
      <c r="K59" s="703"/>
    </row>
    <row r="60" spans="1:11" s="693" customFormat="1" ht="25.5">
      <c r="A60" s="704" t="s">
        <v>5333</v>
      </c>
      <c r="B60" s="689" t="s">
        <v>411</v>
      </c>
      <c r="C60" s="689" t="s">
        <v>5870</v>
      </c>
      <c r="D60" s="7" t="s">
        <v>5872</v>
      </c>
      <c r="E60" s="519" t="s">
        <v>955</v>
      </c>
      <c r="F60" s="690" t="s">
        <v>272</v>
      </c>
      <c r="G60" s="690" t="s">
        <v>13</v>
      </c>
      <c r="H60" s="519" t="s">
        <v>5871</v>
      </c>
      <c r="I60" s="691">
        <v>5090</v>
      </c>
      <c r="J60" s="692">
        <v>617</v>
      </c>
      <c r="K60" s="703"/>
    </row>
    <row r="61" spans="1:11" s="693" customFormat="1" ht="25.5">
      <c r="A61" s="704" t="s">
        <v>5035</v>
      </c>
      <c r="B61" s="689" t="s">
        <v>411</v>
      </c>
      <c r="C61" s="689" t="s">
        <v>1192</v>
      </c>
      <c r="D61" s="7" t="s">
        <v>1194</v>
      </c>
      <c r="E61" s="519" t="s">
        <v>6536</v>
      </c>
      <c r="F61" s="690" t="s">
        <v>272</v>
      </c>
      <c r="G61" s="690" t="s">
        <v>13</v>
      </c>
      <c r="H61" s="519" t="s">
        <v>7233</v>
      </c>
      <c r="I61" s="691">
        <v>536</v>
      </c>
      <c r="J61" s="692">
        <v>840</v>
      </c>
      <c r="K61" s="703"/>
    </row>
    <row r="62" spans="1:11" s="693" customFormat="1">
      <c r="A62" s="704" t="s">
        <v>5339</v>
      </c>
      <c r="B62" s="689" t="s">
        <v>683</v>
      </c>
      <c r="C62" s="689" t="s">
        <v>4465</v>
      </c>
      <c r="D62" s="7" t="s">
        <v>5877</v>
      </c>
      <c r="E62" s="519" t="s">
        <v>5878</v>
      </c>
      <c r="F62" s="690" t="s">
        <v>2554</v>
      </c>
      <c r="G62" s="690" t="s">
        <v>658</v>
      </c>
      <c r="H62" s="519" t="s">
        <v>5876</v>
      </c>
      <c r="I62" s="691">
        <v>38997</v>
      </c>
      <c r="J62" s="692">
        <v>3</v>
      </c>
      <c r="K62" s="703"/>
    </row>
    <row r="63" spans="1:11" s="693" customFormat="1">
      <c r="A63" s="704" t="s">
        <v>5344</v>
      </c>
      <c r="B63" s="689" t="s">
        <v>683</v>
      </c>
      <c r="C63" s="689" t="s">
        <v>4801</v>
      </c>
      <c r="D63" s="7" t="s">
        <v>220</v>
      </c>
      <c r="E63" s="519" t="s">
        <v>217</v>
      </c>
      <c r="F63" s="690" t="s">
        <v>219</v>
      </c>
      <c r="G63" s="690" t="s">
        <v>10</v>
      </c>
      <c r="H63" s="519" t="s">
        <v>5345</v>
      </c>
      <c r="I63" s="691">
        <v>2375</v>
      </c>
      <c r="J63" s="692">
        <v>42</v>
      </c>
      <c r="K63" s="703"/>
    </row>
    <row r="64" spans="1:11" s="693" customFormat="1" ht="38.25">
      <c r="A64" s="704" t="s">
        <v>5346</v>
      </c>
      <c r="B64" s="689" t="s">
        <v>683</v>
      </c>
      <c r="C64" s="689" t="s">
        <v>5883</v>
      </c>
      <c r="D64" s="7" t="s">
        <v>5885</v>
      </c>
      <c r="E64" s="519" t="s">
        <v>2731</v>
      </c>
      <c r="F64" s="690" t="s">
        <v>5882</v>
      </c>
      <c r="G64" s="690" t="s">
        <v>15</v>
      </c>
      <c r="H64" s="519" t="s">
        <v>5884</v>
      </c>
      <c r="I64" s="691">
        <v>83000</v>
      </c>
      <c r="J64" s="692">
        <v>98</v>
      </c>
      <c r="K64" s="703"/>
    </row>
    <row r="65" spans="1:11" s="693" customFormat="1" ht="25.5">
      <c r="A65" s="704" t="s">
        <v>5349</v>
      </c>
      <c r="B65" s="689" t="s">
        <v>683</v>
      </c>
      <c r="C65" s="689" t="s">
        <v>4532</v>
      </c>
      <c r="D65" s="7" t="s">
        <v>7244</v>
      </c>
      <c r="E65" s="519" t="s">
        <v>1449</v>
      </c>
      <c r="F65" s="690" t="s">
        <v>4533</v>
      </c>
      <c r="G65" s="690" t="s">
        <v>12</v>
      </c>
      <c r="H65" s="519" t="s">
        <v>7243</v>
      </c>
      <c r="I65" s="691">
        <v>1717</v>
      </c>
      <c r="J65" s="692">
        <v>2712</v>
      </c>
      <c r="K65" s="703"/>
    </row>
    <row r="66" spans="1:11" s="693" customFormat="1" ht="25.5">
      <c r="A66" s="704" t="s">
        <v>5350</v>
      </c>
      <c r="B66" s="689" t="s">
        <v>9825</v>
      </c>
      <c r="C66" s="689" t="s">
        <v>1152</v>
      </c>
      <c r="D66" s="697" t="s">
        <v>1154</v>
      </c>
      <c r="E66" s="519" t="s">
        <v>12655</v>
      </c>
      <c r="F66" s="690" t="s">
        <v>2954</v>
      </c>
      <c r="G66" s="690" t="s">
        <v>11</v>
      </c>
      <c r="H66" s="519" t="s">
        <v>12660</v>
      </c>
      <c r="I66" s="691">
        <v>1600</v>
      </c>
      <c r="J66" s="692">
        <v>1</v>
      </c>
      <c r="K66" s="703"/>
    </row>
    <row r="67" spans="1:11" s="693" customFormat="1">
      <c r="A67" s="704" t="s">
        <v>5352</v>
      </c>
      <c r="B67" s="689" t="s">
        <v>363</v>
      </c>
      <c r="C67" s="689" t="s">
        <v>3539</v>
      </c>
      <c r="D67" s="7" t="s">
        <v>426</v>
      </c>
      <c r="E67" s="519" t="s">
        <v>427</v>
      </c>
      <c r="F67" s="690" t="s">
        <v>291</v>
      </c>
      <c r="G67" s="690" t="s">
        <v>10</v>
      </c>
      <c r="H67" s="519" t="s">
        <v>5103</v>
      </c>
      <c r="I67" s="691">
        <v>750</v>
      </c>
      <c r="J67" s="692">
        <v>4916</v>
      </c>
      <c r="K67" s="703"/>
    </row>
    <row r="68" spans="1:11" s="693" customFormat="1" ht="38.25">
      <c r="A68" s="704" t="s">
        <v>3725</v>
      </c>
      <c r="B68" s="689" t="s">
        <v>365</v>
      </c>
      <c r="C68" s="689" t="s">
        <v>3785</v>
      </c>
      <c r="D68" s="7" t="s">
        <v>7770</v>
      </c>
      <c r="E68" s="519" t="s">
        <v>7001</v>
      </c>
      <c r="F68" s="690" t="s">
        <v>238</v>
      </c>
      <c r="G68" s="690" t="s">
        <v>11</v>
      </c>
      <c r="H68" s="519" t="s">
        <v>7769</v>
      </c>
      <c r="I68" s="691">
        <v>128</v>
      </c>
      <c r="J68" s="692">
        <v>4</v>
      </c>
      <c r="K68" s="703"/>
    </row>
    <row r="69" spans="1:11" s="693" customFormat="1">
      <c r="A69" s="704" t="s">
        <v>5356</v>
      </c>
      <c r="B69" s="689" t="s">
        <v>365</v>
      </c>
      <c r="C69" s="689" t="s">
        <v>366</v>
      </c>
      <c r="D69" s="7" t="s">
        <v>367</v>
      </c>
      <c r="E69" s="519" t="s">
        <v>360</v>
      </c>
      <c r="F69" s="690" t="s">
        <v>235</v>
      </c>
      <c r="G69" s="690" t="s">
        <v>10</v>
      </c>
      <c r="H69" s="519" t="s">
        <v>5103</v>
      </c>
      <c r="I69" s="691">
        <v>232</v>
      </c>
      <c r="J69" s="692">
        <v>5</v>
      </c>
      <c r="K69" s="703"/>
    </row>
    <row r="70" spans="1:11" s="693" customFormat="1">
      <c r="A70" s="704" t="s">
        <v>5358</v>
      </c>
      <c r="B70" s="689" t="s">
        <v>365</v>
      </c>
      <c r="C70" s="689" t="s">
        <v>366</v>
      </c>
      <c r="D70" s="7" t="s">
        <v>367</v>
      </c>
      <c r="E70" s="519" t="s">
        <v>360</v>
      </c>
      <c r="F70" s="690" t="s">
        <v>235</v>
      </c>
      <c r="G70" s="690" t="s">
        <v>10</v>
      </c>
      <c r="H70" s="519" t="s">
        <v>5103</v>
      </c>
      <c r="I70" s="691">
        <v>232</v>
      </c>
      <c r="J70" s="692">
        <v>227</v>
      </c>
      <c r="K70" s="703"/>
    </row>
    <row r="71" spans="1:11" s="693" customFormat="1" ht="38.25">
      <c r="A71" s="704" t="s">
        <v>5359</v>
      </c>
      <c r="B71" s="689" t="s">
        <v>337</v>
      </c>
      <c r="C71" s="689" t="s">
        <v>6597</v>
      </c>
      <c r="D71" s="7" t="s">
        <v>6599</v>
      </c>
      <c r="E71" s="519" t="s">
        <v>6600</v>
      </c>
      <c r="F71" s="690" t="s">
        <v>272</v>
      </c>
      <c r="G71" s="690" t="s">
        <v>11</v>
      </c>
      <c r="H71" s="519" t="s">
        <v>6598</v>
      </c>
      <c r="I71" s="691">
        <v>2800</v>
      </c>
      <c r="J71" s="692">
        <v>380</v>
      </c>
      <c r="K71" s="703"/>
    </row>
    <row r="72" spans="1:11" s="693" customFormat="1" ht="25.5">
      <c r="A72" s="704" t="s">
        <v>5361</v>
      </c>
      <c r="B72" s="689" t="s">
        <v>337</v>
      </c>
      <c r="C72" s="689" t="s">
        <v>1947</v>
      </c>
      <c r="D72" s="7" t="s">
        <v>1949</v>
      </c>
      <c r="E72" s="519" t="s">
        <v>1946</v>
      </c>
      <c r="F72" s="690" t="s">
        <v>1200</v>
      </c>
      <c r="G72" s="690" t="s">
        <v>13</v>
      </c>
      <c r="H72" s="519" t="s">
        <v>8266</v>
      </c>
      <c r="I72" s="691">
        <v>2499</v>
      </c>
      <c r="J72" s="692">
        <v>1278</v>
      </c>
      <c r="K72" s="703"/>
    </row>
    <row r="73" spans="1:11" s="693" customFormat="1" ht="25.5">
      <c r="A73" s="704" t="s">
        <v>5363</v>
      </c>
      <c r="B73" s="689" t="s">
        <v>337</v>
      </c>
      <c r="C73" s="689" t="s">
        <v>1947</v>
      </c>
      <c r="D73" s="7" t="s">
        <v>1949</v>
      </c>
      <c r="E73" s="519" t="s">
        <v>1946</v>
      </c>
      <c r="F73" s="690" t="s">
        <v>1200</v>
      </c>
      <c r="G73" s="690" t="s">
        <v>13</v>
      </c>
      <c r="H73" s="519" t="s">
        <v>8266</v>
      </c>
      <c r="I73" s="691">
        <v>2499</v>
      </c>
      <c r="J73" s="692">
        <v>1500</v>
      </c>
      <c r="K73" s="703"/>
    </row>
    <row r="74" spans="1:11" s="693" customFormat="1" ht="51">
      <c r="A74" s="704" t="s">
        <v>5365</v>
      </c>
      <c r="B74" s="689" t="s">
        <v>4668</v>
      </c>
      <c r="C74" s="689" t="s">
        <v>4667</v>
      </c>
      <c r="D74" s="7" t="s">
        <v>8714</v>
      </c>
      <c r="E74" s="519" t="s">
        <v>2253</v>
      </c>
      <c r="F74" s="690" t="s">
        <v>4669</v>
      </c>
      <c r="G74" s="690" t="s">
        <v>11</v>
      </c>
      <c r="H74" s="519" t="s">
        <v>8616</v>
      </c>
      <c r="I74" s="691">
        <v>1150</v>
      </c>
      <c r="J74" s="692">
        <v>2057</v>
      </c>
      <c r="K74" s="703"/>
    </row>
    <row r="75" spans="1:11" s="693" customFormat="1" ht="25.5">
      <c r="A75" s="704" t="s">
        <v>5367</v>
      </c>
      <c r="B75" s="689" t="s">
        <v>2482</v>
      </c>
      <c r="C75" s="689" t="s">
        <v>2950</v>
      </c>
      <c r="D75" s="7" t="s">
        <v>2951</v>
      </c>
      <c r="E75" s="519" t="s">
        <v>8012</v>
      </c>
      <c r="F75" s="690" t="s">
        <v>2483</v>
      </c>
      <c r="G75" s="690" t="s">
        <v>13</v>
      </c>
      <c r="H75" s="519" t="s">
        <v>8011</v>
      </c>
      <c r="I75" s="691">
        <v>5460</v>
      </c>
      <c r="J75" s="692">
        <v>10700</v>
      </c>
      <c r="K75" s="703"/>
    </row>
    <row r="76" spans="1:11" s="693" customFormat="1" ht="25.5">
      <c r="A76" s="704" t="s">
        <v>5371</v>
      </c>
      <c r="B76" s="689" t="s">
        <v>3953</v>
      </c>
      <c r="C76" s="689" t="s">
        <v>3952</v>
      </c>
      <c r="D76" s="7" t="s">
        <v>8007</v>
      </c>
      <c r="E76" s="519" t="s">
        <v>1151</v>
      </c>
      <c r="F76" s="690" t="s">
        <v>3954</v>
      </c>
      <c r="G76" s="690" t="s">
        <v>520</v>
      </c>
      <c r="H76" s="519" t="s">
        <v>8006</v>
      </c>
      <c r="I76" s="691">
        <v>5500</v>
      </c>
      <c r="J76" s="692">
        <v>600</v>
      </c>
      <c r="K76" s="703"/>
    </row>
    <row r="77" spans="1:11" s="693" customFormat="1" ht="25.5">
      <c r="A77" s="704" t="s">
        <v>5373</v>
      </c>
      <c r="B77" s="689" t="s">
        <v>3953</v>
      </c>
      <c r="C77" s="689" t="s">
        <v>3952</v>
      </c>
      <c r="D77" s="7" t="s">
        <v>8007</v>
      </c>
      <c r="E77" s="519" t="s">
        <v>1151</v>
      </c>
      <c r="F77" s="690" t="s">
        <v>3954</v>
      </c>
      <c r="G77" s="690" t="s">
        <v>520</v>
      </c>
      <c r="H77" s="519" t="s">
        <v>8006</v>
      </c>
      <c r="I77" s="691">
        <v>5500</v>
      </c>
      <c r="J77" s="692">
        <v>22000</v>
      </c>
      <c r="K77" s="703"/>
    </row>
    <row r="78" spans="1:11" s="693" customFormat="1" ht="25.5">
      <c r="A78" s="704" t="s">
        <v>5377</v>
      </c>
      <c r="B78" s="689" t="s">
        <v>2449</v>
      </c>
      <c r="C78" s="689" t="s">
        <v>3795</v>
      </c>
      <c r="D78" s="7" t="s">
        <v>8251</v>
      </c>
      <c r="E78" s="519" t="s">
        <v>621</v>
      </c>
      <c r="F78" s="690" t="s">
        <v>238</v>
      </c>
      <c r="G78" s="690" t="s">
        <v>11</v>
      </c>
      <c r="H78" s="519" t="s">
        <v>6644</v>
      </c>
      <c r="I78" s="691">
        <v>490</v>
      </c>
      <c r="J78" s="692">
        <v>1168</v>
      </c>
      <c r="K78" s="703"/>
    </row>
    <row r="79" spans="1:11" s="693" customFormat="1" ht="63.75">
      <c r="A79" s="704" t="s">
        <v>5380</v>
      </c>
      <c r="B79" s="689" t="s">
        <v>8626</v>
      </c>
      <c r="C79" s="689" t="s">
        <v>12374</v>
      </c>
      <c r="D79" s="7" t="s">
        <v>8630</v>
      </c>
      <c r="E79" s="519" t="s">
        <v>8290</v>
      </c>
      <c r="F79" s="690" t="s">
        <v>12375</v>
      </c>
      <c r="G79" s="690" t="s">
        <v>11</v>
      </c>
      <c r="H79" s="519" t="s">
        <v>8629</v>
      </c>
      <c r="I79" s="691">
        <v>2700</v>
      </c>
      <c r="J79" s="692">
        <v>19980</v>
      </c>
      <c r="K79" s="703"/>
    </row>
    <row r="80" spans="1:11" s="693" customFormat="1" ht="38.25">
      <c r="A80" s="704" t="s">
        <v>5036</v>
      </c>
      <c r="B80" s="689" t="s">
        <v>1494</v>
      </c>
      <c r="C80" s="689" t="s">
        <v>6466</v>
      </c>
      <c r="D80" s="7" t="s">
        <v>6468</v>
      </c>
      <c r="E80" s="519" t="s">
        <v>6293</v>
      </c>
      <c r="F80" s="690" t="s">
        <v>2050</v>
      </c>
      <c r="G80" s="690" t="s">
        <v>11</v>
      </c>
      <c r="H80" s="519" t="s">
        <v>6467</v>
      </c>
      <c r="I80" s="691">
        <v>5962</v>
      </c>
      <c r="J80" s="692">
        <v>2000</v>
      </c>
      <c r="K80" s="703"/>
    </row>
    <row r="81" spans="1:11" s="693" customFormat="1" ht="38.25">
      <c r="A81" s="704" t="s">
        <v>5387</v>
      </c>
      <c r="B81" s="689" t="s">
        <v>1195</v>
      </c>
      <c r="C81" s="689" t="s">
        <v>1196</v>
      </c>
      <c r="D81" s="7" t="s">
        <v>7990</v>
      </c>
      <c r="E81" s="519" t="s">
        <v>6536</v>
      </c>
      <c r="F81" s="690" t="s">
        <v>327</v>
      </c>
      <c r="G81" s="690" t="s">
        <v>11</v>
      </c>
      <c r="H81" s="519" t="s">
        <v>7989</v>
      </c>
      <c r="I81" s="691">
        <v>250</v>
      </c>
      <c r="J81" s="692">
        <v>500</v>
      </c>
      <c r="K81" s="703"/>
    </row>
    <row r="82" spans="1:11" s="693" customFormat="1">
      <c r="A82" s="704" t="s">
        <v>5388</v>
      </c>
      <c r="B82" s="689" t="s">
        <v>624</v>
      </c>
      <c r="C82" s="689" t="s">
        <v>3827</v>
      </c>
      <c r="D82" s="7" t="s">
        <v>8279</v>
      </c>
      <c r="E82" s="519" t="s">
        <v>463</v>
      </c>
      <c r="F82" s="690" t="s">
        <v>327</v>
      </c>
      <c r="G82" s="690" t="s">
        <v>11</v>
      </c>
      <c r="H82" s="519" t="s">
        <v>8278</v>
      </c>
      <c r="I82" s="691">
        <v>480</v>
      </c>
      <c r="J82" s="692">
        <v>1</v>
      </c>
      <c r="K82" s="703"/>
    </row>
    <row r="83" spans="1:11" s="693" customFormat="1">
      <c r="A83" s="704" t="s">
        <v>5390</v>
      </c>
      <c r="B83" s="689" t="s">
        <v>624</v>
      </c>
      <c r="C83" s="689" t="s">
        <v>3827</v>
      </c>
      <c r="D83" s="7" t="s">
        <v>8279</v>
      </c>
      <c r="E83" s="519" t="s">
        <v>463</v>
      </c>
      <c r="F83" s="690" t="s">
        <v>327</v>
      </c>
      <c r="G83" s="690" t="s">
        <v>11</v>
      </c>
      <c r="H83" s="519" t="s">
        <v>8278</v>
      </c>
      <c r="I83" s="691">
        <v>480</v>
      </c>
      <c r="J83" s="692">
        <v>53</v>
      </c>
      <c r="K83" s="703"/>
    </row>
    <row r="84" spans="1:11" s="693" customFormat="1" ht="25.5">
      <c r="A84" s="704" t="s">
        <v>5394</v>
      </c>
      <c r="B84" s="689" t="s">
        <v>624</v>
      </c>
      <c r="C84" s="689" t="s">
        <v>3825</v>
      </c>
      <c r="D84" s="7" t="s">
        <v>8276</v>
      </c>
      <c r="E84" s="519" t="s">
        <v>463</v>
      </c>
      <c r="F84" s="690" t="s">
        <v>625</v>
      </c>
      <c r="G84" s="690" t="s">
        <v>11</v>
      </c>
      <c r="H84" s="519" t="s">
        <v>8275</v>
      </c>
      <c r="I84" s="691">
        <v>380</v>
      </c>
      <c r="J84" s="692">
        <v>87</v>
      </c>
      <c r="K84" s="703"/>
    </row>
    <row r="85" spans="1:11" s="693" customFormat="1" ht="25.5">
      <c r="A85" s="704" t="s">
        <v>5399</v>
      </c>
      <c r="B85" s="689" t="s">
        <v>624</v>
      </c>
      <c r="C85" s="689" t="s">
        <v>3825</v>
      </c>
      <c r="D85" s="7" t="s">
        <v>8276</v>
      </c>
      <c r="E85" s="519" t="s">
        <v>463</v>
      </c>
      <c r="F85" s="690" t="s">
        <v>625</v>
      </c>
      <c r="G85" s="690" t="s">
        <v>11</v>
      </c>
      <c r="H85" s="519" t="s">
        <v>8275</v>
      </c>
      <c r="I85" s="691">
        <v>380</v>
      </c>
      <c r="J85" s="692">
        <v>196</v>
      </c>
      <c r="K85" s="703"/>
    </row>
    <row r="86" spans="1:11" s="693" customFormat="1" ht="25.5">
      <c r="A86" s="704" t="s">
        <v>5400</v>
      </c>
      <c r="B86" s="689" t="s">
        <v>624</v>
      </c>
      <c r="C86" s="689" t="s">
        <v>1641</v>
      </c>
      <c r="D86" s="7" t="s">
        <v>1643</v>
      </c>
      <c r="E86" s="519" t="s">
        <v>6552</v>
      </c>
      <c r="F86" s="690" t="s">
        <v>625</v>
      </c>
      <c r="G86" s="690" t="s">
        <v>11</v>
      </c>
      <c r="H86" s="519" t="s">
        <v>6550</v>
      </c>
      <c r="I86" s="691">
        <v>384</v>
      </c>
      <c r="J86" s="692">
        <v>7666</v>
      </c>
      <c r="K86" s="703"/>
    </row>
    <row r="87" spans="1:11" s="693" customFormat="1" ht="25.5">
      <c r="A87" s="704" t="s">
        <v>5405</v>
      </c>
      <c r="B87" s="689" t="s">
        <v>624</v>
      </c>
      <c r="C87" s="689" t="s">
        <v>6085</v>
      </c>
      <c r="D87" s="7" t="s">
        <v>6087</v>
      </c>
      <c r="E87" s="519" t="s">
        <v>6088</v>
      </c>
      <c r="F87" s="690" t="s">
        <v>327</v>
      </c>
      <c r="G87" s="690" t="s">
        <v>11</v>
      </c>
      <c r="H87" s="519" t="s">
        <v>6086</v>
      </c>
      <c r="I87" s="691">
        <v>1407</v>
      </c>
      <c r="J87" s="692">
        <v>9990</v>
      </c>
      <c r="K87" s="703"/>
    </row>
    <row r="88" spans="1:11" s="693" customFormat="1" ht="25.5">
      <c r="A88" s="704" t="s">
        <v>5407</v>
      </c>
      <c r="B88" s="689" t="s">
        <v>1096</v>
      </c>
      <c r="C88" s="689" t="s">
        <v>3831</v>
      </c>
      <c r="D88" s="7" t="s">
        <v>1099</v>
      </c>
      <c r="E88" s="519" t="s">
        <v>6532</v>
      </c>
      <c r="F88" s="690" t="s">
        <v>1098</v>
      </c>
      <c r="G88" s="690" t="s">
        <v>11</v>
      </c>
      <c r="H88" s="519" t="s">
        <v>6693</v>
      </c>
      <c r="I88" s="691">
        <v>1800</v>
      </c>
      <c r="J88" s="692">
        <v>2610</v>
      </c>
      <c r="K88" s="703"/>
    </row>
    <row r="89" spans="1:11" s="693" customFormat="1" ht="25.5">
      <c r="A89" s="704" t="s">
        <v>5408</v>
      </c>
      <c r="B89" s="689" t="s">
        <v>1096</v>
      </c>
      <c r="C89" s="689" t="s">
        <v>3831</v>
      </c>
      <c r="D89" s="7" t="s">
        <v>1099</v>
      </c>
      <c r="E89" s="519" t="s">
        <v>6532</v>
      </c>
      <c r="F89" s="690" t="s">
        <v>1098</v>
      </c>
      <c r="G89" s="690" t="s">
        <v>11</v>
      </c>
      <c r="H89" s="519" t="s">
        <v>6693</v>
      </c>
      <c r="I89" s="691">
        <v>1800</v>
      </c>
      <c r="J89" s="692">
        <v>3000</v>
      </c>
      <c r="K89" s="703"/>
    </row>
    <row r="90" spans="1:11" s="693" customFormat="1" ht="25.5">
      <c r="A90" s="704" t="s">
        <v>5037</v>
      </c>
      <c r="B90" s="689" t="s">
        <v>12387</v>
      </c>
      <c r="C90" s="689" t="s">
        <v>8634</v>
      </c>
      <c r="D90" s="7" t="s">
        <v>8636</v>
      </c>
      <c r="E90" s="519" t="s">
        <v>8603</v>
      </c>
      <c r="F90" s="690" t="s">
        <v>272</v>
      </c>
      <c r="G90" s="690" t="s">
        <v>11</v>
      </c>
      <c r="H90" s="519" t="s">
        <v>8635</v>
      </c>
      <c r="I90" s="691">
        <v>1900</v>
      </c>
      <c r="J90" s="692">
        <v>2857</v>
      </c>
      <c r="K90" s="703"/>
    </row>
    <row r="91" spans="1:11" s="693" customFormat="1">
      <c r="A91" s="704" t="s">
        <v>5414</v>
      </c>
      <c r="B91" s="689" t="s">
        <v>695</v>
      </c>
      <c r="C91" s="689" t="s">
        <v>3552</v>
      </c>
      <c r="D91" s="7" t="s">
        <v>6963</v>
      </c>
      <c r="E91" s="519" t="s">
        <v>336</v>
      </c>
      <c r="F91" s="690" t="s">
        <v>390</v>
      </c>
      <c r="G91" s="690" t="s">
        <v>11</v>
      </c>
      <c r="H91" s="519" t="s">
        <v>6962</v>
      </c>
      <c r="I91" s="691">
        <v>49</v>
      </c>
      <c r="J91" s="692">
        <v>14</v>
      </c>
      <c r="K91" s="703"/>
    </row>
    <row r="92" spans="1:11" s="693" customFormat="1" ht="25.5">
      <c r="A92" s="704" t="s">
        <v>5416</v>
      </c>
      <c r="B92" s="689" t="s">
        <v>695</v>
      </c>
      <c r="C92" s="689" t="s">
        <v>3838</v>
      </c>
      <c r="D92" s="7" t="s">
        <v>6942</v>
      </c>
      <c r="E92" s="519" t="s">
        <v>621</v>
      </c>
      <c r="F92" s="690" t="s">
        <v>2474</v>
      </c>
      <c r="G92" s="690" t="s">
        <v>15</v>
      </c>
      <c r="H92" s="519" t="s">
        <v>6940</v>
      </c>
      <c r="I92" s="691">
        <v>9345</v>
      </c>
      <c r="J92" s="692">
        <v>55</v>
      </c>
      <c r="K92" s="703"/>
    </row>
    <row r="93" spans="1:11" s="693" customFormat="1">
      <c r="A93" s="704" t="s">
        <v>5421</v>
      </c>
      <c r="B93" s="689" t="s">
        <v>695</v>
      </c>
      <c r="C93" s="689" t="s">
        <v>4813</v>
      </c>
      <c r="D93" s="7" t="s">
        <v>454</v>
      </c>
      <c r="E93" s="519" t="s">
        <v>455</v>
      </c>
      <c r="F93" s="690" t="s">
        <v>369</v>
      </c>
      <c r="G93" s="690" t="s">
        <v>10</v>
      </c>
      <c r="H93" s="519" t="s">
        <v>5159</v>
      </c>
      <c r="I93" s="691">
        <v>786</v>
      </c>
      <c r="J93" s="692">
        <v>399</v>
      </c>
      <c r="K93" s="703"/>
    </row>
    <row r="94" spans="1:11" s="693" customFormat="1" ht="25.5">
      <c r="A94" s="704" t="s">
        <v>5423</v>
      </c>
      <c r="B94" s="689" t="s">
        <v>695</v>
      </c>
      <c r="C94" s="689" t="s">
        <v>3815</v>
      </c>
      <c r="D94" s="7" t="s">
        <v>6945</v>
      </c>
      <c r="E94" s="519" t="s">
        <v>6946</v>
      </c>
      <c r="F94" s="690" t="s">
        <v>3816</v>
      </c>
      <c r="G94" s="690" t="s">
        <v>12</v>
      </c>
      <c r="H94" s="519" t="s">
        <v>6944</v>
      </c>
      <c r="I94" s="691">
        <v>1806</v>
      </c>
      <c r="J94" s="692">
        <v>4710</v>
      </c>
      <c r="K94" s="703"/>
    </row>
    <row r="95" spans="1:11" s="693" customFormat="1">
      <c r="A95" s="704" t="s">
        <v>5426</v>
      </c>
      <c r="B95" s="689" t="s">
        <v>695</v>
      </c>
      <c r="C95" s="689" t="s">
        <v>368</v>
      </c>
      <c r="D95" s="7" t="s">
        <v>370</v>
      </c>
      <c r="E95" s="519" t="s">
        <v>360</v>
      </c>
      <c r="F95" s="690" t="s">
        <v>369</v>
      </c>
      <c r="G95" s="690" t="s">
        <v>10</v>
      </c>
      <c r="H95" s="519" t="s">
        <v>5357</v>
      </c>
      <c r="I95" s="691">
        <v>34</v>
      </c>
      <c r="J95" s="692">
        <v>12502</v>
      </c>
      <c r="K95" s="703"/>
    </row>
    <row r="96" spans="1:11" s="693" customFormat="1">
      <c r="A96" s="704" t="s">
        <v>5428</v>
      </c>
      <c r="B96" s="689" t="s">
        <v>695</v>
      </c>
      <c r="C96" s="689" t="s">
        <v>368</v>
      </c>
      <c r="D96" s="7" t="s">
        <v>370</v>
      </c>
      <c r="E96" s="519" t="s">
        <v>360</v>
      </c>
      <c r="F96" s="690" t="s">
        <v>369</v>
      </c>
      <c r="G96" s="690" t="s">
        <v>10</v>
      </c>
      <c r="H96" s="519" t="s">
        <v>5357</v>
      </c>
      <c r="I96" s="691">
        <v>34</v>
      </c>
      <c r="J96" s="692">
        <v>34685</v>
      </c>
      <c r="K96" s="703"/>
    </row>
    <row r="97" spans="1:11" s="693" customFormat="1">
      <c r="A97" s="704" t="s">
        <v>5430</v>
      </c>
      <c r="B97" s="689" t="s">
        <v>2485</v>
      </c>
      <c r="C97" s="689" t="s">
        <v>8371</v>
      </c>
      <c r="D97" s="7" t="s">
        <v>8373</v>
      </c>
      <c r="E97" s="519" t="s">
        <v>8374</v>
      </c>
      <c r="F97" s="690" t="s">
        <v>2486</v>
      </c>
      <c r="G97" s="690" t="s">
        <v>11</v>
      </c>
      <c r="H97" s="519" t="s">
        <v>8372</v>
      </c>
      <c r="I97" s="691">
        <v>1400</v>
      </c>
      <c r="J97" s="692">
        <v>2500</v>
      </c>
      <c r="K97" s="703"/>
    </row>
    <row r="98" spans="1:11" s="693" customFormat="1" ht="25.5">
      <c r="A98" s="704" t="s">
        <v>5432</v>
      </c>
      <c r="B98" s="689" t="s">
        <v>1961</v>
      </c>
      <c r="C98" s="689" t="s">
        <v>1962</v>
      </c>
      <c r="D98" s="7" t="s">
        <v>1964</v>
      </c>
      <c r="E98" s="519" t="s">
        <v>1946</v>
      </c>
      <c r="F98" s="690" t="s">
        <v>1963</v>
      </c>
      <c r="G98" s="690" t="s">
        <v>11</v>
      </c>
      <c r="H98" s="519" t="s">
        <v>7090</v>
      </c>
      <c r="I98" s="691">
        <v>1197</v>
      </c>
      <c r="J98" s="692">
        <v>6388</v>
      </c>
      <c r="K98" s="703"/>
    </row>
    <row r="99" spans="1:11" s="693" customFormat="1" ht="25.5">
      <c r="A99" s="704" t="s">
        <v>5436</v>
      </c>
      <c r="B99" s="689" t="s">
        <v>4998</v>
      </c>
      <c r="C99" s="689" t="s">
        <v>12468</v>
      </c>
      <c r="D99" s="7" t="s">
        <v>6514</v>
      </c>
      <c r="E99" s="519" t="s">
        <v>6515</v>
      </c>
      <c r="F99" s="690" t="s">
        <v>1959</v>
      </c>
      <c r="G99" s="690" t="s">
        <v>11</v>
      </c>
      <c r="H99" s="519" t="s">
        <v>6513</v>
      </c>
      <c r="I99" s="691">
        <v>3500</v>
      </c>
      <c r="J99" s="692">
        <v>10</v>
      </c>
      <c r="K99" s="703"/>
    </row>
    <row r="100" spans="1:11" s="693" customFormat="1" ht="25.5">
      <c r="A100" s="704" t="s">
        <v>5441</v>
      </c>
      <c r="B100" s="689" t="s">
        <v>4998</v>
      </c>
      <c r="C100" s="689" t="s">
        <v>12468</v>
      </c>
      <c r="D100" s="7" t="s">
        <v>6514</v>
      </c>
      <c r="E100" s="519" t="s">
        <v>6515</v>
      </c>
      <c r="F100" s="690" t="s">
        <v>1959</v>
      </c>
      <c r="G100" s="690" t="s">
        <v>11</v>
      </c>
      <c r="H100" s="519" t="s">
        <v>6513</v>
      </c>
      <c r="I100" s="691">
        <v>3500</v>
      </c>
      <c r="J100" s="692">
        <v>348</v>
      </c>
      <c r="K100" s="703"/>
    </row>
    <row r="101" spans="1:11" s="693" customFormat="1" ht="25.5">
      <c r="A101" s="704" t="s">
        <v>5444</v>
      </c>
      <c r="B101" s="689" t="s">
        <v>4998</v>
      </c>
      <c r="C101" s="689" t="s">
        <v>12468</v>
      </c>
      <c r="D101" s="7" t="s">
        <v>6514</v>
      </c>
      <c r="E101" s="519" t="s">
        <v>6515</v>
      </c>
      <c r="F101" s="690" t="s">
        <v>1959</v>
      </c>
      <c r="G101" s="690" t="s">
        <v>11</v>
      </c>
      <c r="H101" s="519" t="s">
        <v>6513</v>
      </c>
      <c r="I101" s="691">
        <v>3500</v>
      </c>
      <c r="J101" s="692">
        <v>4204</v>
      </c>
      <c r="K101" s="703"/>
    </row>
    <row r="102" spans="1:11" s="693" customFormat="1" ht="25.5">
      <c r="A102" s="704" t="s">
        <v>5448</v>
      </c>
      <c r="B102" s="689" t="s">
        <v>4998</v>
      </c>
      <c r="C102" s="689" t="s">
        <v>12468</v>
      </c>
      <c r="D102" s="7" t="s">
        <v>6514</v>
      </c>
      <c r="E102" s="519" t="s">
        <v>6515</v>
      </c>
      <c r="F102" s="690" t="s">
        <v>1959</v>
      </c>
      <c r="G102" s="690" t="s">
        <v>11</v>
      </c>
      <c r="H102" s="519" t="s">
        <v>6513</v>
      </c>
      <c r="I102" s="691">
        <v>3500</v>
      </c>
      <c r="J102" s="692">
        <v>6000</v>
      </c>
      <c r="K102" s="703"/>
    </row>
    <row r="103" spans="1:11" s="693" customFormat="1" ht="25.5">
      <c r="A103" s="704" t="s">
        <v>5449</v>
      </c>
      <c r="B103" s="689" t="s">
        <v>4998</v>
      </c>
      <c r="C103" s="689" t="s">
        <v>12468</v>
      </c>
      <c r="D103" s="7" t="s">
        <v>6514</v>
      </c>
      <c r="E103" s="519" t="s">
        <v>6515</v>
      </c>
      <c r="F103" s="690" t="s">
        <v>1959</v>
      </c>
      <c r="G103" s="690" t="s">
        <v>11</v>
      </c>
      <c r="H103" s="519" t="s">
        <v>6513</v>
      </c>
      <c r="I103" s="691">
        <v>3500</v>
      </c>
      <c r="J103" s="692">
        <v>8200</v>
      </c>
      <c r="K103" s="703"/>
    </row>
    <row r="104" spans="1:11" s="693" customFormat="1" ht="25.5">
      <c r="A104" s="704" t="s">
        <v>5454</v>
      </c>
      <c r="B104" s="689" t="s">
        <v>4998</v>
      </c>
      <c r="C104" s="689" t="s">
        <v>12468</v>
      </c>
      <c r="D104" s="7" t="s">
        <v>6514</v>
      </c>
      <c r="E104" s="519" t="s">
        <v>6515</v>
      </c>
      <c r="F104" s="690" t="s">
        <v>1959</v>
      </c>
      <c r="G104" s="690" t="s">
        <v>11</v>
      </c>
      <c r="H104" s="519" t="s">
        <v>6513</v>
      </c>
      <c r="I104" s="691">
        <v>3500</v>
      </c>
      <c r="J104" s="692">
        <v>10000</v>
      </c>
      <c r="K104" s="703"/>
    </row>
    <row r="105" spans="1:11" s="693" customFormat="1" ht="25.5">
      <c r="A105" s="704" t="s">
        <v>5456</v>
      </c>
      <c r="B105" s="689" t="s">
        <v>4998</v>
      </c>
      <c r="C105" s="689" t="s">
        <v>12468</v>
      </c>
      <c r="D105" s="7" t="s">
        <v>6514</v>
      </c>
      <c r="E105" s="519" t="s">
        <v>6515</v>
      </c>
      <c r="F105" s="690" t="s">
        <v>1959</v>
      </c>
      <c r="G105" s="690" t="s">
        <v>11</v>
      </c>
      <c r="H105" s="519" t="s">
        <v>6513</v>
      </c>
      <c r="I105" s="691">
        <v>3500</v>
      </c>
      <c r="J105" s="692">
        <v>11900</v>
      </c>
      <c r="K105" s="703"/>
    </row>
    <row r="106" spans="1:11" s="693" customFormat="1" ht="25.5">
      <c r="A106" s="704" t="s">
        <v>5458</v>
      </c>
      <c r="B106" s="689" t="s">
        <v>4998</v>
      </c>
      <c r="C106" s="689" t="s">
        <v>4997</v>
      </c>
      <c r="D106" s="7" t="s">
        <v>7088</v>
      </c>
      <c r="E106" s="519" t="s">
        <v>1946</v>
      </c>
      <c r="F106" s="690" t="s">
        <v>4999</v>
      </c>
      <c r="G106" s="690" t="s">
        <v>11</v>
      </c>
      <c r="H106" s="519" t="s">
        <v>7087</v>
      </c>
      <c r="I106" s="691">
        <v>1785</v>
      </c>
      <c r="J106" s="692">
        <v>13812</v>
      </c>
      <c r="K106" s="703"/>
    </row>
    <row r="107" spans="1:11" s="693" customFormat="1" ht="25.5">
      <c r="A107" s="704" t="s">
        <v>5462</v>
      </c>
      <c r="B107" s="689" t="s">
        <v>5013</v>
      </c>
      <c r="C107" s="689" t="s">
        <v>7118</v>
      </c>
      <c r="D107" s="7" t="s">
        <v>7120</v>
      </c>
      <c r="E107" s="519" t="s">
        <v>621</v>
      </c>
      <c r="F107" s="690" t="s">
        <v>12663</v>
      </c>
      <c r="G107" s="690" t="s">
        <v>520</v>
      </c>
      <c r="H107" s="519" t="s">
        <v>7119</v>
      </c>
      <c r="I107" s="691">
        <v>1407</v>
      </c>
      <c r="J107" s="692">
        <v>7828</v>
      </c>
      <c r="K107" s="703"/>
    </row>
    <row r="108" spans="1:11" s="693" customFormat="1" ht="25.5">
      <c r="A108" s="704" t="s">
        <v>5464</v>
      </c>
      <c r="B108" s="689" t="s">
        <v>5013</v>
      </c>
      <c r="C108" s="689" t="s">
        <v>5012</v>
      </c>
      <c r="D108" s="7" t="s">
        <v>5823</v>
      </c>
      <c r="E108" s="519" t="s">
        <v>2097</v>
      </c>
      <c r="F108" s="690" t="s">
        <v>8962</v>
      </c>
      <c r="G108" s="690" t="s">
        <v>520</v>
      </c>
      <c r="H108" s="519" t="s">
        <v>5822</v>
      </c>
      <c r="I108" s="691">
        <v>5163</v>
      </c>
      <c r="J108" s="692">
        <v>9100</v>
      </c>
      <c r="K108" s="703"/>
    </row>
    <row r="109" spans="1:11" s="693" customFormat="1" ht="25.5">
      <c r="A109" s="704" t="s">
        <v>5466</v>
      </c>
      <c r="B109" s="689" t="s">
        <v>702</v>
      </c>
      <c r="C109" s="689" t="s">
        <v>5817</v>
      </c>
      <c r="D109" s="7" t="s">
        <v>12668</v>
      </c>
      <c r="E109" s="519" t="s">
        <v>458</v>
      </c>
      <c r="F109" s="690" t="s">
        <v>262</v>
      </c>
      <c r="G109" s="690" t="s">
        <v>11</v>
      </c>
      <c r="H109" s="519" t="s">
        <v>12667</v>
      </c>
      <c r="I109" s="691">
        <v>2000</v>
      </c>
      <c r="J109" s="692">
        <v>2785</v>
      </c>
      <c r="K109" s="703"/>
    </row>
    <row r="110" spans="1:11" s="693" customFormat="1">
      <c r="A110" s="704" t="s">
        <v>5467</v>
      </c>
      <c r="B110" s="689" t="s">
        <v>702</v>
      </c>
      <c r="C110" s="689" t="s">
        <v>4974</v>
      </c>
      <c r="D110" s="7" t="s">
        <v>7102</v>
      </c>
      <c r="E110" s="519" t="s">
        <v>7103</v>
      </c>
      <c r="F110" s="690" t="s">
        <v>262</v>
      </c>
      <c r="G110" s="690" t="s">
        <v>11</v>
      </c>
      <c r="H110" s="519" t="s">
        <v>6113</v>
      </c>
      <c r="I110" s="691">
        <v>1490</v>
      </c>
      <c r="J110" s="692">
        <v>5000</v>
      </c>
      <c r="K110" s="703"/>
    </row>
    <row r="111" spans="1:11" s="693" customFormat="1" ht="25.5">
      <c r="A111" s="704" t="s">
        <v>5468</v>
      </c>
      <c r="B111" s="689" t="s">
        <v>702</v>
      </c>
      <c r="C111" s="689" t="s">
        <v>5004</v>
      </c>
      <c r="D111" s="7" t="s">
        <v>7106</v>
      </c>
      <c r="E111" s="519" t="s">
        <v>7107</v>
      </c>
      <c r="F111" s="690" t="s">
        <v>225</v>
      </c>
      <c r="G111" s="690" t="s">
        <v>11</v>
      </c>
      <c r="H111" s="519" t="s">
        <v>7105</v>
      </c>
      <c r="I111" s="691">
        <v>2150</v>
      </c>
      <c r="J111" s="692">
        <v>16196</v>
      </c>
      <c r="K111" s="703"/>
    </row>
    <row r="112" spans="1:11" s="693" customFormat="1" ht="25.5">
      <c r="A112" s="704" t="s">
        <v>5470</v>
      </c>
      <c r="B112" s="689" t="s">
        <v>1697</v>
      </c>
      <c r="C112" s="689" t="s">
        <v>7127</v>
      </c>
      <c r="D112" s="7" t="s">
        <v>7129</v>
      </c>
      <c r="E112" s="519" t="s">
        <v>485</v>
      </c>
      <c r="F112" s="690" t="s">
        <v>7126</v>
      </c>
      <c r="G112" s="690" t="s">
        <v>11</v>
      </c>
      <c r="H112" s="519" t="s">
        <v>7128</v>
      </c>
      <c r="I112" s="691">
        <v>2850</v>
      </c>
      <c r="J112" s="692">
        <v>3718</v>
      </c>
      <c r="K112" s="703"/>
    </row>
    <row r="113" spans="1:11" s="693" customFormat="1" ht="76.5">
      <c r="A113" s="704" t="s">
        <v>5471</v>
      </c>
      <c r="B113" s="689" t="s">
        <v>8643</v>
      </c>
      <c r="C113" s="689" t="s">
        <v>8645</v>
      </c>
      <c r="D113" s="7" t="s">
        <v>8647</v>
      </c>
      <c r="E113" s="519" t="s">
        <v>1268</v>
      </c>
      <c r="F113" s="690" t="s">
        <v>12390</v>
      </c>
      <c r="G113" s="690" t="s">
        <v>11</v>
      </c>
      <c r="H113" s="519" t="s">
        <v>8646</v>
      </c>
      <c r="I113" s="691">
        <v>2250</v>
      </c>
      <c r="J113" s="692">
        <v>4909</v>
      </c>
      <c r="K113" s="703"/>
    </row>
    <row r="114" spans="1:11" s="693" customFormat="1" ht="25.5">
      <c r="A114" s="704" t="s">
        <v>5473</v>
      </c>
      <c r="B114" s="689" t="s">
        <v>706</v>
      </c>
      <c r="C114" s="689" t="s">
        <v>2442</v>
      </c>
      <c r="D114" s="7" t="s">
        <v>6700</v>
      </c>
      <c r="E114" s="519" t="s">
        <v>6526</v>
      </c>
      <c r="F114" s="690" t="s">
        <v>369</v>
      </c>
      <c r="G114" s="690" t="s">
        <v>11</v>
      </c>
      <c r="H114" s="519" t="s">
        <v>6699</v>
      </c>
      <c r="I114" s="691">
        <v>2680</v>
      </c>
      <c r="J114" s="692">
        <v>9394</v>
      </c>
      <c r="K114" s="703"/>
    </row>
    <row r="115" spans="1:11" s="693" customFormat="1" ht="38.25">
      <c r="A115" s="704" t="s">
        <v>5476</v>
      </c>
      <c r="B115" s="689" t="s">
        <v>3961</v>
      </c>
      <c r="C115" s="689" t="s">
        <v>3960</v>
      </c>
      <c r="D115" s="7" t="s">
        <v>8052</v>
      </c>
      <c r="E115" s="519" t="s">
        <v>8053</v>
      </c>
      <c r="F115" s="690" t="s">
        <v>3962</v>
      </c>
      <c r="G115" s="690" t="s">
        <v>11</v>
      </c>
      <c r="H115" s="519" t="s">
        <v>8051</v>
      </c>
      <c r="I115" s="691">
        <v>3129</v>
      </c>
      <c r="J115" s="692">
        <v>1662</v>
      </c>
      <c r="K115" s="703"/>
    </row>
    <row r="116" spans="1:11" s="693" customFormat="1" ht="38.25">
      <c r="A116" s="704" t="s">
        <v>5478</v>
      </c>
      <c r="B116" s="689" t="s">
        <v>3961</v>
      </c>
      <c r="C116" s="689" t="s">
        <v>4057</v>
      </c>
      <c r="D116" s="7" t="s">
        <v>6322</v>
      </c>
      <c r="E116" s="519" t="s">
        <v>948</v>
      </c>
      <c r="F116" s="690" t="s">
        <v>3962</v>
      </c>
      <c r="G116" s="690" t="s">
        <v>11</v>
      </c>
      <c r="H116" s="519" t="s">
        <v>6321</v>
      </c>
      <c r="I116" s="691">
        <v>3238</v>
      </c>
      <c r="J116" s="692">
        <v>1828</v>
      </c>
      <c r="K116" s="703"/>
    </row>
    <row r="117" spans="1:11" s="693" customFormat="1" ht="25.5">
      <c r="A117" s="704" t="s">
        <v>5479</v>
      </c>
      <c r="B117" s="689" t="s">
        <v>4631</v>
      </c>
      <c r="C117" s="689" t="s">
        <v>4630</v>
      </c>
      <c r="D117" s="7" t="s">
        <v>8524</v>
      </c>
      <c r="E117" s="519" t="s">
        <v>8525</v>
      </c>
      <c r="F117" s="690" t="s">
        <v>272</v>
      </c>
      <c r="G117" s="690" t="s">
        <v>11</v>
      </c>
      <c r="H117" s="519" t="s">
        <v>8523</v>
      </c>
      <c r="I117" s="691">
        <v>3600</v>
      </c>
      <c r="J117" s="692">
        <v>588</v>
      </c>
      <c r="K117" s="703"/>
    </row>
    <row r="118" spans="1:11" s="693" customFormat="1" ht="51">
      <c r="A118" s="704" t="s">
        <v>5482</v>
      </c>
      <c r="B118" s="689" t="s">
        <v>78</v>
      </c>
      <c r="C118" s="689" t="s">
        <v>4651</v>
      </c>
      <c r="D118" s="7" t="s">
        <v>8797</v>
      </c>
      <c r="E118" s="519" t="s">
        <v>8535</v>
      </c>
      <c r="F118" s="690" t="s">
        <v>79</v>
      </c>
      <c r="G118" s="690" t="s">
        <v>4652</v>
      </c>
      <c r="H118" s="519" t="s">
        <v>8796</v>
      </c>
      <c r="I118" s="691">
        <v>3500</v>
      </c>
      <c r="J118" s="692">
        <v>2</v>
      </c>
      <c r="K118" s="703"/>
    </row>
    <row r="119" spans="1:11" s="693" customFormat="1" ht="51">
      <c r="A119" s="704" t="s">
        <v>5486</v>
      </c>
      <c r="B119" s="689" t="s">
        <v>78</v>
      </c>
      <c r="C119" s="689" t="s">
        <v>4651</v>
      </c>
      <c r="D119" s="7" t="s">
        <v>8797</v>
      </c>
      <c r="E119" s="519" t="s">
        <v>8535</v>
      </c>
      <c r="F119" s="690" t="s">
        <v>79</v>
      </c>
      <c r="G119" s="690" t="s">
        <v>4652</v>
      </c>
      <c r="H119" s="519" t="s">
        <v>8796</v>
      </c>
      <c r="I119" s="691">
        <v>3500</v>
      </c>
      <c r="J119" s="692">
        <v>9000</v>
      </c>
      <c r="K119" s="703"/>
    </row>
    <row r="120" spans="1:11" s="693" customFormat="1">
      <c r="A120" s="704" t="s">
        <v>5489</v>
      </c>
      <c r="B120" s="689" t="s">
        <v>371</v>
      </c>
      <c r="C120" s="689" t="s">
        <v>371</v>
      </c>
      <c r="D120" s="7" t="s">
        <v>372</v>
      </c>
      <c r="E120" s="519" t="s">
        <v>360</v>
      </c>
      <c r="F120" s="690" t="s">
        <v>248</v>
      </c>
      <c r="G120" s="690" t="s">
        <v>10</v>
      </c>
      <c r="H120" s="519" t="s">
        <v>5103</v>
      </c>
      <c r="I120" s="691">
        <v>76</v>
      </c>
      <c r="J120" s="692">
        <v>49928</v>
      </c>
      <c r="K120" s="703"/>
    </row>
    <row r="121" spans="1:11" s="693" customFormat="1" ht="25.5">
      <c r="A121" s="704" t="s">
        <v>5490</v>
      </c>
      <c r="B121" s="689" t="s">
        <v>3851</v>
      </c>
      <c r="C121" s="689" t="s">
        <v>3850</v>
      </c>
      <c r="D121" s="7" t="s">
        <v>7676</v>
      </c>
      <c r="E121" s="519" t="s">
        <v>1946</v>
      </c>
      <c r="F121" s="690" t="s">
        <v>1967</v>
      </c>
      <c r="G121" s="690" t="s">
        <v>11</v>
      </c>
      <c r="H121" s="519" t="s">
        <v>7498</v>
      </c>
      <c r="I121" s="691">
        <v>599</v>
      </c>
      <c r="J121" s="692">
        <v>4</v>
      </c>
      <c r="K121" s="703"/>
    </row>
    <row r="122" spans="1:11" s="693" customFormat="1" ht="25.5">
      <c r="A122" s="704" t="s">
        <v>5494</v>
      </c>
      <c r="B122" s="689" t="s">
        <v>3851</v>
      </c>
      <c r="C122" s="689" t="s">
        <v>3850</v>
      </c>
      <c r="D122" s="7" t="s">
        <v>7676</v>
      </c>
      <c r="E122" s="519" t="s">
        <v>1946</v>
      </c>
      <c r="F122" s="690" t="s">
        <v>1967</v>
      </c>
      <c r="G122" s="690" t="s">
        <v>11</v>
      </c>
      <c r="H122" s="519" t="s">
        <v>7498</v>
      </c>
      <c r="I122" s="691">
        <v>599</v>
      </c>
      <c r="J122" s="692">
        <v>1240</v>
      </c>
      <c r="K122" s="703"/>
    </row>
    <row r="123" spans="1:11" s="693" customFormat="1" ht="25.5">
      <c r="A123" s="704" t="s">
        <v>5495</v>
      </c>
      <c r="B123" s="689" t="s">
        <v>3851</v>
      </c>
      <c r="C123" s="689" t="s">
        <v>3850</v>
      </c>
      <c r="D123" s="7" t="s">
        <v>7676</v>
      </c>
      <c r="E123" s="519" t="s">
        <v>1946</v>
      </c>
      <c r="F123" s="690" t="s">
        <v>1967</v>
      </c>
      <c r="G123" s="690" t="s">
        <v>11</v>
      </c>
      <c r="H123" s="519" t="s">
        <v>7498</v>
      </c>
      <c r="I123" s="691">
        <v>599</v>
      </c>
      <c r="J123" s="692">
        <v>7963</v>
      </c>
      <c r="K123" s="703"/>
    </row>
    <row r="124" spans="1:11" s="693" customFormat="1">
      <c r="A124" s="704" t="s">
        <v>5499</v>
      </c>
      <c r="B124" s="689" t="s">
        <v>708</v>
      </c>
      <c r="C124" s="689" t="s">
        <v>1601</v>
      </c>
      <c r="D124" s="7" t="s">
        <v>1602</v>
      </c>
      <c r="E124" s="519" t="s">
        <v>463</v>
      </c>
      <c r="F124" s="690" t="s">
        <v>965</v>
      </c>
      <c r="G124" s="690" t="s">
        <v>11</v>
      </c>
      <c r="H124" s="519" t="s">
        <v>6970</v>
      </c>
      <c r="I124" s="691">
        <v>798</v>
      </c>
      <c r="J124" s="692">
        <v>402</v>
      </c>
      <c r="K124" s="703"/>
    </row>
    <row r="125" spans="1:11" s="693" customFormat="1" ht="38.25">
      <c r="A125" s="704" t="s">
        <v>5501</v>
      </c>
      <c r="B125" s="689" t="s">
        <v>708</v>
      </c>
      <c r="C125" s="689" t="s">
        <v>709</v>
      </c>
      <c r="D125" s="7" t="s">
        <v>6968</v>
      </c>
      <c r="E125" s="519" t="s">
        <v>712</v>
      </c>
      <c r="F125" s="690" t="s">
        <v>272</v>
      </c>
      <c r="G125" s="690" t="s">
        <v>13</v>
      </c>
      <c r="H125" s="519" t="s">
        <v>12675</v>
      </c>
      <c r="I125" s="691">
        <v>3150</v>
      </c>
      <c r="J125" s="692">
        <v>6000</v>
      </c>
      <c r="K125" s="703"/>
    </row>
    <row r="126" spans="1:11" s="693" customFormat="1">
      <c r="A126" s="704" t="s">
        <v>5503</v>
      </c>
      <c r="B126" s="689" t="s">
        <v>708</v>
      </c>
      <c r="C126" s="689" t="s">
        <v>1601</v>
      </c>
      <c r="D126" s="7" t="s">
        <v>1602</v>
      </c>
      <c r="E126" s="519" t="s">
        <v>463</v>
      </c>
      <c r="F126" s="690" t="s">
        <v>965</v>
      </c>
      <c r="G126" s="690" t="s">
        <v>11</v>
      </c>
      <c r="H126" s="519" t="s">
        <v>6970</v>
      </c>
      <c r="I126" s="691">
        <v>798</v>
      </c>
      <c r="J126" s="692">
        <v>6480</v>
      </c>
      <c r="K126" s="703"/>
    </row>
    <row r="127" spans="1:11" s="693" customFormat="1">
      <c r="A127" s="704" t="s">
        <v>5506</v>
      </c>
      <c r="B127" s="689" t="s">
        <v>1481</v>
      </c>
      <c r="C127" s="689" t="s">
        <v>3908</v>
      </c>
      <c r="D127" s="7" t="s">
        <v>1691</v>
      </c>
      <c r="E127" s="519" t="s">
        <v>854</v>
      </c>
      <c r="F127" s="690" t="s">
        <v>1690</v>
      </c>
      <c r="G127" s="690" t="s">
        <v>11</v>
      </c>
      <c r="H127" s="519" t="s">
        <v>6099</v>
      </c>
      <c r="I127" s="691">
        <v>3450</v>
      </c>
      <c r="J127" s="692">
        <v>3940</v>
      </c>
      <c r="K127" s="703"/>
    </row>
    <row r="128" spans="1:11" s="693" customFormat="1">
      <c r="A128" s="704" t="s">
        <v>5507</v>
      </c>
      <c r="B128" s="689" t="s">
        <v>1481</v>
      </c>
      <c r="C128" s="689" t="s">
        <v>3908</v>
      </c>
      <c r="D128" s="7" t="s">
        <v>1691</v>
      </c>
      <c r="E128" s="519" t="s">
        <v>854</v>
      </c>
      <c r="F128" s="690" t="s">
        <v>1690</v>
      </c>
      <c r="G128" s="690" t="s">
        <v>11</v>
      </c>
      <c r="H128" s="519" t="s">
        <v>6099</v>
      </c>
      <c r="I128" s="691">
        <v>3450</v>
      </c>
      <c r="J128" s="692">
        <v>4980</v>
      </c>
      <c r="K128" s="703"/>
    </row>
    <row r="129" spans="1:11" s="693" customFormat="1" ht="25.5">
      <c r="A129" s="704" t="s">
        <v>5513</v>
      </c>
      <c r="B129" s="689" t="s">
        <v>802</v>
      </c>
      <c r="C129" s="689" t="s">
        <v>1455</v>
      </c>
      <c r="D129" s="7" t="s">
        <v>1457</v>
      </c>
      <c r="E129" s="519" t="s">
        <v>1449</v>
      </c>
      <c r="F129" s="690" t="s">
        <v>1200</v>
      </c>
      <c r="G129" s="690" t="s">
        <v>12</v>
      </c>
      <c r="H129" s="519" t="s">
        <v>7250</v>
      </c>
      <c r="I129" s="691">
        <v>1186</v>
      </c>
      <c r="J129" s="692">
        <v>1</v>
      </c>
      <c r="K129" s="703"/>
    </row>
    <row r="130" spans="1:11" s="693" customFormat="1" ht="25.5">
      <c r="A130" s="704" t="s">
        <v>5515</v>
      </c>
      <c r="B130" s="689" t="s">
        <v>802</v>
      </c>
      <c r="C130" s="689" t="s">
        <v>4468</v>
      </c>
      <c r="D130" s="7" t="s">
        <v>8254</v>
      </c>
      <c r="E130" s="519" t="s">
        <v>8255</v>
      </c>
      <c r="F130" s="690" t="s">
        <v>225</v>
      </c>
      <c r="G130" s="690" t="s">
        <v>16</v>
      </c>
      <c r="H130" s="519" t="s">
        <v>8253</v>
      </c>
      <c r="I130" s="691">
        <v>9620</v>
      </c>
      <c r="J130" s="692">
        <v>160</v>
      </c>
      <c r="K130" s="703"/>
    </row>
    <row r="131" spans="1:11" s="693" customFormat="1" ht="25.5">
      <c r="A131" s="704" t="s">
        <v>5516</v>
      </c>
      <c r="B131" s="689" t="s">
        <v>802</v>
      </c>
      <c r="C131" s="689" t="s">
        <v>1455</v>
      </c>
      <c r="D131" s="7" t="s">
        <v>1457</v>
      </c>
      <c r="E131" s="519" t="s">
        <v>1449</v>
      </c>
      <c r="F131" s="690" t="s">
        <v>1200</v>
      </c>
      <c r="G131" s="690" t="s">
        <v>12</v>
      </c>
      <c r="H131" s="519" t="s">
        <v>7250</v>
      </c>
      <c r="I131" s="691">
        <v>1186</v>
      </c>
      <c r="J131" s="692">
        <v>1000</v>
      </c>
      <c r="K131" s="703"/>
    </row>
    <row r="132" spans="1:11" s="693" customFormat="1" ht="38.25">
      <c r="A132" s="704" t="s">
        <v>5518</v>
      </c>
      <c r="B132" s="689" t="s">
        <v>802</v>
      </c>
      <c r="C132" s="689" t="s">
        <v>4476</v>
      </c>
      <c r="D132" s="7" t="s">
        <v>7253</v>
      </c>
      <c r="E132" s="519" t="s">
        <v>1449</v>
      </c>
      <c r="F132" s="690" t="s">
        <v>272</v>
      </c>
      <c r="G132" s="690" t="s">
        <v>11</v>
      </c>
      <c r="H132" s="519" t="s">
        <v>7252</v>
      </c>
      <c r="I132" s="691">
        <v>1742</v>
      </c>
      <c r="J132" s="692">
        <v>4000</v>
      </c>
      <c r="K132" s="703"/>
    </row>
    <row r="133" spans="1:11" s="693" customFormat="1" ht="25.5">
      <c r="A133" s="704" t="s">
        <v>5520</v>
      </c>
      <c r="B133" s="689" t="s">
        <v>802</v>
      </c>
      <c r="C133" s="689" t="s">
        <v>6566</v>
      </c>
      <c r="D133" s="7" t="s">
        <v>6568</v>
      </c>
      <c r="E133" s="519" t="s">
        <v>463</v>
      </c>
      <c r="F133" s="690" t="s">
        <v>272</v>
      </c>
      <c r="G133" s="690" t="s">
        <v>11</v>
      </c>
      <c r="H133" s="519" t="s">
        <v>6567</v>
      </c>
      <c r="I133" s="691">
        <v>3100</v>
      </c>
      <c r="J133" s="692">
        <v>9320</v>
      </c>
      <c r="K133" s="703"/>
    </row>
    <row r="134" spans="1:11" s="693" customFormat="1" ht="38.25">
      <c r="A134" s="704" t="s">
        <v>5523</v>
      </c>
      <c r="B134" s="689" t="s">
        <v>847</v>
      </c>
      <c r="C134" s="689" t="s">
        <v>1819</v>
      </c>
      <c r="D134" s="7" t="s">
        <v>7260</v>
      </c>
      <c r="E134" s="519" t="s">
        <v>1449</v>
      </c>
      <c r="F134" s="690" t="s">
        <v>225</v>
      </c>
      <c r="G134" s="690" t="s">
        <v>11</v>
      </c>
      <c r="H134" s="519" t="s">
        <v>7259</v>
      </c>
      <c r="I134" s="691">
        <v>783</v>
      </c>
      <c r="J134" s="692">
        <v>15000</v>
      </c>
      <c r="K134" s="703"/>
    </row>
    <row r="135" spans="1:11" s="693" customFormat="1">
      <c r="A135" s="704" t="s">
        <v>5529</v>
      </c>
      <c r="B135" s="689" t="s">
        <v>1235</v>
      </c>
      <c r="C135" s="689" t="s">
        <v>1610</v>
      </c>
      <c r="D135" s="7" t="s">
        <v>1611</v>
      </c>
      <c r="E135" s="519" t="s">
        <v>463</v>
      </c>
      <c r="F135" s="690" t="s">
        <v>900</v>
      </c>
      <c r="G135" s="690" t="s">
        <v>11</v>
      </c>
      <c r="H135" s="519" t="s">
        <v>6578</v>
      </c>
      <c r="I135" s="691">
        <v>8900</v>
      </c>
      <c r="J135" s="692">
        <v>562</v>
      </c>
      <c r="K135" s="703"/>
    </row>
    <row r="136" spans="1:11" s="693" customFormat="1">
      <c r="A136" s="704" t="s">
        <v>5537</v>
      </c>
      <c r="B136" s="689" t="s">
        <v>1235</v>
      </c>
      <c r="C136" s="689" t="s">
        <v>1610</v>
      </c>
      <c r="D136" s="7" t="s">
        <v>1611</v>
      </c>
      <c r="E136" s="519" t="s">
        <v>463</v>
      </c>
      <c r="F136" s="690" t="s">
        <v>900</v>
      </c>
      <c r="G136" s="690" t="s">
        <v>11</v>
      </c>
      <c r="H136" s="519" t="s">
        <v>6578</v>
      </c>
      <c r="I136" s="691">
        <v>8900</v>
      </c>
      <c r="J136" s="692">
        <v>4677</v>
      </c>
      <c r="K136" s="703"/>
    </row>
    <row r="137" spans="1:11" s="693" customFormat="1" ht="25.5">
      <c r="A137" s="704" t="s">
        <v>5540</v>
      </c>
      <c r="B137" s="689" t="s">
        <v>256</v>
      </c>
      <c r="C137" s="689" t="s">
        <v>1274</v>
      </c>
      <c r="D137" s="7" t="s">
        <v>1275</v>
      </c>
      <c r="E137" s="519" t="s">
        <v>7288</v>
      </c>
      <c r="F137" s="690" t="s">
        <v>296</v>
      </c>
      <c r="G137" s="690" t="s">
        <v>12</v>
      </c>
      <c r="H137" s="519" t="s">
        <v>8260</v>
      </c>
      <c r="I137" s="691">
        <v>6800</v>
      </c>
      <c r="J137" s="692">
        <v>2</v>
      </c>
      <c r="K137" s="703"/>
    </row>
    <row r="138" spans="1:11" s="693" customFormat="1">
      <c r="A138" s="704" t="s">
        <v>5543</v>
      </c>
      <c r="B138" s="689" t="s">
        <v>256</v>
      </c>
      <c r="C138" s="689" t="s">
        <v>490</v>
      </c>
      <c r="D138" s="7" t="s">
        <v>491</v>
      </c>
      <c r="E138" s="519" t="s">
        <v>492</v>
      </c>
      <c r="F138" s="690" t="s">
        <v>299</v>
      </c>
      <c r="G138" s="690" t="s">
        <v>10</v>
      </c>
      <c r="H138" s="519" t="s">
        <v>2292</v>
      </c>
      <c r="I138" s="691">
        <v>998</v>
      </c>
      <c r="J138" s="692">
        <v>294</v>
      </c>
      <c r="K138" s="703"/>
    </row>
    <row r="139" spans="1:11" s="693" customFormat="1" ht="25.5">
      <c r="A139" s="704" t="s">
        <v>5545</v>
      </c>
      <c r="B139" s="689" t="s">
        <v>256</v>
      </c>
      <c r="C139" s="689" t="s">
        <v>3639</v>
      </c>
      <c r="D139" s="7" t="s">
        <v>1614</v>
      </c>
      <c r="E139" s="519" t="s">
        <v>463</v>
      </c>
      <c r="F139" s="690" t="s">
        <v>334</v>
      </c>
      <c r="G139" s="690" t="s">
        <v>11</v>
      </c>
      <c r="H139" s="519" t="s">
        <v>6580</v>
      </c>
      <c r="I139" s="691">
        <v>12600</v>
      </c>
      <c r="J139" s="692">
        <v>2000</v>
      </c>
      <c r="K139" s="703"/>
    </row>
    <row r="140" spans="1:11" s="693" customFormat="1">
      <c r="A140" s="704" t="s">
        <v>5552</v>
      </c>
      <c r="B140" s="689" t="s">
        <v>493</v>
      </c>
      <c r="C140" s="689" t="s">
        <v>494</v>
      </c>
      <c r="D140" s="7" t="s">
        <v>495</v>
      </c>
      <c r="E140" s="519" t="s">
        <v>492</v>
      </c>
      <c r="F140" s="690" t="s">
        <v>429</v>
      </c>
      <c r="G140" s="690" t="s">
        <v>14</v>
      </c>
      <c r="H140" s="519" t="s">
        <v>5364</v>
      </c>
      <c r="I140" s="691">
        <v>5838</v>
      </c>
      <c r="J140" s="692">
        <v>4</v>
      </c>
      <c r="K140" s="703"/>
    </row>
    <row r="141" spans="1:11" s="693" customFormat="1">
      <c r="A141" s="704" t="s">
        <v>5555</v>
      </c>
      <c r="B141" s="689" t="s">
        <v>493</v>
      </c>
      <c r="C141" s="689" t="s">
        <v>12200</v>
      </c>
      <c r="D141" s="698" t="s">
        <v>12658</v>
      </c>
      <c r="E141" s="695" t="s">
        <v>1449</v>
      </c>
      <c r="F141" s="690" t="s">
        <v>774</v>
      </c>
      <c r="G141" s="690" t="s">
        <v>658</v>
      </c>
      <c r="H141" s="519" t="s">
        <v>11033</v>
      </c>
      <c r="I141" s="691">
        <v>11109</v>
      </c>
      <c r="J141" s="692">
        <v>187</v>
      </c>
      <c r="K141" s="703"/>
    </row>
    <row r="142" spans="1:11" s="693" customFormat="1" ht="25.5">
      <c r="A142" s="704" t="s">
        <v>5557</v>
      </c>
      <c r="B142" s="689" t="s">
        <v>813</v>
      </c>
      <c r="C142" s="689" t="s">
        <v>7318</v>
      </c>
      <c r="D142" s="7" t="s">
        <v>7320</v>
      </c>
      <c r="E142" s="519" t="s">
        <v>2785</v>
      </c>
      <c r="F142" s="690" t="s">
        <v>299</v>
      </c>
      <c r="G142" s="690" t="s">
        <v>11</v>
      </c>
      <c r="H142" s="519" t="s">
        <v>7319</v>
      </c>
      <c r="I142" s="691">
        <v>10500</v>
      </c>
      <c r="J142" s="692">
        <v>2610</v>
      </c>
      <c r="K142" s="703"/>
    </row>
    <row r="143" spans="1:11" s="693" customFormat="1">
      <c r="A143" s="704" t="s">
        <v>5559</v>
      </c>
      <c r="B143" s="689" t="s">
        <v>6583</v>
      </c>
      <c r="C143" s="689" t="s">
        <v>6585</v>
      </c>
      <c r="D143" s="7" t="s">
        <v>6587</v>
      </c>
      <c r="E143" s="519" t="s">
        <v>463</v>
      </c>
      <c r="F143" s="690" t="s">
        <v>6584</v>
      </c>
      <c r="G143" s="690" t="s">
        <v>11</v>
      </c>
      <c r="H143" s="519" t="s">
        <v>6586</v>
      </c>
      <c r="I143" s="691">
        <v>2500</v>
      </c>
      <c r="J143" s="692">
        <v>5010</v>
      </c>
      <c r="K143" s="703"/>
    </row>
    <row r="144" spans="1:11" s="693" customFormat="1" ht="25.5">
      <c r="A144" s="704" t="s">
        <v>5561</v>
      </c>
      <c r="B144" s="689" t="s">
        <v>433</v>
      </c>
      <c r="C144" s="689" t="s">
        <v>4537</v>
      </c>
      <c r="D144" s="7" t="s">
        <v>465</v>
      </c>
      <c r="E144" s="519" t="s">
        <v>463</v>
      </c>
      <c r="F144" s="690" t="s">
        <v>225</v>
      </c>
      <c r="G144" s="690" t="s">
        <v>10</v>
      </c>
      <c r="H144" s="519" t="s">
        <v>5278</v>
      </c>
      <c r="I144" s="691">
        <v>9600</v>
      </c>
      <c r="J144" s="692">
        <v>5</v>
      </c>
      <c r="K144" s="703"/>
    </row>
    <row r="145" spans="1:11" s="693" customFormat="1" ht="25.5">
      <c r="A145" s="704" t="s">
        <v>5562</v>
      </c>
      <c r="B145" s="689" t="s">
        <v>433</v>
      </c>
      <c r="C145" s="689" t="s">
        <v>1463</v>
      </c>
      <c r="D145" s="7" t="s">
        <v>1465</v>
      </c>
      <c r="E145" s="519" t="s">
        <v>1449</v>
      </c>
      <c r="F145" s="690" t="s">
        <v>1200</v>
      </c>
      <c r="G145" s="690" t="s">
        <v>12</v>
      </c>
      <c r="H145" s="519" t="s">
        <v>7322</v>
      </c>
      <c r="I145" s="691">
        <v>1323</v>
      </c>
      <c r="J145" s="692">
        <v>897</v>
      </c>
      <c r="K145" s="703"/>
    </row>
    <row r="146" spans="1:11" s="693" customFormat="1" ht="25.5">
      <c r="A146" s="704" t="s">
        <v>5564</v>
      </c>
      <c r="B146" s="689" t="s">
        <v>816</v>
      </c>
      <c r="C146" s="689" t="s">
        <v>819</v>
      </c>
      <c r="D146" s="7" t="s">
        <v>820</v>
      </c>
      <c r="E146" s="519" t="s">
        <v>806</v>
      </c>
      <c r="F146" s="690" t="s">
        <v>299</v>
      </c>
      <c r="G146" s="690" t="s">
        <v>11</v>
      </c>
      <c r="H146" s="519" t="s">
        <v>7437</v>
      </c>
      <c r="I146" s="691">
        <v>357</v>
      </c>
      <c r="J146" s="692">
        <v>10</v>
      </c>
      <c r="K146" s="703"/>
    </row>
    <row r="147" spans="1:11" s="693" customFormat="1" ht="25.5">
      <c r="A147" s="704" t="s">
        <v>5566</v>
      </c>
      <c r="B147" s="689" t="s">
        <v>816</v>
      </c>
      <c r="C147" s="689" t="s">
        <v>819</v>
      </c>
      <c r="D147" s="7" t="s">
        <v>820</v>
      </c>
      <c r="E147" s="519" t="s">
        <v>806</v>
      </c>
      <c r="F147" s="690" t="s">
        <v>299</v>
      </c>
      <c r="G147" s="690" t="s">
        <v>11</v>
      </c>
      <c r="H147" s="519" t="s">
        <v>7437</v>
      </c>
      <c r="I147" s="691">
        <v>380</v>
      </c>
      <c r="J147" s="692">
        <v>9976</v>
      </c>
      <c r="K147" s="703"/>
    </row>
    <row r="148" spans="1:11" s="693" customFormat="1" ht="25.5">
      <c r="A148" s="704" t="s">
        <v>5567</v>
      </c>
      <c r="B148" s="689" t="s">
        <v>816</v>
      </c>
      <c r="C148" s="689" t="s">
        <v>3864</v>
      </c>
      <c r="D148" s="7" t="s">
        <v>6613</v>
      </c>
      <c r="E148" s="519" t="s">
        <v>1765</v>
      </c>
      <c r="F148" s="690" t="s">
        <v>299</v>
      </c>
      <c r="G148" s="690" t="s">
        <v>11</v>
      </c>
      <c r="H148" s="519" t="s">
        <v>6321</v>
      </c>
      <c r="I148" s="691">
        <v>830</v>
      </c>
      <c r="J148" s="692">
        <v>9990</v>
      </c>
      <c r="K148" s="703"/>
    </row>
    <row r="149" spans="1:11" s="693" customFormat="1" ht="38.25">
      <c r="A149" s="704" t="s">
        <v>5569</v>
      </c>
      <c r="B149" s="689" t="s">
        <v>2466</v>
      </c>
      <c r="C149" s="689" t="s">
        <v>1324</v>
      </c>
      <c r="D149" s="7" t="s">
        <v>8132</v>
      </c>
      <c r="E149" s="519" t="s">
        <v>7001</v>
      </c>
      <c r="F149" s="690" t="s">
        <v>390</v>
      </c>
      <c r="G149" s="690" t="s">
        <v>11</v>
      </c>
      <c r="H149" s="519" t="s">
        <v>7769</v>
      </c>
      <c r="I149" s="691">
        <v>27</v>
      </c>
      <c r="J149" s="692">
        <v>68</v>
      </c>
      <c r="K149" s="703"/>
    </row>
    <row r="150" spans="1:11" s="693" customFormat="1" ht="38.25">
      <c r="A150" s="704" t="s">
        <v>5570</v>
      </c>
      <c r="B150" s="689" t="s">
        <v>2466</v>
      </c>
      <c r="C150" s="689" t="s">
        <v>1324</v>
      </c>
      <c r="D150" s="7" t="s">
        <v>8132</v>
      </c>
      <c r="E150" s="519" t="s">
        <v>7001</v>
      </c>
      <c r="F150" s="690" t="s">
        <v>390</v>
      </c>
      <c r="G150" s="690" t="s">
        <v>11</v>
      </c>
      <c r="H150" s="519" t="s">
        <v>7769</v>
      </c>
      <c r="I150" s="691">
        <v>27</v>
      </c>
      <c r="J150" s="692">
        <v>1391</v>
      </c>
      <c r="K150" s="703"/>
    </row>
    <row r="151" spans="1:11" s="693" customFormat="1" ht="38.25">
      <c r="A151" s="704" t="s">
        <v>5572</v>
      </c>
      <c r="B151" s="689" t="s">
        <v>2466</v>
      </c>
      <c r="C151" s="689" t="s">
        <v>1324</v>
      </c>
      <c r="D151" s="7" t="s">
        <v>8132</v>
      </c>
      <c r="E151" s="519" t="s">
        <v>7001</v>
      </c>
      <c r="F151" s="690" t="s">
        <v>390</v>
      </c>
      <c r="G151" s="690" t="s">
        <v>11</v>
      </c>
      <c r="H151" s="519" t="s">
        <v>7769</v>
      </c>
      <c r="I151" s="691">
        <v>27</v>
      </c>
      <c r="J151" s="692">
        <v>16575</v>
      </c>
      <c r="K151" s="703"/>
    </row>
    <row r="152" spans="1:11" s="693" customFormat="1" ht="25.5">
      <c r="A152" s="704" t="s">
        <v>5575</v>
      </c>
      <c r="B152" s="689" t="s">
        <v>1321</v>
      </c>
      <c r="C152" s="689" t="s">
        <v>4436</v>
      </c>
      <c r="D152" s="7" t="s">
        <v>8103</v>
      </c>
      <c r="E152" s="519" t="s">
        <v>7015</v>
      </c>
      <c r="F152" s="690" t="s">
        <v>248</v>
      </c>
      <c r="G152" s="690" t="s">
        <v>11</v>
      </c>
      <c r="H152" s="519" t="s">
        <v>8102</v>
      </c>
      <c r="I152" s="691">
        <v>45</v>
      </c>
      <c r="J152" s="692">
        <v>546</v>
      </c>
      <c r="K152" s="703"/>
    </row>
    <row r="153" spans="1:11" s="693" customFormat="1" ht="25.5">
      <c r="A153" s="704" t="s">
        <v>5579</v>
      </c>
      <c r="B153" s="689" t="s">
        <v>274</v>
      </c>
      <c r="C153" s="689" t="s">
        <v>274</v>
      </c>
      <c r="D153" s="7" t="s">
        <v>373</v>
      </c>
      <c r="E153" s="519" t="s">
        <v>360</v>
      </c>
      <c r="F153" s="690" t="s">
        <v>225</v>
      </c>
      <c r="G153" s="690" t="s">
        <v>10</v>
      </c>
      <c r="H153" s="519" t="s">
        <v>5150</v>
      </c>
      <c r="I153" s="691">
        <v>394</v>
      </c>
      <c r="J153" s="692">
        <v>143</v>
      </c>
      <c r="K153" s="703"/>
    </row>
    <row r="154" spans="1:11" s="693" customFormat="1">
      <c r="A154" s="704" t="s">
        <v>5580</v>
      </c>
      <c r="B154" s="689" t="s">
        <v>274</v>
      </c>
      <c r="C154" s="689" t="s">
        <v>4833</v>
      </c>
      <c r="D154" s="7" t="s">
        <v>436</v>
      </c>
      <c r="E154" s="519" t="s">
        <v>437</v>
      </c>
      <c r="F154" s="690" t="s">
        <v>435</v>
      </c>
      <c r="G154" s="690" t="s">
        <v>18</v>
      </c>
      <c r="H154" s="519" t="s">
        <v>5563</v>
      </c>
      <c r="I154" s="691">
        <v>18480</v>
      </c>
      <c r="J154" s="692">
        <v>187</v>
      </c>
      <c r="K154" s="703"/>
    </row>
    <row r="155" spans="1:11" s="693" customFormat="1">
      <c r="A155" s="704" t="s">
        <v>5582</v>
      </c>
      <c r="B155" s="689" t="s">
        <v>260</v>
      </c>
      <c r="C155" s="689" t="s">
        <v>261</v>
      </c>
      <c r="D155" s="7" t="s">
        <v>264</v>
      </c>
      <c r="E155" s="519" t="s">
        <v>255</v>
      </c>
      <c r="F155" s="690" t="s">
        <v>262</v>
      </c>
      <c r="G155" s="690" t="s">
        <v>10</v>
      </c>
      <c r="H155" s="519" t="s">
        <v>2292</v>
      </c>
      <c r="I155" s="691">
        <v>1638</v>
      </c>
      <c r="J155" s="692">
        <v>600</v>
      </c>
      <c r="K155" s="703"/>
    </row>
    <row r="156" spans="1:11" s="693" customFormat="1">
      <c r="A156" s="704" t="s">
        <v>5584</v>
      </c>
      <c r="B156" s="689" t="s">
        <v>260</v>
      </c>
      <c r="C156" s="689" t="s">
        <v>261</v>
      </c>
      <c r="D156" s="7" t="s">
        <v>264</v>
      </c>
      <c r="E156" s="519" t="s">
        <v>255</v>
      </c>
      <c r="F156" s="690" t="s">
        <v>262</v>
      </c>
      <c r="G156" s="690" t="s">
        <v>10</v>
      </c>
      <c r="H156" s="519" t="s">
        <v>2292</v>
      </c>
      <c r="I156" s="691">
        <v>1638</v>
      </c>
      <c r="J156" s="692">
        <v>642</v>
      </c>
      <c r="K156" s="703"/>
    </row>
    <row r="157" spans="1:11" s="693" customFormat="1" ht="25.5">
      <c r="A157" s="704" t="s">
        <v>5586</v>
      </c>
      <c r="B157" s="689" t="s">
        <v>882</v>
      </c>
      <c r="C157" s="689" t="s">
        <v>4260</v>
      </c>
      <c r="D157" s="7" t="s">
        <v>885</v>
      </c>
      <c r="E157" s="519" t="s">
        <v>298</v>
      </c>
      <c r="F157" s="690" t="s">
        <v>262</v>
      </c>
      <c r="G157" s="690" t="s">
        <v>10</v>
      </c>
      <c r="H157" s="519" t="s">
        <v>5608</v>
      </c>
      <c r="I157" s="691">
        <v>58240</v>
      </c>
      <c r="J157" s="692">
        <v>1</v>
      </c>
      <c r="K157" s="703"/>
    </row>
    <row r="158" spans="1:11" s="693" customFormat="1" ht="38.25">
      <c r="A158" s="704" t="s">
        <v>5587</v>
      </c>
      <c r="B158" s="689" t="s">
        <v>882</v>
      </c>
      <c r="C158" s="689" t="s">
        <v>4210</v>
      </c>
      <c r="D158" s="7" t="s">
        <v>5603</v>
      </c>
      <c r="E158" s="519" t="s">
        <v>5604</v>
      </c>
      <c r="F158" s="690" t="s">
        <v>1580</v>
      </c>
      <c r="G158" s="690" t="s">
        <v>10</v>
      </c>
      <c r="H158" s="519" t="s">
        <v>5602</v>
      </c>
      <c r="I158" s="691">
        <v>659</v>
      </c>
      <c r="J158" s="692">
        <v>73</v>
      </c>
      <c r="K158" s="703"/>
    </row>
    <row r="159" spans="1:11" s="693" customFormat="1" ht="38.25">
      <c r="A159" s="704" t="s">
        <v>5589</v>
      </c>
      <c r="B159" s="689" t="s">
        <v>882</v>
      </c>
      <c r="C159" s="689" t="s">
        <v>4210</v>
      </c>
      <c r="D159" s="7" t="s">
        <v>5603</v>
      </c>
      <c r="E159" s="519" t="s">
        <v>5604</v>
      </c>
      <c r="F159" s="690" t="s">
        <v>1580</v>
      </c>
      <c r="G159" s="690" t="s">
        <v>10</v>
      </c>
      <c r="H159" s="519" t="s">
        <v>5602</v>
      </c>
      <c r="I159" s="691">
        <v>659</v>
      </c>
      <c r="J159" s="692">
        <v>11190</v>
      </c>
      <c r="K159" s="703"/>
    </row>
    <row r="160" spans="1:11" s="693" customFormat="1" ht="25.5">
      <c r="A160" s="704" t="s">
        <v>5590</v>
      </c>
      <c r="B160" s="689" t="s">
        <v>543</v>
      </c>
      <c r="C160" s="689" t="s">
        <v>4438</v>
      </c>
      <c r="D160" s="7" t="s">
        <v>7434</v>
      </c>
      <c r="E160" s="519" t="s">
        <v>7211</v>
      </c>
      <c r="F160" s="690" t="s">
        <v>225</v>
      </c>
      <c r="G160" s="690" t="s">
        <v>11</v>
      </c>
      <c r="H160" s="519" t="s">
        <v>7433</v>
      </c>
      <c r="I160" s="691">
        <v>4350</v>
      </c>
      <c r="J160" s="692">
        <v>136</v>
      </c>
      <c r="K160" s="703"/>
    </row>
    <row r="161" spans="1:11" s="693" customFormat="1" ht="25.5">
      <c r="A161" s="704" t="s">
        <v>5592</v>
      </c>
      <c r="B161" s="689" t="s">
        <v>3965</v>
      </c>
      <c r="C161" s="689" t="s">
        <v>2004</v>
      </c>
      <c r="D161" s="7" t="s">
        <v>2006</v>
      </c>
      <c r="E161" s="519" t="s">
        <v>5775</v>
      </c>
      <c r="F161" s="690" t="s">
        <v>2005</v>
      </c>
      <c r="G161" s="690" t="s">
        <v>11</v>
      </c>
      <c r="H161" s="519" t="s">
        <v>5774</v>
      </c>
      <c r="I161" s="691">
        <v>3585</v>
      </c>
      <c r="J161" s="692">
        <v>47</v>
      </c>
      <c r="K161" s="703"/>
    </row>
    <row r="162" spans="1:11" s="693" customFormat="1" ht="25.5">
      <c r="A162" s="704" t="s">
        <v>5594</v>
      </c>
      <c r="B162" s="689" t="s">
        <v>3965</v>
      </c>
      <c r="C162" s="689" t="s">
        <v>1052</v>
      </c>
      <c r="D162" s="7" t="s">
        <v>6973</v>
      </c>
      <c r="E162" s="519" t="s">
        <v>324</v>
      </c>
      <c r="F162" s="690" t="s">
        <v>2005</v>
      </c>
      <c r="G162" s="690" t="s">
        <v>11</v>
      </c>
      <c r="H162" s="519" t="s">
        <v>6972</v>
      </c>
      <c r="I162" s="691">
        <v>1743</v>
      </c>
      <c r="J162" s="692">
        <v>2298</v>
      </c>
      <c r="K162" s="703"/>
    </row>
    <row r="163" spans="1:11" s="693" customFormat="1" ht="25.5">
      <c r="A163" s="704" t="s">
        <v>5595</v>
      </c>
      <c r="B163" s="689" t="s">
        <v>3965</v>
      </c>
      <c r="C163" s="689" t="s">
        <v>1052</v>
      </c>
      <c r="D163" s="7" t="s">
        <v>6973</v>
      </c>
      <c r="E163" s="519" t="s">
        <v>324</v>
      </c>
      <c r="F163" s="690" t="s">
        <v>2005</v>
      </c>
      <c r="G163" s="690" t="s">
        <v>11</v>
      </c>
      <c r="H163" s="519" t="s">
        <v>6972</v>
      </c>
      <c r="I163" s="691">
        <v>1743</v>
      </c>
      <c r="J163" s="692">
        <v>4740</v>
      </c>
      <c r="K163" s="703"/>
    </row>
    <row r="164" spans="1:11" s="693" customFormat="1" ht="25.5">
      <c r="A164" s="704" t="s">
        <v>5597</v>
      </c>
      <c r="B164" s="689" t="s">
        <v>3965</v>
      </c>
      <c r="C164" s="689" t="s">
        <v>2004</v>
      </c>
      <c r="D164" s="7" t="s">
        <v>2006</v>
      </c>
      <c r="E164" s="519" t="s">
        <v>5775</v>
      </c>
      <c r="F164" s="690" t="s">
        <v>2005</v>
      </c>
      <c r="G164" s="690" t="s">
        <v>11</v>
      </c>
      <c r="H164" s="519" t="s">
        <v>5774</v>
      </c>
      <c r="I164" s="691">
        <v>3585</v>
      </c>
      <c r="J164" s="692">
        <v>12770</v>
      </c>
      <c r="K164" s="703"/>
    </row>
    <row r="165" spans="1:11" s="693" customFormat="1" ht="25.5">
      <c r="A165" s="704" t="s">
        <v>5599</v>
      </c>
      <c r="B165" s="689" t="s">
        <v>3965</v>
      </c>
      <c r="C165" s="689" t="s">
        <v>1052</v>
      </c>
      <c r="D165" s="7" t="s">
        <v>6973</v>
      </c>
      <c r="E165" s="519" t="s">
        <v>324</v>
      </c>
      <c r="F165" s="690" t="s">
        <v>2005</v>
      </c>
      <c r="G165" s="690" t="s">
        <v>11</v>
      </c>
      <c r="H165" s="519" t="s">
        <v>6972</v>
      </c>
      <c r="I165" s="691">
        <v>1743</v>
      </c>
      <c r="J165" s="692">
        <v>16960</v>
      </c>
      <c r="K165" s="703"/>
    </row>
    <row r="166" spans="1:11" s="693" customFormat="1" ht="25.5">
      <c r="A166" s="704" t="s">
        <v>5606</v>
      </c>
      <c r="B166" s="689" t="s">
        <v>3965</v>
      </c>
      <c r="C166" s="689" t="s">
        <v>1052</v>
      </c>
      <c r="D166" s="7" t="s">
        <v>6973</v>
      </c>
      <c r="E166" s="519" t="s">
        <v>324</v>
      </c>
      <c r="F166" s="690" t="s">
        <v>2005</v>
      </c>
      <c r="G166" s="690" t="s">
        <v>11</v>
      </c>
      <c r="H166" s="519" t="s">
        <v>6972</v>
      </c>
      <c r="I166" s="691">
        <v>1743</v>
      </c>
      <c r="J166" s="692">
        <v>33100</v>
      </c>
      <c r="K166" s="703"/>
    </row>
    <row r="167" spans="1:11" s="693" customFormat="1" ht="25.5">
      <c r="A167" s="704" t="s">
        <v>5609</v>
      </c>
      <c r="B167" s="689" t="s">
        <v>544</v>
      </c>
      <c r="C167" s="689" t="s">
        <v>544</v>
      </c>
      <c r="D167" s="7" t="s">
        <v>7813</v>
      </c>
      <c r="E167" s="519" t="s">
        <v>7001</v>
      </c>
      <c r="F167" s="690" t="s">
        <v>546</v>
      </c>
      <c r="G167" s="690" t="s">
        <v>11</v>
      </c>
      <c r="H167" s="519" t="s">
        <v>6709</v>
      </c>
      <c r="I167" s="691">
        <v>252</v>
      </c>
      <c r="J167" s="692">
        <v>725</v>
      </c>
      <c r="K167" s="703"/>
    </row>
    <row r="168" spans="1:11" s="693" customFormat="1" ht="38.25">
      <c r="A168" s="704" t="s">
        <v>5615</v>
      </c>
      <c r="B168" s="689" t="s">
        <v>12279</v>
      </c>
      <c r="C168" s="689" t="s">
        <v>8694</v>
      </c>
      <c r="D168" s="7" t="s">
        <v>8696</v>
      </c>
      <c r="E168" s="519" t="s">
        <v>8697</v>
      </c>
      <c r="F168" s="690" t="s">
        <v>12280</v>
      </c>
      <c r="G168" s="690" t="s">
        <v>658</v>
      </c>
      <c r="H168" s="519" t="s">
        <v>8695</v>
      </c>
      <c r="I168" s="691">
        <v>68000</v>
      </c>
      <c r="J168" s="692">
        <v>152</v>
      </c>
      <c r="K168" s="703"/>
    </row>
    <row r="169" spans="1:11" s="693" customFormat="1" ht="63.75">
      <c r="A169" s="704" t="s">
        <v>5623</v>
      </c>
      <c r="B169" s="689" t="s">
        <v>4776</v>
      </c>
      <c r="C169" s="689" t="s">
        <v>4775</v>
      </c>
      <c r="D169" s="7" t="s">
        <v>8510</v>
      </c>
      <c r="E169" s="519" t="s">
        <v>8505</v>
      </c>
      <c r="F169" s="690" t="s">
        <v>4777</v>
      </c>
      <c r="G169" s="690" t="s">
        <v>11</v>
      </c>
      <c r="H169" s="519" t="s">
        <v>8509</v>
      </c>
      <c r="I169" s="691">
        <v>850</v>
      </c>
      <c r="J169" s="692">
        <v>8</v>
      </c>
      <c r="K169" s="703"/>
    </row>
    <row r="170" spans="1:11" s="693" customFormat="1" ht="51">
      <c r="A170" s="704" t="s">
        <v>5628</v>
      </c>
      <c r="B170" s="689" t="s">
        <v>4610</v>
      </c>
      <c r="C170" s="689" t="s">
        <v>4609</v>
      </c>
      <c r="D170" s="7" t="s">
        <v>8700</v>
      </c>
      <c r="E170" s="519" t="s">
        <v>8701</v>
      </c>
      <c r="F170" s="690" t="s">
        <v>4611</v>
      </c>
      <c r="G170" s="690" t="s">
        <v>11</v>
      </c>
      <c r="H170" s="519" t="s">
        <v>8699</v>
      </c>
      <c r="I170" s="691">
        <v>1850</v>
      </c>
      <c r="J170" s="692">
        <v>1924</v>
      </c>
      <c r="K170" s="703"/>
    </row>
    <row r="171" spans="1:11" s="693" customFormat="1">
      <c r="A171" s="704" t="s">
        <v>5633</v>
      </c>
      <c r="B171" s="689" t="s">
        <v>1326</v>
      </c>
      <c r="C171" s="689" t="s">
        <v>4405</v>
      </c>
      <c r="D171" s="7" t="s">
        <v>8154</v>
      </c>
      <c r="E171" s="519" t="s">
        <v>2385</v>
      </c>
      <c r="F171" s="690" t="s">
        <v>222</v>
      </c>
      <c r="G171" s="690" t="s">
        <v>11</v>
      </c>
      <c r="H171" s="519" t="s">
        <v>6982</v>
      </c>
      <c r="I171" s="691">
        <v>47</v>
      </c>
      <c r="J171" s="692">
        <v>3000</v>
      </c>
      <c r="K171" s="703"/>
    </row>
    <row r="172" spans="1:11" s="693" customFormat="1">
      <c r="A172" s="704" t="s">
        <v>5640</v>
      </c>
      <c r="B172" s="689" t="s">
        <v>2470</v>
      </c>
      <c r="C172" s="689" t="s">
        <v>6981</v>
      </c>
      <c r="D172" s="7" t="s">
        <v>6983</v>
      </c>
      <c r="E172" s="519" t="s">
        <v>2385</v>
      </c>
      <c r="F172" s="690" t="s">
        <v>384</v>
      </c>
      <c r="G172" s="690" t="s">
        <v>11</v>
      </c>
      <c r="H172" s="519" t="s">
        <v>6982</v>
      </c>
      <c r="I172" s="691">
        <v>129</v>
      </c>
      <c r="J172" s="692">
        <v>200</v>
      </c>
      <c r="K172" s="703"/>
    </row>
    <row r="173" spans="1:11" s="693" customFormat="1">
      <c r="A173" s="704" t="s">
        <v>5645</v>
      </c>
      <c r="B173" s="689" t="s">
        <v>2470</v>
      </c>
      <c r="C173" s="689" t="s">
        <v>6981</v>
      </c>
      <c r="D173" s="7" t="s">
        <v>6983</v>
      </c>
      <c r="E173" s="519" t="s">
        <v>2385</v>
      </c>
      <c r="F173" s="690" t="s">
        <v>384</v>
      </c>
      <c r="G173" s="690" t="s">
        <v>11</v>
      </c>
      <c r="H173" s="519" t="s">
        <v>6982</v>
      </c>
      <c r="I173" s="691">
        <v>129</v>
      </c>
      <c r="J173" s="692">
        <v>10800</v>
      </c>
      <c r="K173" s="703"/>
    </row>
    <row r="174" spans="1:11" s="693" customFormat="1" ht="51">
      <c r="A174" s="704" t="s">
        <v>5649</v>
      </c>
      <c r="B174" s="689" t="s">
        <v>12341</v>
      </c>
      <c r="C174" s="689" t="s">
        <v>12340</v>
      </c>
      <c r="D174" s="7" t="s">
        <v>8558</v>
      </c>
      <c r="E174" s="519" t="s">
        <v>8559</v>
      </c>
      <c r="F174" s="690" t="s">
        <v>12342</v>
      </c>
      <c r="G174" s="690" t="s">
        <v>11</v>
      </c>
      <c r="H174" s="519" t="s">
        <v>8523</v>
      </c>
      <c r="I174" s="691">
        <v>6000</v>
      </c>
      <c r="J174" s="692">
        <v>270</v>
      </c>
      <c r="K174" s="703"/>
    </row>
    <row r="175" spans="1:11" s="693" customFormat="1" ht="51">
      <c r="A175" s="704" t="s">
        <v>5656</v>
      </c>
      <c r="B175" s="689" t="s">
        <v>12341</v>
      </c>
      <c r="C175" s="689" t="s">
        <v>12340</v>
      </c>
      <c r="D175" s="7" t="s">
        <v>8558</v>
      </c>
      <c r="E175" s="519" t="s">
        <v>8559</v>
      </c>
      <c r="F175" s="690" t="s">
        <v>12342</v>
      </c>
      <c r="G175" s="690" t="s">
        <v>11</v>
      </c>
      <c r="H175" s="519" t="s">
        <v>8523</v>
      </c>
      <c r="I175" s="691">
        <v>6000</v>
      </c>
      <c r="J175" s="692">
        <v>9720</v>
      </c>
      <c r="K175" s="703"/>
    </row>
    <row r="176" spans="1:11" s="693" customFormat="1" ht="38.25">
      <c r="A176" s="704" t="s">
        <v>5662</v>
      </c>
      <c r="B176" s="689" t="s">
        <v>1167</v>
      </c>
      <c r="C176" s="689" t="s">
        <v>1168</v>
      </c>
      <c r="D176" s="7" t="s">
        <v>7825</v>
      </c>
      <c r="E176" s="519" t="s">
        <v>7674</v>
      </c>
      <c r="F176" s="690" t="s">
        <v>258</v>
      </c>
      <c r="G176" s="690" t="s">
        <v>11</v>
      </c>
      <c r="H176" s="519" t="s">
        <v>7824</v>
      </c>
      <c r="I176" s="691">
        <v>3990</v>
      </c>
      <c r="J176" s="692">
        <v>907</v>
      </c>
      <c r="K176" s="703"/>
    </row>
    <row r="177" spans="1:11" s="693" customFormat="1">
      <c r="A177" s="704" t="s">
        <v>5668</v>
      </c>
      <c r="B177" s="689" t="s">
        <v>713</v>
      </c>
      <c r="C177" s="689" t="s">
        <v>4965</v>
      </c>
      <c r="D177" s="7" t="s">
        <v>6479</v>
      </c>
      <c r="E177" s="519" t="s">
        <v>245</v>
      </c>
      <c r="F177" s="690" t="s">
        <v>327</v>
      </c>
      <c r="G177" s="690" t="s">
        <v>11</v>
      </c>
      <c r="H177" s="519" t="s">
        <v>6478</v>
      </c>
      <c r="I177" s="691">
        <v>630</v>
      </c>
      <c r="J177" s="692">
        <v>2487</v>
      </c>
      <c r="K177" s="703"/>
    </row>
    <row r="178" spans="1:11" s="693" customFormat="1" ht="25.5">
      <c r="A178" s="704" t="s">
        <v>5677</v>
      </c>
      <c r="B178" s="689" t="s">
        <v>1330</v>
      </c>
      <c r="C178" s="689" t="s">
        <v>2481</v>
      </c>
      <c r="D178" s="7" t="s">
        <v>6002</v>
      </c>
      <c r="E178" s="519" t="s">
        <v>6003</v>
      </c>
      <c r="F178" s="690" t="s">
        <v>1580</v>
      </c>
      <c r="G178" s="690" t="s">
        <v>520</v>
      </c>
      <c r="H178" s="519" t="s">
        <v>6001</v>
      </c>
      <c r="I178" s="691">
        <v>8900</v>
      </c>
      <c r="J178" s="692">
        <v>1</v>
      </c>
      <c r="K178" s="703"/>
    </row>
    <row r="179" spans="1:11" s="693" customFormat="1" ht="25.5">
      <c r="A179" s="704" t="s">
        <v>5681</v>
      </c>
      <c r="B179" s="689" t="s">
        <v>1330</v>
      </c>
      <c r="C179" s="689" t="s">
        <v>1330</v>
      </c>
      <c r="D179" s="7" t="s">
        <v>1332</v>
      </c>
      <c r="E179" s="519" t="s">
        <v>7001</v>
      </c>
      <c r="F179" s="690" t="s">
        <v>291</v>
      </c>
      <c r="G179" s="690" t="s">
        <v>11</v>
      </c>
      <c r="H179" s="519" t="s">
        <v>7485</v>
      </c>
      <c r="I179" s="691">
        <v>100</v>
      </c>
      <c r="J179" s="692">
        <v>306</v>
      </c>
      <c r="K179" s="703"/>
    </row>
    <row r="180" spans="1:11" s="693" customFormat="1" ht="25.5">
      <c r="A180" s="704" t="s">
        <v>5685</v>
      </c>
      <c r="B180" s="689" t="s">
        <v>1330</v>
      </c>
      <c r="C180" s="689" t="s">
        <v>2481</v>
      </c>
      <c r="D180" s="7" t="s">
        <v>6002</v>
      </c>
      <c r="E180" s="519" t="s">
        <v>6003</v>
      </c>
      <c r="F180" s="690" t="s">
        <v>1580</v>
      </c>
      <c r="G180" s="690" t="s">
        <v>520</v>
      </c>
      <c r="H180" s="519" t="s">
        <v>6001</v>
      </c>
      <c r="I180" s="691">
        <v>8900</v>
      </c>
      <c r="J180" s="692">
        <v>456</v>
      </c>
      <c r="K180" s="703"/>
    </row>
    <row r="181" spans="1:11" s="693" customFormat="1" ht="25.5">
      <c r="A181" s="704" t="s">
        <v>5694</v>
      </c>
      <c r="B181" s="689" t="s">
        <v>1330</v>
      </c>
      <c r="C181" s="689" t="s">
        <v>1330</v>
      </c>
      <c r="D181" s="7" t="s">
        <v>1332</v>
      </c>
      <c r="E181" s="519" t="s">
        <v>7001</v>
      </c>
      <c r="F181" s="690" t="s">
        <v>291</v>
      </c>
      <c r="G181" s="690" t="s">
        <v>11</v>
      </c>
      <c r="H181" s="519" t="s">
        <v>7485</v>
      </c>
      <c r="I181" s="691">
        <v>100</v>
      </c>
      <c r="J181" s="692">
        <v>2000</v>
      </c>
      <c r="K181" s="703"/>
    </row>
    <row r="182" spans="1:11" s="693" customFormat="1" ht="25.5">
      <c r="A182" s="704" t="s">
        <v>5697</v>
      </c>
      <c r="B182" s="689" t="s">
        <v>1330</v>
      </c>
      <c r="C182" s="689" t="s">
        <v>1330</v>
      </c>
      <c r="D182" s="7" t="s">
        <v>1332</v>
      </c>
      <c r="E182" s="519" t="s">
        <v>7001</v>
      </c>
      <c r="F182" s="690" t="s">
        <v>291</v>
      </c>
      <c r="G182" s="690" t="s">
        <v>11</v>
      </c>
      <c r="H182" s="519" t="s">
        <v>7485</v>
      </c>
      <c r="I182" s="691">
        <v>100</v>
      </c>
      <c r="J182" s="692">
        <v>29000</v>
      </c>
      <c r="K182" s="703"/>
    </row>
    <row r="183" spans="1:11" s="693" customFormat="1" ht="25.5">
      <c r="A183" s="704" t="s">
        <v>5703</v>
      </c>
      <c r="B183" s="689" t="s">
        <v>1330</v>
      </c>
      <c r="C183" s="689" t="s">
        <v>3929</v>
      </c>
      <c r="D183" s="7" t="s">
        <v>7488</v>
      </c>
      <c r="E183" s="519" t="s">
        <v>2385</v>
      </c>
      <c r="F183" s="690" t="s">
        <v>1580</v>
      </c>
      <c r="G183" s="690" t="s">
        <v>11</v>
      </c>
      <c r="H183" s="519" t="s">
        <v>7487</v>
      </c>
      <c r="I183" s="691">
        <v>140</v>
      </c>
      <c r="J183" s="692">
        <v>30000</v>
      </c>
      <c r="K183" s="703"/>
    </row>
    <row r="184" spans="1:11" s="693" customFormat="1" ht="25.5">
      <c r="A184" s="704" t="s">
        <v>5706</v>
      </c>
      <c r="B184" s="689" t="s">
        <v>133</v>
      </c>
      <c r="C184" s="689" t="s">
        <v>132</v>
      </c>
      <c r="D184" s="7" t="s">
        <v>2330</v>
      </c>
      <c r="E184" s="519" t="s">
        <v>8736</v>
      </c>
      <c r="F184" s="690" t="s">
        <v>134</v>
      </c>
      <c r="G184" s="690" t="s">
        <v>11</v>
      </c>
      <c r="H184" s="519" t="s">
        <v>8735</v>
      </c>
      <c r="I184" s="691">
        <v>1407</v>
      </c>
      <c r="J184" s="692">
        <v>1373</v>
      </c>
      <c r="K184" s="703"/>
    </row>
    <row r="185" spans="1:11" s="693" customFormat="1" ht="25.5">
      <c r="A185" s="704" t="s">
        <v>5711</v>
      </c>
      <c r="B185" s="689" t="s">
        <v>133</v>
      </c>
      <c r="C185" s="689" t="s">
        <v>132</v>
      </c>
      <c r="D185" s="7" t="s">
        <v>2330</v>
      </c>
      <c r="E185" s="519" t="s">
        <v>8736</v>
      </c>
      <c r="F185" s="690" t="s">
        <v>134</v>
      </c>
      <c r="G185" s="690" t="s">
        <v>11</v>
      </c>
      <c r="H185" s="519" t="s">
        <v>8735</v>
      </c>
      <c r="I185" s="691">
        <v>1407</v>
      </c>
      <c r="J185" s="692">
        <v>30000</v>
      </c>
      <c r="K185" s="703"/>
    </row>
    <row r="186" spans="1:11" s="693" customFormat="1" ht="63.75">
      <c r="A186" s="704" t="s">
        <v>5718</v>
      </c>
      <c r="B186" s="689" t="s">
        <v>68</v>
      </c>
      <c r="C186" s="689" t="s">
        <v>68</v>
      </c>
      <c r="D186" s="7" t="s">
        <v>8752</v>
      </c>
      <c r="E186" s="519" t="s">
        <v>2168</v>
      </c>
      <c r="F186" s="690" t="s">
        <v>429</v>
      </c>
      <c r="G186" s="690" t="s">
        <v>11</v>
      </c>
      <c r="H186" s="519" t="s">
        <v>8751</v>
      </c>
      <c r="I186" s="691">
        <v>300</v>
      </c>
      <c r="J186" s="692">
        <v>5000</v>
      </c>
      <c r="K186" s="703"/>
    </row>
    <row r="187" spans="1:11" s="693" customFormat="1" ht="25.5">
      <c r="A187" s="704" t="s">
        <v>5723</v>
      </c>
      <c r="B187" s="689" t="s">
        <v>4598</v>
      </c>
      <c r="C187" s="689" t="s">
        <v>4597</v>
      </c>
      <c r="D187" s="7" t="s">
        <v>8770</v>
      </c>
      <c r="E187" s="519" t="s">
        <v>2310</v>
      </c>
      <c r="F187" s="690" t="s">
        <v>4599</v>
      </c>
      <c r="G187" s="690" t="s">
        <v>11</v>
      </c>
      <c r="H187" s="519" t="s">
        <v>8732</v>
      </c>
      <c r="I187" s="691">
        <v>1945</v>
      </c>
      <c r="J187" s="692">
        <v>1358</v>
      </c>
      <c r="K187" s="703"/>
    </row>
    <row r="188" spans="1:11" s="693" customFormat="1" ht="51">
      <c r="A188" s="704" t="s">
        <v>5728</v>
      </c>
      <c r="B188" s="689" t="s">
        <v>162</v>
      </c>
      <c r="C188" s="689" t="s">
        <v>161</v>
      </c>
      <c r="D188" s="7" t="s">
        <v>8763</v>
      </c>
      <c r="E188" s="519" t="s">
        <v>2397</v>
      </c>
      <c r="F188" s="690" t="s">
        <v>4724</v>
      </c>
      <c r="G188" s="690" t="s">
        <v>11</v>
      </c>
      <c r="H188" s="519" t="s">
        <v>8660</v>
      </c>
      <c r="I188" s="691">
        <v>1680</v>
      </c>
      <c r="J188" s="692">
        <v>5000</v>
      </c>
      <c r="K188" s="703"/>
    </row>
    <row r="189" spans="1:11" s="693" customFormat="1" ht="51">
      <c r="A189" s="704" t="s">
        <v>5730</v>
      </c>
      <c r="B189" s="689" t="s">
        <v>162</v>
      </c>
      <c r="C189" s="689" t="s">
        <v>161</v>
      </c>
      <c r="D189" s="7" t="s">
        <v>8763</v>
      </c>
      <c r="E189" s="519" t="s">
        <v>2397</v>
      </c>
      <c r="F189" s="690" t="s">
        <v>4724</v>
      </c>
      <c r="G189" s="690" t="s">
        <v>11</v>
      </c>
      <c r="H189" s="519" t="s">
        <v>8660</v>
      </c>
      <c r="I189" s="691">
        <v>1680</v>
      </c>
      <c r="J189" s="692">
        <v>5299</v>
      </c>
      <c r="K189" s="703"/>
    </row>
    <row r="190" spans="1:11" s="693" customFormat="1" ht="25.5">
      <c r="A190" s="704" t="s">
        <v>5734</v>
      </c>
      <c r="B190" s="689" t="s">
        <v>1970</v>
      </c>
      <c r="C190" s="689" t="s">
        <v>1971</v>
      </c>
      <c r="D190" s="7" t="s">
        <v>1973</v>
      </c>
      <c r="E190" s="519" t="s">
        <v>1953</v>
      </c>
      <c r="F190" s="690" t="s">
        <v>1972</v>
      </c>
      <c r="G190" s="690" t="s">
        <v>11</v>
      </c>
      <c r="H190" s="519" t="s">
        <v>7498</v>
      </c>
      <c r="I190" s="691">
        <v>1785</v>
      </c>
      <c r="J190" s="692">
        <v>2939</v>
      </c>
      <c r="K190" s="703"/>
    </row>
    <row r="191" spans="1:11" s="693" customFormat="1" ht="25.5">
      <c r="A191" s="704" t="s">
        <v>5737</v>
      </c>
      <c r="B191" s="689" t="s">
        <v>6665</v>
      </c>
      <c r="C191" s="689" t="s">
        <v>6666</v>
      </c>
      <c r="D191" s="7" t="s">
        <v>6667</v>
      </c>
      <c r="E191" s="519" t="s">
        <v>6102</v>
      </c>
      <c r="F191" s="690" t="s">
        <v>869</v>
      </c>
      <c r="G191" s="690" t="s">
        <v>11</v>
      </c>
      <c r="H191" s="519" t="s">
        <v>6143</v>
      </c>
      <c r="I191" s="691">
        <v>1200</v>
      </c>
      <c r="J191" s="692">
        <v>1833</v>
      </c>
      <c r="K191" s="703"/>
    </row>
    <row r="192" spans="1:11" s="693" customFormat="1" ht="25.5">
      <c r="A192" s="704" t="s">
        <v>5742</v>
      </c>
      <c r="B192" s="689" t="s">
        <v>1585</v>
      </c>
      <c r="C192" s="689" t="s">
        <v>1586</v>
      </c>
      <c r="D192" s="699" t="s">
        <v>1589</v>
      </c>
      <c r="E192" s="694" t="s">
        <v>772</v>
      </c>
      <c r="F192" s="690" t="s">
        <v>1587</v>
      </c>
      <c r="G192" s="690" t="s">
        <v>13</v>
      </c>
      <c r="H192" s="519" t="s">
        <v>6814</v>
      </c>
      <c r="I192" s="691">
        <v>7900</v>
      </c>
      <c r="J192" s="692">
        <v>1</v>
      </c>
      <c r="K192" s="703"/>
    </row>
    <row r="193" spans="1:11" s="693" customFormat="1" ht="25.5">
      <c r="A193" s="704" t="s">
        <v>5744</v>
      </c>
      <c r="B193" s="689" t="s">
        <v>1585</v>
      </c>
      <c r="C193" s="689" t="s">
        <v>1586</v>
      </c>
      <c r="D193" s="7" t="s">
        <v>1589</v>
      </c>
      <c r="E193" s="519" t="s">
        <v>772</v>
      </c>
      <c r="F193" s="690" t="s">
        <v>1587</v>
      </c>
      <c r="G193" s="690" t="s">
        <v>13</v>
      </c>
      <c r="H193" s="519" t="s">
        <v>6814</v>
      </c>
      <c r="I193" s="691">
        <v>7750</v>
      </c>
      <c r="J193" s="692">
        <v>1000</v>
      </c>
      <c r="K193" s="703"/>
    </row>
    <row r="194" spans="1:11" s="693" customFormat="1" ht="25.5">
      <c r="A194" s="704" t="s">
        <v>5747</v>
      </c>
      <c r="B194" s="689" t="s">
        <v>1212</v>
      </c>
      <c r="C194" s="689" t="s">
        <v>6308</v>
      </c>
      <c r="D194" s="7" t="s">
        <v>970</v>
      </c>
      <c r="E194" s="519" t="s">
        <v>948</v>
      </c>
      <c r="F194" s="690" t="s">
        <v>945</v>
      </c>
      <c r="G194" s="690" t="s">
        <v>12</v>
      </c>
      <c r="H194" s="519" t="s">
        <v>6309</v>
      </c>
      <c r="I194" s="691">
        <v>3475</v>
      </c>
      <c r="J194" s="692">
        <v>1789</v>
      </c>
      <c r="K194" s="703"/>
    </row>
    <row r="195" spans="1:11" s="693" customFormat="1" ht="25.5">
      <c r="A195" s="704" t="s">
        <v>5754</v>
      </c>
      <c r="B195" s="689" t="s">
        <v>3936</v>
      </c>
      <c r="C195" s="689" t="s">
        <v>3935</v>
      </c>
      <c r="D195" s="7" t="s">
        <v>6825</v>
      </c>
      <c r="E195" s="519" t="s">
        <v>1890</v>
      </c>
      <c r="F195" s="690" t="s">
        <v>3937</v>
      </c>
      <c r="G195" s="690" t="s">
        <v>16</v>
      </c>
      <c r="H195" s="519" t="s">
        <v>6824</v>
      </c>
      <c r="I195" s="691">
        <v>5950</v>
      </c>
      <c r="J195" s="692">
        <v>1592</v>
      </c>
      <c r="K195" s="703"/>
    </row>
    <row r="196" spans="1:11" s="693" customFormat="1" ht="25.5">
      <c r="A196" s="704" t="s">
        <v>5756</v>
      </c>
      <c r="B196" s="689" t="s">
        <v>1215</v>
      </c>
      <c r="C196" s="689" t="s">
        <v>1013</v>
      </c>
      <c r="D196" s="7" t="s">
        <v>6325</v>
      </c>
      <c r="E196" s="519" t="s">
        <v>1536</v>
      </c>
      <c r="F196" s="690" t="s">
        <v>1014</v>
      </c>
      <c r="G196" s="690" t="s">
        <v>10</v>
      </c>
      <c r="H196" s="519" t="s">
        <v>12669</v>
      </c>
      <c r="I196" s="691">
        <v>3258</v>
      </c>
      <c r="J196" s="692">
        <v>62</v>
      </c>
      <c r="K196" s="703"/>
    </row>
    <row r="197" spans="1:11" s="693" customFormat="1" ht="25.5">
      <c r="A197" s="704" t="s">
        <v>5760</v>
      </c>
      <c r="B197" s="689" t="s">
        <v>1215</v>
      </c>
      <c r="C197" s="689" t="s">
        <v>4421</v>
      </c>
      <c r="D197" s="7" t="s">
        <v>6325</v>
      </c>
      <c r="E197" s="519" t="s">
        <v>1536</v>
      </c>
      <c r="F197" s="690" t="s">
        <v>1217</v>
      </c>
      <c r="G197" s="690" t="s">
        <v>11</v>
      </c>
      <c r="H197" s="519" t="s">
        <v>12669</v>
      </c>
      <c r="I197" s="691">
        <v>2990</v>
      </c>
      <c r="J197" s="692">
        <v>3000</v>
      </c>
      <c r="K197" s="703"/>
    </row>
    <row r="198" spans="1:11" s="693" customFormat="1" ht="25.5">
      <c r="A198" s="704" t="s">
        <v>5761</v>
      </c>
      <c r="B198" s="689" t="s">
        <v>8165</v>
      </c>
      <c r="C198" s="689" t="s">
        <v>2471</v>
      </c>
      <c r="D198" s="7" t="s">
        <v>8167</v>
      </c>
      <c r="E198" s="519" t="s">
        <v>7015</v>
      </c>
      <c r="F198" s="690" t="s">
        <v>8166</v>
      </c>
      <c r="G198" s="690" t="s">
        <v>520</v>
      </c>
      <c r="H198" s="519" t="s">
        <v>7204</v>
      </c>
      <c r="I198" s="691">
        <v>567</v>
      </c>
      <c r="J198" s="692">
        <v>10</v>
      </c>
      <c r="K198" s="703"/>
    </row>
    <row r="199" spans="1:11" s="693" customFormat="1" ht="25.5">
      <c r="A199" s="704" t="s">
        <v>5764</v>
      </c>
      <c r="B199" s="689" t="s">
        <v>2472</v>
      </c>
      <c r="C199" s="689" t="s">
        <v>2471</v>
      </c>
      <c r="D199" s="7" t="s">
        <v>8167</v>
      </c>
      <c r="E199" s="519" t="s">
        <v>530</v>
      </c>
      <c r="F199" s="690" t="s">
        <v>1016</v>
      </c>
      <c r="G199" s="690" t="s">
        <v>628</v>
      </c>
      <c r="H199" s="519" t="s">
        <v>7204</v>
      </c>
      <c r="I199" s="691">
        <v>630</v>
      </c>
      <c r="J199" s="692">
        <v>15</v>
      </c>
      <c r="K199" s="703"/>
    </row>
    <row r="200" spans="1:11" s="693" customFormat="1" ht="76.5">
      <c r="A200" s="704" t="s">
        <v>5768</v>
      </c>
      <c r="B200" s="689" t="s">
        <v>12440</v>
      </c>
      <c r="C200" s="689" t="s">
        <v>189</v>
      </c>
      <c r="D200" s="7" t="s">
        <v>8801</v>
      </c>
      <c r="E200" s="519" t="s">
        <v>2413</v>
      </c>
      <c r="F200" s="690" t="s">
        <v>12441</v>
      </c>
      <c r="G200" s="690" t="s">
        <v>11</v>
      </c>
      <c r="H200" s="519" t="s">
        <v>8792</v>
      </c>
      <c r="I200" s="691">
        <v>2975</v>
      </c>
      <c r="J200" s="692">
        <v>6</v>
      </c>
      <c r="K200" s="703"/>
    </row>
    <row r="201" spans="1:11" s="693" customFormat="1" ht="76.5">
      <c r="A201" s="704" t="s">
        <v>5773</v>
      </c>
      <c r="B201" s="689" t="s">
        <v>12440</v>
      </c>
      <c r="C201" s="689" t="s">
        <v>189</v>
      </c>
      <c r="D201" s="7" t="s">
        <v>8801</v>
      </c>
      <c r="E201" s="519" t="s">
        <v>2413</v>
      </c>
      <c r="F201" s="690" t="s">
        <v>12441</v>
      </c>
      <c r="G201" s="690" t="s">
        <v>11</v>
      </c>
      <c r="H201" s="519" t="s">
        <v>8792</v>
      </c>
      <c r="I201" s="691">
        <v>2975</v>
      </c>
      <c r="J201" s="692">
        <v>10000</v>
      </c>
      <c r="K201" s="703"/>
    </row>
    <row r="202" spans="1:11" s="693" customFormat="1" ht="76.5">
      <c r="A202" s="704" t="s">
        <v>5776</v>
      </c>
      <c r="B202" s="689" t="s">
        <v>200</v>
      </c>
      <c r="C202" s="689" t="s">
        <v>199</v>
      </c>
      <c r="D202" s="7" t="s">
        <v>8804</v>
      </c>
      <c r="E202" s="519" t="s">
        <v>2397</v>
      </c>
      <c r="F202" s="690" t="s">
        <v>4762</v>
      </c>
      <c r="G202" s="690" t="s">
        <v>11</v>
      </c>
      <c r="H202" s="519" t="s">
        <v>8657</v>
      </c>
      <c r="I202" s="691">
        <v>720</v>
      </c>
      <c r="J202" s="692">
        <v>20000</v>
      </c>
      <c r="K202" s="703"/>
    </row>
    <row r="203" spans="1:11" s="693" customFormat="1" ht="63.75">
      <c r="A203" s="704" t="s">
        <v>5780</v>
      </c>
      <c r="B203" s="689" t="s">
        <v>4626</v>
      </c>
      <c r="C203" s="689" t="s">
        <v>4625</v>
      </c>
      <c r="D203" s="7" t="s">
        <v>8893</v>
      </c>
      <c r="E203" s="519" t="s">
        <v>12665</v>
      </c>
      <c r="F203" s="690" t="s">
        <v>4627</v>
      </c>
      <c r="G203" s="690" t="s">
        <v>15</v>
      </c>
      <c r="H203" s="519" t="s">
        <v>8887</v>
      </c>
      <c r="I203" s="691">
        <v>55000</v>
      </c>
      <c r="J203" s="692">
        <v>370</v>
      </c>
      <c r="K203" s="703"/>
    </row>
    <row r="204" spans="1:11" s="693" customFormat="1" ht="76.5">
      <c r="A204" s="704" t="s">
        <v>5788</v>
      </c>
      <c r="B204" s="689" t="s">
        <v>4647</v>
      </c>
      <c r="C204" s="689" t="s">
        <v>2283</v>
      </c>
      <c r="D204" s="7" t="s">
        <v>8811</v>
      </c>
      <c r="E204" s="519" t="s">
        <v>2253</v>
      </c>
      <c r="F204" s="690" t="s">
        <v>4648</v>
      </c>
      <c r="G204" s="690" t="s">
        <v>11</v>
      </c>
      <c r="H204" s="519" t="s">
        <v>8616</v>
      </c>
      <c r="I204" s="691">
        <v>750</v>
      </c>
      <c r="J204" s="692">
        <v>25000</v>
      </c>
      <c r="K204" s="703"/>
    </row>
    <row r="205" spans="1:11" s="693" customFormat="1" ht="25.5">
      <c r="A205" s="704" t="s">
        <v>5795</v>
      </c>
      <c r="B205" s="689" t="s">
        <v>1333</v>
      </c>
      <c r="C205" s="689" t="s">
        <v>630</v>
      </c>
      <c r="D205" s="7" t="s">
        <v>633</v>
      </c>
      <c r="E205" s="519" t="s">
        <v>621</v>
      </c>
      <c r="F205" s="690" t="s">
        <v>3716</v>
      </c>
      <c r="G205" s="690" t="s">
        <v>15</v>
      </c>
      <c r="H205" s="519" t="s">
        <v>7958</v>
      </c>
      <c r="I205" s="691">
        <v>6132</v>
      </c>
      <c r="J205" s="692">
        <v>10</v>
      </c>
      <c r="K205" s="703"/>
    </row>
    <row r="206" spans="1:11" s="693" customFormat="1">
      <c r="A206" s="704" t="s">
        <v>5798</v>
      </c>
      <c r="B206" s="689" t="s">
        <v>1333</v>
      </c>
      <c r="C206" s="689" t="s">
        <v>3945</v>
      </c>
      <c r="D206" s="7" t="s">
        <v>7961</v>
      </c>
      <c r="E206" s="519" t="s">
        <v>2385</v>
      </c>
      <c r="F206" s="690" t="s">
        <v>238</v>
      </c>
      <c r="G206" s="690" t="s">
        <v>11</v>
      </c>
      <c r="H206" s="519" t="s">
        <v>7960</v>
      </c>
      <c r="I206" s="691">
        <v>53</v>
      </c>
      <c r="J206" s="692">
        <v>260</v>
      </c>
      <c r="K206" s="703"/>
    </row>
    <row r="207" spans="1:11" s="693" customFormat="1" ht="25.5">
      <c r="A207" s="704" t="s">
        <v>5808</v>
      </c>
      <c r="B207" s="689" t="s">
        <v>1333</v>
      </c>
      <c r="C207" s="689" t="s">
        <v>1538</v>
      </c>
      <c r="D207" s="7" t="s">
        <v>1539</v>
      </c>
      <c r="E207" s="519" t="s">
        <v>458</v>
      </c>
      <c r="F207" s="690" t="s">
        <v>238</v>
      </c>
      <c r="G207" s="690" t="s">
        <v>10</v>
      </c>
      <c r="H207" s="519" t="s">
        <v>12671</v>
      </c>
      <c r="I207" s="691">
        <v>980</v>
      </c>
      <c r="J207" s="692">
        <v>279</v>
      </c>
      <c r="K207" s="703"/>
    </row>
    <row r="208" spans="1:11" s="693" customFormat="1" ht="25.5">
      <c r="A208" s="704" t="s">
        <v>5815</v>
      </c>
      <c r="B208" s="689" t="s">
        <v>1333</v>
      </c>
      <c r="C208" s="689" t="s">
        <v>1538</v>
      </c>
      <c r="D208" s="7" t="s">
        <v>1539</v>
      </c>
      <c r="E208" s="519" t="s">
        <v>458</v>
      </c>
      <c r="F208" s="690" t="s">
        <v>238</v>
      </c>
      <c r="G208" s="690" t="s">
        <v>11</v>
      </c>
      <c r="H208" s="519" t="s">
        <v>12671</v>
      </c>
      <c r="I208" s="691">
        <v>980</v>
      </c>
      <c r="J208" s="692">
        <v>1000</v>
      </c>
      <c r="K208" s="703"/>
    </row>
    <row r="209" spans="1:11" s="693" customFormat="1" ht="25.5">
      <c r="A209" s="704" t="s">
        <v>5820</v>
      </c>
      <c r="B209" s="689" t="s">
        <v>1333</v>
      </c>
      <c r="C209" s="689" t="s">
        <v>1538</v>
      </c>
      <c r="D209" s="7" t="s">
        <v>1539</v>
      </c>
      <c r="E209" s="519" t="s">
        <v>458</v>
      </c>
      <c r="F209" s="690" t="s">
        <v>238</v>
      </c>
      <c r="G209" s="690" t="s">
        <v>11</v>
      </c>
      <c r="H209" s="519" t="s">
        <v>12670</v>
      </c>
      <c r="I209" s="691">
        <v>980</v>
      </c>
      <c r="J209" s="692">
        <v>6000</v>
      </c>
      <c r="K209" s="703"/>
    </row>
    <row r="210" spans="1:11" s="693" customFormat="1" ht="25.5">
      <c r="A210" s="704" t="s">
        <v>5824</v>
      </c>
      <c r="B210" s="689" t="s">
        <v>629</v>
      </c>
      <c r="C210" s="689" t="s">
        <v>3751</v>
      </c>
      <c r="D210" s="7" t="s">
        <v>7964</v>
      </c>
      <c r="E210" s="519" t="s">
        <v>7575</v>
      </c>
      <c r="F210" s="690" t="s">
        <v>631</v>
      </c>
      <c r="G210" s="690" t="s">
        <v>15</v>
      </c>
      <c r="H210" s="519" t="s">
        <v>7963</v>
      </c>
      <c r="I210" s="691">
        <v>11270</v>
      </c>
      <c r="J210" s="692">
        <v>47</v>
      </c>
      <c r="K210" s="703"/>
    </row>
    <row r="211" spans="1:11" s="693" customFormat="1">
      <c r="A211" s="704" t="s">
        <v>5829</v>
      </c>
      <c r="B211" s="689" t="s">
        <v>3974</v>
      </c>
      <c r="C211" s="689" t="s">
        <v>3973</v>
      </c>
      <c r="D211" s="7" t="s">
        <v>8320</v>
      </c>
      <c r="E211" s="519" t="s">
        <v>7649</v>
      </c>
      <c r="F211" s="690" t="s">
        <v>229</v>
      </c>
      <c r="G211" s="690" t="s">
        <v>11</v>
      </c>
      <c r="H211" s="519" t="s">
        <v>8319</v>
      </c>
      <c r="I211" s="691">
        <v>1050</v>
      </c>
      <c r="J211" s="692">
        <v>276</v>
      </c>
      <c r="K211" s="703"/>
    </row>
    <row r="212" spans="1:11" s="693" customFormat="1">
      <c r="A212" s="704" t="s">
        <v>5834</v>
      </c>
      <c r="B212" s="689" t="s">
        <v>3974</v>
      </c>
      <c r="C212" s="689" t="s">
        <v>3973</v>
      </c>
      <c r="D212" s="7" t="s">
        <v>8320</v>
      </c>
      <c r="E212" s="519" t="s">
        <v>7649</v>
      </c>
      <c r="F212" s="690" t="s">
        <v>229</v>
      </c>
      <c r="G212" s="690" t="s">
        <v>11</v>
      </c>
      <c r="H212" s="519" t="s">
        <v>8319</v>
      </c>
      <c r="I212" s="691">
        <v>1050</v>
      </c>
      <c r="J212" s="692">
        <v>1868</v>
      </c>
      <c r="K212" s="703"/>
    </row>
    <row r="213" spans="1:11" s="693" customFormat="1" ht="25.5">
      <c r="A213" s="704" t="s">
        <v>5838</v>
      </c>
      <c r="B213" s="689" t="s">
        <v>3974</v>
      </c>
      <c r="C213" s="689" t="s">
        <v>6809</v>
      </c>
      <c r="D213" s="7" t="s">
        <v>6810</v>
      </c>
      <c r="E213" s="519" t="s">
        <v>6532</v>
      </c>
      <c r="F213" s="690" t="s">
        <v>267</v>
      </c>
      <c r="G213" s="690" t="s">
        <v>11</v>
      </c>
      <c r="H213" s="519" t="s">
        <v>6644</v>
      </c>
      <c r="I213" s="691">
        <v>630</v>
      </c>
      <c r="J213" s="692">
        <v>9990</v>
      </c>
      <c r="K213" s="703"/>
    </row>
    <row r="214" spans="1:11" s="693" customFormat="1" ht="25.5">
      <c r="A214" s="704" t="s">
        <v>5843</v>
      </c>
      <c r="B214" s="689" t="s">
        <v>12434</v>
      </c>
      <c r="C214" s="689" t="s">
        <v>12433</v>
      </c>
      <c r="D214" s="7" t="s">
        <v>8534</v>
      </c>
      <c r="E214" s="519" t="s">
        <v>8535</v>
      </c>
      <c r="F214" s="690" t="s">
        <v>8531</v>
      </c>
      <c r="G214" s="690" t="s">
        <v>13</v>
      </c>
      <c r="H214" s="519" t="s">
        <v>8533</v>
      </c>
      <c r="I214" s="691">
        <v>1800</v>
      </c>
      <c r="J214" s="692">
        <v>3130</v>
      </c>
      <c r="K214" s="703"/>
    </row>
    <row r="215" spans="1:11" s="693" customFormat="1" ht="25.5">
      <c r="A215" s="704" t="s">
        <v>5847</v>
      </c>
      <c r="B215" s="689" t="s">
        <v>12434</v>
      </c>
      <c r="C215" s="689" t="s">
        <v>12433</v>
      </c>
      <c r="D215" s="7" t="s">
        <v>8534</v>
      </c>
      <c r="E215" s="519" t="s">
        <v>8535</v>
      </c>
      <c r="F215" s="690" t="s">
        <v>8531</v>
      </c>
      <c r="G215" s="690" t="s">
        <v>13</v>
      </c>
      <c r="H215" s="519" t="s">
        <v>8533</v>
      </c>
      <c r="I215" s="691">
        <v>1800</v>
      </c>
      <c r="J215" s="692">
        <v>6870</v>
      </c>
      <c r="K215" s="703"/>
    </row>
    <row r="216" spans="1:11" s="693" customFormat="1" ht="63.75">
      <c r="A216" s="704" t="s">
        <v>5854</v>
      </c>
      <c r="B216" s="689" t="s">
        <v>176</v>
      </c>
      <c r="C216" s="689" t="s">
        <v>175</v>
      </c>
      <c r="D216" s="7" t="s">
        <v>8614</v>
      </c>
      <c r="E216" s="519" t="s">
        <v>8598</v>
      </c>
      <c r="F216" s="690" t="s">
        <v>4745</v>
      </c>
      <c r="G216" s="690" t="s">
        <v>13</v>
      </c>
      <c r="H216" s="519" t="s">
        <v>8613</v>
      </c>
      <c r="I216" s="691">
        <v>2750</v>
      </c>
      <c r="J216" s="692">
        <v>616</v>
      </c>
      <c r="K216" s="703"/>
    </row>
    <row r="217" spans="1:11" s="693" customFormat="1" ht="51">
      <c r="A217" s="704" t="s">
        <v>5862</v>
      </c>
      <c r="B217" s="689" t="s">
        <v>4767</v>
      </c>
      <c r="C217" s="689" t="s">
        <v>4766</v>
      </c>
      <c r="D217" s="7" t="s">
        <v>8640</v>
      </c>
      <c r="E217" s="519" t="s">
        <v>8559</v>
      </c>
      <c r="F217" s="690" t="s">
        <v>4768</v>
      </c>
      <c r="G217" s="690" t="s">
        <v>11</v>
      </c>
      <c r="H217" s="519" t="s">
        <v>8523</v>
      </c>
      <c r="I217" s="691">
        <v>900</v>
      </c>
      <c r="J217" s="692">
        <v>4980</v>
      </c>
      <c r="K217" s="703"/>
    </row>
    <row r="218" spans="1:11" s="693" customFormat="1" ht="38.25">
      <c r="A218" s="704" t="s">
        <v>5865</v>
      </c>
      <c r="B218" s="689" t="s">
        <v>7519</v>
      </c>
      <c r="C218" s="689" t="s">
        <v>7520</v>
      </c>
      <c r="D218" s="7" t="s">
        <v>7522</v>
      </c>
      <c r="E218" s="519" t="s">
        <v>7523</v>
      </c>
      <c r="F218" s="690" t="s">
        <v>4782</v>
      </c>
      <c r="G218" s="690" t="s">
        <v>11</v>
      </c>
      <c r="H218" s="519" t="s">
        <v>7521</v>
      </c>
      <c r="I218" s="691">
        <v>12200</v>
      </c>
      <c r="J218" s="692">
        <v>49</v>
      </c>
      <c r="K218" s="703"/>
    </row>
    <row r="219" spans="1:11" s="693" customFormat="1">
      <c r="A219" s="704" t="s">
        <v>5869</v>
      </c>
      <c r="B219" s="689" t="s">
        <v>236</v>
      </c>
      <c r="C219" s="689" t="s">
        <v>4894</v>
      </c>
      <c r="D219" s="7" t="s">
        <v>239</v>
      </c>
      <c r="E219" s="519" t="s">
        <v>240</v>
      </c>
      <c r="F219" s="690" t="s">
        <v>238</v>
      </c>
      <c r="G219" s="690" t="s">
        <v>10</v>
      </c>
      <c r="H219" s="519" t="s">
        <v>5103</v>
      </c>
      <c r="I219" s="691">
        <v>136</v>
      </c>
      <c r="J219" s="692">
        <v>3000</v>
      </c>
      <c r="K219" s="703"/>
    </row>
    <row r="220" spans="1:11" s="693" customFormat="1">
      <c r="A220" s="704" t="s">
        <v>5873</v>
      </c>
      <c r="B220" s="689" t="s">
        <v>236</v>
      </c>
      <c r="C220" s="689" t="s">
        <v>236</v>
      </c>
      <c r="D220" s="7" t="s">
        <v>375</v>
      </c>
      <c r="E220" s="519" t="s">
        <v>360</v>
      </c>
      <c r="F220" s="690" t="s">
        <v>327</v>
      </c>
      <c r="G220" s="690" t="s">
        <v>10</v>
      </c>
      <c r="H220" s="519" t="s">
        <v>5103</v>
      </c>
      <c r="I220" s="691">
        <v>77</v>
      </c>
      <c r="J220" s="692">
        <v>51575</v>
      </c>
      <c r="K220" s="703"/>
    </row>
    <row r="221" spans="1:11" s="693" customFormat="1">
      <c r="A221" s="704" t="s">
        <v>5880</v>
      </c>
      <c r="B221" s="689" t="s">
        <v>3980</v>
      </c>
      <c r="C221" s="689" t="s">
        <v>1278</v>
      </c>
      <c r="D221" s="7" t="s">
        <v>1280</v>
      </c>
      <c r="E221" s="519" t="s">
        <v>357</v>
      </c>
      <c r="F221" s="690" t="s">
        <v>3981</v>
      </c>
      <c r="G221" s="690" t="s">
        <v>11</v>
      </c>
      <c r="H221" s="519" t="s">
        <v>6704</v>
      </c>
      <c r="I221" s="691">
        <v>3485</v>
      </c>
      <c r="J221" s="692">
        <v>3054</v>
      </c>
      <c r="K221" s="703"/>
    </row>
    <row r="222" spans="1:11" s="693" customFormat="1" ht="25.5">
      <c r="A222" s="704" t="s">
        <v>5886</v>
      </c>
      <c r="B222" s="689" t="s">
        <v>724</v>
      </c>
      <c r="C222" s="689" t="s">
        <v>2594</v>
      </c>
      <c r="D222" s="7" t="s">
        <v>8171</v>
      </c>
      <c r="E222" s="519" t="s">
        <v>7015</v>
      </c>
      <c r="F222" s="690" t="s">
        <v>733</v>
      </c>
      <c r="G222" s="690" t="s">
        <v>520</v>
      </c>
      <c r="H222" s="519" t="s">
        <v>8170</v>
      </c>
      <c r="I222" s="691">
        <v>1701</v>
      </c>
      <c r="J222" s="692">
        <v>65</v>
      </c>
      <c r="K222" s="703"/>
    </row>
    <row r="223" spans="1:11" s="693" customFormat="1" ht="25.5">
      <c r="A223" s="704" t="s">
        <v>5895</v>
      </c>
      <c r="B223" s="689" t="s">
        <v>724</v>
      </c>
      <c r="C223" s="689" t="s">
        <v>2594</v>
      </c>
      <c r="D223" s="7" t="s">
        <v>8171</v>
      </c>
      <c r="E223" s="519" t="s">
        <v>7015</v>
      </c>
      <c r="F223" s="690" t="s">
        <v>733</v>
      </c>
      <c r="G223" s="690" t="s">
        <v>520</v>
      </c>
      <c r="H223" s="519" t="s">
        <v>8170</v>
      </c>
      <c r="I223" s="691">
        <v>1701</v>
      </c>
      <c r="J223" s="692">
        <v>131</v>
      </c>
      <c r="K223" s="703"/>
    </row>
    <row r="224" spans="1:11" s="693" customFormat="1" ht="25.5">
      <c r="A224" s="704" t="s">
        <v>5900</v>
      </c>
      <c r="B224" s="689" t="s">
        <v>634</v>
      </c>
      <c r="C224" s="689" t="s">
        <v>3995</v>
      </c>
      <c r="D224" s="7" t="s">
        <v>6785</v>
      </c>
      <c r="E224" s="519" t="s">
        <v>6719</v>
      </c>
      <c r="F224" s="690" t="s">
        <v>235</v>
      </c>
      <c r="G224" s="690" t="s">
        <v>11</v>
      </c>
      <c r="H224" s="519" t="s">
        <v>6784</v>
      </c>
      <c r="I224" s="691">
        <v>1590</v>
      </c>
      <c r="J224" s="692">
        <v>1</v>
      </c>
      <c r="K224" s="703"/>
    </row>
    <row r="225" spans="1:11" s="693" customFormat="1" ht="25.5">
      <c r="A225" s="704" t="s">
        <v>5907</v>
      </c>
      <c r="B225" s="689" t="s">
        <v>634</v>
      </c>
      <c r="C225" s="689" t="s">
        <v>3995</v>
      </c>
      <c r="D225" s="7" t="s">
        <v>6785</v>
      </c>
      <c r="E225" s="519" t="s">
        <v>6719</v>
      </c>
      <c r="F225" s="690" t="s">
        <v>235</v>
      </c>
      <c r="G225" s="690" t="s">
        <v>11</v>
      </c>
      <c r="H225" s="519" t="s">
        <v>6784</v>
      </c>
      <c r="I225" s="691">
        <v>1590</v>
      </c>
      <c r="J225" s="692">
        <v>2</v>
      </c>
      <c r="K225" s="703"/>
    </row>
    <row r="226" spans="1:11" s="693" customFormat="1" ht="25.5">
      <c r="A226" s="704" t="s">
        <v>5912</v>
      </c>
      <c r="B226" s="689" t="s">
        <v>634</v>
      </c>
      <c r="C226" s="689" t="s">
        <v>8310</v>
      </c>
      <c r="D226" s="7" t="s">
        <v>8312</v>
      </c>
      <c r="E226" s="519" t="s">
        <v>8294</v>
      </c>
      <c r="F226" s="690" t="s">
        <v>267</v>
      </c>
      <c r="G226" s="690" t="s">
        <v>11</v>
      </c>
      <c r="H226" s="519" t="s">
        <v>8311</v>
      </c>
      <c r="I226" s="691">
        <v>7500</v>
      </c>
      <c r="J226" s="692">
        <v>123</v>
      </c>
      <c r="K226" s="703"/>
    </row>
    <row r="227" spans="1:11" s="693" customFormat="1" ht="25.5">
      <c r="A227" s="704" t="s">
        <v>5916</v>
      </c>
      <c r="B227" s="689" t="s">
        <v>634</v>
      </c>
      <c r="C227" s="689" t="s">
        <v>8310</v>
      </c>
      <c r="D227" s="7" t="s">
        <v>8312</v>
      </c>
      <c r="E227" s="519" t="s">
        <v>8294</v>
      </c>
      <c r="F227" s="690" t="s">
        <v>267</v>
      </c>
      <c r="G227" s="690" t="s">
        <v>11</v>
      </c>
      <c r="H227" s="519" t="s">
        <v>8311</v>
      </c>
      <c r="I227" s="691">
        <v>7500</v>
      </c>
      <c r="J227" s="692">
        <v>1401</v>
      </c>
      <c r="K227" s="703"/>
    </row>
    <row r="228" spans="1:11" s="693" customFormat="1" ht="25.5">
      <c r="A228" s="704" t="s">
        <v>5921</v>
      </c>
      <c r="B228" s="689" t="s">
        <v>634</v>
      </c>
      <c r="C228" s="689" t="s">
        <v>8310</v>
      </c>
      <c r="D228" s="7" t="s">
        <v>8312</v>
      </c>
      <c r="E228" s="519" t="s">
        <v>8294</v>
      </c>
      <c r="F228" s="690" t="s">
        <v>267</v>
      </c>
      <c r="G228" s="690" t="s">
        <v>11</v>
      </c>
      <c r="H228" s="519" t="s">
        <v>8311</v>
      </c>
      <c r="I228" s="691">
        <v>7500</v>
      </c>
      <c r="J228" s="692">
        <v>3360</v>
      </c>
      <c r="K228" s="703"/>
    </row>
    <row r="229" spans="1:11" s="693" customFormat="1" ht="25.5">
      <c r="A229" s="704" t="s">
        <v>5926</v>
      </c>
      <c r="B229" s="689" t="s">
        <v>634</v>
      </c>
      <c r="C229" s="689" t="s">
        <v>8310</v>
      </c>
      <c r="D229" s="7" t="s">
        <v>8312</v>
      </c>
      <c r="E229" s="519" t="s">
        <v>8294</v>
      </c>
      <c r="F229" s="690" t="s">
        <v>267</v>
      </c>
      <c r="G229" s="690" t="s">
        <v>11</v>
      </c>
      <c r="H229" s="519" t="s">
        <v>8311</v>
      </c>
      <c r="I229" s="691">
        <v>7500</v>
      </c>
      <c r="J229" s="692">
        <v>4116</v>
      </c>
      <c r="K229" s="703"/>
    </row>
    <row r="230" spans="1:11" s="693" customFormat="1" ht="25.5">
      <c r="A230" s="704" t="s">
        <v>5935</v>
      </c>
      <c r="B230" s="689" t="s">
        <v>634</v>
      </c>
      <c r="C230" s="689" t="s">
        <v>3995</v>
      </c>
      <c r="D230" s="7" t="s">
        <v>6785</v>
      </c>
      <c r="E230" s="519" t="s">
        <v>6719</v>
      </c>
      <c r="F230" s="690" t="s">
        <v>235</v>
      </c>
      <c r="G230" s="690" t="s">
        <v>11</v>
      </c>
      <c r="H230" s="519" t="s">
        <v>6784</v>
      </c>
      <c r="I230" s="691">
        <v>1590</v>
      </c>
      <c r="J230" s="692">
        <v>7498</v>
      </c>
      <c r="K230" s="703"/>
    </row>
    <row r="231" spans="1:11" s="693" customFormat="1" ht="25.5">
      <c r="A231" s="704" t="s">
        <v>5944</v>
      </c>
      <c r="B231" s="689" t="s">
        <v>6006</v>
      </c>
      <c r="C231" s="689" t="s">
        <v>6631</v>
      </c>
      <c r="D231" s="7" t="s">
        <v>6633</v>
      </c>
      <c r="E231" s="519" t="s">
        <v>6634</v>
      </c>
      <c r="F231" s="690" t="s">
        <v>310</v>
      </c>
      <c r="G231" s="690" t="s">
        <v>11</v>
      </c>
      <c r="H231" s="519" t="s">
        <v>6632</v>
      </c>
      <c r="I231" s="691">
        <v>4000</v>
      </c>
      <c r="J231" s="692">
        <v>3000</v>
      </c>
      <c r="K231" s="703"/>
    </row>
    <row r="232" spans="1:11" s="693" customFormat="1" ht="25.5">
      <c r="A232" s="704" t="s">
        <v>5954</v>
      </c>
      <c r="B232" s="689" t="s">
        <v>6006</v>
      </c>
      <c r="C232" s="689" t="s">
        <v>6008</v>
      </c>
      <c r="D232" s="7" t="s">
        <v>6010</v>
      </c>
      <c r="E232" s="519" t="s">
        <v>6011</v>
      </c>
      <c r="F232" s="690" t="s">
        <v>6007</v>
      </c>
      <c r="G232" s="690" t="s">
        <v>11</v>
      </c>
      <c r="H232" s="519" t="s">
        <v>6009</v>
      </c>
      <c r="I232" s="691">
        <v>13986</v>
      </c>
      <c r="J232" s="692">
        <v>4980</v>
      </c>
      <c r="K232" s="703"/>
    </row>
    <row r="233" spans="1:11" s="693" customFormat="1" ht="25.5">
      <c r="A233" s="704" t="s">
        <v>5959</v>
      </c>
      <c r="B233" s="689" t="s">
        <v>1750</v>
      </c>
      <c r="C233" s="689" t="s">
        <v>8282</v>
      </c>
      <c r="D233" s="7" t="s">
        <v>8284</v>
      </c>
      <c r="E233" s="519" t="s">
        <v>1953</v>
      </c>
      <c r="F233" s="690" t="s">
        <v>327</v>
      </c>
      <c r="G233" s="690" t="s">
        <v>11</v>
      </c>
      <c r="H233" s="519" t="s">
        <v>8283</v>
      </c>
      <c r="I233" s="691">
        <v>2037</v>
      </c>
      <c r="J233" s="692">
        <v>30808</v>
      </c>
      <c r="K233" s="703"/>
    </row>
    <row r="234" spans="1:11" s="693" customFormat="1" ht="25.5">
      <c r="A234" s="704" t="s">
        <v>5967</v>
      </c>
      <c r="B234" s="689" t="s">
        <v>4017</v>
      </c>
      <c r="C234" s="689" t="s">
        <v>4016</v>
      </c>
      <c r="D234" s="7" t="s">
        <v>1753</v>
      </c>
      <c r="E234" s="519" t="s">
        <v>6102</v>
      </c>
      <c r="F234" s="690" t="s">
        <v>327</v>
      </c>
      <c r="G234" s="690" t="s">
        <v>11</v>
      </c>
      <c r="H234" s="519" t="s">
        <v>6101</v>
      </c>
      <c r="I234" s="691">
        <v>1400</v>
      </c>
      <c r="J234" s="692">
        <v>3000</v>
      </c>
      <c r="K234" s="703"/>
    </row>
    <row r="235" spans="1:11" s="693" customFormat="1" ht="25.5">
      <c r="A235" s="704" t="s">
        <v>5972</v>
      </c>
      <c r="B235" s="689" t="s">
        <v>376</v>
      </c>
      <c r="C235" s="689" t="s">
        <v>4102</v>
      </c>
      <c r="D235" s="7" t="s">
        <v>7778</v>
      </c>
      <c r="E235" s="519" t="s">
        <v>1946</v>
      </c>
      <c r="F235" s="690" t="s">
        <v>4103</v>
      </c>
      <c r="G235" s="690" t="s">
        <v>11</v>
      </c>
      <c r="H235" s="519" t="s">
        <v>7777</v>
      </c>
      <c r="I235" s="691">
        <v>3150</v>
      </c>
      <c r="J235" s="692">
        <v>18</v>
      </c>
      <c r="K235" s="703"/>
    </row>
    <row r="236" spans="1:11" s="693" customFormat="1" ht="25.5">
      <c r="A236" s="704" t="s">
        <v>5977</v>
      </c>
      <c r="B236" s="689" t="s">
        <v>376</v>
      </c>
      <c r="C236" s="689" t="s">
        <v>4102</v>
      </c>
      <c r="D236" s="7" t="s">
        <v>7778</v>
      </c>
      <c r="E236" s="519" t="s">
        <v>1946</v>
      </c>
      <c r="F236" s="690" t="s">
        <v>4103</v>
      </c>
      <c r="G236" s="690" t="s">
        <v>11</v>
      </c>
      <c r="H236" s="519" t="s">
        <v>7777</v>
      </c>
      <c r="I236" s="691">
        <v>3150</v>
      </c>
      <c r="J236" s="692">
        <v>56</v>
      </c>
      <c r="K236" s="703"/>
    </row>
    <row r="237" spans="1:11" s="693" customFormat="1" ht="25.5">
      <c r="A237" s="704" t="s">
        <v>5981</v>
      </c>
      <c r="B237" s="689" t="s">
        <v>376</v>
      </c>
      <c r="C237" s="689" t="s">
        <v>4102</v>
      </c>
      <c r="D237" s="7" t="s">
        <v>7778</v>
      </c>
      <c r="E237" s="519" t="s">
        <v>1946</v>
      </c>
      <c r="F237" s="690" t="s">
        <v>4103</v>
      </c>
      <c r="G237" s="690" t="s">
        <v>11</v>
      </c>
      <c r="H237" s="519" t="s">
        <v>7777</v>
      </c>
      <c r="I237" s="691">
        <v>3150</v>
      </c>
      <c r="J237" s="692">
        <v>1906</v>
      </c>
      <c r="K237" s="703"/>
    </row>
    <row r="238" spans="1:11" s="693" customFormat="1" ht="25.5">
      <c r="A238" s="704" t="s">
        <v>5992</v>
      </c>
      <c r="B238" s="689" t="s">
        <v>376</v>
      </c>
      <c r="C238" s="689" t="s">
        <v>6760</v>
      </c>
      <c r="D238" s="7" t="s">
        <v>6761</v>
      </c>
      <c r="E238" s="519" t="s">
        <v>6102</v>
      </c>
      <c r="F238" s="690" t="s">
        <v>550</v>
      </c>
      <c r="G238" s="690" t="s">
        <v>11</v>
      </c>
      <c r="H238" s="519" t="s">
        <v>6009</v>
      </c>
      <c r="I238" s="691">
        <v>2000</v>
      </c>
      <c r="J238" s="692">
        <v>19980</v>
      </c>
      <c r="K238" s="703"/>
    </row>
    <row r="239" spans="1:11" s="693" customFormat="1" ht="38.25">
      <c r="A239" s="704" t="s">
        <v>6000</v>
      </c>
      <c r="B239" s="689" t="s">
        <v>2454</v>
      </c>
      <c r="C239" s="689" t="s">
        <v>8362</v>
      </c>
      <c r="D239" s="7" t="s">
        <v>8364</v>
      </c>
      <c r="E239" s="519" t="s">
        <v>8365</v>
      </c>
      <c r="F239" s="690" t="s">
        <v>8361</v>
      </c>
      <c r="G239" s="690" t="s">
        <v>658</v>
      </c>
      <c r="H239" s="519" t="s">
        <v>8363</v>
      </c>
      <c r="I239" s="691">
        <v>96870</v>
      </c>
      <c r="J239" s="692">
        <v>50</v>
      </c>
      <c r="K239" s="703"/>
    </row>
    <row r="240" spans="1:11" s="693" customFormat="1" ht="38.25">
      <c r="A240" s="704" t="s">
        <v>6004</v>
      </c>
      <c r="B240" s="689" t="s">
        <v>2454</v>
      </c>
      <c r="C240" s="689" t="s">
        <v>3801</v>
      </c>
      <c r="D240" s="7" t="s">
        <v>5746</v>
      </c>
      <c r="E240" s="519" t="s">
        <v>2036</v>
      </c>
      <c r="F240" s="690" t="s">
        <v>12666</v>
      </c>
      <c r="G240" s="690" t="s">
        <v>3803</v>
      </c>
      <c r="H240" s="519" t="s">
        <v>5745</v>
      </c>
      <c r="I240" s="691">
        <v>132323</v>
      </c>
      <c r="J240" s="692">
        <v>138</v>
      </c>
      <c r="K240" s="703"/>
    </row>
    <row r="241" spans="1:11" s="693" customFormat="1" ht="25.5">
      <c r="A241" s="704" t="s">
        <v>6013</v>
      </c>
      <c r="B241" s="689" t="s">
        <v>868</v>
      </c>
      <c r="C241" s="689" t="s">
        <v>1338</v>
      </c>
      <c r="D241" s="7" t="s">
        <v>8177</v>
      </c>
      <c r="E241" s="519" t="s">
        <v>7001</v>
      </c>
      <c r="F241" s="690" t="s">
        <v>869</v>
      </c>
      <c r="G241" s="690" t="s">
        <v>11</v>
      </c>
      <c r="H241" s="519" t="s">
        <v>6767</v>
      </c>
      <c r="I241" s="691">
        <v>263</v>
      </c>
      <c r="J241" s="692">
        <v>89</v>
      </c>
      <c r="K241" s="703"/>
    </row>
    <row r="242" spans="1:11" s="693" customFormat="1" ht="25.5">
      <c r="A242" s="704" t="s">
        <v>6017</v>
      </c>
      <c r="B242" s="689" t="s">
        <v>868</v>
      </c>
      <c r="C242" s="689" t="s">
        <v>8354</v>
      </c>
      <c r="D242" s="7" t="s">
        <v>8356</v>
      </c>
      <c r="E242" s="519" t="s">
        <v>463</v>
      </c>
      <c r="F242" s="690" t="s">
        <v>1343</v>
      </c>
      <c r="G242" s="690" t="s">
        <v>11</v>
      </c>
      <c r="H242" s="519" t="s">
        <v>8355</v>
      </c>
      <c r="I242" s="691">
        <v>4900</v>
      </c>
      <c r="J242" s="692">
        <v>5000</v>
      </c>
      <c r="K242" s="703"/>
    </row>
    <row r="243" spans="1:11" s="693" customFormat="1" ht="25.5">
      <c r="A243" s="704" t="s">
        <v>6022</v>
      </c>
      <c r="B243" s="689" t="s">
        <v>868</v>
      </c>
      <c r="C243" s="689" t="s">
        <v>1654</v>
      </c>
      <c r="D243" s="7" t="s">
        <v>1655</v>
      </c>
      <c r="E243" s="519" t="s">
        <v>6552</v>
      </c>
      <c r="F243" s="690" t="s">
        <v>1340</v>
      </c>
      <c r="G243" s="690" t="s">
        <v>11</v>
      </c>
      <c r="H243" s="519" t="s">
        <v>6550</v>
      </c>
      <c r="I243" s="691">
        <v>875</v>
      </c>
      <c r="J243" s="692">
        <v>9424</v>
      </c>
      <c r="K243" s="703"/>
    </row>
    <row r="244" spans="1:11" s="693" customFormat="1">
      <c r="A244" s="704" t="s">
        <v>6023</v>
      </c>
      <c r="B244" s="689" t="s">
        <v>2501</v>
      </c>
      <c r="C244" s="689" t="s">
        <v>4112</v>
      </c>
      <c r="D244" s="7" t="s">
        <v>3068</v>
      </c>
      <c r="E244" s="519" t="s">
        <v>712</v>
      </c>
      <c r="F244" s="690" t="s">
        <v>299</v>
      </c>
      <c r="G244" s="690" t="s">
        <v>11</v>
      </c>
      <c r="H244" s="519" t="s">
        <v>7507</v>
      </c>
      <c r="I244" s="691">
        <v>3150</v>
      </c>
      <c r="J244" s="692">
        <v>6593</v>
      </c>
      <c r="K244" s="703"/>
    </row>
    <row r="245" spans="1:11" s="693" customFormat="1" ht="25.5">
      <c r="A245" s="704" t="s">
        <v>6026</v>
      </c>
      <c r="B245" s="689" t="s">
        <v>1756</v>
      </c>
      <c r="C245" s="689" t="s">
        <v>7441</v>
      </c>
      <c r="D245" s="7" t="s">
        <v>7443</v>
      </c>
      <c r="E245" s="519" t="s">
        <v>7444</v>
      </c>
      <c r="F245" s="690" t="s">
        <v>232</v>
      </c>
      <c r="G245" s="690" t="s">
        <v>11</v>
      </c>
      <c r="H245" s="519" t="s">
        <v>5964</v>
      </c>
      <c r="I245" s="691">
        <v>1890</v>
      </c>
      <c r="J245" s="692">
        <v>134</v>
      </c>
      <c r="K245" s="703"/>
    </row>
    <row r="246" spans="1:11" s="693" customFormat="1" ht="25.5">
      <c r="A246" s="704" t="s">
        <v>6030</v>
      </c>
      <c r="B246" s="689" t="s">
        <v>1702</v>
      </c>
      <c r="C246" s="689" t="s">
        <v>7504</v>
      </c>
      <c r="D246" s="7" t="s">
        <v>7505</v>
      </c>
      <c r="E246" s="519" t="s">
        <v>6979</v>
      </c>
      <c r="F246" s="690" t="s">
        <v>327</v>
      </c>
      <c r="G246" s="690" t="s">
        <v>16</v>
      </c>
      <c r="H246" s="519" t="s">
        <v>6321</v>
      </c>
      <c r="I246" s="691">
        <v>248</v>
      </c>
      <c r="J246" s="692">
        <v>4733</v>
      </c>
      <c r="K246" s="703"/>
    </row>
    <row r="247" spans="1:11" s="693" customFormat="1" ht="25.5">
      <c r="A247" s="704" t="s">
        <v>6035</v>
      </c>
      <c r="B247" s="689" t="s">
        <v>1702</v>
      </c>
      <c r="C247" s="689" t="s">
        <v>6636</v>
      </c>
      <c r="D247" s="7" t="s">
        <v>1760</v>
      </c>
      <c r="E247" s="519" t="s">
        <v>6102</v>
      </c>
      <c r="F247" s="690" t="s">
        <v>327</v>
      </c>
      <c r="G247" s="690" t="s">
        <v>11</v>
      </c>
      <c r="H247" s="519" t="s">
        <v>6637</v>
      </c>
      <c r="I247" s="691">
        <v>1100</v>
      </c>
      <c r="J247" s="692">
        <v>8096</v>
      </c>
      <c r="K247" s="703"/>
    </row>
    <row r="248" spans="1:11" s="693" customFormat="1" ht="25.5">
      <c r="A248" s="704" t="s">
        <v>6041</v>
      </c>
      <c r="B248" s="689" t="s">
        <v>531</v>
      </c>
      <c r="C248" s="689" t="s">
        <v>532</v>
      </c>
      <c r="D248" s="7" t="s">
        <v>8961</v>
      </c>
      <c r="E248" s="519" t="s">
        <v>530</v>
      </c>
      <c r="F248" s="690" t="s">
        <v>534</v>
      </c>
      <c r="G248" s="690" t="s">
        <v>10</v>
      </c>
      <c r="H248" s="519" t="s">
        <v>5424</v>
      </c>
      <c r="I248" s="691">
        <v>115</v>
      </c>
      <c r="J248" s="692">
        <v>250</v>
      </c>
      <c r="K248" s="703"/>
    </row>
    <row r="249" spans="1:11" s="693" customFormat="1">
      <c r="A249" s="704" t="s">
        <v>6044</v>
      </c>
      <c r="B249" s="689" t="s">
        <v>531</v>
      </c>
      <c r="C249" s="689" t="s">
        <v>532</v>
      </c>
      <c r="D249" s="7" t="s">
        <v>5420</v>
      </c>
      <c r="E249" s="519" t="s">
        <v>530</v>
      </c>
      <c r="F249" s="690" t="s">
        <v>533</v>
      </c>
      <c r="G249" s="690" t="s">
        <v>628</v>
      </c>
      <c r="H249" s="519" t="s">
        <v>5419</v>
      </c>
      <c r="I249" s="691">
        <v>1176</v>
      </c>
      <c r="J249" s="692">
        <v>372</v>
      </c>
      <c r="K249" s="703"/>
    </row>
    <row r="250" spans="1:11" s="693" customFormat="1" ht="25.5">
      <c r="A250" s="704" t="s">
        <v>6047</v>
      </c>
      <c r="B250" s="689" t="s">
        <v>531</v>
      </c>
      <c r="C250" s="689" t="s">
        <v>532</v>
      </c>
      <c r="D250" s="7" t="s">
        <v>8961</v>
      </c>
      <c r="E250" s="519" t="s">
        <v>530</v>
      </c>
      <c r="F250" s="690" t="s">
        <v>534</v>
      </c>
      <c r="G250" s="690" t="s">
        <v>10</v>
      </c>
      <c r="H250" s="519" t="s">
        <v>5424</v>
      </c>
      <c r="I250" s="691">
        <v>115</v>
      </c>
      <c r="J250" s="692">
        <v>5072</v>
      </c>
      <c r="K250" s="703"/>
    </row>
    <row r="251" spans="1:11" s="693" customFormat="1" ht="25.5">
      <c r="A251" s="704" t="s">
        <v>6050</v>
      </c>
      <c r="B251" s="689" t="s">
        <v>659</v>
      </c>
      <c r="C251" s="689" t="s">
        <v>6539</v>
      </c>
      <c r="D251" s="7" t="s">
        <v>6541</v>
      </c>
      <c r="E251" s="519" t="s">
        <v>6526</v>
      </c>
      <c r="F251" s="690" t="s">
        <v>334</v>
      </c>
      <c r="G251" s="690" t="s">
        <v>11</v>
      </c>
      <c r="H251" s="519" t="s">
        <v>6540</v>
      </c>
      <c r="I251" s="691">
        <v>6400</v>
      </c>
      <c r="J251" s="692">
        <v>17</v>
      </c>
      <c r="K251" s="703"/>
    </row>
    <row r="252" spans="1:11" s="693" customFormat="1" ht="25.5">
      <c r="A252" s="704" t="s">
        <v>6059</v>
      </c>
      <c r="B252" s="689" t="s">
        <v>659</v>
      </c>
      <c r="C252" s="689" t="s">
        <v>4181</v>
      </c>
      <c r="D252" s="7" t="s">
        <v>7216</v>
      </c>
      <c r="E252" s="519" t="s">
        <v>7217</v>
      </c>
      <c r="F252" s="690" t="s">
        <v>334</v>
      </c>
      <c r="G252" s="690" t="s">
        <v>11</v>
      </c>
      <c r="H252" s="519" t="s">
        <v>7215</v>
      </c>
      <c r="I252" s="691">
        <v>2890</v>
      </c>
      <c r="J252" s="692">
        <v>3900</v>
      </c>
      <c r="K252" s="703"/>
    </row>
    <row r="253" spans="1:11" s="693" customFormat="1" ht="38.25">
      <c r="A253" s="704" t="s">
        <v>6060</v>
      </c>
      <c r="B253" s="689" t="s">
        <v>1220</v>
      </c>
      <c r="C253" s="689" t="s">
        <v>4059</v>
      </c>
      <c r="D253" s="7" t="s">
        <v>6764</v>
      </c>
      <c r="E253" s="519" t="s">
        <v>6765</v>
      </c>
      <c r="F253" s="690" t="s">
        <v>267</v>
      </c>
      <c r="G253" s="690" t="s">
        <v>16</v>
      </c>
      <c r="H253" s="519" t="s">
        <v>6763</v>
      </c>
      <c r="I253" s="691">
        <v>2600</v>
      </c>
      <c r="J253" s="692">
        <v>4306</v>
      </c>
      <c r="K253" s="703"/>
    </row>
    <row r="254" spans="1:11" s="693" customFormat="1" ht="25.5">
      <c r="A254" s="704" t="s">
        <v>6064</v>
      </c>
      <c r="B254" s="689" t="s">
        <v>309</v>
      </c>
      <c r="C254" s="689" t="s">
        <v>5113</v>
      </c>
      <c r="D254" s="7" t="s">
        <v>5115</v>
      </c>
      <c r="E254" s="519" t="s">
        <v>312</v>
      </c>
      <c r="F254" s="690" t="s">
        <v>310</v>
      </c>
      <c r="G254" s="690" t="s">
        <v>10</v>
      </c>
      <c r="H254" s="519" t="s">
        <v>5114</v>
      </c>
      <c r="I254" s="691">
        <v>2765</v>
      </c>
      <c r="J254" s="692">
        <v>360</v>
      </c>
      <c r="K254" s="703"/>
    </row>
    <row r="255" spans="1:11" s="693" customFormat="1" ht="25.5">
      <c r="A255" s="704" t="s">
        <v>6070</v>
      </c>
      <c r="B255" s="689" t="s">
        <v>309</v>
      </c>
      <c r="C255" s="689" t="s">
        <v>5113</v>
      </c>
      <c r="D255" s="7" t="s">
        <v>5115</v>
      </c>
      <c r="E255" s="519" t="s">
        <v>312</v>
      </c>
      <c r="F255" s="690" t="s">
        <v>310</v>
      </c>
      <c r="G255" s="690" t="s">
        <v>10</v>
      </c>
      <c r="H255" s="519" t="s">
        <v>5114</v>
      </c>
      <c r="I255" s="691">
        <v>2765</v>
      </c>
      <c r="J255" s="692">
        <v>3110</v>
      </c>
      <c r="K255" s="703"/>
    </row>
    <row r="256" spans="1:11" s="693" customFormat="1" ht="25.5">
      <c r="A256" s="704" t="s">
        <v>6073</v>
      </c>
      <c r="B256" s="689" t="s">
        <v>309</v>
      </c>
      <c r="C256" s="689" t="s">
        <v>5113</v>
      </c>
      <c r="D256" s="7" t="s">
        <v>5115</v>
      </c>
      <c r="E256" s="519" t="s">
        <v>312</v>
      </c>
      <c r="F256" s="690" t="s">
        <v>310</v>
      </c>
      <c r="G256" s="690" t="s">
        <v>10</v>
      </c>
      <c r="H256" s="519" t="s">
        <v>5114</v>
      </c>
      <c r="I256" s="691">
        <v>2765</v>
      </c>
      <c r="J256" s="692">
        <v>9600</v>
      </c>
      <c r="K256" s="703"/>
    </row>
    <row r="257" spans="1:11" s="693" customFormat="1">
      <c r="A257" s="704" t="s">
        <v>6076</v>
      </c>
      <c r="B257" s="689" t="s">
        <v>309</v>
      </c>
      <c r="C257" s="689" t="s">
        <v>4091</v>
      </c>
      <c r="D257" s="7" t="s">
        <v>8323</v>
      </c>
      <c r="E257" s="519" t="s">
        <v>8324</v>
      </c>
      <c r="F257" s="690" t="s">
        <v>229</v>
      </c>
      <c r="G257" s="690" t="s">
        <v>11</v>
      </c>
      <c r="H257" s="519" t="s">
        <v>8322</v>
      </c>
      <c r="I257" s="691">
        <v>2880</v>
      </c>
      <c r="J257" s="692">
        <v>14682</v>
      </c>
      <c r="K257" s="703"/>
    </row>
    <row r="258" spans="1:11" s="693" customFormat="1" ht="25.5">
      <c r="A258" s="704" t="s">
        <v>6081</v>
      </c>
      <c r="B258" s="689" t="s">
        <v>309</v>
      </c>
      <c r="C258" s="689" t="s">
        <v>4916</v>
      </c>
      <c r="D258" s="7" t="s">
        <v>468</v>
      </c>
      <c r="E258" s="519" t="s">
        <v>463</v>
      </c>
      <c r="F258" s="690" t="s">
        <v>310</v>
      </c>
      <c r="G258" s="690" t="s">
        <v>10</v>
      </c>
      <c r="H258" s="519" t="s">
        <v>5431</v>
      </c>
      <c r="I258" s="691">
        <v>420</v>
      </c>
      <c r="J258" s="692">
        <v>38085</v>
      </c>
      <c r="K258" s="703"/>
    </row>
    <row r="259" spans="1:11" s="693" customFormat="1">
      <c r="A259" s="704" t="s">
        <v>6089</v>
      </c>
      <c r="B259" s="689" t="s">
        <v>11847</v>
      </c>
      <c r="C259" s="689" t="s">
        <v>8327</v>
      </c>
      <c r="D259" s="7" t="s">
        <v>8328</v>
      </c>
      <c r="E259" s="519" t="s">
        <v>8329</v>
      </c>
      <c r="F259" s="690" t="s">
        <v>1680</v>
      </c>
      <c r="G259" s="690" t="s">
        <v>11</v>
      </c>
      <c r="H259" s="519" t="s">
        <v>6478</v>
      </c>
      <c r="I259" s="691">
        <v>3748</v>
      </c>
      <c r="J259" s="692">
        <v>25827</v>
      </c>
      <c r="K259" s="703"/>
    </row>
    <row r="260" spans="1:11" s="693" customFormat="1" ht="38.25">
      <c r="A260" s="704" t="s">
        <v>6096</v>
      </c>
      <c r="B260" s="689" t="s">
        <v>583</v>
      </c>
      <c r="C260" s="689" t="s">
        <v>3847</v>
      </c>
      <c r="D260" s="7" t="s">
        <v>6373</v>
      </c>
      <c r="E260" s="519" t="s">
        <v>979</v>
      </c>
      <c r="F260" s="690" t="s">
        <v>390</v>
      </c>
      <c r="G260" s="690" t="s">
        <v>11</v>
      </c>
      <c r="H260" s="519" t="s">
        <v>6143</v>
      </c>
      <c r="I260" s="691">
        <v>2754</v>
      </c>
      <c r="J260" s="692">
        <v>3</v>
      </c>
      <c r="K260" s="703"/>
    </row>
    <row r="261" spans="1:11" s="693" customFormat="1">
      <c r="A261" s="704" t="s">
        <v>6100</v>
      </c>
      <c r="B261" s="689" t="s">
        <v>583</v>
      </c>
      <c r="C261" s="689" t="s">
        <v>3920</v>
      </c>
      <c r="D261" s="7" t="s">
        <v>8335</v>
      </c>
      <c r="E261" s="519" t="s">
        <v>463</v>
      </c>
      <c r="F261" s="690" t="s">
        <v>390</v>
      </c>
      <c r="G261" s="690" t="s">
        <v>11</v>
      </c>
      <c r="H261" s="519" t="s">
        <v>8334</v>
      </c>
      <c r="I261" s="691">
        <v>1575</v>
      </c>
      <c r="J261" s="692">
        <v>22</v>
      </c>
      <c r="K261" s="703"/>
    </row>
    <row r="262" spans="1:11" s="693" customFormat="1">
      <c r="A262" s="704" t="s">
        <v>6103</v>
      </c>
      <c r="B262" s="689" t="s">
        <v>583</v>
      </c>
      <c r="C262" s="689" t="s">
        <v>3920</v>
      </c>
      <c r="D262" s="7" t="s">
        <v>8335</v>
      </c>
      <c r="E262" s="519" t="s">
        <v>463</v>
      </c>
      <c r="F262" s="690" t="s">
        <v>390</v>
      </c>
      <c r="G262" s="690" t="s">
        <v>11</v>
      </c>
      <c r="H262" s="519" t="s">
        <v>8334</v>
      </c>
      <c r="I262" s="691">
        <v>1575</v>
      </c>
      <c r="J262" s="692">
        <v>30</v>
      </c>
      <c r="K262" s="703"/>
    </row>
    <row r="263" spans="1:11" s="693" customFormat="1" ht="25.5">
      <c r="A263" s="704" t="s">
        <v>6107</v>
      </c>
      <c r="B263" s="689" t="s">
        <v>583</v>
      </c>
      <c r="C263" s="689" t="s">
        <v>4064</v>
      </c>
      <c r="D263" s="7" t="s">
        <v>8105</v>
      </c>
      <c r="E263" s="519" t="s">
        <v>7211</v>
      </c>
      <c r="F263" s="690" t="s">
        <v>222</v>
      </c>
      <c r="G263" s="690" t="s">
        <v>11</v>
      </c>
      <c r="H263" s="519" t="s">
        <v>7712</v>
      </c>
      <c r="I263" s="691">
        <v>245</v>
      </c>
      <c r="J263" s="692">
        <v>58</v>
      </c>
      <c r="K263" s="703"/>
    </row>
    <row r="264" spans="1:11" s="693" customFormat="1">
      <c r="A264" s="704" t="s">
        <v>6111</v>
      </c>
      <c r="B264" s="689" t="s">
        <v>583</v>
      </c>
      <c r="C264" s="689" t="s">
        <v>3920</v>
      </c>
      <c r="D264" s="7" t="s">
        <v>8335</v>
      </c>
      <c r="E264" s="519" t="s">
        <v>463</v>
      </c>
      <c r="F264" s="690" t="s">
        <v>390</v>
      </c>
      <c r="G264" s="690" t="s">
        <v>11</v>
      </c>
      <c r="H264" s="519" t="s">
        <v>8334</v>
      </c>
      <c r="I264" s="691">
        <v>1575</v>
      </c>
      <c r="J264" s="692">
        <v>3892</v>
      </c>
      <c r="K264" s="703"/>
    </row>
    <row r="265" spans="1:11" s="693" customFormat="1">
      <c r="A265" s="704" t="s">
        <v>6116</v>
      </c>
      <c r="B265" s="689" t="s">
        <v>583</v>
      </c>
      <c r="C265" s="689" t="s">
        <v>3920</v>
      </c>
      <c r="D265" s="7" t="s">
        <v>8335</v>
      </c>
      <c r="E265" s="519" t="s">
        <v>463</v>
      </c>
      <c r="F265" s="690" t="s">
        <v>390</v>
      </c>
      <c r="G265" s="690" t="s">
        <v>11</v>
      </c>
      <c r="H265" s="519" t="s">
        <v>8334</v>
      </c>
      <c r="I265" s="691">
        <v>1575</v>
      </c>
      <c r="J265" s="692">
        <v>5400</v>
      </c>
      <c r="K265" s="703"/>
    </row>
    <row r="266" spans="1:11" s="693" customFormat="1" ht="38.25">
      <c r="A266" s="704" t="s">
        <v>6124</v>
      </c>
      <c r="B266" s="689" t="s">
        <v>583</v>
      </c>
      <c r="C266" s="689" t="s">
        <v>6370</v>
      </c>
      <c r="D266" s="7" t="s">
        <v>6371</v>
      </c>
      <c r="E266" s="519" t="s">
        <v>979</v>
      </c>
      <c r="F266" s="690" t="s">
        <v>222</v>
      </c>
      <c r="G266" s="690" t="s">
        <v>11</v>
      </c>
      <c r="H266" s="519" t="s">
        <v>6143</v>
      </c>
      <c r="I266" s="691">
        <v>1677</v>
      </c>
      <c r="J266" s="692">
        <v>5680</v>
      </c>
      <c r="K266" s="703"/>
    </row>
    <row r="267" spans="1:11" s="693" customFormat="1">
      <c r="A267" s="704" t="s">
        <v>6128</v>
      </c>
      <c r="B267" s="689" t="s">
        <v>583</v>
      </c>
      <c r="C267" s="689" t="s">
        <v>3920</v>
      </c>
      <c r="D267" s="7" t="s">
        <v>8335</v>
      </c>
      <c r="E267" s="519" t="s">
        <v>463</v>
      </c>
      <c r="F267" s="690" t="s">
        <v>390</v>
      </c>
      <c r="G267" s="690" t="s">
        <v>11</v>
      </c>
      <c r="H267" s="519" t="s">
        <v>8334</v>
      </c>
      <c r="I267" s="691">
        <v>1575</v>
      </c>
      <c r="J267" s="692">
        <v>9780</v>
      </c>
      <c r="K267" s="703"/>
    </row>
    <row r="268" spans="1:11" s="693" customFormat="1" ht="38.25">
      <c r="A268" s="704" t="s">
        <v>6132</v>
      </c>
      <c r="B268" s="689" t="s">
        <v>583</v>
      </c>
      <c r="C268" s="689" t="s">
        <v>3847</v>
      </c>
      <c r="D268" s="7" t="s">
        <v>6373</v>
      </c>
      <c r="E268" s="519" t="s">
        <v>979</v>
      </c>
      <c r="F268" s="690" t="s">
        <v>390</v>
      </c>
      <c r="G268" s="690" t="s">
        <v>11</v>
      </c>
      <c r="H268" s="519" t="s">
        <v>6143</v>
      </c>
      <c r="I268" s="691">
        <v>2754</v>
      </c>
      <c r="J268" s="692">
        <v>18000</v>
      </c>
      <c r="K268" s="703"/>
    </row>
    <row r="269" spans="1:11" s="693" customFormat="1" ht="25.5">
      <c r="A269" s="704" t="s">
        <v>6137</v>
      </c>
      <c r="B269" s="689" t="s">
        <v>1976</v>
      </c>
      <c r="C269" s="689" t="s">
        <v>1977</v>
      </c>
      <c r="D269" s="7" t="s">
        <v>8114</v>
      </c>
      <c r="E269" s="519" t="s">
        <v>1946</v>
      </c>
      <c r="F269" s="690" t="s">
        <v>1978</v>
      </c>
      <c r="G269" s="690" t="s">
        <v>11</v>
      </c>
      <c r="H269" s="519" t="s">
        <v>8113</v>
      </c>
      <c r="I269" s="691">
        <v>2499</v>
      </c>
      <c r="J269" s="692">
        <v>161</v>
      </c>
      <c r="K269" s="703"/>
    </row>
    <row r="270" spans="1:11" s="693" customFormat="1" ht="25.5">
      <c r="A270" s="704" t="s">
        <v>6142</v>
      </c>
      <c r="B270" s="689" t="s">
        <v>1976</v>
      </c>
      <c r="C270" s="689" t="s">
        <v>1977</v>
      </c>
      <c r="D270" s="7" t="s">
        <v>8114</v>
      </c>
      <c r="E270" s="519" t="s">
        <v>1946</v>
      </c>
      <c r="F270" s="690" t="s">
        <v>1978</v>
      </c>
      <c r="G270" s="690" t="s">
        <v>11</v>
      </c>
      <c r="H270" s="519" t="s">
        <v>8113</v>
      </c>
      <c r="I270" s="691">
        <v>2499</v>
      </c>
      <c r="J270" s="692">
        <v>300</v>
      </c>
      <c r="K270" s="703"/>
    </row>
    <row r="271" spans="1:11" s="693" customFormat="1" ht="25.5">
      <c r="A271" s="704" t="s">
        <v>6145</v>
      </c>
      <c r="B271" s="689" t="s">
        <v>729</v>
      </c>
      <c r="C271" s="689" t="s">
        <v>2560</v>
      </c>
      <c r="D271" s="7" t="s">
        <v>6771</v>
      </c>
      <c r="E271" s="519" t="s">
        <v>6102</v>
      </c>
      <c r="F271" s="690" t="s">
        <v>225</v>
      </c>
      <c r="G271" s="690" t="s">
        <v>11</v>
      </c>
      <c r="H271" s="519" t="s">
        <v>6441</v>
      </c>
      <c r="I271" s="691">
        <v>1500</v>
      </c>
      <c r="J271" s="692">
        <v>13</v>
      </c>
      <c r="K271" s="703"/>
    </row>
    <row r="272" spans="1:11" s="693" customFormat="1" ht="25.5">
      <c r="A272" s="704" t="s">
        <v>6148</v>
      </c>
      <c r="B272" s="689" t="s">
        <v>729</v>
      </c>
      <c r="C272" s="689" t="s">
        <v>4419</v>
      </c>
      <c r="D272" s="7" t="s">
        <v>7829</v>
      </c>
      <c r="E272" s="519" t="s">
        <v>2385</v>
      </c>
      <c r="F272" s="690" t="s">
        <v>17</v>
      </c>
      <c r="G272" s="690" t="s">
        <v>11</v>
      </c>
      <c r="H272" s="519" t="s">
        <v>7131</v>
      </c>
      <c r="I272" s="691">
        <v>443</v>
      </c>
      <c r="J272" s="692">
        <v>28137</v>
      </c>
      <c r="K272" s="703"/>
    </row>
    <row r="273" spans="1:11" s="693" customFormat="1" ht="25.5">
      <c r="A273" s="704" t="s">
        <v>6150</v>
      </c>
      <c r="B273" s="689" t="s">
        <v>513</v>
      </c>
      <c r="C273" s="689" t="s">
        <v>3604</v>
      </c>
      <c r="D273" s="7" t="s">
        <v>5435</v>
      </c>
      <c r="E273" s="519" t="s">
        <v>514</v>
      </c>
      <c r="F273" s="690" t="s">
        <v>4445</v>
      </c>
      <c r="G273" s="690" t="s">
        <v>18</v>
      </c>
      <c r="H273" s="519" t="s">
        <v>5434</v>
      </c>
      <c r="I273" s="691">
        <v>8715</v>
      </c>
      <c r="J273" s="692">
        <v>5</v>
      </c>
      <c r="K273" s="703"/>
    </row>
    <row r="274" spans="1:11" s="693" customFormat="1" ht="25.5">
      <c r="A274" s="704" t="s">
        <v>6157</v>
      </c>
      <c r="B274" s="689" t="s">
        <v>513</v>
      </c>
      <c r="C274" s="689" t="s">
        <v>3604</v>
      </c>
      <c r="D274" s="7" t="s">
        <v>5435</v>
      </c>
      <c r="E274" s="519" t="s">
        <v>514</v>
      </c>
      <c r="F274" s="690" t="s">
        <v>4445</v>
      </c>
      <c r="G274" s="690" t="s">
        <v>18</v>
      </c>
      <c r="H274" s="519" t="s">
        <v>5434</v>
      </c>
      <c r="I274" s="691">
        <v>8715</v>
      </c>
      <c r="J274" s="692">
        <v>193</v>
      </c>
      <c r="K274" s="703"/>
    </row>
    <row r="275" spans="1:11" s="693" customFormat="1" ht="25.5">
      <c r="A275" s="704" t="s">
        <v>6159</v>
      </c>
      <c r="B275" s="689" t="s">
        <v>513</v>
      </c>
      <c r="C275" s="689" t="s">
        <v>2565</v>
      </c>
      <c r="D275" s="7" t="s">
        <v>7039</v>
      </c>
      <c r="E275" s="519" t="s">
        <v>6510</v>
      </c>
      <c r="F275" s="690" t="s">
        <v>7037</v>
      </c>
      <c r="G275" s="690" t="s">
        <v>15</v>
      </c>
      <c r="H275" s="519" t="s">
        <v>7038</v>
      </c>
      <c r="I275" s="691">
        <v>8190</v>
      </c>
      <c r="J275" s="692">
        <v>300</v>
      </c>
      <c r="K275" s="703"/>
    </row>
    <row r="276" spans="1:11" s="693" customFormat="1" ht="25.5">
      <c r="A276" s="704" t="s">
        <v>6162</v>
      </c>
      <c r="B276" s="689" t="s">
        <v>513</v>
      </c>
      <c r="C276" s="689" t="s">
        <v>4077</v>
      </c>
      <c r="D276" s="7" t="s">
        <v>7014</v>
      </c>
      <c r="E276" s="519" t="s">
        <v>7015</v>
      </c>
      <c r="F276" s="690" t="s">
        <v>4078</v>
      </c>
      <c r="G276" s="690" t="s">
        <v>520</v>
      </c>
      <c r="H276" s="519" t="s">
        <v>7013</v>
      </c>
      <c r="I276" s="691">
        <v>966</v>
      </c>
      <c r="J276" s="692">
        <v>841</v>
      </c>
      <c r="K276" s="703"/>
    </row>
    <row r="277" spans="1:11" s="693" customFormat="1" ht="25.5">
      <c r="A277" s="704" t="s">
        <v>6165</v>
      </c>
      <c r="B277" s="689" t="s">
        <v>11756</v>
      </c>
      <c r="C277" s="689" t="s">
        <v>732</v>
      </c>
      <c r="D277" s="7" t="s">
        <v>735</v>
      </c>
      <c r="E277" s="519" t="s">
        <v>5833</v>
      </c>
      <c r="F277" s="690" t="s">
        <v>6045</v>
      </c>
      <c r="G277" s="690" t="s">
        <v>520</v>
      </c>
      <c r="H277" s="519" t="s">
        <v>6046</v>
      </c>
      <c r="I277" s="691">
        <v>80283</v>
      </c>
      <c r="J277" s="692">
        <v>10</v>
      </c>
      <c r="K277" s="703"/>
    </row>
    <row r="278" spans="1:11" s="693" customFormat="1" ht="51">
      <c r="A278" s="704" t="s">
        <v>6171</v>
      </c>
      <c r="B278" s="689" t="s">
        <v>130</v>
      </c>
      <c r="C278" s="689" t="s">
        <v>129</v>
      </c>
      <c r="D278" s="7" t="s">
        <v>8650</v>
      </c>
      <c r="E278" s="519" t="s">
        <v>8651</v>
      </c>
      <c r="F278" s="690" t="s">
        <v>4691</v>
      </c>
      <c r="G278" s="690" t="s">
        <v>15</v>
      </c>
      <c r="H278" s="519" t="s">
        <v>8649</v>
      </c>
      <c r="I278" s="691">
        <v>44000</v>
      </c>
      <c r="J278" s="692">
        <v>11</v>
      </c>
      <c r="K278" s="703"/>
    </row>
    <row r="279" spans="1:11" s="693" customFormat="1" ht="38.25">
      <c r="A279" s="704" t="s">
        <v>5016</v>
      </c>
      <c r="B279" s="689" t="s">
        <v>4720</v>
      </c>
      <c r="C279" s="689" t="s">
        <v>4719</v>
      </c>
      <c r="D279" s="7" t="s">
        <v>8814</v>
      </c>
      <c r="E279" s="519" t="s">
        <v>2253</v>
      </c>
      <c r="F279" s="690" t="s">
        <v>4721</v>
      </c>
      <c r="G279" s="690" t="s">
        <v>15</v>
      </c>
      <c r="H279" s="519" t="s">
        <v>8512</v>
      </c>
      <c r="I279" s="691">
        <v>32000</v>
      </c>
      <c r="J279" s="692">
        <v>379</v>
      </c>
      <c r="K279" s="703"/>
    </row>
    <row r="280" spans="1:11" s="693" customFormat="1" ht="38.25">
      <c r="A280" s="704" t="s">
        <v>6182</v>
      </c>
      <c r="B280" s="689" t="s">
        <v>4720</v>
      </c>
      <c r="C280" s="689" t="s">
        <v>4719</v>
      </c>
      <c r="D280" s="7" t="s">
        <v>8814</v>
      </c>
      <c r="E280" s="519" t="s">
        <v>2253</v>
      </c>
      <c r="F280" s="690" t="s">
        <v>4721</v>
      </c>
      <c r="G280" s="690" t="s">
        <v>15</v>
      </c>
      <c r="H280" s="519" t="s">
        <v>8512</v>
      </c>
      <c r="I280" s="691">
        <v>32000</v>
      </c>
      <c r="J280" s="692">
        <v>500</v>
      </c>
      <c r="K280" s="703"/>
    </row>
    <row r="281" spans="1:11" s="693" customFormat="1" ht="51">
      <c r="A281" s="704" t="s">
        <v>6186</v>
      </c>
      <c r="B281" s="689" t="s">
        <v>4655</v>
      </c>
      <c r="C281" s="689" t="s">
        <v>85</v>
      </c>
      <c r="D281" s="7" t="s">
        <v>8572</v>
      </c>
      <c r="E281" s="519" t="s">
        <v>2182</v>
      </c>
      <c r="F281" s="690" t="s">
        <v>4656</v>
      </c>
      <c r="G281" s="690" t="s">
        <v>11</v>
      </c>
      <c r="H281" s="519" t="s">
        <v>6644</v>
      </c>
      <c r="I281" s="691">
        <v>1260</v>
      </c>
      <c r="J281" s="692">
        <v>9</v>
      </c>
      <c r="K281" s="703"/>
    </row>
    <row r="282" spans="1:11" s="693" customFormat="1" ht="51">
      <c r="A282" s="704" t="s">
        <v>6191</v>
      </c>
      <c r="B282" s="689" t="s">
        <v>4655</v>
      </c>
      <c r="C282" s="689" t="s">
        <v>85</v>
      </c>
      <c r="D282" s="7" t="s">
        <v>8572</v>
      </c>
      <c r="E282" s="519" t="s">
        <v>2182</v>
      </c>
      <c r="F282" s="690" t="s">
        <v>4656</v>
      </c>
      <c r="G282" s="690" t="s">
        <v>11</v>
      </c>
      <c r="H282" s="519" t="s">
        <v>6644</v>
      </c>
      <c r="I282" s="691">
        <v>1260</v>
      </c>
      <c r="J282" s="692">
        <v>19980</v>
      </c>
      <c r="K282" s="703"/>
    </row>
    <row r="283" spans="1:11" s="693" customFormat="1" ht="51">
      <c r="A283" s="704" t="s">
        <v>6193</v>
      </c>
      <c r="B283" s="689" t="s">
        <v>12292</v>
      </c>
      <c r="C283" s="689" t="s">
        <v>8859</v>
      </c>
      <c r="D283" s="7" t="s">
        <v>8861</v>
      </c>
      <c r="E283" s="519" t="s">
        <v>8559</v>
      </c>
      <c r="F283" s="690" t="s">
        <v>12293</v>
      </c>
      <c r="G283" s="690" t="s">
        <v>13</v>
      </c>
      <c r="H283" s="519" t="s">
        <v>8860</v>
      </c>
      <c r="I283" s="691">
        <v>6800</v>
      </c>
      <c r="J283" s="692">
        <v>3493</v>
      </c>
      <c r="K283" s="703"/>
    </row>
    <row r="284" spans="1:11" s="693" customFormat="1" ht="51">
      <c r="A284" s="704" t="s">
        <v>6197</v>
      </c>
      <c r="B284" s="689" t="s">
        <v>12452</v>
      </c>
      <c r="C284" s="689" t="s">
        <v>8656</v>
      </c>
      <c r="D284" s="7" t="s">
        <v>8658</v>
      </c>
      <c r="E284" s="519" t="s">
        <v>2397</v>
      </c>
      <c r="F284" s="690" t="s">
        <v>12453</v>
      </c>
      <c r="G284" s="690" t="s">
        <v>11</v>
      </c>
      <c r="H284" s="519" t="s">
        <v>8657</v>
      </c>
      <c r="I284" s="691">
        <v>1020</v>
      </c>
      <c r="J284" s="692">
        <v>5000</v>
      </c>
      <c r="K284" s="703"/>
    </row>
    <row r="285" spans="1:11" s="693" customFormat="1" ht="38.25">
      <c r="A285" s="704" t="s">
        <v>6204</v>
      </c>
      <c r="B285" s="689" t="s">
        <v>124</v>
      </c>
      <c r="C285" s="689" t="s">
        <v>4681</v>
      </c>
      <c r="D285" s="7" t="s">
        <v>2354</v>
      </c>
      <c r="E285" s="519" t="s">
        <v>8598</v>
      </c>
      <c r="F285" s="690" t="s">
        <v>4682</v>
      </c>
      <c r="G285" s="690" t="s">
        <v>15</v>
      </c>
      <c r="H285" s="519" t="s">
        <v>8597</v>
      </c>
      <c r="I285" s="691">
        <v>33075</v>
      </c>
      <c r="J285" s="692">
        <v>37</v>
      </c>
      <c r="K285" s="703"/>
    </row>
    <row r="286" spans="1:11" s="693" customFormat="1" ht="38.25">
      <c r="A286" s="704" t="s">
        <v>6208</v>
      </c>
      <c r="B286" s="689" t="s">
        <v>124</v>
      </c>
      <c r="C286" s="689" t="s">
        <v>4681</v>
      </c>
      <c r="D286" s="7" t="s">
        <v>2354</v>
      </c>
      <c r="E286" s="519" t="s">
        <v>8598</v>
      </c>
      <c r="F286" s="690" t="s">
        <v>4682</v>
      </c>
      <c r="G286" s="690" t="s">
        <v>15</v>
      </c>
      <c r="H286" s="519" t="s">
        <v>8597</v>
      </c>
      <c r="I286" s="691">
        <v>33075</v>
      </c>
      <c r="J286" s="692">
        <v>448</v>
      </c>
      <c r="K286" s="703"/>
    </row>
    <row r="287" spans="1:11" s="693" customFormat="1" ht="38.25">
      <c r="A287" s="704" t="s">
        <v>6210</v>
      </c>
      <c r="B287" s="689" t="s">
        <v>124</v>
      </c>
      <c r="C287" s="689" t="s">
        <v>4681</v>
      </c>
      <c r="D287" s="7" t="s">
        <v>2354</v>
      </c>
      <c r="E287" s="519" t="s">
        <v>8598</v>
      </c>
      <c r="F287" s="690" t="s">
        <v>4682</v>
      </c>
      <c r="G287" s="690" t="s">
        <v>15</v>
      </c>
      <c r="H287" s="519" t="s">
        <v>8597</v>
      </c>
      <c r="I287" s="691">
        <v>33075</v>
      </c>
      <c r="J287" s="692">
        <v>1000</v>
      </c>
      <c r="K287" s="703"/>
    </row>
    <row r="288" spans="1:11" s="693" customFormat="1" ht="51">
      <c r="A288" s="704" t="s">
        <v>6217</v>
      </c>
      <c r="B288" s="689" t="s">
        <v>164</v>
      </c>
      <c r="C288" s="689" t="s">
        <v>163</v>
      </c>
      <c r="D288" s="7" t="s">
        <v>8815</v>
      </c>
      <c r="E288" s="519" t="s">
        <v>2253</v>
      </c>
      <c r="F288" s="690" t="s">
        <v>165</v>
      </c>
      <c r="G288" s="690" t="s">
        <v>11</v>
      </c>
      <c r="H288" s="519" t="s">
        <v>8616</v>
      </c>
      <c r="I288" s="691">
        <v>950</v>
      </c>
      <c r="J288" s="692">
        <v>4</v>
      </c>
      <c r="K288" s="703"/>
    </row>
    <row r="289" spans="1:11" s="693" customFormat="1" ht="51">
      <c r="A289" s="704" t="s">
        <v>6223</v>
      </c>
      <c r="B289" s="689" t="s">
        <v>164</v>
      </c>
      <c r="C289" s="689" t="s">
        <v>163</v>
      </c>
      <c r="D289" s="7" t="s">
        <v>8815</v>
      </c>
      <c r="E289" s="519" t="s">
        <v>2253</v>
      </c>
      <c r="F289" s="690" t="s">
        <v>165</v>
      </c>
      <c r="G289" s="690" t="s">
        <v>11</v>
      </c>
      <c r="H289" s="519" t="s">
        <v>8616</v>
      </c>
      <c r="I289" s="691">
        <v>950</v>
      </c>
      <c r="J289" s="692">
        <v>12400</v>
      </c>
      <c r="K289" s="703"/>
    </row>
    <row r="290" spans="1:11" s="693" customFormat="1">
      <c r="A290" s="704" t="s">
        <v>6229</v>
      </c>
      <c r="B290" s="689" t="s">
        <v>55</v>
      </c>
      <c r="C290" s="689" t="s">
        <v>54</v>
      </c>
      <c r="D290" s="7" t="s">
        <v>2271</v>
      </c>
      <c r="E290" s="519" t="s">
        <v>2253</v>
      </c>
      <c r="F290" s="690" t="s">
        <v>56</v>
      </c>
      <c r="G290" s="690" t="s">
        <v>15</v>
      </c>
      <c r="H290" s="519" t="s">
        <v>8512</v>
      </c>
      <c r="I290" s="691">
        <v>31000</v>
      </c>
      <c r="J290" s="692">
        <v>1430</v>
      </c>
      <c r="K290" s="703"/>
    </row>
    <row r="291" spans="1:11" s="693" customFormat="1" ht="25.5">
      <c r="A291" s="704" t="s">
        <v>6235</v>
      </c>
      <c r="B291" s="689" t="s">
        <v>4374</v>
      </c>
      <c r="C291" s="689" t="s">
        <v>4376</v>
      </c>
      <c r="D291" s="7" t="s">
        <v>7866</v>
      </c>
      <c r="E291" s="519" t="s">
        <v>7332</v>
      </c>
      <c r="F291" s="690" t="s">
        <v>248</v>
      </c>
      <c r="G291" s="690" t="s">
        <v>11</v>
      </c>
      <c r="H291" s="519" t="s">
        <v>12679</v>
      </c>
      <c r="I291" s="691">
        <v>149</v>
      </c>
      <c r="J291" s="692">
        <v>1793</v>
      </c>
      <c r="K291" s="703"/>
    </row>
    <row r="292" spans="1:11" s="693" customFormat="1" ht="25.5">
      <c r="A292" s="704" t="s">
        <v>6242</v>
      </c>
      <c r="B292" s="689" t="s">
        <v>4358</v>
      </c>
      <c r="C292" s="689" t="s">
        <v>4357</v>
      </c>
      <c r="D292" s="7" t="s">
        <v>8175</v>
      </c>
      <c r="E292" s="519" t="s">
        <v>7335</v>
      </c>
      <c r="F292" s="690" t="s">
        <v>4359</v>
      </c>
      <c r="G292" s="690" t="s">
        <v>658</v>
      </c>
      <c r="H292" s="519" t="s">
        <v>8174</v>
      </c>
      <c r="I292" s="691">
        <v>30000</v>
      </c>
      <c r="J292" s="692">
        <v>194</v>
      </c>
      <c r="K292" s="703"/>
    </row>
    <row r="293" spans="1:11" s="693" customFormat="1" ht="25.5">
      <c r="A293" s="704" t="s">
        <v>6247</v>
      </c>
      <c r="B293" s="689" t="s">
        <v>4358</v>
      </c>
      <c r="C293" s="689" t="s">
        <v>4357</v>
      </c>
      <c r="D293" s="7" t="s">
        <v>8175</v>
      </c>
      <c r="E293" s="519" t="s">
        <v>7335</v>
      </c>
      <c r="F293" s="690" t="s">
        <v>4359</v>
      </c>
      <c r="G293" s="690" t="s">
        <v>658</v>
      </c>
      <c r="H293" s="519" t="s">
        <v>8174</v>
      </c>
      <c r="I293" s="691">
        <v>30000</v>
      </c>
      <c r="J293" s="692">
        <v>200</v>
      </c>
      <c r="K293" s="703"/>
    </row>
    <row r="294" spans="1:11" s="693" customFormat="1" ht="25.5">
      <c r="A294" s="704" t="s">
        <v>6255</v>
      </c>
      <c r="B294" s="689" t="s">
        <v>515</v>
      </c>
      <c r="C294" s="689" t="s">
        <v>516</v>
      </c>
      <c r="D294" s="7" t="s">
        <v>518</v>
      </c>
      <c r="E294" s="519" t="s">
        <v>519</v>
      </c>
      <c r="F294" s="690" t="s">
        <v>517</v>
      </c>
      <c r="G294" s="690" t="s">
        <v>520</v>
      </c>
      <c r="H294" s="519" t="s">
        <v>5120</v>
      </c>
      <c r="I294" s="691">
        <v>8376</v>
      </c>
      <c r="J294" s="692">
        <v>2</v>
      </c>
      <c r="K294" s="703"/>
    </row>
    <row r="295" spans="1:11" s="693" customFormat="1" ht="25.5">
      <c r="A295" s="704" t="s">
        <v>6258</v>
      </c>
      <c r="B295" s="689" t="s">
        <v>515</v>
      </c>
      <c r="C295" s="689" t="s">
        <v>516</v>
      </c>
      <c r="D295" s="7" t="s">
        <v>518</v>
      </c>
      <c r="E295" s="519" t="s">
        <v>519</v>
      </c>
      <c r="F295" s="690" t="s">
        <v>517</v>
      </c>
      <c r="G295" s="690" t="s">
        <v>520</v>
      </c>
      <c r="H295" s="519" t="s">
        <v>5120</v>
      </c>
      <c r="I295" s="691">
        <v>8376</v>
      </c>
      <c r="J295" s="692">
        <v>356</v>
      </c>
      <c r="K295" s="703"/>
    </row>
    <row r="296" spans="1:11" s="693" customFormat="1" ht="25.5">
      <c r="A296" s="704" t="s">
        <v>6265</v>
      </c>
      <c r="B296" s="689" t="s">
        <v>515</v>
      </c>
      <c r="C296" s="689" t="s">
        <v>521</v>
      </c>
      <c r="D296" s="7" t="s">
        <v>522</v>
      </c>
      <c r="E296" s="519" t="s">
        <v>523</v>
      </c>
      <c r="F296" s="690" t="s">
        <v>238</v>
      </c>
      <c r="G296" s="690" t="s">
        <v>10</v>
      </c>
      <c r="H296" s="519" t="s">
        <v>5227</v>
      </c>
      <c r="I296" s="691">
        <v>1120</v>
      </c>
      <c r="J296" s="692">
        <v>1925</v>
      </c>
      <c r="K296" s="703"/>
    </row>
    <row r="297" spans="1:11" s="693" customFormat="1" ht="25.5">
      <c r="A297" s="704" t="s">
        <v>6270</v>
      </c>
      <c r="B297" s="689" t="s">
        <v>515</v>
      </c>
      <c r="C297" s="689" t="s">
        <v>521</v>
      </c>
      <c r="D297" s="7" t="s">
        <v>522</v>
      </c>
      <c r="E297" s="519" t="s">
        <v>523</v>
      </c>
      <c r="F297" s="690" t="s">
        <v>238</v>
      </c>
      <c r="G297" s="690" t="s">
        <v>10</v>
      </c>
      <c r="H297" s="519" t="s">
        <v>5227</v>
      </c>
      <c r="I297" s="691">
        <v>1120</v>
      </c>
      <c r="J297" s="692">
        <v>9900</v>
      </c>
      <c r="K297" s="703"/>
    </row>
    <row r="298" spans="1:11" s="693" customFormat="1" ht="25.5">
      <c r="A298" s="704" t="s">
        <v>6273</v>
      </c>
      <c r="B298" s="689" t="s">
        <v>378</v>
      </c>
      <c r="C298" s="689" t="s">
        <v>378</v>
      </c>
      <c r="D298" s="7" t="s">
        <v>379</v>
      </c>
      <c r="E298" s="519" t="s">
        <v>360</v>
      </c>
      <c r="F298" s="690" t="s">
        <v>334</v>
      </c>
      <c r="G298" s="690" t="s">
        <v>10</v>
      </c>
      <c r="H298" s="519" t="s">
        <v>5150</v>
      </c>
      <c r="I298" s="691">
        <v>234</v>
      </c>
      <c r="J298" s="692">
        <v>3575</v>
      </c>
      <c r="K298" s="703"/>
    </row>
    <row r="299" spans="1:11" s="693" customFormat="1" ht="25.5">
      <c r="A299" s="704" t="s">
        <v>6275</v>
      </c>
      <c r="B299" s="689" t="s">
        <v>378</v>
      </c>
      <c r="C299" s="689" t="s">
        <v>378</v>
      </c>
      <c r="D299" s="7" t="s">
        <v>379</v>
      </c>
      <c r="E299" s="519" t="s">
        <v>360</v>
      </c>
      <c r="F299" s="690" t="s">
        <v>334</v>
      </c>
      <c r="G299" s="690" t="s">
        <v>10</v>
      </c>
      <c r="H299" s="519" t="s">
        <v>5150</v>
      </c>
      <c r="I299" s="691">
        <v>234</v>
      </c>
      <c r="J299" s="692">
        <v>38700</v>
      </c>
      <c r="K299" s="703"/>
    </row>
    <row r="300" spans="1:11" s="693" customFormat="1" ht="25.5">
      <c r="A300" s="704" t="s">
        <v>6276</v>
      </c>
      <c r="B300" s="689" t="s">
        <v>2503</v>
      </c>
      <c r="C300" s="689" t="s">
        <v>2504</v>
      </c>
      <c r="D300" s="7" t="s">
        <v>3072</v>
      </c>
      <c r="E300" s="519" t="s">
        <v>7783</v>
      </c>
      <c r="F300" s="690" t="s">
        <v>327</v>
      </c>
      <c r="G300" s="690" t="s">
        <v>11</v>
      </c>
      <c r="H300" s="519" t="s">
        <v>5690</v>
      </c>
      <c r="I300" s="691">
        <v>3500</v>
      </c>
      <c r="J300" s="692">
        <v>1980</v>
      </c>
      <c r="K300" s="703"/>
    </row>
    <row r="301" spans="1:11" s="693" customFormat="1" ht="25.5">
      <c r="A301" s="704" t="s">
        <v>6281</v>
      </c>
      <c r="B301" s="689" t="s">
        <v>2503</v>
      </c>
      <c r="C301" s="689" t="s">
        <v>2504</v>
      </c>
      <c r="D301" s="7" t="s">
        <v>3072</v>
      </c>
      <c r="E301" s="519" t="s">
        <v>7783</v>
      </c>
      <c r="F301" s="690" t="s">
        <v>327</v>
      </c>
      <c r="G301" s="690" t="s">
        <v>11</v>
      </c>
      <c r="H301" s="519" t="s">
        <v>5690</v>
      </c>
      <c r="I301" s="691">
        <v>3500</v>
      </c>
      <c r="J301" s="692">
        <v>2517</v>
      </c>
      <c r="K301" s="703"/>
    </row>
    <row r="302" spans="1:11" s="693" customFormat="1" ht="38.25">
      <c r="A302" s="704" t="s">
        <v>6287</v>
      </c>
      <c r="B302" s="689" t="s">
        <v>4137</v>
      </c>
      <c r="C302" s="689" t="s">
        <v>4136</v>
      </c>
      <c r="D302" s="7" t="s">
        <v>896</v>
      </c>
      <c r="E302" s="519" t="s">
        <v>6414</v>
      </c>
      <c r="F302" s="690" t="s">
        <v>4138</v>
      </c>
      <c r="G302" s="690" t="s">
        <v>4139</v>
      </c>
      <c r="H302" s="519" t="s">
        <v>6413</v>
      </c>
      <c r="I302" s="691">
        <v>276500</v>
      </c>
      <c r="J302" s="692">
        <v>12</v>
      </c>
      <c r="K302" s="703"/>
    </row>
    <row r="303" spans="1:11" s="693" customFormat="1" ht="38.25">
      <c r="A303" s="704" t="s">
        <v>6294</v>
      </c>
      <c r="B303" s="689" t="s">
        <v>4214</v>
      </c>
      <c r="C303" s="689" t="s">
        <v>4213</v>
      </c>
      <c r="D303" s="7" t="s">
        <v>6390</v>
      </c>
      <c r="E303" s="519" t="s">
        <v>2072</v>
      </c>
      <c r="F303" s="690" t="s">
        <v>4215</v>
      </c>
      <c r="G303" s="690" t="s">
        <v>4139</v>
      </c>
      <c r="H303" s="519" t="s">
        <v>6389</v>
      </c>
      <c r="I303" s="691">
        <v>227850</v>
      </c>
      <c r="J303" s="692">
        <v>1</v>
      </c>
      <c r="K303" s="703"/>
    </row>
    <row r="304" spans="1:11" s="693" customFormat="1" ht="38.25">
      <c r="A304" s="704" t="s">
        <v>6300</v>
      </c>
      <c r="B304" s="689" t="s">
        <v>4214</v>
      </c>
      <c r="C304" s="689" t="s">
        <v>4213</v>
      </c>
      <c r="D304" s="7" t="s">
        <v>6390</v>
      </c>
      <c r="E304" s="519" t="s">
        <v>2072</v>
      </c>
      <c r="F304" s="690" t="s">
        <v>4215</v>
      </c>
      <c r="G304" s="690" t="s">
        <v>4139</v>
      </c>
      <c r="H304" s="519" t="s">
        <v>6389</v>
      </c>
      <c r="I304" s="691">
        <v>227850</v>
      </c>
      <c r="J304" s="692">
        <v>1891</v>
      </c>
      <c r="K304" s="703"/>
    </row>
    <row r="305" spans="1:11" s="693" customFormat="1">
      <c r="A305" s="704" t="s">
        <v>6304</v>
      </c>
      <c r="B305" s="689" t="s">
        <v>555</v>
      </c>
      <c r="C305" s="689" t="s">
        <v>4263</v>
      </c>
      <c r="D305" s="7" t="s">
        <v>6105</v>
      </c>
      <c r="E305" s="519" t="s">
        <v>6106</v>
      </c>
      <c r="F305" s="690" t="s">
        <v>262</v>
      </c>
      <c r="G305" s="690" t="s">
        <v>11</v>
      </c>
      <c r="H305" s="519" t="s">
        <v>6104</v>
      </c>
      <c r="I305" s="691">
        <v>6500</v>
      </c>
      <c r="J305" s="692">
        <v>6</v>
      </c>
      <c r="K305" s="703"/>
    </row>
    <row r="306" spans="1:11" s="693" customFormat="1">
      <c r="A306" s="704" t="s">
        <v>6307</v>
      </c>
      <c r="B306" s="689" t="s">
        <v>555</v>
      </c>
      <c r="C306" s="689" t="s">
        <v>8288</v>
      </c>
      <c r="D306" s="7" t="s">
        <v>8289</v>
      </c>
      <c r="E306" s="519" t="s">
        <v>8290</v>
      </c>
      <c r="F306" s="690" t="s">
        <v>232</v>
      </c>
      <c r="G306" s="690" t="s">
        <v>11</v>
      </c>
      <c r="H306" s="519" t="s">
        <v>5690</v>
      </c>
      <c r="I306" s="691">
        <v>3300</v>
      </c>
      <c r="J306" s="692">
        <v>10393</v>
      </c>
      <c r="K306" s="703"/>
    </row>
    <row r="307" spans="1:11" s="693" customFormat="1" ht="25.5">
      <c r="A307" s="704" t="s">
        <v>6310</v>
      </c>
      <c r="B307" s="689" t="s">
        <v>1540</v>
      </c>
      <c r="C307" s="689" t="s">
        <v>6109</v>
      </c>
      <c r="D307" s="7" t="s">
        <v>6110</v>
      </c>
      <c r="E307" s="519" t="s">
        <v>954</v>
      </c>
      <c r="F307" s="690" t="s">
        <v>1542</v>
      </c>
      <c r="G307" s="690" t="s">
        <v>11</v>
      </c>
      <c r="H307" s="519" t="s">
        <v>6009</v>
      </c>
      <c r="I307" s="691">
        <v>4159</v>
      </c>
      <c r="J307" s="692">
        <v>16196</v>
      </c>
      <c r="K307" s="703"/>
    </row>
    <row r="308" spans="1:11" s="693" customFormat="1" ht="25.5">
      <c r="A308" s="704" t="s">
        <v>6319</v>
      </c>
      <c r="B308" s="689" t="s">
        <v>3513</v>
      </c>
      <c r="C308" s="689" t="s">
        <v>4979</v>
      </c>
      <c r="D308" s="7" t="s">
        <v>8025</v>
      </c>
      <c r="E308" s="519" t="s">
        <v>621</v>
      </c>
      <c r="F308" s="690" t="s">
        <v>4980</v>
      </c>
      <c r="G308" s="690" t="s">
        <v>15</v>
      </c>
      <c r="H308" s="519" t="s">
        <v>6940</v>
      </c>
      <c r="I308" s="691">
        <v>16590</v>
      </c>
      <c r="J308" s="692">
        <v>8</v>
      </c>
      <c r="K308" s="703"/>
    </row>
    <row r="309" spans="1:11" s="693" customFormat="1" ht="25.5">
      <c r="A309" s="704" t="s">
        <v>6323</v>
      </c>
      <c r="B309" s="689" t="s">
        <v>3513</v>
      </c>
      <c r="C309" s="689" t="s">
        <v>4979</v>
      </c>
      <c r="D309" s="7" t="s">
        <v>8025</v>
      </c>
      <c r="E309" s="519" t="s">
        <v>621</v>
      </c>
      <c r="F309" s="690" t="s">
        <v>4980</v>
      </c>
      <c r="G309" s="690" t="s">
        <v>15</v>
      </c>
      <c r="H309" s="519" t="s">
        <v>6940</v>
      </c>
      <c r="I309" s="691">
        <v>16590</v>
      </c>
      <c r="J309" s="692">
        <v>211</v>
      </c>
      <c r="K309" s="703"/>
    </row>
    <row r="310" spans="1:11" s="693" customFormat="1">
      <c r="A310" s="704" t="s">
        <v>6326</v>
      </c>
      <c r="B310" s="689" t="s">
        <v>1140</v>
      </c>
      <c r="C310" s="689" t="s">
        <v>4544</v>
      </c>
      <c r="D310" s="7" t="s">
        <v>6616</v>
      </c>
      <c r="E310" s="519" t="s">
        <v>6617</v>
      </c>
      <c r="F310" s="690" t="s">
        <v>4545</v>
      </c>
      <c r="G310" s="690" t="s">
        <v>4240</v>
      </c>
      <c r="H310" s="519" t="s">
        <v>6615</v>
      </c>
      <c r="I310" s="691">
        <v>28400</v>
      </c>
      <c r="J310" s="692">
        <v>20</v>
      </c>
      <c r="K310" s="703"/>
    </row>
    <row r="311" spans="1:11" s="693" customFormat="1">
      <c r="A311" s="704" t="s">
        <v>6331</v>
      </c>
      <c r="B311" s="689" t="s">
        <v>1140</v>
      </c>
      <c r="C311" s="689" t="s">
        <v>4544</v>
      </c>
      <c r="D311" s="7" t="s">
        <v>6616</v>
      </c>
      <c r="E311" s="519" t="s">
        <v>6617</v>
      </c>
      <c r="F311" s="690" t="s">
        <v>4545</v>
      </c>
      <c r="G311" s="690" t="s">
        <v>4240</v>
      </c>
      <c r="H311" s="519" t="s">
        <v>6615</v>
      </c>
      <c r="I311" s="691">
        <v>28400</v>
      </c>
      <c r="J311" s="692">
        <v>25</v>
      </c>
      <c r="K311" s="703"/>
    </row>
    <row r="312" spans="1:11" s="693" customFormat="1" ht="25.5">
      <c r="A312" s="704" t="s">
        <v>6336</v>
      </c>
      <c r="B312" s="689" t="s">
        <v>4011</v>
      </c>
      <c r="C312" s="689" t="s">
        <v>4010</v>
      </c>
      <c r="D312" s="7" t="s">
        <v>6015</v>
      </c>
      <c r="E312" s="519" t="s">
        <v>6016</v>
      </c>
      <c r="F312" s="690" t="s">
        <v>4012</v>
      </c>
      <c r="G312" s="690" t="s">
        <v>3670</v>
      </c>
      <c r="H312" s="519" t="s">
        <v>6014</v>
      </c>
      <c r="I312" s="691">
        <v>47500</v>
      </c>
      <c r="J312" s="692">
        <v>176</v>
      </c>
      <c r="K312" s="703"/>
    </row>
    <row r="313" spans="1:11" s="693" customFormat="1" ht="25.5">
      <c r="A313" s="704" t="s">
        <v>6338</v>
      </c>
      <c r="B313" s="689" t="s">
        <v>3090</v>
      </c>
      <c r="C313" s="689" t="s">
        <v>3090</v>
      </c>
      <c r="D313" s="7" t="s">
        <v>8781</v>
      </c>
      <c r="E313" s="519" t="s">
        <v>2397</v>
      </c>
      <c r="F313" s="690" t="s">
        <v>12370</v>
      </c>
      <c r="G313" s="690" t="s">
        <v>11</v>
      </c>
      <c r="H313" s="519" t="s">
        <v>8660</v>
      </c>
      <c r="I313" s="691">
        <v>410</v>
      </c>
      <c r="J313" s="692">
        <v>2597</v>
      </c>
      <c r="K313" s="703"/>
    </row>
    <row r="314" spans="1:11" s="693" customFormat="1" ht="25.5">
      <c r="A314" s="704" t="s">
        <v>6340</v>
      </c>
      <c r="B314" s="689" t="s">
        <v>3090</v>
      </c>
      <c r="C314" s="689" t="s">
        <v>3090</v>
      </c>
      <c r="D314" s="7" t="s">
        <v>8781</v>
      </c>
      <c r="E314" s="519" t="s">
        <v>2397</v>
      </c>
      <c r="F314" s="690" t="s">
        <v>12370</v>
      </c>
      <c r="G314" s="690" t="s">
        <v>11</v>
      </c>
      <c r="H314" s="519" t="s">
        <v>8660</v>
      </c>
      <c r="I314" s="691">
        <v>410</v>
      </c>
      <c r="J314" s="692">
        <v>10000</v>
      </c>
      <c r="K314" s="703"/>
    </row>
    <row r="315" spans="1:11" s="693" customFormat="1" ht="102">
      <c r="A315" s="704" t="s">
        <v>6347</v>
      </c>
      <c r="B315" s="689" t="s">
        <v>4605</v>
      </c>
      <c r="C315" s="689" t="s">
        <v>21</v>
      </c>
      <c r="D315" s="7" t="s">
        <v>8784</v>
      </c>
      <c r="E315" s="519" t="s">
        <v>2182</v>
      </c>
      <c r="F315" s="690" t="s">
        <v>4606</v>
      </c>
      <c r="G315" s="690" t="s">
        <v>11</v>
      </c>
      <c r="H315" s="519" t="s">
        <v>8783</v>
      </c>
      <c r="I315" s="691">
        <v>1260</v>
      </c>
      <c r="J315" s="692">
        <v>997</v>
      </c>
      <c r="K315" s="703"/>
    </row>
    <row r="316" spans="1:11" s="693" customFormat="1" ht="102">
      <c r="A316" s="704" t="s">
        <v>6350</v>
      </c>
      <c r="B316" s="689" t="s">
        <v>4605</v>
      </c>
      <c r="C316" s="689" t="s">
        <v>21</v>
      </c>
      <c r="D316" s="7" t="s">
        <v>8784</v>
      </c>
      <c r="E316" s="519" t="s">
        <v>2182</v>
      </c>
      <c r="F316" s="690" t="s">
        <v>4606</v>
      </c>
      <c r="G316" s="690" t="s">
        <v>11</v>
      </c>
      <c r="H316" s="519" t="s">
        <v>8783</v>
      </c>
      <c r="I316" s="691">
        <v>1260</v>
      </c>
      <c r="J316" s="692">
        <v>10000</v>
      </c>
      <c r="K316" s="703"/>
    </row>
    <row r="317" spans="1:11" s="693" customFormat="1" ht="25.5">
      <c r="A317" s="704" t="s">
        <v>6358</v>
      </c>
      <c r="B317" s="689" t="s">
        <v>141</v>
      </c>
      <c r="C317" s="689" t="s">
        <v>12364</v>
      </c>
      <c r="D317" s="7" t="s">
        <v>2312</v>
      </c>
      <c r="E317" s="519" t="s">
        <v>2310</v>
      </c>
      <c r="F317" s="690" t="s">
        <v>3091</v>
      </c>
      <c r="G317" s="690" t="s">
        <v>11</v>
      </c>
      <c r="H317" s="519" t="s">
        <v>8732</v>
      </c>
      <c r="I317" s="691">
        <v>1490</v>
      </c>
      <c r="J317" s="692">
        <v>20000</v>
      </c>
      <c r="K317" s="703"/>
    </row>
    <row r="318" spans="1:11" s="693" customFormat="1" ht="25.5">
      <c r="A318" s="704" t="s">
        <v>6365</v>
      </c>
      <c r="B318" s="689" t="s">
        <v>8785</v>
      </c>
      <c r="C318" s="689" t="s">
        <v>3090</v>
      </c>
      <c r="D318" s="7" t="s">
        <v>2395</v>
      </c>
      <c r="E318" s="519" t="s">
        <v>8651</v>
      </c>
      <c r="F318" s="690" t="s">
        <v>12367</v>
      </c>
      <c r="G318" s="690" t="s">
        <v>11</v>
      </c>
      <c r="H318" s="519" t="s">
        <v>8787</v>
      </c>
      <c r="I318" s="691">
        <v>350</v>
      </c>
      <c r="J318" s="692">
        <v>15</v>
      </c>
      <c r="K318" s="703"/>
    </row>
    <row r="319" spans="1:11" s="693" customFormat="1" ht="25.5">
      <c r="A319" s="704" t="s">
        <v>6369</v>
      </c>
      <c r="B319" s="689" t="s">
        <v>136</v>
      </c>
      <c r="C319" s="689" t="s">
        <v>4695</v>
      </c>
      <c r="D319" s="7" t="s">
        <v>2309</v>
      </c>
      <c r="E319" s="519" t="s">
        <v>2310</v>
      </c>
      <c r="F319" s="690" t="s">
        <v>4696</v>
      </c>
      <c r="G319" s="690" t="s">
        <v>11</v>
      </c>
      <c r="H319" s="519" t="s">
        <v>8732</v>
      </c>
      <c r="I319" s="691">
        <v>2047</v>
      </c>
      <c r="J319" s="692">
        <v>15</v>
      </c>
      <c r="K319" s="703"/>
    </row>
    <row r="320" spans="1:11" s="693" customFormat="1" ht="25.5">
      <c r="A320" s="704" t="s">
        <v>6372</v>
      </c>
      <c r="B320" s="689" t="s">
        <v>4711</v>
      </c>
      <c r="C320" s="689" t="s">
        <v>4710</v>
      </c>
      <c r="D320" s="7" t="s">
        <v>8602</v>
      </c>
      <c r="E320" s="519" t="s">
        <v>8603</v>
      </c>
      <c r="F320" s="690" t="s">
        <v>4712</v>
      </c>
      <c r="G320" s="690" t="s">
        <v>658</v>
      </c>
      <c r="H320" s="519" t="s">
        <v>8601</v>
      </c>
      <c r="I320" s="691">
        <v>25850</v>
      </c>
      <c r="J320" s="692">
        <v>163</v>
      </c>
      <c r="K320" s="703"/>
    </row>
    <row r="321" spans="1:11" s="693" customFormat="1" ht="25.5">
      <c r="A321" s="704" t="s">
        <v>6374</v>
      </c>
      <c r="B321" s="689" t="s">
        <v>4711</v>
      </c>
      <c r="C321" s="689" t="s">
        <v>4710</v>
      </c>
      <c r="D321" s="7" t="s">
        <v>8602</v>
      </c>
      <c r="E321" s="519" t="s">
        <v>8603</v>
      </c>
      <c r="F321" s="690" t="s">
        <v>4712</v>
      </c>
      <c r="G321" s="690" t="s">
        <v>658</v>
      </c>
      <c r="H321" s="519" t="s">
        <v>8601</v>
      </c>
      <c r="I321" s="691">
        <v>25850</v>
      </c>
      <c r="J321" s="692">
        <v>201</v>
      </c>
      <c r="K321" s="703"/>
    </row>
    <row r="322" spans="1:11" s="693" customFormat="1" ht="25.5">
      <c r="A322" s="704" t="s">
        <v>5015</v>
      </c>
      <c r="B322" s="689" t="s">
        <v>4711</v>
      </c>
      <c r="C322" s="689" t="s">
        <v>4710</v>
      </c>
      <c r="D322" s="7" t="s">
        <v>8602</v>
      </c>
      <c r="E322" s="519" t="s">
        <v>8603</v>
      </c>
      <c r="F322" s="690" t="s">
        <v>4712</v>
      </c>
      <c r="G322" s="690" t="s">
        <v>658</v>
      </c>
      <c r="H322" s="519" t="s">
        <v>8601</v>
      </c>
      <c r="I322" s="691">
        <v>25850</v>
      </c>
      <c r="J322" s="692">
        <v>300</v>
      </c>
      <c r="K322" s="703"/>
    </row>
    <row r="323" spans="1:11" s="693" customFormat="1" ht="25.5">
      <c r="A323" s="704" t="s">
        <v>6387</v>
      </c>
      <c r="B323" s="689" t="s">
        <v>3793</v>
      </c>
      <c r="C323" s="689" t="s">
        <v>4158</v>
      </c>
      <c r="D323" s="7" t="s">
        <v>8034</v>
      </c>
      <c r="E323" s="519" t="s">
        <v>1953</v>
      </c>
      <c r="F323" s="690" t="s">
        <v>4159</v>
      </c>
      <c r="G323" s="690" t="s">
        <v>13</v>
      </c>
      <c r="H323" s="519" t="s">
        <v>8033</v>
      </c>
      <c r="I323" s="691">
        <v>1932</v>
      </c>
      <c r="J323" s="692">
        <v>19</v>
      </c>
      <c r="K323" s="703"/>
    </row>
    <row r="324" spans="1:11" s="693" customFormat="1" ht="25.5">
      <c r="A324" s="704" t="s">
        <v>6392</v>
      </c>
      <c r="B324" s="689" t="s">
        <v>3793</v>
      </c>
      <c r="C324" s="689" t="s">
        <v>4158</v>
      </c>
      <c r="D324" s="7" t="s">
        <v>8034</v>
      </c>
      <c r="E324" s="519" t="s">
        <v>1953</v>
      </c>
      <c r="F324" s="690" t="s">
        <v>4159</v>
      </c>
      <c r="G324" s="690" t="s">
        <v>13</v>
      </c>
      <c r="H324" s="519" t="s">
        <v>8033</v>
      </c>
      <c r="I324" s="691">
        <v>1932</v>
      </c>
      <c r="J324" s="692">
        <v>1282</v>
      </c>
      <c r="K324" s="703"/>
    </row>
    <row r="325" spans="1:11" s="693" customFormat="1" ht="25.5">
      <c r="A325" s="704" t="s">
        <v>6398</v>
      </c>
      <c r="B325" s="689" t="s">
        <v>3793</v>
      </c>
      <c r="C325" s="689" t="s">
        <v>4158</v>
      </c>
      <c r="D325" s="7" t="s">
        <v>8034</v>
      </c>
      <c r="E325" s="519" t="s">
        <v>1953</v>
      </c>
      <c r="F325" s="690" t="s">
        <v>4159</v>
      </c>
      <c r="G325" s="690" t="s">
        <v>13</v>
      </c>
      <c r="H325" s="519" t="s">
        <v>8033</v>
      </c>
      <c r="I325" s="691">
        <v>1932</v>
      </c>
      <c r="J325" s="692">
        <v>5197</v>
      </c>
      <c r="K325" s="703"/>
    </row>
    <row r="326" spans="1:11" s="693" customFormat="1" ht="25.5">
      <c r="A326" s="704" t="s">
        <v>6402</v>
      </c>
      <c r="B326" s="689" t="s">
        <v>2083</v>
      </c>
      <c r="C326" s="689" t="s">
        <v>6296</v>
      </c>
      <c r="D326" s="7" t="s">
        <v>6298</v>
      </c>
      <c r="E326" s="519" t="s">
        <v>5806</v>
      </c>
      <c r="F326" s="690" t="s">
        <v>6295</v>
      </c>
      <c r="G326" s="690" t="s">
        <v>12</v>
      </c>
      <c r="H326" s="519" t="s">
        <v>6297</v>
      </c>
      <c r="I326" s="691">
        <v>2688</v>
      </c>
      <c r="J326" s="692">
        <v>551</v>
      </c>
      <c r="K326" s="703"/>
    </row>
    <row r="327" spans="1:11" s="693" customFormat="1">
      <c r="A327" s="704" t="s">
        <v>6411</v>
      </c>
      <c r="B327" s="689" t="s">
        <v>1109</v>
      </c>
      <c r="C327" s="689" t="s">
        <v>1486</v>
      </c>
      <c r="D327" s="7" t="s">
        <v>1487</v>
      </c>
      <c r="E327" s="519" t="s">
        <v>6233</v>
      </c>
      <c r="F327" s="690" t="s">
        <v>4040</v>
      </c>
      <c r="G327" s="690" t="s">
        <v>11</v>
      </c>
      <c r="H327" s="519" t="s">
        <v>6232</v>
      </c>
      <c r="I327" s="691">
        <v>9500</v>
      </c>
      <c r="J327" s="692">
        <v>118</v>
      </c>
      <c r="K327" s="703"/>
    </row>
    <row r="328" spans="1:11" s="693" customFormat="1">
      <c r="A328" s="704" t="s">
        <v>6415</v>
      </c>
      <c r="B328" s="689" t="s">
        <v>1109</v>
      </c>
      <c r="C328" s="689" t="s">
        <v>1486</v>
      </c>
      <c r="D328" s="7" t="s">
        <v>1487</v>
      </c>
      <c r="E328" s="519" t="s">
        <v>6233</v>
      </c>
      <c r="F328" s="690" t="s">
        <v>4040</v>
      </c>
      <c r="G328" s="690" t="s">
        <v>11</v>
      </c>
      <c r="H328" s="519" t="s">
        <v>6232</v>
      </c>
      <c r="I328" s="691">
        <v>9500</v>
      </c>
      <c r="J328" s="692">
        <v>4132</v>
      </c>
      <c r="K328" s="703"/>
    </row>
    <row r="329" spans="1:11" s="693" customFormat="1">
      <c r="A329" s="704" t="s">
        <v>6421</v>
      </c>
      <c r="B329" s="689" t="s">
        <v>1109</v>
      </c>
      <c r="C329" s="689" t="s">
        <v>1110</v>
      </c>
      <c r="D329" s="7" t="s">
        <v>6227</v>
      </c>
      <c r="E329" s="519" t="s">
        <v>6228</v>
      </c>
      <c r="F329" s="690" t="s">
        <v>384</v>
      </c>
      <c r="G329" s="690" t="s">
        <v>11</v>
      </c>
      <c r="H329" s="519" t="s">
        <v>6226</v>
      </c>
      <c r="I329" s="691">
        <v>4990</v>
      </c>
      <c r="J329" s="692">
        <v>9996</v>
      </c>
      <c r="K329" s="703"/>
    </row>
    <row r="330" spans="1:11" s="693" customFormat="1" ht="38.25">
      <c r="A330" s="704" t="s">
        <v>6424</v>
      </c>
      <c r="B330" s="689" t="s">
        <v>1352</v>
      </c>
      <c r="C330" s="689" t="s">
        <v>1798</v>
      </c>
      <c r="D330" s="7" t="s">
        <v>6475</v>
      </c>
      <c r="E330" s="519" t="s">
        <v>6011</v>
      </c>
      <c r="F330" s="690" t="s">
        <v>327</v>
      </c>
      <c r="G330" s="690" t="s">
        <v>11</v>
      </c>
      <c r="H330" s="519" t="s">
        <v>6009</v>
      </c>
      <c r="I330" s="691">
        <v>6279</v>
      </c>
      <c r="J330" s="692">
        <v>900</v>
      </c>
      <c r="K330" s="703"/>
    </row>
    <row r="331" spans="1:11" s="693" customFormat="1" ht="25.5">
      <c r="A331" s="704" t="s">
        <v>6430</v>
      </c>
      <c r="B331" s="689" t="s">
        <v>1352</v>
      </c>
      <c r="C331" s="689" t="s">
        <v>8197</v>
      </c>
      <c r="D331" s="7" t="s">
        <v>8198</v>
      </c>
      <c r="E331" s="519" t="s">
        <v>7674</v>
      </c>
      <c r="F331" s="690" t="s">
        <v>238</v>
      </c>
      <c r="G331" s="690" t="s">
        <v>11</v>
      </c>
      <c r="H331" s="519" t="s">
        <v>7871</v>
      </c>
      <c r="I331" s="691">
        <v>3100</v>
      </c>
      <c r="J331" s="692">
        <v>4980</v>
      </c>
      <c r="K331" s="703"/>
    </row>
    <row r="332" spans="1:11" s="693" customFormat="1">
      <c r="A332" s="704" t="s">
        <v>6436</v>
      </c>
      <c r="B332" s="689" t="s">
        <v>2509</v>
      </c>
      <c r="C332" s="689" t="s">
        <v>3621</v>
      </c>
      <c r="D332" s="7" t="s">
        <v>420</v>
      </c>
      <c r="E332" s="519" t="s">
        <v>414</v>
      </c>
      <c r="F332" s="690" t="s">
        <v>4868</v>
      </c>
      <c r="G332" s="690" t="s">
        <v>628</v>
      </c>
      <c r="H332" s="519" t="s">
        <v>5455</v>
      </c>
      <c r="I332" s="691">
        <v>438</v>
      </c>
      <c r="J332" s="692">
        <v>1</v>
      </c>
      <c r="K332" s="703"/>
    </row>
    <row r="333" spans="1:11" s="693" customFormat="1">
      <c r="A333" s="704" t="s">
        <v>6444</v>
      </c>
      <c r="B333" s="689" t="s">
        <v>2509</v>
      </c>
      <c r="C333" s="689" t="s">
        <v>3621</v>
      </c>
      <c r="D333" s="7" t="s">
        <v>420</v>
      </c>
      <c r="E333" s="519" t="s">
        <v>414</v>
      </c>
      <c r="F333" s="690" t="s">
        <v>4868</v>
      </c>
      <c r="G333" s="690" t="s">
        <v>628</v>
      </c>
      <c r="H333" s="519" t="s">
        <v>5455</v>
      </c>
      <c r="I333" s="691">
        <v>438</v>
      </c>
      <c r="J333" s="692">
        <v>9</v>
      </c>
      <c r="K333" s="703"/>
    </row>
    <row r="334" spans="1:11" s="693" customFormat="1">
      <c r="A334" s="704" t="s">
        <v>6451</v>
      </c>
      <c r="B334" s="689" t="s">
        <v>2509</v>
      </c>
      <c r="C334" s="689" t="s">
        <v>3621</v>
      </c>
      <c r="D334" s="7" t="s">
        <v>420</v>
      </c>
      <c r="E334" s="519" t="s">
        <v>414</v>
      </c>
      <c r="F334" s="690" t="s">
        <v>4868</v>
      </c>
      <c r="G334" s="690" t="s">
        <v>628</v>
      </c>
      <c r="H334" s="519" t="s">
        <v>5455</v>
      </c>
      <c r="I334" s="691">
        <v>438</v>
      </c>
      <c r="J334" s="692">
        <v>902</v>
      </c>
      <c r="K334" s="703"/>
    </row>
    <row r="335" spans="1:11" s="693" customFormat="1" ht="51">
      <c r="A335" s="704" t="s">
        <v>4568</v>
      </c>
      <c r="B335" s="689" t="s">
        <v>12462</v>
      </c>
      <c r="C335" s="689" t="s">
        <v>12461</v>
      </c>
      <c r="D335" s="7" t="s">
        <v>8720</v>
      </c>
      <c r="E335" s="519" t="s">
        <v>8721</v>
      </c>
      <c r="F335" s="690" t="s">
        <v>12463</v>
      </c>
      <c r="G335" s="690" t="s">
        <v>15</v>
      </c>
      <c r="H335" s="519" t="s">
        <v>8719</v>
      </c>
      <c r="I335" s="691">
        <v>40000</v>
      </c>
      <c r="J335" s="692">
        <v>100</v>
      </c>
      <c r="K335" s="703"/>
    </row>
    <row r="336" spans="1:11" s="693" customFormat="1" ht="51">
      <c r="A336" s="704" t="s">
        <v>6464</v>
      </c>
      <c r="B336" s="689" t="s">
        <v>12462</v>
      </c>
      <c r="C336" s="689" t="s">
        <v>12461</v>
      </c>
      <c r="D336" s="7" t="s">
        <v>8720</v>
      </c>
      <c r="E336" s="519" t="s">
        <v>8721</v>
      </c>
      <c r="F336" s="690" t="s">
        <v>12463</v>
      </c>
      <c r="G336" s="690" t="s">
        <v>15</v>
      </c>
      <c r="H336" s="519" t="s">
        <v>8719</v>
      </c>
      <c r="I336" s="691">
        <v>40000</v>
      </c>
      <c r="J336" s="692">
        <v>152</v>
      </c>
      <c r="K336" s="703"/>
    </row>
    <row r="337" spans="1:11" s="693" customFormat="1">
      <c r="A337" s="704" t="s">
        <v>6469</v>
      </c>
      <c r="B337" s="689" t="s">
        <v>556</v>
      </c>
      <c r="C337" s="689" t="s">
        <v>6120</v>
      </c>
      <c r="D337" s="7" t="s">
        <v>6122</v>
      </c>
      <c r="E337" s="519" t="s">
        <v>6123</v>
      </c>
      <c r="F337" s="690" t="s">
        <v>327</v>
      </c>
      <c r="G337" s="690" t="s">
        <v>11</v>
      </c>
      <c r="H337" s="519" t="s">
        <v>6121</v>
      </c>
      <c r="I337" s="691">
        <v>3360</v>
      </c>
      <c r="J337" s="692">
        <v>5</v>
      </c>
      <c r="K337" s="703"/>
    </row>
    <row r="338" spans="1:11" s="693" customFormat="1" ht="38.25">
      <c r="A338" s="704" t="s">
        <v>6474</v>
      </c>
      <c r="B338" s="689" t="s">
        <v>556</v>
      </c>
      <c r="C338" s="689" t="s">
        <v>12480</v>
      </c>
      <c r="D338" s="7" t="s">
        <v>6114</v>
      </c>
      <c r="E338" s="519" t="s">
        <v>6115</v>
      </c>
      <c r="F338" s="690" t="s">
        <v>238</v>
      </c>
      <c r="G338" s="690" t="s">
        <v>11</v>
      </c>
      <c r="H338" s="519" t="s">
        <v>6113</v>
      </c>
      <c r="I338" s="691">
        <v>1990</v>
      </c>
      <c r="J338" s="692">
        <v>10000</v>
      </c>
      <c r="K338" s="703"/>
    </row>
    <row r="339" spans="1:11" s="693" customFormat="1">
      <c r="A339" s="704" t="s">
        <v>6476</v>
      </c>
      <c r="B339" s="689" t="s">
        <v>221</v>
      </c>
      <c r="C339" s="689" t="s">
        <v>4873</v>
      </c>
      <c r="D339" s="7" t="s">
        <v>223</v>
      </c>
      <c r="E339" s="519" t="s">
        <v>215</v>
      </c>
      <c r="F339" s="690" t="s">
        <v>222</v>
      </c>
      <c r="G339" s="690" t="s">
        <v>10</v>
      </c>
      <c r="H339" s="519" t="s">
        <v>5457</v>
      </c>
      <c r="I339" s="691">
        <v>115</v>
      </c>
      <c r="J339" s="692">
        <v>414</v>
      </c>
      <c r="K339" s="703"/>
    </row>
    <row r="340" spans="1:11" s="693" customFormat="1">
      <c r="A340" s="704" t="s">
        <v>6477</v>
      </c>
      <c r="B340" s="689" t="s">
        <v>221</v>
      </c>
      <c r="C340" s="689" t="s">
        <v>221</v>
      </c>
      <c r="D340" s="7" t="s">
        <v>223</v>
      </c>
      <c r="E340" s="519" t="s">
        <v>215</v>
      </c>
      <c r="F340" s="690" t="s">
        <v>222</v>
      </c>
      <c r="G340" s="690" t="s">
        <v>10</v>
      </c>
      <c r="H340" s="519" t="s">
        <v>5457</v>
      </c>
      <c r="I340" s="691">
        <v>123</v>
      </c>
      <c r="J340" s="692">
        <v>3971</v>
      </c>
      <c r="K340" s="703"/>
    </row>
    <row r="341" spans="1:11" s="693" customFormat="1" ht="25.5">
      <c r="A341" s="704" t="s">
        <v>6480</v>
      </c>
      <c r="B341" s="689" t="s">
        <v>645</v>
      </c>
      <c r="C341" s="689" t="s">
        <v>4306</v>
      </c>
      <c r="D341" s="7" t="s">
        <v>8299</v>
      </c>
      <c r="E341" s="519" t="s">
        <v>6552</v>
      </c>
      <c r="F341" s="690" t="s">
        <v>291</v>
      </c>
      <c r="G341" s="690" t="s">
        <v>11</v>
      </c>
      <c r="H341" s="519" t="s">
        <v>6550</v>
      </c>
      <c r="I341" s="691">
        <v>990</v>
      </c>
      <c r="J341" s="692">
        <v>29</v>
      </c>
      <c r="K341" s="703"/>
    </row>
    <row r="342" spans="1:11" s="693" customFormat="1" ht="25.5">
      <c r="A342" s="704" t="s">
        <v>6482</v>
      </c>
      <c r="B342" s="689" t="s">
        <v>645</v>
      </c>
      <c r="C342" s="689" t="s">
        <v>7721</v>
      </c>
      <c r="D342" s="7" t="s">
        <v>7723</v>
      </c>
      <c r="E342" s="519" t="s">
        <v>7575</v>
      </c>
      <c r="F342" s="690" t="s">
        <v>291</v>
      </c>
      <c r="G342" s="690" t="s">
        <v>11</v>
      </c>
      <c r="H342" s="519" t="s">
        <v>7722</v>
      </c>
      <c r="I342" s="691">
        <v>199</v>
      </c>
      <c r="J342" s="692">
        <v>760</v>
      </c>
      <c r="K342" s="703"/>
    </row>
    <row r="343" spans="1:11" s="693" customFormat="1" ht="25.5">
      <c r="A343" s="704" t="s">
        <v>6485</v>
      </c>
      <c r="B343" s="689" t="s">
        <v>645</v>
      </c>
      <c r="C343" s="689" t="s">
        <v>6126</v>
      </c>
      <c r="D343" s="7" t="s">
        <v>6127</v>
      </c>
      <c r="E343" s="519" t="s">
        <v>6102</v>
      </c>
      <c r="F343" s="690" t="s">
        <v>291</v>
      </c>
      <c r="G343" s="690" t="s">
        <v>11</v>
      </c>
      <c r="H343" s="519" t="s">
        <v>6009</v>
      </c>
      <c r="I343" s="691">
        <v>1300</v>
      </c>
      <c r="J343" s="692">
        <v>960</v>
      </c>
      <c r="K343" s="703"/>
    </row>
    <row r="344" spans="1:11" s="693" customFormat="1" ht="25.5">
      <c r="A344" s="704" t="s">
        <v>6490</v>
      </c>
      <c r="B344" s="689" t="s">
        <v>645</v>
      </c>
      <c r="C344" s="689" t="s">
        <v>646</v>
      </c>
      <c r="D344" s="7" t="s">
        <v>7718</v>
      </c>
      <c r="E344" s="519" t="s">
        <v>2385</v>
      </c>
      <c r="F344" s="690" t="s">
        <v>248</v>
      </c>
      <c r="G344" s="690" t="s">
        <v>11</v>
      </c>
      <c r="H344" s="519" t="s">
        <v>7717</v>
      </c>
      <c r="I344" s="691">
        <v>198</v>
      </c>
      <c r="J344" s="692">
        <v>1770</v>
      </c>
      <c r="K344" s="703"/>
    </row>
    <row r="345" spans="1:11" s="693" customFormat="1" ht="25.5">
      <c r="A345" s="704" t="s">
        <v>6494</v>
      </c>
      <c r="B345" s="689" t="s">
        <v>645</v>
      </c>
      <c r="C345" s="689" t="s">
        <v>4282</v>
      </c>
      <c r="D345" s="7" t="s">
        <v>8297</v>
      </c>
      <c r="E345" s="519" t="s">
        <v>463</v>
      </c>
      <c r="F345" s="690" t="s">
        <v>248</v>
      </c>
      <c r="G345" s="690" t="s">
        <v>11</v>
      </c>
      <c r="H345" s="519" t="s">
        <v>8296</v>
      </c>
      <c r="I345" s="691">
        <v>2090</v>
      </c>
      <c r="J345" s="692">
        <v>2345</v>
      </c>
      <c r="K345" s="703"/>
    </row>
    <row r="346" spans="1:11" s="693" customFormat="1" ht="25.5">
      <c r="A346" s="704" t="s">
        <v>6497</v>
      </c>
      <c r="B346" s="689" t="s">
        <v>645</v>
      </c>
      <c r="C346" s="689" t="s">
        <v>4306</v>
      </c>
      <c r="D346" s="7" t="s">
        <v>8299</v>
      </c>
      <c r="E346" s="519" t="s">
        <v>6552</v>
      </c>
      <c r="F346" s="690" t="s">
        <v>291</v>
      </c>
      <c r="G346" s="690" t="s">
        <v>11</v>
      </c>
      <c r="H346" s="519" t="s">
        <v>6550</v>
      </c>
      <c r="I346" s="691">
        <v>990</v>
      </c>
      <c r="J346" s="692">
        <v>6154</v>
      </c>
      <c r="K346" s="703"/>
    </row>
    <row r="347" spans="1:11" s="693" customFormat="1" ht="25.5">
      <c r="A347" s="704" t="s">
        <v>6499</v>
      </c>
      <c r="B347" s="689" t="s">
        <v>645</v>
      </c>
      <c r="C347" s="689" t="s">
        <v>4306</v>
      </c>
      <c r="D347" s="7" t="s">
        <v>8299</v>
      </c>
      <c r="E347" s="519" t="s">
        <v>6552</v>
      </c>
      <c r="F347" s="690" t="s">
        <v>291</v>
      </c>
      <c r="G347" s="690" t="s">
        <v>11</v>
      </c>
      <c r="H347" s="519" t="s">
        <v>6550</v>
      </c>
      <c r="I347" s="691">
        <v>990</v>
      </c>
      <c r="J347" s="692">
        <v>8180</v>
      </c>
      <c r="K347" s="703"/>
    </row>
    <row r="348" spans="1:11" s="693" customFormat="1" ht="25.5">
      <c r="A348" s="704" t="s">
        <v>6507</v>
      </c>
      <c r="B348" s="689" t="s">
        <v>645</v>
      </c>
      <c r="C348" s="689" t="s">
        <v>4282</v>
      </c>
      <c r="D348" s="7" t="s">
        <v>8297</v>
      </c>
      <c r="E348" s="519" t="s">
        <v>463</v>
      </c>
      <c r="F348" s="690" t="s">
        <v>248</v>
      </c>
      <c r="G348" s="690" t="s">
        <v>11</v>
      </c>
      <c r="H348" s="519" t="s">
        <v>8296</v>
      </c>
      <c r="I348" s="691">
        <v>2090</v>
      </c>
      <c r="J348" s="692">
        <v>24990</v>
      </c>
      <c r="K348" s="703"/>
    </row>
    <row r="349" spans="1:11" s="693" customFormat="1" ht="25.5">
      <c r="A349" s="704" t="s">
        <v>6511</v>
      </c>
      <c r="B349" s="689" t="s">
        <v>1488</v>
      </c>
      <c r="C349" s="689" t="s">
        <v>3881</v>
      </c>
      <c r="D349" s="7" t="s">
        <v>6130</v>
      </c>
      <c r="E349" s="519" t="s">
        <v>6131</v>
      </c>
      <c r="F349" s="690" t="s">
        <v>1173</v>
      </c>
      <c r="G349" s="690" t="s">
        <v>11</v>
      </c>
      <c r="H349" s="519" t="s">
        <v>6129</v>
      </c>
      <c r="I349" s="691">
        <v>4053</v>
      </c>
      <c r="J349" s="692">
        <v>179</v>
      </c>
      <c r="K349" s="703"/>
    </row>
    <row r="350" spans="1:11" s="693" customFormat="1" ht="25.5">
      <c r="A350" s="704" t="s">
        <v>6512</v>
      </c>
      <c r="B350" s="689" t="s">
        <v>1488</v>
      </c>
      <c r="C350" s="689" t="s">
        <v>6731</v>
      </c>
      <c r="D350" s="7" t="s">
        <v>6732</v>
      </c>
      <c r="E350" s="519" t="s">
        <v>6102</v>
      </c>
      <c r="F350" s="690" t="s">
        <v>1173</v>
      </c>
      <c r="G350" s="690" t="s">
        <v>11</v>
      </c>
      <c r="H350" s="519" t="s">
        <v>6009</v>
      </c>
      <c r="I350" s="691">
        <v>880</v>
      </c>
      <c r="J350" s="692">
        <v>18980</v>
      </c>
      <c r="K350" s="703"/>
    </row>
    <row r="351" spans="1:11" s="693" customFormat="1">
      <c r="A351" s="704" t="s">
        <v>6516</v>
      </c>
      <c r="B351" s="689" t="s">
        <v>1668</v>
      </c>
      <c r="C351" s="689" t="s">
        <v>4151</v>
      </c>
      <c r="D351" s="7" t="s">
        <v>7516</v>
      </c>
      <c r="E351" s="519" t="s">
        <v>1449</v>
      </c>
      <c r="F351" s="690" t="s">
        <v>869</v>
      </c>
      <c r="G351" s="690" t="s">
        <v>11</v>
      </c>
      <c r="H351" s="519" t="s">
        <v>7515</v>
      </c>
      <c r="I351" s="691">
        <v>542</v>
      </c>
      <c r="J351" s="692">
        <v>6200</v>
      </c>
      <c r="K351" s="703"/>
    </row>
    <row r="352" spans="1:11" s="693" customFormat="1" ht="38.25">
      <c r="A352" s="704" t="s">
        <v>6523</v>
      </c>
      <c r="B352" s="689" t="s">
        <v>1668</v>
      </c>
      <c r="C352" s="689" t="s">
        <v>4121</v>
      </c>
      <c r="D352" s="7" t="s">
        <v>6019</v>
      </c>
      <c r="E352" s="519" t="s">
        <v>6020</v>
      </c>
      <c r="F352" s="690" t="s">
        <v>869</v>
      </c>
      <c r="G352" s="690" t="s">
        <v>11</v>
      </c>
      <c r="H352" s="519" t="s">
        <v>6018</v>
      </c>
      <c r="I352" s="691">
        <v>4620</v>
      </c>
      <c r="J352" s="692">
        <v>9432</v>
      </c>
      <c r="K352" s="703"/>
    </row>
    <row r="353" spans="1:11" s="693" customFormat="1">
      <c r="A353" s="704" t="s">
        <v>6528</v>
      </c>
      <c r="B353" s="689" t="s">
        <v>2089</v>
      </c>
      <c r="C353" s="689" t="s">
        <v>2090</v>
      </c>
      <c r="D353" s="7" t="s">
        <v>6349</v>
      </c>
      <c r="E353" s="519" t="s">
        <v>2092</v>
      </c>
      <c r="F353" s="690" t="s">
        <v>327</v>
      </c>
      <c r="G353" s="690" t="s">
        <v>10</v>
      </c>
      <c r="H353" s="519" t="s">
        <v>6348</v>
      </c>
      <c r="I353" s="691">
        <v>1900</v>
      </c>
      <c r="J353" s="692">
        <v>3</v>
      </c>
      <c r="K353" s="703"/>
    </row>
    <row r="354" spans="1:11" s="693" customFormat="1">
      <c r="A354" s="704" t="s">
        <v>6533</v>
      </c>
      <c r="B354" s="689" t="s">
        <v>2089</v>
      </c>
      <c r="C354" s="689" t="s">
        <v>2090</v>
      </c>
      <c r="D354" s="7" t="s">
        <v>6349</v>
      </c>
      <c r="E354" s="519" t="s">
        <v>2092</v>
      </c>
      <c r="F354" s="690" t="s">
        <v>327</v>
      </c>
      <c r="G354" s="690" t="s">
        <v>11</v>
      </c>
      <c r="H354" s="519" t="s">
        <v>6348</v>
      </c>
      <c r="I354" s="691">
        <v>1900</v>
      </c>
      <c r="J354" s="692">
        <v>600</v>
      </c>
      <c r="K354" s="703"/>
    </row>
    <row r="355" spans="1:11" s="693" customFormat="1" ht="38.25">
      <c r="A355" s="704" t="s">
        <v>6537</v>
      </c>
      <c r="B355" s="689" t="s">
        <v>4036</v>
      </c>
      <c r="C355" s="689" t="s">
        <v>989</v>
      </c>
      <c r="D355" s="7" t="s">
        <v>6303</v>
      </c>
      <c r="E355" s="519" t="s">
        <v>948</v>
      </c>
      <c r="F355" s="690" t="s">
        <v>6301</v>
      </c>
      <c r="G355" s="690" t="s">
        <v>12</v>
      </c>
      <c r="H355" s="519" t="s">
        <v>6302</v>
      </c>
      <c r="I355" s="691">
        <v>4275</v>
      </c>
      <c r="J355" s="692">
        <v>1000</v>
      </c>
      <c r="K355" s="703"/>
    </row>
    <row r="356" spans="1:11" s="693" customFormat="1" ht="38.25">
      <c r="A356" s="704" t="s">
        <v>6542</v>
      </c>
      <c r="B356" s="689" t="s">
        <v>661</v>
      </c>
      <c r="C356" s="689" t="s">
        <v>662</v>
      </c>
      <c r="D356" s="7" t="s">
        <v>664</v>
      </c>
      <c r="E356" s="519" t="s">
        <v>245</v>
      </c>
      <c r="F356" s="690" t="s">
        <v>663</v>
      </c>
      <c r="G356" s="690" t="s">
        <v>11</v>
      </c>
      <c r="H356" s="519" t="s">
        <v>538</v>
      </c>
      <c r="I356" s="691">
        <v>1554</v>
      </c>
      <c r="J356" s="692">
        <v>122</v>
      </c>
      <c r="K356" s="703"/>
    </row>
    <row r="357" spans="1:11" s="693" customFormat="1" ht="25.5">
      <c r="A357" s="704" t="s">
        <v>6547</v>
      </c>
      <c r="B357" s="689" t="s">
        <v>4269</v>
      </c>
      <c r="C357" s="689" t="s">
        <v>4268</v>
      </c>
      <c r="D357" s="7" t="s">
        <v>7006</v>
      </c>
      <c r="E357" s="519" t="s">
        <v>1268</v>
      </c>
      <c r="F357" s="690" t="s">
        <v>663</v>
      </c>
      <c r="G357" s="690" t="s">
        <v>11</v>
      </c>
      <c r="H357" s="519" t="s">
        <v>7005</v>
      </c>
      <c r="I357" s="691">
        <v>1050</v>
      </c>
      <c r="J357" s="692">
        <v>5317</v>
      </c>
      <c r="K357" s="703"/>
    </row>
    <row r="358" spans="1:11" s="693" customFormat="1" ht="25.5">
      <c r="A358" s="704" t="s">
        <v>6553</v>
      </c>
      <c r="B358" s="689" t="s">
        <v>1982</v>
      </c>
      <c r="C358" s="689" t="s">
        <v>1983</v>
      </c>
      <c r="D358" s="7" t="s">
        <v>7879</v>
      </c>
      <c r="E358" s="519" t="s">
        <v>1953</v>
      </c>
      <c r="F358" s="690" t="s">
        <v>1984</v>
      </c>
      <c r="G358" s="690" t="s">
        <v>12</v>
      </c>
      <c r="H358" s="519" t="s">
        <v>7878</v>
      </c>
      <c r="I358" s="691">
        <v>2394</v>
      </c>
      <c r="J358" s="692">
        <v>2908</v>
      </c>
      <c r="K358" s="703"/>
    </row>
    <row r="359" spans="1:11" s="693" customFormat="1">
      <c r="A359" s="704" t="s">
        <v>6558</v>
      </c>
      <c r="B359" s="689" t="s">
        <v>1982</v>
      </c>
      <c r="C359" s="689" t="s">
        <v>11543</v>
      </c>
      <c r="D359" s="7" t="s">
        <v>7884</v>
      </c>
      <c r="E359" s="519" t="s">
        <v>7103</v>
      </c>
      <c r="F359" s="690" t="s">
        <v>7881</v>
      </c>
      <c r="G359" s="690" t="s">
        <v>12</v>
      </c>
      <c r="H359" s="519" t="s">
        <v>7883</v>
      </c>
      <c r="I359" s="691">
        <v>2690</v>
      </c>
      <c r="J359" s="692">
        <v>3347</v>
      </c>
      <c r="K359" s="703"/>
    </row>
    <row r="360" spans="1:11" s="693" customFormat="1" ht="25.5">
      <c r="A360" s="704" t="s">
        <v>6565</v>
      </c>
      <c r="B360" s="689" t="s">
        <v>736</v>
      </c>
      <c r="C360" s="689" t="s">
        <v>4047</v>
      </c>
      <c r="D360" s="7" t="s">
        <v>1986</v>
      </c>
      <c r="E360" s="519" t="s">
        <v>1953</v>
      </c>
      <c r="F360" s="690" t="s">
        <v>4048</v>
      </c>
      <c r="G360" s="690" t="s">
        <v>12</v>
      </c>
      <c r="H360" s="519" t="s">
        <v>10151</v>
      </c>
      <c r="I360" s="691">
        <v>2900</v>
      </c>
      <c r="J360" s="692">
        <v>3</v>
      </c>
      <c r="K360" s="703"/>
    </row>
    <row r="361" spans="1:11" s="693" customFormat="1" ht="25.5">
      <c r="A361" s="704" t="s">
        <v>6569</v>
      </c>
      <c r="B361" s="689" t="s">
        <v>736</v>
      </c>
      <c r="C361" s="689" t="s">
        <v>7888</v>
      </c>
      <c r="D361" s="7" t="s">
        <v>7890</v>
      </c>
      <c r="E361" s="519" t="s">
        <v>1953</v>
      </c>
      <c r="F361" s="690" t="s">
        <v>7887</v>
      </c>
      <c r="G361" s="690" t="s">
        <v>1258</v>
      </c>
      <c r="H361" s="519" t="s">
        <v>7889</v>
      </c>
      <c r="I361" s="691">
        <v>3486</v>
      </c>
      <c r="J361" s="692">
        <v>930</v>
      </c>
      <c r="K361" s="703"/>
    </row>
    <row r="362" spans="1:11" s="693" customFormat="1" ht="25.5">
      <c r="A362" s="704" t="s">
        <v>6572</v>
      </c>
      <c r="B362" s="689" t="s">
        <v>4155</v>
      </c>
      <c r="C362" s="689" t="s">
        <v>4154</v>
      </c>
      <c r="D362" s="7" t="s">
        <v>7049</v>
      </c>
      <c r="E362" s="519" t="s">
        <v>6510</v>
      </c>
      <c r="F362" s="690" t="s">
        <v>4156</v>
      </c>
      <c r="G362" s="690" t="s">
        <v>520</v>
      </c>
      <c r="H362" s="519" t="s">
        <v>7048</v>
      </c>
      <c r="I362" s="691">
        <v>2415</v>
      </c>
      <c r="J362" s="692">
        <v>24</v>
      </c>
      <c r="K362" s="703"/>
    </row>
    <row r="363" spans="1:11" s="693" customFormat="1" ht="25.5">
      <c r="A363" s="704" t="s">
        <v>6576</v>
      </c>
      <c r="B363" s="689" t="s">
        <v>4155</v>
      </c>
      <c r="C363" s="689" t="s">
        <v>4154</v>
      </c>
      <c r="D363" s="7" t="s">
        <v>7049</v>
      </c>
      <c r="E363" s="519" t="s">
        <v>6510</v>
      </c>
      <c r="F363" s="690" t="s">
        <v>4156</v>
      </c>
      <c r="G363" s="690" t="s">
        <v>520</v>
      </c>
      <c r="H363" s="519" t="s">
        <v>7048</v>
      </c>
      <c r="I363" s="691">
        <v>2415</v>
      </c>
      <c r="J363" s="692">
        <v>56</v>
      </c>
      <c r="K363" s="703"/>
    </row>
    <row r="364" spans="1:11" s="693" customFormat="1" ht="25.5">
      <c r="A364" s="704" t="s">
        <v>6579</v>
      </c>
      <c r="B364" s="689" t="s">
        <v>4155</v>
      </c>
      <c r="C364" s="689" t="s">
        <v>4154</v>
      </c>
      <c r="D364" s="7" t="s">
        <v>7049</v>
      </c>
      <c r="E364" s="519" t="s">
        <v>6510</v>
      </c>
      <c r="F364" s="690" t="s">
        <v>4156</v>
      </c>
      <c r="G364" s="690" t="s">
        <v>520</v>
      </c>
      <c r="H364" s="519" t="s">
        <v>7048</v>
      </c>
      <c r="I364" s="691">
        <v>2415</v>
      </c>
      <c r="J364" s="692">
        <v>100</v>
      </c>
      <c r="K364" s="703"/>
    </row>
    <row r="365" spans="1:11" s="693" customFormat="1" ht="25.5">
      <c r="A365" s="704" t="s">
        <v>6581</v>
      </c>
      <c r="B365" s="689" t="s">
        <v>2516</v>
      </c>
      <c r="C365" s="689" t="s">
        <v>2515</v>
      </c>
      <c r="D365" s="7" t="s">
        <v>3132</v>
      </c>
      <c r="E365" s="519" t="s">
        <v>6510</v>
      </c>
      <c r="F365" s="690" t="s">
        <v>4447</v>
      </c>
      <c r="G365" s="690" t="s">
        <v>15</v>
      </c>
      <c r="H365" s="519" t="s">
        <v>7051</v>
      </c>
      <c r="I365" s="691">
        <v>18900</v>
      </c>
      <c r="J365" s="692">
        <v>31</v>
      </c>
      <c r="K365" s="703"/>
    </row>
    <row r="366" spans="1:11" s="693" customFormat="1">
      <c r="A366" s="704" t="s">
        <v>6588</v>
      </c>
      <c r="B366" s="689" t="s">
        <v>224</v>
      </c>
      <c r="C366" s="689" t="s">
        <v>4876</v>
      </c>
      <c r="D366" s="7" t="s">
        <v>226</v>
      </c>
      <c r="E366" s="519" t="s">
        <v>215</v>
      </c>
      <c r="F366" s="690" t="s">
        <v>225</v>
      </c>
      <c r="G366" s="690" t="s">
        <v>10</v>
      </c>
      <c r="H366" s="519" t="s">
        <v>5463</v>
      </c>
      <c r="I366" s="691">
        <v>1450</v>
      </c>
      <c r="J366" s="692">
        <v>92</v>
      </c>
      <c r="K366" s="703"/>
    </row>
    <row r="367" spans="1:11" s="693" customFormat="1">
      <c r="A367" s="704" t="s">
        <v>6595</v>
      </c>
      <c r="B367" s="689" t="s">
        <v>224</v>
      </c>
      <c r="C367" s="689" t="s">
        <v>4876</v>
      </c>
      <c r="D367" s="7" t="s">
        <v>226</v>
      </c>
      <c r="E367" s="519" t="s">
        <v>215</v>
      </c>
      <c r="F367" s="690" t="s">
        <v>225</v>
      </c>
      <c r="G367" s="690" t="s">
        <v>10</v>
      </c>
      <c r="H367" s="519" t="s">
        <v>5463</v>
      </c>
      <c r="I367" s="691">
        <v>1450</v>
      </c>
      <c r="J367" s="692">
        <v>200</v>
      </c>
      <c r="K367" s="703"/>
    </row>
    <row r="368" spans="1:11" s="693" customFormat="1" ht="25.5">
      <c r="A368" s="704" t="s">
        <v>6601</v>
      </c>
      <c r="B368" s="689" t="s">
        <v>1289</v>
      </c>
      <c r="C368" s="689" t="s">
        <v>4409</v>
      </c>
      <c r="D368" s="7" t="s">
        <v>7132</v>
      </c>
      <c r="E368" s="519" t="s">
        <v>2385</v>
      </c>
      <c r="F368" s="690" t="s">
        <v>1290</v>
      </c>
      <c r="G368" s="690" t="s">
        <v>11</v>
      </c>
      <c r="H368" s="519" t="s">
        <v>7131</v>
      </c>
      <c r="I368" s="691">
        <v>434</v>
      </c>
      <c r="J368" s="692">
        <v>4713</v>
      </c>
      <c r="K368" s="703"/>
    </row>
    <row r="369" spans="1:11" s="693" customFormat="1" ht="25.5">
      <c r="A369" s="704" t="s">
        <v>6607</v>
      </c>
      <c r="B369" s="689" t="s">
        <v>1289</v>
      </c>
      <c r="C369" s="689" t="s">
        <v>8377</v>
      </c>
      <c r="D369" s="7" t="s">
        <v>8378</v>
      </c>
      <c r="E369" s="519" t="s">
        <v>8379</v>
      </c>
      <c r="F369" s="690" t="s">
        <v>8376</v>
      </c>
      <c r="G369" s="690" t="s">
        <v>11</v>
      </c>
      <c r="H369" s="519" t="s">
        <v>8341</v>
      </c>
      <c r="I369" s="691">
        <v>3400</v>
      </c>
      <c r="J369" s="692">
        <v>4755</v>
      </c>
      <c r="K369" s="703"/>
    </row>
    <row r="370" spans="1:11" s="693" customFormat="1" ht="25.5">
      <c r="A370" s="704" t="s">
        <v>6612</v>
      </c>
      <c r="B370" s="689" t="s">
        <v>353</v>
      </c>
      <c r="C370" s="689" t="s">
        <v>353</v>
      </c>
      <c r="D370" s="7" t="s">
        <v>382</v>
      </c>
      <c r="E370" s="519" t="s">
        <v>360</v>
      </c>
      <c r="F370" s="690" t="s">
        <v>381</v>
      </c>
      <c r="G370" s="690" t="s">
        <v>10</v>
      </c>
      <c r="H370" s="519" t="s">
        <v>5103</v>
      </c>
      <c r="I370" s="691">
        <v>53</v>
      </c>
      <c r="J370" s="692">
        <v>4</v>
      </c>
      <c r="K370" s="703"/>
    </row>
    <row r="371" spans="1:11" s="693" customFormat="1">
      <c r="A371" s="704" t="s">
        <v>6614</v>
      </c>
      <c r="B371" s="689" t="s">
        <v>353</v>
      </c>
      <c r="C371" s="689" t="s">
        <v>383</v>
      </c>
      <c r="D371" s="7" t="s">
        <v>385</v>
      </c>
      <c r="E371" s="519" t="s">
        <v>360</v>
      </c>
      <c r="F371" s="690" t="s">
        <v>384</v>
      </c>
      <c r="G371" s="690" t="s">
        <v>10</v>
      </c>
      <c r="H371" s="519" t="s">
        <v>5103</v>
      </c>
      <c r="I371" s="691">
        <v>120</v>
      </c>
      <c r="J371" s="692">
        <v>12473</v>
      </c>
      <c r="K371" s="703"/>
    </row>
    <row r="372" spans="1:11" s="693" customFormat="1" ht="25.5">
      <c r="A372" s="704" t="s">
        <v>6619</v>
      </c>
      <c r="B372" s="689" t="s">
        <v>1618</v>
      </c>
      <c r="C372" s="689" t="s">
        <v>4073</v>
      </c>
      <c r="D372" s="7" t="s">
        <v>8484</v>
      </c>
      <c r="E372" s="519" t="s">
        <v>7783</v>
      </c>
      <c r="F372" s="690" t="s">
        <v>994</v>
      </c>
      <c r="G372" s="690" t="s">
        <v>11</v>
      </c>
      <c r="H372" s="519" t="s">
        <v>8129</v>
      </c>
      <c r="I372" s="691">
        <v>204</v>
      </c>
      <c r="J372" s="692">
        <v>43</v>
      </c>
      <c r="K372" s="703"/>
    </row>
    <row r="373" spans="1:11" s="693" customFormat="1" ht="25.5">
      <c r="A373" s="704" t="s">
        <v>6629</v>
      </c>
      <c r="B373" s="689" t="s">
        <v>1618</v>
      </c>
      <c r="C373" s="689" t="s">
        <v>4070</v>
      </c>
      <c r="D373" s="7" t="s">
        <v>8130</v>
      </c>
      <c r="E373" s="519" t="s">
        <v>7783</v>
      </c>
      <c r="F373" s="690" t="s">
        <v>225</v>
      </c>
      <c r="G373" s="690" t="s">
        <v>11</v>
      </c>
      <c r="H373" s="519" t="s">
        <v>8129</v>
      </c>
      <c r="I373" s="691">
        <v>154</v>
      </c>
      <c r="J373" s="692">
        <v>53</v>
      </c>
      <c r="K373" s="703"/>
    </row>
    <row r="374" spans="1:11" s="693" customFormat="1" ht="25.5">
      <c r="A374" s="704" t="s">
        <v>6635</v>
      </c>
      <c r="B374" s="689" t="s">
        <v>1618</v>
      </c>
      <c r="C374" s="689" t="s">
        <v>11850</v>
      </c>
      <c r="D374" s="7" t="s">
        <v>6428</v>
      </c>
      <c r="E374" s="519" t="s">
        <v>6429</v>
      </c>
      <c r="F374" s="690" t="s">
        <v>225</v>
      </c>
      <c r="G374" s="690" t="s">
        <v>11</v>
      </c>
      <c r="H374" s="519" t="s">
        <v>6427</v>
      </c>
      <c r="I374" s="691">
        <v>589</v>
      </c>
      <c r="J374" s="692">
        <v>16502</v>
      </c>
      <c r="K374" s="703"/>
    </row>
    <row r="375" spans="1:11" s="693" customFormat="1" ht="38.25">
      <c r="A375" s="704" t="s">
        <v>6638</v>
      </c>
      <c r="B375" s="689" t="s">
        <v>1618</v>
      </c>
      <c r="C375" s="689" t="s">
        <v>6842</v>
      </c>
      <c r="D375" s="7" t="s">
        <v>6844</v>
      </c>
      <c r="E375" s="519" t="s">
        <v>1147</v>
      </c>
      <c r="F375" s="690" t="s">
        <v>994</v>
      </c>
      <c r="G375" s="690" t="s">
        <v>11</v>
      </c>
      <c r="H375" s="519" t="s">
        <v>6843</v>
      </c>
      <c r="I375" s="691">
        <v>450</v>
      </c>
      <c r="J375" s="692">
        <v>20001</v>
      </c>
      <c r="K375" s="703"/>
    </row>
    <row r="376" spans="1:11" s="693" customFormat="1" ht="38.25">
      <c r="A376" s="704" t="s">
        <v>6646</v>
      </c>
      <c r="B376" s="689" t="s">
        <v>1618</v>
      </c>
      <c r="C376" s="689" t="s">
        <v>6842</v>
      </c>
      <c r="D376" s="7" t="s">
        <v>6844</v>
      </c>
      <c r="E376" s="519" t="s">
        <v>1147</v>
      </c>
      <c r="F376" s="690" t="s">
        <v>994</v>
      </c>
      <c r="G376" s="690" t="s">
        <v>11</v>
      </c>
      <c r="H376" s="519" t="s">
        <v>6843</v>
      </c>
      <c r="I376" s="691">
        <v>450</v>
      </c>
      <c r="J376" s="692">
        <v>23072</v>
      </c>
      <c r="K376" s="703"/>
    </row>
    <row r="377" spans="1:11" s="693" customFormat="1" ht="25.5">
      <c r="A377" s="704" t="s">
        <v>6653</v>
      </c>
      <c r="B377" s="689" t="s">
        <v>1618</v>
      </c>
      <c r="C377" s="689" t="s">
        <v>2494</v>
      </c>
      <c r="D377" s="7" t="s">
        <v>3031</v>
      </c>
      <c r="E377" s="519" t="s">
        <v>7362</v>
      </c>
      <c r="F377" s="690" t="s">
        <v>994</v>
      </c>
      <c r="G377" s="690" t="s">
        <v>11</v>
      </c>
      <c r="H377" s="519" t="s">
        <v>6792</v>
      </c>
      <c r="I377" s="691">
        <v>204</v>
      </c>
      <c r="J377" s="692">
        <v>25600</v>
      </c>
      <c r="K377" s="703"/>
    </row>
    <row r="378" spans="1:11" s="693" customFormat="1" ht="38.25">
      <c r="A378" s="704" t="s">
        <v>6659</v>
      </c>
      <c r="B378" s="689" t="s">
        <v>1240</v>
      </c>
      <c r="C378" s="689" t="s">
        <v>4067</v>
      </c>
      <c r="D378" s="7" t="s">
        <v>8345</v>
      </c>
      <c r="E378" s="519" t="s">
        <v>8346</v>
      </c>
      <c r="F378" s="690" t="s">
        <v>4068</v>
      </c>
      <c r="G378" s="690" t="s">
        <v>11</v>
      </c>
      <c r="H378" s="519" t="s">
        <v>6009</v>
      </c>
      <c r="I378" s="691">
        <v>2690</v>
      </c>
      <c r="J378" s="692">
        <v>10</v>
      </c>
      <c r="K378" s="703"/>
    </row>
    <row r="379" spans="1:11" s="693" customFormat="1" ht="38.25">
      <c r="A379" s="704" t="s">
        <v>6663</v>
      </c>
      <c r="B379" s="689" t="s">
        <v>1240</v>
      </c>
      <c r="C379" s="689" t="s">
        <v>4067</v>
      </c>
      <c r="D379" s="7" t="s">
        <v>8345</v>
      </c>
      <c r="E379" s="519" t="s">
        <v>8346</v>
      </c>
      <c r="F379" s="690" t="s">
        <v>4068</v>
      </c>
      <c r="G379" s="690" t="s">
        <v>11</v>
      </c>
      <c r="H379" s="519" t="s">
        <v>6009</v>
      </c>
      <c r="I379" s="691">
        <v>2690</v>
      </c>
      <c r="J379" s="692">
        <v>9169</v>
      </c>
      <c r="K379" s="703"/>
    </row>
    <row r="380" spans="1:11" s="693" customFormat="1" ht="38.25">
      <c r="A380" s="704" t="s">
        <v>6668</v>
      </c>
      <c r="B380" s="689" t="s">
        <v>1240</v>
      </c>
      <c r="C380" s="689" t="s">
        <v>8340</v>
      </c>
      <c r="D380" s="7" t="s">
        <v>8342</v>
      </c>
      <c r="E380" s="519" t="s">
        <v>8343</v>
      </c>
      <c r="F380" s="690" t="s">
        <v>1988</v>
      </c>
      <c r="G380" s="690" t="s">
        <v>11</v>
      </c>
      <c r="H380" s="519" t="s">
        <v>8341</v>
      </c>
      <c r="I380" s="691">
        <v>2500</v>
      </c>
      <c r="J380" s="692">
        <v>47336</v>
      </c>
      <c r="K380" s="703"/>
    </row>
    <row r="381" spans="1:11" s="693" customFormat="1" ht="38.25">
      <c r="A381" s="704" t="s">
        <v>6671</v>
      </c>
      <c r="B381" s="689" t="s">
        <v>1522</v>
      </c>
      <c r="C381" s="689" t="s">
        <v>4184</v>
      </c>
      <c r="D381" s="7" t="s">
        <v>6822</v>
      </c>
      <c r="E381" s="519" t="s">
        <v>1859</v>
      </c>
      <c r="F381" s="690" t="s">
        <v>225</v>
      </c>
      <c r="G381" s="690" t="s">
        <v>11</v>
      </c>
      <c r="H381" s="519" t="s">
        <v>6821</v>
      </c>
      <c r="I381" s="691">
        <v>1890</v>
      </c>
      <c r="J381" s="692">
        <v>1</v>
      </c>
      <c r="K381" s="703"/>
    </row>
    <row r="382" spans="1:11" s="693" customFormat="1" ht="38.25">
      <c r="A382" s="704" t="s">
        <v>6677</v>
      </c>
      <c r="B382" s="689" t="s">
        <v>1522</v>
      </c>
      <c r="C382" s="689" t="s">
        <v>4184</v>
      </c>
      <c r="D382" s="7" t="s">
        <v>6822</v>
      </c>
      <c r="E382" s="519" t="s">
        <v>1859</v>
      </c>
      <c r="F382" s="690" t="s">
        <v>225</v>
      </c>
      <c r="G382" s="690" t="s">
        <v>11</v>
      </c>
      <c r="H382" s="519" t="s">
        <v>6821</v>
      </c>
      <c r="I382" s="691">
        <v>1890</v>
      </c>
      <c r="J382" s="692">
        <v>22739</v>
      </c>
      <c r="K382" s="703"/>
    </row>
    <row r="383" spans="1:11" s="693" customFormat="1" ht="38.25">
      <c r="A383" s="704" t="s">
        <v>6679</v>
      </c>
      <c r="B383" s="689" t="s">
        <v>265</v>
      </c>
      <c r="C383" s="689" t="s">
        <v>266</v>
      </c>
      <c r="D383" s="7" t="s">
        <v>269</v>
      </c>
      <c r="E383" s="519" t="s">
        <v>255</v>
      </c>
      <c r="F383" s="690" t="s">
        <v>267</v>
      </c>
      <c r="G383" s="690" t="s">
        <v>14</v>
      </c>
      <c r="H383" s="519" t="s">
        <v>5469</v>
      </c>
      <c r="I383" s="691">
        <v>8988</v>
      </c>
      <c r="J383" s="692">
        <v>2</v>
      </c>
      <c r="K383" s="703"/>
    </row>
    <row r="384" spans="1:11" s="693" customFormat="1" ht="25.5">
      <c r="A384" s="704" t="s">
        <v>6681</v>
      </c>
      <c r="B384" s="689" t="s">
        <v>265</v>
      </c>
      <c r="C384" s="689" t="s">
        <v>4956</v>
      </c>
      <c r="D384" s="7" t="s">
        <v>5539</v>
      </c>
      <c r="E384" s="519" t="s">
        <v>5343</v>
      </c>
      <c r="F384" s="690" t="s">
        <v>387</v>
      </c>
      <c r="G384" s="690" t="s">
        <v>10</v>
      </c>
      <c r="H384" s="519" t="s">
        <v>5538</v>
      </c>
      <c r="I384" s="691">
        <v>1900</v>
      </c>
      <c r="J384" s="692">
        <v>3</v>
      </c>
      <c r="K384" s="703"/>
    </row>
    <row r="385" spans="1:11" s="693" customFormat="1" ht="38.25">
      <c r="A385" s="704" t="s">
        <v>6683</v>
      </c>
      <c r="B385" s="689" t="s">
        <v>265</v>
      </c>
      <c r="C385" s="689" t="s">
        <v>266</v>
      </c>
      <c r="D385" s="7" t="s">
        <v>269</v>
      </c>
      <c r="E385" s="519" t="s">
        <v>255</v>
      </c>
      <c r="F385" s="690" t="s">
        <v>267</v>
      </c>
      <c r="G385" s="690" t="s">
        <v>14</v>
      </c>
      <c r="H385" s="519" t="s">
        <v>5469</v>
      </c>
      <c r="I385" s="691">
        <v>8988</v>
      </c>
      <c r="J385" s="692">
        <v>6</v>
      </c>
      <c r="K385" s="703"/>
    </row>
    <row r="386" spans="1:11" s="693" customFormat="1" ht="38.25">
      <c r="A386" s="704" t="s">
        <v>6685</v>
      </c>
      <c r="B386" s="689" t="s">
        <v>265</v>
      </c>
      <c r="C386" s="689" t="s">
        <v>266</v>
      </c>
      <c r="D386" s="7" t="s">
        <v>269</v>
      </c>
      <c r="E386" s="519" t="s">
        <v>255</v>
      </c>
      <c r="F386" s="690" t="s">
        <v>267</v>
      </c>
      <c r="G386" s="690" t="s">
        <v>14</v>
      </c>
      <c r="H386" s="519" t="s">
        <v>5469</v>
      </c>
      <c r="I386" s="691">
        <v>8988</v>
      </c>
      <c r="J386" s="692">
        <v>6</v>
      </c>
      <c r="K386" s="703"/>
    </row>
    <row r="387" spans="1:11" s="693" customFormat="1">
      <c r="A387" s="704" t="s">
        <v>6690</v>
      </c>
      <c r="B387" s="689" t="s">
        <v>265</v>
      </c>
      <c r="C387" s="689" t="s">
        <v>389</v>
      </c>
      <c r="D387" s="7" t="s">
        <v>391</v>
      </c>
      <c r="E387" s="519" t="s">
        <v>360</v>
      </c>
      <c r="F387" s="690" t="s">
        <v>390</v>
      </c>
      <c r="G387" s="690" t="s">
        <v>10</v>
      </c>
      <c r="H387" s="519" t="s">
        <v>5103</v>
      </c>
      <c r="I387" s="691">
        <v>230</v>
      </c>
      <c r="J387" s="692">
        <v>338</v>
      </c>
      <c r="K387" s="703"/>
    </row>
    <row r="388" spans="1:11" s="693" customFormat="1">
      <c r="A388" s="704" t="s">
        <v>6695</v>
      </c>
      <c r="B388" s="689" t="s">
        <v>265</v>
      </c>
      <c r="C388" s="689" t="s">
        <v>389</v>
      </c>
      <c r="D388" s="7" t="s">
        <v>391</v>
      </c>
      <c r="E388" s="519" t="s">
        <v>360</v>
      </c>
      <c r="F388" s="690" t="s">
        <v>390</v>
      </c>
      <c r="G388" s="690" t="s">
        <v>10</v>
      </c>
      <c r="H388" s="519" t="s">
        <v>5103</v>
      </c>
      <c r="I388" s="691">
        <v>230</v>
      </c>
      <c r="J388" s="692">
        <v>1640</v>
      </c>
      <c r="K388" s="703"/>
    </row>
    <row r="389" spans="1:11" s="693" customFormat="1" ht="25.5">
      <c r="A389" s="704" t="s">
        <v>6697</v>
      </c>
      <c r="B389" s="689" t="s">
        <v>265</v>
      </c>
      <c r="C389" s="689" t="s">
        <v>4956</v>
      </c>
      <c r="D389" s="7" t="s">
        <v>5539</v>
      </c>
      <c r="E389" s="519" t="s">
        <v>5343</v>
      </c>
      <c r="F389" s="690" t="s">
        <v>387</v>
      </c>
      <c r="G389" s="690" t="s">
        <v>10</v>
      </c>
      <c r="H389" s="519" t="s">
        <v>5538</v>
      </c>
      <c r="I389" s="691">
        <v>1900</v>
      </c>
      <c r="J389" s="692">
        <v>2018</v>
      </c>
      <c r="K389" s="703"/>
    </row>
    <row r="390" spans="1:11" s="693" customFormat="1">
      <c r="A390" s="704" t="s">
        <v>6701</v>
      </c>
      <c r="B390" s="689" t="s">
        <v>265</v>
      </c>
      <c r="C390" s="689" t="s">
        <v>386</v>
      </c>
      <c r="D390" s="7" t="s">
        <v>388</v>
      </c>
      <c r="E390" s="519" t="s">
        <v>360</v>
      </c>
      <c r="F390" s="690" t="s">
        <v>387</v>
      </c>
      <c r="G390" s="690" t="s">
        <v>10</v>
      </c>
      <c r="H390" s="519" t="s">
        <v>5103</v>
      </c>
      <c r="I390" s="691">
        <v>677</v>
      </c>
      <c r="J390" s="692">
        <v>3229</v>
      </c>
      <c r="K390" s="703"/>
    </row>
    <row r="391" spans="1:11" s="693" customFormat="1">
      <c r="A391" s="704" t="s">
        <v>6706</v>
      </c>
      <c r="B391" s="689" t="s">
        <v>265</v>
      </c>
      <c r="C391" s="689" t="s">
        <v>4882</v>
      </c>
      <c r="D391" s="7" t="s">
        <v>470</v>
      </c>
      <c r="E391" s="519" t="s">
        <v>463</v>
      </c>
      <c r="F391" s="690" t="s">
        <v>390</v>
      </c>
      <c r="G391" s="690" t="s">
        <v>10</v>
      </c>
      <c r="H391" s="519" t="s">
        <v>5542</v>
      </c>
      <c r="I391" s="691">
        <v>900</v>
      </c>
      <c r="J391" s="692">
        <v>5700</v>
      </c>
      <c r="K391" s="703"/>
    </row>
    <row r="392" spans="1:11" s="693" customFormat="1">
      <c r="A392" s="704" t="s">
        <v>6711</v>
      </c>
      <c r="B392" s="689" t="s">
        <v>265</v>
      </c>
      <c r="C392" s="689" t="s">
        <v>389</v>
      </c>
      <c r="D392" s="7" t="s">
        <v>391</v>
      </c>
      <c r="E392" s="519" t="s">
        <v>360</v>
      </c>
      <c r="F392" s="690" t="s">
        <v>390</v>
      </c>
      <c r="G392" s="690" t="s">
        <v>10</v>
      </c>
      <c r="H392" s="519" t="s">
        <v>5103</v>
      </c>
      <c r="I392" s="691">
        <v>230</v>
      </c>
      <c r="J392" s="692">
        <v>7500</v>
      </c>
      <c r="K392" s="703"/>
    </row>
    <row r="393" spans="1:11" s="693" customFormat="1" ht="25.5">
      <c r="A393" s="704" t="s">
        <v>6715</v>
      </c>
      <c r="B393" s="689" t="s">
        <v>265</v>
      </c>
      <c r="C393" s="689" t="s">
        <v>4956</v>
      </c>
      <c r="D393" s="7" t="s">
        <v>5539</v>
      </c>
      <c r="E393" s="519" t="s">
        <v>5343</v>
      </c>
      <c r="F393" s="690" t="s">
        <v>387</v>
      </c>
      <c r="G393" s="690" t="s">
        <v>10</v>
      </c>
      <c r="H393" s="519" t="s">
        <v>5538</v>
      </c>
      <c r="I393" s="691">
        <v>1900</v>
      </c>
      <c r="J393" s="692">
        <v>19534</v>
      </c>
      <c r="K393" s="703"/>
    </row>
    <row r="394" spans="1:11" s="693" customFormat="1">
      <c r="A394" s="704" t="s">
        <v>6720</v>
      </c>
      <c r="B394" s="689" t="s">
        <v>265</v>
      </c>
      <c r="C394" s="689" t="s">
        <v>389</v>
      </c>
      <c r="D394" s="7" t="s">
        <v>391</v>
      </c>
      <c r="E394" s="519" t="s">
        <v>360</v>
      </c>
      <c r="F394" s="690" t="s">
        <v>390</v>
      </c>
      <c r="G394" s="690" t="s">
        <v>10</v>
      </c>
      <c r="H394" s="519" t="s">
        <v>5103</v>
      </c>
      <c r="I394" s="691">
        <v>230</v>
      </c>
      <c r="J394" s="692">
        <v>25000</v>
      </c>
      <c r="K394" s="703"/>
    </row>
    <row r="395" spans="1:11" s="693" customFormat="1" ht="38.25">
      <c r="A395" s="704" t="s">
        <v>6723</v>
      </c>
      <c r="B395" s="689" t="s">
        <v>1356</v>
      </c>
      <c r="C395" s="689" t="s">
        <v>1357</v>
      </c>
      <c r="D395" s="7" t="s">
        <v>7972</v>
      </c>
      <c r="E395" s="519" t="s">
        <v>7001</v>
      </c>
      <c r="F395" s="690" t="s">
        <v>238</v>
      </c>
      <c r="G395" s="690" t="s">
        <v>11</v>
      </c>
      <c r="H395" s="519" t="s">
        <v>7971</v>
      </c>
      <c r="I395" s="691">
        <v>98</v>
      </c>
      <c r="J395" s="692">
        <v>160</v>
      </c>
      <c r="K395" s="703"/>
    </row>
    <row r="396" spans="1:11" s="693" customFormat="1" ht="38.25">
      <c r="A396" s="704" t="s">
        <v>6725</v>
      </c>
      <c r="B396" s="689" t="s">
        <v>1356</v>
      </c>
      <c r="C396" s="689" t="s">
        <v>1357</v>
      </c>
      <c r="D396" s="7" t="s">
        <v>7972</v>
      </c>
      <c r="E396" s="519" t="s">
        <v>7001</v>
      </c>
      <c r="F396" s="690" t="s">
        <v>238</v>
      </c>
      <c r="G396" s="690" t="s">
        <v>11</v>
      </c>
      <c r="H396" s="519" t="s">
        <v>7971</v>
      </c>
      <c r="I396" s="691">
        <v>98</v>
      </c>
      <c r="J396" s="692">
        <v>580</v>
      </c>
      <c r="K396" s="703"/>
    </row>
    <row r="397" spans="1:11" s="693" customFormat="1" ht="38.25">
      <c r="A397" s="704" t="s">
        <v>6729</v>
      </c>
      <c r="B397" s="689" t="s">
        <v>442</v>
      </c>
      <c r="C397" s="689" t="s">
        <v>4891</v>
      </c>
      <c r="D397" s="7" t="s">
        <v>446</v>
      </c>
      <c r="E397" s="519" t="s">
        <v>437</v>
      </c>
      <c r="F397" s="690" t="s">
        <v>444</v>
      </c>
      <c r="G397" s="690" t="s">
        <v>18</v>
      </c>
      <c r="H397" s="519" t="s">
        <v>5472</v>
      </c>
      <c r="I397" s="691">
        <v>8820</v>
      </c>
      <c r="J397" s="692">
        <v>50</v>
      </c>
      <c r="K397" s="703"/>
    </row>
    <row r="398" spans="1:11" s="693" customFormat="1" ht="25.5">
      <c r="A398" s="704" t="s">
        <v>6733</v>
      </c>
      <c r="B398" s="689" t="s">
        <v>442</v>
      </c>
      <c r="C398" s="689" t="s">
        <v>442</v>
      </c>
      <c r="D398" s="7" t="s">
        <v>11456</v>
      </c>
      <c r="E398" s="519" t="s">
        <v>530</v>
      </c>
      <c r="F398" s="690" t="s">
        <v>272</v>
      </c>
      <c r="G398" s="690" t="s">
        <v>10</v>
      </c>
      <c r="H398" s="519" t="s">
        <v>5474</v>
      </c>
      <c r="I398" s="691">
        <v>92</v>
      </c>
      <c r="J398" s="692">
        <v>60</v>
      </c>
      <c r="K398" s="703"/>
    </row>
    <row r="399" spans="1:11" s="693" customFormat="1" ht="25.5">
      <c r="A399" s="704" t="s">
        <v>6739</v>
      </c>
      <c r="B399" s="689" t="s">
        <v>442</v>
      </c>
      <c r="C399" s="689" t="s">
        <v>442</v>
      </c>
      <c r="D399" s="7" t="s">
        <v>11456</v>
      </c>
      <c r="E399" s="519" t="s">
        <v>530</v>
      </c>
      <c r="F399" s="690" t="s">
        <v>272</v>
      </c>
      <c r="G399" s="690" t="s">
        <v>10</v>
      </c>
      <c r="H399" s="519" t="s">
        <v>5474</v>
      </c>
      <c r="I399" s="691">
        <v>92</v>
      </c>
      <c r="J399" s="692">
        <v>1745</v>
      </c>
      <c r="K399" s="703"/>
    </row>
    <row r="400" spans="1:11" s="693" customFormat="1" ht="25.5">
      <c r="A400" s="704" t="s">
        <v>6746</v>
      </c>
      <c r="B400" s="689" t="s">
        <v>4459</v>
      </c>
      <c r="C400" s="689" t="s">
        <v>4458</v>
      </c>
      <c r="D400" s="7" t="s">
        <v>7344</v>
      </c>
      <c r="E400" s="519" t="s">
        <v>7211</v>
      </c>
      <c r="F400" s="690" t="s">
        <v>4460</v>
      </c>
      <c r="G400" s="690" t="s">
        <v>11</v>
      </c>
      <c r="H400" s="519" t="s">
        <v>7343</v>
      </c>
      <c r="I400" s="691">
        <v>1090</v>
      </c>
      <c r="J400" s="692">
        <v>2940</v>
      </c>
      <c r="K400" s="703"/>
    </row>
    <row r="401" spans="1:11" s="693" customFormat="1" ht="25.5">
      <c r="A401" s="704" t="s">
        <v>6750</v>
      </c>
      <c r="B401" s="689" t="s">
        <v>8224</v>
      </c>
      <c r="C401" s="689" t="s">
        <v>8224</v>
      </c>
      <c r="D401" s="7" t="s">
        <v>8227</v>
      </c>
      <c r="E401" s="519" t="s">
        <v>8228</v>
      </c>
      <c r="F401" s="690" t="s">
        <v>8225</v>
      </c>
      <c r="G401" s="690" t="s">
        <v>11</v>
      </c>
      <c r="H401" s="519" t="s">
        <v>8226</v>
      </c>
      <c r="I401" s="691">
        <v>3420</v>
      </c>
      <c r="J401" s="692">
        <v>100</v>
      </c>
      <c r="K401" s="703"/>
    </row>
    <row r="402" spans="1:11" s="693" customFormat="1">
      <c r="A402" s="704" t="s">
        <v>6755</v>
      </c>
      <c r="B402" s="689" t="s">
        <v>4958</v>
      </c>
      <c r="C402" s="689" t="s">
        <v>738</v>
      </c>
      <c r="D402" s="7" t="s">
        <v>741</v>
      </c>
      <c r="E402" s="519" t="s">
        <v>5833</v>
      </c>
      <c r="F402" s="690" t="s">
        <v>739</v>
      </c>
      <c r="G402" s="690" t="s">
        <v>628</v>
      </c>
      <c r="H402" s="519" t="s">
        <v>5316</v>
      </c>
      <c r="I402" s="691">
        <v>27930</v>
      </c>
      <c r="J402" s="692">
        <v>1</v>
      </c>
      <c r="K402" s="703"/>
    </row>
    <row r="403" spans="1:11" s="693" customFormat="1" ht="25.5">
      <c r="A403" s="704" t="s">
        <v>6759</v>
      </c>
      <c r="B403" s="689" t="s">
        <v>4958</v>
      </c>
      <c r="C403" s="689" t="s">
        <v>7542</v>
      </c>
      <c r="D403" s="7" t="s">
        <v>7544</v>
      </c>
      <c r="E403" s="519" t="s">
        <v>7545</v>
      </c>
      <c r="F403" s="690" t="s">
        <v>1016</v>
      </c>
      <c r="G403" s="690" t="s">
        <v>520</v>
      </c>
      <c r="H403" s="519" t="s">
        <v>7543</v>
      </c>
      <c r="I403" s="691">
        <v>4410</v>
      </c>
      <c r="J403" s="692">
        <v>164</v>
      </c>
      <c r="K403" s="703"/>
    </row>
    <row r="404" spans="1:11" s="693" customFormat="1" ht="25.5">
      <c r="A404" s="704" t="s">
        <v>6762</v>
      </c>
      <c r="B404" s="689" t="s">
        <v>560</v>
      </c>
      <c r="C404" s="689" t="s">
        <v>3718</v>
      </c>
      <c r="D404" s="7" t="s">
        <v>5778</v>
      </c>
      <c r="E404" s="519" t="s">
        <v>5779</v>
      </c>
      <c r="F404" s="690" t="s">
        <v>299</v>
      </c>
      <c r="G404" s="690" t="s">
        <v>13</v>
      </c>
      <c r="H404" s="519" t="s">
        <v>5777</v>
      </c>
      <c r="I404" s="691">
        <v>2009</v>
      </c>
      <c r="J404" s="692">
        <v>5</v>
      </c>
      <c r="K404" s="703"/>
    </row>
    <row r="405" spans="1:11" s="693" customFormat="1" ht="25.5">
      <c r="A405" s="704" t="s">
        <v>6766</v>
      </c>
      <c r="B405" s="689" t="s">
        <v>560</v>
      </c>
      <c r="C405" s="689" t="s">
        <v>1148</v>
      </c>
      <c r="D405" s="7" t="s">
        <v>1150</v>
      </c>
      <c r="E405" s="519" t="s">
        <v>6907</v>
      </c>
      <c r="F405" s="690" t="s">
        <v>1149</v>
      </c>
      <c r="G405" s="690" t="s">
        <v>520</v>
      </c>
      <c r="H405" s="519" t="s">
        <v>6992</v>
      </c>
      <c r="I405" s="691">
        <v>3675</v>
      </c>
      <c r="J405" s="692">
        <v>727</v>
      </c>
      <c r="K405" s="703"/>
    </row>
    <row r="406" spans="1:11" s="693" customFormat="1" ht="25.5">
      <c r="A406" s="704" t="s">
        <v>6769</v>
      </c>
      <c r="B406" s="689" t="s">
        <v>560</v>
      </c>
      <c r="C406" s="689" t="s">
        <v>1944</v>
      </c>
      <c r="D406" s="7" t="s">
        <v>1945</v>
      </c>
      <c r="E406" s="519" t="s">
        <v>1946</v>
      </c>
      <c r="F406" s="690" t="s">
        <v>258</v>
      </c>
      <c r="G406" s="690" t="s">
        <v>11</v>
      </c>
      <c r="H406" s="519" t="s">
        <v>7003</v>
      </c>
      <c r="I406" s="691">
        <v>1092</v>
      </c>
      <c r="J406" s="692">
        <v>2000</v>
      </c>
      <c r="K406" s="703"/>
    </row>
    <row r="407" spans="1:11" s="693" customFormat="1" ht="25.5">
      <c r="A407" s="704" t="s">
        <v>6772</v>
      </c>
      <c r="B407" s="689" t="s">
        <v>560</v>
      </c>
      <c r="C407" s="689" t="s">
        <v>1148</v>
      </c>
      <c r="D407" s="7" t="s">
        <v>1150</v>
      </c>
      <c r="E407" s="519" t="s">
        <v>6907</v>
      </c>
      <c r="F407" s="690" t="s">
        <v>1149</v>
      </c>
      <c r="G407" s="690" t="s">
        <v>520</v>
      </c>
      <c r="H407" s="519" t="s">
        <v>6992</v>
      </c>
      <c r="I407" s="691">
        <v>3675</v>
      </c>
      <c r="J407" s="692">
        <v>3502</v>
      </c>
      <c r="K407" s="703"/>
    </row>
    <row r="408" spans="1:11" s="693" customFormat="1" ht="38.25">
      <c r="A408" s="704" t="s">
        <v>6776</v>
      </c>
      <c r="B408" s="689" t="s">
        <v>560</v>
      </c>
      <c r="C408" s="689" t="s">
        <v>939</v>
      </c>
      <c r="D408" s="7" t="s">
        <v>7000</v>
      </c>
      <c r="E408" s="519" t="s">
        <v>7001</v>
      </c>
      <c r="F408" s="690" t="s">
        <v>299</v>
      </c>
      <c r="G408" s="690" t="s">
        <v>11</v>
      </c>
      <c r="H408" s="519" t="s">
        <v>6999</v>
      </c>
      <c r="I408" s="691">
        <v>210</v>
      </c>
      <c r="J408" s="692">
        <v>8000</v>
      </c>
      <c r="K408" s="703"/>
    </row>
    <row r="409" spans="1:11" s="693" customFormat="1">
      <c r="A409" s="704" t="s">
        <v>6777</v>
      </c>
      <c r="B409" s="689" t="s">
        <v>8207</v>
      </c>
      <c r="C409" s="689" t="s">
        <v>8217</v>
      </c>
      <c r="D409" s="7" t="s">
        <v>8219</v>
      </c>
      <c r="E409" s="519" t="s">
        <v>12676</v>
      </c>
      <c r="F409" s="690" t="s">
        <v>8216</v>
      </c>
      <c r="G409" s="690" t="s">
        <v>15</v>
      </c>
      <c r="H409" s="519" t="s">
        <v>8218</v>
      </c>
      <c r="I409" s="691">
        <v>14000</v>
      </c>
      <c r="J409" s="692">
        <v>670</v>
      </c>
      <c r="K409" s="703"/>
    </row>
    <row r="410" spans="1:11" s="693" customFormat="1" ht="25.5">
      <c r="A410" s="704" t="s">
        <v>6780</v>
      </c>
      <c r="B410" s="689" t="s">
        <v>747</v>
      </c>
      <c r="C410" s="689" t="s">
        <v>1068</v>
      </c>
      <c r="D410" s="7" t="s">
        <v>6509</v>
      </c>
      <c r="E410" s="519" t="s">
        <v>6510</v>
      </c>
      <c r="F410" s="690" t="s">
        <v>4449</v>
      </c>
      <c r="G410" s="690" t="s">
        <v>15</v>
      </c>
      <c r="H410" s="519" t="s">
        <v>6508</v>
      </c>
      <c r="I410" s="691">
        <v>8820</v>
      </c>
      <c r="J410" s="692">
        <v>2</v>
      </c>
      <c r="K410" s="703"/>
    </row>
    <row r="411" spans="1:11" s="693" customFormat="1" ht="25.5">
      <c r="A411" s="704" t="s">
        <v>6783</v>
      </c>
      <c r="B411" s="689" t="s">
        <v>747</v>
      </c>
      <c r="C411" s="689" t="s">
        <v>1068</v>
      </c>
      <c r="D411" s="7" t="s">
        <v>6509</v>
      </c>
      <c r="E411" s="519" t="s">
        <v>255</v>
      </c>
      <c r="F411" s="690" t="s">
        <v>2525</v>
      </c>
      <c r="G411" s="690" t="s">
        <v>18</v>
      </c>
      <c r="H411" s="519" t="s">
        <v>6508</v>
      </c>
      <c r="I411" s="691">
        <v>11886</v>
      </c>
      <c r="J411" s="692">
        <v>4</v>
      </c>
      <c r="K411" s="703"/>
    </row>
    <row r="412" spans="1:11" s="693" customFormat="1">
      <c r="A412" s="704" t="s">
        <v>6786</v>
      </c>
      <c r="B412" s="689" t="s">
        <v>747</v>
      </c>
      <c r="C412" s="689" t="s">
        <v>1068</v>
      </c>
      <c r="D412" s="7" t="s">
        <v>3221</v>
      </c>
      <c r="E412" s="519" t="s">
        <v>1449</v>
      </c>
      <c r="F412" s="690" t="s">
        <v>4193</v>
      </c>
      <c r="G412" s="690" t="s">
        <v>658</v>
      </c>
      <c r="H412" s="519" t="s">
        <v>8184</v>
      </c>
      <c r="I412" s="691">
        <v>1320</v>
      </c>
      <c r="J412" s="692">
        <v>7</v>
      </c>
      <c r="K412" s="703"/>
    </row>
    <row r="413" spans="1:11" s="693" customFormat="1" ht="25.5">
      <c r="A413" s="704" t="s">
        <v>6796</v>
      </c>
      <c r="B413" s="689" t="s">
        <v>747</v>
      </c>
      <c r="C413" s="689" t="s">
        <v>1068</v>
      </c>
      <c r="D413" s="7" t="s">
        <v>6509</v>
      </c>
      <c r="E413" s="519" t="s">
        <v>6510</v>
      </c>
      <c r="F413" s="690" t="s">
        <v>4449</v>
      </c>
      <c r="G413" s="690" t="s">
        <v>15</v>
      </c>
      <c r="H413" s="519" t="s">
        <v>6508</v>
      </c>
      <c r="I413" s="691">
        <v>8820</v>
      </c>
      <c r="J413" s="692">
        <v>7</v>
      </c>
      <c r="K413" s="703"/>
    </row>
    <row r="414" spans="1:11" s="693" customFormat="1" ht="25.5">
      <c r="A414" s="704" t="s">
        <v>6801</v>
      </c>
      <c r="B414" s="689" t="s">
        <v>747</v>
      </c>
      <c r="C414" s="689" t="s">
        <v>7861</v>
      </c>
      <c r="D414" s="7" t="s">
        <v>7863</v>
      </c>
      <c r="E414" s="519" t="s">
        <v>621</v>
      </c>
      <c r="F414" s="690" t="s">
        <v>7060</v>
      </c>
      <c r="G414" s="690" t="s">
        <v>15</v>
      </c>
      <c r="H414" s="519" t="s">
        <v>7862</v>
      </c>
      <c r="I414" s="691">
        <v>9345</v>
      </c>
      <c r="J414" s="692">
        <v>15</v>
      </c>
      <c r="K414" s="703"/>
    </row>
    <row r="415" spans="1:11" s="693" customFormat="1" ht="25.5">
      <c r="A415" s="704" t="s">
        <v>6807</v>
      </c>
      <c r="B415" s="689" t="s">
        <v>747</v>
      </c>
      <c r="C415" s="689" t="s">
        <v>7861</v>
      </c>
      <c r="D415" s="7" t="s">
        <v>7863</v>
      </c>
      <c r="E415" s="519" t="s">
        <v>621</v>
      </c>
      <c r="F415" s="690" t="s">
        <v>7060</v>
      </c>
      <c r="G415" s="690" t="s">
        <v>15</v>
      </c>
      <c r="H415" s="519" t="s">
        <v>7862</v>
      </c>
      <c r="I415" s="691">
        <v>9345</v>
      </c>
      <c r="J415" s="692">
        <v>56</v>
      </c>
      <c r="K415" s="703"/>
    </row>
    <row r="416" spans="1:11" s="693" customFormat="1" ht="25.5">
      <c r="A416" s="704" t="s">
        <v>6811</v>
      </c>
      <c r="B416" s="689" t="s">
        <v>747</v>
      </c>
      <c r="C416" s="689" t="s">
        <v>4190</v>
      </c>
      <c r="D416" s="7" t="s">
        <v>8187</v>
      </c>
      <c r="E416" s="519" t="s">
        <v>8188</v>
      </c>
      <c r="F416" s="690" t="s">
        <v>4191</v>
      </c>
      <c r="G416" s="690" t="s">
        <v>15</v>
      </c>
      <c r="H416" s="519" t="s">
        <v>8186</v>
      </c>
      <c r="I416" s="691">
        <v>23400</v>
      </c>
      <c r="J416" s="692">
        <v>104</v>
      </c>
      <c r="K416" s="703"/>
    </row>
    <row r="417" spans="1:11" s="693" customFormat="1" ht="25.5">
      <c r="A417" s="704" t="s">
        <v>6815</v>
      </c>
      <c r="B417" s="689" t="s">
        <v>747</v>
      </c>
      <c r="C417" s="689" t="s">
        <v>7861</v>
      </c>
      <c r="D417" s="7" t="s">
        <v>7863</v>
      </c>
      <c r="E417" s="519" t="s">
        <v>621</v>
      </c>
      <c r="F417" s="690" t="s">
        <v>7060</v>
      </c>
      <c r="G417" s="690" t="s">
        <v>15</v>
      </c>
      <c r="H417" s="519" t="s">
        <v>7862</v>
      </c>
      <c r="I417" s="691">
        <v>9345</v>
      </c>
      <c r="J417" s="692">
        <v>197</v>
      </c>
      <c r="K417" s="703"/>
    </row>
    <row r="418" spans="1:11" s="693" customFormat="1" ht="25.5">
      <c r="A418" s="704" t="s">
        <v>6818</v>
      </c>
      <c r="B418" s="689" t="s">
        <v>747</v>
      </c>
      <c r="C418" s="689" t="s">
        <v>1068</v>
      </c>
      <c r="D418" s="7" t="s">
        <v>6509</v>
      </c>
      <c r="E418" s="519" t="s">
        <v>6510</v>
      </c>
      <c r="F418" s="690" t="s">
        <v>4449</v>
      </c>
      <c r="G418" s="690" t="s">
        <v>15</v>
      </c>
      <c r="H418" s="519" t="s">
        <v>6508</v>
      </c>
      <c r="I418" s="691">
        <v>8820</v>
      </c>
      <c r="J418" s="692">
        <v>249</v>
      </c>
      <c r="K418" s="703"/>
    </row>
    <row r="419" spans="1:11" s="693" customFormat="1">
      <c r="A419" s="704" t="s">
        <v>6823</v>
      </c>
      <c r="B419" s="689" t="s">
        <v>747</v>
      </c>
      <c r="C419" s="689" t="s">
        <v>1068</v>
      </c>
      <c r="D419" s="7" t="s">
        <v>3221</v>
      </c>
      <c r="E419" s="519" t="s">
        <v>1449</v>
      </c>
      <c r="F419" s="690" t="s">
        <v>4193</v>
      </c>
      <c r="G419" s="690" t="s">
        <v>658</v>
      </c>
      <c r="H419" s="519" t="s">
        <v>8184</v>
      </c>
      <c r="I419" s="691">
        <v>1320</v>
      </c>
      <c r="J419" s="692">
        <v>788</v>
      </c>
      <c r="K419" s="703"/>
    </row>
    <row r="420" spans="1:11" s="693" customFormat="1" ht="25.5">
      <c r="A420" s="704" t="s">
        <v>6826</v>
      </c>
      <c r="B420" s="689" t="s">
        <v>747</v>
      </c>
      <c r="C420" s="689" t="s">
        <v>1068</v>
      </c>
      <c r="D420" s="7" t="s">
        <v>6509</v>
      </c>
      <c r="E420" s="519" t="s">
        <v>6510</v>
      </c>
      <c r="F420" s="690" t="s">
        <v>4449</v>
      </c>
      <c r="G420" s="690" t="s">
        <v>15</v>
      </c>
      <c r="H420" s="519" t="s">
        <v>6508</v>
      </c>
      <c r="I420" s="691">
        <v>8820</v>
      </c>
      <c r="J420" s="692">
        <v>1000</v>
      </c>
      <c r="K420" s="703"/>
    </row>
    <row r="421" spans="1:11" s="693" customFormat="1" ht="25.5">
      <c r="A421" s="704" t="s">
        <v>6828</v>
      </c>
      <c r="B421" s="689" t="s">
        <v>747</v>
      </c>
      <c r="C421" s="689" t="s">
        <v>1068</v>
      </c>
      <c r="D421" s="7" t="s">
        <v>6509</v>
      </c>
      <c r="E421" s="519" t="s">
        <v>6510</v>
      </c>
      <c r="F421" s="690" t="s">
        <v>4449</v>
      </c>
      <c r="G421" s="690" t="s">
        <v>15</v>
      </c>
      <c r="H421" s="519" t="s">
        <v>6508</v>
      </c>
      <c r="I421" s="691">
        <v>8820</v>
      </c>
      <c r="J421" s="692">
        <v>1000</v>
      </c>
      <c r="K421" s="703"/>
    </row>
    <row r="422" spans="1:11" s="693" customFormat="1" ht="25.5">
      <c r="A422" s="704" t="s">
        <v>6831</v>
      </c>
      <c r="B422" s="689" t="s">
        <v>4228</v>
      </c>
      <c r="C422" s="689" t="s">
        <v>4227</v>
      </c>
      <c r="D422" s="7" t="s">
        <v>7010</v>
      </c>
      <c r="E422" s="519" t="s">
        <v>7011</v>
      </c>
      <c r="F422" s="690" t="s">
        <v>4229</v>
      </c>
      <c r="G422" s="690" t="s">
        <v>12</v>
      </c>
      <c r="H422" s="519" t="s">
        <v>7009</v>
      </c>
      <c r="I422" s="691">
        <v>1386</v>
      </c>
      <c r="J422" s="692">
        <v>12</v>
      </c>
      <c r="K422" s="703"/>
    </row>
    <row r="423" spans="1:11" s="693" customFormat="1" ht="25.5">
      <c r="A423" s="704" t="s">
        <v>6839</v>
      </c>
      <c r="B423" s="689" t="s">
        <v>1241</v>
      </c>
      <c r="C423" s="689" t="s">
        <v>6491</v>
      </c>
      <c r="D423" s="7" t="s">
        <v>6492</v>
      </c>
      <c r="E423" s="519" t="s">
        <v>6493</v>
      </c>
      <c r="F423" s="690" t="s">
        <v>327</v>
      </c>
      <c r="G423" s="690" t="s">
        <v>11</v>
      </c>
      <c r="H423" s="519" t="s">
        <v>6488</v>
      </c>
      <c r="I423" s="691">
        <v>1500</v>
      </c>
      <c r="J423" s="692">
        <v>3</v>
      </c>
      <c r="K423" s="703"/>
    </row>
    <row r="424" spans="1:11" s="693" customFormat="1">
      <c r="A424" s="704" t="s">
        <v>6840</v>
      </c>
      <c r="B424" s="689" t="s">
        <v>4199</v>
      </c>
      <c r="C424" s="689" t="s">
        <v>4198</v>
      </c>
      <c r="D424" s="7" t="s">
        <v>1000</v>
      </c>
      <c r="E424" s="519" t="s">
        <v>5696</v>
      </c>
      <c r="F424" s="690" t="s">
        <v>327</v>
      </c>
      <c r="G424" s="690" t="s">
        <v>10</v>
      </c>
      <c r="H424" s="519" t="s">
        <v>5695</v>
      </c>
      <c r="I424" s="691">
        <v>7600</v>
      </c>
      <c r="J424" s="692">
        <v>16</v>
      </c>
      <c r="K424" s="703"/>
    </row>
    <row r="425" spans="1:11" s="693" customFormat="1" ht="38.25">
      <c r="A425" s="704" t="s">
        <v>6845</v>
      </c>
      <c r="B425" s="689" t="s">
        <v>4540</v>
      </c>
      <c r="C425" s="689" t="s">
        <v>3229</v>
      </c>
      <c r="D425" s="7" t="s">
        <v>7331</v>
      </c>
      <c r="E425" s="519" t="s">
        <v>7332</v>
      </c>
      <c r="F425" s="690" t="s">
        <v>4541</v>
      </c>
      <c r="G425" s="690" t="s">
        <v>15</v>
      </c>
      <c r="H425" s="519" t="s">
        <v>12673</v>
      </c>
      <c r="I425" s="691">
        <v>2982</v>
      </c>
      <c r="J425" s="692">
        <v>25</v>
      </c>
      <c r="K425" s="703"/>
    </row>
    <row r="426" spans="1:11" s="693" customFormat="1" ht="38.25">
      <c r="A426" s="704" t="s">
        <v>6849</v>
      </c>
      <c r="B426" s="689" t="s">
        <v>4540</v>
      </c>
      <c r="C426" s="689" t="s">
        <v>3229</v>
      </c>
      <c r="D426" s="7" t="s">
        <v>7331</v>
      </c>
      <c r="E426" s="519" t="s">
        <v>7332</v>
      </c>
      <c r="F426" s="690" t="s">
        <v>4541</v>
      </c>
      <c r="G426" s="690" t="s">
        <v>15</v>
      </c>
      <c r="H426" s="519" t="s">
        <v>12673</v>
      </c>
      <c r="I426" s="691">
        <v>2982</v>
      </c>
      <c r="J426" s="692">
        <v>50</v>
      </c>
      <c r="K426" s="703"/>
    </row>
    <row r="427" spans="1:11" s="693" customFormat="1" ht="25.5">
      <c r="A427" s="704" t="s">
        <v>6852</v>
      </c>
      <c r="B427" s="689" t="s">
        <v>4528</v>
      </c>
      <c r="C427" s="689" t="s">
        <v>1594</v>
      </c>
      <c r="D427" s="7" t="s">
        <v>1597</v>
      </c>
      <c r="E427" s="519" t="s">
        <v>7335</v>
      </c>
      <c r="F427" s="690" t="s">
        <v>4529</v>
      </c>
      <c r="G427" s="690" t="s">
        <v>658</v>
      </c>
      <c r="H427" s="519" t="s">
        <v>7334</v>
      </c>
      <c r="I427" s="691">
        <v>37000</v>
      </c>
      <c r="J427" s="692">
        <v>68</v>
      </c>
      <c r="K427" s="703"/>
    </row>
    <row r="428" spans="1:11" s="693" customFormat="1" ht="25.5">
      <c r="A428" s="704" t="s">
        <v>6860</v>
      </c>
      <c r="B428" s="689" t="s">
        <v>4528</v>
      </c>
      <c r="C428" s="689" t="s">
        <v>1594</v>
      </c>
      <c r="D428" s="7" t="s">
        <v>1597</v>
      </c>
      <c r="E428" s="519" t="s">
        <v>7335</v>
      </c>
      <c r="F428" s="690" t="s">
        <v>4529</v>
      </c>
      <c r="G428" s="690" t="s">
        <v>658</v>
      </c>
      <c r="H428" s="519" t="s">
        <v>7334</v>
      </c>
      <c r="I428" s="691">
        <v>37000</v>
      </c>
      <c r="J428" s="692">
        <v>220</v>
      </c>
      <c r="K428" s="703"/>
    </row>
    <row r="429" spans="1:11" s="693" customFormat="1" ht="63.75">
      <c r="A429" s="704" t="s">
        <v>6862</v>
      </c>
      <c r="B429" s="689" t="s">
        <v>4748</v>
      </c>
      <c r="C429" s="689" t="s">
        <v>4747</v>
      </c>
      <c r="D429" s="7" t="s">
        <v>8724</v>
      </c>
      <c r="E429" s="519" t="s">
        <v>8725</v>
      </c>
      <c r="F429" s="690" t="s">
        <v>4749</v>
      </c>
      <c r="G429" s="690" t="s">
        <v>658</v>
      </c>
      <c r="H429" s="519" t="s">
        <v>8723</v>
      </c>
      <c r="I429" s="691">
        <v>39900</v>
      </c>
      <c r="J429" s="692">
        <v>79</v>
      </c>
      <c r="K429" s="703"/>
    </row>
    <row r="430" spans="1:11" s="693" customFormat="1" ht="25.5">
      <c r="A430" s="704" t="s">
        <v>6864</v>
      </c>
      <c r="B430" s="689" t="s">
        <v>155</v>
      </c>
      <c r="C430" s="689" t="s">
        <v>4716</v>
      </c>
      <c r="D430" s="7" t="s">
        <v>2199</v>
      </c>
      <c r="E430" s="519" t="s">
        <v>8876</v>
      </c>
      <c r="F430" s="690" t="s">
        <v>156</v>
      </c>
      <c r="G430" s="690" t="s">
        <v>4717</v>
      </c>
      <c r="H430" s="519" t="s">
        <v>8875</v>
      </c>
      <c r="I430" s="691">
        <v>6000</v>
      </c>
      <c r="J430" s="692">
        <v>1998</v>
      </c>
      <c r="K430" s="703"/>
    </row>
    <row r="431" spans="1:11" s="693" customFormat="1" ht="25.5">
      <c r="A431" s="704" t="s">
        <v>6868</v>
      </c>
      <c r="B431" s="689" t="s">
        <v>108</v>
      </c>
      <c r="C431" s="689" t="s">
        <v>107</v>
      </c>
      <c r="D431" s="7" t="s">
        <v>8661</v>
      </c>
      <c r="E431" s="519" t="s">
        <v>2397</v>
      </c>
      <c r="F431" s="690" t="s">
        <v>4673</v>
      </c>
      <c r="G431" s="690" t="s">
        <v>11</v>
      </c>
      <c r="H431" s="519" t="s">
        <v>8660</v>
      </c>
      <c r="I431" s="691">
        <v>830</v>
      </c>
      <c r="J431" s="692">
        <v>4</v>
      </c>
      <c r="K431" s="703"/>
    </row>
    <row r="432" spans="1:11" s="693" customFormat="1" ht="51">
      <c r="A432" s="704" t="s">
        <v>6870</v>
      </c>
      <c r="B432" s="689" t="s">
        <v>2837</v>
      </c>
      <c r="C432" s="689" t="s">
        <v>2838</v>
      </c>
      <c r="D432" s="7" t="s">
        <v>8504</v>
      </c>
      <c r="E432" s="519" t="s">
        <v>2182</v>
      </c>
      <c r="F432" s="690" t="s">
        <v>12285</v>
      </c>
      <c r="G432" s="690" t="s">
        <v>11</v>
      </c>
      <c r="H432" s="519" t="s">
        <v>8503</v>
      </c>
      <c r="I432" s="691">
        <v>2500</v>
      </c>
      <c r="J432" s="692">
        <v>4980</v>
      </c>
      <c r="K432" s="703"/>
    </row>
    <row r="433" spans="1:11" s="693" customFormat="1" ht="102">
      <c r="A433" s="704" t="s">
        <v>6871</v>
      </c>
      <c r="B433" s="689" t="s">
        <v>167</v>
      </c>
      <c r="C433" s="689" t="s">
        <v>166</v>
      </c>
      <c r="D433" s="7" t="s">
        <v>8624</v>
      </c>
      <c r="E433" s="519" t="s">
        <v>2253</v>
      </c>
      <c r="F433" s="690" t="s">
        <v>168</v>
      </c>
      <c r="G433" s="690" t="s">
        <v>11</v>
      </c>
      <c r="H433" s="519" t="s">
        <v>8616</v>
      </c>
      <c r="I433" s="691">
        <v>1200</v>
      </c>
      <c r="J433" s="692">
        <v>1</v>
      </c>
      <c r="K433" s="703"/>
    </row>
    <row r="434" spans="1:11" s="693" customFormat="1" ht="51">
      <c r="A434" s="704" t="s">
        <v>6880</v>
      </c>
      <c r="B434" s="689" t="s">
        <v>105</v>
      </c>
      <c r="C434" s="689" t="s">
        <v>104</v>
      </c>
      <c r="D434" s="7" t="s">
        <v>8793</v>
      </c>
      <c r="E434" s="519" t="s">
        <v>2413</v>
      </c>
      <c r="F434" s="690" t="s">
        <v>12310</v>
      </c>
      <c r="G434" s="690" t="s">
        <v>11</v>
      </c>
      <c r="H434" s="519" t="s">
        <v>8792</v>
      </c>
      <c r="I434" s="691">
        <v>2780</v>
      </c>
      <c r="J434" s="692">
        <v>5000</v>
      </c>
      <c r="K434" s="703"/>
    </row>
    <row r="435" spans="1:11" s="693" customFormat="1" ht="38.25">
      <c r="A435" s="704" t="s">
        <v>6887</v>
      </c>
      <c r="B435" s="689" t="s">
        <v>5800</v>
      </c>
      <c r="C435" s="689" t="s">
        <v>5802</v>
      </c>
      <c r="D435" s="7" t="s">
        <v>5805</v>
      </c>
      <c r="E435" s="519" t="s">
        <v>5806</v>
      </c>
      <c r="F435" s="690" t="s">
        <v>5801</v>
      </c>
      <c r="G435" s="690" t="s">
        <v>15</v>
      </c>
      <c r="H435" s="519" t="s">
        <v>5803</v>
      </c>
      <c r="I435" s="691">
        <v>98000</v>
      </c>
      <c r="J435" s="692">
        <v>10</v>
      </c>
      <c r="K435" s="703"/>
    </row>
    <row r="436" spans="1:11" s="693" customFormat="1" ht="25.5">
      <c r="A436" s="704" t="s">
        <v>6890</v>
      </c>
      <c r="B436" s="689" t="s">
        <v>607</v>
      </c>
      <c r="C436" s="689" t="s">
        <v>7594</v>
      </c>
      <c r="D436" s="7" t="s">
        <v>7596</v>
      </c>
      <c r="E436" s="519" t="s">
        <v>1698</v>
      </c>
      <c r="F436" s="690" t="s">
        <v>327</v>
      </c>
      <c r="G436" s="690" t="s">
        <v>11</v>
      </c>
      <c r="H436" s="519" t="s">
        <v>7595</v>
      </c>
      <c r="I436" s="691">
        <v>2940</v>
      </c>
      <c r="J436" s="692">
        <v>964</v>
      </c>
      <c r="K436" s="703"/>
    </row>
    <row r="437" spans="1:11" s="693" customFormat="1" ht="25.5">
      <c r="A437" s="704" t="s">
        <v>6896</v>
      </c>
      <c r="B437" s="689" t="s">
        <v>607</v>
      </c>
      <c r="C437" s="689" t="s">
        <v>7594</v>
      </c>
      <c r="D437" s="7" t="s">
        <v>7596</v>
      </c>
      <c r="E437" s="519" t="s">
        <v>1698</v>
      </c>
      <c r="F437" s="690" t="s">
        <v>327</v>
      </c>
      <c r="G437" s="690" t="s">
        <v>11</v>
      </c>
      <c r="H437" s="519" t="s">
        <v>7595</v>
      </c>
      <c r="I437" s="691">
        <v>2940</v>
      </c>
      <c r="J437" s="692">
        <v>5310</v>
      </c>
      <c r="K437" s="703"/>
    </row>
    <row r="438" spans="1:11" s="693" customFormat="1" ht="25.5">
      <c r="A438" s="704" t="s">
        <v>6901</v>
      </c>
      <c r="B438" s="689" t="s">
        <v>313</v>
      </c>
      <c r="C438" s="689" t="s">
        <v>502</v>
      </c>
      <c r="D438" s="7" t="s">
        <v>504</v>
      </c>
      <c r="E438" s="519" t="s">
        <v>5343</v>
      </c>
      <c r="F438" s="690" t="s">
        <v>235</v>
      </c>
      <c r="G438" s="690" t="s">
        <v>10</v>
      </c>
      <c r="H438" s="519" t="s">
        <v>5477</v>
      </c>
      <c r="I438" s="691">
        <v>473</v>
      </c>
      <c r="J438" s="692">
        <v>70</v>
      </c>
      <c r="K438" s="703"/>
    </row>
    <row r="439" spans="1:11" s="693" customFormat="1" ht="25.5">
      <c r="A439" s="704" t="s">
        <v>6908</v>
      </c>
      <c r="B439" s="689" t="s">
        <v>313</v>
      </c>
      <c r="C439" s="689" t="s">
        <v>502</v>
      </c>
      <c r="D439" s="7" t="s">
        <v>504</v>
      </c>
      <c r="E439" s="519" t="s">
        <v>5343</v>
      </c>
      <c r="F439" s="690" t="s">
        <v>235</v>
      </c>
      <c r="G439" s="690" t="s">
        <v>10</v>
      </c>
      <c r="H439" s="519" t="s">
        <v>5477</v>
      </c>
      <c r="I439" s="691">
        <v>473</v>
      </c>
      <c r="J439" s="692">
        <v>200</v>
      </c>
      <c r="K439" s="703"/>
    </row>
    <row r="440" spans="1:11" s="693" customFormat="1">
      <c r="A440" s="704" t="s">
        <v>6911</v>
      </c>
      <c r="B440" s="689" t="s">
        <v>313</v>
      </c>
      <c r="C440" s="689" t="s">
        <v>4918</v>
      </c>
      <c r="D440" s="7" t="s">
        <v>5481</v>
      </c>
      <c r="E440" s="519" t="s">
        <v>463</v>
      </c>
      <c r="F440" s="690" t="s">
        <v>238</v>
      </c>
      <c r="G440" s="690" t="s">
        <v>10</v>
      </c>
      <c r="H440" s="519" t="s">
        <v>5480</v>
      </c>
      <c r="I440" s="691">
        <v>980</v>
      </c>
      <c r="J440" s="692">
        <v>245</v>
      </c>
      <c r="K440" s="703"/>
    </row>
    <row r="441" spans="1:11" s="693" customFormat="1" ht="25.5">
      <c r="A441" s="704" t="s">
        <v>6917</v>
      </c>
      <c r="B441" s="689" t="s">
        <v>313</v>
      </c>
      <c r="C441" s="689" t="s">
        <v>502</v>
      </c>
      <c r="D441" s="7" t="s">
        <v>504</v>
      </c>
      <c r="E441" s="519" t="s">
        <v>5343</v>
      </c>
      <c r="F441" s="690" t="s">
        <v>235</v>
      </c>
      <c r="G441" s="690" t="s">
        <v>10</v>
      </c>
      <c r="H441" s="519" t="s">
        <v>5477</v>
      </c>
      <c r="I441" s="691">
        <v>473</v>
      </c>
      <c r="J441" s="692">
        <v>1224</v>
      </c>
      <c r="K441" s="703"/>
    </row>
    <row r="442" spans="1:11" s="693" customFormat="1" ht="25.5">
      <c r="A442" s="704" t="s">
        <v>6924</v>
      </c>
      <c r="B442" s="689" t="s">
        <v>2530</v>
      </c>
      <c r="C442" s="689" t="s">
        <v>421</v>
      </c>
      <c r="D442" s="7" t="s">
        <v>424</v>
      </c>
      <c r="E442" s="519" t="s">
        <v>414</v>
      </c>
      <c r="F442" s="690" t="s">
        <v>422</v>
      </c>
      <c r="G442" s="690" t="s">
        <v>628</v>
      </c>
      <c r="H442" s="519" t="s">
        <v>5488</v>
      </c>
      <c r="I442" s="691">
        <v>980</v>
      </c>
      <c r="J442" s="692">
        <v>7</v>
      </c>
      <c r="K442" s="703"/>
    </row>
    <row r="443" spans="1:11" s="693" customFormat="1" ht="25.5">
      <c r="A443" s="704" t="s">
        <v>6930</v>
      </c>
      <c r="B443" s="689" t="s">
        <v>2530</v>
      </c>
      <c r="C443" s="689" t="s">
        <v>421</v>
      </c>
      <c r="D443" s="7" t="s">
        <v>424</v>
      </c>
      <c r="E443" s="519" t="s">
        <v>414</v>
      </c>
      <c r="F443" s="690" t="s">
        <v>422</v>
      </c>
      <c r="G443" s="690" t="s">
        <v>628</v>
      </c>
      <c r="H443" s="519" t="s">
        <v>5488</v>
      </c>
      <c r="I443" s="691">
        <v>980</v>
      </c>
      <c r="J443" s="692">
        <v>16</v>
      </c>
      <c r="K443" s="703"/>
    </row>
    <row r="444" spans="1:11" s="693" customFormat="1" ht="25.5">
      <c r="A444" s="704" t="s">
        <v>6934</v>
      </c>
      <c r="B444" s="689" t="s">
        <v>564</v>
      </c>
      <c r="C444" s="689" t="s">
        <v>4550</v>
      </c>
      <c r="D444" s="7" t="s">
        <v>1078</v>
      </c>
      <c r="E444" s="519" t="s">
        <v>336</v>
      </c>
      <c r="F444" s="690" t="s">
        <v>2532</v>
      </c>
      <c r="G444" s="690" t="s">
        <v>13</v>
      </c>
      <c r="H444" s="519" t="s">
        <v>7458</v>
      </c>
      <c r="I444" s="691">
        <v>980</v>
      </c>
      <c r="J444" s="692">
        <v>320</v>
      </c>
      <c r="K444" s="703"/>
    </row>
    <row r="445" spans="1:11" s="693" customFormat="1" ht="25.5">
      <c r="A445" s="704" t="s">
        <v>6937</v>
      </c>
      <c r="B445" s="689" t="s">
        <v>5979</v>
      </c>
      <c r="C445" s="689" t="s">
        <v>5918</v>
      </c>
      <c r="D445" s="7" t="s">
        <v>5920</v>
      </c>
      <c r="E445" s="519" t="s">
        <v>5775</v>
      </c>
      <c r="F445" s="690" t="s">
        <v>12674</v>
      </c>
      <c r="G445" s="690" t="s">
        <v>11</v>
      </c>
      <c r="H445" s="519" t="s">
        <v>5919</v>
      </c>
      <c r="I445" s="691">
        <v>11800</v>
      </c>
      <c r="J445" s="692">
        <v>500</v>
      </c>
      <c r="K445" s="703"/>
    </row>
    <row r="446" spans="1:11" s="693" customFormat="1" ht="25.5">
      <c r="A446" s="704" t="s">
        <v>6943</v>
      </c>
      <c r="B446" s="689" t="s">
        <v>5985</v>
      </c>
      <c r="C446" s="689" t="s">
        <v>5987</v>
      </c>
      <c r="D446" s="7" t="s">
        <v>5990</v>
      </c>
      <c r="E446" s="519" t="s">
        <v>5991</v>
      </c>
      <c r="F446" s="690" t="s">
        <v>5986</v>
      </c>
      <c r="G446" s="690" t="s">
        <v>11</v>
      </c>
      <c r="H446" s="519" t="s">
        <v>5988</v>
      </c>
      <c r="I446" s="691">
        <v>9500</v>
      </c>
      <c r="J446" s="692">
        <v>179</v>
      </c>
      <c r="K446" s="703"/>
    </row>
    <row r="447" spans="1:11" s="693" customFormat="1" ht="51">
      <c r="A447" s="704" t="s">
        <v>6947</v>
      </c>
      <c r="B447" s="689" t="s">
        <v>8758</v>
      </c>
      <c r="C447" s="689" t="s">
        <v>8760</v>
      </c>
      <c r="D447" s="7" t="s">
        <v>8762</v>
      </c>
      <c r="E447" s="519" t="s">
        <v>8701</v>
      </c>
      <c r="F447" s="690" t="s">
        <v>12262</v>
      </c>
      <c r="G447" s="690" t="s">
        <v>15</v>
      </c>
      <c r="H447" s="519" t="s">
        <v>8761</v>
      </c>
      <c r="I447" s="691">
        <v>27405</v>
      </c>
      <c r="J447" s="692">
        <v>240</v>
      </c>
      <c r="K447" s="703"/>
    </row>
    <row r="448" spans="1:11" s="693" customFormat="1" ht="51">
      <c r="A448" s="704" t="s">
        <v>6955</v>
      </c>
      <c r="B448" s="689" t="s">
        <v>8758</v>
      </c>
      <c r="C448" s="689" t="s">
        <v>8760</v>
      </c>
      <c r="D448" s="7" t="s">
        <v>8762</v>
      </c>
      <c r="E448" s="519" t="s">
        <v>8701</v>
      </c>
      <c r="F448" s="690" t="s">
        <v>12262</v>
      </c>
      <c r="G448" s="690" t="s">
        <v>15</v>
      </c>
      <c r="H448" s="519" t="s">
        <v>8761</v>
      </c>
      <c r="I448" s="691">
        <v>27405</v>
      </c>
      <c r="J448" s="692">
        <v>302</v>
      </c>
      <c r="K448" s="703"/>
    </row>
    <row r="449" spans="1:11" s="693" customFormat="1" ht="25.5">
      <c r="A449" s="704" t="s">
        <v>6961</v>
      </c>
      <c r="B449" s="689" t="s">
        <v>1368</v>
      </c>
      <c r="C449" s="689" t="s">
        <v>2725</v>
      </c>
      <c r="D449" s="7" t="s">
        <v>8418</v>
      </c>
      <c r="E449" s="519" t="s">
        <v>7011</v>
      </c>
      <c r="F449" s="690" t="s">
        <v>1941</v>
      </c>
      <c r="G449" s="690" t="s">
        <v>658</v>
      </c>
      <c r="H449" s="519" t="s">
        <v>7340</v>
      </c>
      <c r="I449" s="691">
        <v>2394</v>
      </c>
      <c r="J449" s="692">
        <v>25</v>
      </c>
      <c r="K449" s="703"/>
    </row>
    <row r="450" spans="1:11" s="693" customFormat="1" ht="25.5">
      <c r="A450" s="704" t="s">
        <v>6964</v>
      </c>
      <c r="B450" s="689" t="s">
        <v>1368</v>
      </c>
      <c r="C450" s="689" t="s">
        <v>2725</v>
      </c>
      <c r="D450" s="7" t="s">
        <v>8418</v>
      </c>
      <c r="E450" s="519" t="s">
        <v>7011</v>
      </c>
      <c r="F450" s="690" t="s">
        <v>1941</v>
      </c>
      <c r="G450" s="690" t="s">
        <v>658</v>
      </c>
      <c r="H450" s="519" t="s">
        <v>7340</v>
      </c>
      <c r="I450" s="691">
        <v>2394</v>
      </c>
      <c r="J450" s="692">
        <v>50</v>
      </c>
      <c r="K450" s="703"/>
    </row>
    <row r="451" spans="1:11" s="693" customFormat="1" ht="25.5">
      <c r="A451" s="704" t="s">
        <v>6969</v>
      </c>
      <c r="B451" s="689" t="s">
        <v>1368</v>
      </c>
      <c r="C451" s="689" t="s">
        <v>2725</v>
      </c>
      <c r="D451" s="7" t="s">
        <v>8418</v>
      </c>
      <c r="E451" s="519" t="s">
        <v>7011</v>
      </c>
      <c r="F451" s="690" t="s">
        <v>1941</v>
      </c>
      <c r="G451" s="690" t="s">
        <v>658</v>
      </c>
      <c r="H451" s="519" t="s">
        <v>7340</v>
      </c>
      <c r="I451" s="691">
        <v>2394</v>
      </c>
      <c r="J451" s="692">
        <v>100</v>
      </c>
      <c r="K451" s="703"/>
    </row>
    <row r="452" spans="1:11" s="693" customFormat="1" ht="38.25">
      <c r="A452" s="704" t="s">
        <v>6971</v>
      </c>
      <c r="B452" s="689" t="s">
        <v>392</v>
      </c>
      <c r="C452" s="689" t="s">
        <v>2147</v>
      </c>
      <c r="D452" s="7" t="s">
        <v>6779</v>
      </c>
      <c r="E452" s="519" t="s">
        <v>350</v>
      </c>
      <c r="F452" s="690" t="s">
        <v>267</v>
      </c>
      <c r="G452" s="690" t="s">
        <v>658</v>
      </c>
      <c r="H452" s="519" t="s">
        <v>6778</v>
      </c>
      <c r="I452" s="691">
        <v>19600</v>
      </c>
      <c r="J452" s="692">
        <v>2</v>
      </c>
      <c r="K452" s="703"/>
    </row>
    <row r="453" spans="1:11" s="693" customFormat="1" ht="25.5">
      <c r="A453" s="704" t="s">
        <v>6974</v>
      </c>
      <c r="B453" s="689" t="s">
        <v>392</v>
      </c>
      <c r="C453" s="689" t="s">
        <v>393</v>
      </c>
      <c r="D453" s="7" t="s">
        <v>394</v>
      </c>
      <c r="E453" s="519" t="s">
        <v>360</v>
      </c>
      <c r="F453" s="690" t="s">
        <v>235</v>
      </c>
      <c r="G453" s="690" t="s">
        <v>10</v>
      </c>
      <c r="H453" s="519" t="s">
        <v>5362</v>
      </c>
      <c r="I453" s="691">
        <v>131</v>
      </c>
      <c r="J453" s="692">
        <v>49</v>
      </c>
      <c r="K453" s="703"/>
    </row>
    <row r="454" spans="1:11" s="693" customFormat="1" ht="38.25">
      <c r="A454" s="704" t="s">
        <v>6980</v>
      </c>
      <c r="B454" s="689" t="s">
        <v>392</v>
      </c>
      <c r="C454" s="689" t="s">
        <v>2147</v>
      </c>
      <c r="D454" s="7" t="s">
        <v>6779</v>
      </c>
      <c r="E454" s="519" t="s">
        <v>350</v>
      </c>
      <c r="F454" s="690" t="s">
        <v>267</v>
      </c>
      <c r="G454" s="690" t="s">
        <v>658</v>
      </c>
      <c r="H454" s="519" t="s">
        <v>6778</v>
      </c>
      <c r="I454" s="691">
        <v>19600</v>
      </c>
      <c r="J454" s="692">
        <v>54</v>
      </c>
      <c r="K454" s="703"/>
    </row>
    <row r="455" spans="1:11" s="693" customFormat="1" ht="38.25">
      <c r="A455" s="704" t="s">
        <v>6984</v>
      </c>
      <c r="B455" s="689" t="s">
        <v>392</v>
      </c>
      <c r="C455" s="689" t="s">
        <v>2533</v>
      </c>
      <c r="D455" s="7" t="s">
        <v>6240</v>
      </c>
      <c r="E455" s="519" t="s">
        <v>6241</v>
      </c>
      <c r="F455" s="690" t="s">
        <v>267</v>
      </c>
      <c r="G455" s="690" t="s">
        <v>658</v>
      </c>
      <c r="H455" s="519" t="s">
        <v>6239</v>
      </c>
      <c r="I455" s="691">
        <v>34950</v>
      </c>
      <c r="J455" s="692">
        <v>100</v>
      </c>
      <c r="K455" s="703"/>
    </row>
    <row r="456" spans="1:11" s="693" customFormat="1" ht="25.5">
      <c r="A456" s="704" t="s">
        <v>6985</v>
      </c>
      <c r="B456" s="689" t="s">
        <v>392</v>
      </c>
      <c r="C456" s="689" t="s">
        <v>3472</v>
      </c>
      <c r="D456" s="7" t="s">
        <v>7935</v>
      </c>
      <c r="E456" s="519" t="s">
        <v>2385</v>
      </c>
      <c r="F456" s="690" t="s">
        <v>267</v>
      </c>
      <c r="G456" s="690" t="s">
        <v>11</v>
      </c>
      <c r="H456" s="519" t="s">
        <v>7934</v>
      </c>
      <c r="I456" s="691">
        <v>287</v>
      </c>
      <c r="J456" s="692">
        <v>2000</v>
      </c>
      <c r="K456" s="703"/>
    </row>
    <row r="457" spans="1:11" s="693" customFormat="1" ht="25.5">
      <c r="A457" s="704" t="s">
        <v>6991</v>
      </c>
      <c r="B457" s="689" t="s">
        <v>392</v>
      </c>
      <c r="C457" s="689" t="s">
        <v>393</v>
      </c>
      <c r="D457" s="7" t="s">
        <v>394</v>
      </c>
      <c r="E457" s="519" t="s">
        <v>360</v>
      </c>
      <c r="F457" s="690" t="s">
        <v>235</v>
      </c>
      <c r="G457" s="690" t="s">
        <v>10</v>
      </c>
      <c r="H457" s="519" t="s">
        <v>5362</v>
      </c>
      <c r="I457" s="691">
        <v>131</v>
      </c>
      <c r="J457" s="692">
        <v>16168</v>
      </c>
      <c r="K457" s="703"/>
    </row>
    <row r="458" spans="1:11" s="693" customFormat="1">
      <c r="A458" s="704" t="s">
        <v>6993</v>
      </c>
      <c r="B458" s="689" t="s">
        <v>242</v>
      </c>
      <c r="C458" s="689" t="s">
        <v>4903</v>
      </c>
      <c r="D458" s="7" t="s">
        <v>244</v>
      </c>
      <c r="E458" s="519" t="s">
        <v>245</v>
      </c>
      <c r="F458" s="690" t="s">
        <v>243</v>
      </c>
      <c r="G458" s="690" t="s">
        <v>628</v>
      </c>
      <c r="H458" s="519" t="s">
        <v>5261</v>
      </c>
      <c r="I458" s="691">
        <v>3255</v>
      </c>
      <c r="J458" s="692">
        <v>16</v>
      </c>
      <c r="K458" s="703"/>
    </row>
    <row r="459" spans="1:11" s="693" customFormat="1">
      <c r="A459" s="704" t="s">
        <v>6997</v>
      </c>
      <c r="B459" s="689" t="s">
        <v>242</v>
      </c>
      <c r="C459" s="689" t="s">
        <v>4903</v>
      </c>
      <c r="D459" s="7" t="s">
        <v>244</v>
      </c>
      <c r="E459" s="519" t="s">
        <v>245</v>
      </c>
      <c r="F459" s="690" t="s">
        <v>243</v>
      </c>
      <c r="G459" s="690" t="s">
        <v>628</v>
      </c>
      <c r="H459" s="519" t="s">
        <v>5261</v>
      </c>
      <c r="I459" s="691">
        <v>3255</v>
      </c>
      <c r="J459" s="692">
        <v>46</v>
      </c>
      <c r="K459" s="703"/>
    </row>
    <row r="460" spans="1:11" s="693" customFormat="1">
      <c r="A460" s="704" t="s">
        <v>7002</v>
      </c>
      <c r="B460" s="689" t="s">
        <v>395</v>
      </c>
      <c r="C460" s="689" t="s">
        <v>395</v>
      </c>
      <c r="D460" s="7" t="s">
        <v>396</v>
      </c>
      <c r="E460" s="519" t="s">
        <v>360</v>
      </c>
      <c r="F460" s="690" t="s">
        <v>267</v>
      </c>
      <c r="G460" s="690" t="s">
        <v>10</v>
      </c>
      <c r="H460" s="519" t="s">
        <v>5362</v>
      </c>
      <c r="I460" s="691">
        <v>326</v>
      </c>
      <c r="J460" s="692">
        <v>6939</v>
      </c>
      <c r="K460" s="703"/>
    </row>
    <row r="461" spans="1:11" s="693" customFormat="1" ht="25.5">
      <c r="A461" s="704" t="s">
        <v>7004</v>
      </c>
      <c r="B461" s="689" t="s">
        <v>227</v>
      </c>
      <c r="C461" s="689" t="s">
        <v>527</v>
      </c>
      <c r="D461" s="7" t="s">
        <v>528</v>
      </c>
      <c r="E461" s="519" t="s">
        <v>529</v>
      </c>
      <c r="F461" s="690" t="s">
        <v>225</v>
      </c>
      <c r="G461" s="690" t="s">
        <v>410</v>
      </c>
      <c r="H461" s="519" t="s">
        <v>5263</v>
      </c>
      <c r="I461" s="691">
        <v>1954</v>
      </c>
      <c r="J461" s="692">
        <v>1</v>
      </c>
      <c r="K461" s="703"/>
    </row>
    <row r="462" spans="1:11" s="693" customFormat="1" ht="25.5">
      <c r="A462" s="704" t="s">
        <v>7007</v>
      </c>
      <c r="B462" s="689" t="s">
        <v>227</v>
      </c>
      <c r="C462" s="689" t="s">
        <v>344</v>
      </c>
      <c r="D462" s="7" t="s">
        <v>345</v>
      </c>
      <c r="E462" s="519" t="s">
        <v>346</v>
      </c>
      <c r="F462" s="690" t="s">
        <v>225</v>
      </c>
      <c r="G462" s="690" t="s">
        <v>10</v>
      </c>
      <c r="H462" s="519" t="s">
        <v>5308</v>
      </c>
      <c r="I462" s="691">
        <v>420</v>
      </c>
      <c r="J462" s="692">
        <v>2</v>
      </c>
      <c r="K462" s="703"/>
    </row>
    <row r="463" spans="1:11" s="693" customFormat="1">
      <c r="A463" s="704" t="s">
        <v>7012</v>
      </c>
      <c r="B463" s="689" t="s">
        <v>227</v>
      </c>
      <c r="C463" s="689" t="s">
        <v>4787</v>
      </c>
      <c r="D463" s="7" t="s">
        <v>233</v>
      </c>
      <c r="E463" s="519" t="s">
        <v>215</v>
      </c>
      <c r="F463" s="690" t="s">
        <v>232</v>
      </c>
      <c r="G463" s="690" t="s">
        <v>12</v>
      </c>
      <c r="H463" s="519" t="s">
        <v>5498</v>
      </c>
      <c r="I463" s="691">
        <v>365</v>
      </c>
      <c r="J463" s="692">
        <v>27</v>
      </c>
      <c r="K463" s="703"/>
    </row>
    <row r="464" spans="1:11" s="693" customFormat="1">
      <c r="A464" s="704" t="s">
        <v>7016</v>
      </c>
      <c r="B464" s="689" t="s">
        <v>227</v>
      </c>
      <c r="C464" s="689" t="s">
        <v>4787</v>
      </c>
      <c r="D464" s="7" t="s">
        <v>233</v>
      </c>
      <c r="E464" s="519" t="s">
        <v>215</v>
      </c>
      <c r="F464" s="690" t="s">
        <v>232</v>
      </c>
      <c r="G464" s="690" t="s">
        <v>12</v>
      </c>
      <c r="H464" s="519" t="s">
        <v>5498</v>
      </c>
      <c r="I464" s="691">
        <v>365</v>
      </c>
      <c r="J464" s="692">
        <v>131</v>
      </c>
      <c r="K464" s="703"/>
    </row>
    <row r="465" spans="1:11" s="693" customFormat="1">
      <c r="A465" s="704" t="s">
        <v>7022</v>
      </c>
      <c r="B465" s="689" t="s">
        <v>227</v>
      </c>
      <c r="C465" s="689" t="s">
        <v>397</v>
      </c>
      <c r="D465" s="7" t="s">
        <v>399</v>
      </c>
      <c r="E465" s="519" t="s">
        <v>360</v>
      </c>
      <c r="F465" s="690" t="s">
        <v>398</v>
      </c>
      <c r="G465" s="690" t="s">
        <v>10</v>
      </c>
      <c r="H465" s="519" t="s">
        <v>5514</v>
      </c>
      <c r="I465" s="691">
        <v>89</v>
      </c>
      <c r="J465" s="692">
        <v>6000</v>
      </c>
      <c r="K465" s="703"/>
    </row>
    <row r="466" spans="1:11" s="693" customFormat="1" ht="25.5">
      <c r="A466" s="704" t="s">
        <v>7027</v>
      </c>
      <c r="B466" s="689" t="s">
        <v>227</v>
      </c>
      <c r="C466" s="689" t="s">
        <v>527</v>
      </c>
      <c r="D466" s="7" t="s">
        <v>528</v>
      </c>
      <c r="E466" s="519" t="s">
        <v>529</v>
      </c>
      <c r="F466" s="690" t="s">
        <v>225</v>
      </c>
      <c r="G466" s="690" t="s">
        <v>410</v>
      </c>
      <c r="H466" s="519" t="s">
        <v>5263</v>
      </c>
      <c r="I466" s="691">
        <v>1954</v>
      </c>
      <c r="J466" s="692">
        <v>6146</v>
      </c>
      <c r="K466" s="703"/>
    </row>
    <row r="467" spans="1:11" s="693" customFormat="1">
      <c r="A467" s="704" t="s">
        <v>7031</v>
      </c>
      <c r="B467" s="689" t="s">
        <v>227</v>
      </c>
      <c r="C467" s="689" t="s">
        <v>4843</v>
      </c>
      <c r="D467" s="7" t="s">
        <v>5511</v>
      </c>
      <c r="E467" s="519" t="s">
        <v>5512</v>
      </c>
      <c r="F467" s="690" t="s">
        <v>225</v>
      </c>
      <c r="G467" s="690" t="s">
        <v>410</v>
      </c>
      <c r="H467" s="519" t="s">
        <v>5510</v>
      </c>
      <c r="I467" s="691">
        <v>790</v>
      </c>
      <c r="J467" s="692">
        <v>16816</v>
      </c>
      <c r="K467" s="703"/>
    </row>
    <row r="468" spans="1:11" s="693" customFormat="1" ht="25.5">
      <c r="A468" s="704" t="s">
        <v>7035</v>
      </c>
      <c r="B468" s="689" t="s">
        <v>227</v>
      </c>
      <c r="C468" s="689" t="s">
        <v>4942</v>
      </c>
      <c r="D468" s="7" t="s">
        <v>472</v>
      </c>
      <c r="E468" s="519" t="s">
        <v>463</v>
      </c>
      <c r="F468" s="690" t="s">
        <v>225</v>
      </c>
      <c r="G468" s="690" t="s">
        <v>10</v>
      </c>
      <c r="H468" s="519" t="s">
        <v>5544</v>
      </c>
      <c r="I468" s="691">
        <v>420</v>
      </c>
      <c r="J468" s="692">
        <v>17642</v>
      </c>
      <c r="K468" s="703"/>
    </row>
    <row r="469" spans="1:11" s="693" customFormat="1">
      <c r="A469" s="704" t="s">
        <v>7040</v>
      </c>
      <c r="B469" s="689" t="s">
        <v>227</v>
      </c>
      <c r="C469" s="689" t="s">
        <v>4843</v>
      </c>
      <c r="D469" s="7" t="s">
        <v>5511</v>
      </c>
      <c r="E469" s="519" t="s">
        <v>5512</v>
      </c>
      <c r="F469" s="690" t="s">
        <v>225</v>
      </c>
      <c r="G469" s="690" t="s">
        <v>410</v>
      </c>
      <c r="H469" s="519" t="s">
        <v>5510</v>
      </c>
      <c r="I469" s="691">
        <v>790</v>
      </c>
      <c r="J469" s="692">
        <v>26384</v>
      </c>
      <c r="K469" s="703"/>
    </row>
    <row r="470" spans="1:11" s="693" customFormat="1" ht="25.5">
      <c r="A470" s="704" t="s">
        <v>7046</v>
      </c>
      <c r="B470" s="689" t="s">
        <v>227</v>
      </c>
      <c r="C470" s="689" t="s">
        <v>527</v>
      </c>
      <c r="D470" s="7" t="s">
        <v>528</v>
      </c>
      <c r="E470" s="519" t="s">
        <v>529</v>
      </c>
      <c r="F470" s="690" t="s">
        <v>225</v>
      </c>
      <c r="G470" s="690" t="s">
        <v>410</v>
      </c>
      <c r="H470" s="519" t="s">
        <v>5263</v>
      </c>
      <c r="I470" s="691">
        <v>1954</v>
      </c>
      <c r="J470" s="692">
        <v>39950</v>
      </c>
      <c r="K470" s="703"/>
    </row>
    <row r="471" spans="1:11" s="693" customFormat="1" ht="25.5">
      <c r="A471" s="704" t="s">
        <v>7050</v>
      </c>
      <c r="B471" s="689" t="s">
        <v>750</v>
      </c>
      <c r="C471" s="689" t="s">
        <v>1771</v>
      </c>
      <c r="D471" s="7" t="s">
        <v>1773</v>
      </c>
      <c r="E471" s="519" t="s">
        <v>6510</v>
      </c>
      <c r="F471" s="690" t="s">
        <v>1772</v>
      </c>
      <c r="G471" s="690" t="s">
        <v>15</v>
      </c>
      <c r="H471" s="519" t="s">
        <v>6678</v>
      </c>
      <c r="I471" s="691">
        <v>15740</v>
      </c>
      <c r="J471" s="692">
        <v>2</v>
      </c>
      <c r="K471" s="703"/>
    </row>
    <row r="472" spans="1:11" s="693" customFormat="1" ht="38.25">
      <c r="A472" s="704" t="s">
        <v>7052</v>
      </c>
      <c r="B472" s="689" t="s">
        <v>750</v>
      </c>
      <c r="C472" s="689" t="s">
        <v>1369</v>
      </c>
      <c r="D472" s="7" t="s">
        <v>7605</v>
      </c>
      <c r="E472" s="519" t="s">
        <v>7001</v>
      </c>
      <c r="F472" s="690" t="s">
        <v>833</v>
      </c>
      <c r="G472" s="690" t="s">
        <v>11</v>
      </c>
      <c r="H472" s="519" t="s">
        <v>7604</v>
      </c>
      <c r="I472" s="691">
        <v>84</v>
      </c>
      <c r="J472" s="692">
        <v>10</v>
      </c>
      <c r="K472" s="703"/>
    </row>
    <row r="473" spans="1:11" s="693" customFormat="1" ht="25.5">
      <c r="A473" s="704" t="s">
        <v>7058</v>
      </c>
      <c r="B473" s="689" t="s">
        <v>750</v>
      </c>
      <c r="C473" s="689" t="s">
        <v>1771</v>
      </c>
      <c r="D473" s="7" t="s">
        <v>1773</v>
      </c>
      <c r="E473" s="519" t="s">
        <v>6510</v>
      </c>
      <c r="F473" s="690" t="s">
        <v>1772</v>
      </c>
      <c r="G473" s="690" t="s">
        <v>15</v>
      </c>
      <c r="H473" s="519" t="s">
        <v>6678</v>
      </c>
      <c r="I473" s="691">
        <v>15740</v>
      </c>
      <c r="J473" s="692">
        <v>12</v>
      </c>
      <c r="K473" s="703"/>
    </row>
    <row r="474" spans="1:11" s="693" customFormat="1" ht="25.5">
      <c r="A474" s="704" t="s">
        <v>7064</v>
      </c>
      <c r="B474" s="689" t="s">
        <v>750</v>
      </c>
      <c r="C474" s="689" t="s">
        <v>3987</v>
      </c>
      <c r="D474" s="7" t="s">
        <v>6062</v>
      </c>
      <c r="E474" s="519" t="s">
        <v>6063</v>
      </c>
      <c r="F474" s="690" t="s">
        <v>232</v>
      </c>
      <c r="G474" s="690" t="s">
        <v>11</v>
      </c>
      <c r="H474" s="519" t="s">
        <v>6061</v>
      </c>
      <c r="I474" s="691">
        <v>2258</v>
      </c>
      <c r="J474" s="692">
        <v>24</v>
      </c>
      <c r="K474" s="703"/>
    </row>
    <row r="475" spans="1:11" s="693" customFormat="1" ht="25.5">
      <c r="A475" s="704" t="s">
        <v>7067</v>
      </c>
      <c r="B475" s="689" t="s">
        <v>750</v>
      </c>
      <c r="C475" s="689" t="s">
        <v>1771</v>
      </c>
      <c r="D475" s="7" t="s">
        <v>1773</v>
      </c>
      <c r="E475" s="519" t="s">
        <v>6510</v>
      </c>
      <c r="F475" s="690" t="s">
        <v>1772</v>
      </c>
      <c r="G475" s="690" t="s">
        <v>15</v>
      </c>
      <c r="H475" s="519" t="s">
        <v>6678</v>
      </c>
      <c r="I475" s="691">
        <v>15740</v>
      </c>
      <c r="J475" s="692">
        <v>48</v>
      </c>
      <c r="K475" s="703"/>
    </row>
    <row r="476" spans="1:11" s="693" customFormat="1" ht="38.25">
      <c r="A476" s="704" t="s">
        <v>7069</v>
      </c>
      <c r="B476" s="689" t="s">
        <v>750</v>
      </c>
      <c r="C476" s="689" t="s">
        <v>3819</v>
      </c>
      <c r="D476" s="7" t="s">
        <v>7628</v>
      </c>
      <c r="E476" s="519" t="s">
        <v>7011</v>
      </c>
      <c r="F476" s="690" t="s">
        <v>232</v>
      </c>
      <c r="G476" s="690" t="s">
        <v>11</v>
      </c>
      <c r="H476" s="519" t="s">
        <v>7627</v>
      </c>
      <c r="I476" s="691">
        <v>1554</v>
      </c>
      <c r="J476" s="692">
        <v>52</v>
      </c>
      <c r="K476" s="703"/>
    </row>
    <row r="477" spans="1:11" s="693" customFormat="1" ht="38.25">
      <c r="A477" s="704" t="s">
        <v>7072</v>
      </c>
      <c r="B477" s="689" t="s">
        <v>750</v>
      </c>
      <c r="C477" s="689" t="s">
        <v>1369</v>
      </c>
      <c r="D477" s="7" t="s">
        <v>7605</v>
      </c>
      <c r="E477" s="519" t="s">
        <v>7001</v>
      </c>
      <c r="F477" s="690" t="s">
        <v>833</v>
      </c>
      <c r="G477" s="690" t="s">
        <v>11</v>
      </c>
      <c r="H477" s="519" t="s">
        <v>7604</v>
      </c>
      <c r="I477" s="691">
        <v>84</v>
      </c>
      <c r="J477" s="692">
        <v>54</v>
      </c>
      <c r="K477" s="703"/>
    </row>
    <row r="478" spans="1:11" s="693" customFormat="1" ht="51">
      <c r="A478" s="704" t="s">
        <v>7078</v>
      </c>
      <c r="B478" s="689" t="s">
        <v>750</v>
      </c>
      <c r="C478" s="689" t="s">
        <v>6066</v>
      </c>
      <c r="D478" s="7" t="s">
        <v>6068</v>
      </c>
      <c r="E478" s="519" t="s">
        <v>6069</v>
      </c>
      <c r="F478" s="690" t="s">
        <v>1772</v>
      </c>
      <c r="G478" s="690" t="s">
        <v>658</v>
      </c>
      <c r="H478" s="519" t="s">
        <v>6067</v>
      </c>
      <c r="I478" s="691">
        <v>42000</v>
      </c>
      <c r="J478" s="692">
        <v>200</v>
      </c>
      <c r="K478" s="703"/>
    </row>
    <row r="479" spans="1:11" s="693" customFormat="1" ht="25.5">
      <c r="A479" s="704" t="s">
        <v>7079</v>
      </c>
      <c r="B479" s="689" t="s">
        <v>750</v>
      </c>
      <c r="C479" s="689" t="s">
        <v>1771</v>
      </c>
      <c r="D479" s="7" t="s">
        <v>1773</v>
      </c>
      <c r="E479" s="519" t="s">
        <v>6510</v>
      </c>
      <c r="F479" s="690" t="s">
        <v>1772</v>
      </c>
      <c r="G479" s="690" t="s">
        <v>15</v>
      </c>
      <c r="H479" s="519" t="s">
        <v>6678</v>
      </c>
      <c r="I479" s="691">
        <v>15740</v>
      </c>
      <c r="J479" s="692">
        <v>225</v>
      </c>
      <c r="K479" s="703"/>
    </row>
    <row r="480" spans="1:11" s="693" customFormat="1" ht="25.5">
      <c r="A480" s="704" t="s">
        <v>7086</v>
      </c>
      <c r="B480" s="689" t="s">
        <v>750</v>
      </c>
      <c r="C480" s="689" t="s">
        <v>3987</v>
      </c>
      <c r="D480" s="7" t="s">
        <v>6062</v>
      </c>
      <c r="E480" s="519" t="s">
        <v>6063</v>
      </c>
      <c r="F480" s="690" t="s">
        <v>232</v>
      </c>
      <c r="G480" s="690" t="s">
        <v>11</v>
      </c>
      <c r="H480" s="519" t="s">
        <v>6061</v>
      </c>
      <c r="I480" s="691">
        <v>2258</v>
      </c>
      <c r="J480" s="692">
        <v>270</v>
      </c>
      <c r="K480" s="703"/>
    </row>
    <row r="481" spans="1:11" s="693" customFormat="1" ht="51">
      <c r="A481" s="704" t="s">
        <v>7089</v>
      </c>
      <c r="B481" s="689" t="s">
        <v>750</v>
      </c>
      <c r="C481" s="689" t="s">
        <v>6066</v>
      </c>
      <c r="D481" s="7" t="s">
        <v>6068</v>
      </c>
      <c r="E481" s="519" t="s">
        <v>6069</v>
      </c>
      <c r="F481" s="690" t="s">
        <v>1772</v>
      </c>
      <c r="G481" s="690" t="s">
        <v>658</v>
      </c>
      <c r="H481" s="519" t="s">
        <v>6067</v>
      </c>
      <c r="I481" s="691">
        <v>42000</v>
      </c>
      <c r="J481" s="692">
        <v>300</v>
      </c>
      <c r="K481" s="703"/>
    </row>
    <row r="482" spans="1:11" s="693" customFormat="1" ht="38.25">
      <c r="A482" s="704" t="s">
        <v>7091</v>
      </c>
      <c r="B482" s="689" t="s">
        <v>750</v>
      </c>
      <c r="C482" s="689" t="s">
        <v>1369</v>
      </c>
      <c r="D482" s="7" t="s">
        <v>7605</v>
      </c>
      <c r="E482" s="519" t="s">
        <v>7001</v>
      </c>
      <c r="F482" s="690" t="s">
        <v>833</v>
      </c>
      <c r="G482" s="690" t="s">
        <v>11</v>
      </c>
      <c r="H482" s="519" t="s">
        <v>7604</v>
      </c>
      <c r="I482" s="691">
        <v>84</v>
      </c>
      <c r="J482" s="692">
        <v>965</v>
      </c>
      <c r="K482" s="703"/>
    </row>
    <row r="483" spans="1:11" s="693" customFormat="1" ht="38.25">
      <c r="A483" s="704" t="s">
        <v>7095</v>
      </c>
      <c r="B483" s="689" t="s">
        <v>750</v>
      </c>
      <c r="C483" s="689" t="s">
        <v>1369</v>
      </c>
      <c r="D483" s="7" t="s">
        <v>7605</v>
      </c>
      <c r="E483" s="519" t="s">
        <v>7001</v>
      </c>
      <c r="F483" s="690" t="s">
        <v>833</v>
      </c>
      <c r="G483" s="690" t="s">
        <v>11</v>
      </c>
      <c r="H483" s="519" t="s">
        <v>7604</v>
      </c>
      <c r="I483" s="691">
        <v>84</v>
      </c>
      <c r="J483" s="692">
        <v>15000</v>
      </c>
      <c r="K483" s="703"/>
    </row>
    <row r="484" spans="1:11" s="693" customFormat="1" ht="38.25">
      <c r="A484" s="704" t="s">
        <v>7099</v>
      </c>
      <c r="B484" s="689" t="s">
        <v>1562</v>
      </c>
      <c r="C484" s="689" t="s">
        <v>3042</v>
      </c>
      <c r="D484" s="7" t="s">
        <v>7665</v>
      </c>
      <c r="E484" s="519" t="s">
        <v>6536</v>
      </c>
      <c r="F484" s="690" t="s">
        <v>7663</v>
      </c>
      <c r="G484" s="690" t="s">
        <v>13</v>
      </c>
      <c r="H484" s="519" t="s">
        <v>7664</v>
      </c>
      <c r="I484" s="691">
        <v>1050</v>
      </c>
      <c r="J484" s="692">
        <v>231</v>
      </c>
      <c r="K484" s="703"/>
    </row>
    <row r="485" spans="1:11" s="693" customFormat="1" ht="38.25">
      <c r="A485" s="704" t="s">
        <v>7104</v>
      </c>
      <c r="B485" s="689" t="s">
        <v>1562</v>
      </c>
      <c r="C485" s="689" t="s">
        <v>3042</v>
      </c>
      <c r="D485" s="7" t="s">
        <v>7665</v>
      </c>
      <c r="E485" s="519" t="s">
        <v>6536</v>
      </c>
      <c r="F485" s="690" t="s">
        <v>7663</v>
      </c>
      <c r="G485" s="690" t="s">
        <v>13</v>
      </c>
      <c r="H485" s="519" t="s">
        <v>7664</v>
      </c>
      <c r="I485" s="691">
        <v>1050</v>
      </c>
      <c r="J485" s="692">
        <v>3770</v>
      </c>
      <c r="K485" s="703"/>
    </row>
    <row r="486" spans="1:11" s="693" customFormat="1">
      <c r="A486" s="704" t="s">
        <v>7108</v>
      </c>
      <c r="B486" s="689" t="s">
        <v>836</v>
      </c>
      <c r="C486" s="689" t="s">
        <v>7706</v>
      </c>
      <c r="D486" s="7" t="s">
        <v>7708</v>
      </c>
      <c r="E486" s="519" t="s">
        <v>806</v>
      </c>
      <c r="F486" s="690" t="s">
        <v>838</v>
      </c>
      <c r="G486" s="690" t="s">
        <v>11</v>
      </c>
      <c r="H486" s="519" t="s">
        <v>7707</v>
      </c>
      <c r="I486" s="691">
        <v>1015</v>
      </c>
      <c r="J486" s="692">
        <v>2464</v>
      </c>
      <c r="K486" s="703"/>
    </row>
    <row r="487" spans="1:11" s="693" customFormat="1">
      <c r="A487" s="704" t="s">
        <v>7115</v>
      </c>
      <c r="B487" s="689" t="s">
        <v>836</v>
      </c>
      <c r="C487" s="689" t="s">
        <v>7706</v>
      </c>
      <c r="D487" s="7" t="s">
        <v>7708</v>
      </c>
      <c r="E487" s="519" t="s">
        <v>806</v>
      </c>
      <c r="F487" s="690" t="s">
        <v>838</v>
      </c>
      <c r="G487" s="690" t="s">
        <v>11</v>
      </c>
      <c r="H487" s="519" t="s">
        <v>7707</v>
      </c>
      <c r="I487" s="691">
        <v>1015</v>
      </c>
      <c r="J487" s="692">
        <v>2528</v>
      </c>
      <c r="K487" s="703"/>
    </row>
    <row r="488" spans="1:11" s="693" customFormat="1" ht="25.5">
      <c r="A488" s="704" t="s">
        <v>7121</v>
      </c>
      <c r="B488" s="689" t="s">
        <v>836</v>
      </c>
      <c r="C488" s="689" t="s">
        <v>7690</v>
      </c>
      <c r="D488" s="7" t="s">
        <v>7691</v>
      </c>
      <c r="E488" s="519" t="s">
        <v>6979</v>
      </c>
      <c r="F488" s="690" t="s">
        <v>7689</v>
      </c>
      <c r="G488" s="690" t="s">
        <v>11</v>
      </c>
      <c r="H488" s="519" t="s">
        <v>6767</v>
      </c>
      <c r="I488" s="691">
        <v>1260</v>
      </c>
      <c r="J488" s="692">
        <v>10000</v>
      </c>
      <c r="K488" s="703"/>
    </row>
    <row r="489" spans="1:11" s="693" customFormat="1">
      <c r="A489" s="704" t="s">
        <v>7124</v>
      </c>
      <c r="B489" s="689" t="s">
        <v>568</v>
      </c>
      <c r="C489" s="689" t="s">
        <v>2600</v>
      </c>
      <c r="D489" s="7" t="s">
        <v>7729</v>
      </c>
      <c r="E489" s="519" t="s">
        <v>867</v>
      </c>
      <c r="F489" s="690" t="s">
        <v>570</v>
      </c>
      <c r="G489" s="690" t="s">
        <v>11</v>
      </c>
      <c r="H489" s="519" t="s">
        <v>7728</v>
      </c>
      <c r="I489" s="691">
        <v>252</v>
      </c>
      <c r="J489" s="692">
        <v>262</v>
      </c>
      <c r="K489" s="703"/>
    </row>
    <row r="490" spans="1:11" s="693" customFormat="1">
      <c r="A490" s="704" t="s">
        <v>7130</v>
      </c>
      <c r="B490" s="689" t="s">
        <v>568</v>
      </c>
      <c r="C490" s="689" t="s">
        <v>2600</v>
      </c>
      <c r="D490" s="7" t="s">
        <v>7729</v>
      </c>
      <c r="E490" s="519" t="s">
        <v>867</v>
      </c>
      <c r="F490" s="690" t="s">
        <v>570</v>
      </c>
      <c r="G490" s="690" t="s">
        <v>11</v>
      </c>
      <c r="H490" s="519" t="s">
        <v>7728</v>
      </c>
      <c r="I490" s="691">
        <v>252</v>
      </c>
      <c r="J490" s="692">
        <v>10880</v>
      </c>
      <c r="K490" s="703"/>
    </row>
    <row r="491" spans="1:11" s="693" customFormat="1" ht="25.5">
      <c r="A491" s="704" t="s">
        <v>7133</v>
      </c>
      <c r="B491" s="689" t="s">
        <v>4248</v>
      </c>
      <c r="C491" s="689" t="s">
        <v>4247</v>
      </c>
      <c r="D491" s="7" t="s">
        <v>7624</v>
      </c>
      <c r="E491" s="519" t="s">
        <v>7625</v>
      </c>
      <c r="F491" s="690" t="s">
        <v>4249</v>
      </c>
      <c r="G491" s="690" t="s">
        <v>11</v>
      </c>
      <c r="H491" s="519" t="s">
        <v>7623</v>
      </c>
      <c r="I491" s="691">
        <v>1974</v>
      </c>
      <c r="J491" s="692">
        <v>9040</v>
      </c>
      <c r="K491" s="703"/>
    </row>
    <row r="492" spans="1:11" s="693" customFormat="1" ht="25.5">
      <c r="A492" s="704" t="s">
        <v>7137</v>
      </c>
      <c r="B492" s="689" t="s">
        <v>4248</v>
      </c>
      <c r="C492" s="689" t="s">
        <v>4247</v>
      </c>
      <c r="D492" s="7" t="s">
        <v>7624</v>
      </c>
      <c r="E492" s="519" t="s">
        <v>7625</v>
      </c>
      <c r="F492" s="690" t="s">
        <v>4249</v>
      </c>
      <c r="G492" s="690" t="s">
        <v>11</v>
      </c>
      <c r="H492" s="519" t="s">
        <v>7623</v>
      </c>
      <c r="I492" s="691">
        <v>1974</v>
      </c>
      <c r="J492" s="692">
        <v>17581</v>
      </c>
      <c r="K492" s="703"/>
    </row>
    <row r="493" spans="1:11" s="693" customFormat="1" ht="25.5">
      <c r="A493" s="704" t="s">
        <v>7141</v>
      </c>
      <c r="B493" s="689" t="s">
        <v>11871</v>
      </c>
      <c r="C493" s="689" t="s">
        <v>7619</v>
      </c>
      <c r="D493" s="7" t="s">
        <v>7621</v>
      </c>
      <c r="E493" s="519" t="s">
        <v>7353</v>
      </c>
      <c r="F493" s="690" t="s">
        <v>7618</v>
      </c>
      <c r="G493" s="690" t="s">
        <v>11</v>
      </c>
      <c r="H493" s="519" t="s">
        <v>7620</v>
      </c>
      <c r="I493" s="691">
        <v>2500</v>
      </c>
      <c r="J493" s="692">
        <v>879</v>
      </c>
      <c r="K493" s="703"/>
    </row>
    <row r="494" spans="1:11" s="693" customFormat="1" ht="25.5">
      <c r="A494" s="704" t="s">
        <v>7144</v>
      </c>
      <c r="B494" s="689" t="s">
        <v>11871</v>
      </c>
      <c r="C494" s="689" t="s">
        <v>7619</v>
      </c>
      <c r="D494" s="7" t="s">
        <v>7621</v>
      </c>
      <c r="E494" s="519" t="s">
        <v>7353</v>
      </c>
      <c r="F494" s="690" t="s">
        <v>7618</v>
      </c>
      <c r="G494" s="690" t="s">
        <v>11</v>
      </c>
      <c r="H494" s="519" t="s">
        <v>7620</v>
      </c>
      <c r="I494" s="691">
        <v>2500</v>
      </c>
      <c r="J494" s="692">
        <v>2496</v>
      </c>
      <c r="K494" s="703"/>
    </row>
    <row r="495" spans="1:11" s="693" customFormat="1" ht="25.5">
      <c r="A495" s="704" t="s">
        <v>7149</v>
      </c>
      <c r="B495" s="689" t="s">
        <v>4131</v>
      </c>
      <c r="C495" s="689" t="s">
        <v>4130</v>
      </c>
      <c r="D495" s="7" t="s">
        <v>6675</v>
      </c>
      <c r="E495" s="519" t="s">
        <v>6676</v>
      </c>
      <c r="F495" s="690" t="s">
        <v>753</v>
      </c>
      <c r="G495" s="690" t="s">
        <v>11</v>
      </c>
      <c r="H495" s="519" t="s">
        <v>6674</v>
      </c>
      <c r="I495" s="691">
        <v>4200</v>
      </c>
      <c r="J495" s="692">
        <v>382</v>
      </c>
      <c r="K495" s="703"/>
    </row>
    <row r="496" spans="1:11" s="693" customFormat="1" ht="25.5">
      <c r="A496" s="704" t="s">
        <v>7153</v>
      </c>
      <c r="B496" s="689" t="s">
        <v>4131</v>
      </c>
      <c r="C496" s="689" t="s">
        <v>4130</v>
      </c>
      <c r="D496" s="7" t="s">
        <v>6675</v>
      </c>
      <c r="E496" s="519" t="s">
        <v>6676</v>
      </c>
      <c r="F496" s="690" t="s">
        <v>753</v>
      </c>
      <c r="G496" s="690" t="s">
        <v>11</v>
      </c>
      <c r="H496" s="519" t="s">
        <v>6674</v>
      </c>
      <c r="I496" s="691">
        <v>4200</v>
      </c>
      <c r="J496" s="692">
        <v>3249</v>
      </c>
      <c r="K496" s="703"/>
    </row>
    <row r="497" spans="1:11" s="693" customFormat="1">
      <c r="A497" s="704" t="s">
        <v>7156</v>
      </c>
      <c r="B497" s="689" t="s">
        <v>788</v>
      </c>
      <c r="C497" s="689" t="s">
        <v>4252</v>
      </c>
      <c r="D497" s="7" t="s">
        <v>6144</v>
      </c>
      <c r="E497" s="519" t="s">
        <v>954</v>
      </c>
      <c r="F497" s="690" t="s">
        <v>390</v>
      </c>
      <c r="G497" s="690" t="s">
        <v>11</v>
      </c>
      <c r="H497" s="519" t="s">
        <v>6143</v>
      </c>
      <c r="I497" s="691">
        <v>1515</v>
      </c>
      <c r="J497" s="692">
        <v>6539</v>
      </c>
      <c r="K497" s="703"/>
    </row>
    <row r="498" spans="1:11" s="693" customFormat="1">
      <c r="A498" s="704" t="s">
        <v>7162</v>
      </c>
      <c r="B498" s="689" t="s">
        <v>3898</v>
      </c>
      <c r="C498" s="689" t="s">
        <v>3897</v>
      </c>
      <c r="D498" s="7" t="s">
        <v>1009</v>
      </c>
      <c r="E498" s="519" t="s">
        <v>1010</v>
      </c>
      <c r="F498" s="690" t="s">
        <v>3899</v>
      </c>
      <c r="G498" s="690" t="s">
        <v>11</v>
      </c>
      <c r="H498" s="519" t="s">
        <v>6146</v>
      </c>
      <c r="I498" s="691">
        <v>6589</v>
      </c>
      <c r="J498" s="692">
        <v>13</v>
      </c>
      <c r="K498" s="703"/>
    </row>
    <row r="499" spans="1:11" s="693" customFormat="1">
      <c r="A499" s="704" t="s">
        <v>7164</v>
      </c>
      <c r="B499" s="689" t="s">
        <v>3898</v>
      </c>
      <c r="C499" s="689" t="s">
        <v>3897</v>
      </c>
      <c r="D499" s="7" t="s">
        <v>1009</v>
      </c>
      <c r="E499" s="519" t="s">
        <v>1010</v>
      </c>
      <c r="F499" s="690" t="s">
        <v>3899</v>
      </c>
      <c r="G499" s="690" t="s">
        <v>11</v>
      </c>
      <c r="H499" s="519" t="s">
        <v>6146</v>
      </c>
      <c r="I499" s="691">
        <v>6589</v>
      </c>
      <c r="J499" s="692">
        <v>59</v>
      </c>
      <c r="K499" s="703"/>
    </row>
    <row r="500" spans="1:11" s="693" customFormat="1" ht="25.5">
      <c r="A500" s="704" t="s">
        <v>7170</v>
      </c>
      <c r="B500" s="689" t="s">
        <v>1245</v>
      </c>
      <c r="C500" s="689" t="s">
        <v>3904</v>
      </c>
      <c r="D500" s="7" t="s">
        <v>2850</v>
      </c>
      <c r="E500" s="519" t="s">
        <v>312</v>
      </c>
      <c r="F500" s="690" t="s">
        <v>3905</v>
      </c>
      <c r="G500" s="690" t="s">
        <v>11</v>
      </c>
      <c r="H500" s="519" t="s">
        <v>6149</v>
      </c>
      <c r="I500" s="691">
        <v>6500</v>
      </c>
      <c r="J500" s="692">
        <v>774</v>
      </c>
      <c r="K500" s="703"/>
    </row>
    <row r="501" spans="1:11" s="693" customFormat="1" ht="25.5">
      <c r="A501" s="704" t="s">
        <v>7175</v>
      </c>
      <c r="B501" s="689" t="s">
        <v>1245</v>
      </c>
      <c r="C501" s="689" t="s">
        <v>3904</v>
      </c>
      <c r="D501" s="7" t="s">
        <v>2850</v>
      </c>
      <c r="E501" s="519" t="s">
        <v>312</v>
      </c>
      <c r="F501" s="690" t="s">
        <v>3905</v>
      </c>
      <c r="G501" s="690" t="s">
        <v>11</v>
      </c>
      <c r="H501" s="519" t="s">
        <v>6149</v>
      </c>
      <c r="I501" s="691">
        <v>6500</v>
      </c>
      <c r="J501" s="692">
        <v>2250</v>
      </c>
      <c r="K501" s="703"/>
    </row>
    <row r="502" spans="1:11" s="693" customFormat="1" ht="25.5">
      <c r="A502" s="704" t="s">
        <v>7178</v>
      </c>
      <c r="B502" s="689" t="s">
        <v>1245</v>
      </c>
      <c r="C502" s="689" t="s">
        <v>1992</v>
      </c>
      <c r="D502" s="7" t="s">
        <v>1993</v>
      </c>
      <c r="E502" s="519" t="s">
        <v>1946</v>
      </c>
      <c r="F502" s="690" t="s">
        <v>1246</v>
      </c>
      <c r="G502" s="690" t="s">
        <v>11</v>
      </c>
      <c r="H502" s="519" t="s">
        <v>7745</v>
      </c>
      <c r="I502" s="691">
        <v>2184</v>
      </c>
      <c r="J502" s="692">
        <v>5179</v>
      </c>
      <c r="K502" s="703"/>
    </row>
    <row r="503" spans="1:11" s="693" customFormat="1" ht="25.5">
      <c r="A503" s="704" t="s">
        <v>7181</v>
      </c>
      <c r="B503" s="689" t="s">
        <v>1245</v>
      </c>
      <c r="C503" s="689" t="s">
        <v>1992</v>
      </c>
      <c r="D503" s="7" t="s">
        <v>1993</v>
      </c>
      <c r="E503" s="519" t="s">
        <v>1946</v>
      </c>
      <c r="F503" s="690" t="s">
        <v>1246</v>
      </c>
      <c r="G503" s="690" t="s">
        <v>11</v>
      </c>
      <c r="H503" s="519" t="s">
        <v>7745</v>
      </c>
      <c r="I503" s="691">
        <v>2184</v>
      </c>
      <c r="J503" s="692">
        <v>9000</v>
      </c>
      <c r="K503" s="703"/>
    </row>
    <row r="504" spans="1:11" s="693" customFormat="1" ht="25.5">
      <c r="A504" s="704" t="s">
        <v>7184</v>
      </c>
      <c r="B504" s="689" t="s">
        <v>855</v>
      </c>
      <c r="C504" s="689" t="s">
        <v>4273</v>
      </c>
      <c r="D504" s="7" t="s">
        <v>6768</v>
      </c>
      <c r="E504" s="519" t="s">
        <v>6102</v>
      </c>
      <c r="F504" s="690" t="s">
        <v>334</v>
      </c>
      <c r="G504" s="690" t="s">
        <v>11</v>
      </c>
      <c r="H504" s="519" t="s">
        <v>6767</v>
      </c>
      <c r="I504" s="691">
        <v>900</v>
      </c>
      <c r="J504" s="692">
        <v>937</v>
      </c>
      <c r="K504" s="703"/>
    </row>
    <row r="505" spans="1:11" s="693" customFormat="1" ht="38.25">
      <c r="A505" s="704" t="s">
        <v>7186</v>
      </c>
      <c r="B505" s="689" t="s">
        <v>855</v>
      </c>
      <c r="C505" s="689" t="s">
        <v>1374</v>
      </c>
      <c r="D505" s="7" t="s">
        <v>7800</v>
      </c>
      <c r="E505" s="519" t="s">
        <v>7001</v>
      </c>
      <c r="F505" s="690" t="s">
        <v>641</v>
      </c>
      <c r="G505" s="690" t="s">
        <v>11</v>
      </c>
      <c r="H505" s="519" t="s">
        <v>6767</v>
      </c>
      <c r="I505" s="691">
        <v>309</v>
      </c>
      <c r="J505" s="692">
        <v>1288</v>
      </c>
      <c r="K505" s="703"/>
    </row>
    <row r="506" spans="1:11" s="693" customFormat="1" ht="38.25">
      <c r="A506" s="704" t="s">
        <v>7193</v>
      </c>
      <c r="B506" s="689" t="s">
        <v>855</v>
      </c>
      <c r="C506" s="689" t="s">
        <v>1374</v>
      </c>
      <c r="D506" s="7" t="s">
        <v>7800</v>
      </c>
      <c r="E506" s="519" t="s">
        <v>7001</v>
      </c>
      <c r="F506" s="690" t="s">
        <v>641</v>
      </c>
      <c r="G506" s="690" t="s">
        <v>11</v>
      </c>
      <c r="H506" s="519" t="s">
        <v>6767</v>
      </c>
      <c r="I506" s="691">
        <v>309</v>
      </c>
      <c r="J506" s="692">
        <v>2267</v>
      </c>
      <c r="K506" s="703"/>
    </row>
    <row r="507" spans="1:11" s="693" customFormat="1" ht="25.5">
      <c r="A507" s="704" t="s">
        <v>7195</v>
      </c>
      <c r="B507" s="689" t="s">
        <v>855</v>
      </c>
      <c r="C507" s="689" t="s">
        <v>6183</v>
      </c>
      <c r="D507" s="7" t="s">
        <v>6185</v>
      </c>
      <c r="E507" s="519" t="s">
        <v>505</v>
      </c>
      <c r="F507" s="690" t="s">
        <v>641</v>
      </c>
      <c r="G507" s="690" t="s">
        <v>11</v>
      </c>
      <c r="H507" s="519" t="s">
        <v>6184</v>
      </c>
      <c r="I507" s="691">
        <v>1315</v>
      </c>
      <c r="J507" s="692">
        <v>4800</v>
      </c>
      <c r="K507" s="703"/>
    </row>
    <row r="508" spans="1:11" s="693" customFormat="1" ht="25.5">
      <c r="A508" s="704" t="s">
        <v>7198</v>
      </c>
      <c r="B508" s="689" t="s">
        <v>855</v>
      </c>
      <c r="C508" s="689" t="s">
        <v>4273</v>
      </c>
      <c r="D508" s="7" t="s">
        <v>6768</v>
      </c>
      <c r="E508" s="519" t="s">
        <v>6102</v>
      </c>
      <c r="F508" s="690" t="s">
        <v>334</v>
      </c>
      <c r="G508" s="690" t="s">
        <v>11</v>
      </c>
      <c r="H508" s="519" t="s">
        <v>6767</v>
      </c>
      <c r="I508" s="691">
        <v>900</v>
      </c>
      <c r="J508" s="692">
        <v>17444</v>
      </c>
      <c r="K508" s="703"/>
    </row>
    <row r="509" spans="1:11" s="693" customFormat="1" ht="25.5">
      <c r="A509" s="704" t="s">
        <v>7202</v>
      </c>
      <c r="B509" s="689" t="s">
        <v>400</v>
      </c>
      <c r="C509" s="689" t="s">
        <v>400</v>
      </c>
      <c r="D509" s="7" t="s">
        <v>401</v>
      </c>
      <c r="E509" s="519" t="s">
        <v>360</v>
      </c>
      <c r="F509" s="690" t="s">
        <v>235</v>
      </c>
      <c r="G509" s="690" t="s">
        <v>10</v>
      </c>
      <c r="H509" s="519" t="s">
        <v>5362</v>
      </c>
      <c r="I509" s="691">
        <v>146</v>
      </c>
      <c r="J509" s="692">
        <v>8000</v>
      </c>
      <c r="K509" s="703"/>
    </row>
    <row r="510" spans="1:11" s="693" customFormat="1">
      <c r="A510" s="704" t="s">
        <v>7206</v>
      </c>
      <c r="B510" s="689" t="s">
        <v>870</v>
      </c>
      <c r="C510" s="689" t="s">
        <v>2544</v>
      </c>
      <c r="D510" s="7" t="s">
        <v>3315</v>
      </c>
      <c r="E510" s="519" t="s">
        <v>863</v>
      </c>
      <c r="F510" s="690" t="s">
        <v>2545</v>
      </c>
      <c r="G510" s="690" t="s">
        <v>14</v>
      </c>
      <c r="H510" s="519" t="s">
        <v>3316</v>
      </c>
      <c r="I510" s="691">
        <v>42300</v>
      </c>
      <c r="J510" s="692">
        <v>5</v>
      </c>
      <c r="K510" s="703"/>
    </row>
    <row r="511" spans="1:11" s="693" customFormat="1" ht="38.25">
      <c r="A511" s="704" t="s">
        <v>7212</v>
      </c>
      <c r="B511" s="689" t="s">
        <v>4110</v>
      </c>
      <c r="C511" s="689" t="s">
        <v>403</v>
      </c>
      <c r="D511" s="7" t="s">
        <v>8082</v>
      </c>
      <c r="E511" s="519" t="s">
        <v>7001</v>
      </c>
      <c r="F511" s="690" t="s">
        <v>327</v>
      </c>
      <c r="G511" s="690" t="s">
        <v>11</v>
      </c>
      <c r="H511" s="519" t="s">
        <v>7769</v>
      </c>
      <c r="I511" s="691">
        <v>102</v>
      </c>
      <c r="J511" s="692">
        <v>411</v>
      </c>
      <c r="K511" s="703"/>
    </row>
    <row r="512" spans="1:11" s="693" customFormat="1" ht="38.25">
      <c r="A512" s="704" t="s">
        <v>7218</v>
      </c>
      <c r="B512" s="689" t="s">
        <v>4110</v>
      </c>
      <c r="C512" s="689" t="s">
        <v>403</v>
      </c>
      <c r="D512" s="7" t="s">
        <v>8082</v>
      </c>
      <c r="E512" s="519" t="s">
        <v>7001</v>
      </c>
      <c r="F512" s="690" t="s">
        <v>327</v>
      </c>
      <c r="G512" s="690" t="s">
        <v>11</v>
      </c>
      <c r="H512" s="519" t="s">
        <v>7769</v>
      </c>
      <c r="I512" s="691">
        <v>102</v>
      </c>
      <c r="J512" s="692">
        <v>1500</v>
      </c>
      <c r="K512" s="703"/>
    </row>
    <row r="513" spans="1:11" s="693" customFormat="1">
      <c r="A513" s="704" t="s">
        <v>7225</v>
      </c>
      <c r="B513" s="689" t="s">
        <v>4110</v>
      </c>
      <c r="C513" s="689" t="s">
        <v>403</v>
      </c>
      <c r="D513" s="7" t="s">
        <v>404</v>
      </c>
      <c r="E513" s="519" t="s">
        <v>360</v>
      </c>
      <c r="F513" s="690" t="s">
        <v>327</v>
      </c>
      <c r="G513" s="690" t="s">
        <v>10</v>
      </c>
      <c r="H513" s="519" t="s">
        <v>5517</v>
      </c>
      <c r="I513" s="691">
        <v>95</v>
      </c>
      <c r="J513" s="692">
        <v>8422</v>
      </c>
      <c r="K513" s="703"/>
    </row>
    <row r="514" spans="1:11" s="693" customFormat="1">
      <c r="A514" s="704" t="s">
        <v>7232</v>
      </c>
      <c r="B514" s="689" t="s">
        <v>4110</v>
      </c>
      <c r="C514" s="689" t="s">
        <v>403</v>
      </c>
      <c r="D514" s="7" t="s">
        <v>404</v>
      </c>
      <c r="E514" s="519" t="s">
        <v>360</v>
      </c>
      <c r="F514" s="690" t="s">
        <v>327</v>
      </c>
      <c r="G514" s="690" t="s">
        <v>10</v>
      </c>
      <c r="H514" s="519" t="s">
        <v>5517</v>
      </c>
      <c r="I514" s="691">
        <v>95</v>
      </c>
      <c r="J514" s="692">
        <v>50000</v>
      </c>
      <c r="K514" s="703"/>
    </row>
    <row r="515" spans="1:11" s="693" customFormat="1" ht="38.25">
      <c r="A515" s="704" t="s">
        <v>7234</v>
      </c>
      <c r="B515" s="689" t="s">
        <v>4403</v>
      </c>
      <c r="C515" s="689" t="s">
        <v>6366</v>
      </c>
      <c r="D515" s="7" t="s">
        <v>6368</v>
      </c>
      <c r="E515" s="519" t="s">
        <v>6363</v>
      </c>
      <c r="F515" s="690" t="s">
        <v>299</v>
      </c>
      <c r="G515" s="690" t="s">
        <v>11</v>
      </c>
      <c r="H515" s="519" t="s">
        <v>6367</v>
      </c>
      <c r="I515" s="691">
        <v>13000</v>
      </c>
      <c r="J515" s="692">
        <v>269</v>
      </c>
      <c r="K515" s="703"/>
    </row>
    <row r="516" spans="1:11" s="693" customFormat="1" ht="25.5">
      <c r="A516" s="704" t="s">
        <v>7240</v>
      </c>
      <c r="B516" s="689" t="s">
        <v>792</v>
      </c>
      <c r="C516" s="689" t="s">
        <v>793</v>
      </c>
      <c r="D516" s="7" t="s">
        <v>795</v>
      </c>
      <c r="E516" s="519" t="s">
        <v>505</v>
      </c>
      <c r="F516" s="690" t="s">
        <v>794</v>
      </c>
      <c r="G516" s="690" t="s">
        <v>520</v>
      </c>
      <c r="H516" s="519" t="s">
        <v>6481</v>
      </c>
      <c r="I516" s="691">
        <v>13520</v>
      </c>
      <c r="J516" s="692">
        <v>123</v>
      </c>
      <c r="K516" s="703"/>
    </row>
    <row r="517" spans="1:11" s="693" customFormat="1" ht="25.5">
      <c r="A517" s="704" t="s">
        <v>7245</v>
      </c>
      <c r="B517" s="689" t="s">
        <v>8663</v>
      </c>
      <c r="C517" s="689" t="s">
        <v>8665</v>
      </c>
      <c r="D517" s="7" t="s">
        <v>8666</v>
      </c>
      <c r="E517" s="519" t="s">
        <v>2397</v>
      </c>
      <c r="F517" s="690" t="s">
        <v>12421</v>
      </c>
      <c r="G517" s="690" t="s">
        <v>11</v>
      </c>
      <c r="H517" s="519" t="s">
        <v>8660</v>
      </c>
      <c r="I517" s="691">
        <v>1260</v>
      </c>
      <c r="J517" s="692">
        <v>8002</v>
      </c>
      <c r="K517" s="703"/>
    </row>
    <row r="518" spans="1:11" s="693" customFormat="1" ht="25.5">
      <c r="A518" s="704" t="s">
        <v>7249</v>
      </c>
      <c r="B518" s="689" t="s">
        <v>4285</v>
      </c>
      <c r="C518" s="689" t="s">
        <v>4284</v>
      </c>
      <c r="D518" s="7" t="s">
        <v>6154</v>
      </c>
      <c r="E518" s="519" t="s">
        <v>6155</v>
      </c>
      <c r="F518" s="690" t="s">
        <v>327</v>
      </c>
      <c r="G518" s="690" t="s">
        <v>11</v>
      </c>
      <c r="H518" s="519" t="s">
        <v>6153</v>
      </c>
      <c r="I518" s="691">
        <v>5481</v>
      </c>
      <c r="J518" s="692">
        <v>2992</v>
      </c>
      <c r="K518" s="703"/>
    </row>
    <row r="519" spans="1:11" s="693" customFormat="1" ht="25.5">
      <c r="A519" s="704" t="s">
        <v>7251</v>
      </c>
      <c r="B519" s="689" t="s">
        <v>758</v>
      </c>
      <c r="C519" s="689" t="s">
        <v>2569</v>
      </c>
      <c r="D519" s="7" t="s">
        <v>3332</v>
      </c>
      <c r="E519" s="519" t="s">
        <v>6510</v>
      </c>
      <c r="F519" s="690" t="s">
        <v>759</v>
      </c>
      <c r="G519" s="690" t="s">
        <v>15</v>
      </c>
      <c r="H519" s="519" t="s">
        <v>6508</v>
      </c>
      <c r="I519" s="691">
        <v>8925</v>
      </c>
      <c r="J519" s="692">
        <v>1</v>
      </c>
      <c r="K519" s="703"/>
    </row>
    <row r="520" spans="1:11" s="693" customFormat="1" ht="25.5">
      <c r="A520" s="704" t="s">
        <v>7254</v>
      </c>
      <c r="B520" s="689" t="s">
        <v>758</v>
      </c>
      <c r="C520" s="689" t="s">
        <v>2569</v>
      </c>
      <c r="D520" s="7" t="s">
        <v>3332</v>
      </c>
      <c r="E520" s="519" t="s">
        <v>6510</v>
      </c>
      <c r="F520" s="690" t="s">
        <v>759</v>
      </c>
      <c r="G520" s="690" t="s">
        <v>15</v>
      </c>
      <c r="H520" s="519" t="s">
        <v>6508</v>
      </c>
      <c r="I520" s="691">
        <v>8925</v>
      </c>
      <c r="J520" s="692">
        <v>2</v>
      </c>
      <c r="K520" s="703"/>
    </row>
    <row r="521" spans="1:11" s="693" customFormat="1" ht="25.5">
      <c r="A521" s="704" t="s">
        <v>7257</v>
      </c>
      <c r="B521" s="689" t="s">
        <v>758</v>
      </c>
      <c r="C521" s="689" t="s">
        <v>2569</v>
      </c>
      <c r="D521" s="7" t="s">
        <v>3332</v>
      </c>
      <c r="E521" s="519" t="s">
        <v>6510</v>
      </c>
      <c r="F521" s="690" t="s">
        <v>759</v>
      </c>
      <c r="G521" s="690" t="s">
        <v>15</v>
      </c>
      <c r="H521" s="519" t="s">
        <v>6508</v>
      </c>
      <c r="I521" s="691">
        <v>8925</v>
      </c>
      <c r="J521" s="692">
        <v>415</v>
      </c>
      <c r="K521" s="703"/>
    </row>
    <row r="522" spans="1:11" s="693" customFormat="1" ht="25.5">
      <c r="A522" s="704" t="s">
        <v>7261</v>
      </c>
      <c r="B522" s="689" t="s">
        <v>758</v>
      </c>
      <c r="C522" s="689" t="s">
        <v>2569</v>
      </c>
      <c r="D522" s="7" t="s">
        <v>3332</v>
      </c>
      <c r="E522" s="519" t="s">
        <v>6510</v>
      </c>
      <c r="F522" s="690" t="s">
        <v>759</v>
      </c>
      <c r="G522" s="690" t="s">
        <v>15</v>
      </c>
      <c r="H522" s="519" t="s">
        <v>6508</v>
      </c>
      <c r="I522" s="691">
        <v>8925</v>
      </c>
      <c r="J522" s="692">
        <v>500</v>
      </c>
      <c r="K522" s="703"/>
    </row>
    <row r="523" spans="1:11" s="693" customFormat="1" ht="38.25">
      <c r="A523" s="704" t="s">
        <v>7264</v>
      </c>
      <c r="B523" s="689" t="s">
        <v>1302</v>
      </c>
      <c r="C523" s="689" t="s">
        <v>1994</v>
      </c>
      <c r="D523" s="7" t="s">
        <v>5729</v>
      </c>
      <c r="E523" s="519" t="s">
        <v>5722</v>
      </c>
      <c r="F523" s="690" t="s">
        <v>238</v>
      </c>
      <c r="G523" s="690" t="s">
        <v>10</v>
      </c>
      <c r="H523" s="519" t="s">
        <v>5608</v>
      </c>
      <c r="I523" s="691">
        <v>924</v>
      </c>
      <c r="J523" s="692">
        <v>396</v>
      </c>
      <c r="K523" s="703"/>
    </row>
    <row r="524" spans="1:11" s="693" customFormat="1" ht="25.5">
      <c r="A524" s="704" t="s">
        <v>7266</v>
      </c>
      <c r="B524" s="689" t="s">
        <v>1302</v>
      </c>
      <c r="C524" s="689" t="s">
        <v>5739</v>
      </c>
      <c r="D524" s="7" t="s">
        <v>5740</v>
      </c>
      <c r="E524" s="519" t="s">
        <v>5741</v>
      </c>
      <c r="F524" s="690" t="s">
        <v>235</v>
      </c>
      <c r="G524" s="690" t="s">
        <v>10</v>
      </c>
      <c r="H524" s="519" t="s">
        <v>5608</v>
      </c>
      <c r="I524" s="691">
        <v>1718</v>
      </c>
      <c r="J524" s="692">
        <v>9990</v>
      </c>
      <c r="K524" s="703"/>
    </row>
    <row r="525" spans="1:11" s="693" customFormat="1" ht="38.25">
      <c r="A525" s="704" t="s">
        <v>3813</v>
      </c>
      <c r="B525" s="689" t="s">
        <v>1302</v>
      </c>
      <c r="C525" s="689" t="s">
        <v>5725</v>
      </c>
      <c r="D525" s="7" t="s">
        <v>5727</v>
      </c>
      <c r="E525" s="519" t="s">
        <v>5604</v>
      </c>
      <c r="F525" s="690" t="s">
        <v>238</v>
      </c>
      <c r="G525" s="690" t="s">
        <v>10</v>
      </c>
      <c r="H525" s="519" t="s">
        <v>5726</v>
      </c>
      <c r="I525" s="691">
        <v>598</v>
      </c>
      <c r="J525" s="692">
        <v>10000</v>
      </c>
      <c r="K525" s="703"/>
    </row>
    <row r="526" spans="1:11" s="693" customFormat="1" ht="38.25">
      <c r="A526" s="704" t="s">
        <v>7275</v>
      </c>
      <c r="B526" s="689" t="s">
        <v>1302</v>
      </c>
      <c r="C526" s="689" t="s">
        <v>5725</v>
      </c>
      <c r="D526" s="7" t="s">
        <v>5727</v>
      </c>
      <c r="E526" s="519" t="s">
        <v>5604</v>
      </c>
      <c r="F526" s="690" t="s">
        <v>238</v>
      </c>
      <c r="G526" s="690" t="s">
        <v>10</v>
      </c>
      <c r="H526" s="519" t="s">
        <v>5726</v>
      </c>
      <c r="I526" s="691">
        <v>598</v>
      </c>
      <c r="J526" s="692">
        <v>11095</v>
      </c>
      <c r="K526" s="703"/>
    </row>
    <row r="527" spans="1:11" s="693" customFormat="1" ht="38.25">
      <c r="A527" s="704" t="s">
        <v>7280</v>
      </c>
      <c r="B527" s="689" t="s">
        <v>1302</v>
      </c>
      <c r="C527" s="689" t="s">
        <v>4440</v>
      </c>
      <c r="D527" s="7" t="s">
        <v>5736</v>
      </c>
      <c r="E527" s="519" t="s">
        <v>5604</v>
      </c>
      <c r="F527" s="690" t="s">
        <v>235</v>
      </c>
      <c r="G527" s="690" t="s">
        <v>10</v>
      </c>
      <c r="H527" s="519" t="s">
        <v>5726</v>
      </c>
      <c r="I527" s="691">
        <v>1148</v>
      </c>
      <c r="J527" s="692">
        <v>15496</v>
      </c>
      <c r="K527" s="703"/>
    </row>
    <row r="528" spans="1:11" s="693" customFormat="1" ht="25.5">
      <c r="A528" s="704" t="s">
        <v>7285</v>
      </c>
      <c r="B528" s="689" t="s">
        <v>1380</v>
      </c>
      <c r="C528" s="689" t="s">
        <v>1381</v>
      </c>
      <c r="D528" s="7" t="s">
        <v>1382</v>
      </c>
      <c r="E528" s="519" t="s">
        <v>7001</v>
      </c>
      <c r="F528" s="690" t="s">
        <v>310</v>
      </c>
      <c r="G528" s="690" t="s">
        <v>11</v>
      </c>
      <c r="H528" s="519" t="s">
        <v>6709</v>
      </c>
      <c r="I528" s="691">
        <v>312</v>
      </c>
      <c r="J528" s="692">
        <v>301</v>
      </c>
      <c r="K528" s="703"/>
    </row>
    <row r="529" spans="1:11" s="693" customFormat="1" ht="38.25">
      <c r="A529" s="704" t="s">
        <v>7289</v>
      </c>
      <c r="B529" s="689" t="s">
        <v>1380</v>
      </c>
      <c r="C529" s="689" t="s">
        <v>1383</v>
      </c>
      <c r="D529" s="7" t="s">
        <v>8239</v>
      </c>
      <c r="E529" s="519" t="s">
        <v>7001</v>
      </c>
      <c r="F529" s="690" t="s">
        <v>869</v>
      </c>
      <c r="G529" s="690" t="s">
        <v>11</v>
      </c>
      <c r="H529" s="519" t="s">
        <v>6709</v>
      </c>
      <c r="I529" s="691">
        <v>599</v>
      </c>
      <c r="J529" s="692">
        <v>474</v>
      </c>
      <c r="K529" s="703"/>
    </row>
    <row r="530" spans="1:11" s="693" customFormat="1" ht="25.5">
      <c r="A530" s="704" t="s">
        <v>7294</v>
      </c>
      <c r="B530" s="689" t="s">
        <v>1380</v>
      </c>
      <c r="C530" s="689" t="s">
        <v>1381</v>
      </c>
      <c r="D530" s="7" t="s">
        <v>1382</v>
      </c>
      <c r="E530" s="519" t="s">
        <v>7001</v>
      </c>
      <c r="F530" s="690" t="s">
        <v>310</v>
      </c>
      <c r="G530" s="690" t="s">
        <v>11</v>
      </c>
      <c r="H530" s="519" t="s">
        <v>6709</v>
      </c>
      <c r="I530" s="691">
        <v>312</v>
      </c>
      <c r="J530" s="692">
        <v>500</v>
      </c>
      <c r="K530" s="703"/>
    </row>
    <row r="531" spans="1:11" s="693" customFormat="1" ht="25.5">
      <c r="A531" s="704" t="s">
        <v>7298</v>
      </c>
      <c r="B531" s="689" t="s">
        <v>1380</v>
      </c>
      <c r="C531" s="689" t="s">
        <v>1381</v>
      </c>
      <c r="D531" s="7" t="s">
        <v>1382</v>
      </c>
      <c r="E531" s="519" t="s">
        <v>7001</v>
      </c>
      <c r="F531" s="690" t="s">
        <v>310</v>
      </c>
      <c r="G531" s="690" t="s">
        <v>11</v>
      </c>
      <c r="H531" s="519" t="s">
        <v>6709</v>
      </c>
      <c r="I531" s="691">
        <v>312</v>
      </c>
      <c r="J531" s="692">
        <v>1000</v>
      </c>
      <c r="K531" s="703"/>
    </row>
    <row r="532" spans="1:11" s="693" customFormat="1" ht="38.25">
      <c r="A532" s="704" t="s">
        <v>7304</v>
      </c>
      <c r="B532" s="689" t="s">
        <v>1380</v>
      </c>
      <c r="C532" s="689" t="s">
        <v>1383</v>
      </c>
      <c r="D532" s="7" t="s">
        <v>8239</v>
      </c>
      <c r="E532" s="519" t="s">
        <v>7001</v>
      </c>
      <c r="F532" s="690" t="s">
        <v>869</v>
      </c>
      <c r="G532" s="690" t="s">
        <v>11</v>
      </c>
      <c r="H532" s="519" t="s">
        <v>6709</v>
      </c>
      <c r="I532" s="691">
        <v>599</v>
      </c>
      <c r="J532" s="692">
        <v>3690</v>
      </c>
      <c r="K532" s="703"/>
    </row>
    <row r="533" spans="1:11" s="693" customFormat="1" ht="38.25">
      <c r="A533" s="704" t="s">
        <v>7311</v>
      </c>
      <c r="B533" s="689" t="s">
        <v>1526</v>
      </c>
      <c r="C533" s="689" t="s">
        <v>4426</v>
      </c>
      <c r="D533" s="7" t="s">
        <v>923</v>
      </c>
      <c r="E533" s="519" t="s">
        <v>5758</v>
      </c>
      <c r="F533" s="690" t="s">
        <v>4427</v>
      </c>
      <c r="G533" s="690" t="s">
        <v>658</v>
      </c>
      <c r="H533" s="519" t="s">
        <v>5757</v>
      </c>
      <c r="I533" s="691">
        <v>76379</v>
      </c>
      <c r="J533" s="692">
        <v>13</v>
      </c>
      <c r="K533" s="703"/>
    </row>
    <row r="534" spans="1:11" s="693" customFormat="1" ht="25.5">
      <c r="A534" s="704" t="s">
        <v>7316</v>
      </c>
      <c r="B534" s="689" t="s">
        <v>1526</v>
      </c>
      <c r="C534" s="689" t="s">
        <v>5626</v>
      </c>
      <c r="D534" s="7" t="s">
        <v>5627</v>
      </c>
      <c r="E534" s="519" t="s">
        <v>929</v>
      </c>
      <c r="F534" s="690" t="s">
        <v>5625</v>
      </c>
      <c r="G534" s="690" t="s">
        <v>520</v>
      </c>
      <c r="H534" s="519" t="s">
        <v>5619</v>
      </c>
      <c r="I534" s="691">
        <v>8513</v>
      </c>
      <c r="J534" s="692">
        <v>32</v>
      </c>
      <c r="K534" s="703"/>
    </row>
    <row r="535" spans="1:11" s="693" customFormat="1" ht="38.25">
      <c r="A535" s="704" t="s">
        <v>7321</v>
      </c>
      <c r="B535" s="689" t="s">
        <v>1526</v>
      </c>
      <c r="C535" s="689" t="s">
        <v>4426</v>
      </c>
      <c r="D535" s="7" t="s">
        <v>923</v>
      </c>
      <c r="E535" s="519" t="s">
        <v>5758</v>
      </c>
      <c r="F535" s="690" t="s">
        <v>4427</v>
      </c>
      <c r="G535" s="690" t="s">
        <v>658</v>
      </c>
      <c r="H535" s="519" t="s">
        <v>5757</v>
      </c>
      <c r="I535" s="691">
        <v>76379</v>
      </c>
      <c r="J535" s="692">
        <v>93</v>
      </c>
      <c r="K535" s="703"/>
    </row>
    <row r="536" spans="1:11" s="693" customFormat="1" ht="25.5">
      <c r="A536" s="704" t="s">
        <v>7323</v>
      </c>
      <c r="B536" s="689" t="s">
        <v>1526</v>
      </c>
      <c r="C536" s="689" t="s">
        <v>5626</v>
      </c>
      <c r="D536" s="7" t="s">
        <v>5627</v>
      </c>
      <c r="E536" s="519" t="s">
        <v>929</v>
      </c>
      <c r="F536" s="690" t="s">
        <v>5625</v>
      </c>
      <c r="G536" s="690" t="s">
        <v>520</v>
      </c>
      <c r="H536" s="519" t="s">
        <v>5619</v>
      </c>
      <c r="I536" s="691">
        <v>8513</v>
      </c>
      <c r="J536" s="692">
        <v>120</v>
      </c>
      <c r="K536" s="703"/>
    </row>
    <row r="537" spans="1:11" s="693" customFormat="1" ht="25.5">
      <c r="A537" s="704" t="s">
        <v>7328</v>
      </c>
      <c r="B537" s="689" t="s">
        <v>1526</v>
      </c>
      <c r="C537" s="689" t="s">
        <v>5618</v>
      </c>
      <c r="D537" s="7" t="s">
        <v>5620</v>
      </c>
      <c r="E537" s="519" t="s">
        <v>5621</v>
      </c>
      <c r="F537" s="690" t="s">
        <v>5617</v>
      </c>
      <c r="G537" s="690" t="s">
        <v>520</v>
      </c>
      <c r="H537" s="519" t="s">
        <v>5619</v>
      </c>
      <c r="I537" s="691">
        <v>4575</v>
      </c>
      <c r="J537" s="692">
        <v>300</v>
      </c>
      <c r="K537" s="703"/>
    </row>
    <row r="538" spans="1:11" s="693" customFormat="1" ht="25.5">
      <c r="A538" s="704" t="s">
        <v>7333</v>
      </c>
      <c r="B538" s="689" t="s">
        <v>1526</v>
      </c>
      <c r="C538" s="689" t="s">
        <v>5618</v>
      </c>
      <c r="D538" s="7" t="s">
        <v>5620</v>
      </c>
      <c r="E538" s="519" t="s">
        <v>5621</v>
      </c>
      <c r="F538" s="690" t="s">
        <v>5617</v>
      </c>
      <c r="G538" s="690" t="s">
        <v>520</v>
      </c>
      <c r="H538" s="519" t="s">
        <v>5619</v>
      </c>
      <c r="I538" s="691">
        <v>4575</v>
      </c>
      <c r="J538" s="692">
        <v>558</v>
      </c>
      <c r="K538" s="703"/>
    </row>
    <row r="539" spans="1:11" s="693" customFormat="1" ht="25.5">
      <c r="A539" s="704" t="s">
        <v>7336</v>
      </c>
      <c r="B539" s="689" t="s">
        <v>1526</v>
      </c>
      <c r="C539" s="689" t="s">
        <v>5626</v>
      </c>
      <c r="D539" s="7" t="s">
        <v>5627</v>
      </c>
      <c r="E539" s="519" t="s">
        <v>929</v>
      </c>
      <c r="F539" s="690" t="s">
        <v>5755</v>
      </c>
      <c r="G539" s="690" t="s">
        <v>520</v>
      </c>
      <c r="H539" s="519" t="s">
        <v>5619</v>
      </c>
      <c r="I539" s="691">
        <v>8513</v>
      </c>
      <c r="J539" s="692">
        <v>1320</v>
      </c>
      <c r="K539" s="703"/>
    </row>
    <row r="540" spans="1:11" s="693" customFormat="1" ht="25.5">
      <c r="A540" s="704" t="s">
        <v>7339</v>
      </c>
      <c r="B540" s="689" t="s">
        <v>1526</v>
      </c>
      <c r="C540" s="689" t="s">
        <v>5626</v>
      </c>
      <c r="D540" s="7" t="s">
        <v>5627</v>
      </c>
      <c r="E540" s="519" t="s">
        <v>929</v>
      </c>
      <c r="F540" s="690" t="s">
        <v>5625</v>
      </c>
      <c r="G540" s="690" t="s">
        <v>520</v>
      </c>
      <c r="H540" s="519" t="s">
        <v>5619</v>
      </c>
      <c r="I540" s="691">
        <v>8513</v>
      </c>
      <c r="J540" s="692">
        <v>2871</v>
      </c>
      <c r="K540" s="703"/>
    </row>
    <row r="541" spans="1:11" s="693" customFormat="1" ht="38.25">
      <c r="A541" s="704" t="s">
        <v>7342</v>
      </c>
      <c r="B541" s="689" t="s">
        <v>4317</v>
      </c>
      <c r="C541" s="689" t="s">
        <v>4323</v>
      </c>
      <c r="D541" s="7" t="s">
        <v>5644</v>
      </c>
      <c r="E541" s="519" t="s">
        <v>935</v>
      </c>
      <c r="F541" s="690" t="s">
        <v>12678</v>
      </c>
      <c r="G541" s="690" t="s">
        <v>3803</v>
      </c>
      <c r="H541" s="519" t="s">
        <v>5643</v>
      </c>
      <c r="I541" s="691">
        <v>278090</v>
      </c>
      <c r="J541" s="692">
        <v>7</v>
      </c>
      <c r="K541" s="703"/>
    </row>
    <row r="542" spans="1:11" s="693" customFormat="1" ht="25.5">
      <c r="A542" s="704" t="s">
        <v>7345</v>
      </c>
      <c r="B542" s="689" t="s">
        <v>1550</v>
      </c>
      <c r="C542" s="689" t="s">
        <v>5030</v>
      </c>
      <c r="D542" s="7" t="s">
        <v>7531</v>
      </c>
      <c r="E542" s="519" t="s">
        <v>1268</v>
      </c>
      <c r="F542" s="690" t="s">
        <v>5031</v>
      </c>
      <c r="G542" s="690" t="s">
        <v>11</v>
      </c>
      <c r="H542" s="519" t="s">
        <v>7530</v>
      </c>
      <c r="I542" s="691">
        <v>630</v>
      </c>
      <c r="J542" s="692">
        <v>2</v>
      </c>
      <c r="K542" s="703"/>
    </row>
    <row r="543" spans="1:11" s="693" customFormat="1" ht="25.5">
      <c r="A543" s="704" t="s">
        <v>7354</v>
      </c>
      <c r="B543" s="689" t="s">
        <v>1550</v>
      </c>
      <c r="C543" s="689" t="s">
        <v>5030</v>
      </c>
      <c r="D543" s="7" t="s">
        <v>7531</v>
      </c>
      <c r="E543" s="519" t="s">
        <v>1268</v>
      </c>
      <c r="F543" s="690" t="s">
        <v>5031</v>
      </c>
      <c r="G543" s="690" t="s">
        <v>11</v>
      </c>
      <c r="H543" s="519" t="s">
        <v>7530</v>
      </c>
      <c r="I543" s="691">
        <v>630</v>
      </c>
      <c r="J543" s="692">
        <v>6952</v>
      </c>
      <c r="K543" s="703"/>
    </row>
    <row r="544" spans="1:11" s="693" customFormat="1" ht="25.5">
      <c r="A544" s="704" t="s">
        <v>7358</v>
      </c>
      <c r="B544" s="689" t="s">
        <v>1780</v>
      </c>
      <c r="C544" s="689" t="s">
        <v>1856</v>
      </c>
      <c r="D544" s="7" t="s">
        <v>1858</v>
      </c>
      <c r="E544" s="519" t="s">
        <v>1859</v>
      </c>
      <c r="F544" s="690" t="s">
        <v>1340</v>
      </c>
      <c r="G544" s="690" t="s">
        <v>11</v>
      </c>
      <c r="H544" s="519" t="s">
        <v>8481</v>
      </c>
      <c r="I544" s="691">
        <v>365</v>
      </c>
      <c r="J544" s="692">
        <v>1</v>
      </c>
      <c r="K544" s="703"/>
    </row>
    <row r="545" spans="1:11" s="693" customFormat="1" ht="25.5">
      <c r="A545" s="704" t="s">
        <v>7363</v>
      </c>
      <c r="B545" s="689" t="s">
        <v>1780</v>
      </c>
      <c r="C545" s="689" t="s">
        <v>1856</v>
      </c>
      <c r="D545" s="7" t="s">
        <v>1858</v>
      </c>
      <c r="E545" s="519" t="s">
        <v>1859</v>
      </c>
      <c r="F545" s="690" t="s">
        <v>1340</v>
      </c>
      <c r="G545" s="690" t="s">
        <v>11</v>
      </c>
      <c r="H545" s="519" t="s">
        <v>8481</v>
      </c>
      <c r="I545" s="691">
        <v>1365</v>
      </c>
      <c r="J545" s="692">
        <v>2</v>
      </c>
      <c r="K545" s="703"/>
    </row>
    <row r="546" spans="1:11" s="693" customFormat="1" ht="25.5">
      <c r="A546" s="704" t="s">
        <v>7366</v>
      </c>
      <c r="B546" s="689" t="s">
        <v>1780</v>
      </c>
      <c r="C546" s="689" t="s">
        <v>1856</v>
      </c>
      <c r="D546" s="7" t="s">
        <v>1858</v>
      </c>
      <c r="E546" s="519" t="s">
        <v>1859</v>
      </c>
      <c r="F546" s="690" t="s">
        <v>1340</v>
      </c>
      <c r="G546" s="690" t="s">
        <v>11</v>
      </c>
      <c r="H546" s="519" t="s">
        <v>8481</v>
      </c>
      <c r="I546" s="691">
        <v>1365</v>
      </c>
      <c r="J546" s="692">
        <v>9</v>
      </c>
      <c r="K546" s="703"/>
    </row>
    <row r="547" spans="1:11" s="693" customFormat="1" ht="25.5">
      <c r="A547" s="704" t="s">
        <v>7368</v>
      </c>
      <c r="B547" s="689" t="s">
        <v>1780</v>
      </c>
      <c r="C547" s="689" t="s">
        <v>4027</v>
      </c>
      <c r="D547" s="7" t="s">
        <v>8478</v>
      </c>
      <c r="E547" s="519" t="s">
        <v>8479</v>
      </c>
      <c r="F547" s="690" t="s">
        <v>1782</v>
      </c>
      <c r="G547" s="690" t="s">
        <v>15</v>
      </c>
      <c r="H547" s="519" t="s">
        <v>12672</v>
      </c>
      <c r="I547" s="691">
        <v>13650</v>
      </c>
      <c r="J547" s="692">
        <v>52</v>
      </c>
      <c r="K547" s="703"/>
    </row>
    <row r="548" spans="1:11" s="693" customFormat="1" ht="38.25">
      <c r="A548" s="704" t="s">
        <v>7374</v>
      </c>
      <c r="B548" s="689" t="s">
        <v>1780</v>
      </c>
      <c r="C548" s="689" t="s">
        <v>3757</v>
      </c>
      <c r="D548" s="7" t="s">
        <v>6827</v>
      </c>
      <c r="E548" s="519" t="s">
        <v>1859</v>
      </c>
      <c r="F548" s="690" t="s">
        <v>229</v>
      </c>
      <c r="G548" s="690" t="s">
        <v>11</v>
      </c>
      <c r="H548" s="519" t="s">
        <v>6821</v>
      </c>
      <c r="I548" s="691">
        <v>840</v>
      </c>
      <c r="J548" s="692">
        <v>2377</v>
      </c>
      <c r="K548" s="703"/>
    </row>
    <row r="549" spans="1:11" s="693" customFormat="1" ht="38.25">
      <c r="A549" s="704" t="s">
        <v>7378</v>
      </c>
      <c r="B549" s="689" t="s">
        <v>1780</v>
      </c>
      <c r="C549" s="689" t="s">
        <v>3757</v>
      </c>
      <c r="D549" s="7" t="s">
        <v>6827</v>
      </c>
      <c r="E549" s="519" t="s">
        <v>1859</v>
      </c>
      <c r="F549" s="690" t="s">
        <v>229</v>
      </c>
      <c r="G549" s="690" t="s">
        <v>11</v>
      </c>
      <c r="H549" s="519" t="s">
        <v>6821</v>
      </c>
      <c r="I549" s="691">
        <v>840</v>
      </c>
      <c r="J549" s="692">
        <v>4000</v>
      </c>
      <c r="K549" s="703"/>
    </row>
    <row r="550" spans="1:11" s="693" customFormat="1" ht="38.25">
      <c r="A550" s="704" t="s">
        <v>7380</v>
      </c>
      <c r="B550" s="689" t="s">
        <v>1780</v>
      </c>
      <c r="C550" s="689" t="s">
        <v>3757</v>
      </c>
      <c r="D550" s="7" t="s">
        <v>6827</v>
      </c>
      <c r="E550" s="519" t="s">
        <v>1859</v>
      </c>
      <c r="F550" s="690" t="s">
        <v>229</v>
      </c>
      <c r="G550" s="690" t="s">
        <v>11</v>
      </c>
      <c r="H550" s="519" t="s">
        <v>6821</v>
      </c>
      <c r="I550" s="691">
        <v>840</v>
      </c>
      <c r="J550" s="692">
        <v>5000</v>
      </c>
      <c r="K550" s="703"/>
    </row>
    <row r="551" spans="1:11" s="693" customFormat="1" ht="38.25">
      <c r="A551" s="704" t="s">
        <v>7383</v>
      </c>
      <c r="B551" s="689" t="s">
        <v>1780</v>
      </c>
      <c r="C551" s="689" t="s">
        <v>3757</v>
      </c>
      <c r="D551" s="7" t="s">
        <v>6827</v>
      </c>
      <c r="E551" s="519" t="s">
        <v>1859</v>
      </c>
      <c r="F551" s="690" t="s">
        <v>229</v>
      </c>
      <c r="G551" s="690" t="s">
        <v>11</v>
      </c>
      <c r="H551" s="519" t="s">
        <v>6821</v>
      </c>
      <c r="I551" s="691">
        <v>840</v>
      </c>
      <c r="J551" s="692">
        <v>10000</v>
      </c>
      <c r="K551" s="703"/>
    </row>
    <row r="552" spans="1:11" s="693" customFormat="1" ht="25.5">
      <c r="A552" s="704" t="s">
        <v>7384</v>
      </c>
      <c r="B552" s="689" t="s">
        <v>1780</v>
      </c>
      <c r="C552" s="689" t="s">
        <v>1856</v>
      </c>
      <c r="D552" s="7" t="s">
        <v>1858</v>
      </c>
      <c r="E552" s="519" t="s">
        <v>1859</v>
      </c>
      <c r="F552" s="690" t="s">
        <v>1340</v>
      </c>
      <c r="G552" s="690" t="s">
        <v>11</v>
      </c>
      <c r="H552" s="519" t="s">
        <v>8481</v>
      </c>
      <c r="I552" s="691">
        <v>1365</v>
      </c>
      <c r="J552" s="692">
        <v>10873</v>
      </c>
      <c r="K552" s="703"/>
    </row>
    <row r="553" spans="1:11" s="693" customFormat="1" ht="76.5">
      <c r="A553" s="704" t="s">
        <v>7391</v>
      </c>
      <c r="B553" s="689" t="s">
        <v>4594</v>
      </c>
      <c r="C553" s="689" t="s">
        <v>4593</v>
      </c>
      <c r="D553" s="7" t="s">
        <v>8588</v>
      </c>
      <c r="E553" s="519" t="s">
        <v>8589</v>
      </c>
      <c r="F553" s="690" t="s">
        <v>4595</v>
      </c>
      <c r="G553" s="690" t="s">
        <v>11</v>
      </c>
      <c r="H553" s="519" t="s">
        <v>8587</v>
      </c>
      <c r="I553" s="691">
        <v>1600</v>
      </c>
      <c r="J553" s="692">
        <v>404</v>
      </c>
      <c r="K553" s="703"/>
    </row>
    <row r="554" spans="1:11" s="693" customFormat="1" ht="25.5">
      <c r="A554" s="704" t="s">
        <v>7396</v>
      </c>
      <c r="B554" s="689" t="s">
        <v>4333</v>
      </c>
      <c r="C554" s="689" t="s">
        <v>4332</v>
      </c>
      <c r="D554" s="7" t="s">
        <v>8135</v>
      </c>
      <c r="E554" s="519" t="s">
        <v>7211</v>
      </c>
      <c r="F554" s="690" t="s">
        <v>291</v>
      </c>
      <c r="G554" s="690" t="s">
        <v>11</v>
      </c>
      <c r="H554" s="519" t="s">
        <v>8134</v>
      </c>
      <c r="I554" s="691">
        <v>4095</v>
      </c>
      <c r="J554" s="692">
        <v>28</v>
      </c>
      <c r="K554" s="703"/>
    </row>
    <row r="555" spans="1:11" s="693" customFormat="1" ht="25.5">
      <c r="A555" s="704" t="s">
        <v>7399</v>
      </c>
      <c r="B555" s="689" t="s">
        <v>4333</v>
      </c>
      <c r="C555" s="689" t="s">
        <v>4332</v>
      </c>
      <c r="D555" s="7" t="s">
        <v>8135</v>
      </c>
      <c r="E555" s="519" t="s">
        <v>7211</v>
      </c>
      <c r="F555" s="690" t="s">
        <v>291</v>
      </c>
      <c r="G555" s="690" t="s">
        <v>11</v>
      </c>
      <c r="H555" s="519" t="s">
        <v>8134</v>
      </c>
      <c r="I555" s="691">
        <v>4095</v>
      </c>
      <c r="J555" s="692">
        <v>31</v>
      </c>
      <c r="K555" s="703"/>
    </row>
    <row r="556" spans="1:11" s="693" customFormat="1" ht="25.5">
      <c r="A556" s="704" t="s">
        <v>7405</v>
      </c>
      <c r="B556" s="689" t="s">
        <v>1631</v>
      </c>
      <c r="C556" s="689" t="s">
        <v>3667</v>
      </c>
      <c r="D556" s="7" t="s">
        <v>8004</v>
      </c>
      <c r="E556" s="519" t="s">
        <v>867</v>
      </c>
      <c r="F556" s="690" t="s">
        <v>1632</v>
      </c>
      <c r="G556" s="690" t="s">
        <v>12</v>
      </c>
      <c r="H556" s="519" t="s">
        <v>8003</v>
      </c>
      <c r="I556" s="691">
        <v>390</v>
      </c>
      <c r="J556" s="692">
        <v>3686</v>
      </c>
      <c r="K556" s="703"/>
    </row>
    <row r="557" spans="1:11" s="693" customFormat="1" ht="25.5">
      <c r="A557" s="704" t="s">
        <v>7408</v>
      </c>
      <c r="B557" s="689" t="s">
        <v>1631</v>
      </c>
      <c r="C557" s="689" t="s">
        <v>3667</v>
      </c>
      <c r="D557" s="7" t="s">
        <v>8004</v>
      </c>
      <c r="E557" s="519" t="s">
        <v>867</v>
      </c>
      <c r="F557" s="690" t="s">
        <v>1632</v>
      </c>
      <c r="G557" s="690" t="s">
        <v>12</v>
      </c>
      <c r="H557" s="519" t="s">
        <v>8003</v>
      </c>
      <c r="I557" s="691">
        <v>390</v>
      </c>
      <c r="J557" s="692">
        <v>10000</v>
      </c>
      <c r="K557" s="703"/>
    </row>
    <row r="558" spans="1:11" s="693" customFormat="1" ht="38.25">
      <c r="A558" s="704" t="s">
        <v>7414</v>
      </c>
      <c r="B558" s="689" t="s">
        <v>1029</v>
      </c>
      <c r="C558" s="689" t="s">
        <v>1228</v>
      </c>
      <c r="D558" s="7" t="s">
        <v>7377</v>
      </c>
      <c r="E558" s="519" t="s">
        <v>6536</v>
      </c>
      <c r="F558" s="690" t="s">
        <v>1229</v>
      </c>
      <c r="G558" s="690" t="s">
        <v>13</v>
      </c>
      <c r="H558" s="519" t="s">
        <v>7376</v>
      </c>
      <c r="I558" s="691">
        <v>1155</v>
      </c>
      <c r="J558" s="692">
        <v>83</v>
      </c>
      <c r="K558" s="703"/>
    </row>
    <row r="559" spans="1:11" s="693" customFormat="1" ht="38.25">
      <c r="A559" s="704" t="s">
        <v>7417</v>
      </c>
      <c r="B559" s="689" t="s">
        <v>1029</v>
      </c>
      <c r="C559" s="689" t="s">
        <v>4564</v>
      </c>
      <c r="D559" s="7" t="s">
        <v>7382</v>
      </c>
      <c r="E559" s="519" t="s">
        <v>7001</v>
      </c>
      <c r="F559" s="690" t="s">
        <v>4565</v>
      </c>
      <c r="G559" s="690" t="s">
        <v>11</v>
      </c>
      <c r="H559" s="519" t="s">
        <v>7381</v>
      </c>
      <c r="I559" s="691">
        <v>2337</v>
      </c>
      <c r="J559" s="692">
        <v>163</v>
      </c>
      <c r="K559" s="703"/>
    </row>
    <row r="560" spans="1:11" s="693" customFormat="1" ht="38.25">
      <c r="A560" s="704" t="s">
        <v>7420</v>
      </c>
      <c r="B560" s="689" t="s">
        <v>1029</v>
      </c>
      <c r="C560" s="689" t="s">
        <v>1228</v>
      </c>
      <c r="D560" s="7" t="s">
        <v>7377</v>
      </c>
      <c r="E560" s="519" t="s">
        <v>6536</v>
      </c>
      <c r="F560" s="690" t="s">
        <v>1229</v>
      </c>
      <c r="G560" s="690" t="s">
        <v>13</v>
      </c>
      <c r="H560" s="519" t="s">
        <v>7376</v>
      </c>
      <c r="I560" s="691">
        <v>1155</v>
      </c>
      <c r="J560" s="692">
        <v>288</v>
      </c>
      <c r="K560" s="703"/>
    </row>
    <row r="561" spans="1:11" s="693" customFormat="1" ht="38.25">
      <c r="A561" s="704" t="s">
        <v>7424</v>
      </c>
      <c r="B561" s="689" t="s">
        <v>1029</v>
      </c>
      <c r="C561" s="689" t="s">
        <v>4564</v>
      </c>
      <c r="D561" s="7" t="s">
        <v>7382</v>
      </c>
      <c r="E561" s="519" t="s">
        <v>7001</v>
      </c>
      <c r="F561" s="690" t="s">
        <v>4565</v>
      </c>
      <c r="G561" s="690" t="s">
        <v>11</v>
      </c>
      <c r="H561" s="519" t="s">
        <v>7381</v>
      </c>
      <c r="I561" s="691">
        <v>2337</v>
      </c>
      <c r="J561" s="692">
        <v>1411</v>
      </c>
      <c r="K561" s="703"/>
    </row>
    <row r="562" spans="1:11" s="693" customFormat="1" ht="25.5">
      <c r="A562" s="704" t="s">
        <v>7427</v>
      </c>
      <c r="B562" s="689" t="s">
        <v>1029</v>
      </c>
      <c r="C562" s="689" t="s">
        <v>1385</v>
      </c>
      <c r="D562" s="7" t="s">
        <v>7379</v>
      </c>
      <c r="E562" s="519" t="s">
        <v>7001</v>
      </c>
      <c r="F562" s="690" t="s">
        <v>4561</v>
      </c>
      <c r="G562" s="690" t="s">
        <v>11</v>
      </c>
      <c r="H562" s="519" t="s">
        <v>6767</v>
      </c>
      <c r="I562" s="691">
        <v>1195</v>
      </c>
      <c r="J562" s="692">
        <v>1741</v>
      </c>
      <c r="K562" s="703"/>
    </row>
    <row r="563" spans="1:11" s="693" customFormat="1" ht="25.5">
      <c r="A563" s="704" t="s">
        <v>7432</v>
      </c>
      <c r="B563" s="689" t="s">
        <v>1029</v>
      </c>
      <c r="C563" s="689" t="s">
        <v>1385</v>
      </c>
      <c r="D563" s="7" t="s">
        <v>7379</v>
      </c>
      <c r="E563" s="519" t="s">
        <v>7001</v>
      </c>
      <c r="F563" s="690" t="s">
        <v>4561</v>
      </c>
      <c r="G563" s="690" t="s">
        <v>11</v>
      </c>
      <c r="H563" s="519" t="s">
        <v>6767</v>
      </c>
      <c r="I563" s="691">
        <v>1195</v>
      </c>
      <c r="J563" s="692">
        <v>2500</v>
      </c>
      <c r="K563" s="703"/>
    </row>
    <row r="564" spans="1:11" s="693" customFormat="1" ht="25.5">
      <c r="A564" s="704" t="s">
        <v>7435</v>
      </c>
      <c r="B564" s="689" t="s">
        <v>1390</v>
      </c>
      <c r="C564" s="689" t="s">
        <v>1394</v>
      </c>
      <c r="D564" s="7" t="s">
        <v>1396</v>
      </c>
      <c r="E564" s="519" t="s">
        <v>7001</v>
      </c>
      <c r="F564" s="690" t="s">
        <v>2916</v>
      </c>
      <c r="G564" s="690" t="s">
        <v>11</v>
      </c>
      <c r="H564" s="519" t="s">
        <v>6767</v>
      </c>
      <c r="I564" s="691">
        <v>1690</v>
      </c>
      <c r="J564" s="692">
        <v>2330</v>
      </c>
      <c r="K564" s="703"/>
    </row>
    <row r="565" spans="1:11" s="693" customFormat="1" ht="25.5">
      <c r="A565" s="704" t="s">
        <v>7438</v>
      </c>
      <c r="B565" s="689" t="s">
        <v>1390</v>
      </c>
      <c r="C565" s="689" t="s">
        <v>1394</v>
      </c>
      <c r="D565" s="7" t="s">
        <v>1396</v>
      </c>
      <c r="E565" s="519" t="s">
        <v>7001</v>
      </c>
      <c r="F565" s="690" t="s">
        <v>2916</v>
      </c>
      <c r="G565" s="690" t="s">
        <v>11</v>
      </c>
      <c r="H565" s="519" t="s">
        <v>6767</v>
      </c>
      <c r="I565" s="691">
        <v>1690</v>
      </c>
      <c r="J565" s="692">
        <v>4100</v>
      </c>
      <c r="K565" s="703"/>
    </row>
    <row r="566" spans="1:11" s="693" customFormat="1">
      <c r="A566" s="704" t="s">
        <v>7445</v>
      </c>
      <c r="B566" s="689" t="s">
        <v>246</v>
      </c>
      <c r="C566" s="689" t="s">
        <v>4945</v>
      </c>
      <c r="D566" s="7" t="s">
        <v>249</v>
      </c>
      <c r="E566" s="519" t="s">
        <v>245</v>
      </c>
      <c r="F566" s="690" t="s">
        <v>248</v>
      </c>
      <c r="G566" s="690" t="s">
        <v>10</v>
      </c>
      <c r="H566" s="519" t="s">
        <v>5155</v>
      </c>
      <c r="I566" s="691">
        <v>1785</v>
      </c>
      <c r="J566" s="692">
        <v>1628</v>
      </c>
      <c r="K566" s="703"/>
    </row>
    <row r="567" spans="1:11" s="693" customFormat="1" ht="38.25">
      <c r="A567" s="704" t="s">
        <v>7446</v>
      </c>
      <c r="B567" s="689" t="s">
        <v>4659</v>
      </c>
      <c r="C567" s="689" t="s">
        <v>4658</v>
      </c>
      <c r="D567" s="7" t="s">
        <v>8513</v>
      </c>
      <c r="E567" s="519" t="s">
        <v>2253</v>
      </c>
      <c r="F567" s="690" t="s">
        <v>4660</v>
      </c>
      <c r="G567" s="690" t="s">
        <v>15</v>
      </c>
      <c r="H567" s="519" t="s">
        <v>8512</v>
      </c>
      <c r="I567" s="691">
        <v>34000</v>
      </c>
      <c r="J567" s="692">
        <v>274</v>
      </c>
      <c r="K567" s="703"/>
    </row>
    <row r="568" spans="1:11" s="693" customFormat="1" ht="25.5">
      <c r="A568" s="704" t="s">
        <v>7452</v>
      </c>
      <c r="B568" s="689" t="s">
        <v>638</v>
      </c>
      <c r="C568" s="689" t="s">
        <v>7945</v>
      </c>
      <c r="D568" s="7" t="s">
        <v>1998</v>
      </c>
      <c r="E568" s="519" t="s">
        <v>1946</v>
      </c>
      <c r="F568" s="690" t="s">
        <v>429</v>
      </c>
      <c r="G568" s="690" t="s">
        <v>13</v>
      </c>
      <c r="H568" s="519" t="s">
        <v>7946</v>
      </c>
      <c r="I568" s="691">
        <v>1533</v>
      </c>
      <c r="J568" s="692">
        <v>2914</v>
      </c>
      <c r="K568" s="703"/>
    </row>
    <row r="569" spans="1:11" s="693" customFormat="1">
      <c r="A569" s="704" t="s">
        <v>7454</v>
      </c>
      <c r="B569" s="689" t="s">
        <v>1397</v>
      </c>
      <c r="C569" s="689" t="s">
        <v>1398</v>
      </c>
      <c r="D569" s="7" t="s">
        <v>1399</v>
      </c>
      <c r="E569" s="519" t="s">
        <v>7001</v>
      </c>
      <c r="F569" s="690" t="s">
        <v>291</v>
      </c>
      <c r="G569" s="690" t="s">
        <v>11</v>
      </c>
      <c r="H569" s="519" t="s">
        <v>7142</v>
      </c>
      <c r="I569" s="691">
        <v>120</v>
      </c>
      <c r="J569" s="692">
        <v>692</v>
      </c>
      <c r="K569" s="703"/>
    </row>
    <row r="570" spans="1:11" s="693" customFormat="1">
      <c r="A570" s="704" t="s">
        <v>7457</v>
      </c>
      <c r="B570" s="689" t="s">
        <v>1397</v>
      </c>
      <c r="C570" s="689" t="s">
        <v>1398</v>
      </c>
      <c r="D570" s="7" t="s">
        <v>1399</v>
      </c>
      <c r="E570" s="519" t="s">
        <v>7001</v>
      </c>
      <c r="F570" s="690" t="s">
        <v>291</v>
      </c>
      <c r="G570" s="690" t="s">
        <v>11</v>
      </c>
      <c r="H570" s="519" t="s">
        <v>7142</v>
      </c>
      <c r="I570" s="691">
        <v>120</v>
      </c>
      <c r="J570" s="692">
        <v>6000</v>
      </c>
      <c r="K570" s="703"/>
    </row>
    <row r="571" spans="1:11" s="693" customFormat="1" ht="25.5">
      <c r="A571" s="704" t="s">
        <v>7459</v>
      </c>
      <c r="B571" s="689" t="s">
        <v>192</v>
      </c>
      <c r="C571" s="689" t="s">
        <v>4698</v>
      </c>
      <c r="D571" s="7" t="s">
        <v>8733</v>
      </c>
      <c r="E571" s="519" t="s">
        <v>2310</v>
      </c>
      <c r="F571" s="690" t="s">
        <v>4699</v>
      </c>
      <c r="G571" s="690" t="s">
        <v>11</v>
      </c>
      <c r="H571" s="519" t="s">
        <v>8732</v>
      </c>
      <c r="I571" s="691">
        <v>2280</v>
      </c>
      <c r="J571" s="692">
        <v>17640</v>
      </c>
      <c r="K571" s="703"/>
    </row>
    <row r="572" spans="1:11" s="693" customFormat="1" ht="51">
      <c r="A572" s="704" t="s">
        <v>7462</v>
      </c>
      <c r="B572" s="689" t="s">
        <v>4753</v>
      </c>
      <c r="C572" s="689" t="s">
        <v>4752</v>
      </c>
      <c r="D572" s="7" t="s">
        <v>8729</v>
      </c>
      <c r="E572" s="519" t="s">
        <v>8563</v>
      </c>
      <c r="F572" s="690" t="s">
        <v>4754</v>
      </c>
      <c r="G572" s="690" t="s">
        <v>11</v>
      </c>
      <c r="H572" s="519" t="s">
        <v>8728</v>
      </c>
      <c r="I572" s="691">
        <v>1900</v>
      </c>
      <c r="J572" s="692">
        <v>2707</v>
      </c>
      <c r="K572" s="703"/>
    </row>
    <row r="573" spans="1:11" s="693" customFormat="1" ht="25.5">
      <c r="A573" s="704" t="s">
        <v>7471</v>
      </c>
      <c r="B573" s="689" t="s">
        <v>588</v>
      </c>
      <c r="C573" s="689" t="s">
        <v>4174</v>
      </c>
      <c r="D573" s="7" t="s">
        <v>3184</v>
      </c>
      <c r="E573" s="519" t="s">
        <v>5705</v>
      </c>
      <c r="F573" s="690" t="s">
        <v>267</v>
      </c>
      <c r="G573" s="690" t="s">
        <v>10</v>
      </c>
      <c r="H573" s="519" t="s">
        <v>5704</v>
      </c>
      <c r="I573" s="691">
        <v>9832</v>
      </c>
      <c r="J573" s="692">
        <v>388</v>
      </c>
      <c r="K573" s="703"/>
    </row>
    <row r="574" spans="1:11" s="693" customFormat="1">
      <c r="A574" s="704" t="s">
        <v>7474</v>
      </c>
      <c r="B574" s="689" t="s">
        <v>588</v>
      </c>
      <c r="C574" s="689" t="s">
        <v>1410</v>
      </c>
      <c r="D574" s="7" t="s">
        <v>5708</v>
      </c>
      <c r="E574" s="519" t="s">
        <v>5709</v>
      </c>
      <c r="F574" s="690" t="s">
        <v>267</v>
      </c>
      <c r="G574" s="690" t="s">
        <v>10</v>
      </c>
      <c r="H574" s="519" t="s">
        <v>5707</v>
      </c>
      <c r="I574" s="691">
        <v>3840</v>
      </c>
      <c r="J574" s="692">
        <v>3052</v>
      </c>
      <c r="K574" s="703"/>
    </row>
    <row r="575" spans="1:11" s="693" customFormat="1">
      <c r="A575" s="704" t="s">
        <v>7479</v>
      </c>
      <c r="B575" s="689" t="s">
        <v>1999</v>
      </c>
      <c r="C575" s="689" t="s">
        <v>4365</v>
      </c>
      <c r="D575" s="7" t="s">
        <v>7757</v>
      </c>
      <c r="E575" s="519" t="s">
        <v>7649</v>
      </c>
      <c r="F575" s="690" t="s">
        <v>4366</v>
      </c>
      <c r="G575" s="690" t="s">
        <v>11</v>
      </c>
      <c r="H575" s="519" t="s">
        <v>6473</v>
      </c>
      <c r="I575" s="691">
        <v>1995</v>
      </c>
      <c r="J575" s="692">
        <v>42</v>
      </c>
      <c r="K575" s="703"/>
    </row>
    <row r="576" spans="1:11" s="693" customFormat="1">
      <c r="A576" s="704" t="s">
        <v>7484</v>
      </c>
      <c r="B576" s="689" t="s">
        <v>1999</v>
      </c>
      <c r="C576" s="689" t="s">
        <v>4365</v>
      </c>
      <c r="D576" s="7" t="s">
        <v>7757</v>
      </c>
      <c r="E576" s="519" t="s">
        <v>7649</v>
      </c>
      <c r="F576" s="690" t="s">
        <v>4366</v>
      </c>
      <c r="G576" s="690" t="s">
        <v>11</v>
      </c>
      <c r="H576" s="519" t="s">
        <v>6473</v>
      </c>
      <c r="I576" s="691">
        <v>1995</v>
      </c>
      <c r="J576" s="692">
        <v>4057</v>
      </c>
      <c r="K576" s="703"/>
    </row>
    <row r="577" spans="1:11" s="693" customFormat="1">
      <c r="A577" s="704" t="s">
        <v>7486</v>
      </c>
      <c r="B577" s="689" t="s">
        <v>1999</v>
      </c>
      <c r="C577" s="689" t="s">
        <v>4365</v>
      </c>
      <c r="D577" s="7" t="s">
        <v>7757</v>
      </c>
      <c r="E577" s="519" t="s">
        <v>7649</v>
      </c>
      <c r="F577" s="690" t="s">
        <v>4366</v>
      </c>
      <c r="G577" s="690" t="s">
        <v>11</v>
      </c>
      <c r="H577" s="519" t="s">
        <v>6473</v>
      </c>
      <c r="I577" s="691">
        <v>1995</v>
      </c>
      <c r="J577" s="692">
        <v>6000</v>
      </c>
      <c r="K577" s="703"/>
    </row>
    <row r="578" spans="1:11" s="693" customFormat="1">
      <c r="A578" s="704" t="s">
        <v>7489</v>
      </c>
      <c r="B578" s="689" t="s">
        <v>1999</v>
      </c>
      <c r="C578" s="689" t="s">
        <v>7754</v>
      </c>
      <c r="D578" s="7" t="s">
        <v>7755</v>
      </c>
      <c r="E578" s="519" t="s">
        <v>587</v>
      </c>
      <c r="F578" s="690" t="s">
        <v>2001</v>
      </c>
      <c r="G578" s="690" t="s">
        <v>11</v>
      </c>
      <c r="H578" s="519" t="s">
        <v>6143</v>
      </c>
      <c r="I578" s="691">
        <v>1278</v>
      </c>
      <c r="J578" s="692">
        <v>10415</v>
      </c>
      <c r="K578" s="703"/>
    </row>
    <row r="579" spans="1:11" s="693" customFormat="1" ht="38.25">
      <c r="A579" s="704" t="s">
        <v>7492</v>
      </c>
      <c r="B579" s="689" t="s">
        <v>39</v>
      </c>
      <c r="C579" s="689" t="s">
        <v>38</v>
      </c>
      <c r="D579" s="7" t="s">
        <v>2265</v>
      </c>
      <c r="E579" s="519" t="s">
        <v>2253</v>
      </c>
      <c r="F579" s="690" t="s">
        <v>40</v>
      </c>
      <c r="G579" s="690" t="s">
        <v>11</v>
      </c>
      <c r="H579" s="519" t="s">
        <v>8794</v>
      </c>
      <c r="I579" s="691">
        <v>1150</v>
      </c>
      <c r="J579" s="692">
        <v>1825</v>
      </c>
      <c r="K579" s="703"/>
    </row>
    <row r="580" spans="1:11" s="693" customFormat="1" ht="51">
      <c r="A580" s="704" t="s">
        <v>7496</v>
      </c>
      <c r="B580" s="689" t="s">
        <v>4371</v>
      </c>
      <c r="C580" s="689" t="s">
        <v>4370</v>
      </c>
      <c r="D580" s="7" t="s">
        <v>5763</v>
      </c>
      <c r="E580" s="519" t="s">
        <v>2042</v>
      </c>
      <c r="F580" s="690" t="s">
        <v>258</v>
      </c>
      <c r="G580" s="690" t="s">
        <v>11</v>
      </c>
      <c r="H580" s="519" t="s">
        <v>5762</v>
      </c>
      <c r="I580" s="691">
        <v>1636</v>
      </c>
      <c r="J580" s="692">
        <v>1219</v>
      </c>
      <c r="K580" s="703"/>
    </row>
    <row r="581" spans="1:11" s="693" customFormat="1" ht="51">
      <c r="A581" s="704" t="s">
        <v>7499</v>
      </c>
      <c r="B581" s="689" t="s">
        <v>4371</v>
      </c>
      <c r="C581" s="689" t="s">
        <v>4370</v>
      </c>
      <c r="D581" s="7" t="s">
        <v>5763</v>
      </c>
      <c r="E581" s="519" t="s">
        <v>2042</v>
      </c>
      <c r="F581" s="690" t="s">
        <v>258</v>
      </c>
      <c r="G581" s="690" t="s">
        <v>11</v>
      </c>
      <c r="H581" s="519" t="s">
        <v>5762</v>
      </c>
      <c r="I581" s="691">
        <v>1636</v>
      </c>
      <c r="J581" s="692">
        <v>3000</v>
      </c>
      <c r="K581" s="703"/>
    </row>
    <row r="582" spans="1:11" s="693" customFormat="1" ht="38.25">
      <c r="A582" s="704" t="s">
        <v>7502</v>
      </c>
      <c r="B582" s="689" t="s">
        <v>4704</v>
      </c>
      <c r="C582" s="689" t="s">
        <v>4703</v>
      </c>
      <c r="D582" s="7" t="s">
        <v>8712</v>
      </c>
      <c r="E582" s="519" t="s">
        <v>2310</v>
      </c>
      <c r="F582" s="690" t="s">
        <v>4705</v>
      </c>
      <c r="G582" s="690" t="s">
        <v>13</v>
      </c>
      <c r="H582" s="519" t="s">
        <v>8711</v>
      </c>
      <c r="I582" s="691">
        <v>7000</v>
      </c>
      <c r="J582" s="692">
        <v>1504</v>
      </c>
      <c r="K582" s="703"/>
    </row>
    <row r="583" spans="1:11" s="693" customFormat="1" ht="51">
      <c r="A583" s="704" t="s">
        <v>7506</v>
      </c>
      <c r="B583" s="689" t="s">
        <v>4771</v>
      </c>
      <c r="C583" s="689" t="s">
        <v>2320</v>
      </c>
      <c r="D583" s="7" t="s">
        <v>8738</v>
      </c>
      <c r="E583" s="519" t="s">
        <v>8505</v>
      </c>
      <c r="F583" s="690" t="s">
        <v>4772</v>
      </c>
      <c r="G583" s="690" t="s">
        <v>11</v>
      </c>
      <c r="H583" s="519" t="s">
        <v>8616</v>
      </c>
      <c r="I583" s="691">
        <v>714</v>
      </c>
      <c r="J583" s="692">
        <v>1488</v>
      </c>
      <c r="K583" s="703"/>
    </row>
    <row r="584" spans="1:11" s="693" customFormat="1" ht="25.5">
      <c r="A584" s="704" t="s">
        <v>7508</v>
      </c>
      <c r="B584" s="689" t="s">
        <v>119</v>
      </c>
      <c r="C584" s="689" t="s">
        <v>12323</v>
      </c>
      <c r="D584" s="7" t="s">
        <v>8688</v>
      </c>
      <c r="E584" s="519" t="s">
        <v>8535</v>
      </c>
      <c r="F584" s="690" t="s">
        <v>8685</v>
      </c>
      <c r="G584" s="690" t="s">
        <v>11</v>
      </c>
      <c r="H584" s="519" t="s">
        <v>8687</v>
      </c>
      <c r="I584" s="691">
        <v>4000</v>
      </c>
      <c r="J584" s="692">
        <v>6000</v>
      </c>
      <c r="K584" s="703"/>
    </row>
    <row r="585" spans="1:11" s="693" customFormat="1" ht="51">
      <c r="A585" s="704" t="s">
        <v>7514</v>
      </c>
      <c r="B585" s="689" t="s">
        <v>119</v>
      </c>
      <c r="C585" s="689" t="s">
        <v>4678</v>
      </c>
      <c r="D585" s="699" t="s">
        <v>8682</v>
      </c>
      <c r="E585" s="694" t="s">
        <v>8598</v>
      </c>
      <c r="F585" s="690" t="s">
        <v>4679</v>
      </c>
      <c r="G585" s="690" t="s">
        <v>11</v>
      </c>
      <c r="H585" s="519" t="s">
        <v>8681</v>
      </c>
      <c r="I585" s="691">
        <v>175</v>
      </c>
      <c r="J585" s="692">
        <v>17320</v>
      </c>
      <c r="K585" s="703"/>
    </row>
    <row r="586" spans="1:11" s="693" customFormat="1" ht="51">
      <c r="A586" s="704" t="s">
        <v>7517</v>
      </c>
      <c r="B586" s="689" t="s">
        <v>4729</v>
      </c>
      <c r="C586" s="689" t="s">
        <v>4728</v>
      </c>
      <c r="D586" s="7" t="s">
        <v>8747</v>
      </c>
      <c r="E586" s="519" t="s">
        <v>8535</v>
      </c>
      <c r="F586" s="690" t="s">
        <v>4730</v>
      </c>
      <c r="G586" s="690" t="s">
        <v>11</v>
      </c>
      <c r="H586" s="519" t="s">
        <v>8746</v>
      </c>
      <c r="I586" s="691">
        <v>2067</v>
      </c>
      <c r="J586" s="692">
        <v>4980</v>
      </c>
      <c r="K586" s="703"/>
    </row>
    <row r="587" spans="1:11" s="693" customFormat="1" ht="63.75">
      <c r="A587" s="704" t="s">
        <v>7524</v>
      </c>
      <c r="B587" s="689" t="s">
        <v>4662</v>
      </c>
      <c r="C587" s="689" t="s">
        <v>90</v>
      </c>
      <c r="D587" s="7" t="s">
        <v>2288</v>
      </c>
      <c r="E587" s="519" t="s">
        <v>2253</v>
      </c>
      <c r="F587" s="690" t="s">
        <v>4663</v>
      </c>
      <c r="G587" s="690" t="s">
        <v>11</v>
      </c>
      <c r="H587" s="519" t="s">
        <v>8616</v>
      </c>
      <c r="I587" s="691">
        <v>1200</v>
      </c>
      <c r="J587" s="692">
        <v>9630</v>
      </c>
      <c r="K587" s="703"/>
    </row>
    <row r="588" spans="1:11" s="693" customFormat="1" ht="25.5">
      <c r="A588" s="704" t="s">
        <v>7526</v>
      </c>
      <c r="B588" s="689" t="s">
        <v>7356</v>
      </c>
      <c r="C588" s="689" t="s">
        <v>7356</v>
      </c>
      <c r="D588" s="7" t="s">
        <v>7357</v>
      </c>
      <c r="E588" s="519" t="s">
        <v>7001</v>
      </c>
      <c r="F588" s="690" t="s">
        <v>225</v>
      </c>
      <c r="G588" s="690" t="s">
        <v>11</v>
      </c>
      <c r="H588" s="519" t="s">
        <v>6767</v>
      </c>
      <c r="I588" s="691">
        <v>316</v>
      </c>
      <c r="J588" s="692">
        <v>600</v>
      </c>
      <c r="K588" s="703"/>
    </row>
    <row r="589" spans="1:11" s="693" customFormat="1">
      <c r="A589" s="704" t="s">
        <v>7529</v>
      </c>
      <c r="B589" s="689" t="s">
        <v>1510</v>
      </c>
      <c r="C589" s="689" t="s">
        <v>4577</v>
      </c>
      <c r="D589" s="7" t="s">
        <v>7338</v>
      </c>
      <c r="E589" s="519" t="s">
        <v>1449</v>
      </c>
      <c r="F589" s="690" t="s">
        <v>4499</v>
      </c>
      <c r="G589" s="690" t="s">
        <v>658</v>
      </c>
      <c r="H589" s="519" t="s">
        <v>7337</v>
      </c>
      <c r="I589" s="691">
        <v>2945</v>
      </c>
      <c r="J589" s="692">
        <v>20</v>
      </c>
      <c r="K589" s="703"/>
    </row>
    <row r="590" spans="1:11" s="693" customFormat="1">
      <c r="A590" s="704" t="s">
        <v>7532</v>
      </c>
      <c r="B590" s="689" t="s">
        <v>1510</v>
      </c>
      <c r="C590" s="689" t="s">
        <v>4498</v>
      </c>
      <c r="D590" s="7" t="s">
        <v>5909</v>
      </c>
      <c r="E590" s="519" t="s">
        <v>5910</v>
      </c>
      <c r="F590" s="690" t="s">
        <v>4499</v>
      </c>
      <c r="G590" s="690" t="s">
        <v>658</v>
      </c>
      <c r="H590" s="519" t="s">
        <v>5908</v>
      </c>
      <c r="I590" s="691">
        <v>38493</v>
      </c>
      <c r="J590" s="692">
        <v>46</v>
      </c>
      <c r="K590" s="703"/>
    </row>
    <row r="591" spans="1:11" s="693" customFormat="1">
      <c r="A591" s="704" t="s">
        <v>7540</v>
      </c>
      <c r="B591" s="689" t="s">
        <v>1510</v>
      </c>
      <c r="C591" s="689" t="s">
        <v>4577</v>
      </c>
      <c r="D591" s="7" t="s">
        <v>7338</v>
      </c>
      <c r="E591" s="519" t="s">
        <v>1449</v>
      </c>
      <c r="F591" s="690" t="s">
        <v>4499</v>
      </c>
      <c r="G591" s="690" t="s">
        <v>658</v>
      </c>
      <c r="H591" s="519" t="s">
        <v>7337</v>
      </c>
      <c r="I591" s="691">
        <v>2945</v>
      </c>
      <c r="J591" s="692">
        <v>160</v>
      </c>
      <c r="K591" s="703"/>
    </row>
    <row r="592" spans="1:11" s="693" customFormat="1" ht="25.5">
      <c r="A592" s="704" t="s">
        <v>7546</v>
      </c>
      <c r="B592" s="689" t="s">
        <v>4491</v>
      </c>
      <c r="C592" s="689" t="s">
        <v>4573</v>
      </c>
      <c r="D592" s="7" t="s">
        <v>7341</v>
      </c>
      <c r="E592" s="519" t="s">
        <v>7011</v>
      </c>
      <c r="F592" s="690" t="s">
        <v>4574</v>
      </c>
      <c r="G592" s="690" t="s">
        <v>658</v>
      </c>
      <c r="H592" s="519" t="s">
        <v>7340</v>
      </c>
      <c r="I592" s="691">
        <v>5985</v>
      </c>
      <c r="J592" s="692">
        <v>21</v>
      </c>
      <c r="K592" s="703"/>
    </row>
    <row r="593" spans="1:11" s="693" customFormat="1" ht="38.25">
      <c r="A593" s="704" t="s">
        <v>7553</v>
      </c>
      <c r="B593" s="689" t="s">
        <v>4491</v>
      </c>
      <c r="C593" s="689" t="s">
        <v>2123</v>
      </c>
      <c r="D593" s="7" t="s">
        <v>5914</v>
      </c>
      <c r="E593" s="519" t="s">
        <v>5915</v>
      </c>
      <c r="F593" s="690" t="s">
        <v>4492</v>
      </c>
      <c r="G593" s="690" t="s">
        <v>658</v>
      </c>
      <c r="H593" s="519" t="s">
        <v>5913</v>
      </c>
      <c r="I593" s="691">
        <v>43919</v>
      </c>
      <c r="J593" s="692">
        <v>33</v>
      </c>
      <c r="K593" s="703"/>
    </row>
    <row r="594" spans="1:11" s="693" customFormat="1" ht="38.25">
      <c r="A594" s="704" t="s">
        <v>7556</v>
      </c>
      <c r="B594" s="689" t="s">
        <v>4491</v>
      </c>
      <c r="C594" s="689" t="s">
        <v>2123</v>
      </c>
      <c r="D594" s="7" t="s">
        <v>5914</v>
      </c>
      <c r="E594" s="519" t="s">
        <v>5915</v>
      </c>
      <c r="F594" s="690" t="s">
        <v>4492</v>
      </c>
      <c r="G594" s="690" t="s">
        <v>658</v>
      </c>
      <c r="H594" s="519" t="s">
        <v>5913</v>
      </c>
      <c r="I594" s="691">
        <v>43919</v>
      </c>
      <c r="J594" s="692">
        <v>100</v>
      </c>
      <c r="K594" s="703"/>
    </row>
    <row r="595" spans="1:11" s="693" customFormat="1" ht="25.5">
      <c r="A595" s="704" t="s">
        <v>7561</v>
      </c>
      <c r="B595" s="689" t="s">
        <v>4491</v>
      </c>
      <c r="C595" s="689" t="s">
        <v>4573</v>
      </c>
      <c r="D595" s="7" t="s">
        <v>7341</v>
      </c>
      <c r="E595" s="519" t="s">
        <v>7011</v>
      </c>
      <c r="F595" s="690" t="s">
        <v>4574</v>
      </c>
      <c r="G595" s="690" t="s">
        <v>658</v>
      </c>
      <c r="H595" s="519" t="s">
        <v>7340</v>
      </c>
      <c r="I595" s="691">
        <v>5985</v>
      </c>
      <c r="J595" s="692">
        <v>110</v>
      </c>
      <c r="K595" s="703"/>
    </row>
    <row r="596" spans="1:11" s="693" customFormat="1" ht="25.5">
      <c r="A596" s="704" t="s">
        <v>7567</v>
      </c>
      <c r="B596" s="689" t="s">
        <v>765</v>
      </c>
      <c r="C596" s="689" t="s">
        <v>766</v>
      </c>
      <c r="D596" s="7" t="s">
        <v>6028</v>
      </c>
      <c r="E596" s="519" t="s">
        <v>6029</v>
      </c>
      <c r="F596" s="690" t="s">
        <v>767</v>
      </c>
      <c r="G596" s="690" t="s">
        <v>520</v>
      </c>
      <c r="H596" s="519" t="s">
        <v>6027</v>
      </c>
      <c r="I596" s="691">
        <v>9430</v>
      </c>
      <c r="J596" s="692">
        <v>47</v>
      </c>
      <c r="K596" s="703"/>
    </row>
    <row r="597" spans="1:11" s="693" customFormat="1" ht="25.5">
      <c r="A597" s="704" t="s">
        <v>7571</v>
      </c>
      <c r="B597" s="689" t="s">
        <v>765</v>
      </c>
      <c r="C597" s="689" t="s">
        <v>4165</v>
      </c>
      <c r="D597" s="7" t="s">
        <v>7565</v>
      </c>
      <c r="E597" s="519" t="s">
        <v>7566</v>
      </c>
      <c r="F597" s="690" t="s">
        <v>272</v>
      </c>
      <c r="G597" s="690" t="s">
        <v>11</v>
      </c>
      <c r="H597" s="519" t="s">
        <v>7564</v>
      </c>
      <c r="I597" s="691">
        <v>1620</v>
      </c>
      <c r="J597" s="692">
        <v>115</v>
      </c>
      <c r="K597" s="703"/>
    </row>
    <row r="598" spans="1:11" s="693" customFormat="1" ht="25.5">
      <c r="A598" s="704" t="s">
        <v>7576</v>
      </c>
      <c r="B598" s="689" t="s">
        <v>765</v>
      </c>
      <c r="C598" s="689" t="s">
        <v>4165</v>
      </c>
      <c r="D598" s="7" t="s">
        <v>7565</v>
      </c>
      <c r="E598" s="519" t="s">
        <v>7566</v>
      </c>
      <c r="F598" s="690" t="s">
        <v>272</v>
      </c>
      <c r="G598" s="690" t="s">
        <v>11</v>
      </c>
      <c r="H598" s="519" t="s">
        <v>7564</v>
      </c>
      <c r="I598" s="691">
        <v>1620</v>
      </c>
      <c r="J598" s="692">
        <v>2000</v>
      </c>
      <c r="K598" s="703"/>
    </row>
    <row r="599" spans="1:11" s="693" customFormat="1" ht="38.25">
      <c r="A599" s="704" t="s">
        <v>7581</v>
      </c>
      <c r="B599" s="689" t="s">
        <v>592</v>
      </c>
      <c r="C599" s="689" t="s">
        <v>1400</v>
      </c>
      <c r="D599" s="7" t="s">
        <v>7602</v>
      </c>
      <c r="E599" s="519" t="s">
        <v>7001</v>
      </c>
      <c r="F599" s="690" t="s">
        <v>235</v>
      </c>
      <c r="G599" s="690" t="s">
        <v>11</v>
      </c>
      <c r="H599" s="519" t="s">
        <v>7601</v>
      </c>
      <c r="I599" s="691">
        <v>95</v>
      </c>
      <c r="J599" s="692">
        <v>488</v>
      </c>
      <c r="K599" s="703"/>
    </row>
    <row r="600" spans="1:11" s="693" customFormat="1" ht="38.25">
      <c r="A600" s="704" t="s">
        <v>7586</v>
      </c>
      <c r="B600" s="689" t="s">
        <v>592</v>
      </c>
      <c r="C600" s="689" t="s">
        <v>1400</v>
      </c>
      <c r="D600" s="7" t="s">
        <v>7602</v>
      </c>
      <c r="E600" s="519" t="s">
        <v>7001</v>
      </c>
      <c r="F600" s="690" t="s">
        <v>235</v>
      </c>
      <c r="G600" s="690" t="s">
        <v>11</v>
      </c>
      <c r="H600" s="519" t="s">
        <v>7601</v>
      </c>
      <c r="I600" s="691">
        <v>95</v>
      </c>
      <c r="J600" s="692">
        <v>801</v>
      </c>
      <c r="K600" s="703"/>
    </row>
    <row r="601" spans="1:11" s="693" customFormat="1" ht="51">
      <c r="A601" s="704" t="s">
        <v>7590</v>
      </c>
      <c r="B601" s="689" t="s">
        <v>170</v>
      </c>
      <c r="C601" s="689" t="s">
        <v>169</v>
      </c>
      <c r="D601" s="7" t="s">
        <v>2324</v>
      </c>
      <c r="E601" s="519" t="s">
        <v>2325</v>
      </c>
      <c r="F601" s="690" t="s">
        <v>171</v>
      </c>
      <c r="G601" s="690" t="s">
        <v>11</v>
      </c>
      <c r="H601" s="519" t="s">
        <v>8526</v>
      </c>
      <c r="I601" s="691">
        <v>3450</v>
      </c>
      <c r="J601" s="692">
        <v>6510</v>
      </c>
      <c r="K601" s="703"/>
    </row>
    <row r="602" spans="1:11" s="693" customFormat="1" ht="51">
      <c r="A602" s="704" t="s">
        <v>7597</v>
      </c>
      <c r="B602" s="689" t="s">
        <v>4758</v>
      </c>
      <c r="C602" s="689" t="s">
        <v>4757</v>
      </c>
      <c r="D602" s="7" t="s">
        <v>8610</v>
      </c>
      <c r="E602" s="519" t="s">
        <v>8598</v>
      </c>
      <c r="F602" s="690" t="s">
        <v>4759</v>
      </c>
      <c r="G602" s="690" t="s">
        <v>15</v>
      </c>
      <c r="H602" s="519" t="s">
        <v>8607</v>
      </c>
      <c r="I602" s="691">
        <v>23100</v>
      </c>
      <c r="J602" s="692">
        <v>173</v>
      </c>
      <c r="K602" s="703"/>
    </row>
    <row r="603" spans="1:11" s="693" customFormat="1" ht="51">
      <c r="A603" s="704" t="s">
        <v>7600</v>
      </c>
      <c r="B603" s="689" t="s">
        <v>4758</v>
      </c>
      <c r="C603" s="689" t="s">
        <v>4757</v>
      </c>
      <c r="D603" s="7" t="s">
        <v>8610</v>
      </c>
      <c r="E603" s="519" t="s">
        <v>8598</v>
      </c>
      <c r="F603" s="690" t="s">
        <v>4759</v>
      </c>
      <c r="G603" s="690" t="s">
        <v>15</v>
      </c>
      <c r="H603" s="519" t="s">
        <v>8607</v>
      </c>
      <c r="I603" s="691">
        <v>23100</v>
      </c>
      <c r="J603" s="692">
        <v>400</v>
      </c>
      <c r="K603" s="703"/>
    </row>
    <row r="604" spans="1:11" s="693" customFormat="1" ht="25.5">
      <c r="A604" s="704" t="s">
        <v>7603</v>
      </c>
      <c r="B604" s="689" t="s">
        <v>1247</v>
      </c>
      <c r="C604" s="689" t="s">
        <v>6757</v>
      </c>
      <c r="D604" s="7" t="s">
        <v>6758</v>
      </c>
      <c r="E604" s="519" t="s">
        <v>6552</v>
      </c>
      <c r="F604" s="690" t="s">
        <v>1304</v>
      </c>
      <c r="G604" s="690" t="s">
        <v>11</v>
      </c>
      <c r="H604" s="519" t="s">
        <v>6550</v>
      </c>
      <c r="I604" s="691">
        <v>4890</v>
      </c>
      <c r="J604" s="692">
        <v>5942</v>
      </c>
      <c r="K604" s="703"/>
    </row>
    <row r="605" spans="1:11" s="693" customFormat="1">
      <c r="A605" s="704" t="s">
        <v>7606</v>
      </c>
      <c r="B605" s="689" t="s">
        <v>611</v>
      </c>
      <c r="C605" s="689" t="s">
        <v>6432</v>
      </c>
      <c r="D605" s="7" t="s">
        <v>6434</v>
      </c>
      <c r="E605" s="519" t="s">
        <v>6435</v>
      </c>
      <c r="F605" s="690" t="s">
        <v>291</v>
      </c>
      <c r="G605" s="690" t="s">
        <v>11</v>
      </c>
      <c r="H605" s="519" t="s">
        <v>6433</v>
      </c>
      <c r="I605" s="691">
        <v>8225</v>
      </c>
      <c r="J605" s="692">
        <v>80</v>
      </c>
      <c r="K605" s="703"/>
    </row>
    <row r="606" spans="1:11" s="693" customFormat="1">
      <c r="A606" s="704" t="s">
        <v>7612</v>
      </c>
      <c r="B606" s="689" t="s">
        <v>668</v>
      </c>
      <c r="C606" s="689" t="s">
        <v>671</v>
      </c>
      <c r="D606" s="7" t="s">
        <v>6196</v>
      </c>
      <c r="E606" s="519" t="s">
        <v>245</v>
      </c>
      <c r="F606" s="690" t="s">
        <v>327</v>
      </c>
      <c r="G606" s="690" t="s">
        <v>11</v>
      </c>
      <c r="H606" s="519" t="s">
        <v>6195</v>
      </c>
      <c r="I606" s="691">
        <v>2436</v>
      </c>
      <c r="J606" s="692">
        <v>184</v>
      </c>
      <c r="K606" s="703"/>
    </row>
    <row r="607" spans="1:11" s="693" customFormat="1">
      <c r="A607" s="704" t="s">
        <v>7615</v>
      </c>
      <c r="B607" s="689" t="s">
        <v>668</v>
      </c>
      <c r="C607" s="689" t="s">
        <v>671</v>
      </c>
      <c r="D607" s="7" t="s">
        <v>6196</v>
      </c>
      <c r="E607" s="519" t="s">
        <v>245</v>
      </c>
      <c r="F607" s="690" t="s">
        <v>327</v>
      </c>
      <c r="G607" s="690" t="s">
        <v>11</v>
      </c>
      <c r="H607" s="519" t="s">
        <v>6195</v>
      </c>
      <c r="I607" s="691">
        <v>2436</v>
      </c>
      <c r="J607" s="692">
        <v>3990</v>
      </c>
      <c r="K607" s="703"/>
    </row>
    <row r="608" spans="1:11" s="693" customFormat="1" ht="25.5">
      <c r="A608" s="704" t="s">
        <v>7622</v>
      </c>
      <c r="B608" s="689" t="s">
        <v>579</v>
      </c>
      <c r="C608" s="689" t="s">
        <v>580</v>
      </c>
      <c r="D608" s="7" t="s">
        <v>7135</v>
      </c>
      <c r="E608" s="519" t="s">
        <v>7136</v>
      </c>
      <c r="F608" s="690" t="s">
        <v>581</v>
      </c>
      <c r="G608" s="690" t="s">
        <v>11</v>
      </c>
      <c r="H608" s="519" t="s">
        <v>7134</v>
      </c>
      <c r="I608" s="691">
        <v>245</v>
      </c>
      <c r="J608" s="692">
        <v>653</v>
      </c>
      <c r="K608" s="703"/>
    </row>
    <row r="609" spans="1:11" s="693" customFormat="1" ht="25.5">
      <c r="A609" s="704" t="s">
        <v>7626</v>
      </c>
      <c r="B609" s="689" t="s">
        <v>579</v>
      </c>
      <c r="C609" s="689" t="s">
        <v>580</v>
      </c>
      <c r="D609" s="7" t="s">
        <v>7135</v>
      </c>
      <c r="E609" s="519" t="s">
        <v>7136</v>
      </c>
      <c r="F609" s="690" t="s">
        <v>581</v>
      </c>
      <c r="G609" s="690" t="s">
        <v>11</v>
      </c>
      <c r="H609" s="519" t="s">
        <v>7134</v>
      </c>
      <c r="I609" s="691">
        <v>245</v>
      </c>
      <c r="J609" s="692">
        <v>1000</v>
      </c>
      <c r="K609" s="703"/>
    </row>
    <row r="610" spans="1:11" s="693" customFormat="1" ht="25.5">
      <c r="A610" s="704" t="s">
        <v>7629</v>
      </c>
      <c r="B610" s="689" t="s">
        <v>5057</v>
      </c>
      <c r="C610" s="689" t="s">
        <v>5056</v>
      </c>
      <c r="D610" s="7" t="s">
        <v>7140</v>
      </c>
      <c r="E610" s="519" t="s">
        <v>1263</v>
      </c>
      <c r="F610" s="690" t="s">
        <v>2949</v>
      </c>
      <c r="G610" s="690" t="s">
        <v>11</v>
      </c>
      <c r="H610" s="519" t="s">
        <v>7139</v>
      </c>
      <c r="I610" s="691">
        <v>180</v>
      </c>
      <c r="J610" s="692">
        <v>990</v>
      </c>
      <c r="K610" s="703"/>
    </row>
    <row r="611" spans="1:11" s="693" customFormat="1">
      <c r="A611" s="704" t="s">
        <v>7631</v>
      </c>
      <c r="B611" s="689" t="s">
        <v>5059</v>
      </c>
      <c r="C611" s="689" t="s">
        <v>5059</v>
      </c>
      <c r="D611" s="7" t="s">
        <v>7143</v>
      </c>
      <c r="E611" s="519" t="s">
        <v>7001</v>
      </c>
      <c r="F611" s="690" t="s">
        <v>272</v>
      </c>
      <c r="G611" s="690" t="s">
        <v>11</v>
      </c>
      <c r="H611" s="519" t="s">
        <v>7142</v>
      </c>
      <c r="I611" s="691">
        <v>340</v>
      </c>
      <c r="J611" s="692">
        <v>400</v>
      </c>
      <c r="K611" s="703"/>
    </row>
    <row r="612" spans="1:11" s="693" customFormat="1">
      <c r="A612" s="704" t="s">
        <v>7632</v>
      </c>
      <c r="B612" s="689" t="s">
        <v>5059</v>
      </c>
      <c r="C612" s="689" t="s">
        <v>5059</v>
      </c>
      <c r="D612" s="7" t="s">
        <v>7143</v>
      </c>
      <c r="E612" s="519" t="s">
        <v>7001</v>
      </c>
      <c r="F612" s="690" t="s">
        <v>272</v>
      </c>
      <c r="G612" s="690" t="s">
        <v>11</v>
      </c>
      <c r="H612" s="519" t="s">
        <v>7142</v>
      </c>
      <c r="I612" s="691">
        <v>340</v>
      </c>
      <c r="J612" s="692">
        <v>828</v>
      </c>
      <c r="K612" s="703"/>
    </row>
    <row r="613" spans="1:11" s="693" customFormat="1">
      <c r="A613" s="704" t="s">
        <v>7636</v>
      </c>
      <c r="B613" s="689" t="s">
        <v>5059</v>
      </c>
      <c r="C613" s="689" t="s">
        <v>5059</v>
      </c>
      <c r="D613" s="7" t="s">
        <v>7143</v>
      </c>
      <c r="E613" s="519" t="s">
        <v>7001</v>
      </c>
      <c r="F613" s="690" t="s">
        <v>272</v>
      </c>
      <c r="G613" s="690" t="s">
        <v>11</v>
      </c>
      <c r="H613" s="519" t="s">
        <v>7142</v>
      </c>
      <c r="I613" s="691">
        <v>340</v>
      </c>
      <c r="J613" s="692">
        <v>2400</v>
      </c>
      <c r="K613" s="703"/>
    </row>
    <row r="614" spans="1:11" s="693" customFormat="1" ht="25.5">
      <c r="A614" s="704" t="s">
        <v>7643</v>
      </c>
      <c r="B614" s="689" t="s">
        <v>1127</v>
      </c>
      <c r="C614" s="689" t="s">
        <v>5052</v>
      </c>
      <c r="D614" s="7" t="s">
        <v>7155</v>
      </c>
      <c r="E614" s="519" t="s">
        <v>7085</v>
      </c>
      <c r="F614" s="690" t="s">
        <v>5053</v>
      </c>
      <c r="G614" s="690" t="s">
        <v>11</v>
      </c>
      <c r="H614" s="519" t="s">
        <v>7154</v>
      </c>
      <c r="I614" s="691">
        <v>714</v>
      </c>
      <c r="J614" s="692">
        <v>168</v>
      </c>
      <c r="K614" s="703"/>
    </row>
    <row r="615" spans="1:11" s="693" customFormat="1" ht="25.5">
      <c r="A615" s="704" t="s">
        <v>7650</v>
      </c>
      <c r="B615" s="689" t="s">
        <v>1127</v>
      </c>
      <c r="C615" s="689" t="s">
        <v>1128</v>
      </c>
      <c r="D615" s="7" t="s">
        <v>6531</v>
      </c>
      <c r="E615" s="519" t="s">
        <v>6532</v>
      </c>
      <c r="F615" s="690" t="s">
        <v>6529</v>
      </c>
      <c r="G615" s="690" t="s">
        <v>11</v>
      </c>
      <c r="H615" s="519" t="s">
        <v>6530</v>
      </c>
      <c r="I615" s="691">
        <v>1490</v>
      </c>
      <c r="J615" s="692">
        <v>27001</v>
      </c>
      <c r="K615" s="703"/>
    </row>
    <row r="616" spans="1:11" s="693" customFormat="1" ht="25.5">
      <c r="A616" s="704" t="s">
        <v>7656</v>
      </c>
      <c r="B616" s="689" t="s">
        <v>1127</v>
      </c>
      <c r="C616" s="689" t="s">
        <v>5052</v>
      </c>
      <c r="D616" s="7" t="s">
        <v>7155</v>
      </c>
      <c r="E616" s="519" t="s">
        <v>7085</v>
      </c>
      <c r="F616" s="690" t="s">
        <v>5053</v>
      </c>
      <c r="G616" s="690" t="s">
        <v>11</v>
      </c>
      <c r="H616" s="519" t="s">
        <v>7154</v>
      </c>
      <c r="I616" s="691">
        <v>714</v>
      </c>
      <c r="J616" s="692">
        <v>60500</v>
      </c>
      <c r="K616" s="703"/>
    </row>
    <row r="617" spans="1:11" s="693" customFormat="1" ht="25.5">
      <c r="A617" s="704" t="s">
        <v>7659</v>
      </c>
      <c r="B617" s="689" t="s">
        <v>1443</v>
      </c>
      <c r="C617" s="689" t="s">
        <v>5063</v>
      </c>
      <c r="D617" s="7" t="s">
        <v>7163</v>
      </c>
      <c r="E617" s="519" t="s">
        <v>2385</v>
      </c>
      <c r="F617" s="690" t="s">
        <v>272</v>
      </c>
      <c r="G617" s="690" t="s">
        <v>11</v>
      </c>
      <c r="H617" s="519" t="s">
        <v>7131</v>
      </c>
      <c r="I617" s="691">
        <v>343</v>
      </c>
      <c r="J617" s="692">
        <v>195</v>
      </c>
      <c r="K617" s="703"/>
    </row>
    <row r="618" spans="1:11" s="693" customFormat="1" ht="25.5">
      <c r="A618" s="704" t="s">
        <v>7662</v>
      </c>
      <c r="B618" s="689" t="s">
        <v>1443</v>
      </c>
      <c r="C618" s="689" t="s">
        <v>5063</v>
      </c>
      <c r="D618" s="7" t="s">
        <v>7163</v>
      </c>
      <c r="E618" s="519" t="s">
        <v>2385</v>
      </c>
      <c r="F618" s="690" t="s">
        <v>272</v>
      </c>
      <c r="G618" s="690" t="s">
        <v>11</v>
      </c>
      <c r="H618" s="519" t="s">
        <v>7131</v>
      </c>
      <c r="I618" s="691">
        <v>343</v>
      </c>
      <c r="J618" s="692">
        <v>2000</v>
      </c>
      <c r="K618" s="703"/>
    </row>
    <row r="619" spans="1:11" s="693" customFormat="1" ht="25.5">
      <c r="A619" s="704" t="s">
        <v>7666</v>
      </c>
      <c r="B619" s="689" t="s">
        <v>1443</v>
      </c>
      <c r="C619" s="689" t="s">
        <v>5063</v>
      </c>
      <c r="D619" s="7" t="s">
        <v>7163</v>
      </c>
      <c r="E619" s="519" t="s">
        <v>2385</v>
      </c>
      <c r="F619" s="690" t="s">
        <v>272</v>
      </c>
      <c r="G619" s="690" t="s">
        <v>11</v>
      </c>
      <c r="H619" s="519" t="s">
        <v>7131</v>
      </c>
      <c r="I619" s="691">
        <v>343</v>
      </c>
      <c r="J619" s="692">
        <v>2885</v>
      </c>
      <c r="K619" s="703"/>
    </row>
    <row r="620" spans="1:11" s="693" customFormat="1" ht="25.5">
      <c r="A620" s="704" t="s">
        <v>7671</v>
      </c>
      <c r="B620" s="689" t="s">
        <v>1636</v>
      </c>
      <c r="C620" s="689" t="s">
        <v>5039</v>
      </c>
      <c r="D620" s="7" t="s">
        <v>7177</v>
      </c>
      <c r="E620" s="519" t="s">
        <v>1946</v>
      </c>
      <c r="F620" s="690" t="s">
        <v>5026</v>
      </c>
      <c r="G620" s="690" t="s">
        <v>11</v>
      </c>
      <c r="H620" s="519" t="s">
        <v>7176</v>
      </c>
      <c r="I620" s="691">
        <v>1848</v>
      </c>
      <c r="J620" s="692">
        <v>37</v>
      </c>
      <c r="K620" s="703"/>
    </row>
    <row r="621" spans="1:11" s="693" customFormat="1" ht="25.5">
      <c r="A621" s="704" t="s">
        <v>7675</v>
      </c>
      <c r="B621" s="689" t="s">
        <v>1636</v>
      </c>
      <c r="C621" s="689" t="s">
        <v>7167</v>
      </c>
      <c r="D621" s="7" t="s">
        <v>7169</v>
      </c>
      <c r="E621" s="519" t="s">
        <v>6929</v>
      </c>
      <c r="F621" s="690" t="s">
        <v>7166</v>
      </c>
      <c r="G621" s="690" t="s">
        <v>520</v>
      </c>
      <c r="H621" s="519" t="s">
        <v>7168</v>
      </c>
      <c r="I621" s="691">
        <v>4079</v>
      </c>
      <c r="J621" s="692">
        <v>3062</v>
      </c>
      <c r="K621" s="703"/>
    </row>
    <row r="622" spans="1:11" s="693" customFormat="1" ht="25.5">
      <c r="A622" s="704" t="s">
        <v>7677</v>
      </c>
      <c r="B622" s="689" t="s">
        <v>1636</v>
      </c>
      <c r="C622" s="689" t="s">
        <v>1895</v>
      </c>
      <c r="D622" s="7" t="s">
        <v>1898</v>
      </c>
      <c r="E622" s="519" t="s">
        <v>7180</v>
      </c>
      <c r="F622" s="690" t="s">
        <v>5007</v>
      </c>
      <c r="G622" s="690" t="s">
        <v>11</v>
      </c>
      <c r="H622" s="519" t="s">
        <v>7179</v>
      </c>
      <c r="I622" s="691">
        <v>2600</v>
      </c>
      <c r="J622" s="692">
        <v>4390</v>
      </c>
      <c r="K622" s="703"/>
    </row>
    <row r="623" spans="1:11" s="693" customFormat="1" ht="25.5">
      <c r="A623" s="704" t="s">
        <v>7685</v>
      </c>
      <c r="B623" s="689" t="s">
        <v>1636</v>
      </c>
      <c r="C623" s="689" t="s">
        <v>1895</v>
      </c>
      <c r="D623" s="7" t="s">
        <v>1898</v>
      </c>
      <c r="E623" s="519" t="s">
        <v>7180</v>
      </c>
      <c r="F623" s="690" t="s">
        <v>5007</v>
      </c>
      <c r="G623" s="690" t="s">
        <v>11</v>
      </c>
      <c r="H623" s="519" t="s">
        <v>7179</v>
      </c>
      <c r="I623" s="691">
        <v>2600</v>
      </c>
      <c r="J623" s="692">
        <v>6110</v>
      </c>
      <c r="K623" s="703"/>
    </row>
    <row r="624" spans="1:11" s="693" customFormat="1" ht="25.5">
      <c r="A624" s="704" t="s">
        <v>7687</v>
      </c>
      <c r="B624" s="689" t="s">
        <v>1636</v>
      </c>
      <c r="C624" s="689" t="s">
        <v>7167</v>
      </c>
      <c r="D624" s="7" t="s">
        <v>7169</v>
      </c>
      <c r="E624" s="519" t="s">
        <v>6929</v>
      </c>
      <c r="F624" s="690" t="s">
        <v>7166</v>
      </c>
      <c r="G624" s="690" t="s">
        <v>520</v>
      </c>
      <c r="H624" s="519" t="s">
        <v>7168</v>
      </c>
      <c r="I624" s="691">
        <v>4079</v>
      </c>
      <c r="J624" s="692">
        <v>10000</v>
      </c>
      <c r="K624" s="703"/>
    </row>
    <row r="625" spans="1:11" s="693" customFormat="1" ht="25.5">
      <c r="A625" s="704" t="s">
        <v>7692</v>
      </c>
      <c r="B625" s="689" t="s">
        <v>1636</v>
      </c>
      <c r="C625" s="689" t="s">
        <v>5039</v>
      </c>
      <c r="D625" s="7" t="s">
        <v>7177</v>
      </c>
      <c r="E625" s="519" t="s">
        <v>1946</v>
      </c>
      <c r="F625" s="690" t="s">
        <v>5026</v>
      </c>
      <c r="G625" s="690" t="s">
        <v>11</v>
      </c>
      <c r="H625" s="519" t="s">
        <v>7176</v>
      </c>
      <c r="I625" s="691">
        <v>1848</v>
      </c>
      <c r="J625" s="692">
        <v>20000</v>
      </c>
      <c r="K625" s="703"/>
    </row>
    <row r="626" spans="1:11" s="693" customFormat="1" ht="38.25">
      <c r="A626" s="704" t="s">
        <v>7699</v>
      </c>
      <c r="B626" s="689" t="s">
        <v>1636</v>
      </c>
      <c r="C626" s="689" t="s">
        <v>5025</v>
      </c>
      <c r="D626" s="7" t="s">
        <v>7173</v>
      </c>
      <c r="E626" s="519" t="s">
        <v>7174</v>
      </c>
      <c r="F626" s="690" t="s">
        <v>5026</v>
      </c>
      <c r="G626" s="690" t="s">
        <v>11</v>
      </c>
      <c r="H626" s="519" t="s">
        <v>6767</v>
      </c>
      <c r="I626" s="691">
        <v>125</v>
      </c>
      <c r="J626" s="692">
        <v>25446</v>
      </c>
      <c r="K626" s="703"/>
    </row>
    <row r="627" spans="1:11" s="693" customFormat="1" ht="38.25">
      <c r="A627" s="704" t="s">
        <v>7704</v>
      </c>
      <c r="B627" s="689" t="s">
        <v>843</v>
      </c>
      <c r="C627" s="689" t="s">
        <v>844</v>
      </c>
      <c r="D627" s="7" t="s">
        <v>7183</v>
      </c>
      <c r="E627" s="519" t="s">
        <v>7001</v>
      </c>
      <c r="F627" s="690" t="s">
        <v>272</v>
      </c>
      <c r="G627" s="690" t="s">
        <v>11</v>
      </c>
      <c r="H627" s="519" t="s">
        <v>7182</v>
      </c>
      <c r="I627" s="691">
        <v>113</v>
      </c>
      <c r="J627" s="692">
        <v>766</v>
      </c>
      <c r="K627" s="703"/>
    </row>
    <row r="628" spans="1:11" s="693" customFormat="1" ht="38.25">
      <c r="A628" s="704" t="s">
        <v>7709</v>
      </c>
      <c r="B628" s="689" t="s">
        <v>843</v>
      </c>
      <c r="C628" s="689" t="s">
        <v>844</v>
      </c>
      <c r="D628" s="7" t="s">
        <v>7183</v>
      </c>
      <c r="E628" s="519" t="s">
        <v>7001</v>
      </c>
      <c r="F628" s="690" t="s">
        <v>272</v>
      </c>
      <c r="G628" s="690" t="s">
        <v>11</v>
      </c>
      <c r="H628" s="519" t="s">
        <v>7182</v>
      </c>
      <c r="I628" s="691">
        <v>113</v>
      </c>
      <c r="J628" s="692">
        <v>776</v>
      </c>
      <c r="K628" s="703"/>
    </row>
    <row r="629" spans="1:11" s="693" customFormat="1" ht="25.5">
      <c r="A629" s="704" t="s">
        <v>7714</v>
      </c>
      <c r="B629" s="689" t="s">
        <v>843</v>
      </c>
      <c r="C629" s="689" t="s">
        <v>1231</v>
      </c>
      <c r="D629" s="7" t="s">
        <v>1234</v>
      </c>
      <c r="E629" s="519" t="s">
        <v>6536</v>
      </c>
      <c r="F629" s="690" t="s">
        <v>1232</v>
      </c>
      <c r="G629" s="690" t="s">
        <v>11</v>
      </c>
      <c r="H629" s="519" t="s">
        <v>6535</v>
      </c>
      <c r="I629" s="691">
        <v>1150</v>
      </c>
      <c r="J629" s="692">
        <v>911</v>
      </c>
      <c r="K629" s="703"/>
    </row>
    <row r="630" spans="1:11" s="693" customFormat="1">
      <c r="A630" s="704" t="s">
        <v>7716</v>
      </c>
      <c r="B630" s="689" t="s">
        <v>843</v>
      </c>
      <c r="C630" s="689" t="s">
        <v>843</v>
      </c>
      <c r="D630" s="7" t="s">
        <v>7185</v>
      </c>
      <c r="E630" s="519" t="s">
        <v>7001</v>
      </c>
      <c r="F630" s="690" t="s">
        <v>225</v>
      </c>
      <c r="G630" s="690" t="s">
        <v>11</v>
      </c>
      <c r="H630" s="519" t="s">
        <v>7182</v>
      </c>
      <c r="I630" s="691">
        <v>154</v>
      </c>
      <c r="J630" s="692">
        <v>4369</v>
      </c>
      <c r="K630" s="703"/>
    </row>
    <row r="631" spans="1:11" s="693" customFormat="1">
      <c r="A631" s="704" t="s">
        <v>7719</v>
      </c>
      <c r="B631" s="689" t="s">
        <v>1785</v>
      </c>
      <c r="C631" s="689" t="s">
        <v>7189</v>
      </c>
      <c r="D631" s="7" t="s">
        <v>7191</v>
      </c>
      <c r="E631" s="519" t="s">
        <v>7192</v>
      </c>
      <c r="F631" s="690" t="s">
        <v>12564</v>
      </c>
      <c r="G631" s="690" t="s">
        <v>15</v>
      </c>
      <c r="H631" s="519" t="s">
        <v>7190</v>
      </c>
      <c r="I631" s="691">
        <v>36000</v>
      </c>
      <c r="J631" s="692">
        <v>38</v>
      </c>
      <c r="K631" s="703"/>
    </row>
    <row r="632" spans="1:11" s="693" customFormat="1">
      <c r="A632" s="704" t="s">
        <v>7724</v>
      </c>
      <c r="B632" s="689" t="s">
        <v>1477</v>
      </c>
      <c r="C632" s="689" t="s">
        <v>12483</v>
      </c>
      <c r="D632" s="700" t="s">
        <v>12657</v>
      </c>
      <c r="E632" s="695" t="s">
        <v>7015</v>
      </c>
      <c r="F632" s="690" t="s">
        <v>2522</v>
      </c>
      <c r="G632" s="690" t="s">
        <v>520</v>
      </c>
      <c r="H632" s="519" t="s">
        <v>12661</v>
      </c>
      <c r="I632" s="691">
        <v>1260</v>
      </c>
      <c r="J632" s="692">
        <v>34</v>
      </c>
      <c r="K632" s="703"/>
    </row>
    <row r="633" spans="1:11" s="693" customFormat="1" ht="25.5">
      <c r="A633" s="704" t="s">
        <v>7726</v>
      </c>
      <c r="B633" s="689" t="s">
        <v>1402</v>
      </c>
      <c r="C633" s="689" t="s">
        <v>1402</v>
      </c>
      <c r="D633" s="7" t="s">
        <v>7197</v>
      </c>
      <c r="E633" s="519" t="s">
        <v>7001</v>
      </c>
      <c r="F633" s="690" t="s">
        <v>225</v>
      </c>
      <c r="G633" s="690" t="s">
        <v>11</v>
      </c>
      <c r="H633" s="519" t="s">
        <v>7196</v>
      </c>
      <c r="I633" s="691">
        <v>162</v>
      </c>
      <c r="J633" s="692">
        <v>600</v>
      </c>
      <c r="K633" s="703"/>
    </row>
    <row r="634" spans="1:11" s="693" customFormat="1" ht="25.5">
      <c r="A634" s="704" t="s">
        <v>7730</v>
      </c>
      <c r="B634" s="689" t="s">
        <v>1402</v>
      </c>
      <c r="C634" s="689" t="s">
        <v>1402</v>
      </c>
      <c r="D634" s="7" t="s">
        <v>7197</v>
      </c>
      <c r="E634" s="519" t="s">
        <v>7001</v>
      </c>
      <c r="F634" s="690" t="s">
        <v>225</v>
      </c>
      <c r="G634" s="690" t="s">
        <v>11</v>
      </c>
      <c r="H634" s="519" t="s">
        <v>7196</v>
      </c>
      <c r="I634" s="691">
        <v>162</v>
      </c>
      <c r="J634" s="692">
        <v>1366</v>
      </c>
      <c r="K634" s="703"/>
    </row>
    <row r="635" spans="1:11" s="693" customFormat="1" ht="25.5">
      <c r="A635" s="704" t="s">
        <v>7735</v>
      </c>
      <c r="B635" s="689" t="s">
        <v>1402</v>
      </c>
      <c r="C635" s="689" t="s">
        <v>1402</v>
      </c>
      <c r="D635" s="7" t="s">
        <v>7197</v>
      </c>
      <c r="E635" s="519" t="s">
        <v>7001</v>
      </c>
      <c r="F635" s="690" t="s">
        <v>225</v>
      </c>
      <c r="G635" s="690" t="s">
        <v>11</v>
      </c>
      <c r="H635" s="519" t="s">
        <v>7196</v>
      </c>
      <c r="I635" s="691">
        <v>162</v>
      </c>
      <c r="J635" s="692">
        <v>4600</v>
      </c>
      <c r="K635" s="703"/>
    </row>
    <row r="636" spans="1:11" s="693" customFormat="1" ht="38.25">
      <c r="A636" s="704" t="s">
        <v>7738</v>
      </c>
      <c r="B636" s="689" t="s">
        <v>111</v>
      </c>
      <c r="C636" s="689" t="s">
        <v>4675</v>
      </c>
      <c r="D636" s="7" t="s">
        <v>2193</v>
      </c>
      <c r="E636" s="519" t="s">
        <v>8881</v>
      </c>
      <c r="F636" s="690" t="s">
        <v>4676</v>
      </c>
      <c r="G636" s="690" t="s">
        <v>13</v>
      </c>
      <c r="H636" s="519" t="s">
        <v>8880</v>
      </c>
      <c r="I636" s="691">
        <v>12000</v>
      </c>
      <c r="J636" s="692">
        <v>2000</v>
      </c>
      <c r="K636" s="703"/>
    </row>
    <row r="637" spans="1:11" s="693" customFormat="1" ht="38.25">
      <c r="A637" s="704" t="s">
        <v>7743</v>
      </c>
      <c r="B637" s="689" t="s">
        <v>111</v>
      </c>
      <c r="C637" s="689" t="s">
        <v>4675</v>
      </c>
      <c r="D637" s="7" t="s">
        <v>2193</v>
      </c>
      <c r="E637" s="519" t="s">
        <v>8881</v>
      </c>
      <c r="F637" s="690" t="s">
        <v>4676</v>
      </c>
      <c r="G637" s="690" t="s">
        <v>13</v>
      </c>
      <c r="H637" s="519" t="s">
        <v>8880</v>
      </c>
      <c r="I637" s="691">
        <v>12000</v>
      </c>
      <c r="J637" s="692">
        <v>4108</v>
      </c>
      <c r="K637" s="703"/>
    </row>
    <row r="638" spans="1:11" s="666" customFormat="1" ht="30" customHeight="1">
      <c r="A638" s="8"/>
      <c r="B638" s="706" t="s">
        <v>12686</v>
      </c>
      <c r="C638" s="519"/>
      <c r="D638" s="7"/>
      <c r="E638" s="519"/>
      <c r="F638" s="7"/>
      <c r="G638" s="7"/>
      <c r="H638" s="519"/>
      <c r="I638" s="63"/>
      <c r="J638" s="683"/>
      <c r="K638" s="665"/>
    </row>
    <row r="639" spans="1:11" s="667" customFormat="1" ht="22.5" customHeight="1">
      <c r="A639" s="490"/>
      <c r="C639" s="626"/>
      <c r="D639" s="701"/>
      <c r="E639" s="626"/>
      <c r="F639" s="624"/>
      <c r="G639" s="624"/>
      <c r="H639" s="626"/>
      <c r="I639" s="492"/>
      <c r="J639" s="686"/>
      <c r="K639" s="669"/>
    </row>
    <row r="640" spans="1:11" s="672" customFormat="1" ht="18.75">
      <c r="A640" s="62"/>
      <c r="C640" s="612" t="s">
        <v>9</v>
      </c>
      <c r="D640" s="702"/>
      <c r="E640" s="612"/>
      <c r="F640" s="653"/>
      <c r="G640" s="653" t="s">
        <v>12684</v>
      </c>
      <c r="I640" s="314"/>
      <c r="J640" s="688"/>
      <c r="K640" s="673"/>
    </row>
    <row r="641" spans="1:11">
      <c r="H641" s="670"/>
      <c r="I641" s="314"/>
    </row>
    <row r="642" spans="1:11" ht="18.75">
      <c r="H642" s="670"/>
      <c r="I642" s="122"/>
    </row>
    <row r="645" spans="1:11" s="672" customFormat="1" ht="18.75">
      <c r="A645" s="62"/>
      <c r="C645" s="612" t="s">
        <v>3520</v>
      </c>
      <c r="D645" s="653"/>
      <c r="E645" s="612"/>
      <c r="F645" s="653"/>
      <c r="G645" s="653" t="s">
        <v>12685</v>
      </c>
      <c r="I645" s="315"/>
      <c r="J645" s="688"/>
      <c r="K645" s="673"/>
    </row>
  </sheetData>
  <autoFilter ref="A8:M8"/>
  <sortState ref="A10:S638">
    <sortCondition ref="B10:B638"/>
  </sortState>
  <mergeCells count="1">
    <mergeCell ref="A6:J6"/>
  </mergeCells>
  <printOptions horizontalCentered="1"/>
  <pageMargins left="0" right="0" top="0.25" bottom="0.25" header="0.3" footer="0.3"/>
  <pageSetup paperSize="9" scale="78" orientation="landscape" verticalDpi="0" r:id="rId1"/>
  <drawing r:id="rId2"/>
</worksheet>
</file>

<file path=xl/worksheets/sheet10.xml><?xml version="1.0" encoding="utf-8"?>
<worksheet xmlns="http://schemas.openxmlformats.org/spreadsheetml/2006/main" xmlns:r="http://schemas.openxmlformats.org/officeDocument/2006/relationships">
  <dimension ref="A1:AA974"/>
  <sheetViews>
    <sheetView topLeftCell="A9" zoomScale="89" zoomScaleNormal="89" workbookViewId="0">
      <pane xSplit="7" ySplit="1" topLeftCell="H10" activePane="bottomRight" state="frozen"/>
      <selection activeCell="A9" sqref="A9"/>
      <selection pane="topRight" activeCell="H9" sqref="H9"/>
      <selection pane="bottomLeft" activeCell="A10" sqref="A10"/>
      <selection pane="bottomRight" activeCell="E74" sqref="E74"/>
    </sheetView>
  </sheetViews>
  <sheetFormatPr defaultRowHeight="12.75"/>
  <cols>
    <col min="1" max="1" width="5.375" style="39" customWidth="1"/>
    <col min="2" max="2" width="26.375" style="60" customWidth="1"/>
    <col min="3" max="4" width="8" style="39" customWidth="1"/>
    <col min="5" max="5" width="24.375" style="60" customWidth="1"/>
    <col min="6" max="6" width="43" style="39" customWidth="1"/>
    <col min="7" max="7" width="45.75" style="39" customWidth="1"/>
    <col min="8" max="8" width="14.75" style="39" customWidth="1"/>
    <col min="9" max="9" width="9" style="39" customWidth="1"/>
    <col min="10" max="10" width="27.75" style="39" customWidth="1"/>
    <col min="11" max="11" width="10.25" style="109" customWidth="1"/>
    <col min="12" max="12" width="10.875" style="53" bestFit="1" customWidth="1"/>
    <col min="13" max="13" width="11.75" style="54" bestFit="1" customWidth="1"/>
    <col min="14" max="14" width="10.375" style="54" customWidth="1"/>
    <col min="15" max="15" width="11.75" style="54" bestFit="1" customWidth="1"/>
    <col min="16" max="16" width="10" style="54" customWidth="1"/>
    <col min="17" max="17" width="9.75" style="53" customWidth="1"/>
    <col min="18" max="18" width="9" style="18" customWidth="1"/>
    <col min="19" max="16384" width="9" style="18"/>
  </cols>
  <sheetData>
    <row r="1" spans="1:19" s="22" customFormat="1" ht="18.75">
      <c r="A1" s="21" t="s">
        <v>2626</v>
      </c>
      <c r="B1" s="55"/>
      <c r="C1" s="23"/>
      <c r="D1" s="23"/>
      <c r="E1" s="55"/>
      <c r="F1" s="23"/>
      <c r="G1" s="24" t="s">
        <v>2</v>
      </c>
      <c r="H1" s="23"/>
      <c r="I1" s="23"/>
      <c r="J1" s="23"/>
      <c r="K1" s="101"/>
      <c r="L1" s="43"/>
      <c r="M1" s="44"/>
      <c r="N1" s="44"/>
      <c r="O1" s="44"/>
      <c r="P1" s="44"/>
      <c r="Q1" s="43"/>
    </row>
    <row r="2" spans="1:19" s="22" customFormat="1" ht="18.75">
      <c r="A2" s="25" t="s">
        <v>2627</v>
      </c>
      <c r="B2" s="55"/>
      <c r="C2" s="23"/>
      <c r="D2" s="23"/>
      <c r="E2" s="55"/>
      <c r="F2" s="23"/>
      <c r="G2" s="24" t="s">
        <v>3</v>
      </c>
      <c r="H2" s="23"/>
      <c r="I2" s="23"/>
      <c r="J2" s="23"/>
      <c r="K2" s="101"/>
      <c r="L2" s="43"/>
      <c r="M2" s="44"/>
      <c r="N2" s="44"/>
      <c r="O2" s="44"/>
      <c r="P2" s="44"/>
      <c r="Q2" s="43"/>
    </row>
    <row r="3" spans="1:19" s="22" customFormat="1" ht="18.75">
      <c r="A3" s="23"/>
      <c r="B3" s="55"/>
      <c r="C3" s="23"/>
      <c r="D3" s="23"/>
      <c r="E3" s="55"/>
      <c r="F3" s="23"/>
      <c r="G3" s="23"/>
      <c r="H3" s="23"/>
      <c r="I3" s="23"/>
      <c r="J3" s="23"/>
      <c r="K3" s="101"/>
      <c r="L3" s="43"/>
      <c r="M3" s="44"/>
      <c r="N3" s="44"/>
      <c r="O3" s="44"/>
      <c r="P3" s="44"/>
      <c r="Q3" s="43"/>
    </row>
    <row r="4" spans="1:19" s="22" customFormat="1" ht="18.75">
      <c r="A4" s="23"/>
      <c r="B4" s="55"/>
      <c r="C4" s="23"/>
      <c r="D4" s="23"/>
      <c r="E4" s="55"/>
      <c r="F4" s="23"/>
      <c r="G4" s="26" t="s">
        <v>3522</v>
      </c>
      <c r="H4" s="23"/>
      <c r="I4" s="23"/>
      <c r="J4" s="23"/>
      <c r="K4" s="101"/>
      <c r="L4" s="43"/>
      <c r="M4" s="44"/>
      <c r="N4" s="44"/>
      <c r="O4" s="44"/>
      <c r="P4" s="44"/>
      <c r="Q4" s="43"/>
    </row>
    <row r="6" spans="1:19" s="32" customFormat="1" ht="18.75">
      <c r="A6" s="27" t="s">
        <v>3521</v>
      </c>
      <c r="B6" s="56"/>
      <c r="C6" s="28"/>
      <c r="D6" s="28"/>
      <c r="E6" s="56"/>
      <c r="F6" s="29"/>
      <c r="G6" s="30"/>
      <c r="H6" s="31"/>
      <c r="I6" s="30"/>
      <c r="J6" s="29"/>
      <c r="K6" s="102"/>
      <c r="L6" s="45"/>
      <c r="M6" s="46"/>
      <c r="N6" s="46"/>
      <c r="O6" s="46"/>
      <c r="P6" s="46"/>
      <c r="Q6" s="45"/>
    </row>
    <row r="7" spans="1:19" s="32" customFormat="1" ht="15.75">
      <c r="A7" s="33"/>
      <c r="B7" s="57"/>
      <c r="E7" s="57"/>
      <c r="F7" s="33"/>
      <c r="G7" s="34"/>
      <c r="H7" s="33"/>
      <c r="I7" s="34"/>
      <c r="J7" s="33"/>
      <c r="K7" s="103"/>
      <c r="L7" s="45"/>
      <c r="M7" s="46"/>
      <c r="N7" s="46"/>
      <c r="O7" s="46"/>
      <c r="P7" s="46"/>
      <c r="Q7" s="45"/>
    </row>
    <row r="8" spans="1:19" s="32" customFormat="1" ht="15.75">
      <c r="A8" s="33"/>
      <c r="B8" s="57"/>
      <c r="E8" s="57"/>
      <c r="F8" s="33"/>
      <c r="G8" s="34"/>
      <c r="H8" s="33"/>
      <c r="I8" s="34"/>
      <c r="J8" s="33"/>
      <c r="K8" s="103"/>
      <c r="L8" s="45"/>
      <c r="M8" s="46"/>
      <c r="N8" s="46"/>
      <c r="O8" s="46"/>
      <c r="P8" s="46"/>
      <c r="Q8" s="45"/>
    </row>
    <row r="9" spans="1:19" s="36" customFormat="1" ht="54.75" customHeight="1">
      <c r="A9" s="35" t="s">
        <v>2628</v>
      </c>
      <c r="B9" s="58" t="s">
        <v>214</v>
      </c>
      <c r="C9" s="35" t="s">
        <v>2629</v>
      </c>
      <c r="D9" s="35" t="s">
        <v>2630</v>
      </c>
      <c r="E9" s="58" t="s">
        <v>2631</v>
      </c>
      <c r="F9" s="35" t="s">
        <v>2632</v>
      </c>
      <c r="G9" s="35" t="s">
        <v>2633</v>
      </c>
      <c r="H9" s="35" t="s">
        <v>2634</v>
      </c>
      <c r="I9" s="35" t="s">
        <v>2635</v>
      </c>
      <c r="J9" s="35" t="s">
        <v>2636</v>
      </c>
      <c r="K9" s="104" t="s">
        <v>2637</v>
      </c>
      <c r="L9" s="47" t="s">
        <v>2638</v>
      </c>
      <c r="M9" s="48" t="s">
        <v>2639</v>
      </c>
      <c r="N9" s="48" t="s">
        <v>2640</v>
      </c>
      <c r="O9" s="48" t="s">
        <v>2641</v>
      </c>
      <c r="P9" s="48" t="s">
        <v>2642</v>
      </c>
      <c r="Q9" s="47" t="s">
        <v>2643</v>
      </c>
    </row>
    <row r="10" spans="1:19" ht="19.5" customHeight="1">
      <c r="A10" s="2">
        <v>1</v>
      </c>
      <c r="B10" s="11" t="s">
        <v>629</v>
      </c>
      <c r="C10" s="4"/>
      <c r="D10" s="4"/>
      <c r="E10" s="11" t="s">
        <v>630</v>
      </c>
      <c r="F10" s="2" t="s">
        <v>633</v>
      </c>
      <c r="G10" s="2" t="s">
        <v>621</v>
      </c>
      <c r="H10" s="2" t="s">
        <v>631</v>
      </c>
      <c r="I10" s="2" t="s">
        <v>18</v>
      </c>
      <c r="J10" s="2" t="s">
        <v>632</v>
      </c>
      <c r="K10" s="105">
        <v>11550</v>
      </c>
      <c r="L10" s="63">
        <v>0</v>
      </c>
      <c r="M10" s="63"/>
      <c r="N10" s="63"/>
      <c r="O10" s="63"/>
      <c r="P10" s="63"/>
      <c r="Q10" s="63"/>
      <c r="R10" s="100">
        <f>L10+M10-O10</f>
        <v>0</v>
      </c>
      <c r="S10" s="100">
        <f>Q10-R10</f>
        <v>0</v>
      </c>
    </row>
    <row r="11" spans="1:19" ht="19.5" customHeight="1">
      <c r="A11" s="2">
        <v>2</v>
      </c>
      <c r="B11" s="11" t="s">
        <v>634</v>
      </c>
      <c r="C11" s="4"/>
      <c r="D11" s="4"/>
      <c r="E11" s="11" t="s">
        <v>635</v>
      </c>
      <c r="F11" s="2" t="s">
        <v>637</v>
      </c>
      <c r="G11" s="2" t="s">
        <v>621</v>
      </c>
      <c r="H11" s="2" t="s">
        <v>235</v>
      </c>
      <c r="I11" s="2" t="s">
        <v>10</v>
      </c>
      <c r="J11" s="2" t="s">
        <v>636</v>
      </c>
      <c r="K11" s="105">
        <v>428</v>
      </c>
      <c r="L11" s="63">
        <v>4500</v>
      </c>
      <c r="M11" s="63">
        <v>15000</v>
      </c>
      <c r="N11" s="63"/>
      <c r="O11" s="63">
        <v>9009</v>
      </c>
      <c r="P11" s="63"/>
      <c r="Q11" s="63">
        <v>10491</v>
      </c>
      <c r="R11" s="100">
        <f t="shared" ref="R11:R74" si="0">L11+M11-O11</f>
        <v>10491</v>
      </c>
      <c r="S11" s="100">
        <f t="shared" ref="S11:S74" si="1">Q11-R11</f>
        <v>0</v>
      </c>
    </row>
    <row r="12" spans="1:19" ht="19.5" customHeight="1">
      <c r="A12" s="2">
        <v>3</v>
      </c>
      <c r="B12" s="64" t="s">
        <v>438</v>
      </c>
      <c r="C12" s="3"/>
      <c r="D12" s="3"/>
      <c r="E12" s="11" t="s">
        <v>2644</v>
      </c>
      <c r="F12" s="2" t="s">
        <v>440</v>
      </c>
      <c r="G12" s="2" t="s">
        <v>441</v>
      </c>
      <c r="H12" s="2" t="s">
        <v>229</v>
      </c>
      <c r="I12" s="2" t="s">
        <v>520</v>
      </c>
      <c r="J12" s="2" t="s">
        <v>439</v>
      </c>
      <c r="K12" s="105">
        <v>1190</v>
      </c>
      <c r="L12" s="63">
        <v>674</v>
      </c>
      <c r="M12" s="63">
        <f>17+516+311</f>
        <v>844</v>
      </c>
      <c r="N12" s="63"/>
      <c r="O12" s="63">
        <f>17+174+200+816+107</f>
        <v>1314</v>
      </c>
      <c r="P12" s="63"/>
      <c r="Q12" s="63">
        <v>204</v>
      </c>
      <c r="R12" s="100">
        <f t="shared" si="0"/>
        <v>204</v>
      </c>
      <c r="S12" s="100">
        <f t="shared" si="1"/>
        <v>0</v>
      </c>
    </row>
    <row r="13" spans="1:19" ht="19.5" customHeight="1">
      <c r="A13" s="2">
        <v>4</v>
      </c>
      <c r="B13" s="65" t="s">
        <v>474</v>
      </c>
      <c r="C13" s="11"/>
      <c r="D13" s="11"/>
      <c r="E13" s="65" t="s">
        <v>2433</v>
      </c>
      <c r="F13" s="2" t="s">
        <v>2645</v>
      </c>
      <c r="G13" s="2" t="s">
        <v>2646</v>
      </c>
      <c r="H13" s="66" t="s">
        <v>1995</v>
      </c>
      <c r="I13" s="66" t="s">
        <v>11</v>
      </c>
      <c r="J13" s="66" t="s">
        <v>1710</v>
      </c>
      <c r="K13" s="106">
        <v>112</v>
      </c>
      <c r="L13" s="63">
        <v>10</v>
      </c>
      <c r="M13" s="63">
        <v>0</v>
      </c>
      <c r="N13" s="63"/>
      <c r="O13" s="63">
        <v>10</v>
      </c>
      <c r="P13" s="63"/>
      <c r="Q13" s="63">
        <v>0</v>
      </c>
      <c r="R13" s="100">
        <f t="shared" si="0"/>
        <v>0</v>
      </c>
      <c r="S13" s="100">
        <f t="shared" si="1"/>
        <v>0</v>
      </c>
    </row>
    <row r="14" spans="1:19" ht="19.5" customHeight="1">
      <c r="A14" s="2">
        <v>5</v>
      </c>
      <c r="B14" s="11" t="s">
        <v>601</v>
      </c>
      <c r="C14" s="4"/>
      <c r="D14" s="4"/>
      <c r="E14" s="11" t="s">
        <v>602</v>
      </c>
      <c r="F14" s="2" t="s">
        <v>605</v>
      </c>
      <c r="G14" s="2" t="s">
        <v>606</v>
      </c>
      <c r="H14" s="2" t="s">
        <v>603</v>
      </c>
      <c r="I14" s="2" t="s">
        <v>14</v>
      </c>
      <c r="J14" s="2" t="s">
        <v>604</v>
      </c>
      <c r="K14" s="105">
        <v>157000</v>
      </c>
      <c r="L14" s="63">
        <v>0</v>
      </c>
      <c r="M14" s="63">
        <f>300+100+200+1600</f>
        <v>2200</v>
      </c>
      <c r="N14" s="63"/>
      <c r="O14" s="63">
        <v>2200</v>
      </c>
      <c r="P14" s="63"/>
      <c r="Q14" s="63">
        <v>0</v>
      </c>
      <c r="R14" s="100">
        <f t="shared" si="0"/>
        <v>0</v>
      </c>
      <c r="S14" s="100">
        <f t="shared" si="1"/>
        <v>0</v>
      </c>
    </row>
    <row r="15" spans="1:19" ht="19.5" customHeight="1">
      <c r="A15" s="2">
        <v>6</v>
      </c>
      <c r="B15" s="67" t="s">
        <v>939</v>
      </c>
      <c r="C15" s="4"/>
      <c r="D15" s="4"/>
      <c r="E15" s="67" t="s">
        <v>940</v>
      </c>
      <c r="F15" s="68" t="s">
        <v>942</v>
      </c>
      <c r="G15" s="68" t="s">
        <v>943</v>
      </c>
      <c r="H15" s="68" t="s">
        <v>299</v>
      </c>
      <c r="I15" s="68" t="s">
        <v>12</v>
      </c>
      <c r="J15" s="68" t="s">
        <v>941</v>
      </c>
      <c r="K15" s="105">
        <v>2025</v>
      </c>
      <c r="L15" s="63">
        <v>7513</v>
      </c>
      <c r="M15" s="63">
        <v>6000</v>
      </c>
      <c r="N15" s="63"/>
      <c r="O15" s="63">
        <f>513+7000+2000</f>
        <v>9513</v>
      </c>
      <c r="P15" s="63"/>
      <c r="Q15" s="63">
        <v>4000</v>
      </c>
      <c r="R15" s="100">
        <f t="shared" si="0"/>
        <v>4000</v>
      </c>
      <c r="S15" s="100">
        <f t="shared" si="1"/>
        <v>0</v>
      </c>
    </row>
    <row r="16" spans="1:19" ht="19.5" customHeight="1">
      <c r="A16" s="2">
        <v>7</v>
      </c>
      <c r="B16" s="67" t="s">
        <v>560</v>
      </c>
      <c r="C16" s="4"/>
      <c r="D16" s="4"/>
      <c r="E16" s="11" t="s">
        <v>561</v>
      </c>
      <c r="F16" s="2" t="s">
        <v>563</v>
      </c>
      <c r="G16" s="2" t="s">
        <v>215</v>
      </c>
      <c r="H16" s="2" t="s">
        <v>299</v>
      </c>
      <c r="I16" s="2" t="s">
        <v>13</v>
      </c>
      <c r="J16" s="2" t="s">
        <v>562</v>
      </c>
      <c r="K16" s="105">
        <v>349</v>
      </c>
      <c r="L16" s="63">
        <v>110</v>
      </c>
      <c r="M16" s="63">
        <v>0</v>
      </c>
      <c r="N16" s="63"/>
      <c r="O16" s="63">
        <v>110</v>
      </c>
      <c r="P16" s="63"/>
      <c r="Q16" s="63">
        <v>0</v>
      </c>
      <c r="R16" s="100">
        <f t="shared" si="0"/>
        <v>0</v>
      </c>
      <c r="S16" s="100">
        <f t="shared" si="1"/>
        <v>0</v>
      </c>
    </row>
    <row r="17" spans="1:19" ht="19.5" customHeight="1">
      <c r="A17" s="2">
        <v>8</v>
      </c>
      <c r="B17" s="67" t="s">
        <v>750</v>
      </c>
      <c r="C17" s="4"/>
      <c r="D17" s="4"/>
      <c r="E17" s="11" t="s">
        <v>832</v>
      </c>
      <c r="F17" s="2" t="s">
        <v>835</v>
      </c>
      <c r="G17" s="2" t="s">
        <v>806</v>
      </c>
      <c r="H17" s="2" t="s">
        <v>833</v>
      </c>
      <c r="I17" s="2" t="s">
        <v>13</v>
      </c>
      <c r="J17" s="2" t="s">
        <v>834</v>
      </c>
      <c r="K17" s="105">
        <v>591</v>
      </c>
      <c r="L17" s="63">
        <v>1906</v>
      </c>
      <c r="M17" s="63">
        <v>13500</v>
      </c>
      <c r="N17" s="63"/>
      <c r="O17" s="63">
        <v>10506</v>
      </c>
      <c r="P17" s="63"/>
      <c r="Q17" s="63">
        <v>4900</v>
      </c>
      <c r="R17" s="100">
        <f t="shared" si="0"/>
        <v>4900</v>
      </c>
      <c r="S17" s="100">
        <f t="shared" si="1"/>
        <v>0</v>
      </c>
    </row>
    <row r="18" spans="1:19" ht="19.5" customHeight="1">
      <c r="A18" s="2">
        <v>9</v>
      </c>
      <c r="B18" s="11" t="s">
        <v>560</v>
      </c>
      <c r="C18" s="11"/>
      <c r="D18" s="11"/>
      <c r="E18" s="11" t="s">
        <v>939</v>
      </c>
      <c r="F18" s="2" t="s">
        <v>2647</v>
      </c>
      <c r="G18" s="2" t="s">
        <v>1310</v>
      </c>
      <c r="H18" s="2" t="s">
        <v>299</v>
      </c>
      <c r="I18" s="2" t="s">
        <v>11</v>
      </c>
      <c r="J18" s="2" t="s">
        <v>1715</v>
      </c>
      <c r="K18" s="105">
        <v>186</v>
      </c>
      <c r="L18" s="63">
        <v>0</v>
      </c>
      <c r="M18" s="63"/>
      <c r="N18" s="63"/>
      <c r="O18" s="63"/>
      <c r="P18" s="63"/>
      <c r="Q18" s="63"/>
      <c r="R18" s="100">
        <f t="shared" si="0"/>
        <v>0</v>
      </c>
      <c r="S18" s="100">
        <f t="shared" si="1"/>
        <v>0</v>
      </c>
    </row>
    <row r="19" spans="1:19" ht="19.5" customHeight="1">
      <c r="A19" s="2">
        <v>10</v>
      </c>
      <c r="B19" s="11" t="s">
        <v>939</v>
      </c>
      <c r="C19" s="4"/>
      <c r="D19" s="4"/>
      <c r="E19" s="11" t="s">
        <v>1714</v>
      </c>
      <c r="F19" s="2" t="s">
        <v>1716</v>
      </c>
      <c r="G19" s="2" t="s">
        <v>1170</v>
      </c>
      <c r="H19" s="2" t="s">
        <v>299</v>
      </c>
      <c r="I19" s="2" t="s">
        <v>11</v>
      </c>
      <c r="J19" s="2" t="s">
        <v>1715</v>
      </c>
      <c r="K19" s="105">
        <v>540</v>
      </c>
      <c r="L19" s="63">
        <v>9069</v>
      </c>
      <c r="M19" s="63">
        <v>52032</v>
      </c>
      <c r="N19" s="63"/>
      <c r="O19" s="63">
        <f>51997+8694</f>
        <v>60691</v>
      </c>
      <c r="P19" s="63"/>
      <c r="Q19" s="63">
        <v>410</v>
      </c>
      <c r="R19" s="100">
        <f t="shared" si="0"/>
        <v>410</v>
      </c>
      <c r="S19" s="100">
        <f t="shared" si="1"/>
        <v>0</v>
      </c>
    </row>
    <row r="20" spans="1:19" ht="19.5" customHeight="1">
      <c r="A20" s="2">
        <v>11</v>
      </c>
      <c r="B20" s="11" t="s">
        <v>639</v>
      </c>
      <c r="C20" s="11"/>
      <c r="D20" s="11"/>
      <c r="E20" s="11" t="s">
        <v>639</v>
      </c>
      <c r="F20" s="2" t="s">
        <v>2648</v>
      </c>
      <c r="G20" s="2" t="s">
        <v>644</v>
      </c>
      <c r="H20" s="2" t="s">
        <v>299</v>
      </c>
      <c r="I20" s="2" t="s">
        <v>10</v>
      </c>
      <c r="J20" s="2" t="s">
        <v>1447</v>
      </c>
      <c r="K20" s="105">
        <v>374</v>
      </c>
      <c r="L20" s="63">
        <v>8</v>
      </c>
      <c r="M20" s="63">
        <v>0</v>
      </c>
      <c r="N20" s="63"/>
      <c r="O20" s="63">
        <v>8</v>
      </c>
      <c r="P20" s="63"/>
      <c r="Q20" s="63">
        <v>0</v>
      </c>
      <c r="R20" s="100">
        <f t="shared" si="0"/>
        <v>0</v>
      </c>
      <c r="S20" s="100">
        <f t="shared" si="1"/>
        <v>0</v>
      </c>
    </row>
    <row r="21" spans="1:19" ht="19.5" customHeight="1">
      <c r="A21" s="2">
        <v>12</v>
      </c>
      <c r="B21" s="67" t="s">
        <v>639</v>
      </c>
      <c r="C21" s="4"/>
      <c r="D21" s="4"/>
      <c r="E21" s="11" t="s">
        <v>1446</v>
      </c>
      <c r="F21" s="2" t="s">
        <v>1448</v>
      </c>
      <c r="G21" s="2" t="s">
        <v>1449</v>
      </c>
      <c r="H21" s="2" t="s">
        <v>299</v>
      </c>
      <c r="I21" s="2" t="s">
        <v>10</v>
      </c>
      <c r="J21" s="2" t="s">
        <v>1447</v>
      </c>
      <c r="K21" s="105">
        <v>346</v>
      </c>
      <c r="L21" s="63">
        <v>0</v>
      </c>
      <c r="M21" s="63"/>
      <c r="N21" s="63"/>
      <c r="O21" s="63"/>
      <c r="P21" s="63"/>
      <c r="Q21" s="63"/>
      <c r="R21" s="100">
        <f t="shared" si="0"/>
        <v>0</v>
      </c>
      <c r="S21" s="100">
        <f t="shared" si="1"/>
        <v>0</v>
      </c>
    </row>
    <row r="22" spans="1:19" ht="19.5" customHeight="1">
      <c r="A22" s="2">
        <v>13</v>
      </c>
      <c r="B22" s="67" t="s">
        <v>639</v>
      </c>
      <c r="C22" s="4"/>
      <c r="D22" s="4"/>
      <c r="E22" s="69" t="s">
        <v>640</v>
      </c>
      <c r="F22" s="2" t="s">
        <v>643</v>
      </c>
      <c r="G22" s="2" t="s">
        <v>644</v>
      </c>
      <c r="H22" s="2" t="s">
        <v>641</v>
      </c>
      <c r="I22" s="2" t="s">
        <v>10</v>
      </c>
      <c r="J22" s="2" t="s">
        <v>642</v>
      </c>
      <c r="K22" s="105">
        <v>1010</v>
      </c>
      <c r="L22" s="63">
        <v>100</v>
      </c>
      <c r="M22" s="63">
        <v>2700</v>
      </c>
      <c r="N22" s="63"/>
      <c r="O22" s="63">
        <v>2574</v>
      </c>
      <c r="P22" s="63"/>
      <c r="Q22" s="63">
        <v>226</v>
      </c>
      <c r="R22" s="100">
        <f t="shared" si="0"/>
        <v>226</v>
      </c>
      <c r="S22" s="100">
        <f t="shared" si="1"/>
        <v>0</v>
      </c>
    </row>
    <row r="23" spans="1:19" ht="19.5" customHeight="1">
      <c r="A23" s="2">
        <v>14</v>
      </c>
      <c r="B23" s="65" t="s">
        <v>639</v>
      </c>
      <c r="C23" s="11"/>
      <c r="D23" s="11"/>
      <c r="E23" s="65" t="s">
        <v>640</v>
      </c>
      <c r="F23" s="2" t="s">
        <v>643</v>
      </c>
      <c r="G23" s="2" t="s">
        <v>644</v>
      </c>
      <c r="H23" s="66" t="s">
        <v>641</v>
      </c>
      <c r="I23" s="2" t="s">
        <v>10</v>
      </c>
      <c r="J23" s="2" t="s">
        <v>642</v>
      </c>
      <c r="K23" s="106">
        <v>1099</v>
      </c>
      <c r="L23" s="63">
        <v>2190</v>
      </c>
      <c r="M23" s="63">
        <v>31</v>
      </c>
      <c r="N23" s="63"/>
      <c r="O23" s="63">
        <v>1735</v>
      </c>
      <c r="P23" s="63"/>
      <c r="Q23" s="63">
        <v>486</v>
      </c>
      <c r="R23" s="100">
        <f t="shared" si="0"/>
        <v>486</v>
      </c>
      <c r="S23" s="100">
        <f t="shared" si="1"/>
        <v>0</v>
      </c>
    </row>
    <row r="24" spans="1:19" ht="19.5" customHeight="1">
      <c r="A24" s="2">
        <v>15</v>
      </c>
      <c r="B24" s="65" t="s">
        <v>639</v>
      </c>
      <c r="C24" s="4"/>
      <c r="D24" s="4"/>
      <c r="E24" s="65" t="s">
        <v>2434</v>
      </c>
      <c r="F24" s="2" t="s">
        <v>2649</v>
      </c>
      <c r="G24" s="2" t="s">
        <v>449</v>
      </c>
      <c r="H24" s="66" t="s">
        <v>2435</v>
      </c>
      <c r="I24" s="66" t="s">
        <v>1144</v>
      </c>
      <c r="J24" s="66" t="s">
        <v>2650</v>
      </c>
      <c r="K24" s="106">
        <v>5789</v>
      </c>
      <c r="L24" s="63">
        <v>46</v>
      </c>
      <c r="M24" s="63">
        <v>0</v>
      </c>
      <c r="N24" s="63"/>
      <c r="O24" s="63">
        <v>46</v>
      </c>
      <c r="P24" s="63"/>
      <c r="Q24" s="63">
        <v>0</v>
      </c>
      <c r="R24" s="100">
        <f t="shared" si="0"/>
        <v>0</v>
      </c>
      <c r="S24" s="100">
        <f t="shared" si="1"/>
        <v>0</v>
      </c>
    </row>
    <row r="25" spans="1:19" ht="19.5" customHeight="1">
      <c r="A25" s="2">
        <v>16</v>
      </c>
      <c r="B25" s="67" t="s">
        <v>2651</v>
      </c>
      <c r="C25" s="4"/>
      <c r="D25" s="4"/>
      <c r="E25" s="67" t="s">
        <v>944</v>
      </c>
      <c r="F25" s="68" t="s">
        <v>947</v>
      </c>
      <c r="G25" s="68" t="s">
        <v>948</v>
      </c>
      <c r="H25" s="68" t="s">
        <v>945</v>
      </c>
      <c r="I25" s="68" t="s">
        <v>12</v>
      </c>
      <c r="J25" s="68" t="s">
        <v>946</v>
      </c>
      <c r="K25" s="105">
        <v>3157</v>
      </c>
      <c r="L25" s="63">
        <v>900</v>
      </c>
      <c r="M25" s="63">
        <v>0</v>
      </c>
      <c r="N25" s="63"/>
      <c r="O25" s="63">
        <v>257</v>
      </c>
      <c r="P25" s="63"/>
      <c r="Q25" s="63">
        <v>643</v>
      </c>
      <c r="R25" s="100">
        <f t="shared" si="0"/>
        <v>643</v>
      </c>
      <c r="S25" s="100">
        <f t="shared" si="1"/>
        <v>0</v>
      </c>
    </row>
    <row r="26" spans="1:19" ht="19.5" customHeight="1">
      <c r="A26" s="2">
        <v>17</v>
      </c>
      <c r="B26" s="11" t="s">
        <v>588</v>
      </c>
      <c r="C26" s="4"/>
      <c r="D26" s="4"/>
      <c r="E26" s="11" t="s">
        <v>1410</v>
      </c>
      <c r="F26" s="2" t="s">
        <v>1411</v>
      </c>
      <c r="G26" s="2" t="s">
        <v>1412</v>
      </c>
      <c r="H26" s="2" t="s">
        <v>267</v>
      </c>
      <c r="I26" s="2" t="s">
        <v>11</v>
      </c>
      <c r="J26" s="2" t="s">
        <v>1239</v>
      </c>
      <c r="K26" s="105">
        <v>8200</v>
      </c>
      <c r="L26" s="63">
        <v>6798</v>
      </c>
      <c r="M26" s="63">
        <v>10388</v>
      </c>
      <c r="N26" s="63"/>
      <c r="O26" s="63">
        <f>6798+10355</f>
        <v>17153</v>
      </c>
      <c r="P26" s="63"/>
      <c r="Q26" s="63">
        <v>33</v>
      </c>
      <c r="R26" s="100">
        <f t="shared" si="0"/>
        <v>33</v>
      </c>
      <c r="S26" s="100">
        <f t="shared" si="1"/>
        <v>0</v>
      </c>
    </row>
    <row r="27" spans="1:19" ht="19.5" customHeight="1">
      <c r="A27" s="2">
        <v>18</v>
      </c>
      <c r="B27" s="11" t="s">
        <v>588</v>
      </c>
      <c r="C27" s="4"/>
      <c r="D27" s="4"/>
      <c r="E27" s="11" t="s">
        <v>1413</v>
      </c>
      <c r="F27" s="2" t="s">
        <v>1414</v>
      </c>
      <c r="G27" s="2" t="s">
        <v>1412</v>
      </c>
      <c r="H27" s="2" t="s">
        <v>229</v>
      </c>
      <c r="I27" s="2" t="s">
        <v>11</v>
      </c>
      <c r="J27" s="2" t="s">
        <v>1239</v>
      </c>
      <c r="K27" s="105">
        <v>11300</v>
      </c>
      <c r="L27" s="63">
        <v>9343</v>
      </c>
      <c r="M27" s="63">
        <v>0</v>
      </c>
      <c r="N27" s="63"/>
      <c r="O27" s="63">
        <f>8400+943</f>
        <v>9343</v>
      </c>
      <c r="P27" s="63"/>
      <c r="Q27" s="63">
        <v>0</v>
      </c>
      <c r="R27" s="100">
        <f t="shared" si="0"/>
        <v>0</v>
      </c>
      <c r="S27" s="100">
        <f t="shared" si="1"/>
        <v>0</v>
      </c>
    </row>
    <row r="28" spans="1:19" ht="19.5" customHeight="1">
      <c r="A28" s="2">
        <v>19</v>
      </c>
      <c r="B28" s="11" t="s">
        <v>1365</v>
      </c>
      <c r="C28" s="11"/>
      <c r="D28" s="11"/>
      <c r="E28" s="11" t="s">
        <v>2103</v>
      </c>
      <c r="F28" s="2" t="s">
        <v>2104</v>
      </c>
      <c r="G28" s="2" t="s">
        <v>2652</v>
      </c>
      <c r="H28" s="2" t="s">
        <v>235</v>
      </c>
      <c r="I28" s="2" t="s">
        <v>628</v>
      </c>
      <c r="J28" s="2" t="s">
        <v>2047</v>
      </c>
      <c r="K28" s="105">
        <v>30000</v>
      </c>
      <c r="L28" s="63">
        <v>23</v>
      </c>
      <c r="M28" s="63">
        <v>0</v>
      </c>
      <c r="N28" s="63"/>
      <c r="O28" s="63">
        <v>23</v>
      </c>
      <c r="P28" s="63"/>
      <c r="Q28" s="63">
        <v>0</v>
      </c>
      <c r="R28" s="100">
        <f t="shared" si="0"/>
        <v>0</v>
      </c>
      <c r="S28" s="100">
        <f t="shared" si="1"/>
        <v>0</v>
      </c>
    </row>
    <row r="29" spans="1:19" ht="19.5" customHeight="1">
      <c r="A29" s="2">
        <v>20</v>
      </c>
      <c r="B29" s="70" t="s">
        <v>2102</v>
      </c>
      <c r="C29" s="4"/>
      <c r="D29" s="4"/>
      <c r="E29" s="11" t="s">
        <v>2103</v>
      </c>
      <c r="F29" s="2" t="s">
        <v>2104</v>
      </c>
      <c r="G29" s="2" t="s">
        <v>2105</v>
      </c>
      <c r="H29" s="2" t="s">
        <v>235</v>
      </c>
      <c r="I29" s="2" t="s">
        <v>628</v>
      </c>
      <c r="J29" s="2" t="s">
        <v>2047</v>
      </c>
      <c r="K29" s="105">
        <v>34000</v>
      </c>
      <c r="L29" s="63">
        <v>0</v>
      </c>
      <c r="M29" s="63"/>
      <c r="N29" s="63"/>
      <c r="O29" s="63"/>
      <c r="P29" s="63"/>
      <c r="Q29" s="63"/>
      <c r="R29" s="100">
        <f t="shared" si="0"/>
        <v>0</v>
      </c>
      <c r="S29" s="100">
        <f t="shared" si="1"/>
        <v>0</v>
      </c>
    </row>
    <row r="30" spans="1:19" ht="19.5" customHeight="1">
      <c r="A30" s="2">
        <v>21</v>
      </c>
      <c r="B30" s="11" t="s">
        <v>639</v>
      </c>
      <c r="C30" s="4"/>
      <c r="D30" s="4"/>
      <c r="E30" s="11" t="s">
        <v>1717</v>
      </c>
      <c r="F30" s="2" t="s">
        <v>1719</v>
      </c>
      <c r="G30" s="2" t="s">
        <v>1170</v>
      </c>
      <c r="H30" s="2" t="s">
        <v>299</v>
      </c>
      <c r="I30" s="2" t="s">
        <v>11</v>
      </c>
      <c r="J30" s="2" t="s">
        <v>1718</v>
      </c>
      <c r="K30" s="105">
        <v>1200</v>
      </c>
      <c r="L30" s="63">
        <v>284</v>
      </c>
      <c r="M30" s="63">
        <v>3000</v>
      </c>
      <c r="N30" s="63"/>
      <c r="O30" s="63">
        <f>1114+284</f>
        <v>1398</v>
      </c>
      <c r="P30" s="63"/>
      <c r="Q30" s="63">
        <v>1886</v>
      </c>
      <c r="R30" s="100">
        <f t="shared" si="0"/>
        <v>1886</v>
      </c>
      <c r="S30" s="100">
        <f t="shared" si="1"/>
        <v>0</v>
      </c>
    </row>
    <row r="31" spans="1:19" ht="19.5" customHeight="1">
      <c r="A31" s="2">
        <v>22</v>
      </c>
      <c r="B31" s="11" t="s">
        <v>313</v>
      </c>
      <c r="C31" s="11"/>
      <c r="D31" s="11"/>
      <c r="E31" s="11" t="s">
        <v>318</v>
      </c>
      <c r="F31" s="2" t="s">
        <v>319</v>
      </c>
      <c r="G31" s="2" t="s">
        <v>320</v>
      </c>
      <c r="H31" s="2" t="s">
        <v>238</v>
      </c>
      <c r="I31" s="2" t="s">
        <v>10</v>
      </c>
      <c r="J31" s="2" t="s">
        <v>1872</v>
      </c>
      <c r="K31" s="105">
        <v>2253</v>
      </c>
      <c r="L31" s="63">
        <v>865</v>
      </c>
      <c r="M31" s="63">
        <v>4</v>
      </c>
      <c r="N31" s="63"/>
      <c r="O31" s="63">
        <v>869</v>
      </c>
      <c r="P31" s="63"/>
      <c r="Q31" s="63">
        <v>0</v>
      </c>
      <c r="R31" s="100">
        <f t="shared" si="0"/>
        <v>0</v>
      </c>
      <c r="S31" s="100">
        <f t="shared" si="1"/>
        <v>0</v>
      </c>
    </row>
    <row r="32" spans="1:19" ht="19.5" customHeight="1">
      <c r="A32" s="2">
        <v>23</v>
      </c>
      <c r="B32" s="11" t="s">
        <v>313</v>
      </c>
      <c r="C32" s="11"/>
      <c r="D32" s="11"/>
      <c r="E32" s="11" t="s">
        <v>314</v>
      </c>
      <c r="F32" s="2" t="s">
        <v>317</v>
      </c>
      <c r="G32" s="2" t="s">
        <v>293</v>
      </c>
      <c r="H32" s="2" t="s">
        <v>315</v>
      </c>
      <c r="I32" s="2" t="s">
        <v>10</v>
      </c>
      <c r="J32" s="2" t="s">
        <v>316</v>
      </c>
      <c r="K32" s="105">
        <v>5950</v>
      </c>
      <c r="L32" s="63">
        <v>21</v>
      </c>
      <c r="M32" s="63">
        <v>0</v>
      </c>
      <c r="N32" s="63"/>
      <c r="O32" s="63">
        <v>21</v>
      </c>
      <c r="P32" s="63"/>
      <c r="Q32" s="63">
        <v>0</v>
      </c>
      <c r="R32" s="100">
        <f t="shared" si="0"/>
        <v>0</v>
      </c>
      <c r="S32" s="100">
        <f t="shared" si="1"/>
        <v>0</v>
      </c>
    </row>
    <row r="33" spans="1:19" ht="19.5" customHeight="1">
      <c r="A33" s="2">
        <v>24</v>
      </c>
      <c r="B33" s="64" t="s">
        <v>332</v>
      </c>
      <c r="C33" s="3"/>
      <c r="D33" s="3"/>
      <c r="E33" s="11" t="s">
        <v>333</v>
      </c>
      <c r="F33" s="2" t="s">
        <v>335</v>
      </c>
      <c r="G33" s="2" t="s">
        <v>336</v>
      </c>
      <c r="H33" s="2" t="s">
        <v>334</v>
      </c>
      <c r="I33" s="2" t="s">
        <v>10</v>
      </c>
      <c r="J33" s="2" t="s">
        <v>647</v>
      </c>
      <c r="K33" s="105">
        <v>1575</v>
      </c>
      <c r="L33" s="63">
        <v>77</v>
      </c>
      <c r="M33" s="63">
        <v>300</v>
      </c>
      <c r="N33" s="63"/>
      <c r="O33" s="63">
        <v>377</v>
      </c>
      <c r="P33" s="63"/>
      <c r="Q33" s="63">
        <v>0</v>
      </c>
      <c r="R33" s="100">
        <f t="shared" si="0"/>
        <v>0</v>
      </c>
      <c r="S33" s="100">
        <f t="shared" si="1"/>
        <v>0</v>
      </c>
    </row>
    <row r="34" spans="1:19" ht="19.5" customHeight="1">
      <c r="A34" s="2">
        <v>25</v>
      </c>
      <c r="B34" s="11" t="s">
        <v>1550</v>
      </c>
      <c r="C34" s="4"/>
      <c r="D34" s="4"/>
      <c r="E34" s="11" t="s">
        <v>1776</v>
      </c>
      <c r="F34" s="2" t="s">
        <v>1778</v>
      </c>
      <c r="G34" s="2" t="s">
        <v>1779</v>
      </c>
      <c r="H34" s="2" t="s">
        <v>1777</v>
      </c>
      <c r="I34" s="2" t="s">
        <v>11</v>
      </c>
      <c r="J34" s="2" t="s">
        <v>1715</v>
      </c>
      <c r="K34" s="105">
        <v>240</v>
      </c>
      <c r="L34" s="63">
        <v>15540</v>
      </c>
      <c r="M34" s="63">
        <v>7</v>
      </c>
      <c r="N34" s="63"/>
      <c r="O34" s="63">
        <f>15030+60</f>
        <v>15090</v>
      </c>
      <c r="P34" s="63"/>
      <c r="Q34" s="63">
        <v>457</v>
      </c>
      <c r="R34" s="100">
        <f t="shared" si="0"/>
        <v>457</v>
      </c>
      <c r="S34" s="100">
        <f t="shared" si="1"/>
        <v>0</v>
      </c>
    </row>
    <row r="35" spans="1:19" ht="19.5" customHeight="1">
      <c r="A35" s="2">
        <v>26</v>
      </c>
      <c r="B35" s="65" t="s">
        <v>2594</v>
      </c>
      <c r="C35" s="4"/>
      <c r="D35" s="4"/>
      <c r="E35" s="65" t="s">
        <v>2593</v>
      </c>
      <c r="F35" s="2" t="s">
        <v>2653</v>
      </c>
      <c r="G35" s="2" t="s">
        <v>530</v>
      </c>
      <c r="H35" s="66" t="s">
        <v>733</v>
      </c>
      <c r="I35" s="66" t="s">
        <v>628</v>
      </c>
      <c r="J35" s="66" t="s">
        <v>2654</v>
      </c>
      <c r="K35" s="106">
        <v>5250</v>
      </c>
      <c r="L35" s="63">
        <v>119</v>
      </c>
      <c r="M35" s="63">
        <v>38</v>
      </c>
      <c r="N35" s="63"/>
      <c r="O35" s="63">
        <v>157</v>
      </c>
      <c r="P35" s="63"/>
      <c r="Q35" s="63">
        <v>0</v>
      </c>
      <c r="R35" s="100">
        <f t="shared" si="0"/>
        <v>0</v>
      </c>
      <c r="S35" s="100">
        <f t="shared" si="1"/>
        <v>0</v>
      </c>
    </row>
    <row r="36" spans="1:19" ht="19.5" customHeight="1">
      <c r="A36" s="2">
        <v>27</v>
      </c>
      <c r="B36" s="11" t="s">
        <v>1727</v>
      </c>
      <c r="C36" s="4"/>
      <c r="D36" s="4"/>
      <c r="E36" s="11" t="s">
        <v>1728</v>
      </c>
      <c r="F36" s="2" t="s">
        <v>1729</v>
      </c>
      <c r="G36" s="2" t="s">
        <v>1730</v>
      </c>
      <c r="H36" s="2" t="s">
        <v>238</v>
      </c>
      <c r="I36" s="2" t="s">
        <v>11</v>
      </c>
      <c r="J36" s="2" t="s">
        <v>1718</v>
      </c>
      <c r="K36" s="105">
        <v>1250</v>
      </c>
      <c r="L36" s="63">
        <v>346</v>
      </c>
      <c r="M36" s="63">
        <v>1984</v>
      </c>
      <c r="N36" s="63"/>
      <c r="O36" s="63">
        <f>346+1359</f>
        <v>1705</v>
      </c>
      <c r="P36" s="63"/>
      <c r="Q36" s="63">
        <v>625</v>
      </c>
      <c r="R36" s="100">
        <f t="shared" si="0"/>
        <v>625</v>
      </c>
      <c r="S36" s="100">
        <f t="shared" si="1"/>
        <v>0</v>
      </c>
    </row>
    <row r="37" spans="1:19" ht="19.5" customHeight="1">
      <c r="A37" s="2">
        <v>28</v>
      </c>
      <c r="B37" s="11" t="s">
        <v>1884</v>
      </c>
      <c r="C37" s="4"/>
      <c r="D37" s="4"/>
      <c r="E37" s="11" t="s">
        <v>1885</v>
      </c>
      <c r="F37" s="8" t="s">
        <v>1886</v>
      </c>
      <c r="G37" s="8" t="s">
        <v>1887</v>
      </c>
      <c r="H37" s="8" t="s">
        <v>235</v>
      </c>
      <c r="I37" s="68" t="s">
        <v>10</v>
      </c>
      <c r="J37" s="8" t="s">
        <v>647</v>
      </c>
      <c r="K37" s="105">
        <v>1700</v>
      </c>
      <c r="L37" s="63">
        <v>0</v>
      </c>
      <c r="M37" s="63"/>
      <c r="N37" s="63"/>
      <c r="O37" s="63"/>
      <c r="P37" s="63"/>
      <c r="Q37" s="63"/>
      <c r="R37" s="100">
        <f t="shared" si="0"/>
        <v>0</v>
      </c>
      <c r="S37" s="100">
        <f t="shared" si="1"/>
        <v>0</v>
      </c>
    </row>
    <row r="38" spans="1:19" ht="19.5" customHeight="1">
      <c r="A38" s="2">
        <v>29</v>
      </c>
      <c r="B38" s="11" t="s">
        <v>695</v>
      </c>
      <c r="C38" s="11"/>
      <c r="D38" s="11"/>
      <c r="E38" s="11" t="s">
        <v>2655</v>
      </c>
      <c r="F38" s="2" t="s">
        <v>2656</v>
      </c>
      <c r="G38" s="2" t="s">
        <v>2657</v>
      </c>
      <c r="H38" s="2" t="s">
        <v>2658</v>
      </c>
      <c r="I38" s="2" t="s">
        <v>18</v>
      </c>
      <c r="J38" s="2" t="s">
        <v>2659</v>
      </c>
      <c r="K38" s="105">
        <v>15900</v>
      </c>
      <c r="L38" s="63">
        <v>0</v>
      </c>
      <c r="M38" s="63"/>
      <c r="N38" s="63"/>
      <c r="O38" s="63"/>
      <c r="P38" s="63"/>
      <c r="Q38" s="63"/>
      <c r="R38" s="100">
        <f t="shared" si="0"/>
        <v>0</v>
      </c>
      <c r="S38" s="100">
        <f t="shared" si="1"/>
        <v>0</v>
      </c>
    </row>
    <row r="39" spans="1:19" ht="19.5" customHeight="1">
      <c r="A39" s="2">
        <v>30</v>
      </c>
      <c r="B39" s="67" t="s">
        <v>557</v>
      </c>
      <c r="C39" s="4"/>
      <c r="D39" s="4"/>
      <c r="E39" s="11" t="s">
        <v>558</v>
      </c>
      <c r="F39" s="2" t="s">
        <v>559</v>
      </c>
      <c r="G39" s="2" t="s">
        <v>215</v>
      </c>
      <c r="H39" s="2" t="s">
        <v>225</v>
      </c>
      <c r="I39" s="2" t="s">
        <v>11</v>
      </c>
      <c r="J39" s="2" t="s">
        <v>538</v>
      </c>
      <c r="K39" s="105">
        <v>259</v>
      </c>
      <c r="L39" s="63">
        <v>14903</v>
      </c>
      <c r="M39" s="63">
        <v>9192</v>
      </c>
      <c r="N39" s="63"/>
      <c r="O39" s="63">
        <f>396+12443+2064+9192</f>
        <v>24095</v>
      </c>
      <c r="P39" s="63"/>
      <c r="Q39" s="63">
        <v>0</v>
      </c>
      <c r="R39" s="100">
        <f t="shared" si="0"/>
        <v>0</v>
      </c>
      <c r="S39" s="100">
        <f t="shared" si="1"/>
        <v>0</v>
      </c>
    </row>
    <row r="40" spans="1:19" ht="19.5" customHeight="1">
      <c r="A40" s="2">
        <v>31</v>
      </c>
      <c r="B40" s="64" t="s">
        <v>227</v>
      </c>
      <c r="C40" s="3"/>
      <c r="D40" s="3"/>
      <c r="E40" s="11" t="s">
        <v>231</v>
      </c>
      <c r="F40" s="2" t="s">
        <v>233</v>
      </c>
      <c r="G40" s="2" t="s">
        <v>215</v>
      </c>
      <c r="H40" s="2" t="s">
        <v>232</v>
      </c>
      <c r="I40" s="2" t="s">
        <v>12</v>
      </c>
      <c r="J40" s="2" t="s">
        <v>2660</v>
      </c>
      <c r="K40" s="105">
        <v>365</v>
      </c>
      <c r="L40" s="111">
        <v>20768</v>
      </c>
      <c r="M40" s="63">
        <v>1506</v>
      </c>
      <c r="N40" s="63"/>
      <c r="O40" s="63">
        <v>6955</v>
      </c>
      <c r="P40" s="63"/>
      <c r="Q40" s="63">
        <v>15319</v>
      </c>
      <c r="R40" s="100">
        <f t="shared" si="0"/>
        <v>15319</v>
      </c>
      <c r="S40" s="100">
        <f t="shared" si="1"/>
        <v>0</v>
      </c>
    </row>
    <row r="41" spans="1:19" ht="19.5" customHeight="1">
      <c r="A41" s="2">
        <v>32</v>
      </c>
      <c r="B41" s="64" t="s">
        <v>227</v>
      </c>
      <c r="C41" s="3"/>
      <c r="D41" s="3"/>
      <c r="E41" s="11" t="s">
        <v>228</v>
      </c>
      <c r="F41" s="2" t="s">
        <v>230</v>
      </c>
      <c r="G41" s="2" t="s">
        <v>215</v>
      </c>
      <c r="H41" s="2" t="s">
        <v>229</v>
      </c>
      <c r="I41" s="2" t="s">
        <v>12</v>
      </c>
      <c r="J41" s="2" t="s">
        <v>2660</v>
      </c>
      <c r="K41" s="105">
        <v>330</v>
      </c>
      <c r="L41" s="63">
        <v>10390</v>
      </c>
      <c r="M41" s="63">
        <v>9610</v>
      </c>
      <c r="N41" s="63"/>
      <c r="O41" s="63">
        <v>20000</v>
      </c>
      <c r="P41" s="63"/>
      <c r="Q41" s="63">
        <v>0</v>
      </c>
      <c r="R41" s="100">
        <f t="shared" si="0"/>
        <v>0</v>
      </c>
      <c r="S41" s="100">
        <f t="shared" si="1"/>
        <v>0</v>
      </c>
    </row>
    <row r="42" spans="1:19" ht="19.5" customHeight="1">
      <c r="A42" s="2">
        <v>33</v>
      </c>
      <c r="B42" s="67" t="s">
        <v>539</v>
      </c>
      <c r="C42" s="4"/>
      <c r="D42" s="4"/>
      <c r="E42" s="11" t="s">
        <v>540</v>
      </c>
      <c r="F42" s="2" t="s">
        <v>542</v>
      </c>
      <c r="G42" s="2" t="s">
        <v>215</v>
      </c>
      <c r="H42" s="2" t="s">
        <v>327</v>
      </c>
      <c r="I42" s="2" t="s">
        <v>11</v>
      </c>
      <c r="J42" s="2" t="s">
        <v>541</v>
      </c>
      <c r="K42" s="105">
        <v>175</v>
      </c>
      <c r="L42" s="63">
        <v>0</v>
      </c>
      <c r="M42" s="63">
        <v>5000</v>
      </c>
      <c r="N42" s="63"/>
      <c r="O42" s="63">
        <v>5000</v>
      </c>
      <c r="P42" s="63"/>
      <c r="Q42" s="63">
        <v>0</v>
      </c>
      <c r="R42" s="100">
        <f t="shared" si="0"/>
        <v>0</v>
      </c>
      <c r="S42" s="100">
        <f t="shared" si="1"/>
        <v>0</v>
      </c>
    </row>
    <row r="43" spans="1:19" ht="19.5" customHeight="1">
      <c r="A43" s="2">
        <v>34</v>
      </c>
      <c r="B43" s="67" t="s">
        <v>568</v>
      </c>
      <c r="C43" s="4"/>
      <c r="D43" s="4"/>
      <c r="E43" s="11" t="s">
        <v>569</v>
      </c>
      <c r="F43" s="2" t="s">
        <v>571</v>
      </c>
      <c r="G43" s="2" t="s">
        <v>215</v>
      </c>
      <c r="H43" s="2" t="s">
        <v>570</v>
      </c>
      <c r="I43" s="2" t="s">
        <v>11</v>
      </c>
      <c r="J43" s="2" t="s">
        <v>538</v>
      </c>
      <c r="K43" s="105">
        <v>155</v>
      </c>
      <c r="L43" s="63">
        <v>5000</v>
      </c>
      <c r="M43" s="63">
        <v>5000</v>
      </c>
      <c r="N43" s="63"/>
      <c r="O43" s="63">
        <v>10000</v>
      </c>
      <c r="P43" s="63"/>
      <c r="Q43" s="63">
        <v>0</v>
      </c>
      <c r="R43" s="100">
        <f t="shared" si="0"/>
        <v>0</v>
      </c>
      <c r="S43" s="100">
        <f t="shared" si="1"/>
        <v>0</v>
      </c>
    </row>
    <row r="44" spans="1:19" ht="19.5" customHeight="1">
      <c r="A44" s="2">
        <v>35</v>
      </c>
      <c r="B44" s="67" t="s">
        <v>579</v>
      </c>
      <c r="C44" s="4"/>
      <c r="D44" s="4"/>
      <c r="E44" s="11" t="s">
        <v>580</v>
      </c>
      <c r="F44" s="2" t="s">
        <v>582</v>
      </c>
      <c r="G44" s="2" t="s">
        <v>215</v>
      </c>
      <c r="H44" s="2" t="s">
        <v>581</v>
      </c>
      <c r="I44" s="2" t="s">
        <v>11</v>
      </c>
      <c r="J44" s="2" t="s">
        <v>553</v>
      </c>
      <c r="K44" s="105">
        <v>250</v>
      </c>
      <c r="L44" s="63">
        <v>6614</v>
      </c>
      <c r="M44" s="63">
        <v>9000</v>
      </c>
      <c r="N44" s="63"/>
      <c r="O44" s="63">
        <f>1614+4700+3185</f>
        <v>9499</v>
      </c>
      <c r="P44" s="63"/>
      <c r="Q44" s="63">
        <f>5815+300</f>
        <v>6115</v>
      </c>
      <c r="R44" s="100">
        <f t="shared" si="0"/>
        <v>6115</v>
      </c>
      <c r="S44" s="100">
        <f t="shared" si="1"/>
        <v>0</v>
      </c>
    </row>
    <row r="45" spans="1:19" ht="19.5" customHeight="1">
      <c r="A45" s="2">
        <v>36</v>
      </c>
      <c r="B45" s="67" t="s">
        <v>576</v>
      </c>
      <c r="C45" s="4"/>
      <c r="D45" s="4"/>
      <c r="E45" s="11" t="s">
        <v>577</v>
      </c>
      <c r="F45" s="2" t="s">
        <v>578</v>
      </c>
      <c r="G45" s="2" t="s">
        <v>215</v>
      </c>
      <c r="H45" s="2" t="s">
        <v>299</v>
      </c>
      <c r="I45" s="2" t="s">
        <v>11</v>
      </c>
      <c r="J45" s="2" t="s">
        <v>538</v>
      </c>
      <c r="K45" s="105">
        <v>690</v>
      </c>
      <c r="L45" s="63">
        <v>5686</v>
      </c>
      <c r="M45" s="63">
        <v>0</v>
      </c>
      <c r="N45" s="63"/>
      <c r="O45" s="63">
        <f>1886+1899</f>
        <v>3785</v>
      </c>
      <c r="P45" s="63"/>
      <c r="Q45" s="63">
        <f>300+1101+500</f>
        <v>1901</v>
      </c>
      <c r="R45" s="100">
        <f t="shared" si="0"/>
        <v>1901</v>
      </c>
      <c r="S45" s="100">
        <f t="shared" si="1"/>
        <v>0</v>
      </c>
    </row>
    <row r="46" spans="1:19" ht="19.5" customHeight="1">
      <c r="A46" s="2">
        <v>37</v>
      </c>
      <c r="B46" s="11" t="s">
        <v>1780</v>
      </c>
      <c r="C46" s="4"/>
      <c r="D46" s="4"/>
      <c r="E46" s="11" t="s">
        <v>1853</v>
      </c>
      <c r="F46" s="19" t="s">
        <v>1855</v>
      </c>
      <c r="G46" s="2" t="s">
        <v>1841</v>
      </c>
      <c r="H46" s="2" t="s">
        <v>1854</v>
      </c>
      <c r="I46" s="2" t="s">
        <v>10</v>
      </c>
      <c r="J46" s="19" t="s">
        <v>1153</v>
      </c>
      <c r="K46" s="105">
        <v>520</v>
      </c>
      <c r="L46" s="63">
        <v>5893</v>
      </c>
      <c r="M46" s="63">
        <v>21</v>
      </c>
      <c r="N46" s="63"/>
      <c r="O46" s="63">
        <v>5914</v>
      </c>
      <c r="P46" s="63"/>
      <c r="Q46" s="63">
        <v>0</v>
      </c>
      <c r="R46" s="100">
        <f t="shared" si="0"/>
        <v>0</v>
      </c>
      <c r="S46" s="100">
        <f t="shared" si="1"/>
        <v>0</v>
      </c>
    </row>
    <row r="47" spans="1:19" ht="19.5" customHeight="1">
      <c r="A47" s="2">
        <v>38</v>
      </c>
      <c r="B47" s="11" t="s">
        <v>1019</v>
      </c>
      <c r="C47" s="4"/>
      <c r="D47" s="4"/>
      <c r="E47" s="11" t="s">
        <v>1856</v>
      </c>
      <c r="F47" s="19" t="s">
        <v>1858</v>
      </c>
      <c r="G47" s="2" t="s">
        <v>1859</v>
      </c>
      <c r="H47" s="2" t="s">
        <v>1340</v>
      </c>
      <c r="I47" s="2" t="s">
        <v>10</v>
      </c>
      <c r="J47" s="2" t="s">
        <v>1857</v>
      </c>
      <c r="K47" s="105">
        <v>1365</v>
      </c>
      <c r="L47" s="63">
        <v>24882</v>
      </c>
      <c r="M47" s="63">
        <v>12209</v>
      </c>
      <c r="N47" s="63"/>
      <c r="O47" s="63">
        <f>8882+12413+3000+9979</f>
        <v>34274</v>
      </c>
      <c r="P47" s="63"/>
      <c r="Q47" s="63">
        <f>596+2221</f>
        <v>2817</v>
      </c>
      <c r="R47" s="100">
        <f t="shared" si="0"/>
        <v>2817</v>
      </c>
      <c r="S47" s="100">
        <f t="shared" si="1"/>
        <v>0</v>
      </c>
    </row>
    <row r="48" spans="1:19" ht="19.5" customHeight="1">
      <c r="A48" s="2">
        <v>39</v>
      </c>
      <c r="B48" s="11" t="s">
        <v>1780</v>
      </c>
      <c r="C48" s="11"/>
      <c r="D48" s="11"/>
      <c r="E48" s="65" t="s">
        <v>2661</v>
      </c>
      <c r="F48" s="2" t="s">
        <v>2662</v>
      </c>
      <c r="G48" s="2" t="s">
        <v>1859</v>
      </c>
      <c r="H48" s="2" t="s">
        <v>229</v>
      </c>
      <c r="I48" s="2" t="s">
        <v>10</v>
      </c>
      <c r="J48" s="2" t="s">
        <v>1857</v>
      </c>
      <c r="K48" s="105">
        <v>500</v>
      </c>
      <c r="L48" s="63">
        <v>0</v>
      </c>
      <c r="M48" s="63"/>
      <c r="N48" s="63"/>
      <c r="O48" s="63"/>
      <c r="P48" s="63"/>
      <c r="Q48" s="63"/>
      <c r="R48" s="100">
        <f t="shared" si="0"/>
        <v>0</v>
      </c>
      <c r="S48" s="100">
        <f t="shared" si="1"/>
        <v>0</v>
      </c>
    </row>
    <row r="49" spans="1:19" ht="19.5" customHeight="1">
      <c r="A49" s="2">
        <v>40</v>
      </c>
      <c r="B49" s="67" t="s">
        <v>2026</v>
      </c>
      <c r="C49" s="4"/>
      <c r="D49" s="4"/>
      <c r="E49" s="67" t="s">
        <v>2027</v>
      </c>
      <c r="F49" s="68" t="s">
        <v>2029</v>
      </c>
      <c r="G49" s="68" t="s">
        <v>2030</v>
      </c>
      <c r="H49" s="68" t="s">
        <v>2028</v>
      </c>
      <c r="I49" s="68" t="s">
        <v>10</v>
      </c>
      <c r="J49" s="68" t="s">
        <v>623</v>
      </c>
      <c r="K49" s="105">
        <v>8500</v>
      </c>
      <c r="L49" s="63"/>
      <c r="M49" s="63"/>
      <c r="N49" s="63"/>
      <c r="O49" s="63"/>
      <c r="P49" s="63"/>
      <c r="Q49" s="63"/>
      <c r="R49" s="100"/>
      <c r="S49" s="100"/>
    </row>
    <row r="50" spans="1:19" ht="19.5" customHeight="1">
      <c r="A50" s="2">
        <v>41</v>
      </c>
      <c r="B50" s="65" t="s">
        <v>1311</v>
      </c>
      <c r="C50" s="11"/>
      <c r="D50" s="11"/>
      <c r="E50" s="65" t="s">
        <v>2436</v>
      </c>
      <c r="F50" s="2" t="s">
        <v>2663</v>
      </c>
      <c r="G50" s="2" t="s">
        <v>255</v>
      </c>
      <c r="H50" s="66" t="s">
        <v>2664</v>
      </c>
      <c r="I50" s="2" t="s">
        <v>658</v>
      </c>
      <c r="J50" s="2" t="s">
        <v>2665</v>
      </c>
      <c r="K50" s="105">
        <v>5166</v>
      </c>
      <c r="L50" s="63">
        <v>131</v>
      </c>
      <c r="M50" s="63">
        <v>75</v>
      </c>
      <c r="N50" s="63"/>
      <c r="O50" s="63">
        <v>114</v>
      </c>
      <c r="P50" s="63"/>
      <c r="Q50" s="63">
        <v>92</v>
      </c>
      <c r="R50" s="100">
        <f t="shared" si="0"/>
        <v>92</v>
      </c>
      <c r="S50" s="100">
        <f t="shared" si="1"/>
        <v>0</v>
      </c>
    </row>
    <row r="51" spans="1:19" ht="19.5" customHeight="1">
      <c r="A51" s="2">
        <v>42</v>
      </c>
      <c r="B51" s="11" t="s">
        <v>1315</v>
      </c>
      <c r="C51" s="4"/>
      <c r="D51" s="4"/>
      <c r="E51" s="11" t="s">
        <v>1316</v>
      </c>
      <c r="F51" s="2" t="s">
        <v>1317</v>
      </c>
      <c r="G51" s="2" t="s">
        <v>360</v>
      </c>
      <c r="H51" s="2" t="s">
        <v>267</v>
      </c>
      <c r="I51" s="2" t="s">
        <v>11</v>
      </c>
      <c r="J51" s="2" t="s">
        <v>642</v>
      </c>
      <c r="K51" s="105">
        <v>124</v>
      </c>
      <c r="L51" s="63">
        <v>30013</v>
      </c>
      <c r="M51" s="63">
        <v>24044</v>
      </c>
      <c r="N51" s="63"/>
      <c r="O51" s="63">
        <f>19546+16650+5603</f>
        <v>41799</v>
      </c>
      <c r="P51" s="63"/>
      <c r="Q51" s="63">
        <f>4888+7350+20</f>
        <v>12258</v>
      </c>
      <c r="R51" s="100">
        <f t="shared" si="0"/>
        <v>12258</v>
      </c>
      <c r="S51" s="100">
        <f t="shared" si="1"/>
        <v>0</v>
      </c>
    </row>
    <row r="52" spans="1:19" ht="19.5" customHeight="1">
      <c r="A52" s="2">
        <v>43</v>
      </c>
      <c r="B52" s="11" t="s">
        <v>1315</v>
      </c>
      <c r="C52" s="11"/>
      <c r="D52" s="11"/>
      <c r="E52" s="11" t="s">
        <v>1316</v>
      </c>
      <c r="F52" s="2" t="s">
        <v>2666</v>
      </c>
      <c r="G52" s="2" t="s">
        <v>360</v>
      </c>
      <c r="H52" s="2" t="s">
        <v>267</v>
      </c>
      <c r="I52" s="2" t="s">
        <v>11</v>
      </c>
      <c r="J52" s="2" t="s">
        <v>642</v>
      </c>
      <c r="K52" s="105">
        <v>128</v>
      </c>
      <c r="L52" s="63">
        <v>0</v>
      </c>
      <c r="M52" s="63"/>
      <c r="N52" s="63"/>
      <c r="O52" s="63"/>
      <c r="P52" s="63"/>
      <c r="Q52" s="63"/>
      <c r="R52" s="100">
        <f t="shared" si="0"/>
        <v>0</v>
      </c>
      <c r="S52" s="100">
        <f t="shared" si="1"/>
        <v>0</v>
      </c>
    </row>
    <row r="53" spans="1:19" ht="25.5">
      <c r="A53" s="2">
        <v>44</v>
      </c>
      <c r="B53" s="67" t="s">
        <v>2008</v>
      </c>
      <c r="C53" s="4"/>
      <c r="D53" s="4"/>
      <c r="E53" s="67" t="s">
        <v>2009</v>
      </c>
      <c r="F53" s="68" t="s">
        <v>2012</v>
      </c>
      <c r="G53" s="68" t="s">
        <v>2013</v>
      </c>
      <c r="H53" s="68" t="s">
        <v>2010</v>
      </c>
      <c r="I53" s="68" t="s">
        <v>18</v>
      </c>
      <c r="J53" s="68" t="s">
        <v>2011</v>
      </c>
      <c r="K53" s="105">
        <v>69000</v>
      </c>
      <c r="L53" s="63">
        <v>0</v>
      </c>
      <c r="M53" s="63"/>
      <c r="N53" s="63"/>
      <c r="O53" s="63"/>
      <c r="P53" s="63"/>
      <c r="Q53" s="63"/>
      <c r="R53" s="100">
        <f t="shared" si="0"/>
        <v>0</v>
      </c>
      <c r="S53" s="100">
        <f t="shared" si="1"/>
        <v>0</v>
      </c>
    </row>
    <row r="54" spans="1:19" ht="19.5" customHeight="1">
      <c r="A54" s="2">
        <v>45</v>
      </c>
      <c r="B54" s="67" t="s">
        <v>1826</v>
      </c>
      <c r="C54" s="4"/>
      <c r="D54" s="4"/>
      <c r="E54" s="11" t="s">
        <v>1827</v>
      </c>
      <c r="F54" s="2" t="s">
        <v>1828</v>
      </c>
      <c r="G54" s="2" t="s">
        <v>492</v>
      </c>
      <c r="H54" s="2" t="s">
        <v>267</v>
      </c>
      <c r="I54" s="2" t="s">
        <v>10</v>
      </c>
      <c r="J54" s="2" t="s">
        <v>620</v>
      </c>
      <c r="K54" s="105">
        <v>318</v>
      </c>
      <c r="L54" s="63">
        <v>4678</v>
      </c>
      <c r="M54" s="63">
        <v>0</v>
      </c>
      <c r="N54" s="63"/>
      <c r="O54" s="63">
        <v>4678</v>
      </c>
      <c r="P54" s="63"/>
      <c r="Q54" s="63">
        <v>0</v>
      </c>
      <c r="R54" s="100">
        <f t="shared" si="0"/>
        <v>0</v>
      </c>
      <c r="S54" s="100">
        <f t="shared" si="1"/>
        <v>0</v>
      </c>
    </row>
    <row r="55" spans="1:19" ht="19.5" customHeight="1">
      <c r="A55" s="2">
        <v>46</v>
      </c>
      <c r="B55" s="11" t="s">
        <v>583</v>
      </c>
      <c r="C55" s="11"/>
      <c r="D55" s="11"/>
      <c r="E55" s="11" t="s">
        <v>2437</v>
      </c>
      <c r="F55" s="2" t="s">
        <v>2667</v>
      </c>
      <c r="G55" s="2" t="s">
        <v>2668</v>
      </c>
      <c r="H55" s="2" t="s">
        <v>390</v>
      </c>
      <c r="I55" s="2" t="s">
        <v>10</v>
      </c>
      <c r="J55" s="2" t="s">
        <v>1870</v>
      </c>
      <c r="K55" s="105">
        <v>408</v>
      </c>
      <c r="L55" s="63">
        <v>42</v>
      </c>
      <c r="M55" s="63">
        <v>0</v>
      </c>
      <c r="N55" s="63"/>
      <c r="O55" s="63">
        <v>29</v>
      </c>
      <c r="P55" s="63"/>
      <c r="Q55" s="63">
        <v>13</v>
      </c>
      <c r="R55" s="100">
        <f t="shared" si="0"/>
        <v>13</v>
      </c>
      <c r="S55" s="100">
        <f t="shared" si="1"/>
        <v>0</v>
      </c>
    </row>
    <row r="56" spans="1:19" ht="19.5" customHeight="1">
      <c r="A56" s="2">
        <v>47</v>
      </c>
      <c r="B56" s="11" t="s">
        <v>1480</v>
      </c>
      <c r="C56" s="4"/>
      <c r="D56" s="4"/>
      <c r="E56" s="11" t="s">
        <v>1869</v>
      </c>
      <c r="F56" s="2" t="s">
        <v>1871</v>
      </c>
      <c r="G56" s="2" t="s">
        <v>1867</v>
      </c>
      <c r="H56" s="2" t="s">
        <v>310</v>
      </c>
      <c r="I56" s="2" t="s">
        <v>10</v>
      </c>
      <c r="J56" s="2" t="s">
        <v>1870</v>
      </c>
      <c r="K56" s="105">
        <v>139</v>
      </c>
      <c r="L56" s="63">
        <v>1810</v>
      </c>
      <c r="M56" s="63">
        <v>9400</v>
      </c>
      <c r="N56" s="63"/>
      <c r="O56" s="63">
        <f>5453+1810</f>
        <v>7263</v>
      </c>
      <c r="P56" s="63"/>
      <c r="Q56" s="63">
        <v>3947</v>
      </c>
      <c r="R56" s="100">
        <f t="shared" si="0"/>
        <v>3947</v>
      </c>
      <c r="S56" s="100">
        <f t="shared" si="1"/>
        <v>0</v>
      </c>
    </row>
    <row r="57" spans="1:19" ht="19.5" customHeight="1">
      <c r="A57" s="2">
        <v>48</v>
      </c>
      <c r="B57" s="11" t="s">
        <v>1480</v>
      </c>
      <c r="C57" s="11"/>
      <c r="D57" s="11"/>
      <c r="E57" s="11" t="s">
        <v>2669</v>
      </c>
      <c r="F57" s="2" t="s">
        <v>2670</v>
      </c>
      <c r="G57" s="2" t="s">
        <v>322</v>
      </c>
      <c r="H57" s="2" t="s">
        <v>310</v>
      </c>
      <c r="I57" s="2" t="s">
        <v>10</v>
      </c>
      <c r="J57" s="2" t="s">
        <v>1329</v>
      </c>
      <c r="K57" s="105">
        <v>247</v>
      </c>
      <c r="L57" s="63">
        <v>0</v>
      </c>
      <c r="M57" s="63"/>
      <c r="N57" s="63"/>
      <c r="O57" s="63"/>
      <c r="P57" s="63"/>
      <c r="Q57" s="63"/>
      <c r="R57" s="100">
        <f t="shared" si="0"/>
        <v>0</v>
      </c>
      <c r="S57" s="100">
        <f t="shared" si="1"/>
        <v>0</v>
      </c>
    </row>
    <row r="58" spans="1:19" ht="19.5" customHeight="1">
      <c r="A58" s="2">
        <v>49</v>
      </c>
      <c r="B58" s="67" t="s">
        <v>583</v>
      </c>
      <c r="C58" s="4"/>
      <c r="D58" s="4"/>
      <c r="E58" s="11" t="s">
        <v>584</v>
      </c>
      <c r="F58" s="2" t="s">
        <v>586</v>
      </c>
      <c r="G58" s="2" t="s">
        <v>587</v>
      </c>
      <c r="H58" s="2" t="s">
        <v>390</v>
      </c>
      <c r="I58" s="2" t="s">
        <v>11</v>
      </c>
      <c r="J58" s="2" t="s">
        <v>585</v>
      </c>
      <c r="K58" s="105">
        <v>368</v>
      </c>
      <c r="L58" s="63">
        <v>4800</v>
      </c>
      <c r="M58" s="63">
        <v>19980</v>
      </c>
      <c r="N58" s="63"/>
      <c r="O58" s="63"/>
      <c r="P58" s="63"/>
      <c r="Q58" s="63">
        <f>19980+4800</f>
        <v>24780</v>
      </c>
      <c r="R58" s="100">
        <f t="shared" si="0"/>
        <v>24780</v>
      </c>
      <c r="S58" s="100">
        <f t="shared" si="1"/>
        <v>0</v>
      </c>
    </row>
    <row r="59" spans="1:19" ht="19.5" customHeight="1">
      <c r="A59" s="2">
        <v>50</v>
      </c>
      <c r="B59" s="65" t="s">
        <v>2439</v>
      </c>
      <c r="C59" s="11"/>
      <c r="D59" s="11"/>
      <c r="E59" s="65" t="s">
        <v>2438</v>
      </c>
      <c r="F59" s="2" t="s">
        <v>2671</v>
      </c>
      <c r="G59" s="2" t="s">
        <v>2672</v>
      </c>
      <c r="H59" s="66" t="s">
        <v>2440</v>
      </c>
      <c r="I59" s="2" t="s">
        <v>15</v>
      </c>
      <c r="J59" s="2" t="s">
        <v>2673</v>
      </c>
      <c r="K59" s="105">
        <v>67000</v>
      </c>
      <c r="L59" s="63">
        <v>27</v>
      </c>
      <c r="M59" s="63">
        <v>20</v>
      </c>
      <c r="N59" s="63"/>
      <c r="O59" s="63">
        <v>25</v>
      </c>
      <c r="P59" s="63"/>
      <c r="Q59" s="63">
        <v>22</v>
      </c>
      <c r="R59" s="100">
        <f t="shared" si="0"/>
        <v>22</v>
      </c>
      <c r="S59" s="100">
        <f t="shared" si="1"/>
        <v>0</v>
      </c>
    </row>
    <row r="60" spans="1:19" ht="19.5" customHeight="1">
      <c r="A60" s="2">
        <v>51</v>
      </c>
      <c r="B60" s="11" t="s">
        <v>347</v>
      </c>
      <c r="C60" s="11"/>
      <c r="D60" s="11"/>
      <c r="E60" s="11" t="s">
        <v>2674</v>
      </c>
      <c r="F60" s="2" t="s">
        <v>2675</v>
      </c>
      <c r="G60" s="2" t="s">
        <v>2676</v>
      </c>
      <c r="H60" s="2" t="s">
        <v>238</v>
      </c>
      <c r="I60" s="2" t="s">
        <v>11</v>
      </c>
      <c r="J60" s="68" t="s">
        <v>626</v>
      </c>
      <c r="K60" s="105">
        <v>1514</v>
      </c>
      <c r="L60" s="63">
        <v>0</v>
      </c>
      <c r="M60" s="63"/>
      <c r="N60" s="63"/>
      <c r="O60" s="63"/>
      <c r="P60" s="63"/>
      <c r="Q60" s="63"/>
      <c r="R60" s="100">
        <f t="shared" si="0"/>
        <v>0</v>
      </c>
      <c r="S60" s="100">
        <f t="shared" si="1"/>
        <v>0</v>
      </c>
    </row>
    <row r="61" spans="1:19" ht="19.5" customHeight="1">
      <c r="A61" s="2">
        <v>52</v>
      </c>
      <c r="B61" s="11" t="s">
        <v>347</v>
      </c>
      <c r="C61" s="11"/>
      <c r="D61" s="11"/>
      <c r="E61" s="11" t="s">
        <v>2674</v>
      </c>
      <c r="F61" s="2" t="s">
        <v>2675</v>
      </c>
      <c r="G61" s="2" t="s">
        <v>2676</v>
      </c>
      <c r="H61" s="2" t="s">
        <v>238</v>
      </c>
      <c r="I61" s="2" t="s">
        <v>11</v>
      </c>
      <c r="J61" s="68" t="s">
        <v>626</v>
      </c>
      <c r="K61" s="105">
        <v>1900</v>
      </c>
      <c r="L61" s="63">
        <v>0</v>
      </c>
      <c r="M61" s="63"/>
      <c r="N61" s="63"/>
      <c r="O61" s="63"/>
      <c r="P61" s="63"/>
      <c r="Q61" s="63"/>
      <c r="R61" s="100">
        <f t="shared" si="0"/>
        <v>0</v>
      </c>
      <c r="S61" s="100">
        <f t="shared" si="1"/>
        <v>0</v>
      </c>
    </row>
    <row r="62" spans="1:19" ht="19.5" customHeight="1">
      <c r="A62" s="2">
        <v>53</v>
      </c>
      <c r="B62" s="67" t="s">
        <v>951</v>
      </c>
      <c r="C62" s="4"/>
      <c r="D62" s="4"/>
      <c r="E62" s="67" t="s">
        <v>952</v>
      </c>
      <c r="F62" s="68" t="s">
        <v>953</v>
      </c>
      <c r="G62" s="68" t="s">
        <v>954</v>
      </c>
      <c r="H62" s="68" t="s">
        <v>238</v>
      </c>
      <c r="I62" s="68" t="s">
        <v>10</v>
      </c>
      <c r="J62" s="68" t="s">
        <v>626</v>
      </c>
      <c r="K62" s="105">
        <v>1250</v>
      </c>
      <c r="L62" s="63">
        <v>9107</v>
      </c>
      <c r="M62" s="63">
        <f>16+7980</f>
        <v>7996</v>
      </c>
      <c r="N62" s="63"/>
      <c r="O62" s="63">
        <f>9123+7790</f>
        <v>16913</v>
      </c>
      <c r="P62" s="63"/>
      <c r="Q62" s="63">
        <v>190</v>
      </c>
      <c r="R62" s="100">
        <f t="shared" si="0"/>
        <v>190</v>
      </c>
      <c r="S62" s="100">
        <f t="shared" si="1"/>
        <v>0</v>
      </c>
    </row>
    <row r="63" spans="1:19" ht="19.5" customHeight="1">
      <c r="A63" s="2">
        <v>54</v>
      </c>
      <c r="B63" s="64" t="s">
        <v>347</v>
      </c>
      <c r="C63" s="3"/>
      <c r="D63" s="3"/>
      <c r="E63" s="11" t="s">
        <v>348</v>
      </c>
      <c r="F63" s="2" t="s">
        <v>349</v>
      </c>
      <c r="G63" s="2" t="s">
        <v>350</v>
      </c>
      <c r="H63" s="2" t="s">
        <v>327</v>
      </c>
      <c r="I63" s="2" t="s">
        <v>10</v>
      </c>
      <c r="J63" s="2" t="s">
        <v>647</v>
      </c>
      <c r="K63" s="105">
        <v>254</v>
      </c>
      <c r="L63" s="63">
        <v>0</v>
      </c>
      <c r="M63" s="63">
        <v>30000</v>
      </c>
      <c r="N63" s="63"/>
      <c r="O63" s="63">
        <v>30000</v>
      </c>
      <c r="P63" s="63"/>
      <c r="Q63" s="63">
        <v>0</v>
      </c>
      <c r="R63" s="100">
        <f t="shared" si="0"/>
        <v>0</v>
      </c>
      <c r="S63" s="100">
        <f t="shared" si="1"/>
        <v>0</v>
      </c>
    </row>
    <row r="64" spans="1:19" ht="19.5" customHeight="1">
      <c r="A64" s="2">
        <v>55</v>
      </c>
      <c r="B64" s="11" t="s">
        <v>411</v>
      </c>
      <c r="C64" s="11"/>
      <c r="D64" s="11"/>
      <c r="E64" s="11" t="s">
        <v>415</v>
      </c>
      <c r="F64" s="2" t="s">
        <v>416</v>
      </c>
      <c r="G64" s="2" t="s">
        <v>414</v>
      </c>
      <c r="H64" s="2" t="s">
        <v>272</v>
      </c>
      <c r="I64" s="2" t="s">
        <v>10</v>
      </c>
      <c r="J64" s="2" t="s">
        <v>1350</v>
      </c>
      <c r="K64" s="105">
        <v>336</v>
      </c>
      <c r="L64" s="63">
        <v>0</v>
      </c>
      <c r="M64" s="63"/>
      <c r="N64" s="63"/>
      <c r="O64" s="63"/>
      <c r="P64" s="63"/>
      <c r="Q64" s="63"/>
      <c r="R64" s="100">
        <f t="shared" si="0"/>
        <v>0</v>
      </c>
      <c r="S64" s="100">
        <f t="shared" si="1"/>
        <v>0</v>
      </c>
    </row>
    <row r="65" spans="1:19" ht="19.5" customHeight="1">
      <c r="A65" s="2">
        <v>56</v>
      </c>
      <c r="B65" s="64" t="s">
        <v>411</v>
      </c>
      <c r="C65" s="3"/>
      <c r="D65" s="3"/>
      <c r="E65" s="11" t="s">
        <v>412</v>
      </c>
      <c r="F65" s="2" t="s">
        <v>413</v>
      </c>
      <c r="G65" s="2" t="s">
        <v>414</v>
      </c>
      <c r="H65" s="2" t="s">
        <v>225</v>
      </c>
      <c r="I65" s="2" t="s">
        <v>10</v>
      </c>
      <c r="J65" s="2" t="s">
        <v>1350</v>
      </c>
      <c r="K65" s="105">
        <v>484</v>
      </c>
      <c r="L65" s="63">
        <v>8879</v>
      </c>
      <c r="M65" s="63"/>
      <c r="N65" s="63"/>
      <c r="O65" s="63"/>
      <c r="P65" s="63"/>
      <c r="Q65" s="63"/>
      <c r="R65" s="100">
        <f t="shared" si="0"/>
        <v>8879</v>
      </c>
      <c r="S65" s="100">
        <f t="shared" si="1"/>
        <v>-8879</v>
      </c>
    </row>
    <row r="66" spans="1:19" ht="19.5" customHeight="1">
      <c r="A66" s="2">
        <v>57</v>
      </c>
      <c r="B66" s="11" t="s">
        <v>411</v>
      </c>
      <c r="C66" s="11"/>
      <c r="D66" s="11"/>
      <c r="E66" s="11" t="s">
        <v>412</v>
      </c>
      <c r="F66" s="2" t="s">
        <v>413</v>
      </c>
      <c r="G66" s="2" t="s">
        <v>414</v>
      </c>
      <c r="H66" s="2" t="s">
        <v>225</v>
      </c>
      <c r="I66" s="2" t="s">
        <v>10</v>
      </c>
      <c r="J66" s="2" t="s">
        <v>1350</v>
      </c>
      <c r="K66" s="105">
        <v>504</v>
      </c>
      <c r="L66" s="63">
        <v>44</v>
      </c>
      <c r="M66" s="63"/>
      <c r="N66" s="63"/>
      <c r="O66" s="63"/>
      <c r="P66" s="63"/>
      <c r="Q66" s="63"/>
      <c r="R66" s="100">
        <f t="shared" si="0"/>
        <v>44</v>
      </c>
      <c r="S66" s="100">
        <f t="shared" si="1"/>
        <v>-44</v>
      </c>
    </row>
    <row r="67" spans="1:19" ht="19.5" customHeight="1">
      <c r="A67" s="2">
        <v>58</v>
      </c>
      <c r="B67" s="67" t="s">
        <v>2247</v>
      </c>
      <c r="C67" s="4"/>
      <c r="D67" s="4"/>
      <c r="E67" s="11" t="s">
        <v>2248</v>
      </c>
      <c r="F67" s="2" t="s">
        <v>2252</v>
      </c>
      <c r="G67" s="2" t="s">
        <v>2253</v>
      </c>
      <c r="H67" s="2" t="s">
        <v>2249</v>
      </c>
      <c r="I67" s="2" t="s">
        <v>16</v>
      </c>
      <c r="J67" s="2" t="s">
        <v>2250</v>
      </c>
      <c r="K67" s="105">
        <v>850</v>
      </c>
      <c r="L67" s="63">
        <v>0</v>
      </c>
      <c r="M67" s="63"/>
      <c r="N67" s="63"/>
      <c r="O67" s="63"/>
      <c r="P67" s="63"/>
      <c r="Q67" s="63"/>
      <c r="R67" s="100">
        <f t="shared" si="0"/>
        <v>0</v>
      </c>
      <c r="S67" s="100">
        <f t="shared" si="1"/>
        <v>0</v>
      </c>
    </row>
    <row r="68" spans="1:19" ht="19.5" customHeight="1">
      <c r="A68" s="2">
        <v>59</v>
      </c>
      <c r="B68" s="11" t="s">
        <v>736</v>
      </c>
      <c r="C68" s="4"/>
      <c r="D68" s="4"/>
      <c r="E68" s="11" t="s">
        <v>1114</v>
      </c>
      <c r="F68" s="2" t="s">
        <v>1117</v>
      </c>
      <c r="G68" s="2" t="s">
        <v>1118</v>
      </c>
      <c r="H68" s="2" t="s">
        <v>1115</v>
      </c>
      <c r="I68" s="2" t="s">
        <v>13</v>
      </c>
      <c r="J68" s="2" t="s">
        <v>1116</v>
      </c>
      <c r="K68" s="105">
        <v>4150</v>
      </c>
      <c r="L68" s="63">
        <v>5100</v>
      </c>
      <c r="M68" s="63"/>
      <c r="N68" s="63"/>
      <c r="O68" s="63"/>
      <c r="P68" s="63"/>
      <c r="Q68" s="63"/>
      <c r="R68" s="100">
        <f t="shared" si="0"/>
        <v>5100</v>
      </c>
      <c r="S68" s="100">
        <f t="shared" si="1"/>
        <v>-5100</v>
      </c>
    </row>
    <row r="69" spans="1:19" ht="19.5" customHeight="1">
      <c r="A69" s="2">
        <v>60</v>
      </c>
      <c r="B69" s="71" t="s">
        <v>1702</v>
      </c>
      <c r="C69" s="72"/>
      <c r="D69" s="72"/>
      <c r="E69" s="71" t="s">
        <v>1706</v>
      </c>
      <c r="F69" s="73" t="s">
        <v>1708</v>
      </c>
      <c r="G69" s="73" t="s">
        <v>1709</v>
      </c>
      <c r="H69" s="73" t="s">
        <v>327</v>
      </c>
      <c r="I69" s="73" t="s">
        <v>10</v>
      </c>
      <c r="J69" s="73" t="s">
        <v>1707</v>
      </c>
      <c r="K69" s="105">
        <v>274</v>
      </c>
      <c r="L69" s="63">
        <v>27</v>
      </c>
      <c r="M69" s="63"/>
      <c r="N69" s="63"/>
      <c r="O69" s="63"/>
      <c r="P69" s="63"/>
      <c r="Q69" s="63"/>
      <c r="R69" s="100">
        <f t="shared" si="0"/>
        <v>27</v>
      </c>
      <c r="S69" s="100">
        <f t="shared" si="1"/>
        <v>-27</v>
      </c>
    </row>
    <row r="70" spans="1:19" ht="19.5" customHeight="1">
      <c r="A70" s="2">
        <v>61</v>
      </c>
      <c r="B70" s="71" t="s">
        <v>1702</v>
      </c>
      <c r="C70" s="4"/>
      <c r="D70" s="4"/>
      <c r="E70" s="71" t="s">
        <v>1706</v>
      </c>
      <c r="F70" s="73" t="s">
        <v>1708</v>
      </c>
      <c r="G70" s="2" t="s">
        <v>2677</v>
      </c>
      <c r="H70" s="73" t="s">
        <v>327</v>
      </c>
      <c r="I70" s="2" t="s">
        <v>10</v>
      </c>
      <c r="J70" s="73" t="s">
        <v>1707</v>
      </c>
      <c r="K70" s="105">
        <v>336</v>
      </c>
      <c r="L70" s="63">
        <v>30</v>
      </c>
      <c r="M70" s="63"/>
      <c r="N70" s="63"/>
      <c r="O70" s="63"/>
      <c r="P70" s="63"/>
      <c r="Q70" s="63"/>
      <c r="R70" s="100">
        <f t="shared" si="0"/>
        <v>30</v>
      </c>
      <c r="S70" s="100">
        <f t="shared" si="1"/>
        <v>-30</v>
      </c>
    </row>
    <row r="71" spans="1:19" ht="19.5" customHeight="1">
      <c r="A71" s="2">
        <v>62</v>
      </c>
      <c r="B71" s="11" t="s">
        <v>1785</v>
      </c>
      <c r="C71" s="4"/>
      <c r="D71" s="4"/>
      <c r="E71" s="11" t="s">
        <v>1786</v>
      </c>
      <c r="F71" s="2" t="s">
        <v>1789</v>
      </c>
      <c r="G71" s="2" t="s">
        <v>1790</v>
      </c>
      <c r="H71" s="2" t="s">
        <v>1787</v>
      </c>
      <c r="I71" s="2" t="s">
        <v>15</v>
      </c>
      <c r="J71" s="2" t="s">
        <v>1788</v>
      </c>
      <c r="K71" s="105">
        <v>61000</v>
      </c>
      <c r="L71" s="63">
        <v>60</v>
      </c>
      <c r="M71" s="63"/>
      <c r="N71" s="63"/>
      <c r="O71" s="63"/>
      <c r="P71" s="63"/>
      <c r="Q71" s="63"/>
      <c r="R71" s="100">
        <f t="shared" si="0"/>
        <v>60</v>
      </c>
      <c r="S71" s="100">
        <f t="shared" si="1"/>
        <v>-60</v>
      </c>
    </row>
    <row r="72" spans="1:19" ht="19.5" customHeight="1">
      <c r="A72" s="2">
        <v>63</v>
      </c>
      <c r="B72" s="11" t="s">
        <v>864</v>
      </c>
      <c r="C72" s="4"/>
      <c r="D72" s="4"/>
      <c r="E72" s="65" t="s">
        <v>865</v>
      </c>
      <c r="F72" s="2" t="s">
        <v>2678</v>
      </c>
      <c r="G72" s="2" t="s">
        <v>867</v>
      </c>
      <c r="H72" s="2" t="s">
        <v>866</v>
      </c>
      <c r="I72" s="2" t="s">
        <v>658</v>
      </c>
      <c r="J72" s="2" t="s">
        <v>2679</v>
      </c>
      <c r="K72" s="105">
        <v>10500</v>
      </c>
      <c r="L72" s="63">
        <v>30</v>
      </c>
      <c r="M72" s="63"/>
      <c r="N72" s="63"/>
      <c r="O72" s="63"/>
      <c r="P72" s="63"/>
      <c r="Q72" s="63"/>
      <c r="R72" s="100">
        <f t="shared" si="0"/>
        <v>30</v>
      </c>
      <c r="S72" s="100">
        <f t="shared" si="1"/>
        <v>-30</v>
      </c>
    </row>
    <row r="73" spans="1:19" ht="19.5" customHeight="1">
      <c r="A73" s="2">
        <v>64</v>
      </c>
      <c r="B73" s="11" t="s">
        <v>843</v>
      </c>
      <c r="C73" s="11"/>
      <c r="D73" s="11"/>
      <c r="E73" s="11" t="s">
        <v>2680</v>
      </c>
      <c r="F73" s="2" t="s">
        <v>2681</v>
      </c>
      <c r="G73" s="2" t="s">
        <v>2682</v>
      </c>
      <c r="H73" s="2" t="s">
        <v>225</v>
      </c>
      <c r="I73" s="2" t="s">
        <v>11</v>
      </c>
      <c r="J73" s="2" t="s">
        <v>842</v>
      </c>
      <c r="K73" s="105">
        <v>119</v>
      </c>
      <c r="L73" s="63">
        <v>0</v>
      </c>
      <c r="M73" s="63"/>
      <c r="N73" s="63"/>
      <c r="O73" s="63"/>
      <c r="P73" s="63"/>
      <c r="Q73" s="63"/>
      <c r="R73" s="100">
        <f t="shared" si="0"/>
        <v>0</v>
      </c>
      <c r="S73" s="100">
        <f t="shared" si="1"/>
        <v>0</v>
      </c>
    </row>
    <row r="74" spans="1:19" ht="19.5" customHeight="1">
      <c r="A74" s="2">
        <v>65</v>
      </c>
      <c r="B74" s="11" t="s">
        <v>1914</v>
      </c>
      <c r="C74" s="11"/>
      <c r="D74" s="11"/>
      <c r="E74" s="11" t="s">
        <v>2441</v>
      </c>
      <c r="F74" s="2" t="s">
        <v>2683</v>
      </c>
      <c r="G74" s="2" t="s">
        <v>449</v>
      </c>
      <c r="H74" s="2" t="s">
        <v>1915</v>
      </c>
      <c r="I74" s="2" t="s">
        <v>11</v>
      </c>
      <c r="J74" s="2" t="s">
        <v>647</v>
      </c>
      <c r="K74" s="105">
        <v>155</v>
      </c>
      <c r="L74" s="63">
        <v>2727</v>
      </c>
      <c r="M74" s="63"/>
      <c r="N74" s="63"/>
      <c r="O74" s="63"/>
      <c r="P74" s="63"/>
      <c r="Q74" s="63"/>
      <c r="R74" s="100">
        <f t="shared" si="0"/>
        <v>2727</v>
      </c>
      <c r="S74" s="100">
        <f t="shared" si="1"/>
        <v>-2727</v>
      </c>
    </row>
    <row r="75" spans="1:19" ht="19.5" customHeight="1">
      <c r="A75" s="2">
        <v>66</v>
      </c>
      <c r="B75" s="11" t="s">
        <v>706</v>
      </c>
      <c r="C75" s="11"/>
      <c r="D75" s="11"/>
      <c r="E75" s="11" t="s">
        <v>2442</v>
      </c>
      <c r="F75" s="2" t="s">
        <v>2684</v>
      </c>
      <c r="G75" s="2" t="s">
        <v>2685</v>
      </c>
      <c r="H75" s="2" t="s">
        <v>369</v>
      </c>
      <c r="I75" s="2" t="s">
        <v>10</v>
      </c>
      <c r="J75" s="2" t="s">
        <v>642</v>
      </c>
      <c r="K75" s="105">
        <v>2280</v>
      </c>
      <c r="L75" s="63">
        <v>988</v>
      </c>
      <c r="M75" s="63"/>
      <c r="N75" s="63"/>
      <c r="O75" s="63"/>
      <c r="P75" s="63"/>
      <c r="Q75" s="63"/>
      <c r="R75" s="100">
        <f t="shared" ref="R75:R138" si="2">L75+M75-O75</f>
        <v>988</v>
      </c>
      <c r="S75" s="100">
        <f t="shared" ref="S75:S138" si="3">Q75-R75</f>
        <v>-988</v>
      </c>
    </row>
    <row r="76" spans="1:19" ht="19.5" customHeight="1">
      <c r="A76" s="2">
        <v>67</v>
      </c>
      <c r="B76" s="64" t="s">
        <v>363</v>
      </c>
      <c r="C76" s="3"/>
      <c r="D76" s="3"/>
      <c r="E76" s="11" t="s">
        <v>363</v>
      </c>
      <c r="F76" s="2" t="s">
        <v>364</v>
      </c>
      <c r="G76" s="2" t="s">
        <v>360</v>
      </c>
      <c r="H76" s="2" t="s">
        <v>291</v>
      </c>
      <c r="I76" s="2" t="s">
        <v>10</v>
      </c>
      <c r="J76" s="2" t="s">
        <v>642</v>
      </c>
      <c r="K76" s="105">
        <v>109</v>
      </c>
      <c r="L76" s="63">
        <v>0</v>
      </c>
      <c r="M76" s="63"/>
      <c r="N76" s="63"/>
      <c r="O76" s="63"/>
      <c r="P76" s="63"/>
      <c r="Q76" s="63"/>
      <c r="R76" s="100">
        <f t="shared" si="2"/>
        <v>0</v>
      </c>
      <c r="S76" s="100">
        <f t="shared" si="3"/>
        <v>0</v>
      </c>
    </row>
    <row r="77" spans="1:19" ht="19.5" customHeight="1">
      <c r="A77" s="2">
        <v>68</v>
      </c>
      <c r="B77" s="11" t="s">
        <v>363</v>
      </c>
      <c r="C77" s="11"/>
      <c r="D77" s="11"/>
      <c r="E77" s="11" t="s">
        <v>2443</v>
      </c>
      <c r="F77" s="2" t="s">
        <v>426</v>
      </c>
      <c r="G77" s="2" t="s">
        <v>2686</v>
      </c>
      <c r="H77" s="2" t="s">
        <v>2444</v>
      </c>
      <c r="I77" s="2" t="s">
        <v>11</v>
      </c>
      <c r="J77" s="2" t="s">
        <v>642</v>
      </c>
      <c r="K77" s="105">
        <v>900</v>
      </c>
      <c r="L77" s="63">
        <v>995</v>
      </c>
      <c r="M77" s="63"/>
      <c r="N77" s="63"/>
      <c r="O77" s="63"/>
      <c r="P77" s="63"/>
      <c r="Q77" s="63"/>
      <c r="R77" s="100">
        <f t="shared" si="2"/>
        <v>995</v>
      </c>
      <c r="S77" s="100">
        <f t="shared" si="3"/>
        <v>-995</v>
      </c>
    </row>
    <row r="78" spans="1:19" ht="19.5" customHeight="1">
      <c r="A78" s="2">
        <v>69</v>
      </c>
      <c r="B78" s="11" t="s">
        <v>2687</v>
      </c>
      <c r="C78" s="4"/>
      <c r="D78" s="4"/>
      <c r="E78" s="11" t="s">
        <v>425</v>
      </c>
      <c r="F78" s="2" t="s">
        <v>2688</v>
      </c>
      <c r="G78" s="2" t="s">
        <v>2689</v>
      </c>
      <c r="H78" s="2" t="s">
        <v>291</v>
      </c>
      <c r="I78" s="2" t="s">
        <v>11</v>
      </c>
      <c r="J78" s="2" t="s">
        <v>842</v>
      </c>
      <c r="K78" s="105">
        <v>690</v>
      </c>
      <c r="L78" s="63">
        <v>453</v>
      </c>
      <c r="M78" s="63"/>
      <c r="N78" s="63"/>
      <c r="O78" s="63"/>
      <c r="P78" s="63"/>
      <c r="Q78" s="63"/>
      <c r="R78" s="100">
        <f t="shared" si="2"/>
        <v>453</v>
      </c>
      <c r="S78" s="100">
        <f t="shared" si="3"/>
        <v>-453</v>
      </c>
    </row>
    <row r="79" spans="1:19" ht="19.5" customHeight="1">
      <c r="A79" s="2">
        <v>70</v>
      </c>
      <c r="B79" s="67" t="s">
        <v>847</v>
      </c>
      <c r="C79" s="4"/>
      <c r="D79" s="4"/>
      <c r="E79" s="11" t="s">
        <v>1206</v>
      </c>
      <c r="F79" s="2" t="s">
        <v>1207</v>
      </c>
      <c r="G79" s="2" t="s">
        <v>352</v>
      </c>
      <c r="H79" s="2" t="s">
        <v>272</v>
      </c>
      <c r="I79" s="2" t="s">
        <v>13</v>
      </c>
      <c r="J79" s="2" t="s">
        <v>1201</v>
      </c>
      <c r="K79" s="105">
        <v>799</v>
      </c>
      <c r="L79" s="63">
        <v>305</v>
      </c>
      <c r="M79" s="63"/>
      <c r="N79" s="63"/>
      <c r="O79" s="63"/>
      <c r="P79" s="63"/>
      <c r="Q79" s="63"/>
      <c r="R79" s="100">
        <f t="shared" si="2"/>
        <v>305</v>
      </c>
      <c r="S79" s="100">
        <f t="shared" si="3"/>
        <v>-305</v>
      </c>
    </row>
    <row r="80" spans="1:19" ht="19.5" customHeight="1">
      <c r="A80" s="2">
        <v>71</v>
      </c>
      <c r="B80" s="11" t="s">
        <v>365</v>
      </c>
      <c r="C80" s="4"/>
      <c r="D80" s="4"/>
      <c r="E80" s="11" t="s">
        <v>3785</v>
      </c>
      <c r="F80" s="2" t="s">
        <v>2691</v>
      </c>
      <c r="G80" s="2" t="s">
        <v>360</v>
      </c>
      <c r="H80" s="2" t="s">
        <v>238</v>
      </c>
      <c r="I80" s="2" t="s">
        <v>11</v>
      </c>
      <c r="J80" s="2" t="s">
        <v>642</v>
      </c>
      <c r="K80" s="106">
        <v>178</v>
      </c>
      <c r="L80" s="63">
        <v>132</v>
      </c>
      <c r="M80" s="63"/>
      <c r="N80" s="63"/>
      <c r="O80" s="63"/>
      <c r="P80" s="63"/>
      <c r="Q80" s="63"/>
      <c r="R80" s="100">
        <f t="shared" si="2"/>
        <v>132</v>
      </c>
      <c r="S80" s="100">
        <f t="shared" si="3"/>
        <v>-132</v>
      </c>
    </row>
    <row r="81" spans="1:19" ht="19.5" customHeight="1">
      <c r="A81" s="2">
        <v>72</v>
      </c>
      <c r="B81" s="64" t="s">
        <v>365</v>
      </c>
      <c r="C81" s="3"/>
      <c r="D81" s="3"/>
      <c r="E81" s="11" t="s">
        <v>366</v>
      </c>
      <c r="F81" s="2" t="s">
        <v>367</v>
      </c>
      <c r="G81" s="2" t="s">
        <v>360</v>
      </c>
      <c r="H81" s="2" t="s">
        <v>235</v>
      </c>
      <c r="I81" s="2" t="s">
        <v>10</v>
      </c>
      <c r="J81" s="2" t="s">
        <v>647</v>
      </c>
      <c r="K81" s="105">
        <v>232</v>
      </c>
      <c r="L81" s="63">
        <v>9312</v>
      </c>
      <c r="M81" s="63"/>
      <c r="N81" s="63"/>
      <c r="O81" s="63"/>
      <c r="P81" s="63"/>
      <c r="Q81" s="63"/>
      <c r="R81" s="100">
        <f t="shared" si="2"/>
        <v>9312</v>
      </c>
      <c r="S81" s="100">
        <f t="shared" si="3"/>
        <v>-9312</v>
      </c>
    </row>
    <row r="82" spans="1:19" ht="19.5" customHeight="1">
      <c r="A82" s="2">
        <v>73</v>
      </c>
      <c r="B82" s="64" t="s">
        <v>365</v>
      </c>
      <c r="C82" s="3"/>
      <c r="D82" s="3"/>
      <c r="E82" s="11" t="s">
        <v>366</v>
      </c>
      <c r="F82" s="2" t="s">
        <v>2692</v>
      </c>
      <c r="G82" s="2" t="s">
        <v>360</v>
      </c>
      <c r="H82" s="2" t="s">
        <v>235</v>
      </c>
      <c r="I82" s="2" t="s">
        <v>10</v>
      </c>
      <c r="J82" s="2" t="s">
        <v>647</v>
      </c>
      <c r="K82" s="106">
        <v>268</v>
      </c>
      <c r="L82" s="63">
        <v>0</v>
      </c>
      <c r="M82" s="63"/>
      <c r="N82" s="63"/>
      <c r="O82" s="63"/>
      <c r="P82" s="63"/>
      <c r="Q82" s="63"/>
      <c r="R82" s="100">
        <f t="shared" si="2"/>
        <v>0</v>
      </c>
      <c r="S82" s="100">
        <f t="shared" si="3"/>
        <v>0</v>
      </c>
    </row>
    <row r="83" spans="1:19" ht="19.5" customHeight="1">
      <c r="A83" s="2">
        <v>74</v>
      </c>
      <c r="B83" s="11" t="s">
        <v>1722</v>
      </c>
      <c r="C83" s="4"/>
      <c r="D83" s="4"/>
      <c r="E83" s="11" t="s">
        <v>1722</v>
      </c>
      <c r="F83" s="2" t="s">
        <v>1725</v>
      </c>
      <c r="G83" s="2" t="s">
        <v>1726</v>
      </c>
      <c r="H83" s="2" t="s">
        <v>1723</v>
      </c>
      <c r="I83" s="2" t="s">
        <v>520</v>
      </c>
      <c r="J83" s="2" t="s">
        <v>1724</v>
      </c>
      <c r="K83" s="105">
        <v>500</v>
      </c>
      <c r="L83" s="63">
        <v>500</v>
      </c>
      <c r="M83" s="63"/>
      <c r="N83" s="63"/>
      <c r="O83" s="63"/>
      <c r="P83" s="63"/>
      <c r="Q83" s="63"/>
      <c r="R83" s="100">
        <f t="shared" si="2"/>
        <v>500</v>
      </c>
      <c r="S83" s="100">
        <f t="shared" si="3"/>
        <v>-500</v>
      </c>
    </row>
    <row r="84" spans="1:19" ht="19.5" customHeight="1">
      <c r="A84" s="2">
        <v>75</v>
      </c>
      <c r="B84" s="11" t="s">
        <v>2693</v>
      </c>
      <c r="C84" s="4"/>
      <c r="D84" s="4"/>
      <c r="E84" s="11" t="s">
        <v>2595</v>
      </c>
      <c r="F84" s="2" t="s">
        <v>2694</v>
      </c>
      <c r="G84" s="2" t="s">
        <v>2695</v>
      </c>
      <c r="H84" s="2" t="s">
        <v>2596</v>
      </c>
      <c r="I84" s="2" t="s">
        <v>520</v>
      </c>
      <c r="J84" s="2" t="s">
        <v>1724</v>
      </c>
      <c r="K84" s="105">
        <v>735</v>
      </c>
      <c r="L84" s="63">
        <v>224</v>
      </c>
      <c r="M84" s="63"/>
      <c r="N84" s="63"/>
      <c r="O84" s="63"/>
      <c r="P84" s="63"/>
      <c r="Q84" s="63"/>
      <c r="R84" s="100">
        <f t="shared" si="2"/>
        <v>224</v>
      </c>
      <c r="S84" s="100">
        <f t="shared" si="3"/>
        <v>-224</v>
      </c>
    </row>
    <row r="85" spans="1:19" ht="19.5" customHeight="1">
      <c r="A85" s="2">
        <v>76</v>
      </c>
      <c r="B85" s="64" t="s">
        <v>216</v>
      </c>
      <c r="C85" s="3"/>
      <c r="D85" s="3"/>
      <c r="E85" s="11" t="s">
        <v>250</v>
      </c>
      <c r="F85" s="2" t="s">
        <v>254</v>
      </c>
      <c r="G85" s="2" t="s">
        <v>255</v>
      </c>
      <c r="H85" s="2" t="s">
        <v>251</v>
      </c>
      <c r="I85" s="2" t="s">
        <v>10</v>
      </c>
      <c r="J85" s="2" t="s">
        <v>252</v>
      </c>
      <c r="K85" s="105">
        <v>2246</v>
      </c>
      <c r="L85" s="63">
        <v>8270</v>
      </c>
      <c r="M85" s="63"/>
      <c r="N85" s="63"/>
      <c r="O85" s="63"/>
      <c r="P85" s="63"/>
      <c r="Q85" s="63"/>
      <c r="R85" s="100">
        <f t="shared" si="2"/>
        <v>8270</v>
      </c>
      <c r="S85" s="100">
        <f t="shared" si="3"/>
        <v>-8270</v>
      </c>
    </row>
    <row r="86" spans="1:19" ht="19.5" customHeight="1">
      <c r="A86" s="2">
        <v>77</v>
      </c>
      <c r="B86" s="67" t="s">
        <v>956</v>
      </c>
      <c r="C86" s="4"/>
      <c r="D86" s="4"/>
      <c r="E86" s="67" t="s">
        <v>957</v>
      </c>
      <c r="F86" s="68" t="s">
        <v>959</v>
      </c>
      <c r="G86" s="68" t="s">
        <v>955</v>
      </c>
      <c r="H86" s="68" t="s">
        <v>958</v>
      </c>
      <c r="I86" s="68" t="s">
        <v>12</v>
      </c>
      <c r="J86" s="68" t="s">
        <v>946</v>
      </c>
      <c r="K86" s="105">
        <v>10998</v>
      </c>
      <c r="L86" s="63">
        <v>1137</v>
      </c>
      <c r="M86" s="63"/>
      <c r="N86" s="63"/>
      <c r="O86" s="63"/>
      <c r="P86" s="63"/>
      <c r="Q86" s="63"/>
      <c r="R86" s="100">
        <f t="shared" si="2"/>
        <v>1137</v>
      </c>
      <c r="S86" s="100">
        <f t="shared" si="3"/>
        <v>-1137</v>
      </c>
    </row>
    <row r="87" spans="1:19" ht="19.5" customHeight="1">
      <c r="A87" s="2">
        <v>78</v>
      </c>
      <c r="B87" s="64" t="s">
        <v>216</v>
      </c>
      <c r="C87" s="3"/>
      <c r="D87" s="3"/>
      <c r="E87" s="11" t="s">
        <v>218</v>
      </c>
      <c r="F87" s="2" t="s">
        <v>220</v>
      </c>
      <c r="G87" s="2" t="s">
        <v>217</v>
      </c>
      <c r="H87" s="2" t="s">
        <v>219</v>
      </c>
      <c r="I87" s="2" t="s">
        <v>10</v>
      </c>
      <c r="J87" s="2" t="s">
        <v>647</v>
      </c>
      <c r="K87" s="105">
        <v>2375</v>
      </c>
      <c r="L87" s="63">
        <v>404</v>
      </c>
      <c r="M87" s="63"/>
      <c r="N87" s="63"/>
      <c r="O87" s="63"/>
      <c r="P87" s="63"/>
      <c r="Q87" s="63"/>
      <c r="R87" s="100">
        <f t="shared" si="2"/>
        <v>404</v>
      </c>
      <c r="S87" s="100">
        <f t="shared" si="3"/>
        <v>-404</v>
      </c>
    </row>
    <row r="88" spans="1:19" ht="19.5" customHeight="1">
      <c r="A88" s="2">
        <v>79</v>
      </c>
      <c r="B88" s="11" t="s">
        <v>683</v>
      </c>
      <c r="C88" s="4"/>
      <c r="D88" s="4"/>
      <c r="E88" s="11" t="s">
        <v>1917</v>
      </c>
      <c r="F88" s="2" t="s">
        <v>1920</v>
      </c>
      <c r="G88" s="2" t="s">
        <v>1913</v>
      </c>
      <c r="H88" s="2" t="s">
        <v>1918</v>
      </c>
      <c r="I88" s="2" t="s">
        <v>13</v>
      </c>
      <c r="J88" s="2" t="s">
        <v>1919</v>
      </c>
      <c r="K88" s="105">
        <v>1365</v>
      </c>
      <c r="L88" s="63">
        <v>64</v>
      </c>
      <c r="M88" s="63"/>
      <c r="N88" s="63"/>
      <c r="O88" s="63"/>
      <c r="P88" s="63"/>
      <c r="Q88" s="63"/>
      <c r="R88" s="100">
        <f t="shared" si="2"/>
        <v>64</v>
      </c>
      <c r="S88" s="100">
        <f t="shared" si="3"/>
        <v>-64</v>
      </c>
    </row>
    <row r="89" spans="1:19" ht="19.5" customHeight="1">
      <c r="A89" s="2">
        <v>80</v>
      </c>
      <c r="B89" s="11" t="s">
        <v>813</v>
      </c>
      <c r="C89" s="4"/>
      <c r="D89" s="4"/>
      <c r="E89" s="11" t="s">
        <v>1805</v>
      </c>
      <c r="F89" s="2" t="s">
        <v>1806</v>
      </c>
      <c r="G89" s="2" t="s">
        <v>488</v>
      </c>
      <c r="H89" s="2" t="s">
        <v>299</v>
      </c>
      <c r="I89" s="2" t="s">
        <v>11</v>
      </c>
      <c r="J89" s="2" t="s">
        <v>647</v>
      </c>
      <c r="K89" s="105">
        <v>5187</v>
      </c>
      <c r="L89" s="63">
        <v>0</v>
      </c>
      <c r="M89" s="63"/>
      <c r="N89" s="63"/>
      <c r="O89" s="63"/>
      <c r="P89" s="63"/>
      <c r="Q89" s="63"/>
      <c r="R89" s="100">
        <f t="shared" si="2"/>
        <v>0</v>
      </c>
      <c r="S89" s="100">
        <f t="shared" si="3"/>
        <v>0</v>
      </c>
    </row>
    <row r="90" spans="1:19" ht="19.5" customHeight="1">
      <c r="A90" s="2">
        <v>81</v>
      </c>
      <c r="B90" s="11" t="s">
        <v>1846</v>
      </c>
      <c r="C90" s="4"/>
      <c r="D90" s="4"/>
      <c r="E90" s="74" t="s">
        <v>1847</v>
      </c>
      <c r="F90" s="19" t="s">
        <v>2696</v>
      </c>
      <c r="G90" s="2" t="s">
        <v>1841</v>
      </c>
      <c r="H90" s="2" t="s">
        <v>272</v>
      </c>
      <c r="I90" s="2" t="s">
        <v>10</v>
      </c>
      <c r="J90" s="19" t="s">
        <v>1153</v>
      </c>
      <c r="K90" s="105">
        <v>2500</v>
      </c>
      <c r="L90" s="63">
        <v>1565</v>
      </c>
      <c r="M90" s="63"/>
      <c r="N90" s="63"/>
      <c r="O90" s="63"/>
      <c r="P90" s="63"/>
      <c r="Q90" s="63"/>
      <c r="R90" s="100">
        <f t="shared" si="2"/>
        <v>1565</v>
      </c>
      <c r="S90" s="100">
        <f t="shared" si="3"/>
        <v>-1565</v>
      </c>
    </row>
    <row r="91" spans="1:19" ht="19.5" customHeight="1">
      <c r="A91" s="2">
        <v>82</v>
      </c>
      <c r="B91" s="11" t="s">
        <v>1860</v>
      </c>
      <c r="C91" s="4"/>
      <c r="D91" s="4"/>
      <c r="E91" s="74" t="s">
        <v>1861</v>
      </c>
      <c r="F91" s="19" t="s">
        <v>1863</v>
      </c>
      <c r="G91" s="2" t="s">
        <v>1841</v>
      </c>
      <c r="H91" s="2" t="s">
        <v>1862</v>
      </c>
      <c r="I91" s="2" t="s">
        <v>10</v>
      </c>
      <c r="J91" s="19" t="s">
        <v>1153</v>
      </c>
      <c r="K91" s="105">
        <v>530</v>
      </c>
      <c r="L91" s="63">
        <v>4153</v>
      </c>
      <c r="M91" s="63"/>
      <c r="N91" s="63"/>
      <c r="O91" s="63"/>
      <c r="P91" s="63"/>
      <c r="Q91" s="63"/>
      <c r="R91" s="100">
        <f t="shared" si="2"/>
        <v>4153</v>
      </c>
      <c r="S91" s="100">
        <f t="shared" si="3"/>
        <v>-4153</v>
      </c>
    </row>
    <row r="92" spans="1:19" ht="19.5" customHeight="1">
      <c r="A92" s="2">
        <v>83</v>
      </c>
      <c r="B92" s="11" t="s">
        <v>1123</v>
      </c>
      <c r="C92" s="4"/>
      <c r="D92" s="4"/>
      <c r="E92" s="11" t="s">
        <v>1124</v>
      </c>
      <c r="F92" s="2" t="s">
        <v>1126</v>
      </c>
      <c r="G92" s="2" t="s">
        <v>2697</v>
      </c>
      <c r="H92" s="2" t="s">
        <v>310</v>
      </c>
      <c r="I92" s="2" t="s">
        <v>11</v>
      </c>
      <c r="J92" s="2" t="s">
        <v>1125</v>
      </c>
      <c r="K92" s="105">
        <v>6600</v>
      </c>
      <c r="L92" s="63">
        <v>0</v>
      </c>
      <c r="M92" s="63"/>
      <c r="N92" s="63"/>
      <c r="O92" s="63"/>
      <c r="P92" s="63"/>
      <c r="Q92" s="63"/>
      <c r="R92" s="100">
        <f t="shared" si="2"/>
        <v>0</v>
      </c>
      <c r="S92" s="100">
        <f t="shared" si="3"/>
        <v>0</v>
      </c>
    </row>
    <row r="93" spans="1:19" ht="19.5" customHeight="1">
      <c r="A93" s="2">
        <v>84</v>
      </c>
      <c r="B93" s="11" t="s">
        <v>337</v>
      </c>
      <c r="C93" s="11"/>
      <c r="D93" s="11"/>
      <c r="E93" s="11" t="s">
        <v>2446</v>
      </c>
      <c r="F93" s="2" t="s">
        <v>2698</v>
      </c>
      <c r="G93" s="2" t="s">
        <v>2699</v>
      </c>
      <c r="H93" s="2" t="s">
        <v>1583</v>
      </c>
      <c r="I93" s="2" t="s">
        <v>11</v>
      </c>
      <c r="J93" s="2" t="s">
        <v>804</v>
      </c>
      <c r="K93" s="105">
        <v>3600</v>
      </c>
      <c r="L93" s="63">
        <v>1609</v>
      </c>
      <c r="M93" s="63"/>
      <c r="N93" s="63"/>
      <c r="O93" s="63"/>
      <c r="P93" s="63"/>
      <c r="Q93" s="63"/>
      <c r="R93" s="100">
        <f t="shared" si="2"/>
        <v>1609</v>
      </c>
      <c r="S93" s="100">
        <f t="shared" si="3"/>
        <v>-1609</v>
      </c>
    </row>
    <row r="94" spans="1:19" ht="19.5" customHeight="1">
      <c r="A94" s="2">
        <v>85</v>
      </c>
      <c r="B94" s="64" t="s">
        <v>337</v>
      </c>
      <c r="C94" s="3"/>
      <c r="D94" s="3"/>
      <c r="E94" s="11" t="s">
        <v>338</v>
      </c>
      <c r="F94" s="2" t="s">
        <v>339</v>
      </c>
      <c r="G94" s="2" t="s">
        <v>336</v>
      </c>
      <c r="H94" s="2" t="s">
        <v>225</v>
      </c>
      <c r="I94" s="2" t="s">
        <v>10</v>
      </c>
      <c r="J94" s="2" t="s">
        <v>2700</v>
      </c>
      <c r="K94" s="105">
        <v>2950</v>
      </c>
      <c r="L94" s="63">
        <v>2229</v>
      </c>
      <c r="M94" s="63"/>
      <c r="N94" s="63"/>
      <c r="O94" s="63"/>
      <c r="P94" s="63"/>
      <c r="Q94" s="63"/>
      <c r="R94" s="100">
        <f t="shared" si="2"/>
        <v>2229</v>
      </c>
      <c r="S94" s="100">
        <f t="shared" si="3"/>
        <v>-2229</v>
      </c>
    </row>
    <row r="95" spans="1:19" ht="19.5" customHeight="1">
      <c r="A95" s="2">
        <v>86</v>
      </c>
      <c r="B95" s="11" t="s">
        <v>337</v>
      </c>
      <c r="C95" s="11"/>
      <c r="D95" s="11"/>
      <c r="E95" s="11" t="s">
        <v>2447</v>
      </c>
      <c r="F95" s="2" t="s">
        <v>2701</v>
      </c>
      <c r="G95" s="2" t="s">
        <v>2702</v>
      </c>
      <c r="H95" s="2" t="s">
        <v>1200</v>
      </c>
      <c r="I95" s="2" t="s">
        <v>13</v>
      </c>
      <c r="J95" s="2" t="s">
        <v>2703</v>
      </c>
      <c r="K95" s="105">
        <v>2499</v>
      </c>
      <c r="L95" s="63">
        <v>1901</v>
      </c>
      <c r="M95" s="63"/>
      <c r="N95" s="63"/>
      <c r="O95" s="63"/>
      <c r="P95" s="63"/>
      <c r="Q95" s="63"/>
      <c r="R95" s="100">
        <f t="shared" si="2"/>
        <v>1901</v>
      </c>
      <c r="S95" s="100">
        <f t="shared" si="3"/>
        <v>-1901</v>
      </c>
    </row>
    <row r="96" spans="1:19" ht="19.5" customHeight="1">
      <c r="A96" s="2">
        <v>87</v>
      </c>
      <c r="B96" s="11" t="s">
        <v>2381</v>
      </c>
      <c r="C96" s="4"/>
      <c r="D96" s="4"/>
      <c r="E96" s="11" t="s">
        <v>19</v>
      </c>
      <c r="F96" s="2" t="s">
        <v>2383</v>
      </c>
      <c r="G96" s="2" t="s">
        <v>2384</v>
      </c>
      <c r="H96" s="2" t="s">
        <v>20</v>
      </c>
      <c r="I96" s="2" t="s">
        <v>14</v>
      </c>
      <c r="J96" s="2" t="s">
        <v>2382</v>
      </c>
      <c r="K96" s="105">
        <v>27500</v>
      </c>
      <c r="L96" s="63">
        <v>19</v>
      </c>
      <c r="M96" s="63"/>
      <c r="N96" s="63"/>
      <c r="O96" s="63"/>
      <c r="P96" s="63"/>
      <c r="Q96" s="63"/>
      <c r="R96" s="100">
        <f t="shared" si="2"/>
        <v>19</v>
      </c>
      <c r="S96" s="100">
        <f t="shared" si="3"/>
        <v>-19</v>
      </c>
    </row>
    <row r="97" spans="1:19" ht="19.5" customHeight="1">
      <c r="A97" s="2">
        <v>88</v>
      </c>
      <c r="B97" s="11" t="s">
        <v>1848</v>
      </c>
      <c r="C97" s="4"/>
      <c r="D97" s="4"/>
      <c r="E97" s="74" t="s">
        <v>1849</v>
      </c>
      <c r="F97" s="19" t="s">
        <v>1852</v>
      </c>
      <c r="G97" s="2" t="s">
        <v>1841</v>
      </c>
      <c r="H97" s="2" t="s">
        <v>1850</v>
      </c>
      <c r="I97" s="2" t="s">
        <v>12</v>
      </c>
      <c r="J97" s="19" t="s">
        <v>1851</v>
      </c>
      <c r="K97" s="105">
        <v>840</v>
      </c>
      <c r="L97" s="63">
        <v>86</v>
      </c>
      <c r="M97" s="63"/>
      <c r="N97" s="63"/>
      <c r="O97" s="63"/>
      <c r="P97" s="63"/>
      <c r="Q97" s="63"/>
      <c r="R97" s="100">
        <f t="shared" si="2"/>
        <v>86</v>
      </c>
      <c r="S97" s="100">
        <f t="shared" si="3"/>
        <v>-86</v>
      </c>
    </row>
    <row r="98" spans="1:19" ht="19.5" customHeight="1">
      <c r="A98" s="2">
        <v>89</v>
      </c>
      <c r="B98" s="11" t="s">
        <v>2179</v>
      </c>
      <c r="C98" s="4"/>
      <c r="D98" s="4"/>
      <c r="E98" s="65" t="s">
        <v>21</v>
      </c>
      <c r="F98" s="2" t="s">
        <v>2181</v>
      </c>
      <c r="G98" s="2" t="s">
        <v>867</v>
      </c>
      <c r="H98" s="2" t="s">
        <v>22</v>
      </c>
      <c r="I98" s="2" t="s">
        <v>11</v>
      </c>
      <c r="J98" s="2" t="s">
        <v>2180</v>
      </c>
      <c r="K98" s="105">
        <v>1260</v>
      </c>
      <c r="L98" s="63">
        <v>10922</v>
      </c>
      <c r="M98" s="63"/>
      <c r="N98" s="63"/>
      <c r="O98" s="63"/>
      <c r="P98" s="63"/>
      <c r="Q98" s="63"/>
      <c r="R98" s="100">
        <f t="shared" si="2"/>
        <v>10922</v>
      </c>
      <c r="S98" s="100">
        <f t="shared" si="3"/>
        <v>-10922</v>
      </c>
    </row>
    <row r="99" spans="1:19" ht="19.5" customHeight="1">
      <c r="A99" s="2">
        <v>90</v>
      </c>
      <c r="B99" s="11" t="s">
        <v>2449</v>
      </c>
      <c r="C99" s="11"/>
      <c r="D99" s="11"/>
      <c r="E99" s="11" t="s">
        <v>2448</v>
      </c>
      <c r="F99" s="2" t="s">
        <v>2704</v>
      </c>
      <c r="G99" s="2" t="s">
        <v>983</v>
      </c>
      <c r="H99" s="2" t="s">
        <v>238</v>
      </c>
      <c r="I99" s="2" t="s">
        <v>10</v>
      </c>
      <c r="J99" s="2" t="s">
        <v>642</v>
      </c>
      <c r="K99" s="105">
        <v>5639</v>
      </c>
      <c r="L99" s="63">
        <v>77</v>
      </c>
      <c r="M99" s="63"/>
      <c r="N99" s="63"/>
      <c r="O99" s="63"/>
      <c r="P99" s="63"/>
      <c r="Q99" s="63"/>
      <c r="R99" s="100">
        <f t="shared" si="2"/>
        <v>77</v>
      </c>
      <c r="S99" s="100">
        <f t="shared" si="3"/>
        <v>-77</v>
      </c>
    </row>
    <row r="100" spans="1:19" ht="19.5" customHeight="1">
      <c r="A100" s="2">
        <v>91</v>
      </c>
      <c r="B100" s="67" t="s">
        <v>2254</v>
      </c>
      <c r="C100" s="4"/>
      <c r="D100" s="4"/>
      <c r="E100" s="11" t="s">
        <v>2255</v>
      </c>
      <c r="F100" s="2" t="s">
        <v>2257</v>
      </c>
      <c r="G100" s="2" t="s">
        <v>2253</v>
      </c>
      <c r="H100" s="2" t="s">
        <v>2256</v>
      </c>
      <c r="I100" s="2" t="s">
        <v>16</v>
      </c>
      <c r="J100" s="2" t="s">
        <v>2250</v>
      </c>
      <c r="K100" s="105">
        <v>980</v>
      </c>
      <c r="L100" s="63">
        <v>0</v>
      </c>
      <c r="M100" s="63"/>
      <c r="N100" s="63"/>
      <c r="O100" s="63"/>
      <c r="P100" s="63"/>
      <c r="Q100" s="63"/>
      <c r="R100" s="100">
        <f t="shared" si="2"/>
        <v>0</v>
      </c>
      <c r="S100" s="100">
        <f t="shared" si="3"/>
        <v>0</v>
      </c>
    </row>
    <row r="101" spans="1:19" ht="19.5" customHeight="1">
      <c r="A101" s="2">
        <v>92</v>
      </c>
      <c r="B101" s="67" t="s">
        <v>2258</v>
      </c>
      <c r="C101" s="4"/>
      <c r="D101" s="4"/>
      <c r="E101" s="11" t="s">
        <v>23</v>
      </c>
      <c r="F101" s="2" t="s">
        <v>2259</v>
      </c>
      <c r="G101" s="2" t="s">
        <v>2253</v>
      </c>
      <c r="H101" s="2" t="s">
        <v>24</v>
      </c>
      <c r="I101" s="2" t="s">
        <v>16</v>
      </c>
      <c r="J101" s="2" t="s">
        <v>2250</v>
      </c>
      <c r="K101" s="105">
        <v>800</v>
      </c>
      <c r="L101" s="63">
        <v>9340</v>
      </c>
      <c r="M101" s="63"/>
      <c r="N101" s="63"/>
      <c r="O101" s="63"/>
      <c r="P101" s="63"/>
      <c r="Q101" s="63"/>
      <c r="R101" s="100">
        <f t="shared" si="2"/>
        <v>9340</v>
      </c>
      <c r="S101" s="100">
        <f t="shared" si="3"/>
        <v>-9340</v>
      </c>
    </row>
    <row r="102" spans="1:19" ht="19.5" customHeight="1">
      <c r="A102" s="2">
        <v>93</v>
      </c>
      <c r="B102" s="65" t="s">
        <v>325</v>
      </c>
      <c r="C102" s="11"/>
      <c r="D102" s="11"/>
      <c r="E102" s="65" t="s">
        <v>2450</v>
      </c>
      <c r="F102" s="2" t="s">
        <v>2705</v>
      </c>
      <c r="G102" s="2" t="s">
        <v>255</v>
      </c>
      <c r="H102" s="66" t="s">
        <v>1004</v>
      </c>
      <c r="I102" s="2" t="s">
        <v>16</v>
      </c>
      <c r="J102" s="2" t="s">
        <v>842</v>
      </c>
      <c r="K102" s="105">
        <v>252</v>
      </c>
      <c r="L102" s="63">
        <v>6</v>
      </c>
      <c r="M102" s="63"/>
      <c r="N102" s="63"/>
      <c r="O102" s="63"/>
      <c r="P102" s="63"/>
      <c r="Q102" s="63"/>
      <c r="R102" s="100">
        <f t="shared" si="2"/>
        <v>6</v>
      </c>
      <c r="S102" s="100">
        <f t="shared" si="3"/>
        <v>-6</v>
      </c>
    </row>
    <row r="103" spans="1:19" ht="19.5" customHeight="1">
      <c r="A103" s="2">
        <v>94</v>
      </c>
      <c r="B103" s="65" t="s">
        <v>1333</v>
      </c>
      <c r="C103" s="11"/>
      <c r="D103" s="11"/>
      <c r="E103" s="65" t="s">
        <v>2706</v>
      </c>
      <c r="F103" s="2" t="s">
        <v>2707</v>
      </c>
      <c r="G103" s="2" t="s">
        <v>2708</v>
      </c>
      <c r="H103" s="66" t="s">
        <v>2522</v>
      </c>
      <c r="I103" s="2" t="s">
        <v>18</v>
      </c>
      <c r="J103" s="2" t="s">
        <v>2709</v>
      </c>
      <c r="K103" s="105">
        <v>8400</v>
      </c>
      <c r="L103" s="63">
        <v>0</v>
      </c>
      <c r="M103" s="63"/>
      <c r="N103" s="63"/>
      <c r="O103" s="63"/>
      <c r="P103" s="63"/>
      <c r="Q103" s="63"/>
      <c r="R103" s="100">
        <f t="shared" si="2"/>
        <v>0</v>
      </c>
      <c r="S103" s="100">
        <f t="shared" si="3"/>
        <v>0</v>
      </c>
    </row>
    <row r="104" spans="1:19" ht="19.5" customHeight="1">
      <c r="A104" s="2">
        <v>95</v>
      </c>
      <c r="B104" s="67" t="s">
        <v>876</v>
      </c>
      <c r="C104" s="4"/>
      <c r="D104" s="4"/>
      <c r="E104" s="11" t="s">
        <v>1574</v>
      </c>
      <c r="F104" s="2" t="s">
        <v>1577</v>
      </c>
      <c r="G104" s="2" t="s">
        <v>1578</v>
      </c>
      <c r="H104" s="2" t="s">
        <v>1575</v>
      </c>
      <c r="I104" s="2" t="s">
        <v>658</v>
      </c>
      <c r="J104" s="2" t="s">
        <v>1576</v>
      </c>
      <c r="K104" s="105">
        <v>90000</v>
      </c>
      <c r="L104" s="63">
        <v>28</v>
      </c>
      <c r="M104" s="63"/>
      <c r="N104" s="63"/>
      <c r="O104" s="63"/>
      <c r="P104" s="63"/>
      <c r="Q104" s="63"/>
      <c r="R104" s="100">
        <f t="shared" si="2"/>
        <v>28</v>
      </c>
      <c r="S104" s="100">
        <f t="shared" si="3"/>
        <v>-28</v>
      </c>
    </row>
    <row r="105" spans="1:19" ht="19.5" customHeight="1">
      <c r="A105" s="2">
        <v>96</v>
      </c>
      <c r="B105" s="11" t="s">
        <v>2452</v>
      </c>
      <c r="C105" s="11"/>
      <c r="D105" s="11"/>
      <c r="E105" s="11" t="s">
        <v>2451</v>
      </c>
      <c r="F105" s="2" t="s">
        <v>2710</v>
      </c>
      <c r="G105" s="2" t="s">
        <v>255</v>
      </c>
      <c r="H105" s="2" t="s">
        <v>1764</v>
      </c>
      <c r="I105" s="2" t="s">
        <v>16</v>
      </c>
      <c r="J105" s="2" t="s">
        <v>2711</v>
      </c>
      <c r="K105" s="105">
        <v>399</v>
      </c>
      <c r="L105" s="63">
        <v>78</v>
      </c>
      <c r="M105" s="63"/>
      <c r="N105" s="63"/>
      <c r="O105" s="63"/>
      <c r="P105" s="63"/>
      <c r="Q105" s="63"/>
      <c r="R105" s="100">
        <f t="shared" si="2"/>
        <v>78</v>
      </c>
      <c r="S105" s="100">
        <f t="shared" si="3"/>
        <v>-78</v>
      </c>
    </row>
    <row r="106" spans="1:19" ht="19.5" customHeight="1">
      <c r="A106" s="2">
        <v>97</v>
      </c>
      <c r="B106" s="11" t="s">
        <v>2454</v>
      </c>
      <c r="C106" s="11"/>
      <c r="D106" s="11"/>
      <c r="E106" s="11" t="s">
        <v>2453</v>
      </c>
      <c r="F106" s="2" t="s">
        <v>2712</v>
      </c>
      <c r="G106" s="2" t="s">
        <v>2713</v>
      </c>
      <c r="H106" s="2" t="s">
        <v>2455</v>
      </c>
      <c r="I106" s="2" t="s">
        <v>658</v>
      </c>
      <c r="J106" s="2" t="s">
        <v>2714</v>
      </c>
      <c r="K106" s="105">
        <v>96870</v>
      </c>
      <c r="L106" s="63">
        <v>68</v>
      </c>
      <c r="M106" s="63"/>
      <c r="N106" s="63"/>
      <c r="O106" s="63"/>
      <c r="P106" s="63"/>
      <c r="Q106" s="63"/>
      <c r="R106" s="100">
        <f t="shared" si="2"/>
        <v>68</v>
      </c>
      <c r="S106" s="100">
        <f t="shared" si="3"/>
        <v>-68</v>
      </c>
    </row>
    <row r="107" spans="1:19" ht="19.5" customHeight="1">
      <c r="A107" s="2">
        <v>98</v>
      </c>
      <c r="B107" s="67" t="s">
        <v>2031</v>
      </c>
      <c r="C107" s="11"/>
      <c r="D107" s="11"/>
      <c r="E107" s="67" t="s">
        <v>2032</v>
      </c>
      <c r="F107" s="2" t="s">
        <v>2035</v>
      </c>
      <c r="G107" s="2" t="s">
        <v>2036</v>
      </c>
      <c r="H107" s="68" t="s">
        <v>2033</v>
      </c>
      <c r="I107" s="2" t="s">
        <v>2037</v>
      </c>
      <c r="J107" s="68" t="s">
        <v>2034</v>
      </c>
      <c r="K107" s="105">
        <v>132323</v>
      </c>
      <c r="L107" s="63">
        <v>67</v>
      </c>
      <c r="M107" s="63"/>
      <c r="N107" s="63"/>
      <c r="O107" s="63"/>
      <c r="P107" s="63"/>
      <c r="Q107" s="63"/>
      <c r="R107" s="100">
        <f t="shared" si="2"/>
        <v>67</v>
      </c>
      <c r="S107" s="100">
        <f t="shared" si="3"/>
        <v>-67</v>
      </c>
    </row>
    <row r="108" spans="1:19" ht="19.5" customHeight="1">
      <c r="A108" s="2">
        <v>99</v>
      </c>
      <c r="B108" s="67" t="s">
        <v>1494</v>
      </c>
      <c r="C108" s="4"/>
      <c r="D108" s="4"/>
      <c r="E108" s="11" t="s">
        <v>1495</v>
      </c>
      <c r="F108" s="2" t="s">
        <v>1498</v>
      </c>
      <c r="G108" s="2" t="s">
        <v>1499</v>
      </c>
      <c r="H108" s="2" t="s">
        <v>1496</v>
      </c>
      <c r="I108" s="2" t="s">
        <v>10</v>
      </c>
      <c r="J108" s="2" t="s">
        <v>1497</v>
      </c>
      <c r="K108" s="105">
        <v>3780</v>
      </c>
      <c r="L108" s="63">
        <v>0</v>
      </c>
      <c r="M108" s="63"/>
      <c r="N108" s="63"/>
      <c r="O108" s="63"/>
      <c r="P108" s="63"/>
      <c r="Q108" s="63"/>
      <c r="R108" s="100">
        <f t="shared" si="2"/>
        <v>0</v>
      </c>
      <c r="S108" s="100">
        <f t="shared" si="3"/>
        <v>0</v>
      </c>
    </row>
    <row r="109" spans="1:19" ht="19.5" customHeight="1">
      <c r="A109" s="2">
        <v>100</v>
      </c>
      <c r="B109" s="67" t="s">
        <v>1132</v>
      </c>
      <c r="C109" s="4"/>
      <c r="D109" s="4"/>
      <c r="E109" s="11" t="s">
        <v>1133</v>
      </c>
      <c r="F109" s="2" t="s">
        <v>1135</v>
      </c>
      <c r="G109" s="2" t="s">
        <v>1136</v>
      </c>
      <c r="H109" s="2" t="s">
        <v>291</v>
      </c>
      <c r="I109" s="2" t="s">
        <v>10</v>
      </c>
      <c r="J109" s="2" t="s">
        <v>1134</v>
      </c>
      <c r="K109" s="105">
        <v>343</v>
      </c>
      <c r="L109" s="63">
        <v>0</v>
      </c>
      <c r="M109" s="63"/>
      <c r="N109" s="63"/>
      <c r="O109" s="63"/>
      <c r="P109" s="63"/>
      <c r="Q109" s="63"/>
      <c r="R109" s="100">
        <f t="shared" si="2"/>
        <v>0</v>
      </c>
      <c r="S109" s="100">
        <f t="shared" si="3"/>
        <v>0</v>
      </c>
    </row>
    <row r="110" spans="1:19" ht="19.5" customHeight="1">
      <c r="A110" s="2">
        <v>101</v>
      </c>
      <c r="B110" s="11" t="s">
        <v>1494</v>
      </c>
      <c r="C110" s="11"/>
      <c r="D110" s="11"/>
      <c r="E110" s="11" t="s">
        <v>2715</v>
      </c>
      <c r="F110" s="2" t="s">
        <v>2716</v>
      </c>
      <c r="G110" s="2" t="s">
        <v>2717</v>
      </c>
      <c r="H110" s="2" t="s">
        <v>387</v>
      </c>
      <c r="I110" s="2" t="s">
        <v>11</v>
      </c>
      <c r="J110" s="2" t="s">
        <v>626</v>
      </c>
      <c r="K110" s="105">
        <v>3045</v>
      </c>
      <c r="L110" s="63">
        <v>0</v>
      </c>
      <c r="M110" s="63"/>
      <c r="N110" s="63"/>
      <c r="O110" s="63"/>
      <c r="P110" s="63"/>
      <c r="Q110" s="63"/>
      <c r="R110" s="100">
        <f t="shared" si="2"/>
        <v>0</v>
      </c>
      <c r="S110" s="100">
        <f t="shared" si="3"/>
        <v>0</v>
      </c>
    </row>
    <row r="111" spans="1:19" ht="19.5" customHeight="1">
      <c r="A111" s="2">
        <v>102</v>
      </c>
      <c r="B111" s="11" t="s">
        <v>1911</v>
      </c>
      <c r="C111" s="11"/>
      <c r="D111" s="11"/>
      <c r="E111" s="11" t="s">
        <v>2456</v>
      </c>
      <c r="F111" s="2" t="s">
        <v>2718</v>
      </c>
      <c r="G111" s="2" t="s">
        <v>983</v>
      </c>
      <c r="H111" s="2" t="s">
        <v>291</v>
      </c>
      <c r="I111" s="2" t="s">
        <v>11</v>
      </c>
      <c r="J111" s="2" t="s">
        <v>1968</v>
      </c>
      <c r="K111" s="105">
        <v>2400</v>
      </c>
      <c r="L111" s="63">
        <v>578</v>
      </c>
      <c r="M111" s="63"/>
      <c r="N111" s="63"/>
      <c r="O111" s="63"/>
      <c r="P111" s="63"/>
      <c r="Q111" s="63"/>
      <c r="R111" s="100">
        <f t="shared" si="2"/>
        <v>578</v>
      </c>
      <c r="S111" s="100">
        <f t="shared" si="3"/>
        <v>-578</v>
      </c>
    </row>
    <row r="112" spans="1:19" ht="19.5" customHeight="1">
      <c r="A112" s="2">
        <v>103</v>
      </c>
      <c r="B112" s="71" t="s">
        <v>2597</v>
      </c>
      <c r="C112" s="4"/>
      <c r="D112" s="4"/>
      <c r="E112" s="11" t="s">
        <v>2598</v>
      </c>
      <c r="F112" s="2" t="s">
        <v>2719</v>
      </c>
      <c r="G112" s="2" t="s">
        <v>881</v>
      </c>
      <c r="H112" s="2" t="s">
        <v>291</v>
      </c>
      <c r="I112" s="2" t="s">
        <v>10</v>
      </c>
      <c r="J112" s="2" t="s">
        <v>2720</v>
      </c>
      <c r="K112" s="105">
        <v>5779</v>
      </c>
      <c r="L112" s="63">
        <v>50</v>
      </c>
      <c r="M112" s="63"/>
      <c r="N112" s="63"/>
      <c r="O112" s="63"/>
      <c r="P112" s="63"/>
      <c r="Q112" s="63"/>
      <c r="R112" s="100">
        <f t="shared" si="2"/>
        <v>50</v>
      </c>
      <c r="S112" s="100">
        <f t="shared" si="3"/>
        <v>-50</v>
      </c>
    </row>
    <row r="113" spans="1:27" ht="19.5" customHeight="1">
      <c r="A113" s="2">
        <v>104</v>
      </c>
      <c r="B113" s="70" t="s">
        <v>2048</v>
      </c>
      <c r="C113" s="4"/>
      <c r="D113" s="4"/>
      <c r="E113" s="11" t="s">
        <v>2053</v>
      </c>
      <c r="F113" s="2" t="s">
        <v>2054</v>
      </c>
      <c r="G113" s="2" t="s">
        <v>2055</v>
      </c>
      <c r="H113" s="2" t="s">
        <v>387</v>
      </c>
      <c r="I113" s="2" t="s">
        <v>10</v>
      </c>
      <c r="J113" s="2" t="s">
        <v>626</v>
      </c>
      <c r="K113" s="105">
        <v>1986</v>
      </c>
      <c r="L113" s="63">
        <v>430</v>
      </c>
      <c r="M113" s="63"/>
      <c r="N113" s="63"/>
      <c r="O113" s="63"/>
      <c r="P113" s="63"/>
      <c r="Q113" s="63"/>
      <c r="R113" s="100">
        <f t="shared" si="2"/>
        <v>430</v>
      </c>
      <c r="S113" s="100">
        <f t="shared" si="3"/>
        <v>-430</v>
      </c>
    </row>
    <row r="114" spans="1:27" ht="19.5" customHeight="1">
      <c r="A114" s="2">
        <v>105</v>
      </c>
      <c r="B114" s="70" t="s">
        <v>2048</v>
      </c>
      <c r="C114" s="4"/>
      <c r="D114" s="4"/>
      <c r="E114" s="11" t="s">
        <v>2049</v>
      </c>
      <c r="F114" s="2" t="s">
        <v>2051</v>
      </c>
      <c r="G114" s="2" t="s">
        <v>2052</v>
      </c>
      <c r="H114" s="2" t="s">
        <v>2050</v>
      </c>
      <c r="I114" s="2" t="s">
        <v>10</v>
      </c>
      <c r="J114" s="2" t="s">
        <v>626</v>
      </c>
      <c r="K114" s="105">
        <v>5962</v>
      </c>
      <c r="L114" s="63">
        <v>276</v>
      </c>
      <c r="M114" s="63"/>
      <c r="N114" s="63"/>
      <c r="O114" s="63"/>
      <c r="P114" s="63"/>
      <c r="Q114" s="63"/>
      <c r="R114" s="100">
        <f t="shared" si="2"/>
        <v>276</v>
      </c>
      <c r="S114" s="100">
        <f t="shared" si="3"/>
        <v>-276</v>
      </c>
    </row>
    <row r="115" spans="1:27" ht="19.5" customHeight="1">
      <c r="A115" s="2">
        <v>106</v>
      </c>
      <c r="B115" s="11" t="s">
        <v>2411</v>
      </c>
      <c r="C115" s="4"/>
      <c r="D115" s="4"/>
      <c r="E115" s="11" t="s">
        <v>25</v>
      </c>
      <c r="F115" s="2" t="s">
        <v>2412</v>
      </c>
      <c r="G115" s="75" t="s">
        <v>2413</v>
      </c>
      <c r="H115" s="2" t="s">
        <v>26</v>
      </c>
      <c r="I115" s="2" t="s">
        <v>10</v>
      </c>
      <c r="J115" s="76" t="s">
        <v>541</v>
      </c>
      <c r="K115" s="105">
        <v>2850</v>
      </c>
      <c r="L115" s="63">
        <v>2340</v>
      </c>
      <c r="M115" s="63"/>
      <c r="N115" s="63"/>
      <c r="O115" s="63"/>
      <c r="P115" s="63"/>
      <c r="Q115" s="63"/>
      <c r="R115" s="100">
        <f t="shared" si="2"/>
        <v>2340</v>
      </c>
      <c r="S115" s="100">
        <f t="shared" si="3"/>
        <v>-2340</v>
      </c>
    </row>
    <row r="116" spans="1:27" ht="19.5" customHeight="1">
      <c r="A116" s="2">
        <v>107</v>
      </c>
      <c r="B116" s="64" t="s">
        <v>256</v>
      </c>
      <c r="C116" s="3"/>
      <c r="D116" s="3"/>
      <c r="E116" s="11" t="s">
        <v>257</v>
      </c>
      <c r="F116" s="2" t="s">
        <v>259</v>
      </c>
      <c r="G116" s="2" t="s">
        <v>255</v>
      </c>
      <c r="H116" s="2" t="s">
        <v>258</v>
      </c>
      <c r="I116" s="2" t="s">
        <v>10</v>
      </c>
      <c r="J116" s="2" t="s">
        <v>1350</v>
      </c>
      <c r="K116" s="105">
        <v>693</v>
      </c>
      <c r="L116" s="63">
        <v>2500</v>
      </c>
      <c r="M116" s="63"/>
      <c r="N116" s="63"/>
      <c r="O116" s="63"/>
      <c r="P116" s="63"/>
      <c r="Q116" s="63"/>
      <c r="R116" s="100">
        <f t="shared" si="2"/>
        <v>2500</v>
      </c>
      <c r="S116" s="100">
        <f t="shared" si="3"/>
        <v>-2500</v>
      </c>
    </row>
    <row r="117" spans="1:27" ht="19.5" customHeight="1">
      <c r="A117" s="2">
        <v>108</v>
      </c>
      <c r="B117" s="65" t="s">
        <v>2721</v>
      </c>
      <c r="C117" s="4"/>
      <c r="D117" s="4"/>
      <c r="E117" s="65" t="s">
        <v>2620</v>
      </c>
      <c r="F117" s="2" t="s">
        <v>2722</v>
      </c>
      <c r="G117" s="2" t="s">
        <v>255</v>
      </c>
      <c r="H117" s="66" t="s">
        <v>2723</v>
      </c>
      <c r="I117" s="2" t="s">
        <v>10</v>
      </c>
      <c r="J117" s="2" t="s">
        <v>1872</v>
      </c>
      <c r="K117" s="105">
        <v>357</v>
      </c>
      <c r="L117" s="63">
        <v>2</v>
      </c>
      <c r="M117" s="63"/>
      <c r="N117" s="63"/>
      <c r="O117" s="63"/>
      <c r="P117" s="63"/>
      <c r="Q117" s="63"/>
      <c r="R117" s="100">
        <f t="shared" si="2"/>
        <v>2</v>
      </c>
      <c r="S117" s="100">
        <f t="shared" si="3"/>
        <v>-2</v>
      </c>
    </row>
    <row r="118" spans="1:27" ht="19.5" customHeight="1">
      <c r="A118" s="2">
        <v>109</v>
      </c>
      <c r="B118" s="11" t="s">
        <v>624</v>
      </c>
      <c r="C118" s="11"/>
      <c r="D118" s="11"/>
      <c r="E118" s="11" t="s">
        <v>1955</v>
      </c>
      <c r="F118" s="2" t="s">
        <v>2724</v>
      </c>
      <c r="G118" s="2" t="s">
        <v>1946</v>
      </c>
      <c r="H118" s="2" t="s">
        <v>327</v>
      </c>
      <c r="I118" s="2" t="s">
        <v>11</v>
      </c>
      <c r="J118" s="2" t="s">
        <v>815</v>
      </c>
      <c r="K118" s="105">
        <v>914</v>
      </c>
      <c r="L118" s="63">
        <v>0</v>
      </c>
      <c r="M118" s="63"/>
      <c r="N118" s="63"/>
      <c r="O118" s="63"/>
      <c r="P118" s="63"/>
      <c r="Q118" s="63"/>
      <c r="R118" s="100">
        <f t="shared" si="2"/>
        <v>0</v>
      </c>
      <c r="S118" s="100">
        <f t="shared" si="3"/>
        <v>0</v>
      </c>
    </row>
    <row r="119" spans="1:27" ht="19.5" customHeight="1">
      <c r="A119" s="2">
        <v>110</v>
      </c>
      <c r="B119" s="67" t="s">
        <v>1954</v>
      </c>
      <c r="C119" s="4"/>
      <c r="D119" s="4"/>
      <c r="E119" s="11" t="s">
        <v>1955</v>
      </c>
      <c r="F119" s="2" t="s">
        <v>1956</v>
      </c>
      <c r="G119" s="2" t="s">
        <v>1946</v>
      </c>
      <c r="H119" s="2" t="s">
        <v>327</v>
      </c>
      <c r="I119" s="2" t="s">
        <v>11</v>
      </c>
      <c r="J119" s="2" t="s">
        <v>815</v>
      </c>
      <c r="K119" s="105">
        <v>672</v>
      </c>
      <c r="L119" s="63">
        <v>9938</v>
      </c>
      <c r="M119" s="63"/>
      <c r="N119" s="63"/>
      <c r="O119" s="63"/>
      <c r="P119" s="63"/>
      <c r="Q119" s="63"/>
      <c r="R119" s="100">
        <f t="shared" si="2"/>
        <v>9938</v>
      </c>
      <c r="S119" s="100">
        <f t="shared" si="3"/>
        <v>-9938</v>
      </c>
    </row>
    <row r="120" spans="1:27" ht="19.5" customHeight="1">
      <c r="A120" s="2">
        <v>111</v>
      </c>
      <c r="B120" s="11" t="s">
        <v>1368</v>
      </c>
      <c r="C120" s="11"/>
      <c r="D120" s="11"/>
      <c r="E120" s="11" t="s">
        <v>2725</v>
      </c>
      <c r="F120" s="2" t="s">
        <v>2726</v>
      </c>
      <c r="G120" s="2" t="s">
        <v>255</v>
      </c>
      <c r="H120" s="2" t="s">
        <v>2727</v>
      </c>
      <c r="I120" s="2" t="s">
        <v>658</v>
      </c>
      <c r="J120" s="2" t="s">
        <v>2728</v>
      </c>
      <c r="K120" s="105">
        <v>4179</v>
      </c>
      <c r="L120" s="63">
        <v>0</v>
      </c>
      <c r="M120" s="63"/>
      <c r="N120" s="63"/>
      <c r="O120" s="63"/>
      <c r="P120" s="63"/>
      <c r="Q120" s="63"/>
      <c r="R120" s="100">
        <f t="shared" si="2"/>
        <v>0</v>
      </c>
      <c r="S120" s="100">
        <f t="shared" si="3"/>
        <v>0</v>
      </c>
    </row>
    <row r="121" spans="1:27" ht="19.5" customHeight="1">
      <c r="A121" s="2">
        <v>112</v>
      </c>
      <c r="B121" s="11" t="s">
        <v>847</v>
      </c>
      <c r="C121" s="11"/>
      <c r="D121" s="11"/>
      <c r="E121" s="11" t="s">
        <v>2729</v>
      </c>
      <c r="F121" s="2" t="s">
        <v>2730</v>
      </c>
      <c r="G121" s="2" t="s">
        <v>2731</v>
      </c>
      <c r="H121" s="2" t="s">
        <v>225</v>
      </c>
      <c r="I121" s="2" t="s">
        <v>11</v>
      </c>
      <c r="J121" s="2" t="s">
        <v>2732</v>
      </c>
      <c r="K121" s="105">
        <v>2880</v>
      </c>
      <c r="L121" s="63">
        <v>0</v>
      </c>
      <c r="M121" s="63"/>
      <c r="N121" s="63"/>
      <c r="O121" s="63"/>
      <c r="P121" s="63"/>
      <c r="Q121" s="63"/>
      <c r="R121" s="100">
        <f t="shared" si="2"/>
        <v>0</v>
      </c>
      <c r="S121" s="100">
        <f t="shared" si="3"/>
        <v>0</v>
      </c>
    </row>
    <row r="122" spans="1:27" ht="19.5" customHeight="1">
      <c r="A122" s="2">
        <v>113</v>
      </c>
      <c r="B122" s="67" t="s">
        <v>493</v>
      </c>
      <c r="C122" s="4"/>
      <c r="D122" s="4"/>
      <c r="E122" s="11" t="s">
        <v>773</v>
      </c>
      <c r="F122" s="2" t="s">
        <v>775</v>
      </c>
      <c r="G122" s="2" t="s">
        <v>776</v>
      </c>
      <c r="H122" s="2" t="s">
        <v>774</v>
      </c>
      <c r="I122" s="2" t="s">
        <v>658</v>
      </c>
      <c r="J122" s="2" t="s">
        <v>483</v>
      </c>
      <c r="K122" s="105">
        <v>58000</v>
      </c>
      <c r="L122" s="63">
        <v>78</v>
      </c>
      <c r="M122" s="63"/>
      <c r="N122" s="63"/>
      <c r="O122" s="63"/>
      <c r="P122" s="63"/>
      <c r="Q122" s="63"/>
      <c r="R122" s="100">
        <f t="shared" si="2"/>
        <v>78</v>
      </c>
      <c r="S122" s="100">
        <f t="shared" si="3"/>
        <v>-78</v>
      </c>
    </row>
    <row r="123" spans="1:27" ht="19.5" customHeight="1">
      <c r="A123" s="2">
        <v>114</v>
      </c>
      <c r="B123" s="77" t="s">
        <v>2733</v>
      </c>
      <c r="C123" s="78"/>
      <c r="D123" s="78"/>
      <c r="E123" s="77" t="s">
        <v>2734</v>
      </c>
      <c r="F123" s="5" t="s">
        <v>2735</v>
      </c>
      <c r="G123" s="5" t="s">
        <v>2736</v>
      </c>
      <c r="H123" s="5" t="s">
        <v>2737</v>
      </c>
      <c r="I123" s="5" t="s">
        <v>10</v>
      </c>
      <c r="J123" s="5" t="s">
        <v>2738</v>
      </c>
      <c r="K123" s="105">
        <v>5400</v>
      </c>
      <c r="L123" s="63"/>
      <c r="M123" s="63"/>
      <c r="N123" s="63"/>
      <c r="O123" s="63"/>
      <c r="P123" s="63"/>
      <c r="Q123" s="63"/>
      <c r="R123" s="100">
        <f t="shared" si="2"/>
        <v>0</v>
      </c>
      <c r="S123" s="100">
        <f t="shared" si="3"/>
        <v>0</v>
      </c>
      <c r="T123" s="37"/>
      <c r="U123" s="37"/>
      <c r="V123" s="37"/>
      <c r="W123" s="37"/>
      <c r="X123" s="37"/>
      <c r="Y123" s="37"/>
      <c r="Z123" s="37"/>
      <c r="AA123" s="37"/>
    </row>
    <row r="124" spans="1:27" ht="19.5" customHeight="1">
      <c r="A124" s="2">
        <v>115</v>
      </c>
      <c r="B124" s="65" t="s">
        <v>2739</v>
      </c>
      <c r="C124" s="4"/>
      <c r="D124" s="4"/>
      <c r="E124" s="65" t="s">
        <v>2740</v>
      </c>
      <c r="F124" s="2" t="s">
        <v>2741</v>
      </c>
      <c r="G124" s="2" t="s">
        <v>255</v>
      </c>
      <c r="H124" s="66" t="s">
        <v>2742</v>
      </c>
      <c r="I124" s="66" t="s">
        <v>10</v>
      </c>
      <c r="J124" s="2" t="s">
        <v>1371</v>
      </c>
      <c r="K124" s="105">
        <v>588</v>
      </c>
      <c r="L124" s="63">
        <v>0</v>
      </c>
      <c r="M124" s="63"/>
      <c r="N124" s="63"/>
      <c r="O124" s="63"/>
      <c r="P124" s="63"/>
      <c r="Q124" s="63"/>
      <c r="R124" s="100">
        <f t="shared" si="2"/>
        <v>0</v>
      </c>
      <c r="S124" s="100">
        <f t="shared" si="3"/>
        <v>0</v>
      </c>
    </row>
    <row r="125" spans="1:27" ht="19.5" customHeight="1">
      <c r="A125" s="2">
        <v>116</v>
      </c>
      <c r="B125" s="67" t="s">
        <v>1195</v>
      </c>
      <c r="C125" s="4"/>
      <c r="D125" s="4"/>
      <c r="E125" s="11" t="s">
        <v>1196</v>
      </c>
      <c r="F125" s="2" t="s">
        <v>1198</v>
      </c>
      <c r="G125" s="2" t="s">
        <v>352</v>
      </c>
      <c r="H125" s="2" t="s">
        <v>327</v>
      </c>
      <c r="I125" s="2" t="s">
        <v>11</v>
      </c>
      <c r="J125" s="2" t="s">
        <v>1197</v>
      </c>
      <c r="K125" s="105">
        <v>250</v>
      </c>
      <c r="L125" s="63">
        <v>701</v>
      </c>
      <c r="M125" s="63"/>
      <c r="N125" s="63"/>
      <c r="O125" s="63"/>
      <c r="P125" s="63"/>
      <c r="Q125" s="63"/>
      <c r="R125" s="100">
        <f t="shared" si="2"/>
        <v>701</v>
      </c>
      <c r="S125" s="100">
        <f t="shared" si="3"/>
        <v>-701</v>
      </c>
    </row>
    <row r="126" spans="1:27" ht="19.5" customHeight="1">
      <c r="A126" s="2">
        <v>117</v>
      </c>
      <c r="B126" s="77" t="s">
        <v>624</v>
      </c>
      <c r="C126" s="4"/>
      <c r="D126" s="4"/>
      <c r="E126" s="77" t="s">
        <v>2743</v>
      </c>
      <c r="F126" s="5" t="s">
        <v>2744</v>
      </c>
      <c r="G126" s="5" t="s">
        <v>321</v>
      </c>
      <c r="H126" s="5" t="s">
        <v>327</v>
      </c>
      <c r="I126" s="5" t="s">
        <v>10</v>
      </c>
      <c r="J126" s="5" t="s">
        <v>642</v>
      </c>
      <c r="K126" s="105">
        <v>1150</v>
      </c>
      <c r="L126" s="63"/>
      <c r="M126" s="63"/>
      <c r="N126" s="63"/>
      <c r="O126" s="63"/>
      <c r="P126" s="63"/>
      <c r="Q126" s="63"/>
      <c r="R126" s="100">
        <f t="shared" si="2"/>
        <v>0</v>
      </c>
      <c r="S126" s="100">
        <f t="shared" si="3"/>
        <v>0</v>
      </c>
      <c r="T126" s="37"/>
      <c r="U126" s="37"/>
      <c r="V126" s="37"/>
      <c r="W126" s="37"/>
      <c r="X126" s="37"/>
      <c r="Y126" s="37"/>
      <c r="Z126" s="37"/>
      <c r="AA126" s="37"/>
    </row>
    <row r="127" spans="1:27" ht="19.5" customHeight="1">
      <c r="A127" s="2">
        <v>118</v>
      </c>
      <c r="B127" s="11" t="s">
        <v>624</v>
      </c>
      <c r="C127" s="4"/>
      <c r="D127" s="4"/>
      <c r="E127" s="11" t="s">
        <v>1404</v>
      </c>
      <c r="F127" s="2" t="s">
        <v>1405</v>
      </c>
      <c r="G127" s="2" t="s">
        <v>1406</v>
      </c>
      <c r="H127" s="2" t="s">
        <v>625</v>
      </c>
      <c r="I127" s="2" t="s">
        <v>11</v>
      </c>
      <c r="J127" s="2" t="s">
        <v>1239</v>
      </c>
      <c r="K127" s="105">
        <v>2180</v>
      </c>
      <c r="L127" s="63">
        <v>0</v>
      </c>
      <c r="M127" s="63"/>
      <c r="N127" s="63"/>
      <c r="O127" s="63"/>
      <c r="P127" s="63"/>
      <c r="Q127" s="63"/>
      <c r="R127" s="100">
        <f t="shared" si="2"/>
        <v>0</v>
      </c>
      <c r="S127" s="100">
        <f t="shared" si="3"/>
        <v>0</v>
      </c>
    </row>
    <row r="128" spans="1:27" ht="19.5" customHeight="1">
      <c r="A128" s="2">
        <v>119</v>
      </c>
      <c r="B128" s="11" t="s">
        <v>1096</v>
      </c>
      <c r="C128" s="4"/>
      <c r="D128" s="4"/>
      <c r="E128" s="11" t="s">
        <v>1097</v>
      </c>
      <c r="F128" s="2" t="s">
        <v>1099</v>
      </c>
      <c r="G128" s="2" t="s">
        <v>1093</v>
      </c>
      <c r="H128" s="2" t="s">
        <v>1098</v>
      </c>
      <c r="I128" s="2" t="s">
        <v>11</v>
      </c>
      <c r="J128" s="2" t="s">
        <v>815</v>
      </c>
      <c r="K128" s="105">
        <v>2750</v>
      </c>
      <c r="L128" s="63">
        <v>4987</v>
      </c>
      <c r="M128" s="63"/>
      <c r="N128" s="63"/>
      <c r="O128" s="63"/>
      <c r="P128" s="63"/>
      <c r="Q128" s="63"/>
      <c r="R128" s="100">
        <f t="shared" si="2"/>
        <v>4987</v>
      </c>
      <c r="S128" s="100">
        <f t="shared" si="3"/>
        <v>-4987</v>
      </c>
    </row>
    <row r="129" spans="1:27" ht="19.5" customHeight="1">
      <c r="A129" s="2">
        <v>120</v>
      </c>
      <c r="B129" s="65" t="s">
        <v>256</v>
      </c>
      <c r="C129" s="11"/>
      <c r="D129" s="11"/>
      <c r="E129" s="65" t="s">
        <v>2745</v>
      </c>
      <c r="F129" s="2" t="s">
        <v>2746</v>
      </c>
      <c r="G129" s="2" t="s">
        <v>509</v>
      </c>
      <c r="H129" s="66" t="s">
        <v>334</v>
      </c>
      <c r="I129" s="2" t="s">
        <v>10</v>
      </c>
      <c r="J129" s="2" t="s">
        <v>814</v>
      </c>
      <c r="K129" s="105">
        <v>3200</v>
      </c>
      <c r="L129" s="63">
        <v>0</v>
      </c>
      <c r="M129" s="63"/>
      <c r="N129" s="63"/>
      <c r="O129" s="63"/>
      <c r="P129" s="63"/>
      <c r="Q129" s="63"/>
      <c r="R129" s="100">
        <f t="shared" si="2"/>
        <v>0</v>
      </c>
      <c r="S129" s="100">
        <f t="shared" si="3"/>
        <v>0</v>
      </c>
    </row>
    <row r="130" spans="1:27" ht="19.5" customHeight="1">
      <c r="A130" s="2">
        <v>121</v>
      </c>
      <c r="B130" s="77" t="s">
        <v>2747</v>
      </c>
      <c r="C130" s="4"/>
      <c r="D130" s="4"/>
      <c r="E130" s="77" t="s">
        <v>2748</v>
      </c>
      <c r="F130" s="5" t="s">
        <v>2749</v>
      </c>
      <c r="G130" s="5" t="s">
        <v>2750</v>
      </c>
      <c r="H130" s="5" t="s">
        <v>2751</v>
      </c>
      <c r="I130" s="5" t="s">
        <v>10</v>
      </c>
      <c r="J130" s="5"/>
      <c r="K130" s="105">
        <v>445</v>
      </c>
      <c r="L130" s="63"/>
      <c r="M130" s="63"/>
      <c r="N130" s="63"/>
      <c r="O130" s="63"/>
      <c r="P130" s="63"/>
      <c r="Q130" s="63"/>
      <c r="R130" s="100">
        <f t="shared" si="2"/>
        <v>0</v>
      </c>
      <c r="S130" s="100">
        <f t="shared" si="3"/>
        <v>0</v>
      </c>
      <c r="T130" s="37"/>
      <c r="U130" s="37"/>
      <c r="V130" s="37"/>
      <c r="W130" s="37"/>
      <c r="X130" s="37"/>
      <c r="Y130" s="37"/>
      <c r="Z130" s="37"/>
      <c r="AA130" s="37"/>
    </row>
    <row r="131" spans="1:27" ht="19.5" customHeight="1">
      <c r="A131" s="2">
        <v>122</v>
      </c>
      <c r="B131" s="11" t="s">
        <v>28</v>
      </c>
      <c r="C131" s="11"/>
      <c r="D131" s="11"/>
      <c r="E131" s="11" t="s">
        <v>27</v>
      </c>
      <c r="F131" s="2" t="s">
        <v>2423</v>
      </c>
      <c r="G131" s="2" t="s">
        <v>2752</v>
      </c>
      <c r="H131" s="2" t="s">
        <v>29</v>
      </c>
      <c r="I131" s="2" t="s">
        <v>10</v>
      </c>
      <c r="J131" s="2" t="s">
        <v>815</v>
      </c>
      <c r="K131" s="105">
        <v>4300</v>
      </c>
      <c r="L131" s="63">
        <v>15900</v>
      </c>
      <c r="M131" s="63"/>
      <c r="N131" s="63"/>
      <c r="O131" s="63"/>
      <c r="P131" s="63"/>
      <c r="Q131" s="63"/>
      <c r="R131" s="100">
        <f t="shared" si="2"/>
        <v>15900</v>
      </c>
      <c r="S131" s="100">
        <f t="shared" si="3"/>
        <v>-15900</v>
      </c>
    </row>
    <row r="132" spans="1:27" ht="19.5" customHeight="1">
      <c r="A132" s="2">
        <v>123</v>
      </c>
      <c r="B132" s="67" t="s">
        <v>2203</v>
      </c>
      <c r="C132" s="4"/>
      <c r="D132" s="4"/>
      <c r="E132" s="67" t="s">
        <v>30</v>
      </c>
      <c r="F132" s="68" t="s">
        <v>2205</v>
      </c>
      <c r="G132" s="68" t="s">
        <v>2206</v>
      </c>
      <c r="H132" s="68" t="s">
        <v>32</v>
      </c>
      <c r="I132" s="2" t="s">
        <v>11</v>
      </c>
      <c r="J132" s="68" t="s">
        <v>2204</v>
      </c>
      <c r="K132" s="105">
        <v>1550</v>
      </c>
      <c r="L132" s="63">
        <v>10520</v>
      </c>
      <c r="M132" s="63"/>
      <c r="N132" s="63"/>
      <c r="O132" s="63"/>
      <c r="P132" s="63"/>
      <c r="Q132" s="63"/>
      <c r="R132" s="100">
        <f t="shared" si="2"/>
        <v>10520</v>
      </c>
      <c r="S132" s="100">
        <f t="shared" si="3"/>
        <v>-10520</v>
      </c>
    </row>
    <row r="133" spans="1:27" ht="19.5" customHeight="1">
      <c r="A133" s="2">
        <v>124</v>
      </c>
      <c r="B133" s="67" t="s">
        <v>2207</v>
      </c>
      <c r="C133" s="4"/>
      <c r="D133" s="4"/>
      <c r="E133" s="67" t="s">
        <v>33</v>
      </c>
      <c r="F133" s="68" t="s">
        <v>2209</v>
      </c>
      <c r="G133" s="68" t="s">
        <v>2210</v>
      </c>
      <c r="H133" s="68" t="s">
        <v>34</v>
      </c>
      <c r="I133" s="2" t="s">
        <v>13</v>
      </c>
      <c r="J133" s="68" t="s">
        <v>2208</v>
      </c>
      <c r="K133" s="105">
        <v>3650</v>
      </c>
      <c r="L133" s="63">
        <v>980</v>
      </c>
      <c r="M133" s="63"/>
      <c r="N133" s="63"/>
      <c r="O133" s="63"/>
      <c r="P133" s="63"/>
      <c r="Q133" s="63"/>
      <c r="R133" s="100">
        <f t="shared" si="2"/>
        <v>980</v>
      </c>
      <c r="S133" s="100">
        <f t="shared" si="3"/>
        <v>-980</v>
      </c>
    </row>
    <row r="134" spans="1:27" ht="19.5" customHeight="1">
      <c r="A134" s="2">
        <v>125</v>
      </c>
      <c r="B134" s="67" t="s">
        <v>2260</v>
      </c>
      <c r="C134" s="4"/>
      <c r="D134" s="4"/>
      <c r="E134" s="11" t="s">
        <v>2261</v>
      </c>
      <c r="F134" s="2" t="s">
        <v>2263</v>
      </c>
      <c r="G134" s="2" t="s">
        <v>2253</v>
      </c>
      <c r="H134" s="2" t="s">
        <v>2262</v>
      </c>
      <c r="I134" s="2" t="s">
        <v>16</v>
      </c>
      <c r="J134" s="2" t="s">
        <v>2250</v>
      </c>
      <c r="K134" s="105">
        <v>950</v>
      </c>
      <c r="L134" s="63">
        <v>0</v>
      </c>
      <c r="M134" s="63"/>
      <c r="N134" s="63"/>
      <c r="O134" s="63"/>
      <c r="P134" s="63"/>
      <c r="Q134" s="63"/>
      <c r="R134" s="100">
        <f t="shared" si="2"/>
        <v>0</v>
      </c>
      <c r="S134" s="100">
        <f t="shared" si="3"/>
        <v>0</v>
      </c>
    </row>
    <row r="135" spans="1:27" ht="19.5" customHeight="1">
      <c r="A135" s="2">
        <v>126</v>
      </c>
      <c r="B135" s="67" t="s">
        <v>843</v>
      </c>
      <c r="C135" s="4"/>
      <c r="D135" s="4"/>
      <c r="E135" s="11" t="s">
        <v>1231</v>
      </c>
      <c r="F135" s="2" t="s">
        <v>1234</v>
      </c>
      <c r="G135" s="2" t="s">
        <v>352</v>
      </c>
      <c r="H135" s="2" t="s">
        <v>1232</v>
      </c>
      <c r="I135" s="2" t="s">
        <v>16</v>
      </c>
      <c r="J135" s="2" t="s">
        <v>1233</v>
      </c>
      <c r="K135" s="105">
        <v>767</v>
      </c>
      <c r="L135" s="63">
        <v>0</v>
      </c>
      <c r="M135" s="63"/>
      <c r="N135" s="63"/>
      <c r="O135" s="63"/>
      <c r="P135" s="63"/>
      <c r="Q135" s="63"/>
      <c r="R135" s="100">
        <f t="shared" si="2"/>
        <v>0</v>
      </c>
      <c r="S135" s="100">
        <f t="shared" si="3"/>
        <v>0</v>
      </c>
    </row>
    <row r="136" spans="1:27" ht="19.5" customHeight="1">
      <c r="A136" s="2">
        <v>127</v>
      </c>
      <c r="B136" s="11" t="s">
        <v>2753</v>
      </c>
      <c r="C136" s="11"/>
      <c r="D136" s="11"/>
      <c r="E136" s="11" t="s">
        <v>1226</v>
      </c>
      <c r="F136" s="2" t="s">
        <v>2754</v>
      </c>
      <c r="G136" s="2" t="s">
        <v>1221</v>
      </c>
      <c r="H136" s="2" t="s">
        <v>2457</v>
      </c>
      <c r="I136" s="2" t="s">
        <v>11</v>
      </c>
      <c r="J136" s="2" t="s">
        <v>1227</v>
      </c>
      <c r="K136" s="105">
        <v>416</v>
      </c>
      <c r="L136" s="63">
        <v>121</v>
      </c>
      <c r="M136" s="63"/>
      <c r="N136" s="63"/>
      <c r="O136" s="63"/>
      <c r="P136" s="63"/>
      <c r="Q136" s="63"/>
      <c r="R136" s="100">
        <f t="shared" si="2"/>
        <v>121</v>
      </c>
      <c r="S136" s="100">
        <f t="shared" si="3"/>
        <v>-121</v>
      </c>
    </row>
    <row r="137" spans="1:27" ht="19.5" customHeight="1">
      <c r="A137" s="2">
        <v>128</v>
      </c>
      <c r="B137" s="64" t="s">
        <v>368</v>
      </c>
      <c r="C137" s="11"/>
      <c r="D137" s="11"/>
      <c r="E137" s="11" t="s">
        <v>368</v>
      </c>
      <c r="F137" s="2" t="s">
        <v>370</v>
      </c>
      <c r="G137" s="2" t="s">
        <v>360</v>
      </c>
      <c r="H137" s="2" t="s">
        <v>369</v>
      </c>
      <c r="I137" s="2" t="s">
        <v>10</v>
      </c>
      <c r="J137" s="2" t="s">
        <v>647</v>
      </c>
      <c r="K137" s="105">
        <v>33</v>
      </c>
      <c r="L137" s="63">
        <v>0</v>
      </c>
      <c r="M137" s="63"/>
      <c r="N137" s="63"/>
      <c r="O137" s="63"/>
      <c r="P137" s="63"/>
      <c r="Q137" s="63"/>
      <c r="R137" s="100">
        <f t="shared" si="2"/>
        <v>0</v>
      </c>
      <c r="S137" s="100">
        <f t="shared" si="3"/>
        <v>0</v>
      </c>
    </row>
    <row r="138" spans="1:27" ht="19.5" customHeight="1">
      <c r="A138" s="2">
        <v>129</v>
      </c>
      <c r="B138" s="64" t="s">
        <v>368</v>
      </c>
      <c r="C138" s="3"/>
      <c r="D138" s="3"/>
      <c r="E138" s="11" t="s">
        <v>368</v>
      </c>
      <c r="F138" s="2" t="s">
        <v>370</v>
      </c>
      <c r="G138" s="2" t="s">
        <v>360</v>
      </c>
      <c r="H138" s="2" t="s">
        <v>369</v>
      </c>
      <c r="I138" s="2" t="s">
        <v>10</v>
      </c>
      <c r="J138" s="2" t="s">
        <v>647</v>
      </c>
      <c r="K138" s="105">
        <v>34</v>
      </c>
      <c r="L138" s="63">
        <v>5000</v>
      </c>
      <c r="M138" s="63"/>
      <c r="N138" s="63"/>
      <c r="O138" s="63"/>
      <c r="P138" s="63"/>
      <c r="Q138" s="63"/>
      <c r="R138" s="100">
        <f t="shared" si="2"/>
        <v>5000</v>
      </c>
      <c r="S138" s="100">
        <f t="shared" si="3"/>
        <v>-5000</v>
      </c>
    </row>
    <row r="139" spans="1:27" ht="19.5" customHeight="1">
      <c r="A139" s="2">
        <v>130</v>
      </c>
      <c r="B139" s="11" t="s">
        <v>1060</v>
      </c>
      <c r="C139" s="4"/>
      <c r="D139" s="4"/>
      <c r="E139" s="11" t="s">
        <v>1061</v>
      </c>
      <c r="F139" s="2" t="s">
        <v>1063</v>
      </c>
      <c r="G139" s="2" t="s">
        <v>336</v>
      </c>
      <c r="H139" s="2" t="s">
        <v>1062</v>
      </c>
      <c r="I139" s="2" t="s">
        <v>10</v>
      </c>
      <c r="J139" s="2" t="s">
        <v>859</v>
      </c>
      <c r="K139" s="105">
        <v>38</v>
      </c>
      <c r="L139" s="63">
        <v>7942</v>
      </c>
      <c r="M139" s="63"/>
      <c r="N139" s="63"/>
      <c r="O139" s="63"/>
      <c r="P139" s="63"/>
      <c r="Q139" s="63"/>
      <c r="R139" s="100">
        <f t="shared" ref="R139:R202" si="4">L139+M139-O139</f>
        <v>7942</v>
      </c>
      <c r="S139" s="100">
        <f t="shared" ref="S139:S202" si="5">Q139-R139</f>
        <v>-7942</v>
      </c>
    </row>
    <row r="140" spans="1:27" ht="19.5" customHeight="1">
      <c r="A140" s="2">
        <v>131</v>
      </c>
      <c r="B140" s="64" t="s">
        <v>368</v>
      </c>
      <c r="C140" s="3"/>
      <c r="D140" s="3"/>
      <c r="E140" s="11" t="s">
        <v>453</v>
      </c>
      <c r="F140" s="2" t="s">
        <v>454</v>
      </c>
      <c r="G140" s="2" t="s">
        <v>455</v>
      </c>
      <c r="H140" s="2" t="s">
        <v>369</v>
      </c>
      <c r="I140" s="2" t="s">
        <v>10</v>
      </c>
      <c r="J140" s="2" t="s">
        <v>647</v>
      </c>
      <c r="K140" s="105">
        <v>786</v>
      </c>
      <c r="L140" s="63">
        <v>22511</v>
      </c>
      <c r="M140" s="63"/>
      <c r="N140" s="63"/>
      <c r="O140" s="63"/>
      <c r="P140" s="63"/>
      <c r="Q140" s="63"/>
      <c r="R140" s="100">
        <f t="shared" si="4"/>
        <v>22511</v>
      </c>
      <c r="S140" s="100">
        <f t="shared" si="5"/>
        <v>-22511</v>
      </c>
    </row>
    <row r="141" spans="1:27" ht="19.5" customHeight="1">
      <c r="A141" s="2">
        <v>132</v>
      </c>
      <c r="B141" s="64" t="s">
        <v>280</v>
      </c>
      <c r="C141" s="3"/>
      <c r="D141" s="3"/>
      <c r="E141" s="11" t="s">
        <v>281</v>
      </c>
      <c r="F141" s="2" t="s">
        <v>284</v>
      </c>
      <c r="G141" s="2" t="s">
        <v>285</v>
      </c>
      <c r="H141" s="2" t="s">
        <v>282</v>
      </c>
      <c r="I141" s="2" t="s">
        <v>520</v>
      </c>
      <c r="J141" s="2" t="s">
        <v>283</v>
      </c>
      <c r="K141" s="105">
        <v>37360</v>
      </c>
      <c r="L141" s="63">
        <v>20</v>
      </c>
      <c r="M141" s="63"/>
      <c r="N141" s="63"/>
      <c r="O141" s="63"/>
      <c r="P141" s="63"/>
      <c r="Q141" s="63"/>
      <c r="R141" s="100">
        <f t="shared" si="4"/>
        <v>20</v>
      </c>
      <c r="S141" s="100">
        <f t="shared" si="5"/>
        <v>-20</v>
      </c>
    </row>
    <row r="142" spans="1:27" ht="19.5" customHeight="1">
      <c r="A142" s="2">
        <v>133</v>
      </c>
      <c r="B142" s="11" t="s">
        <v>515</v>
      </c>
      <c r="C142" s="11"/>
      <c r="D142" s="11"/>
      <c r="E142" s="11" t="s">
        <v>516</v>
      </c>
      <c r="F142" s="2" t="s">
        <v>518</v>
      </c>
      <c r="G142" s="2" t="s">
        <v>519</v>
      </c>
      <c r="H142" s="2" t="s">
        <v>517</v>
      </c>
      <c r="I142" s="2" t="s">
        <v>520</v>
      </c>
      <c r="J142" s="2" t="s">
        <v>241</v>
      </c>
      <c r="K142" s="105">
        <v>8376</v>
      </c>
      <c r="L142" s="63">
        <v>256</v>
      </c>
      <c r="M142" s="63"/>
      <c r="N142" s="63"/>
      <c r="O142" s="63"/>
      <c r="P142" s="63"/>
      <c r="Q142" s="63"/>
      <c r="R142" s="100">
        <f t="shared" si="4"/>
        <v>256</v>
      </c>
      <c r="S142" s="100">
        <f t="shared" si="5"/>
        <v>-256</v>
      </c>
    </row>
    <row r="143" spans="1:27" ht="19.5" customHeight="1">
      <c r="A143" s="2">
        <v>134</v>
      </c>
      <c r="B143" s="64" t="s">
        <v>515</v>
      </c>
      <c r="C143" s="3"/>
      <c r="D143" s="3"/>
      <c r="E143" s="11" t="s">
        <v>521</v>
      </c>
      <c r="F143" s="2" t="s">
        <v>522</v>
      </c>
      <c r="G143" s="2" t="s">
        <v>523</v>
      </c>
      <c r="H143" s="2" t="s">
        <v>238</v>
      </c>
      <c r="I143" s="2" t="s">
        <v>10</v>
      </c>
      <c r="J143" s="2" t="s">
        <v>1291</v>
      </c>
      <c r="K143" s="105">
        <v>1120</v>
      </c>
      <c r="L143" s="63">
        <v>4771</v>
      </c>
      <c r="M143" s="63"/>
      <c r="N143" s="63"/>
      <c r="O143" s="63"/>
      <c r="P143" s="63"/>
      <c r="Q143" s="63"/>
      <c r="R143" s="100">
        <f t="shared" si="4"/>
        <v>4771</v>
      </c>
      <c r="S143" s="100">
        <f t="shared" si="5"/>
        <v>-4771</v>
      </c>
    </row>
    <row r="144" spans="1:27" ht="19.5" customHeight="1">
      <c r="A144" s="2">
        <v>135</v>
      </c>
      <c r="B144" s="67" t="s">
        <v>1526</v>
      </c>
      <c r="C144" s="11"/>
      <c r="D144" s="11"/>
      <c r="E144" s="11" t="s">
        <v>1527</v>
      </c>
      <c r="F144" s="2" t="s">
        <v>1530</v>
      </c>
      <c r="G144" s="2" t="s">
        <v>1531</v>
      </c>
      <c r="H144" s="2" t="s">
        <v>1528</v>
      </c>
      <c r="I144" s="2" t="s">
        <v>14</v>
      </c>
      <c r="J144" s="2" t="s">
        <v>1529</v>
      </c>
      <c r="K144" s="105">
        <v>59400</v>
      </c>
      <c r="L144" s="63">
        <v>0</v>
      </c>
      <c r="M144" s="63"/>
      <c r="N144" s="63"/>
      <c r="O144" s="63"/>
      <c r="P144" s="63"/>
      <c r="Q144" s="63"/>
      <c r="R144" s="100">
        <f t="shared" si="4"/>
        <v>0</v>
      </c>
      <c r="S144" s="100">
        <f t="shared" si="5"/>
        <v>0</v>
      </c>
    </row>
    <row r="145" spans="1:27" ht="19.5" customHeight="1">
      <c r="A145" s="2">
        <v>136</v>
      </c>
      <c r="B145" s="11" t="s">
        <v>2333</v>
      </c>
      <c r="C145" s="4"/>
      <c r="D145" s="4"/>
      <c r="E145" s="11" t="s">
        <v>2334</v>
      </c>
      <c r="F145" s="79" t="s">
        <v>2336</v>
      </c>
      <c r="G145" s="79" t="s">
        <v>1567</v>
      </c>
      <c r="H145" s="2" t="s">
        <v>2335</v>
      </c>
      <c r="I145" s="2" t="s">
        <v>10</v>
      </c>
      <c r="J145" s="2" t="s">
        <v>1237</v>
      </c>
      <c r="K145" s="105">
        <v>740</v>
      </c>
      <c r="L145" s="63">
        <v>0</v>
      </c>
      <c r="M145" s="63"/>
      <c r="N145" s="63"/>
      <c r="O145" s="63"/>
      <c r="P145" s="63"/>
      <c r="Q145" s="63"/>
      <c r="R145" s="100">
        <f t="shared" si="4"/>
        <v>0</v>
      </c>
      <c r="S145" s="100">
        <f t="shared" si="5"/>
        <v>0</v>
      </c>
    </row>
    <row r="146" spans="1:27" ht="19.5" customHeight="1">
      <c r="A146" s="2">
        <v>137</v>
      </c>
      <c r="B146" s="77" t="s">
        <v>365</v>
      </c>
      <c r="C146" s="4"/>
      <c r="D146" s="4"/>
      <c r="E146" s="77" t="s">
        <v>2755</v>
      </c>
      <c r="F146" s="5" t="s">
        <v>2756</v>
      </c>
      <c r="G146" s="5" t="s">
        <v>2757</v>
      </c>
      <c r="H146" s="5" t="s">
        <v>235</v>
      </c>
      <c r="I146" s="5" t="s">
        <v>10</v>
      </c>
      <c r="J146" s="5" t="s">
        <v>642</v>
      </c>
      <c r="K146" s="105">
        <v>1350</v>
      </c>
      <c r="L146" s="63"/>
      <c r="M146" s="63"/>
      <c r="N146" s="63"/>
      <c r="O146" s="63"/>
      <c r="P146" s="63"/>
      <c r="Q146" s="63"/>
      <c r="R146" s="100">
        <f t="shared" si="4"/>
        <v>0</v>
      </c>
      <c r="S146" s="100">
        <f t="shared" si="5"/>
        <v>0</v>
      </c>
      <c r="T146" s="37"/>
      <c r="U146" s="37"/>
      <c r="V146" s="37"/>
      <c r="W146" s="37"/>
      <c r="X146" s="37"/>
      <c r="Y146" s="37"/>
      <c r="Z146" s="37"/>
      <c r="AA146" s="37"/>
    </row>
    <row r="147" spans="1:27" ht="19.5" customHeight="1">
      <c r="A147" s="2">
        <v>138</v>
      </c>
      <c r="B147" s="67" t="s">
        <v>1961</v>
      </c>
      <c r="C147" s="4"/>
      <c r="D147" s="4"/>
      <c r="E147" s="11" t="s">
        <v>1962</v>
      </c>
      <c r="F147" s="2" t="s">
        <v>1964</v>
      </c>
      <c r="G147" s="2" t="s">
        <v>1946</v>
      </c>
      <c r="H147" s="2" t="s">
        <v>1963</v>
      </c>
      <c r="I147" s="2" t="s">
        <v>16</v>
      </c>
      <c r="J147" s="2" t="s">
        <v>839</v>
      </c>
      <c r="K147" s="105">
        <v>1197</v>
      </c>
      <c r="L147" s="63">
        <v>33440</v>
      </c>
      <c r="M147" s="63"/>
      <c r="N147" s="63"/>
      <c r="O147" s="63"/>
      <c r="P147" s="63"/>
      <c r="Q147" s="63"/>
      <c r="R147" s="100">
        <f t="shared" si="4"/>
        <v>33440</v>
      </c>
      <c r="S147" s="100">
        <f t="shared" si="5"/>
        <v>-33440</v>
      </c>
    </row>
    <row r="148" spans="1:27" ht="19.5" customHeight="1">
      <c r="A148" s="2">
        <v>139</v>
      </c>
      <c r="B148" s="67" t="s">
        <v>1957</v>
      </c>
      <c r="C148" s="4"/>
      <c r="D148" s="4"/>
      <c r="E148" s="11" t="s">
        <v>1958</v>
      </c>
      <c r="F148" s="2" t="s">
        <v>1960</v>
      </c>
      <c r="G148" s="2" t="s">
        <v>1946</v>
      </c>
      <c r="H148" s="2" t="s">
        <v>1959</v>
      </c>
      <c r="I148" s="2" t="s">
        <v>16</v>
      </c>
      <c r="J148" s="2" t="s">
        <v>839</v>
      </c>
      <c r="K148" s="105">
        <v>1197</v>
      </c>
      <c r="L148" s="63">
        <v>0</v>
      </c>
      <c r="M148" s="63"/>
      <c r="N148" s="63"/>
      <c r="O148" s="63"/>
      <c r="P148" s="63"/>
      <c r="Q148" s="63"/>
      <c r="R148" s="100">
        <f t="shared" si="4"/>
        <v>0</v>
      </c>
      <c r="S148" s="100">
        <f t="shared" si="5"/>
        <v>0</v>
      </c>
    </row>
    <row r="149" spans="1:27" ht="19.5" customHeight="1">
      <c r="A149" s="2">
        <v>140</v>
      </c>
      <c r="B149" s="11" t="s">
        <v>1514</v>
      </c>
      <c r="C149" s="11"/>
      <c r="D149" s="11"/>
      <c r="E149" s="11" t="s">
        <v>2758</v>
      </c>
      <c r="F149" s="2" t="s">
        <v>2759</v>
      </c>
      <c r="G149" s="2" t="s">
        <v>2682</v>
      </c>
      <c r="H149" s="2" t="s">
        <v>2760</v>
      </c>
      <c r="I149" s="2" t="s">
        <v>11</v>
      </c>
      <c r="J149" s="2" t="s">
        <v>839</v>
      </c>
      <c r="K149" s="105">
        <v>1193</v>
      </c>
      <c r="L149" s="63">
        <v>0</v>
      </c>
      <c r="M149" s="63"/>
      <c r="N149" s="63"/>
      <c r="O149" s="63"/>
      <c r="P149" s="63"/>
      <c r="Q149" s="63"/>
      <c r="R149" s="100">
        <f t="shared" si="4"/>
        <v>0</v>
      </c>
      <c r="S149" s="100">
        <f t="shared" si="5"/>
        <v>0</v>
      </c>
    </row>
    <row r="150" spans="1:27" ht="19.5" customHeight="1">
      <c r="A150" s="2">
        <v>141</v>
      </c>
      <c r="B150" s="11" t="s">
        <v>36</v>
      </c>
      <c r="C150" s="4"/>
      <c r="D150" s="4"/>
      <c r="E150" s="80" t="s">
        <v>35</v>
      </c>
      <c r="F150" s="2" t="s">
        <v>2414</v>
      </c>
      <c r="G150" s="75" t="s">
        <v>2413</v>
      </c>
      <c r="H150" s="2" t="s">
        <v>37</v>
      </c>
      <c r="I150" s="2" t="s">
        <v>10</v>
      </c>
      <c r="J150" s="76" t="s">
        <v>541</v>
      </c>
      <c r="K150" s="105">
        <v>3045</v>
      </c>
      <c r="L150" s="63">
        <v>2020</v>
      </c>
      <c r="M150" s="63"/>
      <c r="N150" s="63"/>
      <c r="O150" s="63"/>
      <c r="P150" s="63"/>
      <c r="Q150" s="63"/>
      <c r="R150" s="100">
        <f t="shared" si="4"/>
        <v>2020</v>
      </c>
      <c r="S150" s="100">
        <f t="shared" si="5"/>
        <v>-2020</v>
      </c>
    </row>
    <row r="151" spans="1:27" ht="19.5" customHeight="1">
      <c r="A151" s="2">
        <v>142</v>
      </c>
      <c r="B151" s="67" t="s">
        <v>39</v>
      </c>
      <c r="C151" s="4"/>
      <c r="D151" s="4"/>
      <c r="E151" s="11" t="s">
        <v>38</v>
      </c>
      <c r="F151" s="2" t="s">
        <v>2265</v>
      </c>
      <c r="G151" s="2" t="s">
        <v>2253</v>
      </c>
      <c r="H151" s="2" t="s">
        <v>2264</v>
      </c>
      <c r="I151" s="2" t="s">
        <v>16</v>
      </c>
      <c r="J151" s="2" t="s">
        <v>2250</v>
      </c>
      <c r="K151" s="105">
        <v>1150</v>
      </c>
      <c r="L151" s="63">
        <v>4640</v>
      </c>
      <c r="M151" s="63"/>
      <c r="N151" s="63"/>
      <c r="O151" s="63"/>
      <c r="P151" s="63"/>
      <c r="Q151" s="63"/>
      <c r="R151" s="100">
        <f t="shared" si="4"/>
        <v>4640</v>
      </c>
      <c r="S151" s="100">
        <f t="shared" si="5"/>
        <v>-4640</v>
      </c>
    </row>
    <row r="152" spans="1:27" ht="19.5" customHeight="1">
      <c r="A152" s="2">
        <v>143</v>
      </c>
      <c r="B152" s="11" t="s">
        <v>2761</v>
      </c>
      <c r="C152" s="11"/>
      <c r="D152" s="11"/>
      <c r="E152" s="11" t="s">
        <v>2762</v>
      </c>
      <c r="F152" s="2" t="s">
        <v>2763</v>
      </c>
      <c r="G152" s="2" t="s">
        <v>2764</v>
      </c>
      <c r="H152" s="2" t="s">
        <v>2765</v>
      </c>
      <c r="I152" s="2" t="s">
        <v>10</v>
      </c>
      <c r="J152" s="2" t="s">
        <v>2250</v>
      </c>
      <c r="K152" s="105">
        <v>1250</v>
      </c>
      <c r="L152" s="63">
        <v>0</v>
      </c>
      <c r="M152" s="63"/>
      <c r="N152" s="63"/>
      <c r="O152" s="63"/>
      <c r="P152" s="63"/>
      <c r="Q152" s="63"/>
      <c r="R152" s="100">
        <f t="shared" si="4"/>
        <v>0</v>
      </c>
      <c r="S152" s="100">
        <f t="shared" si="5"/>
        <v>0</v>
      </c>
    </row>
    <row r="153" spans="1:27" ht="19.5" customHeight="1">
      <c r="A153" s="2">
        <v>144</v>
      </c>
      <c r="B153" s="67" t="s">
        <v>2211</v>
      </c>
      <c r="C153" s="4"/>
      <c r="D153" s="4"/>
      <c r="E153" s="67" t="s">
        <v>41</v>
      </c>
      <c r="F153" s="68" t="s">
        <v>2213</v>
      </c>
      <c r="G153" s="68" t="s">
        <v>2214</v>
      </c>
      <c r="H153" s="68" t="s">
        <v>42</v>
      </c>
      <c r="I153" s="2" t="s">
        <v>11</v>
      </c>
      <c r="J153" s="68" t="s">
        <v>2212</v>
      </c>
      <c r="K153" s="105">
        <v>1300</v>
      </c>
      <c r="L153" s="63">
        <v>10804</v>
      </c>
      <c r="M153" s="63"/>
      <c r="N153" s="63"/>
      <c r="O153" s="63"/>
      <c r="P153" s="63"/>
      <c r="Q153" s="63"/>
      <c r="R153" s="100">
        <f t="shared" si="4"/>
        <v>10804</v>
      </c>
      <c r="S153" s="100">
        <f t="shared" si="5"/>
        <v>-10804</v>
      </c>
    </row>
    <row r="154" spans="1:27" ht="19.5" customHeight="1">
      <c r="A154" s="2">
        <v>145</v>
      </c>
      <c r="B154" s="11" t="s">
        <v>543</v>
      </c>
      <c r="C154" s="11"/>
      <c r="D154" s="11"/>
      <c r="E154" s="11" t="s">
        <v>2458</v>
      </c>
      <c r="F154" s="2" t="s">
        <v>2766</v>
      </c>
      <c r="G154" s="2" t="s">
        <v>2767</v>
      </c>
      <c r="H154" s="2" t="s">
        <v>2459</v>
      </c>
      <c r="I154" s="2" t="s">
        <v>11</v>
      </c>
      <c r="J154" s="2" t="s">
        <v>2768</v>
      </c>
      <c r="K154" s="105">
        <v>9650</v>
      </c>
      <c r="L154" s="63">
        <v>74</v>
      </c>
      <c r="M154" s="63"/>
      <c r="N154" s="63"/>
      <c r="O154" s="63"/>
      <c r="P154" s="63"/>
      <c r="Q154" s="63"/>
      <c r="R154" s="100">
        <f t="shared" si="4"/>
        <v>74</v>
      </c>
      <c r="S154" s="100">
        <f t="shared" si="5"/>
        <v>-74</v>
      </c>
    </row>
    <row r="155" spans="1:27" ht="19.5" customHeight="1">
      <c r="A155" s="2">
        <v>146</v>
      </c>
      <c r="B155" s="11" t="s">
        <v>543</v>
      </c>
      <c r="C155" s="11"/>
      <c r="D155" s="11"/>
      <c r="E155" s="11" t="s">
        <v>2458</v>
      </c>
      <c r="F155" s="2" t="s">
        <v>2769</v>
      </c>
      <c r="G155" s="2" t="s">
        <v>2767</v>
      </c>
      <c r="H155" s="2" t="s">
        <v>2770</v>
      </c>
      <c r="I155" s="2" t="s">
        <v>11</v>
      </c>
      <c r="J155" s="2" t="s">
        <v>2768</v>
      </c>
      <c r="K155" s="105">
        <v>67900</v>
      </c>
      <c r="L155" s="63">
        <v>0</v>
      </c>
      <c r="M155" s="63"/>
      <c r="N155" s="63"/>
      <c r="O155" s="63"/>
      <c r="P155" s="63"/>
      <c r="Q155" s="63"/>
      <c r="R155" s="100">
        <f t="shared" si="4"/>
        <v>0</v>
      </c>
      <c r="S155" s="100">
        <f t="shared" si="5"/>
        <v>0</v>
      </c>
    </row>
    <row r="156" spans="1:27" ht="19.5" customHeight="1">
      <c r="A156" s="2">
        <v>147</v>
      </c>
      <c r="B156" s="67" t="s">
        <v>976</v>
      </c>
      <c r="C156" s="4"/>
      <c r="D156" s="4"/>
      <c r="E156" s="67" t="s">
        <v>977</v>
      </c>
      <c r="F156" s="68" t="s">
        <v>978</v>
      </c>
      <c r="G156" s="68" t="s">
        <v>979</v>
      </c>
      <c r="H156" s="68" t="s">
        <v>222</v>
      </c>
      <c r="I156" s="68" t="s">
        <v>10</v>
      </c>
      <c r="J156" s="68" t="s">
        <v>626</v>
      </c>
      <c r="K156" s="105">
        <v>1425</v>
      </c>
      <c r="L156" s="63">
        <v>15000</v>
      </c>
      <c r="M156" s="63"/>
      <c r="N156" s="63"/>
      <c r="O156" s="63"/>
      <c r="P156" s="63"/>
      <c r="Q156" s="63"/>
      <c r="R156" s="100">
        <f t="shared" si="4"/>
        <v>15000</v>
      </c>
      <c r="S156" s="100">
        <f t="shared" si="5"/>
        <v>-15000</v>
      </c>
    </row>
    <row r="157" spans="1:27" ht="19.5" customHeight="1">
      <c r="A157" s="2">
        <v>148</v>
      </c>
      <c r="B157" s="67" t="s">
        <v>976</v>
      </c>
      <c r="C157" s="4"/>
      <c r="D157" s="4"/>
      <c r="E157" s="67" t="s">
        <v>980</v>
      </c>
      <c r="F157" s="68" t="s">
        <v>981</v>
      </c>
      <c r="G157" s="68" t="s">
        <v>979</v>
      </c>
      <c r="H157" s="68" t="s">
        <v>390</v>
      </c>
      <c r="I157" s="68" t="s">
        <v>10</v>
      </c>
      <c r="J157" s="68" t="s">
        <v>626</v>
      </c>
      <c r="K157" s="105">
        <v>2341</v>
      </c>
      <c r="L157" s="63">
        <v>13434</v>
      </c>
      <c r="M157" s="63"/>
      <c r="N157" s="63"/>
      <c r="O157" s="63"/>
      <c r="P157" s="63"/>
      <c r="Q157" s="63"/>
      <c r="R157" s="100">
        <f t="shared" si="4"/>
        <v>13434</v>
      </c>
      <c r="S157" s="100">
        <f t="shared" si="5"/>
        <v>-13434</v>
      </c>
    </row>
    <row r="158" spans="1:27" ht="19.5" customHeight="1">
      <c r="A158" s="2">
        <v>149</v>
      </c>
      <c r="B158" s="67" t="s">
        <v>2266</v>
      </c>
      <c r="C158" s="4"/>
      <c r="D158" s="4"/>
      <c r="E158" s="11" t="s">
        <v>43</v>
      </c>
      <c r="F158" s="2" t="s">
        <v>2268</v>
      </c>
      <c r="G158" s="2" t="s">
        <v>2253</v>
      </c>
      <c r="H158" s="2" t="s">
        <v>44</v>
      </c>
      <c r="I158" s="2" t="s">
        <v>15</v>
      </c>
      <c r="J158" s="2" t="s">
        <v>2267</v>
      </c>
      <c r="K158" s="105">
        <v>18000</v>
      </c>
      <c r="L158" s="63">
        <v>308</v>
      </c>
      <c r="M158" s="63"/>
      <c r="N158" s="63"/>
      <c r="O158" s="63"/>
      <c r="P158" s="63"/>
      <c r="Q158" s="63"/>
      <c r="R158" s="100">
        <f t="shared" si="4"/>
        <v>308</v>
      </c>
      <c r="S158" s="100">
        <f t="shared" si="5"/>
        <v>-308</v>
      </c>
    </row>
    <row r="159" spans="1:27" ht="19.5" customHeight="1">
      <c r="A159" s="2">
        <v>150</v>
      </c>
      <c r="B159" s="11" t="s">
        <v>2427</v>
      </c>
      <c r="C159" s="11"/>
      <c r="D159" s="11"/>
      <c r="E159" s="11" t="s">
        <v>43</v>
      </c>
      <c r="F159" s="2" t="s">
        <v>2771</v>
      </c>
      <c r="G159" s="2" t="s">
        <v>2772</v>
      </c>
      <c r="H159" s="2" t="s">
        <v>2773</v>
      </c>
      <c r="I159" s="2" t="s">
        <v>15</v>
      </c>
      <c r="J159" s="2" t="s">
        <v>2267</v>
      </c>
      <c r="K159" s="105">
        <v>22050</v>
      </c>
      <c r="L159" s="63">
        <v>0</v>
      </c>
      <c r="M159" s="63"/>
      <c r="N159" s="63"/>
      <c r="O159" s="63"/>
      <c r="P159" s="63"/>
      <c r="Q159" s="63"/>
      <c r="R159" s="100">
        <f t="shared" si="4"/>
        <v>0</v>
      </c>
      <c r="S159" s="100">
        <f t="shared" si="5"/>
        <v>0</v>
      </c>
    </row>
    <row r="160" spans="1:27" ht="19.5" customHeight="1">
      <c r="A160" s="2">
        <v>151</v>
      </c>
      <c r="B160" s="67" t="s">
        <v>46</v>
      </c>
      <c r="C160" s="4"/>
      <c r="D160" s="4"/>
      <c r="E160" s="11" t="s">
        <v>45</v>
      </c>
      <c r="F160" s="2" t="s">
        <v>2270</v>
      </c>
      <c r="G160" s="2" t="s">
        <v>2253</v>
      </c>
      <c r="H160" s="2" t="s">
        <v>2269</v>
      </c>
      <c r="I160" s="2" t="s">
        <v>15</v>
      </c>
      <c r="J160" s="2" t="s">
        <v>2267</v>
      </c>
      <c r="K160" s="105">
        <v>32000</v>
      </c>
      <c r="L160" s="63">
        <v>307</v>
      </c>
      <c r="M160" s="63"/>
      <c r="N160" s="63"/>
      <c r="O160" s="63"/>
      <c r="P160" s="63"/>
      <c r="Q160" s="63"/>
      <c r="R160" s="100">
        <f t="shared" si="4"/>
        <v>307</v>
      </c>
      <c r="S160" s="100">
        <f t="shared" si="5"/>
        <v>-307</v>
      </c>
    </row>
    <row r="161" spans="1:19" ht="19.5" customHeight="1">
      <c r="A161" s="2">
        <v>152</v>
      </c>
      <c r="B161" s="11" t="s">
        <v>2233</v>
      </c>
      <c r="C161" s="4"/>
      <c r="D161" s="4"/>
      <c r="E161" s="11" t="s">
        <v>48</v>
      </c>
      <c r="F161" s="2" t="s">
        <v>2235</v>
      </c>
      <c r="G161" s="2" t="s">
        <v>2774</v>
      </c>
      <c r="H161" s="7" t="s">
        <v>49</v>
      </c>
      <c r="I161" s="2" t="s">
        <v>50</v>
      </c>
      <c r="J161" s="2" t="s">
        <v>2775</v>
      </c>
      <c r="K161" s="105">
        <v>54000</v>
      </c>
      <c r="L161" s="63">
        <v>304</v>
      </c>
      <c r="M161" s="63"/>
      <c r="N161" s="63"/>
      <c r="O161" s="63"/>
      <c r="P161" s="63"/>
      <c r="Q161" s="63"/>
      <c r="R161" s="100">
        <f t="shared" si="4"/>
        <v>304</v>
      </c>
      <c r="S161" s="100">
        <f t="shared" si="5"/>
        <v>-304</v>
      </c>
    </row>
    <row r="162" spans="1:19" ht="19.5" customHeight="1">
      <c r="A162" s="2">
        <v>153</v>
      </c>
      <c r="B162" s="67" t="s">
        <v>2237</v>
      </c>
      <c r="C162" s="4"/>
      <c r="D162" s="4"/>
      <c r="E162" s="11" t="s">
        <v>51</v>
      </c>
      <c r="F162" s="2" t="s">
        <v>2238</v>
      </c>
      <c r="G162" s="2" t="s">
        <v>2236</v>
      </c>
      <c r="H162" s="2" t="s">
        <v>53</v>
      </c>
      <c r="I162" s="2" t="s">
        <v>50</v>
      </c>
      <c r="J162" s="2" t="s">
        <v>2234</v>
      </c>
      <c r="K162" s="105">
        <v>60000</v>
      </c>
      <c r="L162" s="63">
        <v>252</v>
      </c>
      <c r="M162" s="63"/>
      <c r="N162" s="63"/>
      <c r="O162" s="63"/>
      <c r="P162" s="63"/>
      <c r="Q162" s="63"/>
      <c r="R162" s="100">
        <f t="shared" si="4"/>
        <v>252</v>
      </c>
      <c r="S162" s="100">
        <f t="shared" si="5"/>
        <v>-252</v>
      </c>
    </row>
    <row r="163" spans="1:19" ht="19.5" customHeight="1">
      <c r="A163" s="2">
        <v>154</v>
      </c>
      <c r="B163" s="67" t="s">
        <v>55</v>
      </c>
      <c r="C163" s="4"/>
      <c r="D163" s="4"/>
      <c r="E163" s="11" t="s">
        <v>54</v>
      </c>
      <c r="F163" s="2" t="s">
        <v>2271</v>
      </c>
      <c r="G163" s="2" t="s">
        <v>2253</v>
      </c>
      <c r="H163" s="2" t="s">
        <v>56</v>
      </c>
      <c r="I163" s="2" t="s">
        <v>15</v>
      </c>
      <c r="J163" s="2" t="s">
        <v>2267</v>
      </c>
      <c r="K163" s="105">
        <v>30000</v>
      </c>
      <c r="L163" s="63">
        <v>472</v>
      </c>
      <c r="M163" s="63"/>
      <c r="N163" s="63"/>
      <c r="O163" s="63"/>
      <c r="P163" s="63"/>
      <c r="Q163" s="63"/>
      <c r="R163" s="100">
        <f t="shared" si="4"/>
        <v>472</v>
      </c>
      <c r="S163" s="100">
        <f t="shared" si="5"/>
        <v>-472</v>
      </c>
    </row>
    <row r="164" spans="1:19" ht="19.5" customHeight="1">
      <c r="A164" s="2">
        <v>155</v>
      </c>
      <c r="B164" s="65" t="s">
        <v>2776</v>
      </c>
      <c r="C164" s="11"/>
      <c r="D164" s="11"/>
      <c r="E164" s="11" t="s">
        <v>2777</v>
      </c>
      <c r="F164" s="2" t="s">
        <v>2778</v>
      </c>
      <c r="G164" s="2" t="s">
        <v>2772</v>
      </c>
      <c r="H164" s="66" t="s">
        <v>2779</v>
      </c>
      <c r="I164" s="2" t="s">
        <v>2780</v>
      </c>
      <c r="J164" s="2" t="s">
        <v>2781</v>
      </c>
      <c r="K164" s="105">
        <v>9450</v>
      </c>
      <c r="L164" s="63">
        <v>0</v>
      </c>
      <c r="M164" s="63"/>
      <c r="N164" s="63"/>
      <c r="O164" s="63"/>
      <c r="P164" s="63"/>
      <c r="Q164" s="63"/>
      <c r="R164" s="100">
        <f t="shared" si="4"/>
        <v>0</v>
      </c>
      <c r="S164" s="100">
        <f t="shared" si="5"/>
        <v>0</v>
      </c>
    </row>
    <row r="165" spans="1:19" ht="19.5" customHeight="1">
      <c r="A165" s="2">
        <v>156</v>
      </c>
      <c r="B165" s="11" t="s">
        <v>882</v>
      </c>
      <c r="C165" s="4"/>
      <c r="D165" s="4"/>
      <c r="E165" s="11" t="s">
        <v>1739</v>
      </c>
      <c r="F165" s="2" t="s">
        <v>1740</v>
      </c>
      <c r="G165" s="2" t="s">
        <v>1741</v>
      </c>
      <c r="H165" s="2" t="s">
        <v>1580</v>
      </c>
      <c r="I165" s="2" t="s">
        <v>11</v>
      </c>
      <c r="J165" s="2" t="s">
        <v>1736</v>
      </c>
      <c r="K165" s="105">
        <v>1545</v>
      </c>
      <c r="L165" s="63">
        <v>9990</v>
      </c>
      <c r="M165" s="63"/>
      <c r="N165" s="63"/>
      <c r="O165" s="63"/>
      <c r="P165" s="63"/>
      <c r="Q165" s="63"/>
      <c r="R165" s="100">
        <f t="shared" si="4"/>
        <v>9990</v>
      </c>
      <c r="S165" s="100">
        <f t="shared" si="5"/>
        <v>-9990</v>
      </c>
    </row>
    <row r="166" spans="1:19" ht="19.5" customHeight="1">
      <c r="A166" s="2">
        <v>157</v>
      </c>
      <c r="B166" s="67" t="s">
        <v>1965</v>
      </c>
      <c r="C166" s="4"/>
      <c r="D166" s="4"/>
      <c r="E166" s="11" t="s">
        <v>1966</v>
      </c>
      <c r="F166" s="2" t="s">
        <v>1969</v>
      </c>
      <c r="G166" s="2" t="s">
        <v>1946</v>
      </c>
      <c r="H166" s="2" t="s">
        <v>1967</v>
      </c>
      <c r="I166" s="2" t="s">
        <v>11</v>
      </c>
      <c r="J166" s="2" t="s">
        <v>1968</v>
      </c>
      <c r="K166" s="105">
        <v>599</v>
      </c>
      <c r="L166" s="63">
        <v>0</v>
      </c>
      <c r="M166" s="63"/>
      <c r="N166" s="63"/>
      <c r="O166" s="63"/>
      <c r="P166" s="63"/>
      <c r="Q166" s="63"/>
      <c r="R166" s="100">
        <f t="shared" si="4"/>
        <v>0</v>
      </c>
      <c r="S166" s="100">
        <f t="shared" si="5"/>
        <v>0</v>
      </c>
    </row>
    <row r="167" spans="1:19" ht="19.5" customHeight="1">
      <c r="A167" s="2">
        <v>158</v>
      </c>
      <c r="B167" s="64" t="s">
        <v>371</v>
      </c>
      <c r="C167" s="3"/>
      <c r="D167" s="3"/>
      <c r="E167" s="11" t="s">
        <v>371</v>
      </c>
      <c r="F167" s="2" t="s">
        <v>372</v>
      </c>
      <c r="G167" s="2" t="s">
        <v>360</v>
      </c>
      <c r="H167" s="2" t="s">
        <v>248</v>
      </c>
      <c r="I167" s="2" t="s">
        <v>10</v>
      </c>
      <c r="J167" s="2" t="s">
        <v>642</v>
      </c>
      <c r="K167" s="105">
        <v>76</v>
      </c>
      <c r="L167" s="63">
        <v>0</v>
      </c>
      <c r="M167" s="63"/>
      <c r="N167" s="63"/>
      <c r="O167" s="63"/>
      <c r="P167" s="63"/>
      <c r="Q167" s="63"/>
      <c r="R167" s="100">
        <f t="shared" si="4"/>
        <v>0</v>
      </c>
      <c r="S167" s="100">
        <f t="shared" si="5"/>
        <v>0</v>
      </c>
    </row>
    <row r="168" spans="1:19" ht="19.5" customHeight="1">
      <c r="A168" s="2">
        <v>159</v>
      </c>
      <c r="B168" s="64" t="s">
        <v>371</v>
      </c>
      <c r="C168" s="11"/>
      <c r="D168" s="11"/>
      <c r="E168" s="11" t="s">
        <v>371</v>
      </c>
      <c r="F168" s="2" t="s">
        <v>2782</v>
      </c>
      <c r="G168" s="2" t="s">
        <v>2682</v>
      </c>
      <c r="H168" s="2" t="s">
        <v>248</v>
      </c>
      <c r="I168" s="2" t="s">
        <v>10</v>
      </c>
      <c r="J168" s="2" t="s">
        <v>642</v>
      </c>
      <c r="K168" s="105">
        <v>85</v>
      </c>
      <c r="L168" s="63">
        <v>0</v>
      </c>
      <c r="M168" s="63"/>
      <c r="N168" s="63"/>
      <c r="O168" s="63"/>
      <c r="P168" s="63"/>
      <c r="Q168" s="63"/>
      <c r="R168" s="100">
        <f t="shared" si="4"/>
        <v>0</v>
      </c>
      <c r="S168" s="100">
        <f t="shared" si="5"/>
        <v>0</v>
      </c>
    </row>
    <row r="169" spans="1:19" ht="19.5" customHeight="1">
      <c r="A169" s="2">
        <v>160</v>
      </c>
      <c r="B169" s="67" t="s">
        <v>708</v>
      </c>
      <c r="C169" s="4"/>
      <c r="D169" s="4"/>
      <c r="E169" s="11" t="s">
        <v>1601</v>
      </c>
      <c r="F169" s="2" t="s">
        <v>1602</v>
      </c>
      <c r="G169" s="2" t="s">
        <v>463</v>
      </c>
      <c r="H169" s="2" t="s">
        <v>965</v>
      </c>
      <c r="I169" s="2" t="s">
        <v>11</v>
      </c>
      <c r="J169" s="2" t="s">
        <v>1600</v>
      </c>
      <c r="K169" s="105">
        <v>1250</v>
      </c>
      <c r="L169" s="63">
        <v>11011</v>
      </c>
      <c r="M169" s="63"/>
      <c r="N169" s="63"/>
      <c r="O169" s="63"/>
      <c r="P169" s="63"/>
      <c r="Q169" s="63"/>
      <c r="R169" s="100">
        <f t="shared" si="4"/>
        <v>11011</v>
      </c>
      <c r="S169" s="100">
        <f t="shared" si="5"/>
        <v>-11011</v>
      </c>
    </row>
    <row r="170" spans="1:19" ht="19.5" customHeight="1">
      <c r="A170" s="2">
        <v>161</v>
      </c>
      <c r="B170" s="67" t="s">
        <v>1253</v>
      </c>
      <c r="C170" s="4"/>
      <c r="D170" s="4"/>
      <c r="E170" s="11" t="s">
        <v>1254</v>
      </c>
      <c r="F170" s="2" t="s">
        <v>1256</v>
      </c>
      <c r="G170" s="2" t="s">
        <v>1257</v>
      </c>
      <c r="H170" s="2" t="s">
        <v>1255</v>
      </c>
      <c r="I170" s="2" t="s">
        <v>1258</v>
      </c>
      <c r="J170" s="2" t="s">
        <v>2783</v>
      </c>
      <c r="K170" s="105">
        <v>3550</v>
      </c>
      <c r="L170" s="63">
        <v>2012</v>
      </c>
      <c r="M170" s="63"/>
      <c r="N170" s="63"/>
      <c r="O170" s="63"/>
      <c r="P170" s="63"/>
      <c r="Q170" s="63"/>
      <c r="R170" s="100">
        <f t="shared" si="4"/>
        <v>2012</v>
      </c>
      <c r="S170" s="100">
        <f t="shared" si="5"/>
        <v>-2012</v>
      </c>
    </row>
    <row r="171" spans="1:19" ht="19.5" customHeight="1">
      <c r="A171" s="2">
        <v>162</v>
      </c>
      <c r="B171" s="67" t="s">
        <v>668</v>
      </c>
      <c r="C171" s="4"/>
      <c r="D171" s="4"/>
      <c r="E171" s="11" t="s">
        <v>671</v>
      </c>
      <c r="F171" s="2" t="s">
        <v>672</v>
      </c>
      <c r="G171" s="2" t="s">
        <v>245</v>
      </c>
      <c r="H171" s="2" t="s">
        <v>327</v>
      </c>
      <c r="I171" s="2" t="s">
        <v>11</v>
      </c>
      <c r="J171" s="2" t="s">
        <v>547</v>
      </c>
      <c r="K171" s="105">
        <v>2436</v>
      </c>
      <c r="L171" s="63">
        <v>2907</v>
      </c>
      <c r="M171" s="63"/>
      <c r="N171" s="63"/>
      <c r="O171" s="63"/>
      <c r="P171" s="63"/>
      <c r="Q171" s="63"/>
      <c r="R171" s="100">
        <f t="shared" si="4"/>
        <v>2907</v>
      </c>
      <c r="S171" s="100">
        <f t="shared" si="5"/>
        <v>-2907</v>
      </c>
    </row>
    <row r="172" spans="1:19" ht="19.5" customHeight="1">
      <c r="A172" s="2">
        <v>163</v>
      </c>
      <c r="B172" s="67" t="s">
        <v>668</v>
      </c>
      <c r="C172" s="4"/>
      <c r="D172" s="4"/>
      <c r="E172" s="11" t="s">
        <v>669</v>
      </c>
      <c r="F172" s="2" t="s">
        <v>670</v>
      </c>
      <c r="G172" s="2" t="s">
        <v>245</v>
      </c>
      <c r="H172" s="2" t="s">
        <v>238</v>
      </c>
      <c r="I172" s="2" t="s">
        <v>11</v>
      </c>
      <c r="J172" s="2" t="s">
        <v>547</v>
      </c>
      <c r="K172" s="105">
        <v>4116</v>
      </c>
      <c r="L172" s="63">
        <v>1500</v>
      </c>
      <c r="M172" s="63"/>
      <c r="N172" s="63"/>
      <c r="O172" s="63"/>
      <c r="P172" s="63"/>
      <c r="Q172" s="63"/>
      <c r="R172" s="100">
        <f t="shared" si="4"/>
        <v>1500</v>
      </c>
      <c r="S172" s="100">
        <f t="shared" si="5"/>
        <v>-1500</v>
      </c>
    </row>
    <row r="173" spans="1:19" ht="19.5" customHeight="1">
      <c r="A173" s="2">
        <v>164</v>
      </c>
      <c r="B173" s="67" t="s">
        <v>802</v>
      </c>
      <c r="C173" s="4"/>
      <c r="D173" s="4"/>
      <c r="E173" s="67" t="s">
        <v>964</v>
      </c>
      <c r="F173" s="68" t="s">
        <v>1037</v>
      </c>
      <c r="G173" s="68" t="s">
        <v>2784</v>
      </c>
      <c r="H173" s="68" t="s">
        <v>1035</v>
      </c>
      <c r="I173" s="68" t="s">
        <v>14</v>
      </c>
      <c r="J173" s="68" t="s">
        <v>1036</v>
      </c>
      <c r="K173" s="105">
        <v>50600</v>
      </c>
      <c r="L173" s="63">
        <v>30</v>
      </c>
      <c r="M173" s="63"/>
      <c r="N173" s="63"/>
      <c r="O173" s="63"/>
      <c r="P173" s="63"/>
      <c r="Q173" s="63"/>
      <c r="R173" s="100">
        <f t="shared" si="4"/>
        <v>30</v>
      </c>
      <c r="S173" s="100">
        <f t="shared" si="5"/>
        <v>-30</v>
      </c>
    </row>
    <row r="174" spans="1:19" ht="19.5" customHeight="1">
      <c r="A174" s="2">
        <v>165</v>
      </c>
      <c r="B174" s="67" t="s">
        <v>802</v>
      </c>
      <c r="C174" s="4"/>
      <c r="D174" s="4"/>
      <c r="E174" s="11" t="s">
        <v>1455</v>
      </c>
      <c r="F174" s="2" t="s">
        <v>1457</v>
      </c>
      <c r="G174" s="2" t="s">
        <v>1449</v>
      </c>
      <c r="H174" s="2" t="s">
        <v>1200</v>
      </c>
      <c r="I174" s="2" t="s">
        <v>12</v>
      </c>
      <c r="J174" s="2" t="s">
        <v>1456</v>
      </c>
      <c r="K174" s="105">
        <v>1233</v>
      </c>
      <c r="L174" s="63">
        <v>0</v>
      </c>
      <c r="M174" s="63"/>
      <c r="N174" s="63"/>
      <c r="O174" s="63"/>
      <c r="P174" s="63"/>
      <c r="Q174" s="63"/>
      <c r="R174" s="100">
        <f t="shared" si="4"/>
        <v>0</v>
      </c>
      <c r="S174" s="100">
        <f t="shared" si="5"/>
        <v>0</v>
      </c>
    </row>
    <row r="175" spans="1:19" ht="19.5" customHeight="1">
      <c r="A175" s="2">
        <v>166</v>
      </c>
      <c r="B175" s="67" t="s">
        <v>802</v>
      </c>
      <c r="C175" s="4"/>
      <c r="D175" s="4"/>
      <c r="E175" s="11" t="s">
        <v>803</v>
      </c>
      <c r="F175" s="2" t="s">
        <v>805</v>
      </c>
      <c r="G175" s="2" t="s">
        <v>806</v>
      </c>
      <c r="H175" s="2" t="s">
        <v>272</v>
      </c>
      <c r="I175" s="2" t="s">
        <v>11</v>
      </c>
      <c r="J175" s="2" t="s">
        <v>804</v>
      </c>
      <c r="K175" s="105">
        <v>1397</v>
      </c>
      <c r="L175" s="63">
        <v>1000</v>
      </c>
      <c r="M175" s="63"/>
      <c r="N175" s="63"/>
      <c r="O175" s="63"/>
      <c r="P175" s="63"/>
      <c r="Q175" s="63"/>
      <c r="R175" s="100">
        <f t="shared" si="4"/>
        <v>1000</v>
      </c>
      <c r="S175" s="100">
        <f t="shared" si="5"/>
        <v>-1000</v>
      </c>
    </row>
    <row r="176" spans="1:19" ht="19.5" customHeight="1">
      <c r="A176" s="2">
        <v>167</v>
      </c>
      <c r="B176" s="67" t="s">
        <v>802</v>
      </c>
      <c r="C176" s="4"/>
      <c r="D176" s="4"/>
      <c r="E176" s="11" t="s">
        <v>1603</v>
      </c>
      <c r="F176" s="2" t="s">
        <v>1604</v>
      </c>
      <c r="G176" s="2" t="s">
        <v>463</v>
      </c>
      <c r="H176" s="2" t="s">
        <v>225</v>
      </c>
      <c r="I176" s="2" t="s">
        <v>11</v>
      </c>
      <c r="J176" s="2" t="s">
        <v>620</v>
      </c>
      <c r="K176" s="105">
        <v>9400</v>
      </c>
      <c r="L176" s="63">
        <v>20</v>
      </c>
      <c r="M176" s="63"/>
      <c r="N176" s="63"/>
      <c r="O176" s="63"/>
      <c r="P176" s="63"/>
      <c r="Q176" s="63"/>
      <c r="R176" s="100">
        <f t="shared" si="4"/>
        <v>20</v>
      </c>
      <c r="S176" s="100">
        <f t="shared" si="5"/>
        <v>-20</v>
      </c>
    </row>
    <row r="177" spans="1:19" ht="19.5" customHeight="1">
      <c r="A177" s="2">
        <v>168</v>
      </c>
      <c r="B177" s="67" t="s">
        <v>809</v>
      </c>
      <c r="C177" s="4"/>
      <c r="D177" s="4"/>
      <c r="E177" s="11" t="s">
        <v>810</v>
      </c>
      <c r="F177" s="2" t="s">
        <v>811</v>
      </c>
      <c r="G177" s="2" t="s">
        <v>812</v>
      </c>
      <c r="H177" s="2" t="s">
        <v>225</v>
      </c>
      <c r="I177" s="2" t="s">
        <v>11</v>
      </c>
      <c r="J177" s="2" t="s">
        <v>804</v>
      </c>
      <c r="K177" s="105">
        <v>640</v>
      </c>
      <c r="L177" s="63">
        <v>955</v>
      </c>
      <c r="M177" s="63"/>
      <c r="N177" s="63"/>
      <c r="O177" s="63"/>
      <c r="P177" s="63"/>
      <c r="Q177" s="63"/>
      <c r="R177" s="100">
        <f t="shared" si="4"/>
        <v>955</v>
      </c>
      <c r="S177" s="100">
        <f t="shared" si="5"/>
        <v>-955</v>
      </c>
    </row>
    <row r="178" spans="1:19" ht="19.5" customHeight="1">
      <c r="A178" s="2">
        <v>169</v>
      </c>
      <c r="B178" s="67" t="s">
        <v>809</v>
      </c>
      <c r="C178" s="11"/>
      <c r="D178" s="11"/>
      <c r="E178" s="11" t="s">
        <v>810</v>
      </c>
      <c r="F178" s="2" t="s">
        <v>811</v>
      </c>
      <c r="G178" s="2" t="s">
        <v>806</v>
      </c>
      <c r="H178" s="2" t="s">
        <v>225</v>
      </c>
      <c r="I178" s="2" t="s">
        <v>11</v>
      </c>
      <c r="J178" s="2" t="s">
        <v>804</v>
      </c>
      <c r="K178" s="105">
        <v>700</v>
      </c>
      <c r="L178" s="63">
        <v>6</v>
      </c>
      <c r="M178" s="63"/>
      <c r="N178" s="63"/>
      <c r="O178" s="63"/>
      <c r="P178" s="63"/>
      <c r="Q178" s="63"/>
      <c r="R178" s="100">
        <f t="shared" si="4"/>
        <v>6</v>
      </c>
      <c r="S178" s="100">
        <f t="shared" si="5"/>
        <v>-6</v>
      </c>
    </row>
    <row r="179" spans="1:19" ht="19.5" customHeight="1">
      <c r="A179" s="2">
        <v>170</v>
      </c>
      <c r="B179" s="11" t="s">
        <v>847</v>
      </c>
      <c r="C179" s="4"/>
      <c r="D179" s="4"/>
      <c r="E179" s="69" t="s">
        <v>848</v>
      </c>
      <c r="F179" s="2" t="s">
        <v>850</v>
      </c>
      <c r="G179" s="2" t="s">
        <v>2785</v>
      </c>
      <c r="H179" s="2" t="s">
        <v>849</v>
      </c>
      <c r="I179" s="2" t="s">
        <v>11</v>
      </c>
      <c r="J179" s="2" t="s">
        <v>642</v>
      </c>
      <c r="K179" s="105">
        <v>2650</v>
      </c>
      <c r="L179" s="63">
        <v>5271</v>
      </c>
      <c r="M179" s="63"/>
      <c r="N179" s="63"/>
      <c r="O179" s="63"/>
      <c r="P179" s="63"/>
      <c r="Q179" s="63"/>
      <c r="R179" s="100">
        <f t="shared" si="4"/>
        <v>5271</v>
      </c>
      <c r="S179" s="100">
        <f t="shared" si="5"/>
        <v>-5271</v>
      </c>
    </row>
    <row r="180" spans="1:19" ht="19.5" customHeight="1">
      <c r="A180" s="2">
        <v>171</v>
      </c>
      <c r="B180" s="67" t="s">
        <v>1818</v>
      </c>
      <c r="C180" s="4"/>
      <c r="D180" s="4"/>
      <c r="E180" s="11" t="s">
        <v>1819</v>
      </c>
      <c r="F180" s="2" t="s">
        <v>1820</v>
      </c>
      <c r="G180" s="2" t="s">
        <v>492</v>
      </c>
      <c r="H180" s="2" t="s">
        <v>225</v>
      </c>
      <c r="I180" s="2" t="s">
        <v>10</v>
      </c>
      <c r="J180" s="2" t="s">
        <v>620</v>
      </c>
      <c r="K180" s="105">
        <v>768</v>
      </c>
      <c r="L180" s="63">
        <v>0</v>
      </c>
      <c r="M180" s="63"/>
      <c r="N180" s="63"/>
      <c r="O180" s="63"/>
      <c r="P180" s="63"/>
      <c r="Q180" s="63"/>
      <c r="R180" s="100">
        <f t="shared" si="4"/>
        <v>0</v>
      </c>
      <c r="S180" s="100">
        <f t="shared" si="5"/>
        <v>0</v>
      </c>
    </row>
    <row r="181" spans="1:19" ht="19.5" customHeight="1">
      <c r="A181" s="2">
        <v>172</v>
      </c>
      <c r="B181" s="67" t="s">
        <v>1818</v>
      </c>
      <c r="C181" s="11"/>
      <c r="D181" s="11"/>
      <c r="E181" s="11" t="s">
        <v>1819</v>
      </c>
      <c r="F181" s="2" t="s">
        <v>2786</v>
      </c>
      <c r="G181" s="2" t="s">
        <v>463</v>
      </c>
      <c r="H181" s="2" t="s">
        <v>225</v>
      </c>
      <c r="I181" s="2" t="s">
        <v>10</v>
      </c>
      <c r="J181" s="2" t="s">
        <v>620</v>
      </c>
      <c r="K181" s="105">
        <v>2100</v>
      </c>
      <c r="L181" s="63">
        <v>54</v>
      </c>
      <c r="M181" s="63"/>
      <c r="N181" s="63"/>
      <c r="O181" s="63"/>
      <c r="P181" s="63"/>
      <c r="Q181" s="63"/>
      <c r="R181" s="100">
        <f t="shared" si="4"/>
        <v>54</v>
      </c>
      <c r="S181" s="100">
        <f t="shared" si="5"/>
        <v>-54</v>
      </c>
    </row>
    <row r="182" spans="1:19" ht="19.5" customHeight="1">
      <c r="A182" s="2">
        <v>173</v>
      </c>
      <c r="B182" s="67" t="s">
        <v>1235</v>
      </c>
      <c r="C182" s="4"/>
      <c r="D182" s="4"/>
      <c r="E182" s="11" t="s">
        <v>1235</v>
      </c>
      <c r="F182" s="2" t="s">
        <v>1821</v>
      </c>
      <c r="G182" s="2" t="s">
        <v>492</v>
      </c>
      <c r="H182" s="2" t="s">
        <v>262</v>
      </c>
      <c r="I182" s="2" t="s">
        <v>10</v>
      </c>
      <c r="J182" s="2" t="s">
        <v>620</v>
      </c>
      <c r="K182" s="105">
        <v>2714</v>
      </c>
      <c r="L182" s="63">
        <v>0</v>
      </c>
      <c r="M182" s="63"/>
      <c r="N182" s="63"/>
      <c r="O182" s="63"/>
      <c r="P182" s="63"/>
      <c r="Q182" s="63"/>
      <c r="R182" s="100">
        <f t="shared" si="4"/>
        <v>0</v>
      </c>
      <c r="S182" s="100">
        <f t="shared" si="5"/>
        <v>0</v>
      </c>
    </row>
    <row r="183" spans="1:19" ht="19.5" customHeight="1">
      <c r="A183" s="2">
        <v>174</v>
      </c>
      <c r="B183" s="11" t="s">
        <v>1235</v>
      </c>
      <c r="C183" s="11"/>
      <c r="D183" s="11"/>
      <c r="E183" s="11" t="s">
        <v>2787</v>
      </c>
      <c r="F183" s="2" t="s">
        <v>2788</v>
      </c>
      <c r="G183" s="2" t="s">
        <v>806</v>
      </c>
      <c r="H183" s="2" t="s">
        <v>1200</v>
      </c>
      <c r="I183" s="66" t="s">
        <v>13</v>
      </c>
      <c r="J183" s="2" t="s">
        <v>1106</v>
      </c>
      <c r="K183" s="105">
        <v>2195</v>
      </c>
      <c r="L183" s="63">
        <v>0</v>
      </c>
      <c r="M183" s="63"/>
      <c r="N183" s="63"/>
      <c r="O183" s="63"/>
      <c r="P183" s="63"/>
      <c r="Q183" s="63"/>
      <c r="R183" s="100">
        <f t="shared" si="4"/>
        <v>0</v>
      </c>
      <c r="S183" s="100">
        <f t="shared" si="5"/>
        <v>0</v>
      </c>
    </row>
    <row r="184" spans="1:19" ht="19.5" customHeight="1">
      <c r="A184" s="2">
        <v>175</v>
      </c>
      <c r="B184" s="65" t="s">
        <v>256</v>
      </c>
      <c r="C184" s="11"/>
      <c r="D184" s="11"/>
      <c r="E184" s="65" t="s">
        <v>2789</v>
      </c>
      <c r="F184" s="2" t="s">
        <v>2790</v>
      </c>
      <c r="G184" s="2" t="s">
        <v>1913</v>
      </c>
      <c r="H184" s="66" t="s">
        <v>258</v>
      </c>
      <c r="I184" s="66" t="s">
        <v>13</v>
      </c>
      <c r="J184" s="2" t="s">
        <v>1106</v>
      </c>
      <c r="K184" s="105">
        <v>1389</v>
      </c>
      <c r="L184" s="63">
        <v>6397</v>
      </c>
      <c r="M184" s="63"/>
      <c r="N184" s="63"/>
      <c r="O184" s="63"/>
      <c r="P184" s="63"/>
      <c r="Q184" s="63"/>
      <c r="R184" s="100">
        <f t="shared" si="4"/>
        <v>6397</v>
      </c>
      <c r="S184" s="100">
        <f t="shared" si="5"/>
        <v>-6397</v>
      </c>
    </row>
    <row r="185" spans="1:19" ht="19.5" customHeight="1">
      <c r="A185" s="2">
        <v>176</v>
      </c>
      <c r="B185" s="11" t="s">
        <v>256</v>
      </c>
      <c r="C185" s="11"/>
      <c r="D185" s="11"/>
      <c r="E185" s="11" t="s">
        <v>2791</v>
      </c>
      <c r="F185" s="2" t="s">
        <v>2792</v>
      </c>
      <c r="G185" s="2" t="s">
        <v>806</v>
      </c>
      <c r="H185" s="2" t="s">
        <v>299</v>
      </c>
      <c r="I185" s="2" t="s">
        <v>11</v>
      </c>
      <c r="J185" s="2" t="s">
        <v>1736</v>
      </c>
      <c r="K185" s="105">
        <v>1212</v>
      </c>
      <c r="L185" s="63">
        <v>0</v>
      </c>
      <c r="M185" s="63"/>
      <c r="N185" s="63"/>
      <c r="O185" s="63"/>
      <c r="P185" s="63"/>
      <c r="Q185" s="63"/>
      <c r="R185" s="100">
        <f t="shared" si="4"/>
        <v>0</v>
      </c>
      <c r="S185" s="100">
        <f t="shared" si="5"/>
        <v>0</v>
      </c>
    </row>
    <row r="186" spans="1:19" ht="19.5" customHeight="1">
      <c r="A186" s="2">
        <v>177</v>
      </c>
      <c r="B186" s="11" t="s">
        <v>256</v>
      </c>
      <c r="C186" s="4"/>
      <c r="D186" s="4"/>
      <c r="E186" s="11" t="s">
        <v>1735</v>
      </c>
      <c r="F186" s="2" t="s">
        <v>1737</v>
      </c>
      <c r="G186" s="2" t="s">
        <v>1738</v>
      </c>
      <c r="H186" s="2" t="s">
        <v>334</v>
      </c>
      <c r="I186" s="2" t="s">
        <v>11</v>
      </c>
      <c r="J186" s="2" t="s">
        <v>1736</v>
      </c>
      <c r="K186" s="105">
        <v>4850</v>
      </c>
      <c r="L186" s="63">
        <v>541</v>
      </c>
      <c r="M186" s="63"/>
      <c r="N186" s="63"/>
      <c r="O186" s="63"/>
      <c r="P186" s="63"/>
      <c r="Q186" s="63"/>
      <c r="R186" s="100">
        <f t="shared" si="4"/>
        <v>541</v>
      </c>
      <c r="S186" s="100">
        <f t="shared" si="5"/>
        <v>-541</v>
      </c>
    </row>
    <row r="187" spans="1:19" ht="19.5" customHeight="1">
      <c r="A187" s="2">
        <v>178</v>
      </c>
      <c r="B187" s="11" t="s">
        <v>256</v>
      </c>
      <c r="C187" s="11"/>
      <c r="D187" s="11"/>
      <c r="E187" s="11" t="s">
        <v>2793</v>
      </c>
      <c r="F187" s="2" t="s">
        <v>2794</v>
      </c>
      <c r="G187" s="2" t="s">
        <v>217</v>
      </c>
      <c r="H187" s="2" t="s">
        <v>258</v>
      </c>
      <c r="I187" s="66" t="s">
        <v>13</v>
      </c>
      <c r="J187" s="2" t="s">
        <v>1106</v>
      </c>
      <c r="K187" s="105">
        <v>1226</v>
      </c>
      <c r="L187" s="63">
        <v>0</v>
      </c>
      <c r="M187" s="63"/>
      <c r="N187" s="63"/>
      <c r="O187" s="63"/>
      <c r="P187" s="63"/>
      <c r="Q187" s="63"/>
      <c r="R187" s="100">
        <f t="shared" si="4"/>
        <v>0</v>
      </c>
      <c r="S187" s="100">
        <f t="shared" si="5"/>
        <v>0</v>
      </c>
    </row>
    <row r="188" spans="1:19" ht="19.5" customHeight="1">
      <c r="A188" s="2">
        <v>179</v>
      </c>
      <c r="B188" s="65" t="s">
        <v>256</v>
      </c>
      <c r="C188" s="11"/>
      <c r="D188" s="11"/>
      <c r="E188" s="65" t="s">
        <v>1160</v>
      </c>
      <c r="F188" s="2" t="s">
        <v>1162</v>
      </c>
      <c r="G188" s="68" t="s">
        <v>694</v>
      </c>
      <c r="H188" s="66" t="s">
        <v>291</v>
      </c>
      <c r="I188" s="68" t="s">
        <v>13</v>
      </c>
      <c r="J188" s="68" t="s">
        <v>1161</v>
      </c>
      <c r="K188" s="105">
        <v>3990</v>
      </c>
      <c r="L188" s="63">
        <v>401</v>
      </c>
      <c r="M188" s="63"/>
      <c r="N188" s="63"/>
      <c r="O188" s="63"/>
      <c r="P188" s="63"/>
      <c r="Q188" s="63"/>
      <c r="R188" s="100">
        <f t="shared" si="4"/>
        <v>401</v>
      </c>
      <c r="S188" s="100">
        <f t="shared" si="5"/>
        <v>-401</v>
      </c>
    </row>
    <row r="189" spans="1:19" ht="19.5" customHeight="1">
      <c r="A189" s="2">
        <v>180</v>
      </c>
      <c r="B189" s="64" t="s">
        <v>493</v>
      </c>
      <c r="C189" s="3"/>
      <c r="D189" s="3"/>
      <c r="E189" s="11" t="s">
        <v>494</v>
      </c>
      <c r="F189" s="2" t="s">
        <v>495</v>
      </c>
      <c r="G189" s="2" t="s">
        <v>492</v>
      </c>
      <c r="H189" s="2" t="s">
        <v>429</v>
      </c>
      <c r="I189" s="2" t="s">
        <v>14</v>
      </c>
      <c r="J189" s="2" t="s">
        <v>483</v>
      </c>
      <c r="K189" s="105">
        <v>5838</v>
      </c>
      <c r="L189" s="63">
        <v>306</v>
      </c>
      <c r="M189" s="63"/>
      <c r="N189" s="63"/>
      <c r="O189" s="63"/>
      <c r="P189" s="63"/>
      <c r="Q189" s="63"/>
      <c r="R189" s="100">
        <f t="shared" si="4"/>
        <v>306</v>
      </c>
      <c r="S189" s="100">
        <f t="shared" si="5"/>
        <v>-306</v>
      </c>
    </row>
    <row r="190" spans="1:19" ht="19.5" customHeight="1">
      <c r="A190" s="2">
        <v>181</v>
      </c>
      <c r="B190" s="67" t="s">
        <v>1235</v>
      </c>
      <c r="C190" s="4"/>
      <c r="D190" s="4"/>
      <c r="E190" s="11" t="s">
        <v>1610</v>
      </c>
      <c r="F190" s="2" t="s">
        <v>1611</v>
      </c>
      <c r="G190" s="2" t="s">
        <v>463</v>
      </c>
      <c r="H190" s="2" t="s">
        <v>900</v>
      </c>
      <c r="I190" s="2" t="s">
        <v>11</v>
      </c>
      <c r="J190" s="2" t="s">
        <v>1600</v>
      </c>
      <c r="K190" s="105">
        <v>8000</v>
      </c>
      <c r="L190" s="63">
        <v>6661</v>
      </c>
      <c r="M190" s="63"/>
      <c r="N190" s="63"/>
      <c r="O190" s="63"/>
      <c r="P190" s="63"/>
      <c r="Q190" s="63"/>
      <c r="R190" s="100">
        <f t="shared" si="4"/>
        <v>6661</v>
      </c>
      <c r="S190" s="100">
        <f t="shared" si="5"/>
        <v>-6661</v>
      </c>
    </row>
    <row r="191" spans="1:19" ht="19.5" customHeight="1">
      <c r="A191" s="2">
        <v>182</v>
      </c>
      <c r="B191" s="81" t="s">
        <v>428</v>
      </c>
      <c r="C191" s="4"/>
      <c r="D191" s="4"/>
      <c r="E191" s="81" t="s">
        <v>1906</v>
      </c>
      <c r="F191" s="82" t="s">
        <v>1909</v>
      </c>
      <c r="G191" s="2" t="s">
        <v>1910</v>
      </c>
      <c r="H191" s="82" t="s">
        <v>1907</v>
      </c>
      <c r="I191" s="83" t="s">
        <v>14</v>
      </c>
      <c r="J191" s="2" t="s">
        <v>1908</v>
      </c>
      <c r="K191" s="105">
        <v>96500</v>
      </c>
      <c r="L191" s="63">
        <v>0</v>
      </c>
      <c r="M191" s="63"/>
      <c r="N191" s="63"/>
      <c r="O191" s="63"/>
      <c r="P191" s="63"/>
      <c r="Q191" s="63"/>
      <c r="R191" s="100">
        <f t="shared" si="4"/>
        <v>0</v>
      </c>
      <c r="S191" s="100">
        <f t="shared" si="5"/>
        <v>0</v>
      </c>
    </row>
    <row r="192" spans="1:19" ht="19.5" customHeight="1">
      <c r="A192" s="2">
        <v>183</v>
      </c>
      <c r="B192" s="11" t="s">
        <v>428</v>
      </c>
      <c r="C192" s="4"/>
      <c r="D192" s="4"/>
      <c r="E192" s="11" t="s">
        <v>2795</v>
      </c>
      <c r="F192" s="2" t="s">
        <v>2796</v>
      </c>
      <c r="G192" s="2" t="s">
        <v>2797</v>
      </c>
      <c r="H192" s="2" t="s">
        <v>2798</v>
      </c>
      <c r="I192" s="2" t="s">
        <v>658</v>
      </c>
      <c r="J192" s="2" t="s">
        <v>1908</v>
      </c>
      <c r="K192" s="105">
        <v>24000</v>
      </c>
      <c r="L192" s="63">
        <v>5</v>
      </c>
      <c r="M192" s="63"/>
      <c r="N192" s="63"/>
      <c r="O192" s="63"/>
      <c r="P192" s="63"/>
      <c r="Q192" s="63"/>
      <c r="R192" s="100">
        <f t="shared" si="4"/>
        <v>5</v>
      </c>
      <c r="S192" s="100">
        <f t="shared" si="5"/>
        <v>-5</v>
      </c>
    </row>
    <row r="193" spans="1:27" ht="19.5" customHeight="1">
      <c r="A193" s="2">
        <v>184</v>
      </c>
      <c r="B193" s="77" t="s">
        <v>433</v>
      </c>
      <c r="C193" s="4"/>
      <c r="D193" s="4"/>
      <c r="E193" s="77" t="s">
        <v>2799</v>
      </c>
      <c r="F193" s="5" t="s">
        <v>2800</v>
      </c>
      <c r="G193" s="5" t="s">
        <v>1913</v>
      </c>
      <c r="H193" s="5" t="s">
        <v>225</v>
      </c>
      <c r="I193" s="5" t="s">
        <v>10</v>
      </c>
      <c r="J193" s="5" t="s">
        <v>642</v>
      </c>
      <c r="K193" s="105">
        <v>2415</v>
      </c>
      <c r="L193" s="63"/>
      <c r="M193" s="63"/>
      <c r="N193" s="63"/>
      <c r="O193" s="63"/>
      <c r="P193" s="63"/>
      <c r="Q193" s="63"/>
      <c r="R193" s="100">
        <f t="shared" si="4"/>
        <v>0</v>
      </c>
      <c r="S193" s="100">
        <f t="shared" si="5"/>
        <v>0</v>
      </c>
      <c r="T193" s="37"/>
      <c r="U193" s="37"/>
      <c r="V193" s="37"/>
      <c r="W193" s="37"/>
      <c r="X193" s="37"/>
      <c r="Y193" s="37"/>
      <c r="Z193" s="37"/>
      <c r="AA193" s="37"/>
    </row>
    <row r="194" spans="1:27" ht="19.5" customHeight="1">
      <c r="A194" s="2">
        <v>185</v>
      </c>
      <c r="B194" s="67" t="s">
        <v>433</v>
      </c>
      <c r="C194" s="4"/>
      <c r="D194" s="4"/>
      <c r="E194" s="11" t="s">
        <v>1463</v>
      </c>
      <c r="F194" s="2" t="s">
        <v>1465</v>
      </c>
      <c r="G194" s="2" t="s">
        <v>1449</v>
      </c>
      <c r="H194" s="2" t="s">
        <v>1200</v>
      </c>
      <c r="I194" s="2" t="s">
        <v>12</v>
      </c>
      <c r="J194" s="2" t="s">
        <v>1464</v>
      </c>
      <c r="K194" s="105">
        <v>1174</v>
      </c>
      <c r="L194" s="63">
        <v>500</v>
      </c>
      <c r="M194" s="63"/>
      <c r="N194" s="63"/>
      <c r="O194" s="63"/>
      <c r="P194" s="63"/>
      <c r="Q194" s="63"/>
      <c r="R194" s="100">
        <f t="shared" si="4"/>
        <v>500</v>
      </c>
      <c r="S194" s="100">
        <f t="shared" si="5"/>
        <v>-500</v>
      </c>
    </row>
    <row r="195" spans="1:27" ht="19.5" customHeight="1">
      <c r="A195" s="2">
        <v>186</v>
      </c>
      <c r="B195" s="11" t="s">
        <v>750</v>
      </c>
      <c r="C195" s="11"/>
      <c r="D195" s="11"/>
      <c r="E195" s="11" t="s">
        <v>2801</v>
      </c>
      <c r="F195" s="2" t="s">
        <v>2802</v>
      </c>
      <c r="G195" s="2" t="s">
        <v>2803</v>
      </c>
      <c r="H195" s="2" t="s">
        <v>272</v>
      </c>
      <c r="I195" s="2" t="s">
        <v>12</v>
      </c>
      <c r="J195" s="2" t="s">
        <v>1464</v>
      </c>
      <c r="K195" s="105">
        <v>438</v>
      </c>
      <c r="L195" s="63">
        <v>0</v>
      </c>
      <c r="M195" s="63"/>
      <c r="N195" s="63"/>
      <c r="O195" s="63"/>
      <c r="P195" s="63"/>
      <c r="Q195" s="63"/>
      <c r="R195" s="100">
        <f t="shared" si="4"/>
        <v>0</v>
      </c>
      <c r="S195" s="100">
        <f t="shared" si="5"/>
        <v>0</v>
      </c>
    </row>
    <row r="196" spans="1:27" ht="19.5" customHeight="1">
      <c r="A196" s="2">
        <v>187</v>
      </c>
      <c r="B196" s="67" t="s">
        <v>809</v>
      </c>
      <c r="C196" s="4"/>
      <c r="D196" s="4"/>
      <c r="E196" s="11" t="s">
        <v>1458</v>
      </c>
      <c r="F196" s="2" t="s">
        <v>1460</v>
      </c>
      <c r="G196" s="2" t="s">
        <v>1449</v>
      </c>
      <c r="H196" s="2" t="s">
        <v>272</v>
      </c>
      <c r="I196" s="2" t="s">
        <v>10</v>
      </c>
      <c r="J196" s="2" t="s">
        <v>1459</v>
      </c>
      <c r="K196" s="105">
        <v>414</v>
      </c>
      <c r="L196" s="63">
        <v>2500</v>
      </c>
      <c r="M196" s="63"/>
      <c r="N196" s="63"/>
      <c r="O196" s="63"/>
      <c r="P196" s="63"/>
      <c r="Q196" s="63"/>
      <c r="R196" s="100">
        <f t="shared" si="4"/>
        <v>2500</v>
      </c>
      <c r="S196" s="100">
        <f t="shared" si="5"/>
        <v>-2500</v>
      </c>
    </row>
    <row r="197" spans="1:27" ht="19.5" customHeight="1">
      <c r="A197" s="2">
        <v>188</v>
      </c>
      <c r="B197" s="11" t="s">
        <v>809</v>
      </c>
      <c r="C197" s="11"/>
      <c r="D197" s="11"/>
      <c r="E197" s="11" t="s">
        <v>1458</v>
      </c>
      <c r="F197" s="2" t="s">
        <v>1460</v>
      </c>
      <c r="G197" s="2" t="s">
        <v>1449</v>
      </c>
      <c r="H197" s="2" t="s">
        <v>272</v>
      </c>
      <c r="I197" s="2" t="s">
        <v>10</v>
      </c>
      <c r="J197" s="2" t="s">
        <v>1459</v>
      </c>
      <c r="K197" s="105">
        <v>440</v>
      </c>
      <c r="L197" s="63">
        <v>0</v>
      </c>
      <c r="M197" s="63"/>
      <c r="N197" s="63"/>
      <c r="O197" s="63"/>
      <c r="P197" s="63"/>
      <c r="Q197" s="63"/>
      <c r="R197" s="100">
        <f t="shared" si="4"/>
        <v>0</v>
      </c>
      <c r="S197" s="100">
        <f t="shared" si="5"/>
        <v>0</v>
      </c>
    </row>
    <row r="198" spans="1:27" ht="19.5" customHeight="1">
      <c r="A198" s="2">
        <v>189</v>
      </c>
      <c r="B198" s="67" t="s">
        <v>809</v>
      </c>
      <c r="C198" s="4"/>
      <c r="D198" s="4"/>
      <c r="E198" s="11" t="s">
        <v>1461</v>
      </c>
      <c r="F198" s="2" t="s">
        <v>1462</v>
      </c>
      <c r="G198" s="2" t="s">
        <v>1449</v>
      </c>
      <c r="H198" s="2" t="s">
        <v>225</v>
      </c>
      <c r="I198" s="2" t="s">
        <v>10</v>
      </c>
      <c r="J198" s="2" t="s">
        <v>1459</v>
      </c>
      <c r="K198" s="105">
        <v>673</v>
      </c>
      <c r="L198" s="63">
        <v>0</v>
      </c>
      <c r="M198" s="63"/>
      <c r="N198" s="63"/>
      <c r="O198" s="63"/>
      <c r="P198" s="63"/>
      <c r="Q198" s="63"/>
      <c r="R198" s="100">
        <f t="shared" si="4"/>
        <v>0</v>
      </c>
      <c r="S198" s="100">
        <f t="shared" si="5"/>
        <v>0</v>
      </c>
    </row>
    <row r="199" spans="1:27" ht="19.5" customHeight="1">
      <c r="A199" s="2">
        <v>190</v>
      </c>
      <c r="B199" s="11" t="s">
        <v>809</v>
      </c>
      <c r="C199" s="11"/>
      <c r="D199" s="11"/>
      <c r="E199" s="11" t="s">
        <v>1608</v>
      </c>
      <c r="F199" s="2" t="s">
        <v>2804</v>
      </c>
      <c r="G199" s="2" t="s">
        <v>463</v>
      </c>
      <c r="H199" s="2" t="s">
        <v>272</v>
      </c>
      <c r="I199" s="2" t="s">
        <v>11</v>
      </c>
      <c r="J199" s="2" t="s">
        <v>1600</v>
      </c>
      <c r="K199" s="105">
        <v>945</v>
      </c>
      <c r="L199" s="63">
        <v>0</v>
      </c>
      <c r="M199" s="63"/>
      <c r="N199" s="63"/>
      <c r="O199" s="63"/>
      <c r="P199" s="63"/>
      <c r="Q199" s="63"/>
      <c r="R199" s="100">
        <f t="shared" si="4"/>
        <v>0</v>
      </c>
      <c r="S199" s="100">
        <f t="shared" si="5"/>
        <v>0</v>
      </c>
    </row>
    <row r="200" spans="1:27" ht="19.5" customHeight="1">
      <c r="A200" s="2">
        <v>191</v>
      </c>
      <c r="B200" s="67" t="s">
        <v>809</v>
      </c>
      <c r="C200" s="4"/>
      <c r="D200" s="4"/>
      <c r="E200" s="11" t="s">
        <v>1608</v>
      </c>
      <c r="F200" s="2" t="s">
        <v>1609</v>
      </c>
      <c r="G200" s="2" t="s">
        <v>463</v>
      </c>
      <c r="H200" s="2" t="s">
        <v>272</v>
      </c>
      <c r="I200" s="2" t="s">
        <v>11</v>
      </c>
      <c r="J200" s="2" t="s">
        <v>1600</v>
      </c>
      <c r="K200" s="105">
        <v>1000</v>
      </c>
      <c r="L200" s="63">
        <v>0</v>
      </c>
      <c r="M200" s="63"/>
      <c r="N200" s="63"/>
      <c r="O200" s="63"/>
      <c r="P200" s="63"/>
      <c r="Q200" s="63"/>
      <c r="R200" s="100">
        <f t="shared" si="4"/>
        <v>0</v>
      </c>
      <c r="S200" s="100">
        <f t="shared" si="5"/>
        <v>0</v>
      </c>
    </row>
    <row r="201" spans="1:27" ht="19.5" customHeight="1">
      <c r="A201" s="2">
        <v>192</v>
      </c>
      <c r="B201" s="65" t="s">
        <v>809</v>
      </c>
      <c r="C201" s="11"/>
      <c r="D201" s="11"/>
      <c r="E201" s="65" t="s">
        <v>2805</v>
      </c>
      <c r="F201" s="2" t="s">
        <v>2806</v>
      </c>
      <c r="G201" s="2" t="s">
        <v>463</v>
      </c>
      <c r="H201" s="66" t="s">
        <v>225</v>
      </c>
      <c r="I201" s="2" t="s">
        <v>11</v>
      </c>
      <c r="J201" s="2" t="s">
        <v>1600</v>
      </c>
      <c r="K201" s="105">
        <v>1400</v>
      </c>
      <c r="L201" s="63">
        <v>0</v>
      </c>
      <c r="M201" s="63"/>
      <c r="N201" s="63"/>
      <c r="O201" s="63"/>
      <c r="P201" s="63"/>
      <c r="Q201" s="63"/>
      <c r="R201" s="100">
        <f t="shared" si="4"/>
        <v>0</v>
      </c>
      <c r="S201" s="100">
        <f t="shared" si="5"/>
        <v>0</v>
      </c>
    </row>
    <row r="202" spans="1:27" ht="19.5" customHeight="1">
      <c r="A202" s="2">
        <v>193</v>
      </c>
      <c r="B202" s="11" t="s">
        <v>802</v>
      </c>
      <c r="C202" s="11"/>
      <c r="D202" s="11"/>
      <c r="E202" s="11" t="s">
        <v>2460</v>
      </c>
      <c r="F202" s="2" t="s">
        <v>2807</v>
      </c>
      <c r="G202" s="2" t="s">
        <v>2682</v>
      </c>
      <c r="H202" s="2" t="s">
        <v>965</v>
      </c>
      <c r="I202" s="2" t="s">
        <v>11</v>
      </c>
      <c r="J202" s="2" t="s">
        <v>1710</v>
      </c>
      <c r="K202" s="105">
        <v>2477</v>
      </c>
      <c r="L202" s="63">
        <v>3128</v>
      </c>
      <c r="M202" s="63"/>
      <c r="N202" s="63"/>
      <c r="O202" s="63"/>
      <c r="P202" s="63"/>
      <c r="Q202" s="63"/>
      <c r="R202" s="100">
        <f t="shared" si="4"/>
        <v>3128</v>
      </c>
      <c r="S202" s="100">
        <f t="shared" si="5"/>
        <v>-3128</v>
      </c>
    </row>
    <row r="203" spans="1:27" ht="19.5" customHeight="1">
      <c r="A203" s="2">
        <v>194</v>
      </c>
      <c r="B203" s="67" t="s">
        <v>802</v>
      </c>
      <c r="C203" s="4"/>
      <c r="D203" s="4"/>
      <c r="E203" s="11" t="s">
        <v>807</v>
      </c>
      <c r="F203" s="2" t="s">
        <v>808</v>
      </c>
      <c r="G203" s="2" t="s">
        <v>806</v>
      </c>
      <c r="H203" s="2" t="s">
        <v>225</v>
      </c>
      <c r="I203" s="2" t="s">
        <v>11</v>
      </c>
      <c r="J203" s="2" t="s">
        <v>804</v>
      </c>
      <c r="K203" s="105">
        <v>2783</v>
      </c>
      <c r="L203" s="63">
        <v>1500</v>
      </c>
      <c r="M203" s="63"/>
      <c r="N203" s="63"/>
      <c r="O203" s="63"/>
      <c r="P203" s="63"/>
      <c r="Q203" s="63"/>
      <c r="R203" s="100">
        <f t="shared" ref="R203:R266" si="6">L203+M203-O203</f>
        <v>1500</v>
      </c>
      <c r="S203" s="100">
        <f t="shared" ref="S203:S266" si="7">Q203-R203</f>
        <v>-1500</v>
      </c>
    </row>
    <row r="204" spans="1:27" ht="19.5" customHeight="1">
      <c r="A204" s="2">
        <v>195</v>
      </c>
      <c r="B204" s="67" t="s">
        <v>813</v>
      </c>
      <c r="C204" s="11"/>
      <c r="D204" s="11"/>
      <c r="E204" s="11" t="s">
        <v>2808</v>
      </c>
      <c r="F204" s="2" t="s">
        <v>1622</v>
      </c>
      <c r="G204" s="2" t="s">
        <v>463</v>
      </c>
      <c r="H204" s="2" t="s">
        <v>258</v>
      </c>
      <c r="I204" s="2" t="s">
        <v>11</v>
      </c>
      <c r="J204" s="2" t="s">
        <v>1621</v>
      </c>
      <c r="K204" s="105">
        <v>6000</v>
      </c>
      <c r="L204" s="63">
        <v>8922</v>
      </c>
      <c r="M204" s="63"/>
      <c r="N204" s="63"/>
      <c r="O204" s="63"/>
      <c r="P204" s="63"/>
      <c r="Q204" s="63"/>
      <c r="R204" s="100">
        <f t="shared" si="6"/>
        <v>8922</v>
      </c>
      <c r="S204" s="100">
        <f t="shared" si="7"/>
        <v>-8922</v>
      </c>
    </row>
    <row r="205" spans="1:27" ht="19.5" customHeight="1">
      <c r="A205" s="2">
        <v>196</v>
      </c>
      <c r="B205" s="67" t="s">
        <v>784</v>
      </c>
      <c r="C205" s="4"/>
      <c r="D205" s="4"/>
      <c r="E205" s="11" t="s">
        <v>785</v>
      </c>
      <c r="F205" s="2" t="s">
        <v>786</v>
      </c>
      <c r="G205" s="2" t="s">
        <v>787</v>
      </c>
      <c r="H205" s="2" t="s">
        <v>422</v>
      </c>
      <c r="I205" s="2" t="s">
        <v>520</v>
      </c>
      <c r="J205" s="2" t="s">
        <v>241</v>
      </c>
      <c r="K205" s="105">
        <v>101430</v>
      </c>
      <c r="L205" s="63">
        <v>209</v>
      </c>
      <c r="M205" s="63"/>
      <c r="N205" s="63"/>
      <c r="O205" s="63"/>
      <c r="P205" s="63"/>
      <c r="Q205" s="63"/>
      <c r="R205" s="100">
        <f t="shared" si="6"/>
        <v>209</v>
      </c>
      <c r="S205" s="100">
        <f t="shared" si="7"/>
        <v>-209</v>
      </c>
    </row>
    <row r="206" spans="1:27" ht="19.5" customHeight="1">
      <c r="A206" s="2">
        <v>197</v>
      </c>
      <c r="B206" s="11" t="s">
        <v>1318</v>
      </c>
      <c r="C206" s="11"/>
      <c r="D206" s="11"/>
      <c r="E206" s="65" t="s">
        <v>2809</v>
      </c>
      <c r="F206" s="2" t="s">
        <v>2810</v>
      </c>
      <c r="G206" s="2" t="s">
        <v>2380</v>
      </c>
      <c r="H206" s="2" t="s">
        <v>238</v>
      </c>
      <c r="I206" s="2" t="s">
        <v>11</v>
      </c>
      <c r="J206" s="2" t="s">
        <v>1710</v>
      </c>
      <c r="K206" s="105">
        <v>53</v>
      </c>
      <c r="L206" s="63">
        <v>0</v>
      </c>
      <c r="M206" s="63"/>
      <c r="N206" s="63"/>
      <c r="O206" s="63"/>
      <c r="P206" s="63"/>
      <c r="Q206" s="63"/>
      <c r="R206" s="100">
        <f t="shared" si="6"/>
        <v>0</v>
      </c>
      <c r="S206" s="100">
        <f t="shared" si="7"/>
        <v>0</v>
      </c>
    </row>
    <row r="207" spans="1:27" ht="19.5" customHeight="1">
      <c r="A207" s="2">
        <v>198</v>
      </c>
      <c r="B207" s="65" t="s">
        <v>729</v>
      </c>
      <c r="C207" s="11"/>
      <c r="D207" s="11"/>
      <c r="E207" s="65" t="s">
        <v>2461</v>
      </c>
      <c r="F207" s="2" t="s">
        <v>2811</v>
      </c>
      <c r="G207" s="2" t="s">
        <v>2803</v>
      </c>
      <c r="H207" s="66" t="s">
        <v>17</v>
      </c>
      <c r="I207" s="2" t="s">
        <v>11</v>
      </c>
      <c r="J207" s="2" t="s">
        <v>1710</v>
      </c>
      <c r="K207" s="105">
        <v>455</v>
      </c>
      <c r="L207" s="63">
        <v>3655</v>
      </c>
      <c r="M207" s="63"/>
      <c r="N207" s="63"/>
      <c r="O207" s="63"/>
      <c r="P207" s="63"/>
      <c r="Q207" s="63"/>
      <c r="R207" s="100">
        <f t="shared" si="6"/>
        <v>3655</v>
      </c>
      <c r="S207" s="100">
        <f t="shared" si="7"/>
        <v>-3655</v>
      </c>
    </row>
    <row r="208" spans="1:27" ht="19.5" customHeight="1">
      <c r="A208" s="2">
        <v>199</v>
      </c>
      <c r="B208" s="11" t="s">
        <v>286</v>
      </c>
      <c r="C208" s="11"/>
      <c r="D208" s="11"/>
      <c r="E208" s="11" t="s">
        <v>2462</v>
      </c>
      <c r="F208" s="2" t="s">
        <v>2812</v>
      </c>
      <c r="G208" s="2" t="s">
        <v>2803</v>
      </c>
      <c r="H208" s="2" t="s">
        <v>225</v>
      </c>
      <c r="I208" s="2" t="s">
        <v>11</v>
      </c>
      <c r="J208" s="2" t="s">
        <v>1710</v>
      </c>
      <c r="K208" s="105">
        <v>770</v>
      </c>
      <c r="L208" s="63">
        <v>7009</v>
      </c>
      <c r="M208" s="63"/>
      <c r="N208" s="63"/>
      <c r="O208" s="63"/>
      <c r="P208" s="63"/>
      <c r="Q208" s="63"/>
      <c r="R208" s="100">
        <f t="shared" si="6"/>
        <v>7009</v>
      </c>
      <c r="S208" s="100">
        <f t="shared" si="7"/>
        <v>-7009</v>
      </c>
    </row>
    <row r="209" spans="1:27" ht="19.5" customHeight="1">
      <c r="A209" s="2">
        <v>200</v>
      </c>
      <c r="B209" s="11" t="s">
        <v>2315</v>
      </c>
      <c r="C209" s="4"/>
      <c r="D209" s="4"/>
      <c r="E209" s="11" t="s">
        <v>57</v>
      </c>
      <c r="F209" s="2" t="s">
        <v>2317</v>
      </c>
      <c r="G209" s="2" t="s">
        <v>2318</v>
      </c>
      <c r="H209" s="2" t="s">
        <v>58</v>
      </c>
      <c r="I209" s="2" t="s">
        <v>13</v>
      </c>
      <c r="J209" s="2" t="s">
        <v>2316</v>
      </c>
      <c r="K209" s="105">
        <v>17500</v>
      </c>
      <c r="L209" s="63">
        <v>2195</v>
      </c>
      <c r="M209" s="63"/>
      <c r="N209" s="63"/>
      <c r="O209" s="63"/>
      <c r="P209" s="63"/>
      <c r="Q209" s="63"/>
      <c r="R209" s="100">
        <f t="shared" si="6"/>
        <v>2195</v>
      </c>
      <c r="S209" s="100">
        <f t="shared" si="7"/>
        <v>-2195</v>
      </c>
    </row>
    <row r="210" spans="1:27" ht="19.5" customHeight="1">
      <c r="A210" s="2">
        <v>201</v>
      </c>
      <c r="B210" s="67" t="s">
        <v>2272</v>
      </c>
      <c r="C210" s="4"/>
      <c r="D210" s="4"/>
      <c r="E210" s="11" t="s">
        <v>2273</v>
      </c>
      <c r="F210" s="2" t="s">
        <v>2275</v>
      </c>
      <c r="G210" s="2" t="s">
        <v>2253</v>
      </c>
      <c r="H210" s="2" t="s">
        <v>2274</v>
      </c>
      <c r="I210" s="2" t="s">
        <v>16</v>
      </c>
      <c r="J210" s="2" t="s">
        <v>2250</v>
      </c>
      <c r="K210" s="105">
        <v>1200</v>
      </c>
      <c r="L210" s="63">
        <v>0</v>
      </c>
      <c r="M210" s="63"/>
      <c r="N210" s="63"/>
      <c r="O210" s="63"/>
      <c r="P210" s="63"/>
      <c r="Q210" s="63"/>
      <c r="R210" s="100">
        <f t="shared" si="6"/>
        <v>0</v>
      </c>
      <c r="S210" s="100">
        <f t="shared" si="7"/>
        <v>0</v>
      </c>
    </row>
    <row r="211" spans="1:27" ht="19.5" customHeight="1">
      <c r="A211" s="2">
        <v>202</v>
      </c>
      <c r="B211" s="11" t="s">
        <v>2338</v>
      </c>
      <c r="C211" s="4"/>
      <c r="D211" s="4"/>
      <c r="E211" s="11" t="s">
        <v>59</v>
      </c>
      <c r="F211" s="79" t="s">
        <v>2339</v>
      </c>
      <c r="G211" s="79" t="s">
        <v>1567</v>
      </c>
      <c r="H211" s="2" t="s">
        <v>60</v>
      </c>
      <c r="I211" s="2" t="s">
        <v>10</v>
      </c>
      <c r="J211" s="2" t="s">
        <v>884</v>
      </c>
      <c r="K211" s="105">
        <v>735</v>
      </c>
      <c r="L211" s="63">
        <v>9170</v>
      </c>
      <c r="M211" s="63"/>
      <c r="N211" s="63"/>
      <c r="O211" s="63"/>
      <c r="P211" s="63"/>
      <c r="Q211" s="63"/>
      <c r="R211" s="100">
        <f t="shared" si="6"/>
        <v>9170</v>
      </c>
      <c r="S211" s="100">
        <f t="shared" si="7"/>
        <v>-9170</v>
      </c>
    </row>
    <row r="212" spans="1:27" ht="19.5" customHeight="1">
      <c r="A212" s="2">
        <v>203</v>
      </c>
      <c r="B212" s="77" t="s">
        <v>2813</v>
      </c>
      <c r="C212" s="4"/>
      <c r="D212" s="4"/>
      <c r="E212" s="77" t="s">
        <v>2814</v>
      </c>
      <c r="F212" s="5" t="s">
        <v>2815</v>
      </c>
      <c r="G212" s="5" t="s">
        <v>2816</v>
      </c>
      <c r="H212" s="5" t="s">
        <v>2817</v>
      </c>
      <c r="I212" s="5" t="s">
        <v>10</v>
      </c>
      <c r="J212" s="5" t="s">
        <v>1350</v>
      </c>
      <c r="K212" s="105">
        <v>1995</v>
      </c>
      <c r="L212" s="63"/>
      <c r="M212" s="63"/>
      <c r="N212" s="63"/>
      <c r="O212" s="63"/>
      <c r="P212" s="63"/>
      <c r="Q212" s="63"/>
      <c r="R212" s="100">
        <f t="shared" si="6"/>
        <v>0</v>
      </c>
      <c r="S212" s="100">
        <f t="shared" si="7"/>
        <v>0</v>
      </c>
      <c r="T212" s="37"/>
      <c r="U212" s="37"/>
      <c r="V212" s="37"/>
      <c r="W212" s="37"/>
      <c r="X212" s="37"/>
      <c r="Y212" s="37"/>
      <c r="Z212" s="37"/>
      <c r="AA212" s="37"/>
    </row>
    <row r="213" spans="1:27" ht="19.5" customHeight="1">
      <c r="A213" s="2">
        <v>204</v>
      </c>
      <c r="B213" s="64" t="s">
        <v>274</v>
      </c>
      <c r="C213" s="3"/>
      <c r="D213" s="3"/>
      <c r="E213" s="11" t="s">
        <v>304</v>
      </c>
      <c r="F213" s="2" t="s">
        <v>307</v>
      </c>
      <c r="G213" s="2" t="s">
        <v>308</v>
      </c>
      <c r="H213" s="2" t="s">
        <v>305</v>
      </c>
      <c r="I213" s="2" t="s">
        <v>14</v>
      </c>
      <c r="J213" s="2" t="s">
        <v>306</v>
      </c>
      <c r="K213" s="105">
        <v>69000</v>
      </c>
      <c r="L213" s="63">
        <v>68</v>
      </c>
      <c r="M213" s="63"/>
      <c r="N213" s="63"/>
      <c r="O213" s="63"/>
      <c r="P213" s="63"/>
      <c r="Q213" s="63"/>
      <c r="R213" s="100">
        <f t="shared" si="6"/>
        <v>68</v>
      </c>
      <c r="S213" s="100">
        <f t="shared" si="7"/>
        <v>-68</v>
      </c>
    </row>
    <row r="214" spans="1:27" ht="19.5" customHeight="1">
      <c r="A214" s="2">
        <v>205</v>
      </c>
      <c r="B214" s="65" t="s">
        <v>417</v>
      </c>
      <c r="C214" s="11"/>
      <c r="D214" s="11"/>
      <c r="E214" s="65" t="s">
        <v>2818</v>
      </c>
      <c r="F214" s="2" t="s">
        <v>2819</v>
      </c>
      <c r="G214" s="2" t="s">
        <v>2820</v>
      </c>
      <c r="H214" s="66" t="s">
        <v>262</v>
      </c>
      <c r="I214" s="2" t="s">
        <v>11</v>
      </c>
      <c r="J214" s="2" t="s">
        <v>642</v>
      </c>
      <c r="K214" s="105">
        <v>273</v>
      </c>
      <c r="L214" s="63">
        <v>0</v>
      </c>
      <c r="M214" s="63"/>
      <c r="N214" s="63"/>
      <c r="O214" s="63"/>
      <c r="P214" s="63"/>
      <c r="Q214" s="63"/>
      <c r="R214" s="100">
        <f t="shared" si="6"/>
        <v>0</v>
      </c>
      <c r="S214" s="100">
        <f t="shared" si="7"/>
        <v>0</v>
      </c>
    </row>
    <row r="215" spans="1:27" ht="19.5" customHeight="1">
      <c r="A215" s="2">
        <v>206</v>
      </c>
      <c r="B215" s="11" t="s">
        <v>417</v>
      </c>
      <c r="C215" s="4"/>
      <c r="D215" s="4"/>
      <c r="E215" s="11" t="s">
        <v>1623</v>
      </c>
      <c r="F215" s="2" t="s">
        <v>1624</v>
      </c>
      <c r="G215" s="2" t="s">
        <v>473</v>
      </c>
      <c r="H215" s="2" t="s">
        <v>262</v>
      </c>
      <c r="I215" s="2" t="s">
        <v>11</v>
      </c>
      <c r="J215" s="2" t="s">
        <v>2700</v>
      </c>
      <c r="K215" s="105">
        <v>222</v>
      </c>
      <c r="L215" s="63">
        <v>903</v>
      </c>
      <c r="M215" s="63"/>
      <c r="N215" s="63"/>
      <c r="O215" s="63"/>
      <c r="P215" s="63"/>
      <c r="Q215" s="63"/>
      <c r="R215" s="100">
        <f t="shared" si="6"/>
        <v>903</v>
      </c>
      <c r="S215" s="100">
        <f t="shared" si="7"/>
        <v>-903</v>
      </c>
    </row>
    <row r="216" spans="1:27" ht="19.5" customHeight="1">
      <c r="A216" s="2">
        <v>207</v>
      </c>
      <c r="B216" s="11" t="s">
        <v>1321</v>
      </c>
      <c r="C216" s="11"/>
      <c r="D216" s="11"/>
      <c r="E216" s="11" t="s">
        <v>1321</v>
      </c>
      <c r="F216" s="2" t="s">
        <v>2821</v>
      </c>
      <c r="G216" s="2" t="s">
        <v>360</v>
      </c>
      <c r="H216" s="2" t="s">
        <v>248</v>
      </c>
      <c r="I216" s="2" t="s">
        <v>11</v>
      </c>
      <c r="J216" s="2" t="s">
        <v>642</v>
      </c>
      <c r="K216" s="105">
        <v>46</v>
      </c>
      <c r="L216" s="63">
        <v>13</v>
      </c>
      <c r="M216" s="63"/>
      <c r="N216" s="63"/>
      <c r="O216" s="63"/>
      <c r="P216" s="63"/>
      <c r="Q216" s="63"/>
      <c r="R216" s="100">
        <f t="shared" si="6"/>
        <v>13</v>
      </c>
      <c r="S216" s="100">
        <f t="shared" si="7"/>
        <v>-13</v>
      </c>
    </row>
    <row r="217" spans="1:27" ht="19.5" customHeight="1">
      <c r="A217" s="2">
        <v>208</v>
      </c>
      <c r="B217" s="11" t="s">
        <v>1321</v>
      </c>
      <c r="C217" s="4"/>
      <c r="D217" s="4"/>
      <c r="E217" s="11" t="s">
        <v>1321</v>
      </c>
      <c r="F217" s="2" t="s">
        <v>1322</v>
      </c>
      <c r="G217" s="2" t="s">
        <v>360</v>
      </c>
      <c r="H217" s="2" t="s">
        <v>248</v>
      </c>
      <c r="I217" s="2" t="s">
        <v>11</v>
      </c>
      <c r="J217" s="2" t="s">
        <v>642</v>
      </c>
      <c r="K217" s="105">
        <v>47</v>
      </c>
      <c r="L217" s="63">
        <v>6102</v>
      </c>
      <c r="M217" s="63"/>
      <c r="N217" s="63"/>
      <c r="O217" s="63"/>
      <c r="P217" s="63"/>
      <c r="Q217" s="63"/>
      <c r="R217" s="100">
        <f t="shared" si="6"/>
        <v>6102</v>
      </c>
      <c r="S217" s="100">
        <f t="shared" si="7"/>
        <v>-6102</v>
      </c>
    </row>
    <row r="218" spans="1:27" ht="19.5" customHeight="1">
      <c r="A218" s="2">
        <v>209</v>
      </c>
      <c r="B218" s="11" t="s">
        <v>2464</v>
      </c>
      <c r="C218" s="11"/>
      <c r="D218" s="11"/>
      <c r="E218" s="11" t="s">
        <v>2463</v>
      </c>
      <c r="F218" s="2" t="s">
        <v>2822</v>
      </c>
      <c r="G218" s="2" t="s">
        <v>2823</v>
      </c>
      <c r="H218" s="2" t="s">
        <v>2465</v>
      </c>
      <c r="I218" s="2" t="s">
        <v>11</v>
      </c>
      <c r="J218" s="2" t="s">
        <v>642</v>
      </c>
      <c r="K218" s="105">
        <v>5964</v>
      </c>
      <c r="L218" s="63">
        <v>1071</v>
      </c>
      <c r="M218" s="63"/>
      <c r="N218" s="63"/>
      <c r="O218" s="63"/>
      <c r="P218" s="63"/>
      <c r="Q218" s="63"/>
      <c r="R218" s="100">
        <f t="shared" si="6"/>
        <v>1071</v>
      </c>
      <c r="S218" s="100">
        <f t="shared" si="7"/>
        <v>-1071</v>
      </c>
    </row>
    <row r="219" spans="1:27" ht="19.5" customHeight="1">
      <c r="A219" s="2">
        <v>210</v>
      </c>
      <c r="B219" s="11" t="s">
        <v>274</v>
      </c>
      <c r="C219" s="11"/>
      <c r="D219" s="11"/>
      <c r="E219" s="11" t="s">
        <v>302</v>
      </c>
      <c r="F219" s="2" t="s">
        <v>303</v>
      </c>
      <c r="G219" s="2" t="s">
        <v>293</v>
      </c>
      <c r="H219" s="2" t="s">
        <v>435</v>
      </c>
      <c r="I219" s="2" t="s">
        <v>14</v>
      </c>
      <c r="J219" s="2" t="s">
        <v>2824</v>
      </c>
      <c r="K219" s="105">
        <v>246960</v>
      </c>
      <c r="L219" s="63">
        <v>3</v>
      </c>
      <c r="M219" s="63"/>
      <c r="N219" s="63"/>
      <c r="O219" s="63"/>
      <c r="P219" s="63"/>
      <c r="Q219" s="63"/>
      <c r="R219" s="100">
        <f t="shared" si="6"/>
        <v>3</v>
      </c>
      <c r="S219" s="100">
        <f t="shared" si="7"/>
        <v>-3</v>
      </c>
    </row>
    <row r="220" spans="1:27" ht="19.5" customHeight="1">
      <c r="A220" s="2">
        <v>211</v>
      </c>
      <c r="B220" s="11" t="s">
        <v>274</v>
      </c>
      <c r="C220" s="11"/>
      <c r="D220" s="11"/>
      <c r="E220" s="11" t="s">
        <v>300</v>
      </c>
      <c r="F220" s="2" t="s">
        <v>301</v>
      </c>
      <c r="G220" s="2" t="s">
        <v>293</v>
      </c>
      <c r="H220" s="2" t="s">
        <v>225</v>
      </c>
      <c r="I220" s="2" t="s">
        <v>10</v>
      </c>
      <c r="J220" s="2" t="s">
        <v>647</v>
      </c>
      <c r="K220" s="105">
        <v>13913</v>
      </c>
      <c r="L220" s="63">
        <v>675</v>
      </c>
      <c r="M220" s="63"/>
      <c r="N220" s="63"/>
      <c r="O220" s="63"/>
      <c r="P220" s="63"/>
      <c r="Q220" s="63"/>
      <c r="R220" s="100">
        <f t="shared" si="6"/>
        <v>675</v>
      </c>
      <c r="S220" s="100">
        <f t="shared" si="7"/>
        <v>-675</v>
      </c>
    </row>
    <row r="221" spans="1:27" ht="19.5" customHeight="1">
      <c r="A221" s="2">
        <v>212</v>
      </c>
      <c r="B221" s="64" t="s">
        <v>274</v>
      </c>
      <c r="C221" s="3"/>
      <c r="D221" s="3"/>
      <c r="E221" s="11" t="s">
        <v>274</v>
      </c>
      <c r="F221" s="2" t="s">
        <v>373</v>
      </c>
      <c r="G221" s="2" t="s">
        <v>360</v>
      </c>
      <c r="H221" s="2" t="s">
        <v>225</v>
      </c>
      <c r="I221" s="2" t="s">
        <v>10</v>
      </c>
      <c r="J221" s="2" t="s">
        <v>647</v>
      </c>
      <c r="K221" s="105">
        <v>394</v>
      </c>
      <c r="L221" s="63">
        <v>1505</v>
      </c>
      <c r="M221" s="63"/>
      <c r="N221" s="63"/>
      <c r="O221" s="63"/>
      <c r="P221" s="63"/>
      <c r="Q221" s="63"/>
      <c r="R221" s="100">
        <f t="shared" si="6"/>
        <v>1505</v>
      </c>
      <c r="S221" s="100">
        <f t="shared" si="7"/>
        <v>-1505</v>
      </c>
    </row>
    <row r="222" spans="1:27" ht="19.5" customHeight="1">
      <c r="A222" s="2">
        <v>213</v>
      </c>
      <c r="B222" s="11" t="s">
        <v>274</v>
      </c>
      <c r="C222" s="11"/>
      <c r="D222" s="11"/>
      <c r="E222" s="11" t="s">
        <v>274</v>
      </c>
      <c r="F222" s="2" t="s">
        <v>373</v>
      </c>
      <c r="G222" s="2" t="s">
        <v>360</v>
      </c>
      <c r="H222" s="2" t="s">
        <v>225</v>
      </c>
      <c r="I222" s="2" t="s">
        <v>10</v>
      </c>
      <c r="J222" s="2" t="s">
        <v>647</v>
      </c>
      <c r="K222" s="105">
        <v>477</v>
      </c>
      <c r="L222" s="63">
        <v>0</v>
      </c>
      <c r="M222" s="63"/>
      <c r="N222" s="63"/>
      <c r="O222" s="63"/>
      <c r="P222" s="63"/>
      <c r="Q222" s="63"/>
      <c r="R222" s="100">
        <f t="shared" si="6"/>
        <v>0</v>
      </c>
      <c r="S222" s="100">
        <f t="shared" si="7"/>
        <v>0</v>
      </c>
    </row>
    <row r="223" spans="1:27" ht="19.5" customHeight="1">
      <c r="A223" s="2">
        <v>214</v>
      </c>
      <c r="B223" s="64" t="s">
        <v>274</v>
      </c>
      <c r="C223" s="3"/>
      <c r="D223" s="3"/>
      <c r="E223" s="11" t="s">
        <v>275</v>
      </c>
      <c r="F223" s="2" t="s">
        <v>278</v>
      </c>
      <c r="G223" s="2" t="s">
        <v>279</v>
      </c>
      <c r="H223" s="2" t="s">
        <v>276</v>
      </c>
      <c r="I223" s="2" t="s">
        <v>15</v>
      </c>
      <c r="J223" s="2" t="s">
        <v>277</v>
      </c>
      <c r="K223" s="105">
        <v>53950</v>
      </c>
      <c r="L223" s="63">
        <v>0</v>
      </c>
      <c r="M223" s="63"/>
      <c r="N223" s="63"/>
      <c r="O223" s="63"/>
      <c r="P223" s="63"/>
      <c r="Q223" s="63"/>
      <c r="R223" s="100">
        <f t="shared" si="6"/>
        <v>0</v>
      </c>
      <c r="S223" s="100">
        <f t="shared" si="7"/>
        <v>0</v>
      </c>
    </row>
    <row r="224" spans="1:27" ht="19.5" customHeight="1">
      <c r="A224" s="2">
        <v>215</v>
      </c>
      <c r="B224" s="11" t="s">
        <v>274</v>
      </c>
      <c r="C224" s="11"/>
      <c r="D224" s="11"/>
      <c r="E224" s="11" t="s">
        <v>418</v>
      </c>
      <c r="F224" s="2" t="s">
        <v>419</v>
      </c>
      <c r="G224" s="2" t="s">
        <v>414</v>
      </c>
      <c r="H224" s="2" t="s">
        <v>2825</v>
      </c>
      <c r="I224" s="2" t="s">
        <v>658</v>
      </c>
      <c r="J224" s="2" t="s">
        <v>306</v>
      </c>
      <c r="K224" s="105">
        <v>2646</v>
      </c>
      <c r="L224" s="63">
        <v>0</v>
      </c>
      <c r="M224" s="63"/>
      <c r="N224" s="63"/>
      <c r="O224" s="63"/>
      <c r="P224" s="63"/>
      <c r="Q224" s="63"/>
      <c r="R224" s="100">
        <f t="shared" si="6"/>
        <v>0</v>
      </c>
      <c r="S224" s="100">
        <f t="shared" si="7"/>
        <v>0</v>
      </c>
    </row>
    <row r="225" spans="1:19" ht="19.5" customHeight="1">
      <c r="A225" s="2">
        <v>216</v>
      </c>
      <c r="B225" s="64" t="s">
        <v>274</v>
      </c>
      <c r="C225" s="3"/>
      <c r="D225" s="3"/>
      <c r="E225" s="11" t="s">
        <v>434</v>
      </c>
      <c r="F225" s="2" t="s">
        <v>436</v>
      </c>
      <c r="G225" s="2" t="s">
        <v>437</v>
      </c>
      <c r="H225" s="2" t="s">
        <v>435</v>
      </c>
      <c r="I225" s="2" t="s">
        <v>15</v>
      </c>
      <c r="J225" s="2" t="s">
        <v>241</v>
      </c>
      <c r="K225" s="105">
        <v>18480</v>
      </c>
      <c r="L225" s="63">
        <v>192</v>
      </c>
      <c r="M225" s="63"/>
      <c r="N225" s="63"/>
      <c r="O225" s="63"/>
      <c r="P225" s="63"/>
      <c r="Q225" s="63"/>
      <c r="R225" s="100">
        <f t="shared" si="6"/>
        <v>192</v>
      </c>
      <c r="S225" s="100">
        <f t="shared" si="7"/>
        <v>-192</v>
      </c>
    </row>
    <row r="226" spans="1:19" ht="19.5" customHeight="1">
      <c r="A226" s="2">
        <v>217</v>
      </c>
      <c r="B226" s="11" t="s">
        <v>1084</v>
      </c>
      <c r="C226" s="4"/>
      <c r="D226" s="4"/>
      <c r="E226" s="11" t="s">
        <v>1085</v>
      </c>
      <c r="F226" s="2" t="s">
        <v>1087</v>
      </c>
      <c r="G226" s="2" t="s">
        <v>1088</v>
      </c>
      <c r="H226" s="2" t="s">
        <v>299</v>
      </c>
      <c r="I226" s="2" t="s">
        <v>11</v>
      </c>
      <c r="J226" s="2" t="s">
        <v>1086</v>
      </c>
      <c r="K226" s="105">
        <v>6990</v>
      </c>
      <c r="L226" s="63">
        <v>9029</v>
      </c>
      <c r="M226" s="63"/>
      <c r="N226" s="63"/>
      <c r="O226" s="63"/>
      <c r="P226" s="63"/>
      <c r="Q226" s="63"/>
      <c r="R226" s="100">
        <f t="shared" si="6"/>
        <v>9029</v>
      </c>
      <c r="S226" s="100">
        <f t="shared" si="7"/>
        <v>-9029</v>
      </c>
    </row>
    <row r="227" spans="1:19" ht="19.5" customHeight="1">
      <c r="A227" s="2">
        <v>218</v>
      </c>
      <c r="B227" s="11" t="s">
        <v>1352</v>
      </c>
      <c r="C227" s="4"/>
      <c r="D227" s="4"/>
      <c r="E227" s="11" t="s">
        <v>1353</v>
      </c>
      <c r="F227" s="2" t="s">
        <v>1354</v>
      </c>
      <c r="G227" s="2" t="s">
        <v>360</v>
      </c>
      <c r="H227" s="2" t="s">
        <v>327</v>
      </c>
      <c r="I227" s="2" t="s">
        <v>11</v>
      </c>
      <c r="J227" s="2" t="s">
        <v>647</v>
      </c>
      <c r="K227" s="105">
        <v>218</v>
      </c>
      <c r="L227" s="63">
        <v>6000</v>
      </c>
      <c r="M227" s="63"/>
      <c r="N227" s="63"/>
      <c r="O227" s="63"/>
      <c r="P227" s="63"/>
      <c r="Q227" s="63"/>
      <c r="R227" s="100">
        <f t="shared" si="6"/>
        <v>6000</v>
      </c>
      <c r="S227" s="100">
        <f t="shared" si="7"/>
        <v>-6000</v>
      </c>
    </row>
    <row r="228" spans="1:19" ht="19.5" customHeight="1">
      <c r="A228" s="2">
        <v>219</v>
      </c>
      <c r="B228" s="11" t="s">
        <v>2826</v>
      </c>
      <c r="C228" s="11"/>
      <c r="D228" s="11"/>
      <c r="E228" s="11" t="s">
        <v>1791</v>
      </c>
      <c r="F228" s="2" t="s">
        <v>2827</v>
      </c>
      <c r="G228" s="2" t="s">
        <v>1794</v>
      </c>
      <c r="H228" s="2" t="s">
        <v>1792</v>
      </c>
      <c r="I228" s="2" t="s">
        <v>11</v>
      </c>
      <c r="J228" s="2" t="s">
        <v>647</v>
      </c>
      <c r="K228" s="105">
        <v>4032</v>
      </c>
      <c r="L228" s="63">
        <v>0</v>
      </c>
      <c r="M228" s="63"/>
      <c r="N228" s="63"/>
      <c r="O228" s="63"/>
      <c r="P228" s="63"/>
      <c r="Q228" s="63"/>
      <c r="R228" s="100">
        <f t="shared" si="6"/>
        <v>0</v>
      </c>
      <c r="S228" s="100">
        <f t="shared" si="7"/>
        <v>0</v>
      </c>
    </row>
    <row r="229" spans="1:19" ht="19.5" customHeight="1">
      <c r="A229" s="2">
        <v>220</v>
      </c>
      <c r="B229" s="11" t="s">
        <v>683</v>
      </c>
      <c r="C229" s="4"/>
      <c r="D229" s="4"/>
      <c r="E229" s="11" t="s">
        <v>1791</v>
      </c>
      <c r="F229" s="2" t="s">
        <v>1793</v>
      </c>
      <c r="G229" s="2" t="s">
        <v>1794</v>
      </c>
      <c r="H229" s="2" t="s">
        <v>1792</v>
      </c>
      <c r="I229" s="2" t="s">
        <v>11</v>
      </c>
      <c r="J229" s="2" t="s">
        <v>647</v>
      </c>
      <c r="K229" s="105">
        <v>3990</v>
      </c>
      <c r="L229" s="63">
        <v>4826</v>
      </c>
      <c r="M229" s="63"/>
      <c r="N229" s="63"/>
      <c r="O229" s="63"/>
      <c r="P229" s="63"/>
      <c r="Q229" s="63"/>
      <c r="R229" s="100">
        <f t="shared" si="6"/>
        <v>4826</v>
      </c>
      <c r="S229" s="100">
        <f t="shared" si="7"/>
        <v>-4826</v>
      </c>
    </row>
    <row r="230" spans="1:19" ht="19.5" customHeight="1">
      <c r="A230" s="2">
        <v>221</v>
      </c>
      <c r="B230" s="67" t="s">
        <v>1156</v>
      </c>
      <c r="C230" s="11"/>
      <c r="D230" s="11"/>
      <c r="E230" s="67" t="s">
        <v>1157</v>
      </c>
      <c r="F230" s="2" t="s">
        <v>1158</v>
      </c>
      <c r="G230" s="68" t="s">
        <v>1159</v>
      </c>
      <c r="H230" s="68" t="s">
        <v>262</v>
      </c>
      <c r="I230" s="68" t="s">
        <v>11</v>
      </c>
      <c r="J230" s="68" t="s">
        <v>626</v>
      </c>
      <c r="K230" s="105">
        <v>1750</v>
      </c>
      <c r="L230" s="63">
        <v>5657</v>
      </c>
      <c r="M230" s="63"/>
      <c r="N230" s="63"/>
      <c r="O230" s="63"/>
      <c r="P230" s="63"/>
      <c r="Q230" s="63"/>
      <c r="R230" s="100">
        <f t="shared" si="6"/>
        <v>5657</v>
      </c>
      <c r="S230" s="100">
        <f t="shared" si="7"/>
        <v>-5657</v>
      </c>
    </row>
    <row r="231" spans="1:19" ht="19.5" customHeight="1">
      <c r="A231" s="2">
        <v>222</v>
      </c>
      <c r="B231" s="67" t="s">
        <v>1156</v>
      </c>
      <c r="C231" s="4"/>
      <c r="D231" s="4"/>
      <c r="E231" s="67" t="s">
        <v>1157</v>
      </c>
      <c r="F231" s="68" t="s">
        <v>1158</v>
      </c>
      <c r="G231" s="68" t="s">
        <v>1159</v>
      </c>
      <c r="H231" s="68" t="s">
        <v>262</v>
      </c>
      <c r="I231" s="68" t="s">
        <v>11</v>
      </c>
      <c r="J231" s="68" t="s">
        <v>626</v>
      </c>
      <c r="K231" s="105">
        <v>1800</v>
      </c>
      <c r="L231" s="63">
        <v>6900</v>
      </c>
      <c r="M231" s="63"/>
      <c r="N231" s="63"/>
      <c r="O231" s="63"/>
      <c r="P231" s="63"/>
      <c r="Q231" s="63"/>
      <c r="R231" s="100">
        <f t="shared" si="6"/>
        <v>6900</v>
      </c>
      <c r="S231" s="100">
        <f t="shared" si="7"/>
        <v>-6900</v>
      </c>
    </row>
    <row r="232" spans="1:19" ht="19.5" customHeight="1">
      <c r="A232" s="2">
        <v>223</v>
      </c>
      <c r="B232" s="11" t="s">
        <v>2466</v>
      </c>
      <c r="C232" s="11"/>
      <c r="D232" s="11"/>
      <c r="E232" s="11" t="s">
        <v>1324</v>
      </c>
      <c r="F232" s="2" t="s">
        <v>2828</v>
      </c>
      <c r="G232" s="2" t="s">
        <v>360</v>
      </c>
      <c r="H232" s="2" t="s">
        <v>390</v>
      </c>
      <c r="I232" s="2" t="s">
        <v>11</v>
      </c>
      <c r="J232" s="2" t="s">
        <v>642</v>
      </c>
      <c r="K232" s="105">
        <v>31</v>
      </c>
      <c r="L232" s="63">
        <v>0</v>
      </c>
      <c r="M232" s="63"/>
      <c r="N232" s="63"/>
      <c r="O232" s="63"/>
      <c r="P232" s="63"/>
      <c r="Q232" s="63"/>
      <c r="R232" s="100">
        <f t="shared" si="6"/>
        <v>0</v>
      </c>
      <c r="S232" s="100">
        <f t="shared" si="7"/>
        <v>0</v>
      </c>
    </row>
    <row r="233" spans="1:19" ht="19.5" customHeight="1">
      <c r="A233" s="2">
        <v>224</v>
      </c>
      <c r="B233" s="11" t="s">
        <v>1323</v>
      </c>
      <c r="C233" s="4"/>
      <c r="D233" s="4"/>
      <c r="E233" s="11" t="s">
        <v>1324</v>
      </c>
      <c r="F233" s="2" t="s">
        <v>1325</v>
      </c>
      <c r="G233" s="2" t="s">
        <v>360</v>
      </c>
      <c r="H233" s="2" t="s">
        <v>390</v>
      </c>
      <c r="I233" s="2" t="s">
        <v>11</v>
      </c>
      <c r="J233" s="2" t="s">
        <v>642</v>
      </c>
      <c r="K233" s="105">
        <v>27</v>
      </c>
      <c r="L233" s="63">
        <v>17215</v>
      </c>
      <c r="M233" s="63"/>
      <c r="N233" s="63"/>
      <c r="O233" s="63"/>
      <c r="P233" s="63"/>
      <c r="Q233" s="63"/>
      <c r="R233" s="100">
        <f t="shared" si="6"/>
        <v>17215</v>
      </c>
      <c r="S233" s="100">
        <f t="shared" si="7"/>
        <v>-17215</v>
      </c>
    </row>
    <row r="234" spans="1:19" ht="19.5" customHeight="1">
      <c r="A234" s="2">
        <v>225</v>
      </c>
      <c r="B234" s="67" t="s">
        <v>1466</v>
      </c>
      <c r="C234" s="4"/>
      <c r="D234" s="4"/>
      <c r="E234" s="11" t="s">
        <v>1467</v>
      </c>
      <c r="F234" s="2" t="s">
        <v>1469</v>
      </c>
      <c r="G234" s="2" t="s">
        <v>1449</v>
      </c>
      <c r="H234" s="2" t="s">
        <v>225</v>
      </c>
      <c r="I234" s="2" t="s">
        <v>10</v>
      </c>
      <c r="J234" s="2" t="s">
        <v>1468</v>
      </c>
      <c r="K234" s="105">
        <v>1315</v>
      </c>
      <c r="L234" s="63">
        <v>700</v>
      </c>
      <c r="M234" s="63"/>
      <c r="N234" s="63"/>
      <c r="O234" s="63"/>
      <c r="P234" s="63"/>
      <c r="Q234" s="63"/>
      <c r="R234" s="100">
        <f t="shared" si="6"/>
        <v>700</v>
      </c>
      <c r="S234" s="100">
        <f t="shared" si="7"/>
        <v>-700</v>
      </c>
    </row>
    <row r="235" spans="1:19" ht="19.5" customHeight="1">
      <c r="A235" s="2">
        <v>226</v>
      </c>
      <c r="B235" s="67" t="s">
        <v>851</v>
      </c>
      <c r="C235" s="4"/>
      <c r="D235" s="4"/>
      <c r="E235" s="11" t="s">
        <v>852</v>
      </c>
      <c r="F235" s="2" t="s">
        <v>853</v>
      </c>
      <c r="G235" s="2" t="s">
        <v>854</v>
      </c>
      <c r="H235" s="2" t="s">
        <v>225</v>
      </c>
      <c r="I235" s="2" t="s">
        <v>11</v>
      </c>
      <c r="J235" s="2" t="s">
        <v>1329</v>
      </c>
      <c r="K235" s="105">
        <v>5500</v>
      </c>
      <c r="L235" s="63">
        <v>68</v>
      </c>
      <c r="M235" s="63"/>
      <c r="N235" s="63"/>
      <c r="O235" s="63"/>
      <c r="P235" s="63"/>
      <c r="Q235" s="63"/>
      <c r="R235" s="100">
        <f t="shared" si="6"/>
        <v>68</v>
      </c>
      <c r="S235" s="100">
        <f t="shared" si="7"/>
        <v>-68</v>
      </c>
    </row>
    <row r="236" spans="1:19" ht="19.5" customHeight="1">
      <c r="A236" s="2">
        <v>227</v>
      </c>
      <c r="B236" s="64" t="s">
        <v>260</v>
      </c>
      <c r="C236" s="3"/>
      <c r="D236" s="3"/>
      <c r="E236" s="11" t="s">
        <v>261</v>
      </c>
      <c r="F236" s="2" t="s">
        <v>264</v>
      </c>
      <c r="G236" s="2" t="s">
        <v>255</v>
      </c>
      <c r="H236" s="2" t="s">
        <v>262</v>
      </c>
      <c r="I236" s="2" t="s">
        <v>10</v>
      </c>
      <c r="J236" s="2" t="s">
        <v>1350</v>
      </c>
      <c r="K236" s="105">
        <v>1638</v>
      </c>
      <c r="L236" s="63">
        <v>3232</v>
      </c>
      <c r="M236" s="63"/>
      <c r="N236" s="63"/>
      <c r="O236" s="63"/>
      <c r="P236" s="63"/>
      <c r="Q236" s="63"/>
      <c r="R236" s="100">
        <f t="shared" si="6"/>
        <v>3232</v>
      </c>
      <c r="S236" s="100">
        <f t="shared" si="7"/>
        <v>-3232</v>
      </c>
    </row>
    <row r="237" spans="1:19" ht="19.5" customHeight="1">
      <c r="A237" s="2">
        <v>228</v>
      </c>
      <c r="B237" s="11" t="s">
        <v>2150</v>
      </c>
      <c r="C237" s="4"/>
      <c r="D237" s="4"/>
      <c r="E237" s="11" t="s">
        <v>61</v>
      </c>
      <c r="F237" s="7" t="s">
        <v>2151</v>
      </c>
      <c r="G237" s="2" t="s">
        <v>2152</v>
      </c>
      <c r="H237" s="17" t="s">
        <v>62</v>
      </c>
      <c r="I237" s="2" t="s">
        <v>12</v>
      </c>
      <c r="J237" s="2" t="s">
        <v>2829</v>
      </c>
      <c r="K237" s="105">
        <v>5000</v>
      </c>
      <c r="L237" s="63">
        <v>0</v>
      </c>
      <c r="M237" s="63"/>
      <c r="N237" s="63"/>
      <c r="O237" s="63"/>
      <c r="P237" s="63"/>
      <c r="Q237" s="63"/>
      <c r="R237" s="100">
        <f t="shared" si="6"/>
        <v>0</v>
      </c>
      <c r="S237" s="100">
        <f t="shared" si="7"/>
        <v>0</v>
      </c>
    </row>
    <row r="238" spans="1:19" ht="19.5" customHeight="1">
      <c r="A238" s="2">
        <v>229</v>
      </c>
      <c r="B238" s="11" t="s">
        <v>2830</v>
      </c>
      <c r="C238" s="4"/>
      <c r="D238" s="4"/>
      <c r="E238" s="11" t="s">
        <v>2621</v>
      </c>
      <c r="F238" s="2" t="s">
        <v>2831</v>
      </c>
      <c r="G238" s="2" t="s">
        <v>2832</v>
      </c>
      <c r="H238" s="2" t="s">
        <v>272</v>
      </c>
      <c r="I238" s="2" t="s">
        <v>11</v>
      </c>
      <c r="J238" s="2" t="s">
        <v>1291</v>
      </c>
      <c r="K238" s="105">
        <v>231</v>
      </c>
      <c r="L238" s="63">
        <v>20</v>
      </c>
      <c r="M238" s="63"/>
      <c r="N238" s="63"/>
      <c r="O238" s="63"/>
      <c r="P238" s="63"/>
      <c r="Q238" s="63"/>
      <c r="R238" s="100">
        <f t="shared" si="6"/>
        <v>20</v>
      </c>
      <c r="S238" s="100">
        <f t="shared" si="7"/>
        <v>-20</v>
      </c>
    </row>
    <row r="239" spans="1:19" ht="19.5" customHeight="1">
      <c r="A239" s="2">
        <v>230</v>
      </c>
      <c r="B239" s="67" t="s">
        <v>816</v>
      </c>
      <c r="C239" s="4"/>
      <c r="D239" s="4"/>
      <c r="E239" s="67" t="s">
        <v>1236</v>
      </c>
      <c r="F239" s="68" t="s">
        <v>1238</v>
      </c>
      <c r="G239" s="68" t="s">
        <v>954</v>
      </c>
      <c r="H239" s="68" t="s">
        <v>299</v>
      </c>
      <c r="I239" s="68" t="s">
        <v>11</v>
      </c>
      <c r="J239" s="68" t="s">
        <v>1237</v>
      </c>
      <c r="K239" s="105">
        <v>9450</v>
      </c>
      <c r="L239" s="63">
        <v>222</v>
      </c>
      <c r="M239" s="63"/>
      <c r="N239" s="63"/>
      <c r="O239" s="63"/>
      <c r="P239" s="63"/>
      <c r="Q239" s="63"/>
      <c r="R239" s="100">
        <f t="shared" si="6"/>
        <v>222</v>
      </c>
      <c r="S239" s="100">
        <f t="shared" si="7"/>
        <v>-222</v>
      </c>
    </row>
    <row r="240" spans="1:19" ht="19.5" customHeight="1">
      <c r="A240" s="2">
        <v>231</v>
      </c>
      <c r="B240" s="65" t="s">
        <v>1302</v>
      </c>
      <c r="C240" s="11"/>
      <c r="D240" s="11"/>
      <c r="E240" s="65" t="s">
        <v>2833</v>
      </c>
      <c r="F240" s="2" t="s">
        <v>2834</v>
      </c>
      <c r="G240" s="2" t="s">
        <v>479</v>
      </c>
      <c r="H240" s="66" t="s">
        <v>1995</v>
      </c>
      <c r="I240" s="2" t="s">
        <v>10</v>
      </c>
      <c r="J240" s="2" t="s">
        <v>815</v>
      </c>
      <c r="K240" s="105">
        <v>1780</v>
      </c>
      <c r="L240" s="63">
        <v>30</v>
      </c>
      <c r="M240" s="63"/>
      <c r="N240" s="63"/>
      <c r="O240" s="63"/>
      <c r="P240" s="63"/>
      <c r="Q240" s="63"/>
      <c r="R240" s="100">
        <f t="shared" si="6"/>
        <v>30</v>
      </c>
      <c r="S240" s="100">
        <f t="shared" si="7"/>
        <v>-30</v>
      </c>
    </row>
    <row r="241" spans="1:27" ht="19.5" customHeight="1">
      <c r="A241" s="2">
        <v>232</v>
      </c>
      <c r="B241" s="65" t="s">
        <v>1302</v>
      </c>
      <c r="C241" s="11"/>
      <c r="D241" s="11"/>
      <c r="E241" s="65" t="s">
        <v>2835</v>
      </c>
      <c r="F241" s="2" t="s">
        <v>2836</v>
      </c>
      <c r="G241" s="2" t="s">
        <v>479</v>
      </c>
      <c r="H241" s="66" t="s">
        <v>235</v>
      </c>
      <c r="I241" s="2" t="s">
        <v>10</v>
      </c>
      <c r="J241" s="2" t="s">
        <v>815</v>
      </c>
      <c r="K241" s="105">
        <v>3270</v>
      </c>
      <c r="L241" s="63">
        <v>4</v>
      </c>
      <c r="M241" s="63"/>
      <c r="N241" s="63"/>
      <c r="O241" s="63"/>
      <c r="P241" s="63"/>
      <c r="Q241" s="63"/>
      <c r="R241" s="100">
        <f t="shared" si="6"/>
        <v>4</v>
      </c>
      <c r="S241" s="100">
        <f t="shared" si="7"/>
        <v>-4</v>
      </c>
    </row>
    <row r="242" spans="1:27" ht="19.5" customHeight="1">
      <c r="A242" s="2">
        <v>233</v>
      </c>
      <c r="B242" s="65" t="s">
        <v>2837</v>
      </c>
      <c r="C242" s="11"/>
      <c r="D242" s="11"/>
      <c r="E242" s="11" t="s">
        <v>2838</v>
      </c>
      <c r="F242" s="2" t="s">
        <v>2839</v>
      </c>
      <c r="G242" s="2" t="s">
        <v>863</v>
      </c>
      <c r="H242" s="66" t="s">
        <v>2840</v>
      </c>
      <c r="I242" s="2" t="s">
        <v>10</v>
      </c>
      <c r="J242" s="2" t="s">
        <v>2841</v>
      </c>
      <c r="K242" s="105">
        <v>2680</v>
      </c>
      <c r="L242" s="63">
        <v>0</v>
      </c>
      <c r="M242" s="63"/>
      <c r="N242" s="63"/>
      <c r="O242" s="63"/>
      <c r="P242" s="63"/>
      <c r="Q242" s="63"/>
      <c r="R242" s="100">
        <f t="shared" si="6"/>
        <v>0</v>
      </c>
      <c r="S242" s="100">
        <f t="shared" si="7"/>
        <v>0</v>
      </c>
    </row>
    <row r="243" spans="1:27" ht="19.5" customHeight="1">
      <c r="A243" s="2">
        <v>234</v>
      </c>
      <c r="B243" s="67" t="s">
        <v>2077</v>
      </c>
      <c r="C243" s="11"/>
      <c r="D243" s="11"/>
      <c r="E243" s="67" t="s">
        <v>2078</v>
      </c>
      <c r="F243" s="2" t="s">
        <v>2081</v>
      </c>
      <c r="G243" s="2" t="s">
        <v>2082</v>
      </c>
      <c r="H243" s="68" t="s">
        <v>2079</v>
      </c>
      <c r="I243" s="2" t="s">
        <v>14</v>
      </c>
      <c r="J243" s="68" t="s">
        <v>2080</v>
      </c>
      <c r="K243" s="105">
        <v>16074</v>
      </c>
      <c r="L243" s="63">
        <v>180</v>
      </c>
      <c r="M243" s="63"/>
      <c r="N243" s="63"/>
      <c r="O243" s="63"/>
      <c r="P243" s="63"/>
      <c r="Q243" s="63"/>
      <c r="R243" s="100">
        <f t="shared" si="6"/>
        <v>180</v>
      </c>
      <c r="S243" s="100">
        <f t="shared" si="7"/>
        <v>-180</v>
      </c>
    </row>
    <row r="244" spans="1:27" ht="19.5" customHeight="1">
      <c r="A244" s="2">
        <v>235</v>
      </c>
      <c r="B244" s="67" t="s">
        <v>1976</v>
      </c>
      <c r="C244" s="4"/>
      <c r="D244" s="4"/>
      <c r="E244" s="11" t="s">
        <v>1977</v>
      </c>
      <c r="F244" s="2" t="s">
        <v>1979</v>
      </c>
      <c r="G244" s="2" t="s">
        <v>1946</v>
      </c>
      <c r="H244" s="2" t="s">
        <v>1978</v>
      </c>
      <c r="I244" s="2" t="s">
        <v>11</v>
      </c>
      <c r="J244" s="2" t="s">
        <v>814</v>
      </c>
      <c r="K244" s="105">
        <v>2499</v>
      </c>
      <c r="L244" s="63">
        <v>19722</v>
      </c>
      <c r="M244" s="63"/>
      <c r="N244" s="63"/>
      <c r="O244" s="63"/>
      <c r="P244" s="63"/>
      <c r="Q244" s="63"/>
      <c r="R244" s="100">
        <f t="shared" si="6"/>
        <v>19722</v>
      </c>
      <c r="S244" s="100">
        <f t="shared" si="7"/>
        <v>-19722</v>
      </c>
    </row>
    <row r="245" spans="1:27" ht="19.5" customHeight="1">
      <c r="A245" s="2">
        <v>236</v>
      </c>
      <c r="B245" s="11" t="s">
        <v>1055</v>
      </c>
      <c r="C245" s="4"/>
      <c r="D245" s="4"/>
      <c r="E245" s="11" t="s">
        <v>1056</v>
      </c>
      <c r="F245" s="2" t="s">
        <v>1059</v>
      </c>
      <c r="G245" s="2" t="s">
        <v>336</v>
      </c>
      <c r="H245" s="2" t="s">
        <v>1057</v>
      </c>
      <c r="I245" s="2" t="s">
        <v>18</v>
      </c>
      <c r="J245" s="2" t="s">
        <v>1058</v>
      </c>
      <c r="K245" s="105">
        <v>6300</v>
      </c>
      <c r="L245" s="63">
        <v>93</v>
      </c>
      <c r="M245" s="63"/>
      <c r="N245" s="63"/>
      <c r="O245" s="63"/>
      <c r="P245" s="63"/>
      <c r="Q245" s="63"/>
      <c r="R245" s="100">
        <f t="shared" si="6"/>
        <v>93</v>
      </c>
      <c r="S245" s="100">
        <f t="shared" si="7"/>
        <v>-93</v>
      </c>
    </row>
    <row r="246" spans="1:27" ht="19.5" customHeight="1">
      <c r="A246" s="2">
        <v>237</v>
      </c>
      <c r="B246" s="11" t="s">
        <v>2153</v>
      </c>
      <c r="C246" s="4"/>
      <c r="D246" s="4"/>
      <c r="E246" s="11" t="s">
        <v>2154</v>
      </c>
      <c r="F246" s="7" t="s">
        <v>2157</v>
      </c>
      <c r="G246" s="2" t="s">
        <v>2152</v>
      </c>
      <c r="H246" s="7" t="s">
        <v>2155</v>
      </c>
      <c r="I246" s="2" t="s">
        <v>18</v>
      </c>
      <c r="J246" s="2" t="s">
        <v>2156</v>
      </c>
      <c r="K246" s="105">
        <v>24000</v>
      </c>
      <c r="L246" s="63">
        <v>0</v>
      </c>
      <c r="M246" s="63"/>
      <c r="N246" s="63"/>
      <c r="O246" s="63"/>
      <c r="P246" s="63"/>
      <c r="Q246" s="63"/>
      <c r="R246" s="100">
        <f t="shared" si="6"/>
        <v>0</v>
      </c>
      <c r="S246" s="100">
        <f t="shared" si="7"/>
        <v>0</v>
      </c>
    </row>
    <row r="247" spans="1:27" ht="19.5" customHeight="1">
      <c r="A247" s="2">
        <v>238</v>
      </c>
      <c r="B247" s="11" t="s">
        <v>2368</v>
      </c>
      <c r="C247" s="4"/>
      <c r="D247" s="4"/>
      <c r="E247" s="11" t="s">
        <v>2369</v>
      </c>
      <c r="F247" s="2" t="s">
        <v>2372</v>
      </c>
      <c r="G247" s="2" t="s">
        <v>2373</v>
      </c>
      <c r="H247" s="2" t="s">
        <v>2370</v>
      </c>
      <c r="I247" s="2" t="s">
        <v>18</v>
      </c>
      <c r="J247" s="2" t="s">
        <v>2371</v>
      </c>
      <c r="K247" s="105">
        <v>18000</v>
      </c>
      <c r="L247" s="63">
        <v>0</v>
      </c>
      <c r="M247" s="63"/>
      <c r="N247" s="63"/>
      <c r="O247" s="63"/>
      <c r="P247" s="63"/>
      <c r="Q247" s="63"/>
      <c r="R247" s="100">
        <f t="shared" si="6"/>
        <v>0</v>
      </c>
      <c r="S247" s="100">
        <f t="shared" si="7"/>
        <v>0</v>
      </c>
    </row>
    <row r="248" spans="1:27" ht="19.5" customHeight="1">
      <c r="A248" s="2">
        <v>239</v>
      </c>
      <c r="B248" s="11" t="s">
        <v>2842</v>
      </c>
      <c r="C248" s="11"/>
      <c r="D248" s="11"/>
      <c r="E248" s="11" t="s">
        <v>2843</v>
      </c>
      <c r="F248" s="2" t="s">
        <v>2844</v>
      </c>
      <c r="G248" s="2" t="s">
        <v>1912</v>
      </c>
      <c r="H248" s="2" t="s">
        <v>235</v>
      </c>
      <c r="I248" s="2" t="s">
        <v>11</v>
      </c>
      <c r="J248" s="2" t="s">
        <v>2845</v>
      </c>
      <c r="K248" s="105">
        <v>756</v>
      </c>
      <c r="L248" s="63">
        <v>0</v>
      </c>
      <c r="M248" s="63"/>
      <c r="N248" s="63"/>
      <c r="O248" s="63"/>
      <c r="P248" s="63"/>
      <c r="Q248" s="63"/>
      <c r="R248" s="100">
        <f t="shared" si="6"/>
        <v>0</v>
      </c>
      <c r="S248" s="100">
        <f t="shared" si="7"/>
        <v>0</v>
      </c>
    </row>
    <row r="249" spans="1:27" ht="19.5" customHeight="1">
      <c r="A249" s="2">
        <v>240</v>
      </c>
      <c r="B249" s="67" t="s">
        <v>873</v>
      </c>
      <c r="C249" s="4"/>
      <c r="D249" s="4"/>
      <c r="E249" s="67" t="s">
        <v>949</v>
      </c>
      <c r="F249" s="68" t="s">
        <v>950</v>
      </c>
      <c r="G249" s="68" t="s">
        <v>298</v>
      </c>
      <c r="H249" s="68" t="s">
        <v>874</v>
      </c>
      <c r="I249" s="68" t="s">
        <v>628</v>
      </c>
      <c r="J249" s="68" t="s">
        <v>875</v>
      </c>
      <c r="K249" s="105">
        <v>30048</v>
      </c>
      <c r="L249" s="63">
        <v>40</v>
      </c>
      <c r="M249" s="63"/>
      <c r="N249" s="63"/>
      <c r="O249" s="63"/>
      <c r="P249" s="63"/>
      <c r="Q249" s="63"/>
      <c r="R249" s="100">
        <f t="shared" si="6"/>
        <v>40</v>
      </c>
      <c r="S249" s="100">
        <f t="shared" si="7"/>
        <v>-40</v>
      </c>
    </row>
    <row r="250" spans="1:27" ht="19.5" customHeight="1">
      <c r="A250" s="2">
        <v>241</v>
      </c>
      <c r="B250" s="11" t="s">
        <v>294</v>
      </c>
      <c r="C250" s="11"/>
      <c r="D250" s="11"/>
      <c r="E250" s="11" t="s">
        <v>295</v>
      </c>
      <c r="F250" s="2" t="s">
        <v>297</v>
      </c>
      <c r="G250" s="2" t="s">
        <v>298</v>
      </c>
      <c r="H250" s="2" t="s">
        <v>296</v>
      </c>
      <c r="I250" s="2" t="s">
        <v>10</v>
      </c>
      <c r="J250" s="2" t="s">
        <v>647</v>
      </c>
      <c r="K250" s="105">
        <v>6750</v>
      </c>
      <c r="L250" s="63">
        <v>1031</v>
      </c>
      <c r="M250" s="63"/>
      <c r="N250" s="63"/>
      <c r="O250" s="63"/>
      <c r="P250" s="63"/>
      <c r="Q250" s="63"/>
      <c r="R250" s="100">
        <f t="shared" si="6"/>
        <v>1031</v>
      </c>
      <c r="S250" s="100">
        <f t="shared" si="7"/>
        <v>-1031</v>
      </c>
    </row>
    <row r="251" spans="1:27" ht="19.5" customHeight="1">
      <c r="A251" s="2">
        <v>242</v>
      </c>
      <c r="B251" s="11" t="s">
        <v>1481</v>
      </c>
      <c r="C251" s="4"/>
      <c r="D251" s="4"/>
      <c r="E251" s="11" t="s">
        <v>1482</v>
      </c>
      <c r="F251" s="2" t="s">
        <v>1484</v>
      </c>
      <c r="G251" s="2" t="s">
        <v>1485</v>
      </c>
      <c r="H251" s="2" t="s">
        <v>1483</v>
      </c>
      <c r="I251" s="2" t="s">
        <v>10</v>
      </c>
      <c r="J251" s="2" t="s">
        <v>626</v>
      </c>
      <c r="K251" s="105">
        <v>4900</v>
      </c>
      <c r="L251" s="63">
        <v>9045</v>
      </c>
      <c r="M251" s="63"/>
      <c r="N251" s="63"/>
      <c r="O251" s="63"/>
      <c r="P251" s="63"/>
      <c r="Q251" s="63"/>
      <c r="R251" s="100">
        <f t="shared" si="6"/>
        <v>9045</v>
      </c>
      <c r="S251" s="100">
        <f t="shared" si="7"/>
        <v>-9045</v>
      </c>
    </row>
    <row r="252" spans="1:27" ht="19.5" customHeight="1">
      <c r="A252" s="2">
        <v>243</v>
      </c>
      <c r="B252" s="65" t="s">
        <v>788</v>
      </c>
      <c r="C252" s="11"/>
      <c r="D252" s="11"/>
      <c r="E252" s="65" t="s">
        <v>2846</v>
      </c>
      <c r="F252" s="2" t="s">
        <v>2847</v>
      </c>
      <c r="G252" s="2" t="s">
        <v>2764</v>
      </c>
      <c r="H252" s="66" t="s">
        <v>390</v>
      </c>
      <c r="I252" s="2" t="s">
        <v>11</v>
      </c>
      <c r="J252" s="2" t="s">
        <v>547</v>
      </c>
      <c r="K252" s="105">
        <v>590</v>
      </c>
      <c r="L252" s="63">
        <v>3</v>
      </c>
      <c r="M252" s="63"/>
      <c r="N252" s="63"/>
      <c r="O252" s="63"/>
      <c r="P252" s="63"/>
      <c r="Q252" s="63"/>
      <c r="R252" s="100">
        <f t="shared" si="6"/>
        <v>3</v>
      </c>
      <c r="S252" s="100">
        <f t="shared" si="7"/>
        <v>-3</v>
      </c>
    </row>
    <row r="253" spans="1:27" ht="19.5" customHeight="1">
      <c r="A253" s="2">
        <v>244</v>
      </c>
      <c r="B253" s="67" t="s">
        <v>1006</v>
      </c>
      <c r="C253" s="4"/>
      <c r="D253" s="4"/>
      <c r="E253" s="67" t="s">
        <v>1007</v>
      </c>
      <c r="F253" s="68" t="s">
        <v>1009</v>
      </c>
      <c r="G253" s="68" t="s">
        <v>1010</v>
      </c>
      <c r="H253" s="68" t="s">
        <v>1008</v>
      </c>
      <c r="I253" s="68" t="s">
        <v>10</v>
      </c>
      <c r="J253" s="68" t="s">
        <v>626</v>
      </c>
      <c r="K253" s="105">
        <v>6589</v>
      </c>
      <c r="L253" s="63">
        <v>6490</v>
      </c>
      <c r="M253" s="63"/>
      <c r="N253" s="63"/>
      <c r="O253" s="63"/>
      <c r="P253" s="63"/>
      <c r="Q253" s="63"/>
      <c r="R253" s="100">
        <f t="shared" si="6"/>
        <v>6490</v>
      </c>
      <c r="S253" s="100">
        <f t="shared" si="7"/>
        <v>-6490</v>
      </c>
    </row>
    <row r="254" spans="1:27" ht="19.5" customHeight="1">
      <c r="A254" s="2">
        <v>245</v>
      </c>
      <c r="B254" s="67" t="s">
        <v>1002</v>
      </c>
      <c r="C254" s="4"/>
      <c r="D254" s="4"/>
      <c r="E254" s="67" t="s">
        <v>1003</v>
      </c>
      <c r="F254" s="68" t="s">
        <v>1005</v>
      </c>
      <c r="G254" s="68" t="s">
        <v>312</v>
      </c>
      <c r="H254" s="68" t="s">
        <v>1004</v>
      </c>
      <c r="I254" s="68" t="s">
        <v>10</v>
      </c>
      <c r="J254" s="68" t="s">
        <v>623</v>
      </c>
      <c r="K254" s="105">
        <v>5650</v>
      </c>
      <c r="L254" s="63">
        <v>6999</v>
      </c>
      <c r="M254" s="63"/>
      <c r="N254" s="63"/>
      <c r="O254" s="63"/>
      <c r="P254" s="63"/>
      <c r="Q254" s="63"/>
      <c r="R254" s="100">
        <f t="shared" si="6"/>
        <v>6999</v>
      </c>
      <c r="S254" s="100">
        <f t="shared" si="7"/>
        <v>-6999</v>
      </c>
    </row>
    <row r="255" spans="1:27" ht="19.5" customHeight="1">
      <c r="A255" s="2">
        <v>246</v>
      </c>
      <c r="B255" s="77" t="s">
        <v>2848</v>
      </c>
      <c r="C255" s="4"/>
      <c r="D255" s="4"/>
      <c r="E255" s="77" t="s">
        <v>2849</v>
      </c>
      <c r="F255" s="5" t="s">
        <v>2850</v>
      </c>
      <c r="G255" s="5" t="s">
        <v>2851</v>
      </c>
      <c r="H255" s="5" t="s">
        <v>2852</v>
      </c>
      <c r="I255" s="5" t="s">
        <v>10</v>
      </c>
      <c r="J255" s="5" t="s">
        <v>647</v>
      </c>
      <c r="K255" s="105">
        <v>6500</v>
      </c>
      <c r="L255" s="63"/>
      <c r="M255" s="63"/>
      <c r="N255" s="63"/>
      <c r="O255" s="63"/>
      <c r="P255" s="63"/>
      <c r="Q255" s="63"/>
      <c r="R255" s="100">
        <f t="shared" si="6"/>
        <v>0</v>
      </c>
      <c r="S255" s="100">
        <f t="shared" si="7"/>
        <v>0</v>
      </c>
      <c r="T255" s="37"/>
      <c r="U255" s="37"/>
      <c r="V255" s="37"/>
      <c r="W255" s="37"/>
      <c r="X255" s="37"/>
      <c r="Y255" s="37"/>
      <c r="Z255" s="37"/>
      <c r="AA255" s="37"/>
    </row>
    <row r="256" spans="1:27" ht="19.5" customHeight="1">
      <c r="A256" s="2">
        <v>247</v>
      </c>
      <c r="B256" s="11" t="s">
        <v>683</v>
      </c>
      <c r="C256" s="11"/>
      <c r="D256" s="11"/>
      <c r="E256" s="11" t="s">
        <v>2571</v>
      </c>
      <c r="F256" s="2" t="s">
        <v>2853</v>
      </c>
      <c r="G256" s="2" t="s">
        <v>2731</v>
      </c>
      <c r="H256" s="2" t="s">
        <v>691</v>
      </c>
      <c r="I256" s="2" t="s">
        <v>11</v>
      </c>
      <c r="J256" s="2" t="s">
        <v>884</v>
      </c>
      <c r="K256" s="105">
        <v>6240</v>
      </c>
      <c r="L256" s="63">
        <v>3707</v>
      </c>
      <c r="M256" s="63"/>
      <c r="N256" s="63"/>
      <c r="O256" s="63"/>
      <c r="P256" s="63"/>
      <c r="Q256" s="63"/>
      <c r="R256" s="100">
        <f t="shared" si="6"/>
        <v>3707</v>
      </c>
      <c r="S256" s="100">
        <f t="shared" si="7"/>
        <v>-3707</v>
      </c>
    </row>
    <row r="257" spans="1:27" ht="19.5" customHeight="1">
      <c r="A257" s="2">
        <v>248</v>
      </c>
      <c r="B257" s="11" t="s">
        <v>1481</v>
      </c>
      <c r="C257" s="4"/>
      <c r="D257" s="4"/>
      <c r="E257" s="67" t="s">
        <v>1689</v>
      </c>
      <c r="F257" s="2" t="s">
        <v>1691</v>
      </c>
      <c r="G257" s="2" t="s">
        <v>458</v>
      </c>
      <c r="H257" s="2" t="s">
        <v>1690</v>
      </c>
      <c r="I257" s="2" t="s">
        <v>10</v>
      </c>
      <c r="J257" s="2" t="s">
        <v>1239</v>
      </c>
      <c r="K257" s="105">
        <v>3400</v>
      </c>
      <c r="L257" s="63">
        <v>7937</v>
      </c>
      <c r="M257" s="63"/>
      <c r="N257" s="63"/>
      <c r="O257" s="63"/>
      <c r="P257" s="63"/>
      <c r="Q257" s="63"/>
      <c r="R257" s="100">
        <f t="shared" si="6"/>
        <v>7937</v>
      </c>
      <c r="S257" s="100">
        <f t="shared" si="7"/>
        <v>-7937</v>
      </c>
    </row>
    <row r="258" spans="1:27" ht="19.5" customHeight="1">
      <c r="A258" s="2">
        <v>249</v>
      </c>
      <c r="B258" s="11" t="s">
        <v>645</v>
      </c>
      <c r="C258" s="4"/>
      <c r="D258" s="4"/>
      <c r="E258" s="11" t="s">
        <v>1545</v>
      </c>
      <c r="F258" s="2" t="s">
        <v>1546</v>
      </c>
      <c r="G258" s="2" t="s">
        <v>458</v>
      </c>
      <c r="H258" s="2" t="s">
        <v>291</v>
      </c>
      <c r="I258" s="2" t="s">
        <v>10</v>
      </c>
      <c r="J258" s="2" t="s">
        <v>884</v>
      </c>
      <c r="K258" s="105">
        <v>1600</v>
      </c>
      <c r="L258" s="63">
        <v>15</v>
      </c>
      <c r="M258" s="63"/>
      <c r="N258" s="63"/>
      <c r="O258" s="63"/>
      <c r="P258" s="63"/>
      <c r="Q258" s="63"/>
      <c r="R258" s="100">
        <f t="shared" si="6"/>
        <v>15</v>
      </c>
      <c r="S258" s="100">
        <f t="shared" si="7"/>
        <v>-15</v>
      </c>
    </row>
    <row r="259" spans="1:27" ht="19.5" customHeight="1">
      <c r="A259" s="2">
        <v>250</v>
      </c>
      <c r="B259" s="65" t="s">
        <v>1167</v>
      </c>
      <c r="C259" s="11"/>
      <c r="D259" s="11"/>
      <c r="E259" s="65" t="s">
        <v>2467</v>
      </c>
      <c r="F259" s="2" t="s">
        <v>2854</v>
      </c>
      <c r="G259" s="2" t="s">
        <v>360</v>
      </c>
      <c r="H259" s="66" t="s">
        <v>291</v>
      </c>
      <c r="I259" s="2" t="s">
        <v>11</v>
      </c>
      <c r="J259" s="2" t="s">
        <v>1329</v>
      </c>
      <c r="K259" s="105">
        <v>614</v>
      </c>
      <c r="L259" s="63">
        <v>8070</v>
      </c>
      <c r="M259" s="63"/>
      <c r="N259" s="63"/>
      <c r="O259" s="63"/>
      <c r="P259" s="63"/>
      <c r="Q259" s="63"/>
      <c r="R259" s="100">
        <f t="shared" si="6"/>
        <v>8070</v>
      </c>
      <c r="S259" s="100">
        <f t="shared" si="7"/>
        <v>-8070</v>
      </c>
    </row>
    <row r="260" spans="1:27" ht="19.5" customHeight="1">
      <c r="A260" s="2">
        <v>251</v>
      </c>
      <c r="B260" s="67" t="s">
        <v>2276</v>
      </c>
      <c r="C260" s="4"/>
      <c r="D260" s="4"/>
      <c r="E260" s="11" t="s">
        <v>2277</v>
      </c>
      <c r="F260" s="2" t="s">
        <v>2279</v>
      </c>
      <c r="G260" s="2" t="s">
        <v>2253</v>
      </c>
      <c r="H260" s="2" t="s">
        <v>2278</v>
      </c>
      <c r="I260" s="2" t="s">
        <v>16</v>
      </c>
      <c r="J260" s="2" t="s">
        <v>2250</v>
      </c>
      <c r="K260" s="105">
        <v>1180</v>
      </c>
      <c r="L260" s="63">
        <v>0</v>
      </c>
      <c r="M260" s="63"/>
      <c r="N260" s="63"/>
      <c r="O260" s="63"/>
      <c r="P260" s="63"/>
      <c r="Q260" s="63"/>
      <c r="R260" s="100">
        <f t="shared" si="6"/>
        <v>0</v>
      </c>
      <c r="S260" s="100">
        <f t="shared" si="7"/>
        <v>0</v>
      </c>
    </row>
    <row r="261" spans="1:27" ht="19.5" customHeight="1">
      <c r="A261" s="2">
        <v>252</v>
      </c>
      <c r="B261" s="11" t="s">
        <v>1215</v>
      </c>
      <c r="C261" s="11"/>
      <c r="D261" s="11"/>
      <c r="E261" s="11" t="s">
        <v>2855</v>
      </c>
      <c r="F261" s="2" t="s">
        <v>2856</v>
      </c>
      <c r="G261" s="2" t="s">
        <v>863</v>
      </c>
      <c r="H261" s="2" t="s">
        <v>1217</v>
      </c>
      <c r="I261" s="2" t="s">
        <v>11</v>
      </c>
      <c r="J261" s="2" t="s">
        <v>884</v>
      </c>
      <c r="K261" s="105">
        <v>753</v>
      </c>
      <c r="L261" s="63">
        <v>0</v>
      </c>
      <c r="M261" s="63"/>
      <c r="N261" s="63"/>
      <c r="O261" s="63"/>
      <c r="P261" s="63"/>
      <c r="Q261" s="63"/>
      <c r="R261" s="100">
        <f t="shared" si="6"/>
        <v>0</v>
      </c>
      <c r="S261" s="100">
        <f t="shared" si="7"/>
        <v>0</v>
      </c>
    </row>
    <row r="262" spans="1:27" ht="19.5" customHeight="1">
      <c r="A262" s="2">
        <v>253</v>
      </c>
      <c r="B262" s="67" t="s">
        <v>1012</v>
      </c>
      <c r="C262" s="4"/>
      <c r="D262" s="4"/>
      <c r="E262" s="67" t="s">
        <v>1013</v>
      </c>
      <c r="F262" s="68" t="s">
        <v>1015</v>
      </c>
      <c r="G262" s="68" t="s">
        <v>312</v>
      </c>
      <c r="H262" s="68" t="s">
        <v>1014</v>
      </c>
      <c r="I262" s="68" t="s">
        <v>10</v>
      </c>
      <c r="J262" s="68" t="s">
        <v>626</v>
      </c>
      <c r="K262" s="105">
        <v>3258</v>
      </c>
      <c r="L262" s="63">
        <v>913</v>
      </c>
      <c r="M262" s="63"/>
      <c r="N262" s="63"/>
      <c r="O262" s="63"/>
      <c r="P262" s="63"/>
      <c r="Q262" s="63"/>
      <c r="R262" s="100">
        <f t="shared" si="6"/>
        <v>913</v>
      </c>
      <c r="S262" s="100">
        <f t="shared" si="7"/>
        <v>-913</v>
      </c>
    </row>
    <row r="263" spans="1:27" ht="19.5" customHeight="1">
      <c r="A263" s="2">
        <v>254</v>
      </c>
      <c r="B263" s="67" t="s">
        <v>2280</v>
      </c>
      <c r="C263" s="4"/>
      <c r="D263" s="4"/>
      <c r="E263" s="11" t="s">
        <v>64</v>
      </c>
      <c r="F263" s="2" t="s">
        <v>2281</v>
      </c>
      <c r="G263" s="2" t="s">
        <v>2253</v>
      </c>
      <c r="H263" s="2" t="s">
        <v>65</v>
      </c>
      <c r="I263" s="2" t="s">
        <v>16</v>
      </c>
      <c r="J263" s="2" t="s">
        <v>2250</v>
      </c>
      <c r="K263" s="105">
        <v>1700</v>
      </c>
      <c r="L263" s="63">
        <v>30</v>
      </c>
      <c r="M263" s="63"/>
      <c r="N263" s="63"/>
      <c r="O263" s="63"/>
      <c r="P263" s="63"/>
      <c r="Q263" s="63"/>
      <c r="R263" s="100">
        <f t="shared" si="6"/>
        <v>30</v>
      </c>
      <c r="S263" s="100">
        <f t="shared" si="7"/>
        <v>-30</v>
      </c>
    </row>
    <row r="264" spans="1:27" ht="19.5" customHeight="1">
      <c r="A264" s="2">
        <v>255</v>
      </c>
      <c r="B264" s="11" t="s">
        <v>359</v>
      </c>
      <c r="C264" s="11"/>
      <c r="D264" s="11"/>
      <c r="E264" s="11" t="s">
        <v>2857</v>
      </c>
      <c r="F264" s="2" t="s">
        <v>2858</v>
      </c>
      <c r="G264" s="2" t="s">
        <v>867</v>
      </c>
      <c r="H264" s="2" t="s">
        <v>262</v>
      </c>
      <c r="I264" s="2" t="s">
        <v>11</v>
      </c>
      <c r="J264" s="68" t="s">
        <v>623</v>
      </c>
      <c r="K264" s="105">
        <v>389</v>
      </c>
      <c r="L264" s="63">
        <v>0</v>
      </c>
      <c r="M264" s="63"/>
      <c r="N264" s="63"/>
      <c r="O264" s="63"/>
      <c r="P264" s="63"/>
      <c r="Q264" s="63"/>
      <c r="R264" s="100">
        <f t="shared" si="6"/>
        <v>0</v>
      </c>
      <c r="S264" s="100">
        <f t="shared" si="7"/>
        <v>0</v>
      </c>
    </row>
    <row r="265" spans="1:27" ht="19.5" customHeight="1">
      <c r="A265" s="2">
        <v>256</v>
      </c>
      <c r="B265" s="11" t="s">
        <v>2340</v>
      </c>
      <c r="C265" s="4"/>
      <c r="D265" s="4"/>
      <c r="E265" s="11" t="s">
        <v>66</v>
      </c>
      <c r="F265" s="79" t="s">
        <v>2342</v>
      </c>
      <c r="G265" s="79" t="s">
        <v>1567</v>
      </c>
      <c r="H265" s="2" t="s">
        <v>67</v>
      </c>
      <c r="I265" s="2" t="s">
        <v>18</v>
      </c>
      <c r="J265" s="2" t="s">
        <v>2341</v>
      </c>
      <c r="K265" s="105">
        <v>25200</v>
      </c>
      <c r="L265" s="63">
        <v>112</v>
      </c>
      <c r="M265" s="63"/>
      <c r="N265" s="63"/>
      <c r="O265" s="63"/>
      <c r="P265" s="63"/>
      <c r="Q265" s="63"/>
      <c r="R265" s="100">
        <f t="shared" si="6"/>
        <v>112</v>
      </c>
      <c r="S265" s="100">
        <f t="shared" si="7"/>
        <v>-112</v>
      </c>
    </row>
    <row r="266" spans="1:27" ht="19.5" customHeight="1">
      <c r="A266" s="2">
        <v>257</v>
      </c>
      <c r="B266" s="11" t="s">
        <v>1894</v>
      </c>
      <c r="C266" s="4"/>
      <c r="D266" s="4"/>
      <c r="E266" s="11" t="s">
        <v>1895</v>
      </c>
      <c r="F266" s="8" t="s">
        <v>1898</v>
      </c>
      <c r="G266" s="8" t="s">
        <v>1873</v>
      </c>
      <c r="H266" s="8" t="s">
        <v>1896</v>
      </c>
      <c r="I266" s="68" t="s">
        <v>10</v>
      </c>
      <c r="J266" s="8" t="s">
        <v>1897</v>
      </c>
      <c r="K266" s="105">
        <v>2600</v>
      </c>
      <c r="L266" s="63">
        <v>7256</v>
      </c>
      <c r="M266" s="63"/>
      <c r="N266" s="63"/>
      <c r="O266" s="63"/>
      <c r="P266" s="63"/>
      <c r="Q266" s="63"/>
      <c r="R266" s="100">
        <f t="shared" si="6"/>
        <v>7256</v>
      </c>
      <c r="S266" s="100">
        <f t="shared" si="7"/>
        <v>-7256</v>
      </c>
    </row>
    <row r="267" spans="1:27" ht="19.5" customHeight="1">
      <c r="A267" s="2">
        <v>258</v>
      </c>
      <c r="B267" s="11" t="s">
        <v>2859</v>
      </c>
      <c r="C267" s="4"/>
      <c r="D267" s="4"/>
      <c r="E267" s="11" t="s">
        <v>2599</v>
      </c>
      <c r="F267" s="2" t="s">
        <v>2860</v>
      </c>
      <c r="G267" s="2" t="s">
        <v>2861</v>
      </c>
      <c r="H267" s="2" t="s">
        <v>299</v>
      </c>
      <c r="I267" s="2" t="s">
        <v>10</v>
      </c>
      <c r="J267" s="2" t="s">
        <v>2204</v>
      </c>
      <c r="K267" s="105">
        <v>1150</v>
      </c>
      <c r="L267" s="63">
        <v>13</v>
      </c>
      <c r="M267" s="63"/>
      <c r="N267" s="63"/>
      <c r="O267" s="63"/>
      <c r="P267" s="63"/>
      <c r="Q267" s="63"/>
      <c r="R267" s="100">
        <f t="shared" ref="R267:R330" si="8">L267+M267-O267</f>
        <v>13</v>
      </c>
      <c r="S267" s="100">
        <f t="shared" ref="S267:S330" si="9">Q267-R267</f>
        <v>-13</v>
      </c>
    </row>
    <row r="268" spans="1:27" ht="19.5" customHeight="1">
      <c r="A268" s="2">
        <v>259</v>
      </c>
      <c r="B268" s="71" t="s">
        <v>2862</v>
      </c>
      <c r="C268" s="4"/>
      <c r="D268" s="4"/>
      <c r="E268" s="11" t="s">
        <v>1537</v>
      </c>
      <c r="F268" s="2" t="s">
        <v>2863</v>
      </c>
      <c r="G268" s="2" t="s">
        <v>2864</v>
      </c>
      <c r="H268" s="2" t="s">
        <v>869</v>
      </c>
      <c r="I268" s="2" t="s">
        <v>10</v>
      </c>
      <c r="J268" s="2" t="s">
        <v>1239</v>
      </c>
      <c r="K268" s="105">
        <v>1780</v>
      </c>
      <c r="L268" s="63">
        <v>909</v>
      </c>
      <c r="M268" s="63"/>
      <c r="N268" s="63"/>
      <c r="O268" s="63"/>
      <c r="P268" s="63"/>
      <c r="Q268" s="63"/>
      <c r="R268" s="100">
        <f t="shared" si="8"/>
        <v>909</v>
      </c>
      <c r="S268" s="100">
        <f t="shared" si="9"/>
        <v>-909</v>
      </c>
    </row>
    <row r="269" spans="1:27" ht="19.5" customHeight="1">
      <c r="A269" s="2">
        <v>260</v>
      </c>
      <c r="B269" s="67" t="s">
        <v>557</v>
      </c>
      <c r="C269" s="4"/>
      <c r="D269" s="4"/>
      <c r="E269" s="11" t="s">
        <v>824</v>
      </c>
      <c r="F269" s="2" t="s">
        <v>826</v>
      </c>
      <c r="G269" s="2" t="s">
        <v>806</v>
      </c>
      <c r="H269" s="2" t="s">
        <v>272</v>
      </c>
      <c r="I269" s="2" t="s">
        <v>11</v>
      </c>
      <c r="J269" s="2" t="s">
        <v>825</v>
      </c>
      <c r="K269" s="105">
        <v>120</v>
      </c>
      <c r="L269" s="63">
        <v>27582</v>
      </c>
      <c r="M269" s="63"/>
      <c r="N269" s="63"/>
      <c r="O269" s="63"/>
      <c r="P269" s="63"/>
      <c r="Q269" s="63"/>
      <c r="R269" s="100">
        <f t="shared" si="8"/>
        <v>27582</v>
      </c>
      <c r="S269" s="100">
        <f t="shared" si="9"/>
        <v>-27582</v>
      </c>
    </row>
    <row r="270" spans="1:27" ht="19.5" customHeight="1">
      <c r="A270" s="2">
        <v>261</v>
      </c>
      <c r="B270" s="77" t="s">
        <v>1302</v>
      </c>
      <c r="C270" s="4"/>
      <c r="D270" s="4"/>
      <c r="E270" s="77" t="s">
        <v>2865</v>
      </c>
      <c r="F270" s="5" t="s">
        <v>2866</v>
      </c>
      <c r="G270" s="5" t="s">
        <v>255</v>
      </c>
      <c r="H270" s="5" t="s">
        <v>1995</v>
      </c>
      <c r="I270" s="5" t="s">
        <v>10</v>
      </c>
      <c r="J270" s="5" t="s">
        <v>2841</v>
      </c>
      <c r="K270" s="105">
        <v>777</v>
      </c>
      <c r="L270" s="63"/>
      <c r="M270" s="63"/>
      <c r="N270" s="63"/>
      <c r="O270" s="63"/>
      <c r="P270" s="63"/>
      <c r="Q270" s="63"/>
      <c r="R270" s="100">
        <f t="shared" si="8"/>
        <v>0</v>
      </c>
      <c r="S270" s="100">
        <f t="shared" si="9"/>
        <v>0</v>
      </c>
      <c r="T270" s="37"/>
      <c r="U270" s="37"/>
      <c r="V270" s="37"/>
      <c r="W270" s="37"/>
      <c r="X270" s="37"/>
      <c r="Y270" s="37"/>
      <c r="Z270" s="37"/>
      <c r="AA270" s="37"/>
    </row>
    <row r="271" spans="1:27" ht="19.5" customHeight="1">
      <c r="A271" s="2">
        <v>262</v>
      </c>
      <c r="B271" s="11" t="s">
        <v>1302</v>
      </c>
      <c r="C271" s="11"/>
      <c r="D271" s="11"/>
      <c r="E271" s="11" t="s">
        <v>2468</v>
      </c>
      <c r="F271" s="2" t="s">
        <v>2867</v>
      </c>
      <c r="G271" s="2" t="s">
        <v>255</v>
      </c>
      <c r="H271" s="2" t="s">
        <v>315</v>
      </c>
      <c r="I271" s="2" t="s">
        <v>11</v>
      </c>
      <c r="J271" s="2" t="s">
        <v>815</v>
      </c>
      <c r="K271" s="105">
        <v>1155</v>
      </c>
      <c r="L271" s="63">
        <v>27</v>
      </c>
      <c r="M271" s="63"/>
      <c r="N271" s="63"/>
      <c r="O271" s="63"/>
      <c r="P271" s="63"/>
      <c r="Q271" s="63"/>
      <c r="R271" s="100">
        <f t="shared" si="8"/>
        <v>27</v>
      </c>
      <c r="S271" s="100">
        <f t="shared" si="9"/>
        <v>-27</v>
      </c>
    </row>
    <row r="272" spans="1:27" ht="19.5" customHeight="1">
      <c r="A272" s="2">
        <v>263</v>
      </c>
      <c r="B272" s="11" t="s">
        <v>2469</v>
      </c>
      <c r="C272" s="11"/>
      <c r="D272" s="11"/>
      <c r="E272" s="11" t="s">
        <v>1432</v>
      </c>
      <c r="F272" s="2" t="s">
        <v>2868</v>
      </c>
      <c r="G272" s="2" t="s">
        <v>1429</v>
      </c>
      <c r="H272" s="2" t="s">
        <v>1433</v>
      </c>
      <c r="I272" s="2" t="s">
        <v>10</v>
      </c>
      <c r="J272" s="2" t="s">
        <v>626</v>
      </c>
      <c r="K272" s="105">
        <v>73</v>
      </c>
      <c r="L272" s="63">
        <v>300</v>
      </c>
      <c r="M272" s="63"/>
      <c r="N272" s="63"/>
      <c r="O272" s="63"/>
      <c r="P272" s="63"/>
      <c r="Q272" s="63"/>
      <c r="R272" s="100">
        <f t="shared" si="8"/>
        <v>300</v>
      </c>
      <c r="S272" s="100">
        <f t="shared" si="9"/>
        <v>-300</v>
      </c>
    </row>
    <row r="273" spans="1:27" ht="19.5" customHeight="1">
      <c r="A273" s="2">
        <v>264</v>
      </c>
      <c r="B273" s="11" t="s">
        <v>1326</v>
      </c>
      <c r="C273" s="4"/>
      <c r="D273" s="4"/>
      <c r="E273" s="11" t="s">
        <v>1327</v>
      </c>
      <c r="F273" s="2" t="s">
        <v>1328</v>
      </c>
      <c r="G273" s="2" t="s">
        <v>360</v>
      </c>
      <c r="H273" s="2" t="s">
        <v>222</v>
      </c>
      <c r="I273" s="2" t="s">
        <v>11</v>
      </c>
      <c r="J273" s="2" t="s">
        <v>642</v>
      </c>
      <c r="K273" s="105">
        <v>55</v>
      </c>
      <c r="L273" s="63">
        <v>9698</v>
      </c>
      <c r="M273" s="63"/>
      <c r="N273" s="63"/>
      <c r="O273" s="63"/>
      <c r="P273" s="63"/>
      <c r="Q273" s="63"/>
      <c r="R273" s="100">
        <f t="shared" si="8"/>
        <v>9698</v>
      </c>
      <c r="S273" s="100">
        <f t="shared" si="9"/>
        <v>-9698</v>
      </c>
    </row>
    <row r="274" spans="1:27" ht="19.5" customHeight="1">
      <c r="A274" s="2">
        <v>265</v>
      </c>
      <c r="B274" s="70" t="s">
        <v>2122</v>
      </c>
      <c r="C274" s="4"/>
      <c r="D274" s="4"/>
      <c r="E274" s="11" t="s">
        <v>2123</v>
      </c>
      <c r="F274" s="2" t="s">
        <v>2125</v>
      </c>
      <c r="G274" s="2" t="s">
        <v>2126</v>
      </c>
      <c r="H274" s="2" t="s">
        <v>733</v>
      </c>
      <c r="I274" s="2" t="s">
        <v>14</v>
      </c>
      <c r="J274" s="2" t="s">
        <v>2124</v>
      </c>
      <c r="K274" s="105">
        <v>45000</v>
      </c>
      <c r="L274" s="63">
        <v>0</v>
      </c>
      <c r="M274" s="63"/>
      <c r="N274" s="63"/>
      <c r="O274" s="63"/>
      <c r="P274" s="63"/>
      <c r="Q274" s="63"/>
      <c r="R274" s="100">
        <f t="shared" si="8"/>
        <v>0</v>
      </c>
      <c r="S274" s="100">
        <f t="shared" si="9"/>
        <v>0</v>
      </c>
    </row>
    <row r="275" spans="1:27" ht="19.5" customHeight="1">
      <c r="A275" s="2">
        <v>266</v>
      </c>
      <c r="B275" s="11" t="s">
        <v>1064</v>
      </c>
      <c r="C275" s="4"/>
      <c r="D275" s="4"/>
      <c r="E275" s="11" t="s">
        <v>1065</v>
      </c>
      <c r="F275" s="2" t="s">
        <v>1067</v>
      </c>
      <c r="G275" s="2" t="s">
        <v>336</v>
      </c>
      <c r="H275" s="2" t="s">
        <v>384</v>
      </c>
      <c r="I275" s="2" t="s">
        <v>10</v>
      </c>
      <c r="J275" s="2" t="s">
        <v>1066</v>
      </c>
      <c r="K275" s="105">
        <v>120</v>
      </c>
      <c r="L275" s="63">
        <v>14688</v>
      </c>
      <c r="M275" s="63"/>
      <c r="N275" s="63"/>
      <c r="O275" s="63"/>
      <c r="P275" s="63"/>
      <c r="Q275" s="63"/>
      <c r="R275" s="100">
        <f t="shared" si="8"/>
        <v>14688</v>
      </c>
      <c r="S275" s="100">
        <f t="shared" si="9"/>
        <v>-14688</v>
      </c>
    </row>
    <row r="276" spans="1:27" ht="19.5" customHeight="1">
      <c r="A276" s="2">
        <v>267</v>
      </c>
      <c r="B276" s="65" t="s">
        <v>513</v>
      </c>
      <c r="C276" s="4"/>
      <c r="D276" s="4"/>
      <c r="E276" s="65" t="s">
        <v>2869</v>
      </c>
      <c r="F276" s="2" t="s">
        <v>2870</v>
      </c>
      <c r="G276" s="2" t="s">
        <v>749</v>
      </c>
      <c r="H276" s="66" t="s">
        <v>2564</v>
      </c>
      <c r="I276" s="2" t="s">
        <v>18</v>
      </c>
      <c r="J276" s="2" t="s">
        <v>748</v>
      </c>
      <c r="K276" s="106">
        <v>10500</v>
      </c>
      <c r="L276" s="63">
        <v>0</v>
      </c>
      <c r="M276" s="63"/>
      <c r="N276" s="63"/>
      <c r="O276" s="63"/>
      <c r="P276" s="63"/>
      <c r="Q276" s="63"/>
      <c r="R276" s="100">
        <f t="shared" si="8"/>
        <v>0</v>
      </c>
      <c r="S276" s="100">
        <f t="shared" si="9"/>
        <v>0</v>
      </c>
    </row>
    <row r="277" spans="1:27" ht="19.5" customHeight="1">
      <c r="A277" s="2">
        <v>268</v>
      </c>
      <c r="B277" s="67" t="s">
        <v>972</v>
      </c>
      <c r="C277" s="4"/>
      <c r="D277" s="4"/>
      <c r="E277" s="67" t="s">
        <v>973</v>
      </c>
      <c r="F277" s="68" t="s">
        <v>975</v>
      </c>
      <c r="G277" s="68" t="s">
        <v>312</v>
      </c>
      <c r="H277" s="68" t="s">
        <v>869</v>
      </c>
      <c r="I277" s="68" t="s">
        <v>10</v>
      </c>
      <c r="J277" s="68" t="s">
        <v>974</v>
      </c>
      <c r="K277" s="105">
        <v>5460</v>
      </c>
      <c r="L277" s="63">
        <v>15000</v>
      </c>
      <c r="M277" s="63"/>
      <c r="N277" s="63"/>
      <c r="O277" s="63"/>
      <c r="P277" s="63"/>
      <c r="Q277" s="63"/>
      <c r="R277" s="100">
        <f t="shared" si="8"/>
        <v>15000</v>
      </c>
      <c r="S277" s="100">
        <f t="shared" si="9"/>
        <v>-15000</v>
      </c>
    </row>
    <row r="278" spans="1:27" ht="19.5" customHeight="1">
      <c r="A278" s="2">
        <v>269</v>
      </c>
      <c r="B278" s="11" t="s">
        <v>1678</v>
      </c>
      <c r="C278" s="4"/>
      <c r="D278" s="4"/>
      <c r="E278" s="11" t="s">
        <v>1679</v>
      </c>
      <c r="F278" s="6" t="s">
        <v>1682</v>
      </c>
      <c r="G278" s="15" t="s">
        <v>1683</v>
      </c>
      <c r="H278" s="2" t="s">
        <v>1680</v>
      </c>
      <c r="I278" s="14" t="s">
        <v>10</v>
      </c>
      <c r="J278" s="6" t="s">
        <v>1681</v>
      </c>
      <c r="K278" s="105">
        <v>3390</v>
      </c>
      <c r="L278" s="63">
        <v>14682</v>
      </c>
      <c r="M278" s="63"/>
      <c r="N278" s="63"/>
      <c r="O278" s="63"/>
      <c r="P278" s="63"/>
      <c r="Q278" s="63"/>
      <c r="R278" s="100">
        <f t="shared" si="8"/>
        <v>14682</v>
      </c>
      <c r="S278" s="100">
        <f t="shared" si="9"/>
        <v>-14682</v>
      </c>
    </row>
    <row r="279" spans="1:27" ht="19.5" customHeight="1">
      <c r="A279" s="2">
        <v>270</v>
      </c>
      <c r="B279" s="11" t="s">
        <v>2871</v>
      </c>
      <c r="C279" s="4"/>
      <c r="D279" s="4"/>
      <c r="E279" s="11" t="s">
        <v>2616</v>
      </c>
      <c r="F279" s="2" t="s">
        <v>2872</v>
      </c>
      <c r="G279" s="2" t="s">
        <v>2873</v>
      </c>
      <c r="H279" s="2" t="s">
        <v>238</v>
      </c>
      <c r="I279" s="2" t="s">
        <v>520</v>
      </c>
      <c r="J279" s="2" t="s">
        <v>2874</v>
      </c>
      <c r="K279" s="105">
        <v>4200</v>
      </c>
      <c r="L279" s="63">
        <v>11</v>
      </c>
      <c r="M279" s="63"/>
      <c r="N279" s="63"/>
      <c r="O279" s="63"/>
      <c r="P279" s="63"/>
      <c r="Q279" s="63"/>
      <c r="R279" s="100">
        <f t="shared" si="8"/>
        <v>11</v>
      </c>
      <c r="S279" s="100">
        <f t="shared" si="9"/>
        <v>-11</v>
      </c>
    </row>
    <row r="280" spans="1:27" ht="19.5" customHeight="1">
      <c r="A280" s="2">
        <v>271</v>
      </c>
      <c r="B280" s="65" t="s">
        <v>713</v>
      </c>
      <c r="C280" s="11"/>
      <c r="D280" s="11"/>
      <c r="E280" s="65" t="s">
        <v>2875</v>
      </c>
      <c r="F280" s="2" t="s">
        <v>2876</v>
      </c>
      <c r="G280" s="2" t="s">
        <v>1913</v>
      </c>
      <c r="H280" s="66" t="s">
        <v>327</v>
      </c>
      <c r="I280" s="2" t="s">
        <v>11</v>
      </c>
      <c r="J280" s="2" t="s">
        <v>842</v>
      </c>
      <c r="K280" s="105">
        <v>156</v>
      </c>
      <c r="L280" s="63">
        <v>73</v>
      </c>
      <c r="M280" s="63"/>
      <c r="N280" s="63"/>
      <c r="O280" s="63"/>
      <c r="P280" s="63"/>
      <c r="Q280" s="63"/>
      <c r="R280" s="100">
        <f t="shared" si="8"/>
        <v>73</v>
      </c>
      <c r="S280" s="100">
        <f t="shared" si="9"/>
        <v>-73</v>
      </c>
    </row>
    <row r="281" spans="1:27" ht="19.5" customHeight="1">
      <c r="A281" s="2">
        <v>272</v>
      </c>
      <c r="B281" s="11" t="s">
        <v>713</v>
      </c>
      <c r="C281" s="11"/>
      <c r="D281" s="11"/>
      <c r="E281" s="11" t="s">
        <v>714</v>
      </c>
      <c r="F281" s="2" t="s">
        <v>717</v>
      </c>
      <c r="G281" s="2" t="s">
        <v>718</v>
      </c>
      <c r="H281" s="2" t="s">
        <v>1767</v>
      </c>
      <c r="I281" s="2" t="s">
        <v>520</v>
      </c>
      <c r="J281" s="2" t="s">
        <v>716</v>
      </c>
      <c r="K281" s="105">
        <v>6888</v>
      </c>
      <c r="L281" s="63">
        <v>98</v>
      </c>
      <c r="M281" s="63"/>
      <c r="N281" s="63"/>
      <c r="O281" s="63"/>
      <c r="P281" s="63"/>
      <c r="Q281" s="63"/>
      <c r="R281" s="100">
        <f t="shared" si="8"/>
        <v>98</v>
      </c>
      <c r="S281" s="100">
        <f t="shared" si="9"/>
        <v>-98</v>
      </c>
    </row>
    <row r="282" spans="1:27" ht="19.5" customHeight="1">
      <c r="A282" s="2">
        <v>273</v>
      </c>
      <c r="B282" s="65" t="s">
        <v>2601</v>
      </c>
      <c r="C282" s="4"/>
      <c r="D282" s="4"/>
      <c r="E282" s="65" t="s">
        <v>2600</v>
      </c>
      <c r="F282" s="2" t="s">
        <v>2877</v>
      </c>
      <c r="G282" s="2" t="s">
        <v>863</v>
      </c>
      <c r="H282" s="66" t="s">
        <v>2602</v>
      </c>
      <c r="I282" s="2" t="s">
        <v>11</v>
      </c>
      <c r="J282" s="2" t="s">
        <v>842</v>
      </c>
      <c r="K282" s="105">
        <v>154</v>
      </c>
      <c r="L282" s="63">
        <v>14</v>
      </c>
      <c r="M282" s="63"/>
      <c r="N282" s="63"/>
      <c r="O282" s="63"/>
      <c r="P282" s="63"/>
      <c r="Q282" s="63"/>
      <c r="R282" s="100">
        <f t="shared" si="8"/>
        <v>14</v>
      </c>
      <c r="S282" s="100">
        <f t="shared" si="9"/>
        <v>-14</v>
      </c>
    </row>
    <row r="283" spans="1:27" ht="19.5" customHeight="1">
      <c r="A283" s="2">
        <v>274</v>
      </c>
      <c r="B283" s="70" t="s">
        <v>2098</v>
      </c>
      <c r="C283" s="4"/>
      <c r="D283" s="4"/>
      <c r="E283" s="11" t="s">
        <v>2099</v>
      </c>
      <c r="F283" s="2" t="s">
        <v>2101</v>
      </c>
      <c r="G283" s="2" t="s">
        <v>514</v>
      </c>
      <c r="H283" s="2" t="s">
        <v>2100</v>
      </c>
      <c r="I283" s="2" t="s">
        <v>18</v>
      </c>
      <c r="J283" s="2" t="s">
        <v>2057</v>
      </c>
      <c r="K283" s="105">
        <v>7900</v>
      </c>
      <c r="L283" s="63">
        <v>104</v>
      </c>
      <c r="M283" s="63"/>
      <c r="N283" s="63"/>
      <c r="O283" s="63"/>
      <c r="P283" s="63"/>
      <c r="Q283" s="63"/>
      <c r="R283" s="100">
        <f t="shared" si="8"/>
        <v>104</v>
      </c>
      <c r="S283" s="100">
        <f t="shared" si="9"/>
        <v>-104</v>
      </c>
    </row>
    <row r="284" spans="1:27" ht="19.5" customHeight="1">
      <c r="A284" s="2">
        <v>275</v>
      </c>
      <c r="B284" s="77" t="s">
        <v>1330</v>
      </c>
      <c r="C284" s="4"/>
      <c r="D284" s="4"/>
      <c r="E284" s="77" t="s">
        <v>2878</v>
      </c>
      <c r="F284" s="5" t="s">
        <v>2879</v>
      </c>
      <c r="G284" s="5" t="s">
        <v>2880</v>
      </c>
      <c r="H284" s="5" t="s">
        <v>291</v>
      </c>
      <c r="I284" s="5" t="s">
        <v>10</v>
      </c>
      <c r="J284" s="5" t="s">
        <v>2881</v>
      </c>
      <c r="K284" s="105">
        <v>504</v>
      </c>
      <c r="L284" s="63"/>
      <c r="M284" s="63"/>
      <c r="N284" s="63"/>
      <c r="O284" s="63"/>
      <c r="P284" s="63"/>
      <c r="Q284" s="63"/>
      <c r="R284" s="100">
        <f t="shared" si="8"/>
        <v>0</v>
      </c>
      <c r="S284" s="100">
        <f t="shared" si="9"/>
        <v>0</v>
      </c>
      <c r="T284" s="37"/>
      <c r="U284" s="37"/>
      <c r="V284" s="37"/>
      <c r="W284" s="37"/>
      <c r="X284" s="37"/>
      <c r="Y284" s="37"/>
      <c r="Z284" s="37"/>
      <c r="AA284" s="37"/>
    </row>
    <row r="285" spans="1:27" ht="19.5" customHeight="1">
      <c r="A285" s="2">
        <v>276</v>
      </c>
      <c r="B285" s="67" t="s">
        <v>1330</v>
      </c>
      <c r="C285" s="4"/>
      <c r="D285" s="4"/>
      <c r="E285" s="11" t="s">
        <v>1330</v>
      </c>
      <c r="F285" s="2" t="s">
        <v>1332</v>
      </c>
      <c r="G285" s="2" t="s">
        <v>360</v>
      </c>
      <c r="H285" s="2" t="s">
        <v>291</v>
      </c>
      <c r="I285" s="2" t="s">
        <v>11</v>
      </c>
      <c r="J285" s="2" t="s">
        <v>1331</v>
      </c>
      <c r="K285" s="105">
        <v>74</v>
      </c>
      <c r="L285" s="63">
        <v>9470</v>
      </c>
      <c r="M285" s="63"/>
      <c r="N285" s="63"/>
      <c r="O285" s="63"/>
      <c r="P285" s="63"/>
      <c r="Q285" s="63"/>
      <c r="R285" s="100">
        <f t="shared" si="8"/>
        <v>9470</v>
      </c>
      <c r="S285" s="100">
        <f t="shared" si="9"/>
        <v>-9470</v>
      </c>
    </row>
    <row r="286" spans="1:27" ht="19.5" customHeight="1">
      <c r="A286" s="2">
        <v>277</v>
      </c>
      <c r="B286" s="65" t="s">
        <v>1330</v>
      </c>
      <c r="C286" s="11"/>
      <c r="D286" s="11"/>
      <c r="E286" s="65" t="s">
        <v>2882</v>
      </c>
      <c r="F286" s="2" t="s">
        <v>2883</v>
      </c>
      <c r="G286" s="2" t="s">
        <v>2884</v>
      </c>
      <c r="H286" s="66" t="s">
        <v>291</v>
      </c>
      <c r="I286" s="2" t="s">
        <v>11</v>
      </c>
      <c r="J286" s="2" t="s">
        <v>2885</v>
      </c>
      <c r="K286" s="105">
        <v>89</v>
      </c>
      <c r="L286" s="63">
        <v>0</v>
      </c>
      <c r="M286" s="63"/>
      <c r="N286" s="63"/>
      <c r="O286" s="63"/>
      <c r="P286" s="63"/>
      <c r="Q286" s="63"/>
      <c r="R286" s="100">
        <f t="shared" si="8"/>
        <v>0</v>
      </c>
      <c r="S286" s="100">
        <f t="shared" si="9"/>
        <v>0</v>
      </c>
    </row>
    <row r="287" spans="1:27" ht="19.5" customHeight="1">
      <c r="A287" s="2">
        <v>278</v>
      </c>
      <c r="B287" s="65" t="s">
        <v>68</v>
      </c>
      <c r="C287" s="4"/>
      <c r="D287" s="4"/>
      <c r="E287" s="65" t="s">
        <v>68</v>
      </c>
      <c r="F287" s="2" t="s">
        <v>2886</v>
      </c>
      <c r="G287" s="2" t="s">
        <v>867</v>
      </c>
      <c r="H287" s="2" t="s">
        <v>69</v>
      </c>
      <c r="I287" s="2" t="s">
        <v>11</v>
      </c>
      <c r="J287" s="2" t="s">
        <v>2184</v>
      </c>
      <c r="K287" s="106">
        <v>298</v>
      </c>
      <c r="L287" s="63">
        <v>0</v>
      </c>
      <c r="M287" s="63"/>
      <c r="N287" s="63"/>
      <c r="O287" s="63"/>
      <c r="P287" s="63"/>
      <c r="Q287" s="63"/>
      <c r="R287" s="100">
        <f t="shared" si="8"/>
        <v>0</v>
      </c>
      <c r="S287" s="100">
        <f t="shared" si="9"/>
        <v>0</v>
      </c>
    </row>
    <row r="288" spans="1:27" ht="19.5" customHeight="1">
      <c r="A288" s="2">
        <v>279</v>
      </c>
      <c r="B288" s="11" t="s">
        <v>2183</v>
      </c>
      <c r="C288" s="4"/>
      <c r="D288" s="4"/>
      <c r="E288" s="65" t="s">
        <v>68</v>
      </c>
      <c r="F288" s="2" t="s">
        <v>2185</v>
      </c>
      <c r="G288" s="2" t="s">
        <v>867</v>
      </c>
      <c r="H288" s="2" t="s">
        <v>69</v>
      </c>
      <c r="I288" s="2" t="s">
        <v>11</v>
      </c>
      <c r="J288" s="2" t="s">
        <v>2184</v>
      </c>
      <c r="K288" s="105">
        <v>294</v>
      </c>
      <c r="L288" s="63">
        <v>8250</v>
      </c>
      <c r="M288" s="63"/>
      <c r="N288" s="63"/>
      <c r="O288" s="63"/>
      <c r="P288" s="63"/>
      <c r="Q288" s="63"/>
      <c r="R288" s="100">
        <f t="shared" si="8"/>
        <v>8250</v>
      </c>
      <c r="S288" s="100">
        <f t="shared" si="9"/>
        <v>-8250</v>
      </c>
    </row>
    <row r="289" spans="1:27" ht="19.5" customHeight="1">
      <c r="A289" s="2">
        <v>280</v>
      </c>
      <c r="B289" s="65" t="s">
        <v>653</v>
      </c>
      <c r="C289" s="4"/>
      <c r="D289" s="4"/>
      <c r="E289" s="65" t="s">
        <v>2603</v>
      </c>
      <c r="F289" s="2" t="s">
        <v>2887</v>
      </c>
      <c r="G289" s="2" t="s">
        <v>2888</v>
      </c>
      <c r="H289" s="66" t="s">
        <v>655</v>
      </c>
      <c r="I289" s="2" t="s">
        <v>11</v>
      </c>
      <c r="J289" s="2" t="s">
        <v>656</v>
      </c>
      <c r="K289" s="105">
        <v>735</v>
      </c>
      <c r="L289" s="63">
        <v>9</v>
      </c>
      <c r="M289" s="63"/>
      <c r="N289" s="63"/>
      <c r="O289" s="63"/>
      <c r="P289" s="63"/>
      <c r="Q289" s="63"/>
      <c r="R289" s="100">
        <f t="shared" si="8"/>
        <v>9</v>
      </c>
      <c r="S289" s="100">
        <f t="shared" si="9"/>
        <v>-9</v>
      </c>
    </row>
    <row r="290" spans="1:27" ht="19.5" customHeight="1">
      <c r="A290" s="2">
        <v>281</v>
      </c>
      <c r="B290" s="67" t="s">
        <v>653</v>
      </c>
      <c r="C290" s="4"/>
      <c r="D290" s="4"/>
      <c r="E290" s="11" t="s">
        <v>654</v>
      </c>
      <c r="F290" s="2" t="s">
        <v>657</v>
      </c>
      <c r="G290" s="2" t="s">
        <v>245</v>
      </c>
      <c r="H290" s="2" t="s">
        <v>655</v>
      </c>
      <c r="I290" s="2" t="s">
        <v>11</v>
      </c>
      <c r="J290" s="2" t="s">
        <v>656</v>
      </c>
      <c r="K290" s="105">
        <v>714</v>
      </c>
      <c r="L290" s="63">
        <v>491</v>
      </c>
      <c r="M290" s="63"/>
      <c r="N290" s="63"/>
      <c r="O290" s="63"/>
      <c r="P290" s="63"/>
      <c r="Q290" s="63"/>
      <c r="R290" s="100">
        <f t="shared" si="8"/>
        <v>491</v>
      </c>
      <c r="S290" s="100">
        <f t="shared" si="9"/>
        <v>-491</v>
      </c>
    </row>
    <row r="291" spans="1:27" ht="19.5" customHeight="1">
      <c r="A291" s="2">
        <v>282</v>
      </c>
      <c r="B291" s="67" t="s">
        <v>1215</v>
      </c>
      <c r="C291" s="4"/>
      <c r="D291" s="4"/>
      <c r="E291" s="11" t="s">
        <v>1216</v>
      </c>
      <c r="F291" s="2" t="s">
        <v>1219</v>
      </c>
      <c r="G291" s="2" t="s">
        <v>352</v>
      </c>
      <c r="H291" s="2" t="s">
        <v>1217</v>
      </c>
      <c r="I291" s="2" t="s">
        <v>11</v>
      </c>
      <c r="J291" s="2" t="s">
        <v>1218</v>
      </c>
      <c r="K291" s="105">
        <v>720</v>
      </c>
      <c r="L291" s="63">
        <v>1606</v>
      </c>
      <c r="M291" s="63"/>
      <c r="N291" s="63"/>
      <c r="O291" s="63"/>
      <c r="P291" s="63"/>
      <c r="Q291" s="63"/>
      <c r="R291" s="100">
        <f t="shared" si="8"/>
        <v>1606</v>
      </c>
      <c r="S291" s="100">
        <f t="shared" si="9"/>
        <v>-1606</v>
      </c>
    </row>
    <row r="292" spans="1:27" ht="19.5" customHeight="1">
      <c r="A292" s="2">
        <v>283</v>
      </c>
      <c r="B292" s="65" t="s">
        <v>2472</v>
      </c>
      <c r="C292" s="4"/>
      <c r="D292" s="4"/>
      <c r="E292" s="65" t="s">
        <v>2471</v>
      </c>
      <c r="F292" s="2" t="s">
        <v>2889</v>
      </c>
      <c r="G292" s="2" t="s">
        <v>530</v>
      </c>
      <c r="H292" s="66" t="s">
        <v>1016</v>
      </c>
      <c r="I292" s="66" t="s">
        <v>628</v>
      </c>
      <c r="J292" s="66" t="s">
        <v>2654</v>
      </c>
      <c r="K292" s="106">
        <v>630</v>
      </c>
      <c r="L292" s="63">
        <v>390</v>
      </c>
      <c r="M292" s="63"/>
      <c r="N292" s="63"/>
      <c r="O292" s="63"/>
      <c r="P292" s="63"/>
      <c r="Q292" s="63"/>
      <c r="R292" s="100">
        <f t="shared" si="8"/>
        <v>390</v>
      </c>
      <c r="S292" s="100">
        <f t="shared" si="9"/>
        <v>-390</v>
      </c>
    </row>
    <row r="293" spans="1:27" ht="19.5" customHeight="1">
      <c r="A293" s="2">
        <v>284</v>
      </c>
      <c r="B293" s="67" t="s">
        <v>829</v>
      </c>
      <c r="C293" s="4"/>
      <c r="D293" s="4"/>
      <c r="E293" s="11" t="s">
        <v>830</v>
      </c>
      <c r="F293" s="2" t="s">
        <v>831</v>
      </c>
      <c r="G293" s="2" t="s">
        <v>806</v>
      </c>
      <c r="H293" s="2" t="s">
        <v>753</v>
      </c>
      <c r="I293" s="2" t="s">
        <v>11</v>
      </c>
      <c r="J293" s="2" t="s">
        <v>804</v>
      </c>
      <c r="K293" s="105">
        <v>367</v>
      </c>
      <c r="L293" s="63">
        <v>0</v>
      </c>
      <c r="M293" s="63"/>
      <c r="N293" s="63"/>
      <c r="O293" s="63"/>
      <c r="P293" s="63"/>
      <c r="Q293" s="63"/>
      <c r="R293" s="100">
        <f t="shared" si="8"/>
        <v>0</v>
      </c>
      <c r="S293" s="100">
        <f t="shared" si="9"/>
        <v>0</v>
      </c>
    </row>
    <row r="294" spans="1:27" ht="19.5" customHeight="1">
      <c r="A294" s="2">
        <v>285</v>
      </c>
      <c r="B294" s="67" t="s">
        <v>2215</v>
      </c>
      <c r="C294" s="4"/>
      <c r="D294" s="4"/>
      <c r="E294" s="67" t="s">
        <v>70</v>
      </c>
      <c r="F294" s="68" t="s">
        <v>2216</v>
      </c>
      <c r="G294" s="68" t="s">
        <v>2217</v>
      </c>
      <c r="H294" s="68" t="s">
        <v>72</v>
      </c>
      <c r="I294" s="2" t="s">
        <v>11</v>
      </c>
      <c r="J294" s="68" t="s">
        <v>647</v>
      </c>
      <c r="K294" s="105">
        <v>1490</v>
      </c>
      <c r="L294" s="63">
        <v>5920</v>
      </c>
      <c r="M294" s="63"/>
      <c r="N294" s="63"/>
      <c r="O294" s="63"/>
      <c r="P294" s="63"/>
      <c r="Q294" s="63"/>
      <c r="R294" s="100">
        <f t="shared" si="8"/>
        <v>5920</v>
      </c>
      <c r="S294" s="100">
        <f t="shared" si="9"/>
        <v>-5920</v>
      </c>
    </row>
    <row r="295" spans="1:27" ht="19.5" customHeight="1">
      <c r="A295" s="2">
        <v>286</v>
      </c>
      <c r="B295" s="67" t="s">
        <v>2215</v>
      </c>
      <c r="C295" s="4"/>
      <c r="D295" s="4"/>
      <c r="E295" s="67" t="s">
        <v>70</v>
      </c>
      <c r="F295" s="2" t="s">
        <v>2890</v>
      </c>
      <c r="G295" s="68" t="s">
        <v>2217</v>
      </c>
      <c r="H295" s="68" t="s">
        <v>72</v>
      </c>
      <c r="I295" s="2" t="s">
        <v>11</v>
      </c>
      <c r="J295" s="68" t="s">
        <v>647</v>
      </c>
      <c r="K295" s="105">
        <v>1500</v>
      </c>
      <c r="L295" s="63">
        <v>0</v>
      </c>
      <c r="M295" s="63"/>
      <c r="N295" s="63"/>
      <c r="O295" s="63"/>
      <c r="P295" s="63"/>
      <c r="Q295" s="63"/>
      <c r="R295" s="100">
        <f t="shared" si="8"/>
        <v>0</v>
      </c>
      <c r="S295" s="100">
        <f t="shared" si="9"/>
        <v>0</v>
      </c>
    </row>
    <row r="296" spans="1:27" ht="19.5" customHeight="1">
      <c r="A296" s="2">
        <v>287</v>
      </c>
      <c r="B296" s="65" t="s">
        <v>1212</v>
      </c>
      <c r="C296" s="11"/>
      <c r="D296" s="11"/>
      <c r="E296" s="65" t="s">
        <v>1212</v>
      </c>
      <c r="F296" s="2" t="s">
        <v>2891</v>
      </c>
      <c r="G296" s="2" t="s">
        <v>2892</v>
      </c>
      <c r="H296" s="66" t="s">
        <v>945</v>
      </c>
      <c r="I296" s="2" t="s">
        <v>13</v>
      </c>
      <c r="J296" s="2" t="s">
        <v>1106</v>
      </c>
      <c r="K296" s="105">
        <v>862</v>
      </c>
      <c r="L296" s="63">
        <v>0</v>
      </c>
      <c r="M296" s="63"/>
      <c r="N296" s="63"/>
      <c r="O296" s="63"/>
      <c r="P296" s="63"/>
      <c r="Q296" s="63"/>
      <c r="R296" s="100">
        <f t="shared" si="8"/>
        <v>0</v>
      </c>
      <c r="S296" s="100">
        <f t="shared" si="9"/>
        <v>0</v>
      </c>
    </row>
    <row r="297" spans="1:27" ht="19.5" customHeight="1">
      <c r="A297" s="2">
        <v>288</v>
      </c>
      <c r="B297" s="67" t="s">
        <v>588</v>
      </c>
      <c r="C297" s="4"/>
      <c r="D297" s="4"/>
      <c r="E297" s="11" t="s">
        <v>589</v>
      </c>
      <c r="F297" s="2" t="s">
        <v>591</v>
      </c>
      <c r="G297" s="2" t="s">
        <v>587</v>
      </c>
      <c r="H297" s="2" t="s">
        <v>590</v>
      </c>
      <c r="I297" s="2" t="s">
        <v>11</v>
      </c>
      <c r="J297" s="2" t="s">
        <v>585</v>
      </c>
      <c r="K297" s="105">
        <v>1400</v>
      </c>
      <c r="L297" s="63">
        <v>1500</v>
      </c>
      <c r="M297" s="63"/>
      <c r="N297" s="63"/>
      <c r="O297" s="63"/>
      <c r="P297" s="63"/>
      <c r="Q297" s="63"/>
      <c r="R297" s="100">
        <f t="shared" si="8"/>
        <v>1500</v>
      </c>
      <c r="S297" s="100">
        <f t="shared" si="9"/>
        <v>-1500</v>
      </c>
    </row>
    <row r="298" spans="1:27" ht="19.5" customHeight="1">
      <c r="A298" s="2">
        <v>289</v>
      </c>
      <c r="B298" s="77" t="s">
        <v>588</v>
      </c>
      <c r="C298" s="4"/>
      <c r="D298" s="4"/>
      <c r="E298" s="77" t="s">
        <v>2893</v>
      </c>
      <c r="F298" s="5" t="s">
        <v>2894</v>
      </c>
      <c r="G298" s="5" t="s">
        <v>587</v>
      </c>
      <c r="H298" s="5" t="s">
        <v>267</v>
      </c>
      <c r="I298" s="5" t="s">
        <v>10</v>
      </c>
      <c r="J298" s="5" t="s">
        <v>647</v>
      </c>
      <c r="K298" s="105">
        <v>842</v>
      </c>
      <c r="L298" s="63"/>
      <c r="M298" s="63"/>
      <c r="N298" s="63"/>
      <c r="O298" s="63"/>
      <c r="P298" s="63"/>
      <c r="Q298" s="63"/>
      <c r="R298" s="100">
        <f t="shared" si="8"/>
        <v>0</v>
      </c>
      <c r="S298" s="100">
        <f t="shared" si="9"/>
        <v>0</v>
      </c>
      <c r="T298" s="37"/>
      <c r="U298" s="37"/>
      <c r="V298" s="37"/>
      <c r="W298" s="37"/>
      <c r="X298" s="37"/>
      <c r="Y298" s="37"/>
      <c r="Z298" s="37"/>
      <c r="AA298" s="37"/>
    </row>
    <row r="299" spans="1:27" ht="19.5" customHeight="1">
      <c r="A299" s="2">
        <v>290</v>
      </c>
      <c r="B299" s="67" t="s">
        <v>939</v>
      </c>
      <c r="C299" s="4"/>
      <c r="D299" s="4"/>
      <c r="E299" s="67" t="s">
        <v>1148</v>
      </c>
      <c r="F299" s="68" t="s">
        <v>1150</v>
      </c>
      <c r="G299" s="68" t="s">
        <v>1151</v>
      </c>
      <c r="H299" s="68" t="s">
        <v>1149</v>
      </c>
      <c r="I299" s="68" t="s">
        <v>520</v>
      </c>
      <c r="J299" s="68" t="s">
        <v>627</v>
      </c>
      <c r="K299" s="105">
        <v>3650</v>
      </c>
      <c r="L299" s="63">
        <v>8605</v>
      </c>
      <c r="M299" s="63"/>
      <c r="N299" s="63"/>
      <c r="O299" s="63"/>
      <c r="P299" s="63"/>
      <c r="Q299" s="63"/>
      <c r="R299" s="100">
        <f t="shared" si="8"/>
        <v>8605</v>
      </c>
      <c r="S299" s="100">
        <f t="shared" si="9"/>
        <v>-8605</v>
      </c>
    </row>
    <row r="300" spans="1:27" ht="19.5" customHeight="1">
      <c r="A300" s="2">
        <v>291</v>
      </c>
      <c r="B300" s="65" t="s">
        <v>695</v>
      </c>
      <c r="C300" s="11"/>
      <c r="D300" s="11"/>
      <c r="E300" s="65" t="s">
        <v>2473</v>
      </c>
      <c r="F300" s="2" t="s">
        <v>2895</v>
      </c>
      <c r="G300" s="2" t="s">
        <v>449</v>
      </c>
      <c r="H300" s="66" t="s">
        <v>2474</v>
      </c>
      <c r="I300" s="2" t="s">
        <v>18</v>
      </c>
      <c r="J300" s="2" t="s">
        <v>1936</v>
      </c>
      <c r="K300" s="105">
        <v>9500</v>
      </c>
      <c r="L300" s="63">
        <v>254</v>
      </c>
      <c r="M300" s="63"/>
      <c r="N300" s="63"/>
      <c r="O300" s="63"/>
      <c r="P300" s="63"/>
      <c r="Q300" s="63"/>
      <c r="R300" s="100">
        <f t="shared" si="8"/>
        <v>254</v>
      </c>
      <c r="S300" s="100">
        <f t="shared" si="9"/>
        <v>-254</v>
      </c>
    </row>
    <row r="301" spans="1:27" ht="19.5" customHeight="1">
      <c r="A301" s="2">
        <v>292</v>
      </c>
      <c r="B301" s="65" t="s">
        <v>531</v>
      </c>
      <c r="C301" s="4"/>
      <c r="D301" s="4"/>
      <c r="E301" s="65" t="s">
        <v>2896</v>
      </c>
      <c r="F301" s="2" t="s">
        <v>2897</v>
      </c>
      <c r="G301" s="2" t="s">
        <v>1136</v>
      </c>
      <c r="H301" s="66" t="s">
        <v>267</v>
      </c>
      <c r="I301" s="2" t="s">
        <v>11</v>
      </c>
      <c r="J301" s="2" t="s">
        <v>1968</v>
      </c>
      <c r="K301" s="105">
        <v>105</v>
      </c>
      <c r="L301" s="63">
        <v>0</v>
      </c>
      <c r="M301" s="63"/>
      <c r="N301" s="63"/>
      <c r="O301" s="63"/>
      <c r="P301" s="63"/>
      <c r="Q301" s="63"/>
      <c r="R301" s="100">
        <f t="shared" si="8"/>
        <v>0</v>
      </c>
      <c r="S301" s="100">
        <f t="shared" si="9"/>
        <v>0</v>
      </c>
    </row>
    <row r="302" spans="1:27" ht="19.5" customHeight="1">
      <c r="A302" s="2">
        <v>293</v>
      </c>
      <c r="B302" s="77" t="s">
        <v>708</v>
      </c>
      <c r="C302" s="4"/>
      <c r="D302" s="4"/>
      <c r="E302" s="77" t="s">
        <v>2898</v>
      </c>
      <c r="F302" s="5" t="s">
        <v>2899</v>
      </c>
      <c r="G302" s="5" t="s">
        <v>2900</v>
      </c>
      <c r="H302" s="5" t="s">
        <v>965</v>
      </c>
      <c r="I302" s="5" t="s">
        <v>10</v>
      </c>
      <c r="J302" s="5" t="s">
        <v>1350</v>
      </c>
      <c r="K302" s="105">
        <v>987</v>
      </c>
      <c r="L302" s="63"/>
      <c r="M302" s="63"/>
      <c r="N302" s="63"/>
      <c r="O302" s="63"/>
      <c r="P302" s="63"/>
      <c r="Q302" s="63"/>
      <c r="R302" s="100">
        <f t="shared" si="8"/>
        <v>0</v>
      </c>
      <c r="S302" s="100">
        <f t="shared" si="9"/>
        <v>0</v>
      </c>
      <c r="T302" s="37"/>
      <c r="U302" s="37"/>
      <c r="V302" s="37"/>
      <c r="W302" s="37"/>
      <c r="X302" s="37"/>
      <c r="Y302" s="37"/>
      <c r="Z302" s="37"/>
      <c r="AA302" s="37"/>
    </row>
    <row r="303" spans="1:27" ht="19.5" customHeight="1">
      <c r="A303" s="2">
        <v>294</v>
      </c>
      <c r="B303" s="11" t="s">
        <v>719</v>
      </c>
      <c r="C303" s="4"/>
      <c r="D303" s="4"/>
      <c r="E303" s="11" t="s">
        <v>720</v>
      </c>
      <c r="F303" s="2" t="s">
        <v>723</v>
      </c>
      <c r="G303" s="2" t="s">
        <v>718</v>
      </c>
      <c r="H303" s="2" t="s">
        <v>721</v>
      </c>
      <c r="I303" s="2" t="s">
        <v>14</v>
      </c>
      <c r="J303" s="2" t="s">
        <v>722</v>
      </c>
      <c r="K303" s="105">
        <v>134820</v>
      </c>
      <c r="L303" s="63">
        <v>5</v>
      </c>
      <c r="M303" s="63"/>
      <c r="N303" s="63"/>
      <c r="O303" s="63"/>
      <c r="P303" s="63"/>
      <c r="Q303" s="63"/>
      <c r="R303" s="100">
        <f t="shared" si="8"/>
        <v>5</v>
      </c>
      <c r="S303" s="100">
        <f t="shared" si="9"/>
        <v>-5</v>
      </c>
    </row>
    <row r="304" spans="1:27" ht="19.5" customHeight="1">
      <c r="A304" s="2">
        <v>295</v>
      </c>
      <c r="B304" s="67" t="s">
        <v>2282</v>
      </c>
      <c r="C304" s="4"/>
      <c r="D304" s="4"/>
      <c r="E304" s="11" t="s">
        <v>2283</v>
      </c>
      <c r="F304" s="2" t="s">
        <v>2285</v>
      </c>
      <c r="G304" s="2" t="s">
        <v>2253</v>
      </c>
      <c r="H304" s="2" t="s">
        <v>2284</v>
      </c>
      <c r="I304" s="2" t="s">
        <v>16</v>
      </c>
      <c r="J304" s="2" t="s">
        <v>2250</v>
      </c>
      <c r="K304" s="105">
        <v>900</v>
      </c>
      <c r="L304" s="63">
        <v>0</v>
      </c>
      <c r="M304" s="63"/>
      <c r="N304" s="63"/>
      <c r="O304" s="63"/>
      <c r="P304" s="63"/>
      <c r="Q304" s="63"/>
      <c r="R304" s="100">
        <f t="shared" si="8"/>
        <v>0</v>
      </c>
      <c r="S304" s="100">
        <f t="shared" si="9"/>
        <v>0</v>
      </c>
    </row>
    <row r="305" spans="1:27" ht="19.5" customHeight="1">
      <c r="A305" s="2">
        <v>296</v>
      </c>
      <c r="B305" s="77" t="s">
        <v>1397</v>
      </c>
      <c r="C305" s="4"/>
      <c r="D305" s="4"/>
      <c r="E305" s="77" t="s">
        <v>2901</v>
      </c>
      <c r="F305" s="5" t="s">
        <v>2902</v>
      </c>
      <c r="G305" s="5" t="s">
        <v>2903</v>
      </c>
      <c r="H305" s="5" t="s">
        <v>291</v>
      </c>
      <c r="I305" s="5" t="s">
        <v>10</v>
      </c>
      <c r="J305" s="5" t="s">
        <v>642</v>
      </c>
      <c r="K305" s="105">
        <v>149</v>
      </c>
      <c r="L305" s="63"/>
      <c r="M305" s="63"/>
      <c r="N305" s="63"/>
      <c r="O305" s="63"/>
      <c r="P305" s="63"/>
      <c r="Q305" s="63"/>
      <c r="R305" s="100">
        <f t="shared" si="8"/>
        <v>0</v>
      </c>
      <c r="S305" s="100">
        <f t="shared" si="9"/>
        <v>0</v>
      </c>
      <c r="T305" s="37"/>
      <c r="U305" s="37"/>
      <c r="V305" s="37"/>
      <c r="W305" s="37"/>
      <c r="X305" s="37"/>
      <c r="Y305" s="37"/>
      <c r="Z305" s="37"/>
      <c r="AA305" s="37"/>
    </row>
    <row r="306" spans="1:27" ht="19.5" customHeight="1">
      <c r="A306" s="2">
        <v>297</v>
      </c>
      <c r="B306" s="11" t="s">
        <v>2183</v>
      </c>
      <c r="C306" s="11"/>
      <c r="D306" s="11"/>
      <c r="E306" s="11" t="s">
        <v>73</v>
      </c>
      <c r="F306" s="2" t="s">
        <v>2425</v>
      </c>
      <c r="G306" s="2" t="s">
        <v>2424</v>
      </c>
      <c r="H306" s="2" t="s">
        <v>74</v>
      </c>
      <c r="I306" s="2" t="s">
        <v>10</v>
      </c>
      <c r="J306" s="2" t="s">
        <v>1329</v>
      </c>
      <c r="K306" s="105">
        <v>400</v>
      </c>
      <c r="L306" s="63">
        <v>61</v>
      </c>
      <c r="M306" s="63"/>
      <c r="N306" s="63"/>
      <c r="O306" s="63"/>
      <c r="P306" s="63"/>
      <c r="Q306" s="63"/>
      <c r="R306" s="100">
        <f t="shared" si="8"/>
        <v>61</v>
      </c>
      <c r="S306" s="100">
        <f t="shared" si="9"/>
        <v>-61</v>
      </c>
    </row>
    <row r="307" spans="1:27" ht="19.5" customHeight="1">
      <c r="A307" s="2">
        <v>298</v>
      </c>
      <c r="B307" s="11" t="s">
        <v>1702</v>
      </c>
      <c r="C307" s="11"/>
      <c r="D307" s="11"/>
      <c r="E307" s="11" t="s">
        <v>2475</v>
      </c>
      <c r="F307" s="2" t="s">
        <v>2904</v>
      </c>
      <c r="G307" s="2" t="s">
        <v>2424</v>
      </c>
      <c r="H307" s="2" t="s">
        <v>327</v>
      </c>
      <c r="I307" s="2" t="s">
        <v>11</v>
      </c>
      <c r="J307" s="2" t="s">
        <v>1329</v>
      </c>
      <c r="K307" s="105">
        <v>297</v>
      </c>
      <c r="L307" s="63">
        <v>8178</v>
      </c>
      <c r="M307" s="63"/>
      <c r="N307" s="63"/>
      <c r="O307" s="63"/>
      <c r="P307" s="63"/>
      <c r="Q307" s="63"/>
      <c r="R307" s="100">
        <f t="shared" si="8"/>
        <v>8178</v>
      </c>
      <c r="S307" s="100">
        <f t="shared" si="9"/>
        <v>-8178</v>
      </c>
    </row>
    <row r="308" spans="1:27" ht="19.5" customHeight="1">
      <c r="A308" s="2">
        <v>299</v>
      </c>
      <c r="B308" s="67" t="s">
        <v>2218</v>
      </c>
      <c r="C308" s="4"/>
      <c r="D308" s="4"/>
      <c r="E308" s="67" t="s">
        <v>75</v>
      </c>
      <c r="F308" s="68" t="s">
        <v>2219</v>
      </c>
      <c r="G308" s="2" t="s">
        <v>2424</v>
      </c>
      <c r="H308" s="68" t="s">
        <v>76</v>
      </c>
      <c r="I308" s="2" t="s">
        <v>11</v>
      </c>
      <c r="J308" s="68" t="s">
        <v>842</v>
      </c>
      <c r="K308" s="105">
        <v>630</v>
      </c>
      <c r="L308" s="63">
        <v>1920</v>
      </c>
      <c r="M308" s="63"/>
      <c r="N308" s="63"/>
      <c r="O308" s="63"/>
      <c r="P308" s="63"/>
      <c r="Q308" s="63"/>
      <c r="R308" s="100">
        <f t="shared" si="8"/>
        <v>1920</v>
      </c>
      <c r="S308" s="100">
        <f t="shared" si="9"/>
        <v>-1920</v>
      </c>
    </row>
    <row r="309" spans="1:27" ht="19.5" customHeight="1">
      <c r="A309" s="2">
        <v>300</v>
      </c>
      <c r="B309" s="11" t="s">
        <v>882</v>
      </c>
      <c r="C309" s="11"/>
      <c r="D309" s="11"/>
      <c r="E309" s="11" t="s">
        <v>2905</v>
      </c>
      <c r="F309" s="2" t="s">
        <v>2906</v>
      </c>
      <c r="G309" s="2" t="s">
        <v>2907</v>
      </c>
      <c r="H309" s="2" t="s">
        <v>1580</v>
      </c>
      <c r="I309" s="2" t="s">
        <v>11</v>
      </c>
      <c r="J309" s="2" t="s">
        <v>815</v>
      </c>
      <c r="K309" s="105">
        <v>1950</v>
      </c>
      <c r="L309" s="63">
        <v>1</v>
      </c>
      <c r="M309" s="63"/>
      <c r="N309" s="63"/>
      <c r="O309" s="63"/>
      <c r="P309" s="63"/>
      <c r="Q309" s="63"/>
      <c r="R309" s="100">
        <f t="shared" si="8"/>
        <v>1</v>
      </c>
      <c r="S309" s="100">
        <f t="shared" si="9"/>
        <v>-1</v>
      </c>
    </row>
    <row r="310" spans="1:27" ht="19.5" customHeight="1">
      <c r="A310" s="2">
        <v>301</v>
      </c>
      <c r="B310" s="11" t="s">
        <v>1397</v>
      </c>
      <c r="C310" s="4"/>
      <c r="D310" s="4"/>
      <c r="E310" s="11" t="s">
        <v>1398</v>
      </c>
      <c r="F310" s="2" t="s">
        <v>1399</v>
      </c>
      <c r="G310" s="2" t="s">
        <v>360</v>
      </c>
      <c r="H310" s="2" t="s">
        <v>291</v>
      </c>
      <c r="I310" s="2" t="s">
        <v>11</v>
      </c>
      <c r="J310" s="2" t="s">
        <v>642</v>
      </c>
      <c r="K310" s="105">
        <v>107</v>
      </c>
      <c r="L310" s="63">
        <v>9939</v>
      </c>
      <c r="M310" s="63"/>
      <c r="N310" s="63"/>
      <c r="O310" s="63"/>
      <c r="P310" s="63"/>
      <c r="Q310" s="63"/>
      <c r="R310" s="100">
        <f t="shared" si="8"/>
        <v>9939</v>
      </c>
      <c r="S310" s="100">
        <f t="shared" si="9"/>
        <v>-9939</v>
      </c>
    </row>
    <row r="311" spans="1:27" ht="19.5" customHeight="1">
      <c r="A311" s="2">
        <v>302</v>
      </c>
      <c r="B311" s="11" t="s">
        <v>2477</v>
      </c>
      <c r="C311" s="11"/>
      <c r="D311" s="11"/>
      <c r="E311" s="11" t="s">
        <v>2476</v>
      </c>
      <c r="F311" s="2" t="s">
        <v>2908</v>
      </c>
      <c r="G311" s="2" t="s">
        <v>2909</v>
      </c>
      <c r="H311" s="2" t="s">
        <v>799</v>
      </c>
      <c r="I311" s="2" t="s">
        <v>628</v>
      </c>
      <c r="J311" s="2" t="s">
        <v>757</v>
      </c>
      <c r="K311" s="105">
        <v>14470</v>
      </c>
      <c r="L311" s="63">
        <v>14</v>
      </c>
      <c r="M311" s="63"/>
      <c r="N311" s="63"/>
      <c r="O311" s="63"/>
      <c r="P311" s="63"/>
      <c r="Q311" s="63"/>
      <c r="R311" s="100">
        <f t="shared" si="8"/>
        <v>14</v>
      </c>
      <c r="S311" s="100">
        <f t="shared" si="9"/>
        <v>-14</v>
      </c>
    </row>
    <row r="312" spans="1:27" ht="19.5" customHeight="1">
      <c r="A312" s="2">
        <v>303</v>
      </c>
      <c r="B312" s="67" t="s">
        <v>1038</v>
      </c>
      <c r="C312" s="4"/>
      <c r="D312" s="4"/>
      <c r="E312" s="67" t="s">
        <v>1039</v>
      </c>
      <c r="F312" s="68" t="s">
        <v>1042</v>
      </c>
      <c r="G312" s="68" t="s">
        <v>324</v>
      </c>
      <c r="H312" s="68" t="s">
        <v>1040</v>
      </c>
      <c r="I312" s="68" t="s">
        <v>10</v>
      </c>
      <c r="J312" s="68" t="s">
        <v>1041</v>
      </c>
      <c r="K312" s="105">
        <v>1176</v>
      </c>
      <c r="L312" s="63">
        <v>5843</v>
      </c>
      <c r="M312" s="63"/>
      <c r="N312" s="63"/>
      <c r="O312" s="63"/>
      <c r="P312" s="63"/>
      <c r="Q312" s="63"/>
      <c r="R312" s="100">
        <f t="shared" si="8"/>
        <v>5843</v>
      </c>
      <c r="S312" s="100">
        <f t="shared" si="9"/>
        <v>-5843</v>
      </c>
    </row>
    <row r="313" spans="1:27" ht="19.5" customHeight="1">
      <c r="A313" s="2">
        <v>304</v>
      </c>
      <c r="B313" s="84" t="s">
        <v>2910</v>
      </c>
      <c r="C313" s="4"/>
      <c r="D313" s="4"/>
      <c r="E313" s="77" t="s">
        <v>1039</v>
      </c>
      <c r="F313" s="5" t="s">
        <v>2911</v>
      </c>
      <c r="G313" s="5" t="s">
        <v>322</v>
      </c>
      <c r="H313" s="5" t="s">
        <v>2912</v>
      </c>
      <c r="I313" s="5" t="s">
        <v>10</v>
      </c>
      <c r="J313" s="2" t="s">
        <v>2394</v>
      </c>
      <c r="K313" s="105">
        <v>920</v>
      </c>
      <c r="L313" s="63"/>
      <c r="M313" s="63"/>
      <c r="N313" s="63"/>
      <c r="O313" s="63"/>
      <c r="P313" s="63"/>
      <c r="Q313" s="63"/>
      <c r="R313" s="100">
        <f t="shared" si="8"/>
        <v>0</v>
      </c>
      <c r="S313" s="100">
        <f t="shared" si="9"/>
        <v>0</v>
      </c>
      <c r="T313" s="37"/>
      <c r="U313" s="37"/>
      <c r="V313" s="37"/>
      <c r="W313" s="37"/>
      <c r="X313" s="37"/>
      <c r="Y313" s="37"/>
      <c r="Z313" s="37"/>
      <c r="AA313" s="37"/>
    </row>
    <row r="314" spans="1:27" ht="19.5" customHeight="1">
      <c r="A314" s="2">
        <v>305</v>
      </c>
      <c r="B314" s="67" t="s">
        <v>1043</v>
      </c>
      <c r="C314" s="4"/>
      <c r="D314" s="4"/>
      <c r="E314" s="67" t="s">
        <v>1044</v>
      </c>
      <c r="F314" s="68" t="s">
        <v>1047</v>
      </c>
      <c r="G314" s="68" t="s">
        <v>324</v>
      </c>
      <c r="H314" s="68" t="s">
        <v>1045</v>
      </c>
      <c r="I314" s="68" t="s">
        <v>10</v>
      </c>
      <c r="J314" s="68" t="s">
        <v>1046</v>
      </c>
      <c r="K314" s="105">
        <v>840</v>
      </c>
      <c r="L314" s="63">
        <v>0</v>
      </c>
      <c r="M314" s="63"/>
      <c r="N314" s="63"/>
      <c r="O314" s="63"/>
      <c r="P314" s="63"/>
      <c r="Q314" s="63"/>
      <c r="R314" s="100">
        <f t="shared" si="8"/>
        <v>0</v>
      </c>
      <c r="S314" s="100">
        <f t="shared" si="9"/>
        <v>0</v>
      </c>
    </row>
    <row r="315" spans="1:27" ht="19.5" customHeight="1">
      <c r="A315" s="2">
        <v>306</v>
      </c>
      <c r="B315" s="11" t="s">
        <v>1333</v>
      </c>
      <c r="C315" s="4"/>
      <c r="D315" s="4"/>
      <c r="E315" s="11" t="s">
        <v>1333</v>
      </c>
      <c r="F315" s="2" t="s">
        <v>1334</v>
      </c>
      <c r="G315" s="2" t="s">
        <v>360</v>
      </c>
      <c r="H315" s="2" t="s">
        <v>238</v>
      </c>
      <c r="I315" s="2" t="s">
        <v>11</v>
      </c>
      <c r="J315" s="2" t="s">
        <v>642</v>
      </c>
      <c r="K315" s="105">
        <v>59</v>
      </c>
      <c r="L315" s="63">
        <v>500</v>
      </c>
      <c r="M315" s="63"/>
      <c r="N315" s="63"/>
      <c r="O315" s="63"/>
      <c r="P315" s="63"/>
      <c r="Q315" s="63"/>
      <c r="R315" s="100">
        <f t="shared" si="8"/>
        <v>500</v>
      </c>
      <c r="S315" s="100">
        <f t="shared" si="9"/>
        <v>-500</v>
      </c>
    </row>
    <row r="316" spans="1:27" ht="19.5" customHeight="1">
      <c r="A316" s="2">
        <v>307</v>
      </c>
      <c r="B316" s="11" t="s">
        <v>1333</v>
      </c>
      <c r="C316" s="4"/>
      <c r="D316" s="4"/>
      <c r="E316" s="11" t="s">
        <v>1538</v>
      </c>
      <c r="F316" s="2" t="s">
        <v>1539</v>
      </c>
      <c r="G316" s="2" t="s">
        <v>458</v>
      </c>
      <c r="H316" s="2" t="s">
        <v>238</v>
      </c>
      <c r="I316" s="2" t="s">
        <v>10</v>
      </c>
      <c r="J316" s="2" t="s">
        <v>884</v>
      </c>
      <c r="K316" s="105">
        <v>980</v>
      </c>
      <c r="L316" s="63">
        <v>16165</v>
      </c>
      <c r="M316" s="63"/>
      <c r="N316" s="63"/>
      <c r="O316" s="63"/>
      <c r="P316" s="63"/>
      <c r="Q316" s="63"/>
      <c r="R316" s="100">
        <f t="shared" si="8"/>
        <v>16165</v>
      </c>
      <c r="S316" s="100">
        <f t="shared" si="9"/>
        <v>-16165</v>
      </c>
    </row>
    <row r="317" spans="1:27" ht="19.5" customHeight="1">
      <c r="A317" s="2">
        <v>308</v>
      </c>
      <c r="B317" s="65" t="s">
        <v>2605</v>
      </c>
      <c r="C317" s="4"/>
      <c r="D317" s="4"/>
      <c r="E317" s="65" t="s">
        <v>2604</v>
      </c>
      <c r="F317" s="2" t="s">
        <v>2913</v>
      </c>
      <c r="G317" s="2" t="s">
        <v>801</v>
      </c>
      <c r="H317" s="66" t="s">
        <v>2606</v>
      </c>
      <c r="I317" s="66" t="s">
        <v>520</v>
      </c>
      <c r="J317" s="66" t="s">
        <v>2654</v>
      </c>
      <c r="K317" s="106">
        <v>19350</v>
      </c>
      <c r="L317" s="63">
        <v>20</v>
      </c>
      <c r="M317" s="63"/>
      <c r="N317" s="63"/>
      <c r="O317" s="63"/>
      <c r="P317" s="63"/>
      <c r="Q317" s="63"/>
      <c r="R317" s="100">
        <f t="shared" si="8"/>
        <v>20</v>
      </c>
      <c r="S317" s="100">
        <f t="shared" si="9"/>
        <v>-20</v>
      </c>
    </row>
    <row r="318" spans="1:27" ht="19.5" customHeight="1">
      <c r="A318" s="2">
        <v>309</v>
      </c>
      <c r="B318" s="67" t="s">
        <v>1048</v>
      </c>
      <c r="C318" s="4"/>
      <c r="D318" s="4"/>
      <c r="E318" s="67" t="s">
        <v>1049</v>
      </c>
      <c r="F318" s="68" t="s">
        <v>1050</v>
      </c>
      <c r="G318" s="2" t="s">
        <v>322</v>
      </c>
      <c r="H318" s="68" t="s">
        <v>267</v>
      </c>
      <c r="I318" s="68" t="s">
        <v>10</v>
      </c>
      <c r="J318" s="68" t="s">
        <v>626</v>
      </c>
      <c r="K318" s="105">
        <v>273</v>
      </c>
      <c r="L318" s="63">
        <v>176</v>
      </c>
      <c r="M318" s="63"/>
      <c r="N318" s="63"/>
      <c r="O318" s="63"/>
      <c r="P318" s="63"/>
      <c r="Q318" s="63"/>
      <c r="R318" s="100">
        <f t="shared" si="8"/>
        <v>176</v>
      </c>
      <c r="S318" s="100">
        <f t="shared" si="9"/>
        <v>-176</v>
      </c>
    </row>
    <row r="319" spans="1:27" ht="19.5" customHeight="1">
      <c r="A319" s="2">
        <v>310</v>
      </c>
      <c r="B319" s="67" t="s">
        <v>1051</v>
      </c>
      <c r="C319" s="4"/>
      <c r="D319" s="4"/>
      <c r="E319" s="67" t="s">
        <v>1052</v>
      </c>
      <c r="F319" s="68" t="s">
        <v>1054</v>
      </c>
      <c r="G319" s="2" t="s">
        <v>322</v>
      </c>
      <c r="H319" s="68" t="s">
        <v>1053</v>
      </c>
      <c r="I319" s="68" t="s">
        <v>10</v>
      </c>
      <c r="J319" s="68" t="s">
        <v>1041</v>
      </c>
      <c r="K319" s="105">
        <v>1386</v>
      </c>
      <c r="L319" s="63">
        <v>38</v>
      </c>
      <c r="M319" s="63"/>
      <c r="N319" s="63"/>
      <c r="O319" s="63"/>
      <c r="P319" s="63"/>
      <c r="Q319" s="63"/>
      <c r="R319" s="100">
        <f t="shared" si="8"/>
        <v>38</v>
      </c>
      <c r="S319" s="100">
        <f t="shared" si="9"/>
        <v>-38</v>
      </c>
    </row>
    <row r="320" spans="1:27" ht="19.5" customHeight="1">
      <c r="A320" s="2">
        <v>311</v>
      </c>
      <c r="B320" s="11" t="s">
        <v>1390</v>
      </c>
      <c r="C320" s="11"/>
      <c r="D320" s="11"/>
      <c r="E320" s="11" t="s">
        <v>2914</v>
      </c>
      <c r="F320" s="2" t="s">
        <v>2915</v>
      </c>
      <c r="G320" s="2" t="s">
        <v>322</v>
      </c>
      <c r="H320" s="2" t="s">
        <v>2916</v>
      </c>
      <c r="I320" s="2" t="s">
        <v>11</v>
      </c>
      <c r="J320" s="2" t="s">
        <v>2917</v>
      </c>
      <c r="K320" s="105">
        <v>1890</v>
      </c>
      <c r="L320" s="63">
        <v>0</v>
      </c>
      <c r="M320" s="63"/>
      <c r="N320" s="63"/>
      <c r="O320" s="63"/>
      <c r="P320" s="63"/>
      <c r="Q320" s="63"/>
      <c r="R320" s="100">
        <f t="shared" si="8"/>
        <v>0</v>
      </c>
      <c r="S320" s="100">
        <f t="shared" si="9"/>
        <v>0</v>
      </c>
    </row>
    <row r="321" spans="1:27" ht="19.5" customHeight="1">
      <c r="A321" s="2">
        <v>312</v>
      </c>
      <c r="B321" s="11" t="s">
        <v>1029</v>
      </c>
      <c r="C321" s="11"/>
      <c r="D321" s="11"/>
      <c r="E321" s="11" t="s">
        <v>2478</v>
      </c>
      <c r="F321" s="2" t="s">
        <v>2918</v>
      </c>
      <c r="G321" s="2" t="s">
        <v>322</v>
      </c>
      <c r="H321" s="2" t="s">
        <v>1229</v>
      </c>
      <c r="I321" s="2" t="s">
        <v>13</v>
      </c>
      <c r="J321" s="2" t="s">
        <v>2919</v>
      </c>
      <c r="K321" s="105">
        <v>1138</v>
      </c>
      <c r="L321" s="63">
        <v>269</v>
      </c>
      <c r="M321" s="63"/>
      <c r="N321" s="63"/>
      <c r="O321" s="63"/>
      <c r="P321" s="63"/>
      <c r="Q321" s="63"/>
      <c r="R321" s="100">
        <f t="shared" si="8"/>
        <v>269</v>
      </c>
      <c r="S321" s="100">
        <f t="shared" si="9"/>
        <v>-269</v>
      </c>
    </row>
    <row r="322" spans="1:27" ht="19.5" customHeight="1">
      <c r="A322" s="2">
        <v>313</v>
      </c>
      <c r="B322" s="11" t="s">
        <v>695</v>
      </c>
      <c r="C322" s="4"/>
      <c r="D322" s="4"/>
      <c r="E322" s="11" t="s">
        <v>1269</v>
      </c>
      <c r="F322" s="2" t="s">
        <v>1272</v>
      </c>
      <c r="G322" s="2" t="s">
        <v>1273</v>
      </c>
      <c r="H322" s="2" t="s">
        <v>1270</v>
      </c>
      <c r="I322" s="2" t="s">
        <v>12</v>
      </c>
      <c r="J322" s="2" t="s">
        <v>1271</v>
      </c>
      <c r="K322" s="105">
        <v>2900</v>
      </c>
      <c r="L322" s="63">
        <v>31</v>
      </c>
      <c r="M322" s="63"/>
      <c r="N322" s="63"/>
      <c r="O322" s="63"/>
      <c r="P322" s="63"/>
      <c r="Q322" s="63"/>
      <c r="R322" s="100">
        <f t="shared" si="8"/>
        <v>31</v>
      </c>
      <c r="S322" s="100">
        <f t="shared" si="9"/>
        <v>-31</v>
      </c>
    </row>
    <row r="323" spans="1:27" ht="19.5" customHeight="1">
      <c r="A323" s="2">
        <v>314</v>
      </c>
      <c r="B323" s="11" t="s">
        <v>374</v>
      </c>
      <c r="C323" s="11"/>
      <c r="D323" s="11"/>
      <c r="E323" s="11" t="s">
        <v>2479</v>
      </c>
      <c r="F323" s="2" t="s">
        <v>2920</v>
      </c>
      <c r="G323" s="2" t="s">
        <v>2682</v>
      </c>
      <c r="H323" s="2" t="s">
        <v>258</v>
      </c>
      <c r="I323" s="68" t="s">
        <v>10</v>
      </c>
      <c r="J323" s="2" t="s">
        <v>1329</v>
      </c>
      <c r="K323" s="105">
        <v>266</v>
      </c>
      <c r="L323" s="63">
        <v>2739</v>
      </c>
      <c r="M323" s="63"/>
      <c r="N323" s="63"/>
      <c r="O323" s="63"/>
      <c r="P323" s="63"/>
      <c r="Q323" s="63"/>
      <c r="R323" s="100">
        <f t="shared" si="8"/>
        <v>2739</v>
      </c>
      <c r="S323" s="100">
        <f t="shared" si="9"/>
        <v>-2739</v>
      </c>
    </row>
    <row r="324" spans="1:27" ht="19.5" customHeight="1">
      <c r="A324" s="2">
        <v>315</v>
      </c>
      <c r="B324" s="11" t="s">
        <v>2921</v>
      </c>
      <c r="C324" s="4"/>
      <c r="D324" s="4"/>
      <c r="E324" s="11" t="s">
        <v>2479</v>
      </c>
      <c r="F324" s="2" t="s">
        <v>2920</v>
      </c>
      <c r="G324" s="2" t="s">
        <v>2922</v>
      </c>
      <c r="H324" s="2" t="s">
        <v>258</v>
      </c>
      <c r="I324" s="2" t="s">
        <v>11</v>
      </c>
      <c r="J324" s="2" t="s">
        <v>1329</v>
      </c>
      <c r="K324" s="105">
        <v>290</v>
      </c>
      <c r="L324" s="63">
        <v>20</v>
      </c>
      <c r="M324" s="63"/>
      <c r="N324" s="63"/>
      <c r="O324" s="63"/>
      <c r="P324" s="63"/>
      <c r="Q324" s="63"/>
      <c r="R324" s="100">
        <f t="shared" si="8"/>
        <v>20</v>
      </c>
      <c r="S324" s="100">
        <f t="shared" si="9"/>
        <v>-20</v>
      </c>
    </row>
    <row r="325" spans="1:27" ht="19.5" customHeight="1">
      <c r="A325" s="2">
        <v>316</v>
      </c>
      <c r="B325" s="11" t="s">
        <v>847</v>
      </c>
      <c r="C325" s="11"/>
      <c r="D325" s="11"/>
      <c r="E325" s="11" t="s">
        <v>2572</v>
      </c>
      <c r="F325" s="2" t="s">
        <v>2923</v>
      </c>
      <c r="G325" s="2" t="s">
        <v>2682</v>
      </c>
      <c r="H325" s="2" t="s">
        <v>272</v>
      </c>
      <c r="I325" s="2" t="s">
        <v>13</v>
      </c>
      <c r="J325" s="2" t="s">
        <v>1106</v>
      </c>
      <c r="K325" s="105">
        <v>813</v>
      </c>
      <c r="L325" s="63">
        <v>10</v>
      </c>
      <c r="M325" s="63"/>
      <c r="N325" s="63"/>
      <c r="O325" s="63"/>
      <c r="P325" s="63"/>
      <c r="Q325" s="63"/>
      <c r="R325" s="100">
        <f t="shared" si="8"/>
        <v>10</v>
      </c>
      <c r="S325" s="100">
        <f t="shared" si="9"/>
        <v>-10</v>
      </c>
    </row>
    <row r="326" spans="1:27" ht="19.5" customHeight="1">
      <c r="A326" s="2">
        <v>317</v>
      </c>
      <c r="B326" s="84" t="s">
        <v>1818</v>
      </c>
      <c r="C326" s="4"/>
      <c r="D326" s="4"/>
      <c r="E326" s="77" t="s">
        <v>2924</v>
      </c>
      <c r="F326" s="5" t="s">
        <v>2925</v>
      </c>
      <c r="G326" s="68" t="s">
        <v>463</v>
      </c>
      <c r="H326" s="5" t="s">
        <v>225</v>
      </c>
      <c r="I326" s="7" t="s">
        <v>10</v>
      </c>
      <c r="J326" s="2" t="s">
        <v>1350</v>
      </c>
      <c r="K326" s="105">
        <v>2520</v>
      </c>
      <c r="L326" s="63"/>
      <c r="M326" s="63"/>
      <c r="N326" s="63"/>
      <c r="O326" s="63"/>
      <c r="P326" s="63"/>
      <c r="Q326" s="63"/>
      <c r="R326" s="100">
        <f t="shared" si="8"/>
        <v>0</v>
      </c>
      <c r="S326" s="100">
        <f t="shared" si="9"/>
        <v>0</v>
      </c>
      <c r="T326" s="37"/>
      <c r="U326" s="37"/>
      <c r="V326" s="37"/>
      <c r="W326" s="37"/>
      <c r="X326" s="37"/>
      <c r="Y326" s="37"/>
      <c r="Z326" s="37"/>
      <c r="AA326" s="37"/>
    </row>
    <row r="327" spans="1:27" ht="19.5" customHeight="1">
      <c r="A327" s="2">
        <v>318</v>
      </c>
      <c r="B327" s="65" t="s">
        <v>513</v>
      </c>
      <c r="C327" s="11"/>
      <c r="D327" s="11"/>
      <c r="E327" s="65" t="s">
        <v>2563</v>
      </c>
      <c r="F327" s="2" t="s">
        <v>2926</v>
      </c>
      <c r="G327" s="2" t="s">
        <v>2927</v>
      </c>
      <c r="H327" s="66" t="s">
        <v>2564</v>
      </c>
      <c r="I327" s="2" t="s">
        <v>15</v>
      </c>
      <c r="J327" s="2" t="s">
        <v>2057</v>
      </c>
      <c r="K327" s="105">
        <v>11025</v>
      </c>
      <c r="L327" s="63">
        <v>44</v>
      </c>
      <c r="M327" s="63"/>
      <c r="N327" s="63"/>
      <c r="O327" s="63"/>
      <c r="P327" s="63"/>
      <c r="Q327" s="63"/>
      <c r="R327" s="100">
        <f t="shared" si="8"/>
        <v>44</v>
      </c>
      <c r="S327" s="100">
        <f t="shared" si="9"/>
        <v>-44</v>
      </c>
    </row>
    <row r="328" spans="1:27" ht="19.5" customHeight="1">
      <c r="A328" s="2">
        <v>319</v>
      </c>
      <c r="B328" s="11" t="s">
        <v>2374</v>
      </c>
      <c r="C328" s="4"/>
      <c r="D328" s="4"/>
      <c r="E328" s="11" t="s">
        <v>77</v>
      </c>
      <c r="F328" s="2" t="s">
        <v>2376</v>
      </c>
      <c r="G328" s="2" t="s">
        <v>2373</v>
      </c>
      <c r="H328" s="2" t="s">
        <v>79</v>
      </c>
      <c r="I328" s="2" t="s">
        <v>80</v>
      </c>
      <c r="J328" s="2" t="s">
        <v>2375</v>
      </c>
      <c r="K328" s="105">
        <v>3500</v>
      </c>
      <c r="L328" s="63">
        <v>7430</v>
      </c>
      <c r="M328" s="63"/>
      <c r="N328" s="63"/>
      <c r="O328" s="63"/>
      <c r="P328" s="63"/>
      <c r="Q328" s="63"/>
      <c r="R328" s="100">
        <f t="shared" si="8"/>
        <v>7430</v>
      </c>
      <c r="S328" s="100">
        <f t="shared" si="9"/>
        <v>-7430</v>
      </c>
    </row>
    <row r="329" spans="1:27" ht="19.5" customHeight="1">
      <c r="A329" s="2">
        <v>320</v>
      </c>
      <c r="B329" s="11" t="s">
        <v>2186</v>
      </c>
      <c r="C329" s="4"/>
      <c r="D329" s="4"/>
      <c r="E329" s="11" t="s">
        <v>81</v>
      </c>
      <c r="F329" s="2" t="s">
        <v>2188</v>
      </c>
      <c r="G329" s="2" t="s">
        <v>2189</v>
      </c>
      <c r="H329" s="2" t="s">
        <v>82</v>
      </c>
      <c r="I329" s="2" t="s">
        <v>12</v>
      </c>
      <c r="J329" s="2" t="s">
        <v>2187</v>
      </c>
      <c r="K329" s="105">
        <v>10200</v>
      </c>
      <c r="L329" s="63">
        <v>5149</v>
      </c>
      <c r="M329" s="63"/>
      <c r="N329" s="63"/>
      <c r="O329" s="63"/>
      <c r="P329" s="63"/>
      <c r="Q329" s="63"/>
      <c r="R329" s="100">
        <f t="shared" si="8"/>
        <v>5149</v>
      </c>
      <c r="S329" s="100">
        <f t="shared" si="9"/>
        <v>-5149</v>
      </c>
    </row>
    <row r="330" spans="1:27" ht="19.5" customHeight="1">
      <c r="A330" s="2">
        <v>321</v>
      </c>
      <c r="B330" s="67" t="s">
        <v>2220</v>
      </c>
      <c r="C330" s="4"/>
      <c r="D330" s="4"/>
      <c r="E330" s="67" t="s">
        <v>83</v>
      </c>
      <c r="F330" s="68" t="s">
        <v>2221</v>
      </c>
      <c r="G330" s="68" t="s">
        <v>2217</v>
      </c>
      <c r="H330" s="68" t="s">
        <v>84</v>
      </c>
      <c r="I330" s="2" t="s">
        <v>11</v>
      </c>
      <c r="J330" s="68" t="s">
        <v>804</v>
      </c>
      <c r="K330" s="105">
        <v>1400</v>
      </c>
      <c r="L330" s="63">
        <v>2500</v>
      </c>
      <c r="M330" s="63"/>
      <c r="N330" s="63"/>
      <c r="O330" s="63"/>
      <c r="P330" s="63"/>
      <c r="Q330" s="63"/>
      <c r="R330" s="100">
        <f t="shared" si="8"/>
        <v>2500</v>
      </c>
      <c r="S330" s="100">
        <f t="shared" si="9"/>
        <v>-2500</v>
      </c>
    </row>
    <row r="331" spans="1:27" ht="19.5" customHeight="1">
      <c r="A331" s="2">
        <v>322</v>
      </c>
      <c r="B331" s="11" t="s">
        <v>86</v>
      </c>
      <c r="C331" s="4"/>
      <c r="D331" s="4"/>
      <c r="E331" s="65" t="s">
        <v>85</v>
      </c>
      <c r="F331" s="6" t="s">
        <v>2928</v>
      </c>
      <c r="G331" s="2" t="s">
        <v>867</v>
      </c>
      <c r="H331" s="6" t="s">
        <v>87</v>
      </c>
      <c r="I331" s="2" t="s">
        <v>11</v>
      </c>
      <c r="J331" s="2" t="s">
        <v>2180</v>
      </c>
      <c r="K331" s="105">
        <v>1260</v>
      </c>
      <c r="L331" s="63">
        <v>3998</v>
      </c>
      <c r="M331" s="63"/>
      <c r="N331" s="63"/>
      <c r="O331" s="63"/>
      <c r="P331" s="63"/>
      <c r="Q331" s="63"/>
      <c r="R331" s="100">
        <f t="shared" ref="R331:R394" si="10">L331+M331-O331</f>
        <v>3998</v>
      </c>
      <c r="S331" s="100">
        <f t="shared" ref="S331:S394" si="11">Q331-R331</f>
        <v>-3998</v>
      </c>
    </row>
    <row r="332" spans="1:27" ht="19.5" customHeight="1">
      <c r="A332" s="2">
        <v>323</v>
      </c>
      <c r="B332" s="70" t="s">
        <v>2083</v>
      </c>
      <c r="C332" s="4"/>
      <c r="D332" s="4"/>
      <c r="E332" s="11" t="s">
        <v>2084</v>
      </c>
      <c r="F332" s="2" t="s">
        <v>2087</v>
      </c>
      <c r="G332" s="2" t="s">
        <v>2088</v>
      </c>
      <c r="H332" s="2" t="s">
        <v>2085</v>
      </c>
      <c r="I332" s="2" t="s">
        <v>12</v>
      </c>
      <c r="J332" s="2" t="s">
        <v>2086</v>
      </c>
      <c r="K332" s="105">
        <v>2728</v>
      </c>
      <c r="L332" s="63">
        <v>1672</v>
      </c>
      <c r="M332" s="63"/>
      <c r="N332" s="63"/>
      <c r="O332" s="63"/>
      <c r="P332" s="63"/>
      <c r="Q332" s="63"/>
      <c r="R332" s="100">
        <f t="shared" si="10"/>
        <v>1672</v>
      </c>
      <c r="S332" s="100">
        <f t="shared" si="11"/>
        <v>-1672</v>
      </c>
    </row>
    <row r="333" spans="1:27" ht="19.5" customHeight="1">
      <c r="A333" s="2">
        <v>324</v>
      </c>
      <c r="B333" s="11" t="s">
        <v>1330</v>
      </c>
      <c r="C333" s="4"/>
      <c r="D333" s="4"/>
      <c r="E333" s="11" t="s">
        <v>1746</v>
      </c>
      <c r="F333" s="2" t="s">
        <v>1748</v>
      </c>
      <c r="G333" s="2" t="s">
        <v>1749</v>
      </c>
      <c r="H333" s="2" t="s">
        <v>291</v>
      </c>
      <c r="I333" s="2" t="s">
        <v>11</v>
      </c>
      <c r="J333" s="2" t="s">
        <v>1747</v>
      </c>
      <c r="K333" s="105">
        <v>155</v>
      </c>
      <c r="L333" s="63">
        <v>5344</v>
      </c>
      <c r="M333" s="63"/>
      <c r="N333" s="63"/>
      <c r="O333" s="63"/>
      <c r="P333" s="63"/>
      <c r="Q333" s="63"/>
      <c r="R333" s="100">
        <f t="shared" si="10"/>
        <v>5344</v>
      </c>
      <c r="S333" s="100">
        <f t="shared" si="11"/>
        <v>-5344</v>
      </c>
    </row>
    <row r="334" spans="1:27" ht="19.5" customHeight="1">
      <c r="A334" s="2">
        <v>325</v>
      </c>
      <c r="B334" s="11" t="s">
        <v>1277</v>
      </c>
      <c r="C334" s="11"/>
      <c r="D334" s="11"/>
      <c r="E334" s="67" t="s">
        <v>1278</v>
      </c>
      <c r="F334" s="2" t="s">
        <v>1280</v>
      </c>
      <c r="G334" s="2" t="s">
        <v>357</v>
      </c>
      <c r="H334" s="2" t="s">
        <v>1279</v>
      </c>
      <c r="I334" s="2" t="s">
        <v>10</v>
      </c>
      <c r="J334" s="2" t="s">
        <v>642</v>
      </c>
      <c r="K334" s="105">
        <v>3450</v>
      </c>
      <c r="L334" s="63">
        <v>10</v>
      </c>
      <c r="M334" s="63"/>
      <c r="N334" s="63"/>
      <c r="O334" s="63"/>
      <c r="P334" s="63"/>
      <c r="Q334" s="63"/>
      <c r="R334" s="100">
        <f t="shared" si="10"/>
        <v>10</v>
      </c>
      <c r="S334" s="100">
        <f t="shared" si="11"/>
        <v>-10</v>
      </c>
    </row>
    <row r="335" spans="1:27" ht="19.5" customHeight="1">
      <c r="A335" s="2">
        <v>326</v>
      </c>
      <c r="B335" s="11" t="s">
        <v>1684</v>
      </c>
      <c r="C335" s="4"/>
      <c r="D335" s="4"/>
      <c r="E335" s="11" t="s">
        <v>1685</v>
      </c>
      <c r="F335" s="6" t="s">
        <v>1687</v>
      </c>
      <c r="G335" s="15" t="s">
        <v>1688</v>
      </c>
      <c r="H335" s="2" t="s">
        <v>1686</v>
      </c>
      <c r="I335" s="2" t="s">
        <v>10</v>
      </c>
      <c r="J335" s="6" t="s">
        <v>538</v>
      </c>
      <c r="K335" s="105">
        <v>2900</v>
      </c>
      <c r="L335" s="63">
        <v>4503</v>
      </c>
      <c r="M335" s="63"/>
      <c r="N335" s="63"/>
      <c r="O335" s="63"/>
      <c r="P335" s="63"/>
      <c r="Q335" s="63"/>
      <c r="R335" s="100">
        <f t="shared" si="10"/>
        <v>4503</v>
      </c>
      <c r="S335" s="100">
        <f t="shared" si="11"/>
        <v>-4503</v>
      </c>
    </row>
    <row r="336" spans="1:27" ht="19.5" customHeight="1">
      <c r="A336" s="2">
        <v>327</v>
      </c>
      <c r="B336" s="65" t="s">
        <v>236</v>
      </c>
      <c r="C336" s="11"/>
      <c r="D336" s="11"/>
      <c r="E336" s="65" t="s">
        <v>2929</v>
      </c>
      <c r="F336" s="2" t="s">
        <v>2930</v>
      </c>
      <c r="G336" s="2" t="s">
        <v>2931</v>
      </c>
      <c r="H336" s="66" t="s">
        <v>238</v>
      </c>
      <c r="I336" s="2" t="s">
        <v>11</v>
      </c>
      <c r="J336" s="2" t="s">
        <v>642</v>
      </c>
      <c r="K336" s="105">
        <v>609</v>
      </c>
      <c r="L336" s="63">
        <v>5</v>
      </c>
      <c r="M336" s="63"/>
      <c r="N336" s="63"/>
      <c r="O336" s="63"/>
      <c r="P336" s="63"/>
      <c r="Q336" s="63"/>
      <c r="R336" s="100">
        <f t="shared" si="10"/>
        <v>5</v>
      </c>
      <c r="S336" s="100">
        <f t="shared" si="11"/>
        <v>-5</v>
      </c>
    </row>
    <row r="337" spans="1:27" ht="19.5" customHeight="1">
      <c r="A337" s="2">
        <v>328</v>
      </c>
      <c r="B337" s="67" t="s">
        <v>939</v>
      </c>
      <c r="C337" s="4"/>
      <c r="D337" s="4"/>
      <c r="E337" s="11" t="s">
        <v>1944</v>
      </c>
      <c r="F337" s="2" t="s">
        <v>1945</v>
      </c>
      <c r="G337" s="2" t="s">
        <v>1946</v>
      </c>
      <c r="H337" s="2" t="s">
        <v>258</v>
      </c>
      <c r="I337" s="2" t="s">
        <v>11</v>
      </c>
      <c r="J337" s="2" t="s">
        <v>839</v>
      </c>
      <c r="K337" s="105">
        <v>1092</v>
      </c>
      <c r="L337" s="63">
        <v>486</v>
      </c>
      <c r="M337" s="63"/>
      <c r="N337" s="63"/>
      <c r="O337" s="63"/>
      <c r="P337" s="63"/>
      <c r="Q337" s="63"/>
      <c r="R337" s="100">
        <f t="shared" si="10"/>
        <v>486</v>
      </c>
      <c r="S337" s="100">
        <f t="shared" si="11"/>
        <v>-486</v>
      </c>
    </row>
    <row r="338" spans="1:27" ht="19.5" customHeight="1">
      <c r="A338" s="2">
        <v>329</v>
      </c>
      <c r="B338" s="11" t="s">
        <v>750</v>
      </c>
      <c r="C338" s="11"/>
      <c r="D338" s="11"/>
      <c r="E338" s="11" t="s">
        <v>2480</v>
      </c>
      <c r="F338" s="2" t="s">
        <v>2932</v>
      </c>
      <c r="G338" s="2" t="s">
        <v>2933</v>
      </c>
      <c r="H338" s="2" t="s">
        <v>229</v>
      </c>
      <c r="I338" s="2" t="s">
        <v>13</v>
      </c>
      <c r="J338" s="2" t="s">
        <v>2934</v>
      </c>
      <c r="K338" s="105">
        <v>2078</v>
      </c>
      <c r="L338" s="63">
        <v>20</v>
      </c>
      <c r="M338" s="63"/>
      <c r="N338" s="63"/>
      <c r="O338" s="63"/>
      <c r="P338" s="63"/>
      <c r="Q338" s="63"/>
      <c r="R338" s="100">
        <f t="shared" si="10"/>
        <v>20</v>
      </c>
      <c r="S338" s="100">
        <f t="shared" si="11"/>
        <v>-20</v>
      </c>
    </row>
    <row r="339" spans="1:27" ht="19.5" customHeight="1">
      <c r="A339" s="2">
        <v>330</v>
      </c>
      <c r="B339" s="11" t="s">
        <v>750</v>
      </c>
      <c r="C339" s="11"/>
      <c r="D339" s="11"/>
      <c r="E339" s="11" t="s">
        <v>2480</v>
      </c>
      <c r="F339" s="2" t="s">
        <v>2935</v>
      </c>
      <c r="G339" s="2" t="s">
        <v>2933</v>
      </c>
      <c r="H339" s="2" t="s">
        <v>229</v>
      </c>
      <c r="I339" s="2" t="s">
        <v>11</v>
      </c>
      <c r="J339" s="2" t="s">
        <v>2936</v>
      </c>
      <c r="K339" s="105">
        <v>2026</v>
      </c>
      <c r="L339" s="63">
        <v>815</v>
      </c>
      <c r="M339" s="63"/>
      <c r="N339" s="63"/>
      <c r="O339" s="63"/>
      <c r="P339" s="63"/>
      <c r="Q339" s="63"/>
      <c r="R339" s="100">
        <f t="shared" si="10"/>
        <v>815</v>
      </c>
      <c r="S339" s="100">
        <f t="shared" si="11"/>
        <v>-815</v>
      </c>
    </row>
    <row r="340" spans="1:27" ht="19.5" customHeight="1">
      <c r="A340" s="2">
        <v>331</v>
      </c>
      <c r="B340" s="11" t="s">
        <v>750</v>
      </c>
      <c r="C340" s="11"/>
      <c r="D340" s="11"/>
      <c r="E340" s="11" t="s">
        <v>2480</v>
      </c>
      <c r="F340" s="2" t="s">
        <v>2937</v>
      </c>
      <c r="G340" s="2" t="s">
        <v>2933</v>
      </c>
      <c r="H340" s="2" t="s">
        <v>262</v>
      </c>
      <c r="I340" s="2" t="s">
        <v>11</v>
      </c>
      <c r="J340" s="2" t="s">
        <v>2936</v>
      </c>
      <c r="K340" s="105">
        <v>2831</v>
      </c>
      <c r="L340" s="63">
        <v>0</v>
      </c>
      <c r="M340" s="63"/>
      <c r="N340" s="63"/>
      <c r="O340" s="63"/>
      <c r="P340" s="63"/>
      <c r="Q340" s="63"/>
      <c r="R340" s="100">
        <f t="shared" si="10"/>
        <v>0</v>
      </c>
      <c r="S340" s="100">
        <f t="shared" si="11"/>
        <v>0</v>
      </c>
    </row>
    <row r="341" spans="1:27" ht="19.5" customHeight="1">
      <c r="A341" s="2">
        <v>332</v>
      </c>
      <c r="B341" s="11" t="s">
        <v>1070</v>
      </c>
      <c r="C341" s="4"/>
      <c r="D341" s="4"/>
      <c r="E341" s="11" t="s">
        <v>1071</v>
      </c>
      <c r="F341" s="2" t="s">
        <v>1074</v>
      </c>
      <c r="G341" s="2" t="s">
        <v>336</v>
      </c>
      <c r="H341" s="2" t="s">
        <v>1072</v>
      </c>
      <c r="I341" s="2" t="s">
        <v>18</v>
      </c>
      <c r="J341" s="2" t="s">
        <v>1073</v>
      </c>
      <c r="K341" s="105">
        <v>1250</v>
      </c>
      <c r="L341" s="63">
        <v>1317</v>
      </c>
      <c r="M341" s="63"/>
      <c r="N341" s="63"/>
      <c r="O341" s="63"/>
      <c r="P341" s="63"/>
      <c r="Q341" s="63"/>
      <c r="R341" s="100">
        <f t="shared" si="10"/>
        <v>1317</v>
      </c>
      <c r="S341" s="100">
        <f t="shared" si="11"/>
        <v>-1317</v>
      </c>
    </row>
    <row r="342" spans="1:27" ht="19.5" customHeight="1">
      <c r="A342" s="2">
        <v>333</v>
      </c>
      <c r="B342" s="11" t="s">
        <v>1330</v>
      </c>
      <c r="C342" s="11"/>
      <c r="D342" s="11"/>
      <c r="E342" s="11" t="s">
        <v>2481</v>
      </c>
      <c r="F342" s="2" t="s">
        <v>2938</v>
      </c>
      <c r="G342" s="2" t="s">
        <v>2939</v>
      </c>
      <c r="H342" s="2" t="s">
        <v>1580</v>
      </c>
      <c r="I342" s="2" t="s">
        <v>520</v>
      </c>
      <c r="J342" s="2" t="s">
        <v>2654</v>
      </c>
      <c r="K342" s="105">
        <v>7800</v>
      </c>
      <c r="L342" s="63">
        <v>4</v>
      </c>
      <c r="M342" s="63"/>
      <c r="N342" s="63"/>
      <c r="O342" s="63"/>
      <c r="P342" s="63"/>
      <c r="Q342" s="63"/>
      <c r="R342" s="100">
        <f t="shared" si="10"/>
        <v>4</v>
      </c>
      <c r="S342" s="100">
        <f t="shared" si="11"/>
        <v>-4</v>
      </c>
    </row>
    <row r="343" spans="1:27" ht="19.5" customHeight="1">
      <c r="A343" s="2">
        <v>334</v>
      </c>
      <c r="B343" s="65" t="s">
        <v>619</v>
      </c>
      <c r="C343" s="11"/>
      <c r="D343" s="11"/>
      <c r="E343" s="65" t="s">
        <v>2940</v>
      </c>
      <c r="F343" s="2" t="s">
        <v>2941</v>
      </c>
      <c r="G343" s="2" t="s">
        <v>2764</v>
      </c>
      <c r="H343" s="66" t="s">
        <v>299</v>
      </c>
      <c r="I343" s="2" t="s">
        <v>11</v>
      </c>
      <c r="J343" s="2" t="s">
        <v>1329</v>
      </c>
      <c r="K343" s="105">
        <v>350</v>
      </c>
      <c r="L343" s="63">
        <v>5100</v>
      </c>
      <c r="M343" s="63"/>
      <c r="N343" s="63"/>
      <c r="O343" s="63"/>
      <c r="P343" s="63"/>
      <c r="Q343" s="63"/>
      <c r="R343" s="100">
        <f t="shared" si="10"/>
        <v>5100</v>
      </c>
      <c r="S343" s="100">
        <f t="shared" si="11"/>
        <v>-5100</v>
      </c>
    </row>
    <row r="344" spans="1:27" ht="19.5" customHeight="1">
      <c r="A344" s="2">
        <v>335</v>
      </c>
      <c r="B344" s="11" t="s">
        <v>634</v>
      </c>
      <c r="C344" s="4"/>
      <c r="D344" s="4"/>
      <c r="E344" s="11" t="s">
        <v>1795</v>
      </c>
      <c r="F344" s="2" t="s">
        <v>1796</v>
      </c>
      <c r="G344" s="2" t="s">
        <v>1797</v>
      </c>
      <c r="H344" s="2" t="s">
        <v>235</v>
      </c>
      <c r="I344" s="2" t="s">
        <v>11</v>
      </c>
      <c r="J344" s="2" t="s">
        <v>804</v>
      </c>
      <c r="K344" s="105">
        <v>7875</v>
      </c>
      <c r="L344" s="63">
        <v>6600</v>
      </c>
      <c r="M344" s="63"/>
      <c r="N344" s="63"/>
      <c r="O344" s="63"/>
      <c r="P344" s="63"/>
      <c r="Q344" s="63"/>
      <c r="R344" s="100">
        <f t="shared" si="10"/>
        <v>6600</v>
      </c>
      <c r="S344" s="100">
        <f t="shared" si="11"/>
        <v>-6600</v>
      </c>
    </row>
    <row r="345" spans="1:27" ht="19.5" customHeight="1">
      <c r="A345" s="2">
        <v>336</v>
      </c>
      <c r="B345" s="64" t="s">
        <v>236</v>
      </c>
      <c r="C345" s="3"/>
      <c r="D345" s="3"/>
      <c r="E345" s="11" t="s">
        <v>236</v>
      </c>
      <c r="F345" s="2" t="s">
        <v>375</v>
      </c>
      <c r="G345" s="2" t="s">
        <v>360</v>
      </c>
      <c r="H345" s="2" t="s">
        <v>327</v>
      </c>
      <c r="I345" s="2" t="s">
        <v>10</v>
      </c>
      <c r="J345" s="2" t="s">
        <v>642</v>
      </c>
      <c r="K345" s="105">
        <v>77</v>
      </c>
      <c r="L345" s="63">
        <v>2000</v>
      </c>
      <c r="M345" s="63"/>
      <c r="N345" s="63"/>
      <c r="O345" s="63"/>
      <c r="P345" s="63"/>
      <c r="Q345" s="63"/>
      <c r="R345" s="100">
        <f t="shared" si="10"/>
        <v>2000</v>
      </c>
      <c r="S345" s="100">
        <f t="shared" si="11"/>
        <v>-2000</v>
      </c>
    </row>
    <row r="346" spans="1:27" ht="19.5" customHeight="1">
      <c r="A346" s="2">
        <v>337</v>
      </c>
      <c r="B346" s="11" t="s">
        <v>236</v>
      </c>
      <c r="C346" s="11"/>
      <c r="D346" s="11"/>
      <c r="E346" s="11" t="s">
        <v>236</v>
      </c>
      <c r="F346" s="2" t="s">
        <v>375</v>
      </c>
      <c r="G346" s="2" t="s">
        <v>360</v>
      </c>
      <c r="H346" s="2" t="s">
        <v>327</v>
      </c>
      <c r="I346" s="2" t="s">
        <v>10</v>
      </c>
      <c r="J346" s="2" t="s">
        <v>642</v>
      </c>
      <c r="K346" s="105">
        <v>82</v>
      </c>
      <c r="L346" s="63">
        <v>0</v>
      </c>
      <c r="M346" s="63"/>
      <c r="N346" s="63"/>
      <c r="O346" s="63"/>
      <c r="P346" s="63"/>
      <c r="Q346" s="63"/>
      <c r="R346" s="100">
        <f t="shared" si="10"/>
        <v>0</v>
      </c>
      <c r="S346" s="100">
        <f t="shared" si="11"/>
        <v>0</v>
      </c>
    </row>
    <row r="347" spans="1:27" ht="19.5" customHeight="1">
      <c r="A347" s="2">
        <v>338</v>
      </c>
      <c r="B347" s="84" t="s">
        <v>2942</v>
      </c>
      <c r="C347" s="4"/>
      <c r="D347" s="4"/>
      <c r="E347" s="77" t="s">
        <v>236</v>
      </c>
      <c r="F347" s="5" t="s">
        <v>375</v>
      </c>
      <c r="G347" s="5" t="s">
        <v>358</v>
      </c>
      <c r="H347" s="5" t="s">
        <v>327</v>
      </c>
      <c r="I347" s="7" t="s">
        <v>10</v>
      </c>
      <c r="J347" s="2" t="s">
        <v>642</v>
      </c>
      <c r="K347" s="105">
        <v>98</v>
      </c>
      <c r="L347" s="63"/>
      <c r="M347" s="63"/>
      <c r="N347" s="63"/>
      <c r="O347" s="63"/>
      <c r="P347" s="63"/>
      <c r="Q347" s="63"/>
      <c r="R347" s="100">
        <f t="shared" si="10"/>
        <v>0</v>
      </c>
      <c r="S347" s="100">
        <f t="shared" si="11"/>
        <v>0</v>
      </c>
      <c r="T347" s="37"/>
      <c r="U347" s="37"/>
      <c r="V347" s="37"/>
      <c r="W347" s="37"/>
      <c r="X347" s="37"/>
      <c r="Y347" s="37"/>
      <c r="Z347" s="37"/>
      <c r="AA347" s="37"/>
    </row>
    <row r="348" spans="1:27" ht="19.5" customHeight="1">
      <c r="A348" s="2">
        <v>339</v>
      </c>
      <c r="B348" s="84" t="s">
        <v>2942</v>
      </c>
      <c r="C348" s="4"/>
      <c r="D348" s="4"/>
      <c r="E348" s="77" t="s">
        <v>2943</v>
      </c>
      <c r="F348" s="5" t="s">
        <v>2944</v>
      </c>
      <c r="G348" s="5" t="s">
        <v>2945</v>
      </c>
      <c r="H348" s="5" t="s">
        <v>1995</v>
      </c>
      <c r="I348" s="7" t="s">
        <v>10</v>
      </c>
      <c r="J348" s="2" t="s">
        <v>547</v>
      </c>
      <c r="K348" s="105">
        <v>228</v>
      </c>
      <c r="L348" s="63"/>
      <c r="M348" s="63"/>
      <c r="N348" s="63"/>
      <c r="O348" s="63"/>
      <c r="P348" s="63"/>
      <c r="Q348" s="63"/>
      <c r="R348" s="100">
        <f t="shared" si="10"/>
        <v>0</v>
      </c>
      <c r="S348" s="100">
        <f t="shared" si="11"/>
        <v>0</v>
      </c>
      <c r="T348" s="37"/>
      <c r="U348" s="37"/>
      <c r="V348" s="37"/>
      <c r="W348" s="37"/>
      <c r="X348" s="37"/>
      <c r="Y348" s="37"/>
      <c r="Z348" s="37"/>
      <c r="AA348" s="37"/>
    </row>
    <row r="349" spans="1:27" ht="19.5" customHeight="1">
      <c r="A349" s="2">
        <v>340</v>
      </c>
      <c r="B349" s="11" t="s">
        <v>2625</v>
      </c>
      <c r="C349" s="11"/>
      <c r="D349" s="11"/>
      <c r="E349" s="11" t="s">
        <v>2946</v>
      </c>
      <c r="F349" s="2" t="s">
        <v>2947</v>
      </c>
      <c r="G349" s="2" t="s">
        <v>2948</v>
      </c>
      <c r="H349" s="2" t="s">
        <v>2949</v>
      </c>
      <c r="I349" s="2" t="s">
        <v>10</v>
      </c>
      <c r="J349" s="2" t="s">
        <v>1872</v>
      </c>
      <c r="K349" s="105">
        <v>182</v>
      </c>
      <c r="L349" s="63">
        <v>0</v>
      </c>
      <c r="M349" s="63"/>
      <c r="N349" s="63"/>
      <c r="O349" s="63"/>
      <c r="P349" s="63"/>
      <c r="Q349" s="63"/>
      <c r="R349" s="100">
        <f t="shared" si="10"/>
        <v>0</v>
      </c>
      <c r="S349" s="100">
        <f t="shared" si="11"/>
        <v>0</v>
      </c>
    </row>
    <row r="350" spans="1:27" ht="19.5" customHeight="1">
      <c r="A350" s="2">
        <v>341</v>
      </c>
      <c r="B350" s="65" t="s">
        <v>2482</v>
      </c>
      <c r="C350" s="4"/>
      <c r="D350" s="4"/>
      <c r="E350" s="65" t="s">
        <v>2950</v>
      </c>
      <c r="F350" s="2" t="s">
        <v>2951</v>
      </c>
      <c r="G350" s="2" t="s">
        <v>449</v>
      </c>
      <c r="H350" s="66" t="s">
        <v>2483</v>
      </c>
      <c r="I350" s="66" t="s">
        <v>13</v>
      </c>
      <c r="J350" s="66" t="s">
        <v>2952</v>
      </c>
      <c r="K350" s="106">
        <v>5400</v>
      </c>
      <c r="L350" s="63">
        <v>1749</v>
      </c>
      <c r="M350" s="63"/>
      <c r="N350" s="63"/>
      <c r="O350" s="63"/>
      <c r="P350" s="63"/>
      <c r="Q350" s="63"/>
      <c r="R350" s="100">
        <f t="shared" si="10"/>
        <v>1749</v>
      </c>
      <c r="S350" s="100">
        <f t="shared" si="11"/>
        <v>-1749</v>
      </c>
    </row>
    <row r="351" spans="1:27" ht="19.5" customHeight="1">
      <c r="A351" s="2">
        <v>342</v>
      </c>
      <c r="B351" s="67" t="s">
        <v>2953</v>
      </c>
      <c r="C351" s="4"/>
      <c r="D351" s="4"/>
      <c r="E351" s="67" t="s">
        <v>1152</v>
      </c>
      <c r="F351" s="68" t="s">
        <v>1154</v>
      </c>
      <c r="G351" s="68" t="s">
        <v>1155</v>
      </c>
      <c r="H351" s="68" t="s">
        <v>2954</v>
      </c>
      <c r="I351" s="68" t="s">
        <v>11</v>
      </c>
      <c r="J351" s="68" t="s">
        <v>1153</v>
      </c>
      <c r="K351" s="105">
        <v>1600</v>
      </c>
      <c r="L351" s="63">
        <v>4220</v>
      </c>
      <c r="M351" s="63"/>
      <c r="N351" s="63"/>
      <c r="O351" s="63"/>
      <c r="P351" s="63"/>
      <c r="Q351" s="63"/>
      <c r="R351" s="100">
        <f t="shared" si="10"/>
        <v>4220</v>
      </c>
      <c r="S351" s="100">
        <f t="shared" si="11"/>
        <v>-4220</v>
      </c>
    </row>
    <row r="352" spans="1:27" ht="19.5" customHeight="1">
      <c r="A352" s="2">
        <v>343</v>
      </c>
      <c r="B352" s="11" t="s">
        <v>724</v>
      </c>
      <c r="C352" s="4"/>
      <c r="D352" s="4"/>
      <c r="E352" s="11" t="s">
        <v>725</v>
      </c>
      <c r="F352" s="2" t="s">
        <v>727</v>
      </c>
      <c r="G352" s="2" t="s">
        <v>728</v>
      </c>
      <c r="H352" s="2" t="s">
        <v>238</v>
      </c>
      <c r="I352" s="2" t="s">
        <v>628</v>
      </c>
      <c r="J352" s="2" t="s">
        <v>726</v>
      </c>
      <c r="K352" s="105">
        <v>2100</v>
      </c>
      <c r="L352" s="63">
        <v>19</v>
      </c>
      <c r="M352" s="63"/>
      <c r="N352" s="63"/>
      <c r="O352" s="63"/>
      <c r="P352" s="63"/>
      <c r="Q352" s="63"/>
      <c r="R352" s="100">
        <f t="shared" si="10"/>
        <v>19</v>
      </c>
      <c r="S352" s="100">
        <f t="shared" si="11"/>
        <v>-19</v>
      </c>
    </row>
    <row r="353" spans="1:27" ht="19.5" customHeight="1">
      <c r="A353" s="2">
        <v>344</v>
      </c>
      <c r="B353" s="11" t="s">
        <v>2955</v>
      </c>
      <c r="C353" s="4"/>
      <c r="D353" s="4"/>
      <c r="E353" s="11" t="s">
        <v>777</v>
      </c>
      <c r="F353" s="2" t="s">
        <v>2956</v>
      </c>
      <c r="G353" s="2" t="s">
        <v>285</v>
      </c>
      <c r="H353" s="2" t="s">
        <v>2957</v>
      </c>
      <c r="I353" s="2" t="s">
        <v>520</v>
      </c>
      <c r="J353" s="2" t="s">
        <v>241</v>
      </c>
      <c r="K353" s="105">
        <v>57000</v>
      </c>
      <c r="L353" s="63">
        <v>20</v>
      </c>
      <c r="M353" s="63"/>
      <c r="N353" s="63"/>
      <c r="O353" s="63"/>
      <c r="P353" s="63"/>
      <c r="Q353" s="63"/>
      <c r="R353" s="100">
        <f t="shared" si="10"/>
        <v>20</v>
      </c>
      <c r="S353" s="100">
        <f t="shared" si="11"/>
        <v>-20</v>
      </c>
    </row>
    <row r="354" spans="1:27" ht="19.5" customHeight="1">
      <c r="A354" s="2">
        <v>345</v>
      </c>
      <c r="B354" s="11" t="s">
        <v>1335</v>
      </c>
      <c r="C354" s="4"/>
      <c r="D354" s="4"/>
      <c r="E354" s="11" t="s">
        <v>1335</v>
      </c>
      <c r="F354" s="2" t="s">
        <v>1337</v>
      </c>
      <c r="G354" s="2" t="s">
        <v>360</v>
      </c>
      <c r="H354" s="2" t="s">
        <v>225</v>
      </c>
      <c r="I354" s="2" t="s">
        <v>11</v>
      </c>
      <c r="J354" s="2" t="s">
        <v>1336</v>
      </c>
      <c r="K354" s="105">
        <v>1130</v>
      </c>
      <c r="L354" s="63">
        <v>0</v>
      </c>
      <c r="M354" s="63"/>
      <c r="N354" s="63"/>
      <c r="O354" s="63"/>
      <c r="P354" s="63"/>
      <c r="Q354" s="63"/>
      <c r="R354" s="100">
        <f t="shared" si="10"/>
        <v>0</v>
      </c>
      <c r="S354" s="100">
        <f t="shared" si="11"/>
        <v>0</v>
      </c>
    </row>
    <row r="355" spans="1:27" ht="19.5" customHeight="1">
      <c r="A355" s="2">
        <v>346</v>
      </c>
      <c r="B355" s="11" t="s">
        <v>1335</v>
      </c>
      <c r="C355" s="11"/>
      <c r="D355" s="11"/>
      <c r="E355" s="11" t="s">
        <v>1335</v>
      </c>
      <c r="F355" s="2" t="s">
        <v>2958</v>
      </c>
      <c r="G355" s="2" t="s">
        <v>360</v>
      </c>
      <c r="H355" s="2" t="s">
        <v>225</v>
      </c>
      <c r="I355" s="2" t="s">
        <v>11</v>
      </c>
      <c r="J355" s="2" t="s">
        <v>585</v>
      </c>
      <c r="K355" s="105">
        <v>1185</v>
      </c>
      <c r="L355" s="63">
        <v>0</v>
      </c>
      <c r="M355" s="63"/>
      <c r="N355" s="63"/>
      <c r="O355" s="63"/>
      <c r="P355" s="63"/>
      <c r="Q355" s="63"/>
      <c r="R355" s="100">
        <f t="shared" si="10"/>
        <v>0</v>
      </c>
      <c r="S355" s="100">
        <f t="shared" si="11"/>
        <v>0</v>
      </c>
    </row>
    <row r="356" spans="1:27" ht="19.5" customHeight="1">
      <c r="A356" s="2">
        <v>347</v>
      </c>
      <c r="B356" s="11" t="s">
        <v>1335</v>
      </c>
      <c r="C356" s="4"/>
      <c r="D356" s="4"/>
      <c r="E356" s="11" t="s">
        <v>1921</v>
      </c>
      <c r="F356" s="2" t="s">
        <v>1922</v>
      </c>
      <c r="G356" s="2" t="s">
        <v>1913</v>
      </c>
      <c r="H356" s="2" t="s">
        <v>272</v>
      </c>
      <c r="I356" s="2" t="s">
        <v>11</v>
      </c>
      <c r="J356" s="2" t="s">
        <v>585</v>
      </c>
      <c r="K356" s="105">
        <v>630</v>
      </c>
      <c r="L356" s="63">
        <v>0</v>
      </c>
      <c r="M356" s="63"/>
      <c r="N356" s="63"/>
      <c r="O356" s="63"/>
      <c r="P356" s="63"/>
      <c r="Q356" s="63"/>
      <c r="R356" s="100">
        <f t="shared" si="10"/>
        <v>0</v>
      </c>
      <c r="S356" s="100">
        <f t="shared" si="11"/>
        <v>0</v>
      </c>
    </row>
    <row r="357" spans="1:27" ht="19.5" customHeight="1">
      <c r="A357" s="2">
        <v>348</v>
      </c>
      <c r="B357" s="77" t="s">
        <v>634</v>
      </c>
      <c r="C357" s="4"/>
      <c r="D357" s="4"/>
      <c r="E357" s="77" t="s">
        <v>2959</v>
      </c>
      <c r="F357" s="5" t="s">
        <v>2960</v>
      </c>
      <c r="G357" s="5" t="s">
        <v>2961</v>
      </c>
      <c r="H357" s="5" t="s">
        <v>235</v>
      </c>
      <c r="I357" s="5" t="s">
        <v>10</v>
      </c>
      <c r="J357" s="5" t="s">
        <v>1350</v>
      </c>
      <c r="K357" s="105">
        <v>545</v>
      </c>
      <c r="L357" s="63"/>
      <c r="M357" s="63"/>
      <c r="N357" s="63"/>
      <c r="O357" s="63"/>
      <c r="P357" s="63"/>
      <c r="Q357" s="63"/>
      <c r="R357" s="100">
        <f t="shared" si="10"/>
        <v>0</v>
      </c>
      <c r="S357" s="100">
        <f t="shared" si="11"/>
        <v>0</v>
      </c>
      <c r="T357" s="37"/>
      <c r="U357" s="37"/>
      <c r="V357" s="37"/>
      <c r="W357" s="37"/>
      <c r="X357" s="37"/>
      <c r="Y357" s="37"/>
      <c r="Z357" s="37"/>
      <c r="AA357" s="37"/>
    </row>
    <row r="358" spans="1:27" ht="19.5" customHeight="1">
      <c r="A358" s="2">
        <v>349</v>
      </c>
      <c r="B358" s="77" t="s">
        <v>634</v>
      </c>
      <c r="C358" s="4"/>
      <c r="D358" s="4"/>
      <c r="E358" s="77" t="s">
        <v>2962</v>
      </c>
      <c r="F358" s="5" t="s">
        <v>2963</v>
      </c>
      <c r="G358" s="5" t="s">
        <v>2699</v>
      </c>
      <c r="H358" s="5" t="s">
        <v>315</v>
      </c>
      <c r="I358" s="5" t="s">
        <v>10</v>
      </c>
      <c r="J358" s="5" t="s">
        <v>1350</v>
      </c>
      <c r="K358" s="105">
        <v>4000</v>
      </c>
      <c r="L358" s="63"/>
      <c r="M358" s="63"/>
      <c r="N358" s="63"/>
      <c r="O358" s="63"/>
      <c r="P358" s="63"/>
      <c r="Q358" s="63"/>
      <c r="R358" s="100">
        <f t="shared" si="10"/>
        <v>0</v>
      </c>
      <c r="S358" s="100">
        <f t="shared" si="11"/>
        <v>0</v>
      </c>
      <c r="T358" s="37"/>
      <c r="U358" s="37"/>
      <c r="V358" s="37"/>
      <c r="W358" s="37"/>
      <c r="X358" s="37"/>
      <c r="Y358" s="37"/>
      <c r="Z358" s="37"/>
      <c r="AA358" s="37"/>
    </row>
    <row r="359" spans="1:27" ht="19.5" customHeight="1">
      <c r="A359" s="2">
        <v>350</v>
      </c>
      <c r="B359" s="11" t="s">
        <v>634</v>
      </c>
      <c r="C359" s="4"/>
      <c r="D359" s="4"/>
      <c r="E359" s="11" t="s">
        <v>1281</v>
      </c>
      <c r="F359" s="2" t="s">
        <v>1284</v>
      </c>
      <c r="G359" s="2" t="s">
        <v>1285</v>
      </c>
      <c r="H359" s="2" t="s">
        <v>1282</v>
      </c>
      <c r="I359" s="2" t="s">
        <v>14</v>
      </c>
      <c r="J359" s="2" t="s">
        <v>1283</v>
      </c>
      <c r="K359" s="105">
        <v>60400</v>
      </c>
      <c r="L359" s="63">
        <v>38</v>
      </c>
      <c r="M359" s="63"/>
      <c r="N359" s="63"/>
      <c r="O359" s="63"/>
      <c r="P359" s="63"/>
      <c r="Q359" s="63"/>
      <c r="R359" s="100">
        <f t="shared" si="10"/>
        <v>38</v>
      </c>
      <c r="S359" s="100">
        <f t="shared" si="11"/>
        <v>-38</v>
      </c>
    </row>
    <row r="360" spans="1:27" ht="19.5" customHeight="1">
      <c r="A360" s="2">
        <v>351</v>
      </c>
      <c r="B360" s="67" t="s">
        <v>1024</v>
      </c>
      <c r="C360" s="4"/>
      <c r="D360" s="4"/>
      <c r="E360" s="67" t="s">
        <v>1025</v>
      </c>
      <c r="F360" s="68" t="s">
        <v>1027</v>
      </c>
      <c r="G360" s="68" t="s">
        <v>1028</v>
      </c>
      <c r="H360" s="68" t="s">
        <v>267</v>
      </c>
      <c r="I360" s="68" t="s">
        <v>10</v>
      </c>
      <c r="J360" s="68" t="s">
        <v>1026</v>
      </c>
      <c r="K360" s="105">
        <v>838</v>
      </c>
      <c r="L360" s="63">
        <v>28023</v>
      </c>
      <c r="M360" s="63"/>
      <c r="N360" s="63"/>
      <c r="O360" s="63"/>
      <c r="P360" s="63"/>
      <c r="Q360" s="63"/>
      <c r="R360" s="100">
        <f t="shared" si="10"/>
        <v>28023</v>
      </c>
      <c r="S360" s="100">
        <f t="shared" si="11"/>
        <v>-28023</v>
      </c>
    </row>
    <row r="361" spans="1:27" ht="19.5" customHeight="1">
      <c r="A361" s="2">
        <v>352</v>
      </c>
      <c r="B361" s="67" t="s">
        <v>1019</v>
      </c>
      <c r="C361" s="4"/>
      <c r="D361" s="4"/>
      <c r="E361" s="67" t="s">
        <v>1020</v>
      </c>
      <c r="F361" s="68" t="s">
        <v>1023</v>
      </c>
      <c r="G361" s="68" t="s">
        <v>1001</v>
      </c>
      <c r="H361" s="68" t="s">
        <v>1021</v>
      </c>
      <c r="I361" s="68" t="s">
        <v>18</v>
      </c>
      <c r="J361" s="68" t="s">
        <v>1022</v>
      </c>
      <c r="K361" s="105">
        <v>53300</v>
      </c>
      <c r="L361" s="63">
        <v>3</v>
      </c>
      <c r="M361" s="63"/>
      <c r="N361" s="63"/>
      <c r="O361" s="63"/>
      <c r="P361" s="63"/>
      <c r="Q361" s="63"/>
      <c r="R361" s="100">
        <f t="shared" si="10"/>
        <v>3</v>
      </c>
      <c r="S361" s="100">
        <f t="shared" si="11"/>
        <v>-3</v>
      </c>
    </row>
    <row r="362" spans="1:27" ht="19.5" customHeight="1">
      <c r="A362" s="2">
        <v>353</v>
      </c>
      <c r="B362" s="11" t="s">
        <v>802</v>
      </c>
      <c r="C362" s="11"/>
      <c r="D362" s="11"/>
      <c r="E362" s="11" t="s">
        <v>2573</v>
      </c>
      <c r="F362" s="2" t="s">
        <v>2964</v>
      </c>
      <c r="G362" s="2" t="s">
        <v>2965</v>
      </c>
      <c r="H362" s="2" t="s">
        <v>1200</v>
      </c>
      <c r="I362" s="2" t="s">
        <v>11</v>
      </c>
      <c r="J362" s="2" t="s">
        <v>2966</v>
      </c>
      <c r="K362" s="105">
        <v>1183</v>
      </c>
      <c r="L362" s="63">
        <v>10046</v>
      </c>
      <c r="M362" s="63"/>
      <c r="N362" s="63"/>
      <c r="O362" s="63"/>
      <c r="P362" s="63"/>
      <c r="Q362" s="63"/>
      <c r="R362" s="100">
        <f t="shared" si="10"/>
        <v>10046</v>
      </c>
      <c r="S362" s="100">
        <f t="shared" si="11"/>
        <v>-10046</v>
      </c>
    </row>
    <row r="363" spans="1:27" ht="19.5" customHeight="1">
      <c r="A363" s="2">
        <v>354</v>
      </c>
      <c r="B363" s="11" t="s">
        <v>802</v>
      </c>
      <c r="C363" s="11"/>
      <c r="D363" s="11"/>
      <c r="E363" s="11" t="s">
        <v>2574</v>
      </c>
      <c r="F363" s="2" t="s">
        <v>2967</v>
      </c>
      <c r="G363" s="2" t="s">
        <v>2965</v>
      </c>
      <c r="H363" s="2" t="s">
        <v>272</v>
      </c>
      <c r="I363" s="2" t="s">
        <v>11</v>
      </c>
      <c r="J363" s="2" t="s">
        <v>2204</v>
      </c>
      <c r="K363" s="105">
        <v>1446</v>
      </c>
      <c r="L363" s="63">
        <v>1644</v>
      </c>
      <c r="M363" s="63"/>
      <c r="N363" s="63"/>
      <c r="O363" s="63"/>
      <c r="P363" s="63"/>
      <c r="Q363" s="63"/>
      <c r="R363" s="100">
        <f t="shared" si="10"/>
        <v>1644</v>
      </c>
      <c r="S363" s="100">
        <f t="shared" si="11"/>
        <v>-1644</v>
      </c>
    </row>
    <row r="364" spans="1:27" ht="19.5" customHeight="1">
      <c r="A364" s="2">
        <v>355</v>
      </c>
      <c r="B364" s="11" t="s">
        <v>2485</v>
      </c>
      <c r="C364" s="11"/>
      <c r="D364" s="11"/>
      <c r="E364" s="11" t="s">
        <v>2484</v>
      </c>
      <c r="F364" s="2" t="s">
        <v>2968</v>
      </c>
      <c r="G364" s="2" t="s">
        <v>2969</v>
      </c>
      <c r="H364" s="2" t="s">
        <v>2486</v>
      </c>
      <c r="I364" s="2" t="s">
        <v>11</v>
      </c>
      <c r="J364" s="2" t="s">
        <v>2970</v>
      </c>
      <c r="K364" s="105">
        <v>1450</v>
      </c>
      <c r="L364" s="63">
        <v>8821</v>
      </c>
      <c r="M364" s="63"/>
      <c r="N364" s="63"/>
      <c r="O364" s="63"/>
      <c r="P364" s="63"/>
      <c r="Q364" s="63"/>
      <c r="R364" s="100">
        <f t="shared" si="10"/>
        <v>8821</v>
      </c>
      <c r="S364" s="100">
        <f t="shared" si="11"/>
        <v>-8821</v>
      </c>
    </row>
    <row r="365" spans="1:27" ht="19.5" customHeight="1">
      <c r="A365" s="2">
        <v>356</v>
      </c>
      <c r="B365" s="77" t="s">
        <v>2971</v>
      </c>
      <c r="C365" s="4"/>
      <c r="D365" s="4"/>
      <c r="E365" s="77" t="s">
        <v>2972</v>
      </c>
      <c r="F365" s="5" t="s">
        <v>2973</v>
      </c>
      <c r="G365" s="5" t="s">
        <v>2974</v>
      </c>
      <c r="H365" s="5" t="s">
        <v>962</v>
      </c>
      <c r="I365" s="5" t="s">
        <v>12</v>
      </c>
      <c r="J365" s="5" t="s">
        <v>2975</v>
      </c>
      <c r="K365" s="105">
        <v>1280</v>
      </c>
      <c r="L365" s="63"/>
      <c r="M365" s="63"/>
      <c r="N365" s="63"/>
      <c r="O365" s="63"/>
      <c r="P365" s="63"/>
      <c r="Q365" s="63"/>
      <c r="R365" s="100">
        <f t="shared" si="10"/>
        <v>0</v>
      </c>
      <c r="S365" s="100">
        <f t="shared" si="11"/>
        <v>0</v>
      </c>
      <c r="T365" s="37"/>
      <c r="U365" s="37"/>
      <c r="V365" s="37"/>
      <c r="W365" s="37"/>
      <c r="X365" s="37"/>
      <c r="Y365" s="37"/>
      <c r="Z365" s="37"/>
      <c r="AA365" s="37"/>
    </row>
    <row r="366" spans="1:27" ht="19.5" customHeight="1">
      <c r="A366" s="2">
        <v>357</v>
      </c>
      <c r="B366" s="65" t="s">
        <v>2575</v>
      </c>
      <c r="C366" s="4"/>
      <c r="D366" s="4"/>
      <c r="E366" s="65" t="s">
        <v>2976</v>
      </c>
      <c r="F366" s="2" t="s">
        <v>2977</v>
      </c>
      <c r="G366" s="2" t="s">
        <v>2978</v>
      </c>
      <c r="H366" s="66" t="s">
        <v>225</v>
      </c>
      <c r="I366" s="2" t="s">
        <v>11</v>
      </c>
      <c r="J366" s="2" t="s">
        <v>2204</v>
      </c>
      <c r="K366" s="105">
        <v>4500</v>
      </c>
      <c r="L366" s="63">
        <v>2971</v>
      </c>
      <c r="M366" s="63"/>
      <c r="N366" s="63"/>
      <c r="O366" s="63"/>
      <c r="P366" s="63"/>
      <c r="Q366" s="63"/>
      <c r="R366" s="100">
        <f t="shared" si="10"/>
        <v>2971</v>
      </c>
      <c r="S366" s="100">
        <f t="shared" si="11"/>
        <v>-2971</v>
      </c>
    </row>
    <row r="367" spans="1:27" ht="19.5" customHeight="1">
      <c r="A367" s="2">
        <v>358</v>
      </c>
      <c r="B367" s="64" t="s">
        <v>287</v>
      </c>
      <c r="C367" s="3"/>
      <c r="D367" s="3"/>
      <c r="E367" s="11" t="s">
        <v>2979</v>
      </c>
      <c r="F367" s="2" t="s">
        <v>340</v>
      </c>
      <c r="G367" s="2" t="s">
        <v>336</v>
      </c>
      <c r="H367" s="2" t="s">
        <v>267</v>
      </c>
      <c r="I367" s="2" t="s">
        <v>10</v>
      </c>
      <c r="J367" s="2" t="s">
        <v>647</v>
      </c>
      <c r="K367" s="105">
        <v>210</v>
      </c>
      <c r="L367" s="63">
        <v>0</v>
      </c>
      <c r="M367" s="63"/>
      <c r="N367" s="63"/>
      <c r="O367" s="63"/>
      <c r="P367" s="63"/>
      <c r="Q367" s="63"/>
      <c r="R367" s="100">
        <f t="shared" si="10"/>
        <v>0</v>
      </c>
      <c r="S367" s="100">
        <f t="shared" si="11"/>
        <v>0</v>
      </c>
    </row>
    <row r="368" spans="1:27" ht="19.5" customHeight="1">
      <c r="A368" s="2">
        <v>359</v>
      </c>
      <c r="B368" s="65" t="s">
        <v>287</v>
      </c>
      <c r="C368" s="11"/>
      <c r="D368" s="11"/>
      <c r="E368" s="65" t="s">
        <v>2979</v>
      </c>
      <c r="F368" s="2" t="s">
        <v>340</v>
      </c>
      <c r="G368" s="2" t="s">
        <v>336</v>
      </c>
      <c r="H368" s="66" t="s">
        <v>267</v>
      </c>
      <c r="I368" s="2" t="s">
        <v>10</v>
      </c>
      <c r="J368" s="2" t="s">
        <v>647</v>
      </c>
      <c r="K368" s="105">
        <v>273</v>
      </c>
      <c r="L368" s="63">
        <v>5</v>
      </c>
      <c r="M368" s="63"/>
      <c r="N368" s="63"/>
      <c r="O368" s="63"/>
      <c r="P368" s="63"/>
      <c r="Q368" s="63"/>
      <c r="R368" s="100">
        <f t="shared" si="10"/>
        <v>5</v>
      </c>
      <c r="S368" s="100">
        <f t="shared" si="11"/>
        <v>-5</v>
      </c>
    </row>
    <row r="369" spans="1:19" ht="19.5" customHeight="1">
      <c r="A369" s="2">
        <v>360</v>
      </c>
      <c r="B369" s="11" t="s">
        <v>2842</v>
      </c>
      <c r="C369" s="11"/>
      <c r="D369" s="11"/>
      <c r="E369" s="11" t="s">
        <v>2980</v>
      </c>
      <c r="F369" s="2" t="s">
        <v>2981</v>
      </c>
      <c r="G369" s="2" t="s">
        <v>2982</v>
      </c>
      <c r="H369" s="2" t="s">
        <v>235</v>
      </c>
      <c r="I369" s="2" t="s">
        <v>10</v>
      </c>
      <c r="J369" s="2" t="s">
        <v>647</v>
      </c>
      <c r="K369" s="105">
        <v>450</v>
      </c>
      <c r="L369" s="63">
        <v>0</v>
      </c>
      <c r="M369" s="63"/>
      <c r="N369" s="63"/>
      <c r="O369" s="63"/>
      <c r="P369" s="63"/>
      <c r="Q369" s="63"/>
      <c r="R369" s="100">
        <f t="shared" si="10"/>
        <v>0</v>
      </c>
      <c r="S369" s="100">
        <f t="shared" si="11"/>
        <v>0</v>
      </c>
    </row>
    <row r="370" spans="1:19" ht="19.5" customHeight="1">
      <c r="A370" s="2">
        <v>361</v>
      </c>
      <c r="B370" s="70" t="s">
        <v>2093</v>
      </c>
      <c r="C370" s="4"/>
      <c r="D370" s="4"/>
      <c r="E370" s="11" t="s">
        <v>2094</v>
      </c>
      <c r="F370" s="2" t="s">
        <v>2096</v>
      </c>
      <c r="G370" s="2" t="s">
        <v>2097</v>
      </c>
      <c r="H370" s="2" t="s">
        <v>2095</v>
      </c>
      <c r="I370" s="2" t="s">
        <v>628</v>
      </c>
      <c r="J370" s="2" t="s">
        <v>2086</v>
      </c>
      <c r="K370" s="105">
        <v>5163</v>
      </c>
      <c r="L370" s="63">
        <v>9156</v>
      </c>
      <c r="M370" s="63"/>
      <c r="N370" s="63"/>
      <c r="O370" s="63"/>
      <c r="P370" s="63"/>
      <c r="Q370" s="63"/>
      <c r="R370" s="100">
        <f t="shared" si="10"/>
        <v>9156</v>
      </c>
      <c r="S370" s="100">
        <f t="shared" si="11"/>
        <v>-9156</v>
      </c>
    </row>
    <row r="371" spans="1:19" ht="19.5" customHeight="1">
      <c r="A371" s="2">
        <v>362</v>
      </c>
      <c r="B371" s="71" t="s">
        <v>2983</v>
      </c>
      <c r="C371" s="4"/>
      <c r="D371" s="4"/>
      <c r="E371" s="11" t="s">
        <v>2984</v>
      </c>
      <c r="F371" s="2" t="s">
        <v>2985</v>
      </c>
      <c r="G371" s="2" t="s">
        <v>360</v>
      </c>
      <c r="H371" s="2" t="s">
        <v>1340</v>
      </c>
      <c r="I371" s="2" t="s">
        <v>11</v>
      </c>
      <c r="J371" s="2" t="s">
        <v>647</v>
      </c>
      <c r="K371" s="105">
        <v>648</v>
      </c>
      <c r="L371" s="63">
        <v>10</v>
      </c>
      <c r="M371" s="63"/>
      <c r="N371" s="63"/>
      <c r="O371" s="63"/>
      <c r="P371" s="63"/>
      <c r="Q371" s="63"/>
      <c r="R371" s="100">
        <f t="shared" si="10"/>
        <v>10</v>
      </c>
      <c r="S371" s="100">
        <f t="shared" si="11"/>
        <v>-10</v>
      </c>
    </row>
    <row r="372" spans="1:19" ht="19.5" customHeight="1">
      <c r="A372" s="2">
        <v>363</v>
      </c>
      <c r="B372" s="11" t="s">
        <v>868</v>
      </c>
      <c r="C372" s="11"/>
      <c r="D372" s="11"/>
      <c r="E372" s="11" t="s">
        <v>1339</v>
      </c>
      <c r="F372" s="2" t="s">
        <v>1341</v>
      </c>
      <c r="G372" s="2" t="s">
        <v>360</v>
      </c>
      <c r="H372" s="2" t="s">
        <v>1340</v>
      </c>
      <c r="I372" s="2" t="s">
        <v>11</v>
      </c>
      <c r="J372" s="2" t="s">
        <v>647</v>
      </c>
      <c r="K372" s="105">
        <v>596</v>
      </c>
      <c r="L372" s="63">
        <v>5376</v>
      </c>
      <c r="M372" s="63"/>
      <c r="N372" s="63"/>
      <c r="O372" s="63"/>
      <c r="P372" s="63"/>
      <c r="Q372" s="63"/>
      <c r="R372" s="100">
        <f t="shared" si="10"/>
        <v>5376</v>
      </c>
      <c r="S372" s="100">
        <f t="shared" si="11"/>
        <v>-5376</v>
      </c>
    </row>
    <row r="373" spans="1:19" ht="19.5" customHeight="1">
      <c r="A373" s="2">
        <v>364</v>
      </c>
      <c r="B373" s="11" t="s">
        <v>868</v>
      </c>
      <c r="C373" s="11"/>
      <c r="D373" s="11"/>
      <c r="E373" s="11" t="s">
        <v>1342</v>
      </c>
      <c r="F373" s="2" t="s">
        <v>2986</v>
      </c>
      <c r="G373" s="2" t="s">
        <v>360</v>
      </c>
      <c r="H373" s="2" t="s">
        <v>1343</v>
      </c>
      <c r="I373" s="2" t="s">
        <v>11</v>
      </c>
      <c r="J373" s="2" t="s">
        <v>647</v>
      </c>
      <c r="K373" s="105">
        <v>865</v>
      </c>
      <c r="L373" s="63">
        <v>2943</v>
      </c>
      <c r="M373" s="63"/>
      <c r="N373" s="63"/>
      <c r="O373" s="63"/>
      <c r="P373" s="63"/>
      <c r="Q373" s="63"/>
      <c r="R373" s="100">
        <f t="shared" si="10"/>
        <v>2943</v>
      </c>
      <c r="S373" s="100">
        <f t="shared" si="11"/>
        <v>-2943</v>
      </c>
    </row>
    <row r="374" spans="1:19" ht="19.5" customHeight="1">
      <c r="A374" s="2">
        <v>365</v>
      </c>
      <c r="B374" s="11" t="s">
        <v>868</v>
      </c>
      <c r="C374" s="11"/>
      <c r="D374" s="11"/>
      <c r="E374" s="11" t="s">
        <v>1338</v>
      </c>
      <c r="F374" s="2" t="s">
        <v>2987</v>
      </c>
      <c r="G374" s="2" t="s">
        <v>360</v>
      </c>
      <c r="H374" s="2" t="s">
        <v>869</v>
      </c>
      <c r="I374" s="2" t="s">
        <v>11</v>
      </c>
      <c r="J374" s="2" t="s">
        <v>647</v>
      </c>
      <c r="K374" s="105">
        <v>312</v>
      </c>
      <c r="L374" s="63">
        <v>1107</v>
      </c>
      <c r="M374" s="63"/>
      <c r="N374" s="63"/>
      <c r="O374" s="63"/>
      <c r="P374" s="63"/>
      <c r="Q374" s="63"/>
      <c r="R374" s="100">
        <f t="shared" si="10"/>
        <v>1107</v>
      </c>
      <c r="S374" s="100">
        <f t="shared" si="11"/>
        <v>-1107</v>
      </c>
    </row>
    <row r="375" spans="1:19" ht="19.5" customHeight="1">
      <c r="A375" s="2">
        <v>366</v>
      </c>
      <c r="B375" s="71" t="s">
        <v>2983</v>
      </c>
      <c r="C375" s="4"/>
      <c r="D375" s="4"/>
      <c r="E375" s="11" t="s">
        <v>1338</v>
      </c>
      <c r="F375" s="2" t="s">
        <v>2987</v>
      </c>
      <c r="G375" s="2" t="s">
        <v>360</v>
      </c>
      <c r="H375" s="2" t="s">
        <v>869</v>
      </c>
      <c r="I375" s="2" t="s">
        <v>11</v>
      </c>
      <c r="J375" s="2" t="s">
        <v>647</v>
      </c>
      <c r="K375" s="105">
        <v>363</v>
      </c>
      <c r="L375" s="63">
        <v>12</v>
      </c>
      <c r="M375" s="63"/>
      <c r="N375" s="63"/>
      <c r="O375" s="63"/>
      <c r="P375" s="63"/>
      <c r="Q375" s="63"/>
      <c r="R375" s="100">
        <f t="shared" si="10"/>
        <v>12</v>
      </c>
      <c r="S375" s="100">
        <f t="shared" si="11"/>
        <v>-12</v>
      </c>
    </row>
    <row r="376" spans="1:19" ht="19.5" customHeight="1">
      <c r="A376" s="2">
        <v>367</v>
      </c>
      <c r="B376" s="11" t="s">
        <v>1750</v>
      </c>
      <c r="C376" s="4"/>
      <c r="D376" s="4"/>
      <c r="E376" s="11" t="s">
        <v>1751</v>
      </c>
      <c r="F376" s="2" t="s">
        <v>1753</v>
      </c>
      <c r="G376" s="2" t="s">
        <v>1170</v>
      </c>
      <c r="H376" s="2" t="s">
        <v>327</v>
      </c>
      <c r="I376" s="2" t="s">
        <v>11</v>
      </c>
      <c r="J376" s="2" t="s">
        <v>1752</v>
      </c>
      <c r="K376" s="105">
        <v>1200</v>
      </c>
      <c r="L376" s="63">
        <v>5218</v>
      </c>
      <c r="M376" s="63"/>
      <c r="N376" s="63"/>
      <c r="O376" s="63"/>
      <c r="P376" s="63"/>
      <c r="Q376" s="63"/>
      <c r="R376" s="100">
        <f t="shared" si="10"/>
        <v>5218</v>
      </c>
      <c r="S376" s="100">
        <f t="shared" si="11"/>
        <v>-5218</v>
      </c>
    </row>
    <row r="377" spans="1:19" ht="19.5" customHeight="1">
      <c r="A377" s="2">
        <v>368</v>
      </c>
      <c r="B377" s="11" t="s">
        <v>2343</v>
      </c>
      <c r="C377" s="4"/>
      <c r="D377" s="4"/>
      <c r="E377" s="11" t="s">
        <v>2344</v>
      </c>
      <c r="F377" s="79" t="s">
        <v>2345</v>
      </c>
      <c r="G377" s="79" t="s">
        <v>1567</v>
      </c>
      <c r="H377" s="2" t="s">
        <v>89</v>
      </c>
      <c r="I377" s="2" t="s">
        <v>10</v>
      </c>
      <c r="J377" s="2" t="s">
        <v>1237</v>
      </c>
      <c r="K377" s="105">
        <v>840</v>
      </c>
      <c r="L377" s="63">
        <v>15590</v>
      </c>
      <c r="M377" s="63"/>
      <c r="N377" s="63"/>
      <c r="O377" s="63"/>
      <c r="P377" s="63"/>
      <c r="Q377" s="63"/>
      <c r="R377" s="100">
        <f t="shared" si="10"/>
        <v>15590</v>
      </c>
      <c r="S377" s="100">
        <f t="shared" si="11"/>
        <v>-15590</v>
      </c>
    </row>
    <row r="378" spans="1:19" ht="19.5" customHeight="1">
      <c r="A378" s="2">
        <v>369</v>
      </c>
      <c r="B378" s="64" t="s">
        <v>376</v>
      </c>
      <c r="C378" s="3"/>
      <c r="D378" s="3"/>
      <c r="E378" s="11" t="s">
        <v>376</v>
      </c>
      <c r="F378" s="2" t="s">
        <v>377</v>
      </c>
      <c r="G378" s="2" t="s">
        <v>360</v>
      </c>
      <c r="H378" s="2" t="s">
        <v>262</v>
      </c>
      <c r="I378" s="2" t="s">
        <v>10</v>
      </c>
      <c r="J378" s="2" t="s">
        <v>1329</v>
      </c>
      <c r="K378" s="105">
        <v>495</v>
      </c>
      <c r="L378" s="63">
        <v>14204</v>
      </c>
      <c r="M378" s="63"/>
      <c r="N378" s="63"/>
      <c r="O378" s="63"/>
      <c r="P378" s="63"/>
      <c r="Q378" s="63"/>
      <c r="R378" s="100">
        <f t="shared" si="10"/>
        <v>14204</v>
      </c>
      <c r="S378" s="100">
        <f t="shared" si="11"/>
        <v>-14204</v>
      </c>
    </row>
    <row r="379" spans="1:19" ht="19.5" customHeight="1">
      <c r="A379" s="2">
        <v>370</v>
      </c>
      <c r="B379" s="11" t="s">
        <v>376</v>
      </c>
      <c r="C379" s="4"/>
      <c r="D379" s="4"/>
      <c r="E379" s="11" t="s">
        <v>1754</v>
      </c>
      <c r="F379" s="2" t="s">
        <v>2988</v>
      </c>
      <c r="G379" s="2" t="s">
        <v>2699</v>
      </c>
      <c r="H379" s="2" t="s">
        <v>299</v>
      </c>
      <c r="I379" s="2" t="s">
        <v>11</v>
      </c>
      <c r="J379" s="2" t="s">
        <v>1715</v>
      </c>
      <c r="K379" s="105">
        <v>1840</v>
      </c>
      <c r="L379" s="63">
        <v>0</v>
      </c>
      <c r="M379" s="63"/>
      <c r="N379" s="63"/>
      <c r="O379" s="63"/>
      <c r="P379" s="63"/>
      <c r="Q379" s="63"/>
      <c r="R379" s="100">
        <f t="shared" si="10"/>
        <v>0</v>
      </c>
      <c r="S379" s="100">
        <f t="shared" si="11"/>
        <v>0</v>
      </c>
    </row>
    <row r="380" spans="1:19" ht="19.5" customHeight="1">
      <c r="A380" s="2">
        <v>371</v>
      </c>
      <c r="B380" s="11" t="s">
        <v>376</v>
      </c>
      <c r="C380" s="4"/>
      <c r="D380" s="4"/>
      <c r="E380" s="11" t="s">
        <v>1754</v>
      </c>
      <c r="F380" s="2" t="s">
        <v>1755</v>
      </c>
      <c r="G380" s="2" t="s">
        <v>2699</v>
      </c>
      <c r="H380" s="2" t="s">
        <v>299</v>
      </c>
      <c r="I380" s="2" t="s">
        <v>11</v>
      </c>
      <c r="J380" s="2" t="s">
        <v>1715</v>
      </c>
      <c r="K380" s="105">
        <v>1850</v>
      </c>
      <c r="L380" s="63">
        <v>7619</v>
      </c>
      <c r="M380" s="63"/>
      <c r="N380" s="63"/>
      <c r="O380" s="63"/>
      <c r="P380" s="63"/>
      <c r="Q380" s="63"/>
      <c r="R380" s="100">
        <f t="shared" si="10"/>
        <v>7619</v>
      </c>
      <c r="S380" s="100">
        <f t="shared" si="11"/>
        <v>-7619</v>
      </c>
    </row>
    <row r="381" spans="1:19" ht="19.5" customHeight="1">
      <c r="A381" s="2">
        <v>372</v>
      </c>
      <c r="B381" s="11" t="s">
        <v>1650</v>
      </c>
      <c r="C381" s="4"/>
      <c r="D381" s="4"/>
      <c r="E381" s="11" t="s">
        <v>1654</v>
      </c>
      <c r="F381" s="2" t="s">
        <v>1655</v>
      </c>
      <c r="G381" s="9" t="s">
        <v>479</v>
      </c>
      <c r="H381" s="7" t="s">
        <v>1340</v>
      </c>
      <c r="I381" s="9" t="s">
        <v>10</v>
      </c>
      <c r="J381" s="7" t="s">
        <v>1642</v>
      </c>
      <c r="K381" s="105">
        <v>1400</v>
      </c>
      <c r="L381" s="63">
        <v>9988</v>
      </c>
      <c r="M381" s="63"/>
      <c r="N381" s="63"/>
      <c r="O381" s="63"/>
      <c r="P381" s="63"/>
      <c r="Q381" s="63"/>
      <c r="R381" s="100">
        <f t="shared" si="10"/>
        <v>9988</v>
      </c>
      <c r="S381" s="100">
        <f t="shared" si="11"/>
        <v>-9988</v>
      </c>
    </row>
    <row r="382" spans="1:19" ht="19.5" customHeight="1">
      <c r="A382" s="2">
        <v>373</v>
      </c>
      <c r="B382" s="11" t="s">
        <v>1650</v>
      </c>
      <c r="C382" s="4"/>
      <c r="D382" s="4"/>
      <c r="E382" s="11" t="s">
        <v>1656</v>
      </c>
      <c r="F382" s="2" t="s">
        <v>1657</v>
      </c>
      <c r="G382" s="9" t="s">
        <v>479</v>
      </c>
      <c r="H382" s="7" t="s">
        <v>1343</v>
      </c>
      <c r="I382" s="9" t="s">
        <v>10</v>
      </c>
      <c r="J382" s="7" t="s">
        <v>1642</v>
      </c>
      <c r="K382" s="105">
        <v>2690</v>
      </c>
      <c r="L382" s="63">
        <v>0</v>
      </c>
      <c r="M382" s="63"/>
      <c r="N382" s="63"/>
      <c r="O382" s="63"/>
      <c r="P382" s="63"/>
      <c r="Q382" s="63"/>
      <c r="R382" s="100">
        <f t="shared" si="10"/>
        <v>0</v>
      </c>
      <c r="S382" s="100">
        <f t="shared" si="11"/>
        <v>0</v>
      </c>
    </row>
    <row r="383" spans="1:19" ht="19.5" customHeight="1">
      <c r="A383" s="2">
        <v>374</v>
      </c>
      <c r="B383" s="67" t="s">
        <v>2286</v>
      </c>
      <c r="C383" s="4"/>
      <c r="D383" s="4"/>
      <c r="E383" s="11" t="s">
        <v>90</v>
      </c>
      <c r="F383" s="2" t="s">
        <v>2288</v>
      </c>
      <c r="G383" s="2" t="s">
        <v>2253</v>
      </c>
      <c r="H383" s="2" t="s">
        <v>2287</v>
      </c>
      <c r="I383" s="2" t="s">
        <v>16</v>
      </c>
      <c r="J383" s="2" t="s">
        <v>2250</v>
      </c>
      <c r="K383" s="105">
        <v>1200</v>
      </c>
      <c r="L383" s="63">
        <v>10190</v>
      </c>
      <c r="M383" s="63"/>
      <c r="N383" s="63"/>
      <c r="O383" s="63"/>
      <c r="P383" s="63"/>
      <c r="Q383" s="63"/>
      <c r="R383" s="100">
        <f t="shared" si="10"/>
        <v>10190</v>
      </c>
      <c r="S383" s="100">
        <f t="shared" si="11"/>
        <v>-10190</v>
      </c>
    </row>
    <row r="384" spans="1:19" ht="19.5" customHeight="1">
      <c r="A384" s="2">
        <v>375</v>
      </c>
      <c r="B384" s="67" t="s">
        <v>2289</v>
      </c>
      <c r="C384" s="4"/>
      <c r="D384" s="4"/>
      <c r="E384" s="11" t="s">
        <v>91</v>
      </c>
      <c r="F384" s="2" t="s">
        <v>2290</v>
      </c>
      <c r="G384" s="2" t="s">
        <v>2253</v>
      </c>
      <c r="H384" s="2" t="s">
        <v>92</v>
      </c>
      <c r="I384" s="2" t="s">
        <v>16</v>
      </c>
      <c r="J384" s="2" t="s">
        <v>2250</v>
      </c>
      <c r="K384" s="105">
        <v>950</v>
      </c>
      <c r="L384" s="63">
        <v>1900</v>
      </c>
      <c r="M384" s="63"/>
      <c r="N384" s="63"/>
      <c r="O384" s="63"/>
      <c r="P384" s="63"/>
      <c r="Q384" s="63"/>
      <c r="R384" s="100">
        <f t="shared" si="10"/>
        <v>1900</v>
      </c>
      <c r="S384" s="100">
        <f t="shared" si="11"/>
        <v>-1900</v>
      </c>
    </row>
    <row r="385" spans="1:27" ht="19.5" customHeight="1">
      <c r="A385" s="2">
        <v>376</v>
      </c>
      <c r="B385" s="67" t="s">
        <v>94</v>
      </c>
      <c r="C385" s="4"/>
      <c r="D385" s="4"/>
      <c r="E385" s="11" t="s">
        <v>93</v>
      </c>
      <c r="F385" s="2" t="s">
        <v>2293</v>
      </c>
      <c r="G385" s="2" t="s">
        <v>2253</v>
      </c>
      <c r="H385" s="2" t="s">
        <v>2291</v>
      </c>
      <c r="I385" s="2" t="s">
        <v>16</v>
      </c>
      <c r="J385" s="2" t="s">
        <v>2250</v>
      </c>
      <c r="K385" s="105">
        <v>4000</v>
      </c>
      <c r="L385" s="63">
        <v>6830</v>
      </c>
      <c r="M385" s="63"/>
      <c r="N385" s="63"/>
      <c r="O385" s="63"/>
      <c r="P385" s="63"/>
      <c r="Q385" s="63"/>
      <c r="R385" s="100">
        <f t="shared" si="10"/>
        <v>6830</v>
      </c>
      <c r="S385" s="100">
        <f t="shared" si="11"/>
        <v>-6830</v>
      </c>
    </row>
    <row r="386" spans="1:27" ht="19.5" customHeight="1">
      <c r="A386" s="2">
        <v>377</v>
      </c>
      <c r="B386" s="84" t="s">
        <v>2989</v>
      </c>
      <c r="C386" s="4"/>
      <c r="D386" s="4"/>
      <c r="E386" s="77" t="s">
        <v>2990</v>
      </c>
      <c r="F386" s="5" t="s">
        <v>2991</v>
      </c>
      <c r="G386" s="5" t="s">
        <v>2992</v>
      </c>
      <c r="H386" s="5" t="s">
        <v>2993</v>
      </c>
      <c r="I386" s="7" t="s">
        <v>1144</v>
      </c>
      <c r="J386" s="2" t="s">
        <v>2994</v>
      </c>
      <c r="K386" s="105">
        <v>98000</v>
      </c>
      <c r="L386" s="63"/>
      <c r="M386" s="63"/>
      <c r="N386" s="63"/>
      <c r="O386" s="63"/>
      <c r="P386" s="63"/>
      <c r="Q386" s="63"/>
      <c r="R386" s="100">
        <f t="shared" si="10"/>
        <v>0</v>
      </c>
      <c r="S386" s="100">
        <f t="shared" si="11"/>
        <v>0</v>
      </c>
      <c r="T386" s="37"/>
      <c r="U386" s="37"/>
      <c r="V386" s="37"/>
      <c r="W386" s="37"/>
      <c r="X386" s="37"/>
      <c r="Y386" s="37"/>
      <c r="Z386" s="37"/>
      <c r="AA386" s="37"/>
    </row>
    <row r="387" spans="1:27" ht="19.5" customHeight="1">
      <c r="A387" s="2">
        <v>378</v>
      </c>
      <c r="B387" s="11" t="s">
        <v>1756</v>
      </c>
      <c r="C387" s="11"/>
      <c r="D387" s="11"/>
      <c r="E387" s="11" t="s">
        <v>2995</v>
      </c>
      <c r="F387" s="2" t="s">
        <v>2996</v>
      </c>
      <c r="G387" s="2" t="s">
        <v>2699</v>
      </c>
      <c r="H387" s="2" t="s">
        <v>899</v>
      </c>
      <c r="I387" s="2" t="s">
        <v>11</v>
      </c>
      <c r="J387" s="2" t="s">
        <v>541</v>
      </c>
      <c r="K387" s="105">
        <v>12000</v>
      </c>
      <c r="L387" s="63">
        <v>0</v>
      </c>
      <c r="M387" s="63"/>
      <c r="N387" s="63"/>
      <c r="O387" s="63"/>
      <c r="P387" s="63"/>
      <c r="Q387" s="63"/>
      <c r="R387" s="100">
        <f t="shared" si="10"/>
        <v>0</v>
      </c>
      <c r="S387" s="100">
        <f t="shared" si="11"/>
        <v>0</v>
      </c>
    </row>
    <row r="388" spans="1:27" ht="19.5" customHeight="1">
      <c r="A388" s="2">
        <v>379</v>
      </c>
      <c r="B388" s="11" t="s">
        <v>1756</v>
      </c>
      <c r="C388" s="4"/>
      <c r="D388" s="4"/>
      <c r="E388" s="11" t="s">
        <v>1757</v>
      </c>
      <c r="F388" s="2" t="s">
        <v>1758</v>
      </c>
      <c r="G388" s="2" t="s">
        <v>2699</v>
      </c>
      <c r="H388" s="2" t="s">
        <v>232</v>
      </c>
      <c r="I388" s="2" t="s">
        <v>11</v>
      </c>
      <c r="J388" s="2" t="s">
        <v>1715</v>
      </c>
      <c r="K388" s="105">
        <v>10300</v>
      </c>
      <c r="L388" s="63">
        <v>332</v>
      </c>
      <c r="M388" s="63"/>
      <c r="N388" s="63"/>
      <c r="O388" s="63"/>
      <c r="P388" s="63"/>
      <c r="Q388" s="63"/>
      <c r="R388" s="100">
        <f t="shared" si="10"/>
        <v>332</v>
      </c>
      <c r="S388" s="100">
        <f t="shared" si="11"/>
        <v>-332</v>
      </c>
    </row>
    <row r="389" spans="1:27" ht="19.5" customHeight="1">
      <c r="A389" s="2">
        <v>380</v>
      </c>
      <c r="B389" s="11" t="s">
        <v>1702</v>
      </c>
      <c r="C389" s="4"/>
      <c r="D389" s="4"/>
      <c r="E389" s="11" t="s">
        <v>1759</v>
      </c>
      <c r="F389" s="2" t="s">
        <v>1760</v>
      </c>
      <c r="G389" s="2" t="s">
        <v>1170</v>
      </c>
      <c r="H389" s="2" t="s">
        <v>327</v>
      </c>
      <c r="I389" s="2" t="s">
        <v>11</v>
      </c>
      <c r="J389" s="2" t="s">
        <v>1715</v>
      </c>
      <c r="K389" s="105">
        <v>1500</v>
      </c>
      <c r="L389" s="63">
        <v>0</v>
      </c>
      <c r="M389" s="63"/>
      <c r="N389" s="63"/>
      <c r="O389" s="63"/>
      <c r="P389" s="63"/>
      <c r="Q389" s="63"/>
      <c r="R389" s="100">
        <f t="shared" si="10"/>
        <v>0</v>
      </c>
      <c r="S389" s="100">
        <f t="shared" si="11"/>
        <v>0</v>
      </c>
    </row>
    <row r="390" spans="1:27" ht="19.5" customHeight="1">
      <c r="A390" s="2">
        <v>381</v>
      </c>
      <c r="B390" s="67" t="s">
        <v>1180</v>
      </c>
      <c r="C390" s="4"/>
      <c r="D390" s="4"/>
      <c r="E390" s="67" t="s">
        <v>1181</v>
      </c>
      <c r="F390" s="68" t="s">
        <v>1183</v>
      </c>
      <c r="G390" s="68" t="s">
        <v>1151</v>
      </c>
      <c r="H390" s="68" t="s">
        <v>1182</v>
      </c>
      <c r="I390" s="68" t="s">
        <v>520</v>
      </c>
      <c r="J390" s="68" t="s">
        <v>627</v>
      </c>
      <c r="K390" s="105">
        <v>7500</v>
      </c>
      <c r="L390" s="63">
        <v>7439</v>
      </c>
      <c r="M390" s="63"/>
      <c r="N390" s="63"/>
      <c r="O390" s="63"/>
      <c r="P390" s="63"/>
      <c r="Q390" s="63"/>
      <c r="R390" s="100">
        <f t="shared" si="10"/>
        <v>7439</v>
      </c>
      <c r="S390" s="100">
        <f t="shared" si="11"/>
        <v>-7439</v>
      </c>
    </row>
    <row r="391" spans="1:27" ht="19.5" customHeight="1">
      <c r="A391" s="2">
        <v>382</v>
      </c>
      <c r="B391" s="11" t="s">
        <v>1550</v>
      </c>
      <c r="C391" s="4"/>
      <c r="D391" s="4"/>
      <c r="E391" s="11" t="s">
        <v>1551</v>
      </c>
      <c r="F391" s="2" t="s">
        <v>1553</v>
      </c>
      <c r="G391" s="2" t="s">
        <v>458</v>
      </c>
      <c r="H391" s="2" t="s">
        <v>1552</v>
      </c>
      <c r="I391" s="2" t="s">
        <v>10</v>
      </c>
      <c r="J391" s="2" t="s">
        <v>884</v>
      </c>
      <c r="K391" s="105">
        <v>2000</v>
      </c>
      <c r="L391" s="63">
        <v>4874</v>
      </c>
      <c r="M391" s="63"/>
      <c r="N391" s="63"/>
      <c r="O391" s="63"/>
      <c r="P391" s="63"/>
      <c r="Q391" s="63"/>
      <c r="R391" s="100">
        <f t="shared" si="10"/>
        <v>4874</v>
      </c>
      <c r="S391" s="100">
        <f t="shared" si="11"/>
        <v>-4874</v>
      </c>
    </row>
    <row r="392" spans="1:27" ht="19.5" customHeight="1">
      <c r="A392" s="2">
        <v>383</v>
      </c>
      <c r="B392" s="67" t="s">
        <v>901</v>
      </c>
      <c r="C392" s="11"/>
      <c r="D392" s="11"/>
      <c r="E392" s="67" t="s">
        <v>902</v>
      </c>
      <c r="F392" s="68" t="s">
        <v>905</v>
      </c>
      <c r="G392" s="68" t="s">
        <v>906</v>
      </c>
      <c r="H392" s="68" t="s">
        <v>903</v>
      </c>
      <c r="I392" s="68" t="s">
        <v>18</v>
      </c>
      <c r="J392" s="68" t="s">
        <v>904</v>
      </c>
      <c r="K392" s="105">
        <v>487253</v>
      </c>
      <c r="L392" s="63">
        <v>10</v>
      </c>
      <c r="M392" s="63"/>
      <c r="N392" s="63"/>
      <c r="O392" s="63"/>
      <c r="P392" s="63"/>
      <c r="Q392" s="63"/>
      <c r="R392" s="100">
        <f t="shared" si="10"/>
        <v>10</v>
      </c>
      <c r="S392" s="100">
        <f t="shared" si="11"/>
        <v>-10</v>
      </c>
    </row>
    <row r="393" spans="1:27" ht="19.5" customHeight="1">
      <c r="A393" s="2">
        <v>384</v>
      </c>
      <c r="B393" s="67" t="s">
        <v>988</v>
      </c>
      <c r="C393" s="4"/>
      <c r="D393" s="4"/>
      <c r="E393" s="67" t="s">
        <v>989</v>
      </c>
      <c r="F393" s="68" t="s">
        <v>991</v>
      </c>
      <c r="G393" s="68" t="s">
        <v>948</v>
      </c>
      <c r="H393" s="68" t="s">
        <v>990</v>
      </c>
      <c r="I393" s="68" t="s">
        <v>12</v>
      </c>
      <c r="J393" s="68" t="s">
        <v>941</v>
      </c>
      <c r="K393" s="105">
        <v>4275</v>
      </c>
      <c r="L393" s="63">
        <v>704</v>
      </c>
      <c r="M393" s="63"/>
      <c r="N393" s="63"/>
      <c r="O393" s="63"/>
      <c r="P393" s="63"/>
      <c r="Q393" s="63"/>
      <c r="R393" s="100">
        <f t="shared" si="10"/>
        <v>704</v>
      </c>
      <c r="S393" s="100">
        <f t="shared" si="11"/>
        <v>-704</v>
      </c>
    </row>
    <row r="394" spans="1:27" ht="19.5" customHeight="1">
      <c r="A394" s="2">
        <v>385</v>
      </c>
      <c r="B394" s="80" t="s">
        <v>98</v>
      </c>
      <c r="C394" s="4"/>
      <c r="D394" s="4"/>
      <c r="E394" s="80" t="s">
        <v>97</v>
      </c>
      <c r="F394" s="2" t="s">
        <v>2416</v>
      </c>
      <c r="G394" s="75" t="s">
        <v>2413</v>
      </c>
      <c r="H394" s="14" t="s">
        <v>2415</v>
      </c>
      <c r="I394" s="76" t="s">
        <v>10</v>
      </c>
      <c r="J394" s="76" t="s">
        <v>541</v>
      </c>
      <c r="K394" s="105">
        <v>2783</v>
      </c>
      <c r="L394" s="63">
        <v>4800</v>
      </c>
      <c r="M394" s="63"/>
      <c r="N394" s="63"/>
      <c r="O394" s="63"/>
      <c r="P394" s="63"/>
      <c r="Q394" s="63"/>
      <c r="R394" s="100">
        <f t="shared" si="10"/>
        <v>4800</v>
      </c>
      <c r="S394" s="100">
        <f t="shared" si="11"/>
        <v>-4800</v>
      </c>
    </row>
    <row r="395" spans="1:27" ht="19.5" customHeight="1">
      <c r="A395" s="2">
        <v>386</v>
      </c>
      <c r="B395" s="11" t="s">
        <v>2165</v>
      </c>
      <c r="C395" s="4"/>
      <c r="D395" s="4"/>
      <c r="E395" s="11" t="s">
        <v>99</v>
      </c>
      <c r="F395" s="2" t="s">
        <v>2167</v>
      </c>
      <c r="G395" s="2" t="s">
        <v>2168</v>
      </c>
      <c r="H395" s="2" t="s">
        <v>101</v>
      </c>
      <c r="I395" s="2" t="s">
        <v>10</v>
      </c>
      <c r="J395" s="2" t="s">
        <v>2166</v>
      </c>
      <c r="K395" s="105">
        <v>840</v>
      </c>
      <c r="L395" s="63">
        <v>8633</v>
      </c>
      <c r="M395" s="63"/>
      <c r="N395" s="63"/>
      <c r="O395" s="63"/>
      <c r="P395" s="63"/>
      <c r="Q395" s="63"/>
      <c r="R395" s="100">
        <f t="shared" ref="R395:R458" si="12">L395+M395-O395</f>
        <v>8633</v>
      </c>
      <c r="S395" s="100">
        <f t="shared" ref="S395:S458" si="13">Q395-R395</f>
        <v>-8633</v>
      </c>
    </row>
    <row r="396" spans="1:27" ht="19.5" customHeight="1">
      <c r="A396" s="2">
        <v>387</v>
      </c>
      <c r="B396" s="85" t="s">
        <v>2997</v>
      </c>
      <c r="C396" s="4"/>
      <c r="D396" s="4"/>
      <c r="E396" s="85" t="s">
        <v>2998</v>
      </c>
      <c r="F396" s="86" t="s">
        <v>2999</v>
      </c>
      <c r="G396" s="86" t="s">
        <v>3000</v>
      </c>
      <c r="H396" s="86" t="s">
        <v>1115</v>
      </c>
      <c r="I396" s="86" t="s">
        <v>12</v>
      </c>
      <c r="J396" s="86" t="s">
        <v>3001</v>
      </c>
      <c r="K396" s="105">
        <v>3950</v>
      </c>
      <c r="L396" s="63"/>
      <c r="M396" s="63"/>
      <c r="N396" s="63"/>
      <c r="O396" s="63"/>
      <c r="P396" s="63"/>
      <c r="Q396" s="63"/>
      <c r="R396" s="100">
        <f t="shared" si="12"/>
        <v>0</v>
      </c>
      <c r="S396" s="100">
        <f t="shared" si="13"/>
        <v>0</v>
      </c>
      <c r="T396" s="37"/>
      <c r="U396" s="37"/>
      <c r="V396" s="37"/>
      <c r="W396" s="37"/>
      <c r="X396" s="37"/>
      <c r="Y396" s="37"/>
      <c r="Z396" s="37"/>
      <c r="AA396" s="37"/>
    </row>
    <row r="397" spans="1:27" ht="19.5" customHeight="1">
      <c r="A397" s="2">
        <v>388</v>
      </c>
      <c r="B397" s="11" t="s">
        <v>433</v>
      </c>
      <c r="C397" s="11"/>
      <c r="D397" s="11"/>
      <c r="E397" s="11" t="s">
        <v>2487</v>
      </c>
      <c r="F397" s="2" t="s">
        <v>3002</v>
      </c>
      <c r="G397" s="2" t="s">
        <v>3003</v>
      </c>
      <c r="H397" s="2" t="s">
        <v>1200</v>
      </c>
      <c r="I397" s="2" t="s">
        <v>13</v>
      </c>
      <c r="J397" s="2" t="s">
        <v>3004</v>
      </c>
      <c r="K397" s="105">
        <v>1321</v>
      </c>
      <c r="L397" s="63">
        <v>841</v>
      </c>
      <c r="M397" s="63"/>
      <c r="N397" s="63"/>
      <c r="O397" s="63"/>
      <c r="P397" s="63"/>
      <c r="Q397" s="63"/>
      <c r="R397" s="100">
        <f t="shared" si="12"/>
        <v>841</v>
      </c>
      <c r="S397" s="100">
        <f t="shared" si="13"/>
        <v>-841</v>
      </c>
    </row>
    <row r="398" spans="1:27" ht="19.5" customHeight="1">
      <c r="A398" s="2">
        <v>389</v>
      </c>
      <c r="B398" s="11" t="s">
        <v>531</v>
      </c>
      <c r="C398" s="11"/>
      <c r="D398" s="11"/>
      <c r="E398" s="11" t="s">
        <v>3005</v>
      </c>
      <c r="F398" s="2" t="s">
        <v>3006</v>
      </c>
      <c r="G398" s="2" t="s">
        <v>449</v>
      </c>
      <c r="H398" s="2" t="s">
        <v>267</v>
      </c>
      <c r="I398" s="2" t="s">
        <v>11</v>
      </c>
      <c r="J398" s="2" t="s">
        <v>647</v>
      </c>
      <c r="K398" s="105">
        <v>144</v>
      </c>
      <c r="L398" s="63">
        <v>0</v>
      </c>
      <c r="M398" s="63"/>
      <c r="N398" s="63"/>
      <c r="O398" s="63"/>
      <c r="P398" s="63"/>
      <c r="Q398" s="63"/>
      <c r="R398" s="100">
        <f t="shared" si="12"/>
        <v>0</v>
      </c>
      <c r="S398" s="100">
        <f t="shared" si="13"/>
        <v>0</v>
      </c>
    </row>
    <row r="399" spans="1:27" ht="19.5" customHeight="1">
      <c r="A399" s="2">
        <v>390</v>
      </c>
      <c r="B399" s="11" t="s">
        <v>3007</v>
      </c>
      <c r="C399" s="4"/>
      <c r="D399" s="4"/>
      <c r="E399" s="11" t="s">
        <v>2607</v>
      </c>
      <c r="F399" s="2" t="s">
        <v>3008</v>
      </c>
      <c r="G399" s="2" t="s">
        <v>3009</v>
      </c>
      <c r="H399" s="2" t="s">
        <v>235</v>
      </c>
      <c r="I399" s="2" t="s">
        <v>520</v>
      </c>
      <c r="J399" s="2" t="s">
        <v>2654</v>
      </c>
      <c r="K399" s="105">
        <v>5500</v>
      </c>
      <c r="L399" s="63">
        <v>2</v>
      </c>
      <c r="M399" s="63"/>
      <c r="N399" s="63"/>
      <c r="O399" s="63"/>
      <c r="P399" s="63"/>
      <c r="Q399" s="63"/>
      <c r="R399" s="100">
        <f t="shared" si="12"/>
        <v>2</v>
      </c>
      <c r="S399" s="100">
        <f t="shared" si="13"/>
        <v>-2</v>
      </c>
    </row>
    <row r="400" spans="1:27" ht="19.5" customHeight="1">
      <c r="A400" s="2">
        <v>391</v>
      </c>
      <c r="B400" s="77" t="s">
        <v>531</v>
      </c>
      <c r="C400" s="4"/>
      <c r="D400" s="4"/>
      <c r="E400" s="77" t="s">
        <v>3010</v>
      </c>
      <c r="F400" s="5" t="s">
        <v>3011</v>
      </c>
      <c r="G400" s="5" t="s">
        <v>288</v>
      </c>
      <c r="H400" s="5" t="s">
        <v>235</v>
      </c>
      <c r="I400" s="5" t="s">
        <v>628</v>
      </c>
      <c r="J400" s="5" t="s">
        <v>3012</v>
      </c>
      <c r="K400" s="105">
        <v>4683</v>
      </c>
      <c r="L400" s="63"/>
      <c r="M400" s="63"/>
      <c r="N400" s="63"/>
      <c r="O400" s="63"/>
      <c r="P400" s="63"/>
      <c r="Q400" s="63"/>
      <c r="R400" s="100">
        <f t="shared" si="12"/>
        <v>0</v>
      </c>
      <c r="S400" s="100">
        <f t="shared" si="13"/>
        <v>0</v>
      </c>
      <c r="T400" s="37"/>
      <c r="U400" s="37"/>
      <c r="V400" s="37"/>
      <c r="W400" s="37"/>
      <c r="X400" s="37"/>
      <c r="Y400" s="37"/>
      <c r="Z400" s="37"/>
      <c r="AA400" s="37"/>
    </row>
    <row r="401" spans="1:19" ht="19.5" customHeight="1">
      <c r="A401" s="2">
        <v>392</v>
      </c>
      <c r="B401" s="71" t="s">
        <v>882</v>
      </c>
      <c r="C401" s="72"/>
      <c r="D401" s="72"/>
      <c r="E401" s="71" t="s">
        <v>1699</v>
      </c>
      <c r="F401" s="73" t="s">
        <v>1701</v>
      </c>
      <c r="G401" s="73" t="s">
        <v>1698</v>
      </c>
      <c r="H401" s="73" t="s">
        <v>1580</v>
      </c>
      <c r="I401" s="73" t="s">
        <v>10</v>
      </c>
      <c r="J401" s="73" t="s">
        <v>1700</v>
      </c>
      <c r="K401" s="105">
        <v>504</v>
      </c>
      <c r="L401" s="63">
        <v>2241</v>
      </c>
      <c r="M401" s="63"/>
      <c r="N401" s="63"/>
      <c r="O401" s="63"/>
      <c r="P401" s="63"/>
      <c r="Q401" s="63"/>
      <c r="R401" s="100">
        <f t="shared" si="12"/>
        <v>2241</v>
      </c>
      <c r="S401" s="100">
        <f t="shared" si="13"/>
        <v>-2241</v>
      </c>
    </row>
    <row r="402" spans="1:19" ht="19.5" customHeight="1">
      <c r="A402" s="2">
        <v>393</v>
      </c>
      <c r="B402" s="67" t="s">
        <v>659</v>
      </c>
      <c r="C402" s="4"/>
      <c r="D402" s="4"/>
      <c r="E402" s="11" t="s">
        <v>1974</v>
      </c>
      <c r="F402" s="2" t="s">
        <v>1975</v>
      </c>
      <c r="G402" s="2" t="s">
        <v>1946</v>
      </c>
      <c r="H402" s="2" t="s">
        <v>262</v>
      </c>
      <c r="I402" s="2" t="s">
        <v>11</v>
      </c>
      <c r="J402" s="2" t="s">
        <v>804</v>
      </c>
      <c r="K402" s="105">
        <v>2940</v>
      </c>
      <c r="L402" s="63">
        <v>13700</v>
      </c>
      <c r="M402" s="63"/>
      <c r="N402" s="63"/>
      <c r="O402" s="63"/>
      <c r="P402" s="63"/>
      <c r="Q402" s="63"/>
      <c r="R402" s="100">
        <f t="shared" si="12"/>
        <v>13700</v>
      </c>
      <c r="S402" s="100">
        <f t="shared" si="13"/>
        <v>-13700</v>
      </c>
    </row>
    <row r="403" spans="1:19" ht="19.5" customHeight="1">
      <c r="A403" s="2">
        <v>394</v>
      </c>
      <c r="B403" s="11" t="s">
        <v>659</v>
      </c>
      <c r="C403" s="11"/>
      <c r="D403" s="11"/>
      <c r="E403" s="11" t="s">
        <v>659</v>
      </c>
      <c r="F403" s="2" t="s">
        <v>3013</v>
      </c>
      <c r="G403" s="2" t="s">
        <v>360</v>
      </c>
      <c r="H403" s="2" t="s">
        <v>262</v>
      </c>
      <c r="I403" s="2" t="s">
        <v>10</v>
      </c>
      <c r="J403" s="2" t="s">
        <v>2204</v>
      </c>
      <c r="K403" s="105">
        <v>766</v>
      </c>
      <c r="L403" s="63">
        <v>19</v>
      </c>
      <c r="M403" s="63"/>
      <c r="N403" s="63"/>
      <c r="O403" s="63"/>
      <c r="P403" s="63"/>
      <c r="Q403" s="63"/>
      <c r="R403" s="100">
        <f t="shared" si="12"/>
        <v>19</v>
      </c>
      <c r="S403" s="100">
        <f t="shared" si="13"/>
        <v>-19</v>
      </c>
    </row>
    <row r="404" spans="1:19" ht="19.5" customHeight="1">
      <c r="A404" s="2">
        <v>395</v>
      </c>
      <c r="B404" s="11" t="s">
        <v>2218</v>
      </c>
      <c r="C404" s="4"/>
      <c r="D404" s="4"/>
      <c r="E404" s="11" t="s">
        <v>102</v>
      </c>
      <c r="F404" s="79" t="s">
        <v>2346</v>
      </c>
      <c r="G404" s="79" t="s">
        <v>1567</v>
      </c>
      <c r="H404" s="2" t="s">
        <v>103</v>
      </c>
      <c r="I404" s="2" t="s">
        <v>10</v>
      </c>
      <c r="J404" s="2" t="s">
        <v>1237</v>
      </c>
      <c r="K404" s="105">
        <v>546</v>
      </c>
      <c r="L404" s="63">
        <v>30</v>
      </c>
      <c r="M404" s="63"/>
      <c r="N404" s="63"/>
      <c r="O404" s="63"/>
      <c r="P404" s="63"/>
      <c r="Q404" s="63"/>
      <c r="R404" s="100">
        <f t="shared" si="12"/>
        <v>30</v>
      </c>
      <c r="S404" s="100">
        <f t="shared" si="13"/>
        <v>-30</v>
      </c>
    </row>
    <row r="405" spans="1:19" ht="19.5" customHeight="1">
      <c r="A405" s="2">
        <v>396</v>
      </c>
      <c r="B405" s="64" t="s">
        <v>506</v>
      </c>
      <c r="C405" s="3"/>
      <c r="D405" s="3"/>
      <c r="E405" s="11" t="s">
        <v>507</v>
      </c>
      <c r="F405" s="2" t="s">
        <v>508</v>
      </c>
      <c r="G405" s="2" t="s">
        <v>509</v>
      </c>
      <c r="H405" s="2" t="s">
        <v>258</v>
      </c>
      <c r="I405" s="2" t="s">
        <v>14</v>
      </c>
      <c r="J405" s="2" t="s">
        <v>483</v>
      </c>
      <c r="K405" s="105">
        <v>7849</v>
      </c>
      <c r="L405" s="63">
        <v>161</v>
      </c>
      <c r="M405" s="63"/>
      <c r="N405" s="63"/>
      <c r="O405" s="63"/>
      <c r="P405" s="63"/>
      <c r="Q405" s="63"/>
      <c r="R405" s="100">
        <f t="shared" si="12"/>
        <v>161</v>
      </c>
      <c r="S405" s="100">
        <f t="shared" si="13"/>
        <v>-161</v>
      </c>
    </row>
    <row r="406" spans="1:19" ht="19.5" customHeight="1">
      <c r="A406" s="2">
        <v>397</v>
      </c>
      <c r="B406" s="11" t="s">
        <v>1109</v>
      </c>
      <c r="C406" s="4"/>
      <c r="D406" s="4"/>
      <c r="E406" s="11" t="s">
        <v>1486</v>
      </c>
      <c r="F406" s="2" t="s">
        <v>1487</v>
      </c>
      <c r="G406" s="2" t="s">
        <v>1485</v>
      </c>
      <c r="H406" s="2" t="s">
        <v>310</v>
      </c>
      <c r="I406" s="2" t="s">
        <v>10</v>
      </c>
      <c r="J406" s="2" t="s">
        <v>620</v>
      </c>
      <c r="K406" s="105">
        <v>9000</v>
      </c>
      <c r="L406" s="63">
        <v>8356</v>
      </c>
      <c r="M406" s="63"/>
      <c r="N406" s="63"/>
      <c r="O406" s="63"/>
      <c r="P406" s="63"/>
      <c r="Q406" s="63"/>
      <c r="R406" s="100">
        <f t="shared" si="12"/>
        <v>8356</v>
      </c>
      <c r="S406" s="100">
        <f t="shared" si="13"/>
        <v>-8356</v>
      </c>
    </row>
    <row r="407" spans="1:19" ht="19.5" customHeight="1">
      <c r="A407" s="2">
        <v>398</v>
      </c>
      <c r="B407" s="67" t="s">
        <v>960</v>
      </c>
      <c r="C407" s="4"/>
      <c r="D407" s="4"/>
      <c r="E407" s="67" t="s">
        <v>961</v>
      </c>
      <c r="F407" s="68" t="s">
        <v>963</v>
      </c>
      <c r="G407" s="68" t="s">
        <v>948</v>
      </c>
      <c r="H407" s="68" t="s">
        <v>962</v>
      </c>
      <c r="I407" s="68" t="s">
        <v>12</v>
      </c>
      <c r="J407" s="68" t="s">
        <v>946</v>
      </c>
      <c r="K407" s="105">
        <v>3053</v>
      </c>
      <c r="L407" s="63">
        <v>494</v>
      </c>
      <c r="M407" s="63"/>
      <c r="N407" s="63"/>
      <c r="O407" s="63"/>
      <c r="P407" s="63"/>
      <c r="Q407" s="63"/>
      <c r="R407" s="100">
        <f t="shared" si="12"/>
        <v>494</v>
      </c>
      <c r="S407" s="100">
        <f t="shared" si="13"/>
        <v>-494</v>
      </c>
    </row>
    <row r="408" spans="1:19" ht="19.5" customHeight="1">
      <c r="A408" s="2">
        <v>399</v>
      </c>
      <c r="B408" s="64" t="s">
        <v>395</v>
      </c>
      <c r="C408" s="3"/>
      <c r="D408" s="3"/>
      <c r="E408" s="11" t="s">
        <v>510</v>
      </c>
      <c r="F408" s="2" t="s">
        <v>512</v>
      </c>
      <c r="G408" s="2" t="s">
        <v>509</v>
      </c>
      <c r="H408" s="2" t="s">
        <v>267</v>
      </c>
      <c r="I408" s="2" t="s">
        <v>14</v>
      </c>
      <c r="J408" s="2" t="s">
        <v>511</v>
      </c>
      <c r="K408" s="105">
        <v>13999</v>
      </c>
      <c r="L408" s="63">
        <v>230</v>
      </c>
      <c r="M408" s="63"/>
      <c r="N408" s="63"/>
      <c r="O408" s="63"/>
      <c r="P408" s="63"/>
      <c r="Q408" s="63"/>
      <c r="R408" s="100">
        <f t="shared" si="12"/>
        <v>230</v>
      </c>
      <c r="S408" s="100">
        <f t="shared" si="13"/>
        <v>-230</v>
      </c>
    </row>
    <row r="409" spans="1:19" ht="19.5" customHeight="1">
      <c r="A409" s="2">
        <v>400</v>
      </c>
      <c r="B409" s="67" t="s">
        <v>1982</v>
      </c>
      <c r="C409" s="4"/>
      <c r="D409" s="4"/>
      <c r="E409" s="11" t="s">
        <v>1983</v>
      </c>
      <c r="F409" s="2" t="s">
        <v>1986</v>
      </c>
      <c r="G409" s="2" t="s">
        <v>1953</v>
      </c>
      <c r="H409" s="2" t="s">
        <v>1984</v>
      </c>
      <c r="I409" s="2" t="s">
        <v>13</v>
      </c>
      <c r="J409" s="2" t="s">
        <v>1985</v>
      </c>
      <c r="K409" s="105">
        <v>2394</v>
      </c>
      <c r="L409" s="63">
        <v>8138</v>
      </c>
      <c r="M409" s="63"/>
      <c r="N409" s="63"/>
      <c r="O409" s="63"/>
      <c r="P409" s="63"/>
      <c r="Q409" s="63"/>
      <c r="R409" s="100">
        <f t="shared" si="12"/>
        <v>8138</v>
      </c>
      <c r="S409" s="100">
        <f t="shared" si="13"/>
        <v>-8138</v>
      </c>
    </row>
    <row r="410" spans="1:19" ht="19.5" customHeight="1">
      <c r="A410" s="2">
        <v>401</v>
      </c>
      <c r="B410" s="65" t="s">
        <v>2489</v>
      </c>
      <c r="C410" s="4"/>
      <c r="D410" s="4"/>
      <c r="E410" s="65" t="s">
        <v>2488</v>
      </c>
      <c r="F410" s="2" t="s">
        <v>3014</v>
      </c>
      <c r="G410" s="2" t="s">
        <v>2672</v>
      </c>
      <c r="H410" s="66" t="s">
        <v>2490</v>
      </c>
      <c r="I410" s="66" t="s">
        <v>15</v>
      </c>
      <c r="J410" s="2" t="s">
        <v>3015</v>
      </c>
      <c r="K410" s="106">
        <v>115500</v>
      </c>
      <c r="L410" s="63">
        <v>5</v>
      </c>
      <c r="M410" s="63"/>
      <c r="N410" s="63"/>
      <c r="O410" s="63"/>
      <c r="P410" s="63"/>
      <c r="Q410" s="63"/>
      <c r="R410" s="100">
        <f t="shared" si="12"/>
        <v>5</v>
      </c>
      <c r="S410" s="100">
        <f t="shared" si="13"/>
        <v>-5</v>
      </c>
    </row>
    <row r="411" spans="1:19" ht="19.5" customHeight="1">
      <c r="A411" s="2">
        <v>402</v>
      </c>
      <c r="B411" s="11" t="s">
        <v>438</v>
      </c>
      <c r="C411" s="11"/>
      <c r="D411" s="11"/>
      <c r="E411" s="11" t="s">
        <v>2491</v>
      </c>
      <c r="F411" s="2" t="s">
        <v>3016</v>
      </c>
      <c r="G411" s="2" t="s">
        <v>3017</v>
      </c>
      <c r="H411" s="2" t="s">
        <v>2492</v>
      </c>
      <c r="I411" s="2" t="s">
        <v>520</v>
      </c>
      <c r="J411" s="2" t="s">
        <v>2654</v>
      </c>
      <c r="K411" s="105">
        <v>1050</v>
      </c>
      <c r="L411" s="63">
        <v>2</v>
      </c>
      <c r="M411" s="63"/>
      <c r="N411" s="63"/>
      <c r="O411" s="63"/>
      <c r="P411" s="63"/>
      <c r="Q411" s="63"/>
      <c r="R411" s="100">
        <f t="shared" si="12"/>
        <v>2</v>
      </c>
      <c r="S411" s="100">
        <f t="shared" si="13"/>
        <v>-2</v>
      </c>
    </row>
    <row r="412" spans="1:19" ht="19.5" customHeight="1">
      <c r="A412" s="2">
        <v>403</v>
      </c>
      <c r="B412" s="71" t="s">
        <v>3018</v>
      </c>
      <c r="C412" s="4"/>
      <c r="D412" s="4"/>
      <c r="E412" s="11" t="s">
        <v>2491</v>
      </c>
      <c r="F412" s="2" t="s">
        <v>3016</v>
      </c>
      <c r="G412" s="2" t="s">
        <v>3017</v>
      </c>
      <c r="H412" s="2" t="s">
        <v>2492</v>
      </c>
      <c r="I412" s="2" t="s">
        <v>520</v>
      </c>
      <c r="J412" s="2" t="s">
        <v>3019</v>
      </c>
      <c r="K412" s="105">
        <v>945</v>
      </c>
      <c r="L412" s="63">
        <v>10</v>
      </c>
      <c r="M412" s="63"/>
      <c r="N412" s="63"/>
      <c r="O412" s="63"/>
      <c r="P412" s="63"/>
      <c r="Q412" s="63"/>
      <c r="R412" s="100">
        <f t="shared" si="12"/>
        <v>10</v>
      </c>
      <c r="S412" s="100">
        <f t="shared" si="13"/>
        <v>-10</v>
      </c>
    </row>
    <row r="413" spans="1:19" ht="19.5" customHeight="1">
      <c r="A413" s="2">
        <v>404</v>
      </c>
      <c r="B413" s="11" t="s">
        <v>2417</v>
      </c>
      <c r="C413" s="4"/>
      <c r="D413" s="4"/>
      <c r="E413" s="87" t="s">
        <v>104</v>
      </c>
      <c r="F413" s="2" t="s">
        <v>2418</v>
      </c>
      <c r="G413" s="75" t="s">
        <v>2413</v>
      </c>
      <c r="H413" s="2" t="s">
        <v>106</v>
      </c>
      <c r="I413" s="2" t="s">
        <v>10</v>
      </c>
      <c r="J413" s="76" t="s">
        <v>541</v>
      </c>
      <c r="K413" s="105">
        <v>2783</v>
      </c>
      <c r="L413" s="63">
        <v>10042</v>
      </c>
      <c r="M413" s="63"/>
      <c r="N413" s="63"/>
      <c r="O413" s="63"/>
      <c r="P413" s="63"/>
      <c r="Q413" s="63"/>
      <c r="R413" s="100">
        <f t="shared" si="12"/>
        <v>10042</v>
      </c>
      <c r="S413" s="100">
        <f t="shared" si="13"/>
        <v>-10042</v>
      </c>
    </row>
    <row r="414" spans="1:19" ht="19.5" customHeight="1">
      <c r="A414" s="2">
        <v>405</v>
      </c>
      <c r="B414" s="11" t="s">
        <v>1359</v>
      </c>
      <c r="C414" s="4"/>
      <c r="D414" s="4"/>
      <c r="E414" s="11" t="s">
        <v>1360</v>
      </c>
      <c r="F414" s="2" t="s">
        <v>1361</v>
      </c>
      <c r="G414" s="2" t="s">
        <v>360</v>
      </c>
      <c r="H414" s="2" t="s">
        <v>225</v>
      </c>
      <c r="I414" s="2" t="s">
        <v>11</v>
      </c>
      <c r="J414" s="2" t="s">
        <v>642</v>
      </c>
      <c r="K414" s="105">
        <v>328</v>
      </c>
      <c r="L414" s="63">
        <v>16221</v>
      </c>
      <c r="M414" s="63"/>
      <c r="N414" s="63"/>
      <c r="O414" s="63"/>
      <c r="P414" s="63"/>
      <c r="Q414" s="63"/>
      <c r="R414" s="100">
        <f t="shared" si="12"/>
        <v>16221</v>
      </c>
      <c r="S414" s="100">
        <f t="shared" si="13"/>
        <v>-16221</v>
      </c>
    </row>
    <row r="415" spans="1:19" ht="19.5" customHeight="1">
      <c r="A415" s="2">
        <v>406</v>
      </c>
      <c r="B415" s="67" t="s">
        <v>2133</v>
      </c>
      <c r="C415" s="4"/>
      <c r="D415" s="4"/>
      <c r="E415" s="11" t="s">
        <v>2134</v>
      </c>
      <c r="F415" s="2" t="s">
        <v>2135</v>
      </c>
      <c r="G415" s="2" t="s">
        <v>2136</v>
      </c>
      <c r="H415" s="2" t="s">
        <v>267</v>
      </c>
      <c r="I415" s="2" t="s">
        <v>10</v>
      </c>
      <c r="J415" s="2" t="s">
        <v>2132</v>
      </c>
      <c r="K415" s="105">
        <v>3500</v>
      </c>
      <c r="L415" s="63">
        <v>272</v>
      </c>
      <c r="M415" s="63"/>
      <c r="N415" s="63"/>
      <c r="O415" s="63"/>
      <c r="P415" s="63"/>
      <c r="Q415" s="63"/>
      <c r="R415" s="100">
        <f t="shared" si="12"/>
        <v>272</v>
      </c>
      <c r="S415" s="100">
        <f t="shared" si="13"/>
        <v>-272</v>
      </c>
    </row>
    <row r="416" spans="1:19" ht="19.5" customHeight="1">
      <c r="A416" s="2">
        <v>407</v>
      </c>
      <c r="B416" s="11" t="s">
        <v>1813</v>
      </c>
      <c r="C416" s="4"/>
      <c r="D416" s="4"/>
      <c r="E416" s="11" t="s">
        <v>1814</v>
      </c>
      <c r="F416" s="2" t="s">
        <v>1816</v>
      </c>
      <c r="G416" s="2" t="s">
        <v>1817</v>
      </c>
      <c r="H416" s="2" t="s">
        <v>1815</v>
      </c>
      <c r="I416" s="17" t="s">
        <v>10</v>
      </c>
      <c r="J416" s="2" t="s">
        <v>623</v>
      </c>
      <c r="K416" s="105">
        <v>6000</v>
      </c>
      <c r="L416" s="63">
        <v>11895</v>
      </c>
      <c r="M416" s="63"/>
      <c r="N416" s="63"/>
      <c r="O416" s="63"/>
      <c r="P416" s="63"/>
      <c r="Q416" s="63"/>
      <c r="R416" s="100">
        <f t="shared" si="12"/>
        <v>11895</v>
      </c>
      <c r="S416" s="100">
        <f t="shared" si="13"/>
        <v>-11895</v>
      </c>
    </row>
    <row r="417" spans="1:27" ht="19.5" customHeight="1">
      <c r="A417" s="2">
        <v>408</v>
      </c>
      <c r="B417" s="11" t="s">
        <v>1220</v>
      </c>
      <c r="C417" s="11"/>
      <c r="D417" s="11"/>
      <c r="E417" s="11" t="s">
        <v>1220</v>
      </c>
      <c r="F417" s="2" t="s">
        <v>3020</v>
      </c>
      <c r="G417" s="2" t="s">
        <v>360</v>
      </c>
      <c r="H417" s="2" t="s">
        <v>267</v>
      </c>
      <c r="I417" s="2" t="s">
        <v>10</v>
      </c>
      <c r="J417" s="2" t="s">
        <v>623</v>
      </c>
      <c r="K417" s="105">
        <v>105</v>
      </c>
      <c r="L417" s="63">
        <v>39</v>
      </c>
      <c r="M417" s="63"/>
      <c r="N417" s="63"/>
      <c r="O417" s="63"/>
      <c r="P417" s="63"/>
      <c r="Q417" s="63"/>
      <c r="R417" s="100">
        <f t="shared" si="12"/>
        <v>39</v>
      </c>
      <c r="S417" s="100">
        <f t="shared" si="13"/>
        <v>-39</v>
      </c>
    </row>
    <row r="418" spans="1:27" ht="19.5" customHeight="1">
      <c r="A418" s="2">
        <v>409</v>
      </c>
      <c r="B418" s="67" t="s">
        <v>1241</v>
      </c>
      <c r="C418" s="4"/>
      <c r="D418" s="4"/>
      <c r="E418" s="67" t="s">
        <v>1243</v>
      </c>
      <c r="F418" s="68" t="s">
        <v>1244</v>
      </c>
      <c r="G418" s="68" t="s">
        <v>1242</v>
      </c>
      <c r="H418" s="68" t="s">
        <v>238</v>
      </c>
      <c r="I418" s="68" t="s">
        <v>11</v>
      </c>
      <c r="J418" s="68" t="s">
        <v>884</v>
      </c>
      <c r="K418" s="105">
        <v>2650</v>
      </c>
      <c r="L418" s="63">
        <v>2230</v>
      </c>
      <c r="M418" s="63"/>
      <c r="N418" s="63"/>
      <c r="O418" s="63"/>
      <c r="P418" s="63"/>
      <c r="Q418" s="63"/>
      <c r="R418" s="100">
        <f t="shared" si="12"/>
        <v>2230</v>
      </c>
      <c r="S418" s="100">
        <f t="shared" si="13"/>
        <v>-2230</v>
      </c>
    </row>
    <row r="419" spans="1:27" ht="19.5" customHeight="1">
      <c r="A419" s="2">
        <v>410</v>
      </c>
      <c r="B419" s="64" t="s">
        <v>325</v>
      </c>
      <c r="C419" s="3"/>
      <c r="D419" s="3"/>
      <c r="E419" s="11" t="s">
        <v>326</v>
      </c>
      <c r="F419" s="2" t="s">
        <v>328</v>
      </c>
      <c r="G419" s="2" t="s">
        <v>324</v>
      </c>
      <c r="H419" s="2" t="s">
        <v>327</v>
      </c>
      <c r="I419" s="2" t="s">
        <v>10</v>
      </c>
      <c r="J419" s="2" t="s">
        <v>642</v>
      </c>
      <c r="K419" s="105">
        <v>231</v>
      </c>
      <c r="L419" s="63">
        <v>13714</v>
      </c>
      <c r="M419" s="63"/>
      <c r="N419" s="63"/>
      <c r="O419" s="63"/>
      <c r="P419" s="63"/>
      <c r="Q419" s="63"/>
      <c r="R419" s="100">
        <f t="shared" si="12"/>
        <v>13714</v>
      </c>
      <c r="S419" s="100">
        <f t="shared" si="13"/>
        <v>-13714</v>
      </c>
    </row>
    <row r="420" spans="1:27" ht="19.5" customHeight="1">
      <c r="A420" s="2">
        <v>411</v>
      </c>
      <c r="B420" s="67" t="s">
        <v>583</v>
      </c>
      <c r="C420" s="4"/>
      <c r="D420" s="4"/>
      <c r="E420" s="11" t="s">
        <v>1824</v>
      </c>
      <c r="F420" s="2" t="s">
        <v>1825</v>
      </c>
      <c r="G420" s="2" t="s">
        <v>492</v>
      </c>
      <c r="H420" s="2" t="s">
        <v>222</v>
      </c>
      <c r="I420" s="2" t="s">
        <v>10</v>
      </c>
      <c r="J420" s="2" t="s">
        <v>626</v>
      </c>
      <c r="K420" s="105">
        <v>282</v>
      </c>
      <c r="L420" s="63">
        <v>902</v>
      </c>
      <c r="M420" s="63"/>
      <c r="N420" s="63"/>
      <c r="O420" s="63"/>
      <c r="P420" s="63"/>
      <c r="Q420" s="63"/>
      <c r="R420" s="100">
        <f t="shared" si="12"/>
        <v>902</v>
      </c>
      <c r="S420" s="100">
        <f t="shared" si="13"/>
        <v>-902</v>
      </c>
    </row>
    <row r="421" spans="1:27" ht="19.5" customHeight="1">
      <c r="A421" s="2">
        <v>412</v>
      </c>
      <c r="B421" s="77" t="s">
        <v>309</v>
      </c>
      <c r="C421" s="4"/>
      <c r="D421" s="4"/>
      <c r="E421" s="77" t="s">
        <v>3021</v>
      </c>
      <c r="F421" s="5" t="s">
        <v>3022</v>
      </c>
      <c r="G421" s="5" t="s">
        <v>2702</v>
      </c>
      <c r="H421" s="5" t="s">
        <v>310</v>
      </c>
      <c r="I421" s="5" t="s">
        <v>10</v>
      </c>
      <c r="J421" s="5" t="s">
        <v>3023</v>
      </c>
      <c r="K421" s="105">
        <v>554</v>
      </c>
      <c r="L421" s="63"/>
      <c r="M421" s="63"/>
      <c r="N421" s="63"/>
      <c r="O421" s="63"/>
      <c r="P421" s="63"/>
      <c r="Q421" s="63"/>
      <c r="R421" s="100">
        <f t="shared" si="12"/>
        <v>0</v>
      </c>
      <c r="S421" s="100">
        <f t="shared" si="13"/>
        <v>0</v>
      </c>
      <c r="T421" s="37"/>
      <c r="U421" s="37"/>
      <c r="V421" s="37"/>
      <c r="W421" s="37"/>
      <c r="X421" s="37"/>
      <c r="Y421" s="37"/>
      <c r="Z421" s="37"/>
      <c r="AA421" s="37"/>
    </row>
    <row r="422" spans="1:27" ht="19.5" customHeight="1">
      <c r="A422" s="2">
        <v>413</v>
      </c>
      <c r="B422" s="67" t="s">
        <v>289</v>
      </c>
      <c r="C422" s="11"/>
      <c r="D422" s="11"/>
      <c r="E422" s="67" t="s">
        <v>871</v>
      </c>
      <c r="F422" s="68" t="s">
        <v>872</v>
      </c>
      <c r="G422" s="68" t="s">
        <v>293</v>
      </c>
      <c r="H422" s="68" t="s">
        <v>258</v>
      </c>
      <c r="I422" s="68" t="s">
        <v>10</v>
      </c>
      <c r="J422" s="68" t="s">
        <v>626</v>
      </c>
      <c r="K422" s="105">
        <v>4738</v>
      </c>
      <c r="L422" s="63">
        <v>11360</v>
      </c>
      <c r="M422" s="63"/>
      <c r="N422" s="63"/>
      <c r="O422" s="63"/>
      <c r="P422" s="63"/>
      <c r="Q422" s="63"/>
      <c r="R422" s="100">
        <f t="shared" si="12"/>
        <v>11360</v>
      </c>
      <c r="S422" s="100">
        <f t="shared" si="13"/>
        <v>-11360</v>
      </c>
    </row>
    <row r="423" spans="1:27" ht="19.5" customHeight="1">
      <c r="A423" s="2">
        <v>414</v>
      </c>
      <c r="B423" s="11" t="s">
        <v>289</v>
      </c>
      <c r="C423" s="11"/>
      <c r="D423" s="11"/>
      <c r="E423" s="11" t="s">
        <v>290</v>
      </c>
      <c r="F423" s="2" t="s">
        <v>292</v>
      </c>
      <c r="G423" s="2" t="s">
        <v>293</v>
      </c>
      <c r="H423" s="2" t="s">
        <v>291</v>
      </c>
      <c r="I423" s="2" t="s">
        <v>10</v>
      </c>
      <c r="J423" s="2" t="s">
        <v>642</v>
      </c>
      <c r="K423" s="105">
        <v>2760</v>
      </c>
      <c r="L423" s="63">
        <v>32</v>
      </c>
      <c r="M423" s="63"/>
      <c r="N423" s="63"/>
      <c r="O423" s="63"/>
      <c r="P423" s="63"/>
      <c r="Q423" s="63"/>
      <c r="R423" s="100">
        <f t="shared" si="12"/>
        <v>32</v>
      </c>
      <c r="S423" s="100">
        <f t="shared" si="13"/>
        <v>-32</v>
      </c>
    </row>
    <row r="424" spans="1:27" ht="19.5" customHeight="1">
      <c r="A424" s="2">
        <v>415</v>
      </c>
      <c r="B424" s="65" t="s">
        <v>1618</v>
      </c>
      <c r="C424" s="4"/>
      <c r="D424" s="4"/>
      <c r="E424" s="65" t="s">
        <v>2493</v>
      </c>
      <c r="F424" s="2" t="s">
        <v>3024</v>
      </c>
      <c r="G424" s="2" t="s">
        <v>3025</v>
      </c>
      <c r="H424" s="66" t="s">
        <v>1232</v>
      </c>
      <c r="I424" s="2" t="s">
        <v>11</v>
      </c>
      <c r="J424" s="2" t="s">
        <v>815</v>
      </c>
      <c r="K424" s="106">
        <v>567</v>
      </c>
      <c r="L424" s="63">
        <v>14</v>
      </c>
      <c r="M424" s="63"/>
      <c r="N424" s="63"/>
      <c r="O424" s="63"/>
      <c r="P424" s="63"/>
      <c r="Q424" s="63"/>
      <c r="R424" s="100">
        <f t="shared" si="12"/>
        <v>14</v>
      </c>
      <c r="S424" s="100">
        <f t="shared" si="13"/>
        <v>-14</v>
      </c>
    </row>
    <row r="425" spans="1:27" ht="19.5" customHeight="1">
      <c r="A425" s="2">
        <v>416</v>
      </c>
      <c r="B425" s="11" t="s">
        <v>1618</v>
      </c>
      <c r="C425" s="11"/>
      <c r="D425" s="11"/>
      <c r="E425" s="11" t="s">
        <v>2608</v>
      </c>
      <c r="F425" s="2" t="s">
        <v>3026</v>
      </c>
      <c r="G425" s="2" t="s">
        <v>3025</v>
      </c>
      <c r="H425" s="2" t="s">
        <v>225</v>
      </c>
      <c r="I425" s="2" t="s">
        <v>11</v>
      </c>
      <c r="J425" s="2" t="s">
        <v>815</v>
      </c>
      <c r="K425" s="105">
        <v>170</v>
      </c>
      <c r="L425" s="63">
        <v>45</v>
      </c>
      <c r="M425" s="63"/>
      <c r="N425" s="63"/>
      <c r="O425" s="63"/>
      <c r="P425" s="63"/>
      <c r="Q425" s="63"/>
      <c r="R425" s="100">
        <f t="shared" si="12"/>
        <v>45</v>
      </c>
      <c r="S425" s="100">
        <f t="shared" si="13"/>
        <v>-45</v>
      </c>
    </row>
    <row r="426" spans="1:27" ht="19.5" customHeight="1">
      <c r="A426" s="2">
        <v>417</v>
      </c>
      <c r="B426" s="11" t="s">
        <v>729</v>
      </c>
      <c r="C426" s="11"/>
      <c r="D426" s="11"/>
      <c r="E426" s="11" t="s">
        <v>1344</v>
      </c>
      <c r="F426" s="2" t="s">
        <v>1345</v>
      </c>
      <c r="G426" s="2" t="s">
        <v>360</v>
      </c>
      <c r="H426" s="2" t="s">
        <v>272</v>
      </c>
      <c r="I426" s="2" t="s">
        <v>11</v>
      </c>
      <c r="J426" s="2" t="s">
        <v>1329</v>
      </c>
      <c r="K426" s="105">
        <v>203</v>
      </c>
      <c r="L426" s="63">
        <v>6616</v>
      </c>
      <c r="M426" s="63"/>
      <c r="N426" s="63"/>
      <c r="O426" s="63"/>
      <c r="P426" s="63"/>
      <c r="Q426" s="63"/>
      <c r="R426" s="100">
        <f t="shared" si="12"/>
        <v>6616</v>
      </c>
      <c r="S426" s="100">
        <f t="shared" si="13"/>
        <v>-6616</v>
      </c>
    </row>
    <row r="427" spans="1:27" ht="19.5" customHeight="1">
      <c r="A427" s="2">
        <v>418</v>
      </c>
      <c r="B427" s="11" t="s">
        <v>729</v>
      </c>
      <c r="C427" s="11"/>
      <c r="D427" s="11"/>
      <c r="E427" s="11" t="s">
        <v>1346</v>
      </c>
      <c r="F427" s="2" t="s">
        <v>1347</v>
      </c>
      <c r="G427" s="2" t="s">
        <v>360</v>
      </c>
      <c r="H427" s="2" t="s">
        <v>225</v>
      </c>
      <c r="I427" s="2" t="s">
        <v>11</v>
      </c>
      <c r="J427" s="2" t="s">
        <v>647</v>
      </c>
      <c r="K427" s="105">
        <v>244</v>
      </c>
      <c r="L427" s="63">
        <v>3727</v>
      </c>
      <c r="M427" s="63"/>
      <c r="N427" s="63"/>
      <c r="O427" s="63"/>
      <c r="P427" s="63"/>
      <c r="Q427" s="63"/>
      <c r="R427" s="100">
        <f t="shared" si="12"/>
        <v>3727</v>
      </c>
      <c r="S427" s="100">
        <f t="shared" si="13"/>
        <v>-3727</v>
      </c>
    </row>
    <row r="428" spans="1:27" ht="19.5" customHeight="1">
      <c r="A428" s="2">
        <v>419</v>
      </c>
      <c r="B428" s="11" t="s">
        <v>513</v>
      </c>
      <c r="C428" s="11"/>
      <c r="D428" s="11"/>
      <c r="E428" s="11" t="s">
        <v>1761</v>
      </c>
      <c r="F428" s="2" t="s">
        <v>3027</v>
      </c>
      <c r="G428" s="2" t="s">
        <v>1763</v>
      </c>
      <c r="H428" s="2" t="s">
        <v>2517</v>
      </c>
      <c r="I428" s="2" t="s">
        <v>15</v>
      </c>
      <c r="J428" s="2" t="s">
        <v>1762</v>
      </c>
      <c r="K428" s="105">
        <v>9660</v>
      </c>
      <c r="L428" s="63">
        <v>36</v>
      </c>
      <c r="M428" s="63"/>
      <c r="N428" s="63"/>
      <c r="O428" s="63"/>
      <c r="P428" s="63"/>
      <c r="Q428" s="63"/>
      <c r="R428" s="100">
        <f t="shared" si="12"/>
        <v>36</v>
      </c>
      <c r="S428" s="100">
        <f t="shared" si="13"/>
        <v>-36</v>
      </c>
    </row>
    <row r="429" spans="1:27" ht="19.5" customHeight="1">
      <c r="A429" s="2">
        <v>420</v>
      </c>
      <c r="B429" s="11" t="s">
        <v>513</v>
      </c>
      <c r="C429" s="11"/>
      <c r="D429" s="11"/>
      <c r="E429" s="11" t="s">
        <v>2565</v>
      </c>
      <c r="F429" s="2" t="s">
        <v>3028</v>
      </c>
      <c r="G429" s="2" t="s">
        <v>1763</v>
      </c>
      <c r="H429" s="2" t="s">
        <v>2567</v>
      </c>
      <c r="I429" s="2" t="s">
        <v>15</v>
      </c>
      <c r="J429" s="2" t="s">
        <v>1762</v>
      </c>
      <c r="K429" s="105">
        <v>7245</v>
      </c>
      <c r="L429" s="63">
        <v>976</v>
      </c>
      <c r="M429" s="63"/>
      <c r="N429" s="63"/>
      <c r="O429" s="63"/>
      <c r="P429" s="63"/>
      <c r="Q429" s="63"/>
      <c r="R429" s="100">
        <f t="shared" si="12"/>
        <v>976</v>
      </c>
      <c r="S429" s="100">
        <f t="shared" si="13"/>
        <v>-976</v>
      </c>
    </row>
    <row r="430" spans="1:27" ht="19.5" customHeight="1">
      <c r="A430" s="2">
        <v>421</v>
      </c>
      <c r="B430" s="11" t="s">
        <v>513</v>
      </c>
      <c r="C430" s="11"/>
      <c r="D430" s="11"/>
      <c r="E430" s="11" t="s">
        <v>2565</v>
      </c>
      <c r="F430" s="2" t="s">
        <v>3028</v>
      </c>
      <c r="G430" s="2" t="s">
        <v>1763</v>
      </c>
      <c r="H430" s="2" t="s">
        <v>2566</v>
      </c>
      <c r="I430" s="2" t="s">
        <v>15</v>
      </c>
      <c r="J430" s="2" t="s">
        <v>1762</v>
      </c>
      <c r="K430" s="105">
        <v>7350</v>
      </c>
      <c r="L430" s="63">
        <v>27</v>
      </c>
      <c r="M430" s="63"/>
      <c r="N430" s="63"/>
      <c r="O430" s="63"/>
      <c r="P430" s="63"/>
      <c r="Q430" s="63"/>
      <c r="R430" s="100">
        <f t="shared" si="12"/>
        <v>27</v>
      </c>
      <c r="S430" s="100">
        <f t="shared" si="13"/>
        <v>-27</v>
      </c>
    </row>
    <row r="431" spans="1:27" ht="19.5" customHeight="1">
      <c r="A431" s="2">
        <v>422</v>
      </c>
      <c r="B431" s="11" t="s">
        <v>513</v>
      </c>
      <c r="C431" s="11"/>
      <c r="D431" s="11"/>
      <c r="E431" s="11" t="s">
        <v>2609</v>
      </c>
      <c r="F431" s="2" t="s">
        <v>3029</v>
      </c>
      <c r="G431" s="2" t="s">
        <v>1763</v>
      </c>
      <c r="H431" s="2" t="s">
        <v>2610</v>
      </c>
      <c r="I431" s="2" t="s">
        <v>15</v>
      </c>
      <c r="J431" s="2" t="s">
        <v>3030</v>
      </c>
      <c r="K431" s="105">
        <v>1103</v>
      </c>
      <c r="L431" s="63">
        <v>1009</v>
      </c>
      <c r="M431" s="63"/>
      <c r="N431" s="63"/>
      <c r="O431" s="63"/>
      <c r="P431" s="63"/>
      <c r="Q431" s="63"/>
      <c r="R431" s="100">
        <f t="shared" si="12"/>
        <v>1009</v>
      </c>
      <c r="S431" s="100">
        <f t="shared" si="13"/>
        <v>-1009</v>
      </c>
    </row>
    <row r="432" spans="1:27" ht="19.5" customHeight="1">
      <c r="A432" s="2">
        <v>423</v>
      </c>
      <c r="B432" s="11" t="s">
        <v>1618</v>
      </c>
      <c r="C432" s="4"/>
      <c r="D432" s="4"/>
      <c r="E432" s="11" t="s">
        <v>1927</v>
      </c>
      <c r="F432" s="2" t="s">
        <v>1928</v>
      </c>
      <c r="G432" s="2" t="s">
        <v>1913</v>
      </c>
      <c r="H432" s="2" t="s">
        <v>225</v>
      </c>
      <c r="I432" s="2" t="s">
        <v>11</v>
      </c>
      <c r="J432" s="2" t="s">
        <v>585</v>
      </c>
      <c r="K432" s="105">
        <v>147</v>
      </c>
      <c r="L432" s="63">
        <v>0</v>
      </c>
      <c r="M432" s="63"/>
      <c r="N432" s="63"/>
      <c r="O432" s="63"/>
      <c r="P432" s="63"/>
      <c r="Q432" s="63"/>
      <c r="R432" s="100">
        <f t="shared" si="12"/>
        <v>0</v>
      </c>
      <c r="S432" s="100">
        <f t="shared" si="13"/>
        <v>0</v>
      </c>
    </row>
    <row r="433" spans="1:19" ht="19.5" customHeight="1">
      <c r="A433" s="2">
        <v>424</v>
      </c>
      <c r="B433" s="11" t="s">
        <v>1618</v>
      </c>
      <c r="C433" s="4"/>
      <c r="D433" s="4"/>
      <c r="E433" s="11" t="s">
        <v>1925</v>
      </c>
      <c r="F433" s="2" t="s">
        <v>1926</v>
      </c>
      <c r="G433" s="2" t="s">
        <v>1913</v>
      </c>
      <c r="H433" s="2" t="s">
        <v>994</v>
      </c>
      <c r="I433" s="2" t="s">
        <v>11</v>
      </c>
      <c r="J433" s="2" t="s">
        <v>585</v>
      </c>
      <c r="K433" s="105">
        <v>200</v>
      </c>
      <c r="L433" s="63">
        <v>35</v>
      </c>
      <c r="M433" s="63"/>
      <c r="N433" s="63"/>
      <c r="O433" s="63"/>
      <c r="P433" s="63"/>
      <c r="Q433" s="63"/>
      <c r="R433" s="100">
        <f t="shared" si="12"/>
        <v>35</v>
      </c>
      <c r="S433" s="100">
        <f t="shared" si="13"/>
        <v>-35</v>
      </c>
    </row>
    <row r="434" spans="1:19" ht="19.5" customHeight="1">
      <c r="A434" s="2">
        <v>425</v>
      </c>
      <c r="B434" s="11" t="s">
        <v>583</v>
      </c>
      <c r="C434" s="4"/>
      <c r="D434" s="4"/>
      <c r="E434" s="11" t="s">
        <v>1100</v>
      </c>
      <c r="F434" s="2" t="s">
        <v>1101</v>
      </c>
      <c r="G434" s="2" t="s">
        <v>1102</v>
      </c>
      <c r="H434" s="2" t="s">
        <v>222</v>
      </c>
      <c r="I434" s="2" t="s">
        <v>11</v>
      </c>
      <c r="J434" s="2" t="s">
        <v>842</v>
      </c>
      <c r="K434" s="105">
        <v>1550</v>
      </c>
      <c r="L434" s="63">
        <v>640</v>
      </c>
      <c r="M434" s="63"/>
      <c r="N434" s="63"/>
      <c r="O434" s="63"/>
      <c r="P434" s="63"/>
      <c r="Q434" s="63"/>
      <c r="R434" s="100">
        <f t="shared" si="12"/>
        <v>640</v>
      </c>
      <c r="S434" s="100">
        <f t="shared" si="13"/>
        <v>-640</v>
      </c>
    </row>
    <row r="435" spans="1:19" ht="19.5" customHeight="1">
      <c r="A435" s="2">
        <v>426</v>
      </c>
      <c r="B435" s="11" t="s">
        <v>583</v>
      </c>
      <c r="C435" s="4"/>
      <c r="D435" s="4"/>
      <c r="E435" s="11" t="s">
        <v>1103</v>
      </c>
      <c r="F435" s="2" t="s">
        <v>1104</v>
      </c>
      <c r="G435" s="2" t="s">
        <v>1102</v>
      </c>
      <c r="H435" s="2" t="s">
        <v>390</v>
      </c>
      <c r="I435" s="2" t="s">
        <v>11</v>
      </c>
      <c r="J435" s="2" t="s">
        <v>842</v>
      </c>
      <c r="K435" s="105">
        <v>3600</v>
      </c>
      <c r="L435" s="63">
        <v>2009</v>
      </c>
      <c r="M435" s="63"/>
      <c r="N435" s="63"/>
      <c r="O435" s="63"/>
      <c r="P435" s="63"/>
      <c r="Q435" s="63"/>
      <c r="R435" s="100">
        <f t="shared" si="12"/>
        <v>2009</v>
      </c>
      <c r="S435" s="100">
        <f t="shared" si="13"/>
        <v>-2009</v>
      </c>
    </row>
    <row r="436" spans="1:19" ht="19.5" customHeight="1">
      <c r="A436" s="2">
        <v>427</v>
      </c>
      <c r="B436" s="11" t="s">
        <v>1618</v>
      </c>
      <c r="C436" s="11"/>
      <c r="D436" s="11"/>
      <c r="E436" s="11" t="s">
        <v>2494</v>
      </c>
      <c r="F436" s="2" t="s">
        <v>3031</v>
      </c>
      <c r="G436" s="2" t="s">
        <v>3032</v>
      </c>
      <c r="H436" s="2" t="s">
        <v>994</v>
      </c>
      <c r="I436" s="2" t="s">
        <v>11</v>
      </c>
      <c r="J436" s="2" t="s">
        <v>815</v>
      </c>
      <c r="K436" s="105">
        <v>236</v>
      </c>
      <c r="L436" s="63">
        <v>1</v>
      </c>
      <c r="M436" s="63"/>
      <c r="N436" s="63"/>
      <c r="O436" s="63"/>
      <c r="P436" s="63"/>
      <c r="Q436" s="63"/>
      <c r="R436" s="100">
        <f t="shared" si="12"/>
        <v>1</v>
      </c>
      <c r="S436" s="100">
        <f t="shared" si="13"/>
        <v>-1</v>
      </c>
    </row>
    <row r="437" spans="1:19" ht="19.5" customHeight="1">
      <c r="A437" s="2">
        <v>428</v>
      </c>
      <c r="B437" s="11" t="s">
        <v>1891</v>
      </c>
      <c r="C437" s="4"/>
      <c r="D437" s="4"/>
      <c r="E437" s="11" t="s">
        <v>1892</v>
      </c>
      <c r="F437" s="8" t="s">
        <v>1893</v>
      </c>
      <c r="G437" s="8" t="s">
        <v>3033</v>
      </c>
      <c r="H437" s="8" t="s">
        <v>327</v>
      </c>
      <c r="I437" s="68" t="s">
        <v>10</v>
      </c>
      <c r="J437" s="8" t="s">
        <v>311</v>
      </c>
      <c r="K437" s="105">
        <v>5500</v>
      </c>
      <c r="L437" s="63">
        <v>3000</v>
      </c>
      <c r="M437" s="63"/>
      <c r="N437" s="63"/>
      <c r="O437" s="63"/>
      <c r="P437" s="63"/>
      <c r="Q437" s="63"/>
      <c r="R437" s="100">
        <f t="shared" si="12"/>
        <v>3000</v>
      </c>
      <c r="S437" s="100">
        <f t="shared" si="13"/>
        <v>-3000</v>
      </c>
    </row>
    <row r="438" spans="1:19" ht="19.5" customHeight="1">
      <c r="A438" s="2">
        <v>429</v>
      </c>
      <c r="B438" s="11" t="s">
        <v>309</v>
      </c>
      <c r="C438" s="4"/>
      <c r="D438" s="4"/>
      <c r="E438" s="11" t="s">
        <v>1554</v>
      </c>
      <c r="F438" s="2" t="s">
        <v>1556</v>
      </c>
      <c r="G438" s="2" t="s">
        <v>1557</v>
      </c>
      <c r="H438" s="2" t="s">
        <v>869</v>
      </c>
      <c r="I438" s="2" t="s">
        <v>10</v>
      </c>
      <c r="J438" s="2" t="s">
        <v>1555</v>
      </c>
      <c r="K438" s="105">
        <v>3000</v>
      </c>
      <c r="L438" s="63">
        <v>2278</v>
      </c>
      <c r="M438" s="63"/>
      <c r="N438" s="63"/>
      <c r="O438" s="63"/>
      <c r="P438" s="63"/>
      <c r="Q438" s="63"/>
      <c r="R438" s="100">
        <f t="shared" si="12"/>
        <v>2278</v>
      </c>
      <c r="S438" s="100">
        <f t="shared" si="13"/>
        <v>-2278</v>
      </c>
    </row>
    <row r="439" spans="1:19" ht="19.5" customHeight="1">
      <c r="A439" s="2">
        <v>430</v>
      </c>
      <c r="B439" s="11" t="s">
        <v>731</v>
      </c>
      <c r="C439" s="4"/>
      <c r="D439" s="4"/>
      <c r="E439" s="11" t="s">
        <v>732</v>
      </c>
      <c r="F439" s="2" t="s">
        <v>735</v>
      </c>
      <c r="G439" s="2" t="s">
        <v>718</v>
      </c>
      <c r="H439" s="2" t="s">
        <v>733</v>
      </c>
      <c r="I439" s="2" t="s">
        <v>628</v>
      </c>
      <c r="J439" s="2" t="s">
        <v>734</v>
      </c>
      <c r="K439" s="105">
        <v>72975</v>
      </c>
      <c r="L439" s="63">
        <v>11</v>
      </c>
      <c r="M439" s="63"/>
      <c r="N439" s="63"/>
      <c r="O439" s="63"/>
      <c r="P439" s="63"/>
      <c r="Q439" s="63"/>
      <c r="R439" s="100">
        <f t="shared" si="12"/>
        <v>11</v>
      </c>
      <c r="S439" s="100">
        <f t="shared" si="13"/>
        <v>-11</v>
      </c>
    </row>
    <row r="440" spans="1:19" ht="19.5" customHeight="1">
      <c r="A440" s="2">
        <v>431</v>
      </c>
      <c r="B440" s="11" t="s">
        <v>309</v>
      </c>
      <c r="C440" s="11"/>
      <c r="D440" s="11"/>
      <c r="E440" s="11" t="s">
        <v>2495</v>
      </c>
      <c r="F440" s="2" t="s">
        <v>3034</v>
      </c>
      <c r="G440" s="2" t="s">
        <v>3035</v>
      </c>
      <c r="H440" s="2" t="s">
        <v>310</v>
      </c>
      <c r="I440" s="2" t="s">
        <v>11</v>
      </c>
      <c r="J440" s="2" t="s">
        <v>3036</v>
      </c>
      <c r="K440" s="105">
        <v>2604</v>
      </c>
      <c r="L440" s="63">
        <v>194</v>
      </c>
      <c r="M440" s="63"/>
      <c r="N440" s="63"/>
      <c r="O440" s="63"/>
      <c r="P440" s="63"/>
      <c r="Q440" s="63"/>
      <c r="R440" s="100">
        <f t="shared" si="12"/>
        <v>194</v>
      </c>
      <c r="S440" s="100">
        <f t="shared" si="13"/>
        <v>-194</v>
      </c>
    </row>
    <row r="441" spans="1:19" ht="19.5" customHeight="1">
      <c r="A441" s="2">
        <v>432</v>
      </c>
      <c r="B441" s="67" t="s">
        <v>544</v>
      </c>
      <c r="C441" s="4"/>
      <c r="D441" s="4"/>
      <c r="E441" s="11" t="s">
        <v>545</v>
      </c>
      <c r="F441" s="2" t="s">
        <v>548</v>
      </c>
      <c r="G441" s="2" t="s">
        <v>215</v>
      </c>
      <c r="H441" s="2" t="s">
        <v>546</v>
      </c>
      <c r="I441" s="2" t="s">
        <v>11</v>
      </c>
      <c r="J441" s="2" t="s">
        <v>547</v>
      </c>
      <c r="K441" s="105">
        <v>210</v>
      </c>
      <c r="L441" s="63">
        <v>0</v>
      </c>
      <c r="M441" s="63"/>
      <c r="N441" s="63"/>
      <c r="O441" s="63"/>
      <c r="P441" s="63"/>
      <c r="Q441" s="63"/>
      <c r="R441" s="100">
        <f t="shared" si="12"/>
        <v>0</v>
      </c>
      <c r="S441" s="100">
        <f t="shared" si="13"/>
        <v>0</v>
      </c>
    </row>
    <row r="442" spans="1:19" ht="19.5" customHeight="1">
      <c r="A442" s="2">
        <v>433</v>
      </c>
      <c r="B442" s="67" t="s">
        <v>1585</v>
      </c>
      <c r="C442" s="4"/>
      <c r="D442" s="4"/>
      <c r="E442" s="11" t="s">
        <v>1586</v>
      </c>
      <c r="F442" s="2" t="s">
        <v>1589</v>
      </c>
      <c r="G442" s="2" t="s">
        <v>772</v>
      </c>
      <c r="H442" s="2" t="s">
        <v>1587</v>
      </c>
      <c r="I442" s="2" t="s">
        <v>13</v>
      </c>
      <c r="J442" s="2" t="s">
        <v>1588</v>
      </c>
      <c r="K442" s="105">
        <v>7900</v>
      </c>
      <c r="L442" s="63">
        <v>1143</v>
      </c>
      <c r="M442" s="63"/>
      <c r="N442" s="63"/>
      <c r="O442" s="63"/>
      <c r="P442" s="63"/>
      <c r="Q442" s="63"/>
      <c r="R442" s="100">
        <f t="shared" si="12"/>
        <v>1143</v>
      </c>
      <c r="S442" s="100">
        <f t="shared" si="13"/>
        <v>-1143</v>
      </c>
    </row>
    <row r="443" spans="1:19" ht="19.5" customHeight="1">
      <c r="A443" s="2">
        <v>434</v>
      </c>
      <c r="B443" s="11" t="s">
        <v>736</v>
      </c>
      <c r="C443" s="4"/>
      <c r="D443" s="4"/>
      <c r="E443" s="11" t="s">
        <v>1671</v>
      </c>
      <c r="F443" s="2" t="s">
        <v>1673</v>
      </c>
      <c r="G443" s="2" t="s">
        <v>1667</v>
      </c>
      <c r="H443" s="2" t="s">
        <v>1672</v>
      </c>
      <c r="I443" s="2" t="s">
        <v>12</v>
      </c>
      <c r="J443" s="2" t="s">
        <v>3037</v>
      </c>
      <c r="K443" s="105">
        <v>2940</v>
      </c>
      <c r="L443" s="63">
        <v>1735</v>
      </c>
      <c r="M443" s="63"/>
      <c r="N443" s="63"/>
      <c r="O443" s="63"/>
      <c r="P443" s="63"/>
      <c r="Q443" s="63"/>
      <c r="R443" s="100">
        <f t="shared" si="12"/>
        <v>1735</v>
      </c>
      <c r="S443" s="100">
        <f t="shared" si="13"/>
        <v>-1735</v>
      </c>
    </row>
    <row r="444" spans="1:19" ht="19.5" customHeight="1">
      <c r="A444" s="2">
        <v>435</v>
      </c>
      <c r="B444" s="67" t="s">
        <v>779</v>
      </c>
      <c r="C444" s="4"/>
      <c r="D444" s="4"/>
      <c r="E444" s="11" t="s">
        <v>780</v>
      </c>
      <c r="F444" s="2" t="s">
        <v>782</v>
      </c>
      <c r="G444" s="2" t="s">
        <v>783</v>
      </c>
      <c r="H444" s="2" t="s">
        <v>435</v>
      </c>
      <c r="I444" s="2" t="s">
        <v>15</v>
      </c>
      <c r="J444" s="2" t="s">
        <v>781</v>
      </c>
      <c r="K444" s="105">
        <v>30000</v>
      </c>
      <c r="L444" s="63">
        <v>160</v>
      </c>
      <c r="M444" s="63"/>
      <c r="N444" s="63"/>
      <c r="O444" s="63"/>
      <c r="P444" s="63"/>
      <c r="Q444" s="63"/>
      <c r="R444" s="100">
        <f t="shared" si="12"/>
        <v>160</v>
      </c>
      <c r="S444" s="100">
        <f t="shared" si="13"/>
        <v>-160</v>
      </c>
    </row>
    <row r="445" spans="1:19" ht="19.5" customHeight="1">
      <c r="A445" s="2">
        <v>436</v>
      </c>
      <c r="B445" s="11" t="s">
        <v>1562</v>
      </c>
      <c r="C445" s="4"/>
      <c r="D445" s="4"/>
      <c r="E445" s="11" t="s">
        <v>1628</v>
      </c>
      <c r="F445" s="2" t="s">
        <v>1630</v>
      </c>
      <c r="G445" s="2" t="s">
        <v>473</v>
      </c>
      <c r="H445" s="2" t="s">
        <v>232</v>
      </c>
      <c r="I445" s="2" t="s">
        <v>13</v>
      </c>
      <c r="J445" s="2" t="s">
        <v>1629</v>
      </c>
      <c r="K445" s="105">
        <v>900</v>
      </c>
      <c r="L445" s="63">
        <v>5439</v>
      </c>
      <c r="M445" s="63"/>
      <c r="N445" s="63"/>
      <c r="O445" s="63"/>
      <c r="P445" s="63"/>
      <c r="Q445" s="63"/>
      <c r="R445" s="100">
        <f t="shared" si="12"/>
        <v>5439</v>
      </c>
      <c r="S445" s="100">
        <f t="shared" si="13"/>
        <v>-5439</v>
      </c>
    </row>
    <row r="446" spans="1:19" ht="19.5" customHeight="1">
      <c r="A446" s="2">
        <v>437</v>
      </c>
      <c r="B446" s="67" t="s">
        <v>1439</v>
      </c>
      <c r="C446" s="4"/>
      <c r="D446" s="4"/>
      <c r="E446" s="11" t="s">
        <v>1440</v>
      </c>
      <c r="F446" s="2" t="s">
        <v>1442</v>
      </c>
      <c r="G446" s="2" t="s">
        <v>1429</v>
      </c>
      <c r="H446" s="88">
        <v>0.05</v>
      </c>
      <c r="I446" s="2" t="s">
        <v>1144</v>
      </c>
      <c r="J446" s="2" t="s">
        <v>1441</v>
      </c>
      <c r="K446" s="105">
        <v>7320</v>
      </c>
      <c r="L446" s="63">
        <v>43</v>
      </c>
      <c r="M446" s="63"/>
      <c r="N446" s="63"/>
      <c r="O446" s="63"/>
      <c r="P446" s="63"/>
      <c r="Q446" s="63"/>
      <c r="R446" s="100">
        <f t="shared" si="12"/>
        <v>43</v>
      </c>
      <c r="S446" s="100">
        <f t="shared" si="13"/>
        <v>-43</v>
      </c>
    </row>
    <row r="447" spans="1:19" ht="19.5" customHeight="1">
      <c r="A447" s="2">
        <v>438</v>
      </c>
      <c r="B447" s="11" t="s">
        <v>1439</v>
      </c>
      <c r="C447" s="4"/>
      <c r="D447" s="4"/>
      <c r="E447" s="11" t="s">
        <v>1923</v>
      </c>
      <c r="F447" s="2" t="s">
        <v>1924</v>
      </c>
      <c r="G447" s="2" t="s">
        <v>1913</v>
      </c>
      <c r="H447" s="2" t="s">
        <v>225</v>
      </c>
      <c r="I447" s="2" t="s">
        <v>11</v>
      </c>
      <c r="J447" s="2" t="s">
        <v>585</v>
      </c>
      <c r="K447" s="105">
        <v>1197</v>
      </c>
      <c r="L447" s="63">
        <v>967</v>
      </c>
      <c r="M447" s="63"/>
      <c r="N447" s="63"/>
      <c r="O447" s="63"/>
      <c r="P447" s="63"/>
      <c r="Q447" s="63"/>
      <c r="R447" s="100">
        <f t="shared" si="12"/>
        <v>967</v>
      </c>
      <c r="S447" s="100">
        <f t="shared" si="13"/>
        <v>-967</v>
      </c>
    </row>
    <row r="448" spans="1:19" ht="19.5" customHeight="1">
      <c r="A448" s="2">
        <v>439</v>
      </c>
      <c r="B448" s="11" t="s">
        <v>1470</v>
      </c>
      <c r="C448" s="4"/>
      <c r="D448" s="4"/>
      <c r="E448" s="11" t="s">
        <v>1471</v>
      </c>
      <c r="F448" s="2" t="s">
        <v>1474</v>
      </c>
      <c r="G448" s="2" t="s">
        <v>1475</v>
      </c>
      <c r="H448" s="2" t="s">
        <v>1472</v>
      </c>
      <c r="I448" s="2" t="s">
        <v>1476</v>
      </c>
      <c r="J448" s="2" t="s">
        <v>1473</v>
      </c>
      <c r="K448" s="105">
        <v>13300</v>
      </c>
      <c r="L448" s="63">
        <v>165</v>
      </c>
      <c r="M448" s="63"/>
      <c r="N448" s="63"/>
      <c r="O448" s="63"/>
      <c r="P448" s="63"/>
      <c r="Q448" s="63"/>
      <c r="R448" s="100">
        <f t="shared" si="12"/>
        <v>165</v>
      </c>
      <c r="S448" s="100">
        <f t="shared" si="13"/>
        <v>-165</v>
      </c>
    </row>
    <row r="449" spans="1:27" ht="19.5" customHeight="1">
      <c r="A449" s="2">
        <v>440</v>
      </c>
      <c r="B449" s="67" t="s">
        <v>411</v>
      </c>
      <c r="C449" s="4"/>
      <c r="D449" s="4"/>
      <c r="E449" s="11" t="s">
        <v>1192</v>
      </c>
      <c r="F449" s="2" t="s">
        <v>1194</v>
      </c>
      <c r="G449" s="2" t="s">
        <v>352</v>
      </c>
      <c r="H449" s="2" t="s">
        <v>272</v>
      </c>
      <c r="I449" s="2" t="s">
        <v>13</v>
      </c>
      <c r="J449" s="2" t="s">
        <v>1193</v>
      </c>
      <c r="K449" s="105">
        <v>536</v>
      </c>
      <c r="L449" s="63">
        <v>307</v>
      </c>
      <c r="M449" s="63"/>
      <c r="N449" s="63"/>
      <c r="O449" s="63"/>
      <c r="P449" s="63"/>
      <c r="Q449" s="63"/>
      <c r="R449" s="100">
        <f t="shared" si="12"/>
        <v>307</v>
      </c>
      <c r="S449" s="100">
        <f t="shared" si="13"/>
        <v>-307</v>
      </c>
    </row>
    <row r="450" spans="1:27" ht="19.5" customHeight="1">
      <c r="A450" s="2">
        <v>441</v>
      </c>
      <c r="B450" s="11" t="s">
        <v>411</v>
      </c>
      <c r="C450" s="11"/>
      <c r="D450" s="11"/>
      <c r="E450" s="11" t="s">
        <v>1192</v>
      </c>
      <c r="F450" s="2" t="s">
        <v>3038</v>
      </c>
      <c r="G450" s="2" t="s">
        <v>352</v>
      </c>
      <c r="H450" s="2" t="s">
        <v>272</v>
      </c>
      <c r="I450" s="2" t="s">
        <v>13</v>
      </c>
      <c r="J450" s="2" t="s">
        <v>1106</v>
      </c>
      <c r="K450" s="105">
        <v>600</v>
      </c>
      <c r="L450" s="63">
        <v>0</v>
      </c>
      <c r="M450" s="63"/>
      <c r="N450" s="63"/>
      <c r="O450" s="63"/>
      <c r="P450" s="63"/>
      <c r="Q450" s="63"/>
      <c r="R450" s="100">
        <f t="shared" si="12"/>
        <v>0</v>
      </c>
      <c r="S450" s="100">
        <f t="shared" si="13"/>
        <v>0</v>
      </c>
    </row>
    <row r="451" spans="1:27" ht="19.5" customHeight="1">
      <c r="A451" s="2">
        <v>442</v>
      </c>
      <c r="B451" s="67" t="s">
        <v>1212</v>
      </c>
      <c r="C451" s="4"/>
      <c r="D451" s="4"/>
      <c r="E451" s="11" t="s">
        <v>1213</v>
      </c>
      <c r="F451" s="2" t="s">
        <v>1214</v>
      </c>
      <c r="G451" s="2" t="s">
        <v>352</v>
      </c>
      <c r="H451" s="2" t="s">
        <v>945</v>
      </c>
      <c r="I451" s="2" t="s">
        <v>13</v>
      </c>
      <c r="J451" s="2" t="s">
        <v>1193</v>
      </c>
      <c r="K451" s="105">
        <v>735</v>
      </c>
      <c r="L451" s="63">
        <v>3000</v>
      </c>
      <c r="M451" s="63"/>
      <c r="N451" s="63"/>
      <c r="O451" s="63"/>
      <c r="P451" s="63"/>
      <c r="Q451" s="63"/>
      <c r="R451" s="100">
        <f t="shared" si="12"/>
        <v>3000</v>
      </c>
      <c r="S451" s="100">
        <f t="shared" si="13"/>
        <v>-3000</v>
      </c>
    </row>
    <row r="452" spans="1:27" ht="19.5" customHeight="1">
      <c r="A452" s="2">
        <v>443</v>
      </c>
      <c r="B452" s="11" t="s">
        <v>3039</v>
      </c>
      <c r="C452" s="4"/>
      <c r="D452" s="4"/>
      <c r="E452" s="11" t="s">
        <v>107</v>
      </c>
      <c r="F452" s="89" t="s">
        <v>2396</v>
      </c>
      <c r="G452" s="2" t="s">
        <v>2397</v>
      </c>
      <c r="H452" s="2" t="s">
        <v>109</v>
      </c>
      <c r="I452" s="2" t="s">
        <v>10</v>
      </c>
      <c r="J452" s="2" t="s">
        <v>620</v>
      </c>
      <c r="K452" s="105">
        <v>830</v>
      </c>
      <c r="L452" s="63">
        <v>20</v>
      </c>
      <c r="M452" s="63"/>
      <c r="N452" s="63"/>
      <c r="O452" s="63"/>
      <c r="P452" s="63"/>
      <c r="Q452" s="63"/>
      <c r="R452" s="100">
        <f t="shared" si="12"/>
        <v>20</v>
      </c>
      <c r="S452" s="100">
        <f t="shared" si="13"/>
        <v>-20</v>
      </c>
    </row>
    <row r="453" spans="1:27" ht="19.5" customHeight="1">
      <c r="A453" s="2">
        <v>444</v>
      </c>
      <c r="B453" s="11" t="s">
        <v>395</v>
      </c>
      <c r="C453" s="11"/>
      <c r="D453" s="11"/>
      <c r="E453" s="11" t="s">
        <v>2496</v>
      </c>
      <c r="F453" s="2" t="s">
        <v>3040</v>
      </c>
      <c r="G453" s="2" t="s">
        <v>2702</v>
      </c>
      <c r="H453" s="2" t="s">
        <v>267</v>
      </c>
      <c r="I453" s="2" t="s">
        <v>10</v>
      </c>
      <c r="J453" s="2" t="s">
        <v>3041</v>
      </c>
      <c r="K453" s="105">
        <v>945</v>
      </c>
      <c r="L453" s="63">
        <v>29</v>
      </c>
      <c r="M453" s="63"/>
      <c r="N453" s="63"/>
      <c r="O453" s="63"/>
      <c r="P453" s="63"/>
      <c r="Q453" s="63"/>
      <c r="R453" s="100">
        <f t="shared" si="12"/>
        <v>29</v>
      </c>
      <c r="S453" s="100">
        <f t="shared" si="13"/>
        <v>-29</v>
      </c>
    </row>
    <row r="454" spans="1:27" ht="19.5" customHeight="1">
      <c r="A454" s="2">
        <v>445</v>
      </c>
      <c r="B454" s="11" t="s">
        <v>1562</v>
      </c>
      <c r="C454" s="11"/>
      <c r="D454" s="11"/>
      <c r="E454" s="11" t="s">
        <v>3042</v>
      </c>
      <c r="F454" s="2" t="s">
        <v>3043</v>
      </c>
      <c r="G454" s="2" t="s">
        <v>352</v>
      </c>
      <c r="H454" s="2" t="s">
        <v>3044</v>
      </c>
      <c r="I454" s="2" t="s">
        <v>13</v>
      </c>
      <c r="J454" s="2" t="s">
        <v>1193</v>
      </c>
      <c r="K454" s="105">
        <v>1200</v>
      </c>
      <c r="L454" s="63">
        <v>0</v>
      </c>
      <c r="M454" s="63"/>
      <c r="N454" s="63"/>
      <c r="O454" s="63"/>
      <c r="P454" s="63"/>
      <c r="Q454" s="63"/>
      <c r="R454" s="100">
        <f t="shared" si="12"/>
        <v>0</v>
      </c>
      <c r="S454" s="100">
        <f t="shared" si="13"/>
        <v>0</v>
      </c>
    </row>
    <row r="455" spans="1:27" ht="19.5" customHeight="1">
      <c r="A455" s="2">
        <v>446</v>
      </c>
      <c r="B455" s="67" t="s">
        <v>1209</v>
      </c>
      <c r="C455" s="4"/>
      <c r="D455" s="4"/>
      <c r="E455" s="11" t="s">
        <v>1210</v>
      </c>
      <c r="F455" s="2" t="s">
        <v>1211</v>
      </c>
      <c r="G455" s="2" t="s">
        <v>352</v>
      </c>
      <c r="H455" s="2" t="s">
        <v>272</v>
      </c>
      <c r="I455" s="2" t="s">
        <v>13</v>
      </c>
      <c r="J455" s="2" t="s">
        <v>1201</v>
      </c>
      <c r="K455" s="105">
        <v>704</v>
      </c>
      <c r="L455" s="63">
        <v>402</v>
      </c>
      <c r="M455" s="63"/>
      <c r="N455" s="63"/>
      <c r="O455" s="63"/>
      <c r="P455" s="63"/>
      <c r="Q455" s="63"/>
      <c r="R455" s="100">
        <f t="shared" si="12"/>
        <v>402</v>
      </c>
      <c r="S455" s="100">
        <f t="shared" si="13"/>
        <v>-402</v>
      </c>
    </row>
    <row r="456" spans="1:27" ht="19.5" customHeight="1">
      <c r="A456" s="2">
        <v>447</v>
      </c>
      <c r="B456" s="67" t="s">
        <v>1240</v>
      </c>
      <c r="C456" s="4"/>
      <c r="D456" s="4"/>
      <c r="E456" s="11" t="s">
        <v>1987</v>
      </c>
      <c r="F456" s="2" t="s">
        <v>1989</v>
      </c>
      <c r="G456" s="2" t="s">
        <v>1946</v>
      </c>
      <c r="H456" s="2" t="s">
        <v>1988</v>
      </c>
      <c r="I456" s="2" t="s">
        <v>11</v>
      </c>
      <c r="J456" s="2" t="s">
        <v>814</v>
      </c>
      <c r="K456" s="105">
        <v>798</v>
      </c>
      <c r="L456" s="63">
        <v>18752</v>
      </c>
      <c r="M456" s="63"/>
      <c r="N456" s="63"/>
      <c r="O456" s="63"/>
      <c r="P456" s="63"/>
      <c r="Q456" s="63"/>
      <c r="R456" s="100">
        <f t="shared" si="12"/>
        <v>18752</v>
      </c>
      <c r="S456" s="100">
        <f t="shared" si="13"/>
        <v>-18752</v>
      </c>
    </row>
    <row r="457" spans="1:27" ht="19.5" customHeight="1">
      <c r="A457" s="2">
        <v>448</v>
      </c>
      <c r="B457" s="64" t="s">
        <v>289</v>
      </c>
      <c r="C457" s="3"/>
      <c r="D457" s="3"/>
      <c r="E457" s="11" t="s">
        <v>500</v>
      </c>
      <c r="F457" s="2" t="s">
        <v>501</v>
      </c>
      <c r="G457" s="2" t="s">
        <v>1946</v>
      </c>
      <c r="H457" s="2" t="s">
        <v>291</v>
      </c>
      <c r="I457" s="2" t="s">
        <v>10</v>
      </c>
      <c r="J457" s="2" t="s">
        <v>642</v>
      </c>
      <c r="K457" s="105">
        <v>798</v>
      </c>
      <c r="L457" s="63">
        <v>16314</v>
      </c>
      <c r="M457" s="63"/>
      <c r="N457" s="63"/>
      <c r="O457" s="63"/>
      <c r="P457" s="63"/>
      <c r="Q457" s="63"/>
      <c r="R457" s="100">
        <f t="shared" si="12"/>
        <v>16314</v>
      </c>
      <c r="S457" s="100">
        <f t="shared" si="13"/>
        <v>-16314</v>
      </c>
    </row>
    <row r="458" spans="1:27" ht="19.5" customHeight="1">
      <c r="A458" s="2">
        <v>449</v>
      </c>
      <c r="B458" s="65" t="s">
        <v>323</v>
      </c>
      <c r="C458" s="4"/>
      <c r="D458" s="4"/>
      <c r="E458" s="65" t="s">
        <v>2576</v>
      </c>
      <c r="F458" s="2" t="s">
        <v>3045</v>
      </c>
      <c r="G458" s="2" t="s">
        <v>1946</v>
      </c>
      <c r="H458" s="66" t="s">
        <v>225</v>
      </c>
      <c r="I458" s="2" t="s">
        <v>10</v>
      </c>
      <c r="J458" s="2" t="s">
        <v>814</v>
      </c>
      <c r="K458" s="106">
        <v>3402</v>
      </c>
      <c r="L458" s="63">
        <v>20</v>
      </c>
      <c r="M458" s="63"/>
      <c r="N458" s="63"/>
      <c r="O458" s="63"/>
      <c r="P458" s="63"/>
      <c r="Q458" s="63"/>
      <c r="R458" s="100">
        <f t="shared" si="12"/>
        <v>20</v>
      </c>
      <c r="S458" s="100">
        <f t="shared" si="13"/>
        <v>-20</v>
      </c>
    </row>
    <row r="459" spans="1:27" ht="19.5" customHeight="1">
      <c r="A459" s="2">
        <v>450</v>
      </c>
      <c r="B459" s="11" t="s">
        <v>596</v>
      </c>
      <c r="C459" s="4"/>
      <c r="D459" s="4"/>
      <c r="E459" s="11" t="s">
        <v>597</v>
      </c>
      <c r="F459" s="2" t="s">
        <v>600</v>
      </c>
      <c r="G459" s="2" t="s">
        <v>3046</v>
      </c>
      <c r="H459" s="2" t="s">
        <v>598</v>
      </c>
      <c r="I459" s="2" t="s">
        <v>14</v>
      </c>
      <c r="J459" s="2" t="s">
        <v>599</v>
      </c>
      <c r="K459" s="105">
        <v>66800</v>
      </c>
      <c r="L459" s="63">
        <v>0</v>
      </c>
      <c r="M459" s="63"/>
      <c r="N459" s="63"/>
      <c r="O459" s="63"/>
      <c r="P459" s="63"/>
      <c r="Q459" s="63"/>
      <c r="R459" s="100">
        <f t="shared" ref="R459:R522" si="14">L459+M459-O459</f>
        <v>0</v>
      </c>
      <c r="S459" s="100">
        <f t="shared" ref="S459:S522" si="15">Q459-R459</f>
        <v>0</v>
      </c>
    </row>
    <row r="460" spans="1:27" ht="19.5" customHeight="1">
      <c r="A460" s="2">
        <v>451</v>
      </c>
      <c r="B460" s="65" t="s">
        <v>2498</v>
      </c>
      <c r="C460" s="11"/>
      <c r="D460" s="11"/>
      <c r="E460" s="65" t="s">
        <v>2497</v>
      </c>
      <c r="F460" s="2" t="s">
        <v>3047</v>
      </c>
      <c r="G460" s="2" t="s">
        <v>3048</v>
      </c>
      <c r="H460" s="66" t="s">
        <v>2499</v>
      </c>
      <c r="I460" s="2" t="s">
        <v>1476</v>
      </c>
      <c r="J460" s="2" t="s">
        <v>3049</v>
      </c>
      <c r="K460" s="105">
        <v>6489</v>
      </c>
      <c r="L460" s="63">
        <v>7</v>
      </c>
      <c r="M460" s="63"/>
      <c r="N460" s="63"/>
      <c r="O460" s="63"/>
      <c r="P460" s="63"/>
      <c r="Q460" s="63"/>
      <c r="R460" s="100">
        <f t="shared" si="14"/>
        <v>7</v>
      </c>
      <c r="S460" s="100">
        <f t="shared" si="15"/>
        <v>-7</v>
      </c>
    </row>
    <row r="461" spans="1:27" ht="19.5" customHeight="1">
      <c r="A461" s="2">
        <v>452</v>
      </c>
      <c r="B461" s="11" t="s">
        <v>592</v>
      </c>
      <c r="C461" s="4"/>
      <c r="D461" s="4"/>
      <c r="E461" s="11" t="s">
        <v>1400</v>
      </c>
      <c r="F461" s="2" t="s">
        <v>1401</v>
      </c>
      <c r="G461" s="2" t="s">
        <v>360</v>
      </c>
      <c r="H461" s="2" t="s">
        <v>235</v>
      </c>
      <c r="I461" s="2" t="s">
        <v>11</v>
      </c>
      <c r="J461" s="2" t="s">
        <v>647</v>
      </c>
      <c r="K461" s="105">
        <v>82</v>
      </c>
      <c r="L461" s="63">
        <v>17727</v>
      </c>
      <c r="M461" s="63"/>
      <c r="N461" s="63"/>
      <c r="O461" s="63"/>
      <c r="P461" s="63"/>
      <c r="Q461" s="63"/>
      <c r="R461" s="100">
        <f t="shared" si="14"/>
        <v>17727</v>
      </c>
      <c r="S461" s="100">
        <f t="shared" si="15"/>
        <v>-17727</v>
      </c>
    </row>
    <row r="462" spans="1:27" ht="19.5" customHeight="1">
      <c r="A462" s="2">
        <v>453</v>
      </c>
      <c r="B462" s="11" t="s">
        <v>2191</v>
      </c>
      <c r="C462" s="4"/>
      <c r="D462" s="4"/>
      <c r="E462" s="11" t="s">
        <v>110</v>
      </c>
      <c r="F462" s="2" t="s">
        <v>2193</v>
      </c>
      <c r="G462" s="2" t="s">
        <v>2194</v>
      </c>
      <c r="H462" s="2" t="s">
        <v>112</v>
      </c>
      <c r="I462" s="2" t="s">
        <v>12</v>
      </c>
      <c r="J462" s="2" t="s">
        <v>2192</v>
      </c>
      <c r="K462" s="105">
        <v>9600</v>
      </c>
      <c r="L462" s="63">
        <v>4935</v>
      </c>
      <c r="M462" s="63"/>
      <c r="N462" s="63"/>
      <c r="O462" s="63"/>
      <c r="P462" s="63"/>
      <c r="Q462" s="63"/>
      <c r="R462" s="100">
        <f t="shared" si="14"/>
        <v>4935</v>
      </c>
      <c r="S462" s="100">
        <f t="shared" si="15"/>
        <v>-4935</v>
      </c>
    </row>
    <row r="463" spans="1:27" ht="19.5" customHeight="1">
      <c r="A463" s="2">
        <v>454</v>
      </c>
      <c r="B463" s="11" t="s">
        <v>2347</v>
      </c>
      <c r="C463" s="4"/>
      <c r="D463" s="4"/>
      <c r="E463" s="11" t="s">
        <v>113</v>
      </c>
      <c r="F463" s="2" t="s">
        <v>2349</v>
      </c>
      <c r="G463" s="2" t="s">
        <v>3050</v>
      </c>
      <c r="H463" s="2" t="s">
        <v>114</v>
      </c>
      <c r="I463" s="2" t="s">
        <v>115</v>
      </c>
      <c r="J463" s="2" t="s">
        <v>2348</v>
      </c>
      <c r="K463" s="105">
        <v>175</v>
      </c>
      <c r="L463" s="63">
        <v>28080</v>
      </c>
      <c r="M463" s="63"/>
      <c r="N463" s="63"/>
      <c r="O463" s="63"/>
      <c r="P463" s="63"/>
      <c r="Q463" s="63"/>
      <c r="R463" s="100">
        <f t="shared" si="14"/>
        <v>28080</v>
      </c>
      <c r="S463" s="100">
        <f t="shared" si="15"/>
        <v>-28080</v>
      </c>
    </row>
    <row r="464" spans="1:27" ht="19.5" customHeight="1">
      <c r="A464" s="2">
        <v>455</v>
      </c>
      <c r="B464" s="77" t="s">
        <v>2207</v>
      </c>
      <c r="C464" s="4"/>
      <c r="D464" s="4"/>
      <c r="E464" s="77" t="s">
        <v>3051</v>
      </c>
      <c r="F464" s="5" t="s">
        <v>3052</v>
      </c>
      <c r="G464" s="5" t="s">
        <v>3053</v>
      </c>
      <c r="H464" s="5" t="s">
        <v>3054</v>
      </c>
      <c r="I464" s="5" t="s">
        <v>13</v>
      </c>
      <c r="J464" s="5" t="s">
        <v>3055</v>
      </c>
      <c r="K464" s="105">
        <v>2490</v>
      </c>
      <c r="L464" s="63"/>
      <c r="M464" s="63"/>
      <c r="N464" s="63"/>
      <c r="O464" s="63"/>
      <c r="P464" s="63"/>
      <c r="Q464" s="63"/>
      <c r="R464" s="100">
        <f t="shared" si="14"/>
        <v>0</v>
      </c>
      <c r="S464" s="100">
        <f t="shared" si="15"/>
        <v>0</v>
      </c>
      <c r="T464" s="37"/>
      <c r="U464" s="37"/>
      <c r="V464" s="37"/>
      <c r="W464" s="37"/>
      <c r="X464" s="37"/>
      <c r="Y464" s="37"/>
      <c r="Z464" s="37"/>
      <c r="AA464" s="37"/>
    </row>
    <row r="465" spans="1:27" ht="19.5" customHeight="1">
      <c r="A465" s="2">
        <v>456</v>
      </c>
      <c r="B465" s="11" t="s">
        <v>2377</v>
      </c>
      <c r="C465" s="4"/>
      <c r="D465" s="4"/>
      <c r="E465" s="11" t="s">
        <v>116</v>
      </c>
      <c r="F465" s="2" t="s">
        <v>2379</v>
      </c>
      <c r="G465" s="2" t="s">
        <v>2373</v>
      </c>
      <c r="H465" s="2" t="s">
        <v>117</v>
      </c>
      <c r="I465" s="2" t="s">
        <v>80</v>
      </c>
      <c r="J465" s="2" t="s">
        <v>2378</v>
      </c>
      <c r="K465" s="105">
        <v>1950</v>
      </c>
      <c r="L465" s="63">
        <v>1778</v>
      </c>
      <c r="M465" s="63"/>
      <c r="N465" s="63"/>
      <c r="O465" s="63"/>
      <c r="P465" s="63"/>
      <c r="Q465" s="63"/>
      <c r="R465" s="100">
        <f t="shared" si="14"/>
        <v>1778</v>
      </c>
      <c r="S465" s="100">
        <f t="shared" si="15"/>
        <v>-1778</v>
      </c>
    </row>
    <row r="466" spans="1:27" ht="19.5" customHeight="1">
      <c r="A466" s="2">
        <v>457</v>
      </c>
      <c r="B466" s="11" t="s">
        <v>2350</v>
      </c>
      <c r="C466" s="4"/>
      <c r="D466" s="4"/>
      <c r="E466" s="11" t="s">
        <v>118</v>
      </c>
      <c r="F466" s="79" t="s">
        <v>2351</v>
      </c>
      <c r="G466" s="79" t="s">
        <v>1567</v>
      </c>
      <c r="H466" s="2" t="s">
        <v>120</v>
      </c>
      <c r="I466" s="2" t="s">
        <v>115</v>
      </c>
      <c r="J466" s="2" t="s">
        <v>2348</v>
      </c>
      <c r="K466" s="105">
        <v>175</v>
      </c>
      <c r="L466" s="63">
        <v>24480</v>
      </c>
      <c r="M466" s="63"/>
      <c r="N466" s="63"/>
      <c r="O466" s="63"/>
      <c r="P466" s="63"/>
      <c r="Q466" s="63"/>
      <c r="R466" s="100">
        <f t="shared" si="14"/>
        <v>24480</v>
      </c>
      <c r="S466" s="100">
        <f t="shared" si="15"/>
        <v>-24480</v>
      </c>
    </row>
    <row r="467" spans="1:27" ht="19.5" customHeight="1">
      <c r="A467" s="2">
        <v>458</v>
      </c>
      <c r="B467" s="67" t="s">
        <v>2222</v>
      </c>
      <c r="C467" s="4"/>
      <c r="D467" s="4"/>
      <c r="E467" s="67" t="s">
        <v>121</v>
      </c>
      <c r="F467" s="68" t="s">
        <v>2223</v>
      </c>
      <c r="G467" s="68" t="s">
        <v>2210</v>
      </c>
      <c r="H467" s="68" t="s">
        <v>122</v>
      </c>
      <c r="I467" s="2" t="s">
        <v>13</v>
      </c>
      <c r="J467" s="68" t="s">
        <v>2208</v>
      </c>
      <c r="K467" s="105">
        <v>3650</v>
      </c>
      <c r="L467" s="63">
        <v>500</v>
      </c>
      <c r="M467" s="63"/>
      <c r="N467" s="63"/>
      <c r="O467" s="63"/>
      <c r="P467" s="63"/>
      <c r="Q467" s="63"/>
      <c r="R467" s="100">
        <f t="shared" si="14"/>
        <v>500</v>
      </c>
      <c r="S467" s="100">
        <f t="shared" si="15"/>
        <v>-500</v>
      </c>
    </row>
    <row r="468" spans="1:27" ht="19.5" customHeight="1">
      <c r="A468" s="2">
        <v>459</v>
      </c>
      <c r="B468" s="11" t="s">
        <v>2389</v>
      </c>
      <c r="C468" s="4"/>
      <c r="D468" s="4"/>
      <c r="E468" s="11" t="s">
        <v>2390</v>
      </c>
      <c r="F468" s="2" t="s">
        <v>2393</v>
      </c>
      <c r="G468" s="2" t="s">
        <v>2388</v>
      </c>
      <c r="H468" s="2" t="s">
        <v>2391</v>
      </c>
      <c r="I468" s="2" t="s">
        <v>997</v>
      </c>
      <c r="J468" s="2" t="s">
        <v>2392</v>
      </c>
      <c r="K468" s="105">
        <v>4800</v>
      </c>
      <c r="L468" s="63">
        <v>0</v>
      </c>
      <c r="M468" s="63"/>
      <c r="N468" s="63"/>
      <c r="O468" s="63"/>
      <c r="P468" s="63"/>
      <c r="Q468" s="63"/>
      <c r="R468" s="100">
        <f t="shared" si="14"/>
        <v>0</v>
      </c>
      <c r="S468" s="100">
        <f t="shared" si="15"/>
        <v>0</v>
      </c>
    </row>
    <row r="469" spans="1:27" ht="19.5" customHeight="1">
      <c r="A469" s="2">
        <v>460</v>
      </c>
      <c r="B469" s="11" t="s">
        <v>2352</v>
      </c>
      <c r="C469" s="11"/>
      <c r="D469" s="11"/>
      <c r="E469" s="11" t="s">
        <v>123</v>
      </c>
      <c r="F469" s="2" t="s">
        <v>3056</v>
      </c>
      <c r="G469" s="79" t="s">
        <v>1567</v>
      </c>
      <c r="H469" s="2" t="s">
        <v>125</v>
      </c>
      <c r="I469" s="2" t="s">
        <v>18</v>
      </c>
      <c r="J469" s="2" t="s">
        <v>2353</v>
      </c>
      <c r="K469" s="105">
        <v>31500</v>
      </c>
      <c r="L469" s="63">
        <v>0</v>
      </c>
      <c r="M469" s="63"/>
      <c r="N469" s="63"/>
      <c r="O469" s="63"/>
      <c r="P469" s="63"/>
      <c r="Q469" s="63"/>
      <c r="R469" s="100">
        <f t="shared" si="14"/>
        <v>0</v>
      </c>
      <c r="S469" s="100">
        <f t="shared" si="15"/>
        <v>0</v>
      </c>
    </row>
    <row r="470" spans="1:27" ht="19.5" customHeight="1">
      <c r="A470" s="2">
        <v>461</v>
      </c>
      <c r="B470" s="11" t="s">
        <v>2352</v>
      </c>
      <c r="C470" s="4"/>
      <c r="D470" s="4"/>
      <c r="E470" s="11" t="s">
        <v>123</v>
      </c>
      <c r="F470" s="79" t="s">
        <v>2354</v>
      </c>
      <c r="G470" s="79" t="s">
        <v>1567</v>
      </c>
      <c r="H470" s="2" t="s">
        <v>125</v>
      </c>
      <c r="I470" s="2" t="s">
        <v>18</v>
      </c>
      <c r="J470" s="2" t="s">
        <v>2353</v>
      </c>
      <c r="K470" s="105">
        <v>31600</v>
      </c>
      <c r="L470" s="63">
        <v>578</v>
      </c>
      <c r="M470" s="63"/>
      <c r="N470" s="63"/>
      <c r="O470" s="63"/>
      <c r="P470" s="63"/>
      <c r="Q470" s="63"/>
      <c r="R470" s="100">
        <f t="shared" si="14"/>
        <v>578</v>
      </c>
      <c r="S470" s="100">
        <f t="shared" si="15"/>
        <v>-578</v>
      </c>
    </row>
    <row r="471" spans="1:27" ht="19.5" customHeight="1">
      <c r="A471" s="2">
        <v>462</v>
      </c>
      <c r="B471" s="11" t="s">
        <v>2365</v>
      </c>
      <c r="C471" s="4"/>
      <c r="D471" s="4"/>
      <c r="E471" s="11" t="s">
        <v>126</v>
      </c>
      <c r="F471" s="90" t="s">
        <v>2366</v>
      </c>
      <c r="G471" s="91" t="s">
        <v>2367</v>
      </c>
      <c r="H471" s="92" t="s">
        <v>128</v>
      </c>
      <c r="I471" s="2" t="s">
        <v>11</v>
      </c>
      <c r="J471" s="2" t="s">
        <v>804</v>
      </c>
      <c r="K471" s="105">
        <v>483</v>
      </c>
      <c r="L471" s="63">
        <v>5205</v>
      </c>
      <c r="M471" s="63"/>
      <c r="N471" s="63"/>
      <c r="O471" s="63"/>
      <c r="P471" s="63"/>
      <c r="Q471" s="63"/>
      <c r="R471" s="100">
        <f t="shared" si="14"/>
        <v>5205</v>
      </c>
      <c r="S471" s="100">
        <f t="shared" si="15"/>
        <v>-5205</v>
      </c>
    </row>
    <row r="472" spans="1:27" ht="19.5" customHeight="1">
      <c r="A472" s="2">
        <v>463</v>
      </c>
      <c r="B472" s="67" t="s">
        <v>2224</v>
      </c>
      <c r="C472" s="4"/>
      <c r="D472" s="4"/>
      <c r="E472" s="67" t="s">
        <v>129</v>
      </c>
      <c r="F472" s="68" t="s">
        <v>2226</v>
      </c>
      <c r="G472" s="68" t="s">
        <v>2227</v>
      </c>
      <c r="H472" s="68" t="s">
        <v>131</v>
      </c>
      <c r="I472" s="2" t="s">
        <v>15</v>
      </c>
      <c r="J472" s="68" t="s">
        <v>2225</v>
      </c>
      <c r="K472" s="105">
        <v>43500</v>
      </c>
      <c r="L472" s="63">
        <v>43</v>
      </c>
      <c r="M472" s="63"/>
      <c r="N472" s="63"/>
      <c r="O472" s="63"/>
      <c r="P472" s="63"/>
      <c r="Q472" s="63"/>
      <c r="R472" s="100">
        <f t="shared" si="14"/>
        <v>43</v>
      </c>
      <c r="S472" s="100">
        <f t="shared" si="15"/>
        <v>-43</v>
      </c>
    </row>
    <row r="473" spans="1:27" ht="19.5" customHeight="1">
      <c r="A473" s="2">
        <v>464</v>
      </c>
      <c r="B473" s="67" t="s">
        <v>3057</v>
      </c>
      <c r="C473" s="4"/>
      <c r="D473" s="4"/>
      <c r="E473" s="67" t="s">
        <v>1175</v>
      </c>
      <c r="F473" s="68" t="s">
        <v>3058</v>
      </c>
      <c r="G473" s="68" t="s">
        <v>1159</v>
      </c>
      <c r="H473" s="68" t="s">
        <v>3059</v>
      </c>
      <c r="I473" s="68" t="s">
        <v>13</v>
      </c>
      <c r="J473" s="68" t="s">
        <v>632</v>
      </c>
      <c r="K473" s="105">
        <v>3000</v>
      </c>
      <c r="L473" s="63">
        <v>451</v>
      </c>
      <c r="M473" s="63"/>
      <c r="N473" s="63"/>
      <c r="O473" s="63"/>
      <c r="P473" s="63"/>
      <c r="Q473" s="63"/>
      <c r="R473" s="100">
        <f t="shared" si="14"/>
        <v>451</v>
      </c>
      <c r="S473" s="100">
        <f t="shared" si="15"/>
        <v>-451</v>
      </c>
    </row>
    <row r="474" spans="1:27" ht="19.5" customHeight="1">
      <c r="A474" s="2">
        <v>465</v>
      </c>
      <c r="B474" s="70" t="s">
        <v>2069</v>
      </c>
      <c r="C474" s="4"/>
      <c r="D474" s="4"/>
      <c r="E474" s="11" t="s">
        <v>2070</v>
      </c>
      <c r="F474" s="2" t="s">
        <v>2071</v>
      </c>
      <c r="G474" s="2" t="s">
        <v>2067</v>
      </c>
      <c r="H474" s="2" t="s">
        <v>2064</v>
      </c>
      <c r="I474" s="2" t="s">
        <v>2068</v>
      </c>
      <c r="J474" s="2" t="s">
        <v>2065</v>
      </c>
      <c r="K474" s="105">
        <v>227000</v>
      </c>
      <c r="L474" s="63">
        <v>0</v>
      </c>
      <c r="M474" s="63"/>
      <c r="N474" s="63"/>
      <c r="O474" s="63"/>
      <c r="P474" s="63"/>
      <c r="Q474" s="63"/>
      <c r="R474" s="100">
        <f t="shared" si="14"/>
        <v>0</v>
      </c>
      <c r="S474" s="100">
        <f t="shared" si="15"/>
        <v>0</v>
      </c>
    </row>
    <row r="475" spans="1:27" ht="19.5" customHeight="1">
      <c r="A475" s="2">
        <v>466</v>
      </c>
      <c r="B475" s="70" t="s">
        <v>2062</v>
      </c>
      <c r="C475" s="4"/>
      <c r="D475" s="4"/>
      <c r="E475" s="11" t="s">
        <v>2063</v>
      </c>
      <c r="F475" s="2" t="s">
        <v>2066</v>
      </c>
      <c r="G475" s="2" t="s">
        <v>2067</v>
      </c>
      <c r="H475" s="2" t="s">
        <v>2064</v>
      </c>
      <c r="I475" s="2" t="s">
        <v>2068</v>
      </c>
      <c r="J475" s="2" t="s">
        <v>2065</v>
      </c>
      <c r="K475" s="105">
        <v>227000</v>
      </c>
      <c r="L475" s="63">
        <v>0</v>
      </c>
      <c r="M475" s="63"/>
      <c r="N475" s="63"/>
      <c r="O475" s="63"/>
      <c r="P475" s="63"/>
      <c r="Q475" s="63"/>
      <c r="R475" s="100">
        <f t="shared" si="14"/>
        <v>0</v>
      </c>
      <c r="S475" s="100">
        <f t="shared" si="15"/>
        <v>0</v>
      </c>
    </row>
    <row r="476" spans="1:27" ht="19.5" customHeight="1">
      <c r="A476" s="2">
        <v>467</v>
      </c>
      <c r="B476" s="77" t="s">
        <v>3060</v>
      </c>
      <c r="C476" s="4"/>
      <c r="D476" s="4"/>
      <c r="E476" s="77" t="s">
        <v>3061</v>
      </c>
      <c r="F476" s="5" t="s">
        <v>3062</v>
      </c>
      <c r="G476" s="5" t="s">
        <v>2253</v>
      </c>
      <c r="H476" s="5" t="s">
        <v>3063</v>
      </c>
      <c r="I476" s="5" t="s">
        <v>11</v>
      </c>
      <c r="J476" s="5" t="s">
        <v>1350</v>
      </c>
      <c r="K476" s="105">
        <v>900</v>
      </c>
      <c r="L476" s="63"/>
      <c r="M476" s="63"/>
      <c r="N476" s="63"/>
      <c r="O476" s="63"/>
      <c r="P476" s="63"/>
      <c r="Q476" s="63"/>
      <c r="R476" s="100">
        <f t="shared" si="14"/>
        <v>0</v>
      </c>
      <c r="S476" s="100">
        <f t="shared" si="15"/>
        <v>0</v>
      </c>
      <c r="T476" s="37"/>
      <c r="U476" s="37"/>
      <c r="V476" s="37"/>
      <c r="W476" s="37"/>
      <c r="X476" s="37"/>
      <c r="Y476" s="37"/>
      <c r="Z476" s="37"/>
      <c r="AA476" s="37"/>
    </row>
    <row r="477" spans="1:27" ht="19.5" customHeight="1">
      <c r="A477" s="2">
        <v>468</v>
      </c>
      <c r="B477" s="65" t="s">
        <v>592</v>
      </c>
      <c r="C477" s="11"/>
      <c r="D477" s="11"/>
      <c r="E477" s="65" t="s">
        <v>3064</v>
      </c>
      <c r="F477" s="2" t="s">
        <v>3065</v>
      </c>
      <c r="G477" s="2" t="s">
        <v>2380</v>
      </c>
      <c r="H477" s="66" t="s">
        <v>235</v>
      </c>
      <c r="I477" s="2" t="s">
        <v>11</v>
      </c>
      <c r="J477" s="68" t="s">
        <v>623</v>
      </c>
      <c r="K477" s="105">
        <v>87</v>
      </c>
      <c r="L477" s="63">
        <v>24</v>
      </c>
      <c r="M477" s="63"/>
      <c r="N477" s="63"/>
      <c r="O477" s="63"/>
      <c r="P477" s="63"/>
      <c r="Q477" s="63"/>
      <c r="R477" s="100">
        <f t="shared" si="14"/>
        <v>24</v>
      </c>
      <c r="S477" s="100">
        <f t="shared" si="15"/>
        <v>-24</v>
      </c>
    </row>
    <row r="478" spans="1:27" ht="19.5" customHeight="1">
      <c r="A478" s="2">
        <v>469</v>
      </c>
      <c r="B478" s="64" t="s">
        <v>402</v>
      </c>
      <c r="C478" s="3"/>
      <c r="D478" s="3"/>
      <c r="E478" s="11" t="s">
        <v>403</v>
      </c>
      <c r="F478" s="2" t="s">
        <v>404</v>
      </c>
      <c r="G478" s="2" t="s">
        <v>360</v>
      </c>
      <c r="H478" s="2" t="s">
        <v>327</v>
      </c>
      <c r="I478" s="2" t="s">
        <v>10</v>
      </c>
      <c r="J478" s="2" t="s">
        <v>642</v>
      </c>
      <c r="K478" s="105">
        <v>95</v>
      </c>
      <c r="L478" s="63">
        <v>60826</v>
      </c>
      <c r="M478" s="63"/>
      <c r="N478" s="63"/>
      <c r="O478" s="63"/>
      <c r="P478" s="63"/>
      <c r="Q478" s="63"/>
      <c r="R478" s="100">
        <f t="shared" si="14"/>
        <v>60826</v>
      </c>
      <c r="S478" s="100">
        <f t="shared" si="15"/>
        <v>-60826</v>
      </c>
    </row>
    <row r="479" spans="1:27" ht="19.5" customHeight="1">
      <c r="A479" s="2">
        <v>470</v>
      </c>
      <c r="B479" s="11" t="s">
        <v>515</v>
      </c>
      <c r="C479" s="11"/>
      <c r="D479" s="11"/>
      <c r="E479" s="11" t="s">
        <v>2500</v>
      </c>
      <c r="F479" s="2" t="s">
        <v>3066</v>
      </c>
      <c r="G479" s="2" t="s">
        <v>801</v>
      </c>
      <c r="H479" s="2" t="s">
        <v>517</v>
      </c>
      <c r="I479" s="66" t="s">
        <v>520</v>
      </c>
      <c r="J479" s="2" t="s">
        <v>2654</v>
      </c>
      <c r="K479" s="105">
        <v>8180</v>
      </c>
      <c r="L479" s="63">
        <v>4</v>
      </c>
      <c r="M479" s="63"/>
      <c r="N479" s="63"/>
      <c r="O479" s="63"/>
      <c r="P479" s="63"/>
      <c r="Q479" s="63"/>
      <c r="R479" s="100">
        <f t="shared" si="14"/>
        <v>4</v>
      </c>
      <c r="S479" s="100">
        <f t="shared" si="15"/>
        <v>-4</v>
      </c>
    </row>
    <row r="480" spans="1:27" ht="19.5" customHeight="1">
      <c r="A480" s="2">
        <v>471</v>
      </c>
      <c r="B480" s="64" t="s">
        <v>378</v>
      </c>
      <c r="C480" s="3"/>
      <c r="D480" s="3"/>
      <c r="E480" s="11" t="s">
        <v>378</v>
      </c>
      <c r="F480" s="2" t="s">
        <v>379</v>
      </c>
      <c r="G480" s="2" t="s">
        <v>360</v>
      </c>
      <c r="H480" s="2" t="s">
        <v>334</v>
      </c>
      <c r="I480" s="2" t="s">
        <v>10</v>
      </c>
      <c r="J480" s="2" t="s">
        <v>647</v>
      </c>
      <c r="K480" s="105">
        <v>234</v>
      </c>
      <c r="L480" s="63">
        <v>3017</v>
      </c>
      <c r="M480" s="63"/>
      <c r="N480" s="63"/>
      <c r="O480" s="63"/>
      <c r="P480" s="63"/>
      <c r="Q480" s="63"/>
      <c r="R480" s="100">
        <f t="shared" si="14"/>
        <v>3017</v>
      </c>
      <c r="S480" s="100">
        <f t="shared" si="15"/>
        <v>-3017</v>
      </c>
    </row>
    <row r="481" spans="1:27" ht="19.5" customHeight="1">
      <c r="A481" s="2">
        <v>472</v>
      </c>
      <c r="B481" s="64" t="s">
        <v>378</v>
      </c>
      <c r="C481" s="3"/>
      <c r="D481" s="3"/>
      <c r="E481" s="11" t="s">
        <v>378</v>
      </c>
      <c r="F481" s="2" t="s">
        <v>379</v>
      </c>
      <c r="G481" s="2" t="s">
        <v>360</v>
      </c>
      <c r="H481" s="2" t="s">
        <v>334</v>
      </c>
      <c r="I481" s="2" t="s">
        <v>10</v>
      </c>
      <c r="J481" s="2" t="s">
        <v>647</v>
      </c>
      <c r="K481" s="105">
        <v>234</v>
      </c>
      <c r="L481" s="63">
        <v>4445</v>
      </c>
      <c r="M481" s="63"/>
      <c r="N481" s="63"/>
      <c r="O481" s="63"/>
      <c r="P481" s="63"/>
      <c r="Q481" s="63"/>
      <c r="R481" s="100">
        <f t="shared" si="14"/>
        <v>4445</v>
      </c>
      <c r="S481" s="100">
        <f t="shared" si="15"/>
        <v>-4445</v>
      </c>
    </row>
    <row r="482" spans="1:27" ht="19.5" customHeight="1">
      <c r="A482" s="2">
        <v>473</v>
      </c>
      <c r="B482" s="67" t="s">
        <v>2240</v>
      </c>
      <c r="C482" s="4"/>
      <c r="D482" s="4"/>
      <c r="E482" s="11" t="s">
        <v>2241</v>
      </c>
      <c r="F482" s="2" t="s">
        <v>2243</v>
      </c>
      <c r="G482" s="2" t="s">
        <v>2244</v>
      </c>
      <c r="H482" s="2" t="s">
        <v>2242</v>
      </c>
      <c r="I482" s="2" t="s">
        <v>10</v>
      </c>
      <c r="J482" s="2" t="s">
        <v>541</v>
      </c>
      <c r="K482" s="105">
        <v>490</v>
      </c>
      <c r="L482" s="63">
        <v>0</v>
      </c>
      <c r="M482" s="63"/>
      <c r="N482" s="63"/>
      <c r="O482" s="63"/>
      <c r="P482" s="63"/>
      <c r="Q482" s="63"/>
      <c r="R482" s="100">
        <f t="shared" si="14"/>
        <v>0</v>
      </c>
      <c r="S482" s="100">
        <f t="shared" si="15"/>
        <v>0</v>
      </c>
    </row>
    <row r="483" spans="1:27" ht="19.5" customHeight="1">
      <c r="A483" s="2">
        <v>474</v>
      </c>
      <c r="B483" s="65" t="s">
        <v>2501</v>
      </c>
      <c r="C483" s="11"/>
      <c r="D483" s="11"/>
      <c r="E483" s="65" t="s">
        <v>3067</v>
      </c>
      <c r="F483" s="2" t="s">
        <v>3068</v>
      </c>
      <c r="G483" s="2" t="s">
        <v>3069</v>
      </c>
      <c r="H483" s="66" t="s">
        <v>299</v>
      </c>
      <c r="I483" s="2" t="s">
        <v>10</v>
      </c>
      <c r="J483" s="2" t="s">
        <v>842</v>
      </c>
      <c r="K483" s="105">
        <v>2520</v>
      </c>
      <c r="L483" s="63">
        <v>271</v>
      </c>
      <c r="M483" s="63"/>
      <c r="N483" s="63"/>
      <c r="O483" s="63"/>
      <c r="P483" s="63"/>
      <c r="Q483" s="63"/>
      <c r="R483" s="100">
        <f t="shared" si="14"/>
        <v>271</v>
      </c>
      <c r="S483" s="100">
        <f t="shared" si="15"/>
        <v>-271</v>
      </c>
    </row>
    <row r="484" spans="1:27" ht="19.5" customHeight="1">
      <c r="A484" s="2">
        <v>475</v>
      </c>
      <c r="B484" s="11" t="s">
        <v>2503</v>
      </c>
      <c r="C484" s="11"/>
      <c r="D484" s="11"/>
      <c r="E484" s="11" t="s">
        <v>2502</v>
      </c>
      <c r="F484" s="2" t="s">
        <v>3070</v>
      </c>
      <c r="G484" s="2" t="s">
        <v>3071</v>
      </c>
      <c r="H484" s="2" t="s">
        <v>238</v>
      </c>
      <c r="I484" s="2" t="s">
        <v>10</v>
      </c>
      <c r="J484" s="2" t="s">
        <v>538</v>
      </c>
      <c r="K484" s="105">
        <v>2230</v>
      </c>
      <c r="L484" s="63">
        <v>15</v>
      </c>
      <c r="M484" s="63"/>
      <c r="N484" s="63"/>
      <c r="O484" s="63"/>
      <c r="P484" s="63"/>
      <c r="Q484" s="63"/>
      <c r="R484" s="100">
        <f t="shared" si="14"/>
        <v>15</v>
      </c>
      <c r="S484" s="100">
        <f t="shared" si="15"/>
        <v>-15</v>
      </c>
    </row>
    <row r="485" spans="1:27" ht="19.5" customHeight="1">
      <c r="A485" s="2">
        <v>476</v>
      </c>
      <c r="B485" s="11" t="s">
        <v>2503</v>
      </c>
      <c r="C485" s="11"/>
      <c r="D485" s="11"/>
      <c r="E485" s="11" t="s">
        <v>2504</v>
      </c>
      <c r="F485" s="2" t="s">
        <v>3072</v>
      </c>
      <c r="G485" s="2" t="s">
        <v>3071</v>
      </c>
      <c r="H485" s="2" t="s">
        <v>327</v>
      </c>
      <c r="I485" s="2" t="s">
        <v>10</v>
      </c>
      <c r="J485" s="2" t="s">
        <v>538</v>
      </c>
      <c r="K485" s="105">
        <v>1218</v>
      </c>
      <c r="L485" s="63">
        <v>2999</v>
      </c>
      <c r="M485" s="63"/>
      <c r="N485" s="63"/>
      <c r="O485" s="63"/>
      <c r="P485" s="63"/>
      <c r="Q485" s="63"/>
      <c r="R485" s="100">
        <f t="shared" si="14"/>
        <v>2999</v>
      </c>
      <c r="S485" s="100">
        <f t="shared" si="15"/>
        <v>-2999</v>
      </c>
    </row>
    <row r="486" spans="1:27" ht="19.5" customHeight="1">
      <c r="A486" s="2">
        <v>477</v>
      </c>
      <c r="B486" s="11" t="s">
        <v>442</v>
      </c>
      <c r="C486" s="11"/>
      <c r="D486" s="11"/>
      <c r="E486" s="11" t="s">
        <v>2577</v>
      </c>
      <c r="F486" s="2" t="s">
        <v>3073</v>
      </c>
      <c r="G486" s="2" t="s">
        <v>3074</v>
      </c>
      <c r="H486" s="2" t="s">
        <v>272</v>
      </c>
      <c r="I486" s="2" t="s">
        <v>11</v>
      </c>
      <c r="J486" s="2" t="s">
        <v>815</v>
      </c>
      <c r="K486" s="105">
        <v>450</v>
      </c>
      <c r="L486" s="63">
        <v>332</v>
      </c>
      <c r="M486" s="63"/>
      <c r="N486" s="63"/>
      <c r="O486" s="63"/>
      <c r="P486" s="63"/>
      <c r="Q486" s="63"/>
      <c r="R486" s="100">
        <f t="shared" si="14"/>
        <v>332</v>
      </c>
      <c r="S486" s="100">
        <f t="shared" si="15"/>
        <v>-332</v>
      </c>
    </row>
    <row r="487" spans="1:27" ht="19.5" customHeight="1">
      <c r="A487" s="2">
        <v>478</v>
      </c>
      <c r="B487" s="67" t="s">
        <v>992</v>
      </c>
      <c r="C487" s="4"/>
      <c r="D487" s="4"/>
      <c r="E487" s="11" t="s">
        <v>1145</v>
      </c>
      <c r="F487" s="2" t="s">
        <v>1146</v>
      </c>
      <c r="G487" s="2" t="s">
        <v>1147</v>
      </c>
      <c r="H487" s="2" t="s">
        <v>225</v>
      </c>
      <c r="I487" s="2" t="s">
        <v>11</v>
      </c>
      <c r="J487" s="2" t="s">
        <v>815</v>
      </c>
      <c r="K487" s="105">
        <v>390</v>
      </c>
      <c r="L487" s="63">
        <v>13263</v>
      </c>
      <c r="M487" s="63"/>
      <c r="N487" s="63"/>
      <c r="O487" s="63"/>
      <c r="P487" s="63"/>
      <c r="Q487" s="63"/>
      <c r="R487" s="100">
        <f t="shared" si="14"/>
        <v>13263</v>
      </c>
      <c r="S487" s="100">
        <f t="shared" si="15"/>
        <v>-13263</v>
      </c>
    </row>
    <row r="488" spans="1:27" ht="19.5" customHeight="1">
      <c r="A488" s="2">
        <v>479</v>
      </c>
      <c r="B488" s="11" t="s">
        <v>555</v>
      </c>
      <c r="C488" s="11"/>
      <c r="D488" s="11"/>
      <c r="E488" s="11" t="s">
        <v>3075</v>
      </c>
      <c r="F488" s="2" t="s">
        <v>3076</v>
      </c>
      <c r="G488" s="2" t="s">
        <v>3077</v>
      </c>
      <c r="H488" s="2" t="s">
        <v>262</v>
      </c>
      <c r="I488" s="2" t="s">
        <v>11</v>
      </c>
      <c r="J488" s="2" t="s">
        <v>815</v>
      </c>
      <c r="K488" s="105">
        <v>1302</v>
      </c>
      <c r="L488" s="63">
        <v>1</v>
      </c>
      <c r="M488" s="63"/>
      <c r="N488" s="63"/>
      <c r="O488" s="63"/>
      <c r="P488" s="63"/>
      <c r="Q488" s="63"/>
      <c r="R488" s="100">
        <f t="shared" si="14"/>
        <v>1</v>
      </c>
      <c r="S488" s="100">
        <f t="shared" si="15"/>
        <v>-1</v>
      </c>
    </row>
    <row r="489" spans="1:27" ht="19.5" customHeight="1">
      <c r="A489" s="2">
        <v>480</v>
      </c>
      <c r="B489" s="65" t="s">
        <v>1348</v>
      </c>
      <c r="C489" s="11"/>
      <c r="D489" s="11"/>
      <c r="E489" s="65" t="s">
        <v>2505</v>
      </c>
      <c r="F489" s="2" t="s">
        <v>3078</v>
      </c>
      <c r="G489" s="2" t="s">
        <v>3079</v>
      </c>
      <c r="H489" s="66" t="s">
        <v>869</v>
      </c>
      <c r="I489" s="2" t="s">
        <v>11</v>
      </c>
      <c r="J489" s="2" t="s">
        <v>3080</v>
      </c>
      <c r="K489" s="105">
        <v>1832</v>
      </c>
      <c r="L489" s="63">
        <v>726</v>
      </c>
      <c r="M489" s="63"/>
      <c r="N489" s="63"/>
      <c r="O489" s="63"/>
      <c r="P489" s="63"/>
      <c r="Q489" s="63"/>
      <c r="R489" s="100">
        <f t="shared" si="14"/>
        <v>726</v>
      </c>
      <c r="S489" s="100">
        <f t="shared" si="15"/>
        <v>-726</v>
      </c>
    </row>
    <row r="490" spans="1:27" ht="19.5" customHeight="1">
      <c r="A490" s="2">
        <v>481</v>
      </c>
      <c r="B490" s="67" t="s">
        <v>286</v>
      </c>
      <c r="C490" s="4"/>
      <c r="D490" s="4"/>
      <c r="E490" s="11" t="s">
        <v>1222</v>
      </c>
      <c r="F490" s="2" t="s">
        <v>1225</v>
      </c>
      <c r="G490" s="2" t="s">
        <v>1221</v>
      </c>
      <c r="H490" s="2" t="s">
        <v>1223</v>
      </c>
      <c r="I490" s="2" t="s">
        <v>658</v>
      </c>
      <c r="J490" s="2" t="s">
        <v>1224</v>
      </c>
      <c r="K490" s="105">
        <v>14700</v>
      </c>
      <c r="L490" s="63">
        <v>39</v>
      </c>
      <c r="M490" s="63"/>
      <c r="N490" s="63"/>
      <c r="O490" s="63"/>
      <c r="P490" s="63"/>
      <c r="Q490" s="63"/>
      <c r="R490" s="100">
        <f t="shared" si="14"/>
        <v>39</v>
      </c>
      <c r="S490" s="100">
        <f t="shared" si="15"/>
        <v>-39</v>
      </c>
    </row>
    <row r="491" spans="1:27" ht="19.5" customHeight="1">
      <c r="A491" s="2">
        <v>482</v>
      </c>
      <c r="B491" s="11" t="s">
        <v>1318</v>
      </c>
      <c r="C491" s="4"/>
      <c r="D491" s="4"/>
      <c r="E491" s="11" t="s">
        <v>1319</v>
      </c>
      <c r="F491" s="2" t="s">
        <v>1320</v>
      </c>
      <c r="G491" s="2" t="s">
        <v>360</v>
      </c>
      <c r="H491" s="2" t="s">
        <v>238</v>
      </c>
      <c r="I491" s="2" t="s">
        <v>11</v>
      </c>
      <c r="J491" s="2" t="s">
        <v>642</v>
      </c>
      <c r="K491" s="105">
        <v>53</v>
      </c>
      <c r="L491" s="63">
        <v>5250</v>
      </c>
      <c r="M491" s="63"/>
      <c r="N491" s="63"/>
      <c r="O491" s="63"/>
      <c r="P491" s="63"/>
      <c r="Q491" s="63"/>
      <c r="R491" s="100">
        <f t="shared" si="14"/>
        <v>5250</v>
      </c>
      <c r="S491" s="100">
        <f t="shared" si="15"/>
        <v>-5250</v>
      </c>
    </row>
    <row r="492" spans="1:27" ht="19.5" customHeight="1">
      <c r="A492" s="2">
        <v>483</v>
      </c>
      <c r="B492" s="11" t="s">
        <v>855</v>
      </c>
      <c r="C492" s="4"/>
      <c r="D492" s="4"/>
      <c r="E492" s="11" t="s">
        <v>1374</v>
      </c>
      <c r="F492" s="2" t="s">
        <v>1375</v>
      </c>
      <c r="G492" s="2" t="s">
        <v>360</v>
      </c>
      <c r="H492" s="2" t="s">
        <v>641</v>
      </c>
      <c r="I492" s="2" t="s">
        <v>11</v>
      </c>
      <c r="J492" s="2" t="s">
        <v>647</v>
      </c>
      <c r="K492" s="105">
        <v>262</v>
      </c>
      <c r="L492" s="63">
        <v>2400</v>
      </c>
      <c r="M492" s="63"/>
      <c r="N492" s="63"/>
      <c r="O492" s="63"/>
      <c r="P492" s="63"/>
      <c r="Q492" s="63"/>
      <c r="R492" s="100">
        <f t="shared" si="14"/>
        <v>2400</v>
      </c>
      <c r="S492" s="100">
        <f t="shared" si="15"/>
        <v>-2400</v>
      </c>
    </row>
    <row r="493" spans="1:27" ht="19.5" customHeight="1">
      <c r="A493" s="2">
        <v>484</v>
      </c>
      <c r="B493" s="11" t="s">
        <v>1376</v>
      </c>
      <c r="C493" s="4"/>
      <c r="D493" s="4"/>
      <c r="E493" s="11" t="s">
        <v>1377</v>
      </c>
      <c r="F493" s="2" t="s">
        <v>1379</v>
      </c>
      <c r="G493" s="2" t="s">
        <v>360</v>
      </c>
      <c r="H493" s="2" t="s">
        <v>1378</v>
      </c>
      <c r="I493" s="2" t="s">
        <v>11</v>
      </c>
      <c r="J493" s="2" t="s">
        <v>647</v>
      </c>
      <c r="K493" s="105">
        <v>258</v>
      </c>
      <c r="L493" s="63">
        <v>73</v>
      </c>
      <c r="M493" s="63"/>
      <c r="N493" s="63"/>
      <c r="O493" s="63"/>
      <c r="P493" s="63"/>
      <c r="Q493" s="63"/>
      <c r="R493" s="100">
        <f t="shared" si="14"/>
        <v>73</v>
      </c>
      <c r="S493" s="100">
        <f t="shared" si="15"/>
        <v>-73</v>
      </c>
    </row>
    <row r="494" spans="1:27" ht="19.5" customHeight="1">
      <c r="A494" s="2">
        <v>485</v>
      </c>
      <c r="B494" s="64" t="s">
        <v>392</v>
      </c>
      <c r="C494" s="3"/>
      <c r="D494" s="3"/>
      <c r="E494" s="11" t="s">
        <v>393</v>
      </c>
      <c r="F494" s="2" t="s">
        <v>394</v>
      </c>
      <c r="G494" s="2" t="s">
        <v>360</v>
      </c>
      <c r="H494" s="2" t="s">
        <v>235</v>
      </c>
      <c r="I494" s="2" t="s">
        <v>10</v>
      </c>
      <c r="J494" s="2" t="s">
        <v>1329</v>
      </c>
      <c r="K494" s="105">
        <v>131</v>
      </c>
      <c r="L494" s="63">
        <v>31677</v>
      </c>
      <c r="M494" s="63"/>
      <c r="N494" s="63"/>
      <c r="O494" s="63"/>
      <c r="P494" s="63"/>
      <c r="Q494" s="63"/>
      <c r="R494" s="100">
        <f t="shared" si="14"/>
        <v>31677</v>
      </c>
      <c r="S494" s="100">
        <f t="shared" si="15"/>
        <v>-31677</v>
      </c>
    </row>
    <row r="495" spans="1:27" ht="19.5" customHeight="1">
      <c r="A495" s="2">
        <v>486</v>
      </c>
      <c r="B495" s="65" t="s">
        <v>392</v>
      </c>
      <c r="C495" s="4"/>
      <c r="D495" s="4"/>
      <c r="E495" s="65" t="s">
        <v>2611</v>
      </c>
      <c r="F495" s="2" t="s">
        <v>3081</v>
      </c>
      <c r="G495" s="2" t="s">
        <v>360</v>
      </c>
      <c r="H495" s="66" t="s">
        <v>235</v>
      </c>
      <c r="I495" s="2" t="s">
        <v>10</v>
      </c>
      <c r="J495" s="2" t="s">
        <v>1329</v>
      </c>
      <c r="K495" s="106">
        <v>232</v>
      </c>
      <c r="L495" s="63">
        <v>18</v>
      </c>
      <c r="M495" s="63"/>
      <c r="N495" s="63"/>
      <c r="O495" s="63"/>
      <c r="P495" s="63"/>
      <c r="Q495" s="63"/>
      <c r="R495" s="100">
        <f t="shared" si="14"/>
        <v>18</v>
      </c>
      <c r="S495" s="100">
        <f t="shared" si="15"/>
        <v>-18</v>
      </c>
    </row>
    <row r="496" spans="1:27" ht="19.5" customHeight="1">
      <c r="A496" s="2">
        <v>487</v>
      </c>
      <c r="B496" s="77" t="s">
        <v>3082</v>
      </c>
      <c r="C496" s="4"/>
      <c r="D496" s="4"/>
      <c r="E496" s="77" t="s">
        <v>3083</v>
      </c>
      <c r="F496" s="5" t="s">
        <v>3084</v>
      </c>
      <c r="G496" s="5" t="s">
        <v>3085</v>
      </c>
      <c r="H496" s="5" t="s">
        <v>3086</v>
      </c>
      <c r="I496" s="5" t="s">
        <v>11</v>
      </c>
      <c r="J496" s="5" t="s">
        <v>1350</v>
      </c>
      <c r="K496" s="105">
        <v>296</v>
      </c>
      <c r="L496" s="63"/>
      <c r="M496" s="63"/>
      <c r="N496" s="63"/>
      <c r="O496" s="63"/>
      <c r="P496" s="63"/>
      <c r="Q496" s="63"/>
      <c r="R496" s="100">
        <f t="shared" si="14"/>
        <v>0</v>
      </c>
      <c r="S496" s="100">
        <f t="shared" si="15"/>
        <v>0</v>
      </c>
      <c r="T496" s="37"/>
      <c r="U496" s="37"/>
      <c r="V496" s="37"/>
      <c r="W496" s="37"/>
      <c r="X496" s="37"/>
      <c r="Y496" s="37"/>
      <c r="Z496" s="37"/>
      <c r="AA496" s="37"/>
    </row>
    <row r="497" spans="1:19" ht="19.5" customHeight="1">
      <c r="A497" s="2">
        <v>488</v>
      </c>
      <c r="B497" s="11" t="s">
        <v>2623</v>
      </c>
      <c r="C497" s="11"/>
      <c r="D497" s="11"/>
      <c r="E497" s="11" t="s">
        <v>2622</v>
      </c>
      <c r="F497" s="2" t="s">
        <v>3087</v>
      </c>
      <c r="G497" s="2" t="s">
        <v>1812</v>
      </c>
      <c r="H497" s="2" t="s">
        <v>2624</v>
      </c>
      <c r="I497" s="2" t="s">
        <v>11</v>
      </c>
      <c r="J497" s="2" t="s">
        <v>3088</v>
      </c>
      <c r="K497" s="105">
        <v>1800</v>
      </c>
      <c r="L497" s="63">
        <v>56</v>
      </c>
      <c r="M497" s="63"/>
      <c r="N497" s="63"/>
      <c r="O497" s="63"/>
      <c r="P497" s="63"/>
      <c r="Q497" s="63"/>
      <c r="R497" s="100">
        <f t="shared" si="14"/>
        <v>56</v>
      </c>
      <c r="S497" s="100">
        <f t="shared" si="15"/>
        <v>-56</v>
      </c>
    </row>
    <row r="498" spans="1:19" ht="19.5" customHeight="1">
      <c r="A498" s="2">
        <v>489</v>
      </c>
      <c r="B498" s="67" t="s">
        <v>2138</v>
      </c>
      <c r="C498" s="4"/>
      <c r="D498" s="4"/>
      <c r="E498" s="11" t="s">
        <v>2139</v>
      </c>
      <c r="F498" s="2" t="s">
        <v>2141</v>
      </c>
      <c r="G498" s="2" t="s">
        <v>2142</v>
      </c>
      <c r="H498" s="2" t="s">
        <v>1290</v>
      </c>
      <c r="I498" s="2" t="s">
        <v>10</v>
      </c>
      <c r="J498" s="2" t="s">
        <v>2140</v>
      </c>
      <c r="K498" s="105">
        <v>1701</v>
      </c>
      <c r="L498" s="63">
        <v>8736</v>
      </c>
      <c r="M498" s="63"/>
      <c r="N498" s="63"/>
      <c r="O498" s="63"/>
      <c r="P498" s="63"/>
      <c r="Q498" s="63"/>
      <c r="R498" s="100">
        <f t="shared" si="14"/>
        <v>8736</v>
      </c>
      <c r="S498" s="100">
        <f t="shared" si="15"/>
        <v>-8736</v>
      </c>
    </row>
    <row r="499" spans="1:19" ht="19.5" customHeight="1">
      <c r="A499" s="2">
        <v>490</v>
      </c>
      <c r="B499" s="64" t="s">
        <v>353</v>
      </c>
      <c r="C499" s="3"/>
      <c r="D499" s="3"/>
      <c r="E499" s="11" t="s">
        <v>383</v>
      </c>
      <c r="F499" s="2" t="s">
        <v>385</v>
      </c>
      <c r="G499" s="2" t="s">
        <v>360</v>
      </c>
      <c r="H499" s="2" t="s">
        <v>384</v>
      </c>
      <c r="I499" s="2" t="s">
        <v>10</v>
      </c>
      <c r="J499" s="2" t="s">
        <v>647</v>
      </c>
      <c r="K499" s="105">
        <v>120</v>
      </c>
      <c r="L499" s="63">
        <v>2954</v>
      </c>
      <c r="M499" s="63"/>
      <c r="N499" s="63"/>
      <c r="O499" s="63"/>
      <c r="P499" s="63"/>
      <c r="Q499" s="63"/>
      <c r="R499" s="100">
        <f t="shared" si="14"/>
        <v>2954</v>
      </c>
      <c r="S499" s="100">
        <f t="shared" si="15"/>
        <v>-2954</v>
      </c>
    </row>
    <row r="500" spans="1:19" ht="19.5" customHeight="1">
      <c r="A500" s="2">
        <v>491</v>
      </c>
      <c r="B500" s="11" t="s">
        <v>841</v>
      </c>
      <c r="C500" s="11"/>
      <c r="D500" s="11"/>
      <c r="E500" s="11" t="s">
        <v>2578</v>
      </c>
      <c r="F500" s="2" t="s">
        <v>3089</v>
      </c>
      <c r="G500" s="2" t="s">
        <v>360</v>
      </c>
      <c r="H500" s="2" t="s">
        <v>2579</v>
      </c>
      <c r="I500" s="2" t="s">
        <v>11</v>
      </c>
      <c r="J500" s="2" t="s">
        <v>647</v>
      </c>
      <c r="K500" s="105">
        <v>475</v>
      </c>
      <c r="L500" s="63">
        <v>1680</v>
      </c>
      <c r="M500" s="63"/>
      <c r="N500" s="63"/>
      <c r="O500" s="63"/>
      <c r="P500" s="63"/>
      <c r="Q500" s="63"/>
      <c r="R500" s="100">
        <f t="shared" si="14"/>
        <v>1680</v>
      </c>
      <c r="S500" s="100">
        <f t="shared" si="15"/>
        <v>-1680</v>
      </c>
    </row>
    <row r="501" spans="1:19" ht="19.5" customHeight="1">
      <c r="A501" s="2">
        <v>492</v>
      </c>
      <c r="B501" s="11" t="s">
        <v>1390</v>
      </c>
      <c r="C501" s="4"/>
      <c r="D501" s="4"/>
      <c r="E501" s="11" t="s">
        <v>1391</v>
      </c>
      <c r="F501" s="2" t="s">
        <v>1393</v>
      </c>
      <c r="G501" s="2" t="s">
        <v>360</v>
      </c>
      <c r="H501" s="2" t="s">
        <v>1392</v>
      </c>
      <c r="I501" s="2" t="s">
        <v>11</v>
      </c>
      <c r="J501" s="2" t="s">
        <v>647</v>
      </c>
      <c r="K501" s="105">
        <v>743</v>
      </c>
      <c r="L501" s="63">
        <v>5200</v>
      </c>
      <c r="M501" s="63"/>
      <c r="N501" s="63"/>
      <c r="O501" s="63"/>
      <c r="P501" s="63"/>
      <c r="Q501" s="63"/>
      <c r="R501" s="100">
        <f t="shared" si="14"/>
        <v>5200</v>
      </c>
      <c r="S501" s="100">
        <f t="shared" si="15"/>
        <v>-5200</v>
      </c>
    </row>
    <row r="502" spans="1:19" ht="19.5" customHeight="1">
      <c r="A502" s="2">
        <v>493</v>
      </c>
      <c r="B502" s="11" t="s">
        <v>1390</v>
      </c>
      <c r="C502" s="4"/>
      <c r="D502" s="4"/>
      <c r="E502" s="11" t="s">
        <v>1394</v>
      </c>
      <c r="F502" s="2" t="s">
        <v>1396</v>
      </c>
      <c r="G502" s="2" t="s">
        <v>360</v>
      </c>
      <c r="H502" s="2" t="s">
        <v>1395</v>
      </c>
      <c r="I502" s="2" t="s">
        <v>11</v>
      </c>
      <c r="J502" s="2" t="s">
        <v>647</v>
      </c>
      <c r="K502" s="105">
        <v>1740</v>
      </c>
      <c r="L502" s="63">
        <v>300</v>
      </c>
      <c r="M502" s="63"/>
      <c r="N502" s="63"/>
      <c r="O502" s="63"/>
      <c r="P502" s="63"/>
      <c r="Q502" s="63"/>
      <c r="R502" s="100">
        <f t="shared" si="14"/>
        <v>300</v>
      </c>
      <c r="S502" s="100">
        <f t="shared" si="15"/>
        <v>-300</v>
      </c>
    </row>
    <row r="503" spans="1:19" ht="19.5" customHeight="1">
      <c r="A503" s="2">
        <v>494</v>
      </c>
      <c r="B503" s="65" t="s">
        <v>2580</v>
      </c>
      <c r="C503" s="4"/>
      <c r="D503" s="4"/>
      <c r="E503" s="65" t="s">
        <v>1394</v>
      </c>
      <c r="F503" s="2" t="s">
        <v>1396</v>
      </c>
      <c r="G503" s="2" t="s">
        <v>360</v>
      </c>
      <c r="H503" s="66" t="s">
        <v>2581</v>
      </c>
      <c r="I503" s="2" t="s">
        <v>11</v>
      </c>
      <c r="J503" s="2" t="s">
        <v>815</v>
      </c>
      <c r="K503" s="105">
        <v>2060</v>
      </c>
      <c r="L503" s="63">
        <v>76</v>
      </c>
      <c r="M503" s="63"/>
      <c r="N503" s="63"/>
      <c r="O503" s="63"/>
      <c r="P503" s="63"/>
      <c r="Q503" s="63"/>
      <c r="R503" s="100">
        <f t="shared" si="14"/>
        <v>76</v>
      </c>
      <c r="S503" s="100">
        <f t="shared" si="15"/>
        <v>-76</v>
      </c>
    </row>
    <row r="504" spans="1:19" ht="19.5" customHeight="1">
      <c r="A504" s="2">
        <v>495</v>
      </c>
      <c r="B504" s="11" t="s">
        <v>1356</v>
      </c>
      <c r="C504" s="4"/>
      <c r="D504" s="4"/>
      <c r="E504" s="11" t="s">
        <v>1357</v>
      </c>
      <c r="F504" s="2" t="s">
        <v>1358</v>
      </c>
      <c r="G504" s="2" t="s">
        <v>360</v>
      </c>
      <c r="H504" s="2" t="s">
        <v>238</v>
      </c>
      <c r="I504" s="2" t="s">
        <v>11</v>
      </c>
      <c r="J504" s="2" t="s">
        <v>642</v>
      </c>
      <c r="K504" s="105">
        <v>98</v>
      </c>
      <c r="L504" s="63">
        <v>260</v>
      </c>
      <c r="M504" s="63"/>
      <c r="N504" s="63"/>
      <c r="O504" s="63"/>
      <c r="P504" s="63"/>
      <c r="Q504" s="63"/>
      <c r="R504" s="100">
        <f t="shared" si="14"/>
        <v>260</v>
      </c>
      <c r="S504" s="100">
        <f t="shared" si="15"/>
        <v>-260</v>
      </c>
    </row>
    <row r="505" spans="1:19" ht="19.5" customHeight="1">
      <c r="A505" s="2">
        <v>496</v>
      </c>
      <c r="B505" s="11" t="s">
        <v>1356</v>
      </c>
      <c r="C505" s="4"/>
      <c r="D505" s="4"/>
      <c r="E505" s="11" t="s">
        <v>1357</v>
      </c>
      <c r="F505" s="2" t="s">
        <v>1358</v>
      </c>
      <c r="G505" s="2" t="s">
        <v>360</v>
      </c>
      <c r="H505" s="2" t="s">
        <v>238</v>
      </c>
      <c r="I505" s="2" t="s">
        <v>11</v>
      </c>
      <c r="J505" s="2" t="s">
        <v>642</v>
      </c>
      <c r="K505" s="105">
        <v>105</v>
      </c>
      <c r="L505" s="63">
        <v>0</v>
      </c>
      <c r="M505" s="63"/>
      <c r="N505" s="63"/>
      <c r="O505" s="63"/>
      <c r="P505" s="63"/>
      <c r="Q505" s="63"/>
      <c r="R505" s="100">
        <f t="shared" si="14"/>
        <v>0</v>
      </c>
      <c r="S505" s="100">
        <f t="shared" si="15"/>
        <v>0</v>
      </c>
    </row>
    <row r="506" spans="1:19" ht="19.5" customHeight="1">
      <c r="A506" s="2">
        <v>497</v>
      </c>
      <c r="B506" s="11" t="s">
        <v>1311</v>
      </c>
      <c r="C506" s="4"/>
      <c r="D506" s="4"/>
      <c r="E506" s="11" t="s">
        <v>1312</v>
      </c>
      <c r="F506" s="2" t="s">
        <v>1314</v>
      </c>
      <c r="G506" s="2" t="s">
        <v>360</v>
      </c>
      <c r="H506" s="2" t="s">
        <v>1313</v>
      </c>
      <c r="I506" s="2" t="s">
        <v>11</v>
      </c>
      <c r="J506" s="2" t="s">
        <v>642</v>
      </c>
      <c r="K506" s="105">
        <v>128</v>
      </c>
      <c r="L506" s="63">
        <v>0</v>
      </c>
      <c r="M506" s="63"/>
      <c r="N506" s="63"/>
      <c r="O506" s="63"/>
      <c r="P506" s="63"/>
      <c r="Q506" s="63"/>
      <c r="R506" s="100">
        <f t="shared" si="14"/>
        <v>0</v>
      </c>
      <c r="S506" s="100">
        <f t="shared" si="15"/>
        <v>0</v>
      </c>
    </row>
    <row r="507" spans="1:19" ht="19.5" customHeight="1">
      <c r="A507" s="2">
        <v>498</v>
      </c>
      <c r="B507" s="67" t="s">
        <v>347</v>
      </c>
      <c r="C507" s="4"/>
      <c r="D507" s="4"/>
      <c r="E507" s="11" t="s">
        <v>858</v>
      </c>
      <c r="F507" s="2" t="s">
        <v>860</v>
      </c>
      <c r="G507" s="2" t="s">
        <v>861</v>
      </c>
      <c r="H507" s="2" t="s">
        <v>238</v>
      </c>
      <c r="I507" s="2" t="s">
        <v>10</v>
      </c>
      <c r="J507" s="2" t="s">
        <v>859</v>
      </c>
      <c r="K507" s="105">
        <v>345</v>
      </c>
      <c r="L507" s="63">
        <v>15</v>
      </c>
      <c r="M507" s="63"/>
      <c r="N507" s="63"/>
      <c r="O507" s="63"/>
      <c r="P507" s="63"/>
      <c r="Q507" s="63"/>
      <c r="R507" s="100">
        <f t="shared" si="14"/>
        <v>15</v>
      </c>
      <c r="S507" s="100">
        <f t="shared" si="15"/>
        <v>-15</v>
      </c>
    </row>
    <row r="508" spans="1:19" ht="19.5" customHeight="1">
      <c r="A508" s="2">
        <v>499</v>
      </c>
      <c r="B508" s="64" t="s">
        <v>347</v>
      </c>
      <c r="C508" s="3"/>
      <c r="D508" s="3"/>
      <c r="E508" s="11" t="s">
        <v>361</v>
      </c>
      <c r="F508" s="2" t="s">
        <v>362</v>
      </c>
      <c r="G508" s="2" t="s">
        <v>360</v>
      </c>
      <c r="H508" s="2" t="s">
        <v>327</v>
      </c>
      <c r="I508" s="2" t="s">
        <v>10</v>
      </c>
      <c r="J508" s="2" t="s">
        <v>647</v>
      </c>
      <c r="K508" s="105">
        <v>81</v>
      </c>
      <c r="L508" s="63">
        <v>0</v>
      </c>
      <c r="M508" s="63"/>
      <c r="N508" s="63"/>
      <c r="O508" s="63"/>
      <c r="P508" s="63"/>
      <c r="Q508" s="63"/>
      <c r="R508" s="100">
        <f t="shared" si="14"/>
        <v>0</v>
      </c>
      <c r="S508" s="100">
        <f t="shared" si="15"/>
        <v>0</v>
      </c>
    </row>
    <row r="509" spans="1:19" ht="19.5" customHeight="1">
      <c r="A509" s="2">
        <v>500</v>
      </c>
      <c r="B509" s="67" t="s">
        <v>802</v>
      </c>
      <c r="C509" s="4"/>
      <c r="D509" s="4"/>
      <c r="E509" s="11" t="s">
        <v>1199</v>
      </c>
      <c r="F509" s="2" t="s">
        <v>1202</v>
      </c>
      <c r="G509" s="2" t="s">
        <v>352</v>
      </c>
      <c r="H509" s="2" t="s">
        <v>1200</v>
      </c>
      <c r="I509" s="2" t="s">
        <v>13</v>
      </c>
      <c r="J509" s="2" t="s">
        <v>1201</v>
      </c>
      <c r="K509" s="105">
        <v>1191</v>
      </c>
      <c r="L509" s="63">
        <v>508</v>
      </c>
      <c r="M509" s="63"/>
      <c r="N509" s="63"/>
      <c r="O509" s="63"/>
      <c r="P509" s="63"/>
      <c r="Q509" s="63"/>
      <c r="R509" s="100">
        <f t="shared" si="14"/>
        <v>508</v>
      </c>
      <c r="S509" s="100">
        <f t="shared" si="15"/>
        <v>-508</v>
      </c>
    </row>
    <row r="510" spans="1:19" ht="19.5" customHeight="1">
      <c r="A510" s="2">
        <v>501</v>
      </c>
      <c r="B510" s="67" t="s">
        <v>802</v>
      </c>
      <c r="C510" s="4"/>
      <c r="D510" s="4"/>
      <c r="E510" s="11" t="s">
        <v>1203</v>
      </c>
      <c r="F510" s="2" t="s">
        <v>1205</v>
      </c>
      <c r="G510" s="2" t="s">
        <v>352</v>
      </c>
      <c r="H510" s="2" t="s">
        <v>965</v>
      </c>
      <c r="I510" s="2" t="s">
        <v>11</v>
      </c>
      <c r="J510" s="2" t="s">
        <v>1204</v>
      </c>
      <c r="K510" s="105">
        <v>2510</v>
      </c>
      <c r="L510" s="63">
        <v>250</v>
      </c>
      <c r="M510" s="63"/>
      <c r="N510" s="63"/>
      <c r="O510" s="63"/>
      <c r="P510" s="63"/>
      <c r="Q510" s="63"/>
      <c r="R510" s="100">
        <f t="shared" si="14"/>
        <v>250</v>
      </c>
      <c r="S510" s="100">
        <f t="shared" si="15"/>
        <v>-250</v>
      </c>
    </row>
    <row r="511" spans="1:19" ht="19.5" customHeight="1">
      <c r="A511" s="2">
        <v>502</v>
      </c>
      <c r="B511" s="11" t="s">
        <v>639</v>
      </c>
      <c r="C511" s="4"/>
      <c r="D511" s="4"/>
      <c r="E511" s="11" t="s">
        <v>677</v>
      </c>
      <c r="F511" s="2" t="s">
        <v>680</v>
      </c>
      <c r="G511" s="2" t="s">
        <v>681</v>
      </c>
      <c r="H511" s="2" t="s">
        <v>678</v>
      </c>
      <c r="I511" s="2" t="s">
        <v>682</v>
      </c>
      <c r="J511" s="2" t="s">
        <v>679</v>
      </c>
      <c r="K511" s="105">
        <v>5250</v>
      </c>
      <c r="L511" s="63">
        <v>0</v>
      </c>
      <c r="M511" s="63"/>
      <c r="N511" s="63"/>
      <c r="O511" s="63"/>
      <c r="P511" s="63"/>
      <c r="Q511" s="63"/>
      <c r="R511" s="100">
        <f t="shared" si="14"/>
        <v>0</v>
      </c>
      <c r="S511" s="100">
        <f t="shared" si="15"/>
        <v>0</v>
      </c>
    </row>
    <row r="512" spans="1:19" ht="19.5" customHeight="1">
      <c r="A512" s="2">
        <v>503</v>
      </c>
      <c r="B512" s="11" t="s">
        <v>639</v>
      </c>
      <c r="C512" s="4"/>
      <c r="D512" s="4"/>
      <c r="E512" s="11" t="s">
        <v>673</v>
      </c>
      <c r="F512" s="2" t="s">
        <v>675</v>
      </c>
      <c r="G512" s="2" t="s">
        <v>676</v>
      </c>
      <c r="H512" s="2" t="s">
        <v>641</v>
      </c>
      <c r="I512" s="2" t="s">
        <v>10</v>
      </c>
      <c r="J512" s="2" t="s">
        <v>674</v>
      </c>
      <c r="K512" s="105">
        <v>12850</v>
      </c>
      <c r="L512" s="63">
        <v>90</v>
      </c>
      <c r="M512" s="63"/>
      <c r="N512" s="63"/>
      <c r="O512" s="63"/>
      <c r="P512" s="63"/>
      <c r="Q512" s="63"/>
      <c r="R512" s="100">
        <f t="shared" si="14"/>
        <v>90</v>
      </c>
      <c r="S512" s="100">
        <f t="shared" si="15"/>
        <v>-90</v>
      </c>
    </row>
    <row r="513" spans="1:27" ht="19.5" customHeight="1">
      <c r="A513" s="2">
        <v>504</v>
      </c>
      <c r="B513" s="67" t="s">
        <v>2329</v>
      </c>
      <c r="C513" s="4"/>
      <c r="D513" s="4"/>
      <c r="E513" s="11" t="s">
        <v>132</v>
      </c>
      <c r="F513" s="2" t="s">
        <v>2330</v>
      </c>
      <c r="G513" s="2" t="s">
        <v>2331</v>
      </c>
      <c r="H513" s="2" t="s">
        <v>134</v>
      </c>
      <c r="I513" s="2" t="s">
        <v>11</v>
      </c>
      <c r="J513" s="2" t="s">
        <v>1675</v>
      </c>
      <c r="K513" s="105">
        <v>1386</v>
      </c>
      <c r="L513" s="63">
        <v>6590</v>
      </c>
      <c r="M513" s="63"/>
      <c r="N513" s="63"/>
      <c r="O513" s="63"/>
      <c r="P513" s="63"/>
      <c r="Q513" s="63"/>
      <c r="R513" s="100">
        <f t="shared" si="14"/>
        <v>6590</v>
      </c>
      <c r="S513" s="100">
        <f t="shared" si="15"/>
        <v>-6590</v>
      </c>
    </row>
    <row r="514" spans="1:27" ht="19.5" customHeight="1">
      <c r="A514" s="2">
        <v>505</v>
      </c>
      <c r="B514" s="11" t="s">
        <v>1494</v>
      </c>
      <c r="C514" s="4"/>
      <c r="D514" s="4"/>
      <c r="E514" s="11" t="s">
        <v>1534</v>
      </c>
      <c r="F514" s="2" t="s">
        <v>1535</v>
      </c>
      <c r="G514" s="2" t="s">
        <v>1536</v>
      </c>
      <c r="H514" s="2" t="s">
        <v>369</v>
      </c>
      <c r="I514" s="2" t="s">
        <v>10</v>
      </c>
      <c r="J514" s="2" t="s">
        <v>1239</v>
      </c>
      <c r="K514" s="105">
        <v>1610</v>
      </c>
      <c r="L514" s="63">
        <v>3000</v>
      </c>
      <c r="M514" s="63"/>
      <c r="N514" s="63"/>
      <c r="O514" s="63"/>
      <c r="P514" s="63"/>
      <c r="Q514" s="63"/>
      <c r="R514" s="100">
        <f t="shared" si="14"/>
        <v>3000</v>
      </c>
      <c r="S514" s="100">
        <f t="shared" si="15"/>
        <v>-3000</v>
      </c>
    </row>
    <row r="515" spans="1:27" ht="19.5" customHeight="1">
      <c r="A515" s="2">
        <v>506</v>
      </c>
      <c r="B515" s="67" t="s">
        <v>1505</v>
      </c>
      <c r="C515" s="4"/>
      <c r="D515" s="4"/>
      <c r="E515" s="11" t="s">
        <v>1506</v>
      </c>
      <c r="F515" s="2" t="s">
        <v>1508</v>
      </c>
      <c r="G515" s="2" t="s">
        <v>1509</v>
      </c>
      <c r="H515" s="2" t="s">
        <v>1507</v>
      </c>
      <c r="I515" s="2" t="s">
        <v>14</v>
      </c>
      <c r="J515" s="2" t="s">
        <v>306</v>
      </c>
      <c r="K515" s="105">
        <v>35595</v>
      </c>
      <c r="L515" s="63">
        <v>41</v>
      </c>
      <c r="M515" s="63"/>
      <c r="N515" s="63"/>
      <c r="O515" s="63"/>
      <c r="P515" s="63"/>
      <c r="Q515" s="63"/>
      <c r="R515" s="100">
        <f t="shared" si="14"/>
        <v>41</v>
      </c>
      <c r="S515" s="100">
        <f t="shared" si="15"/>
        <v>-41</v>
      </c>
    </row>
    <row r="516" spans="1:27" ht="19.5" customHeight="1">
      <c r="A516" s="2">
        <v>507</v>
      </c>
      <c r="B516" s="67" t="s">
        <v>2308</v>
      </c>
      <c r="C516" s="4"/>
      <c r="D516" s="4"/>
      <c r="E516" s="67" t="s">
        <v>135</v>
      </c>
      <c r="F516" s="68" t="s">
        <v>2309</v>
      </c>
      <c r="G516" s="68" t="s">
        <v>2310</v>
      </c>
      <c r="H516" s="68" t="s">
        <v>137</v>
      </c>
      <c r="I516" s="68" t="s">
        <v>10</v>
      </c>
      <c r="J516" s="68" t="s">
        <v>2306</v>
      </c>
      <c r="K516" s="105">
        <v>2200</v>
      </c>
      <c r="L516" s="63">
        <v>20000</v>
      </c>
      <c r="M516" s="63"/>
      <c r="N516" s="63"/>
      <c r="O516" s="63"/>
      <c r="P516" s="63"/>
      <c r="Q516" s="63"/>
      <c r="R516" s="100">
        <f t="shared" si="14"/>
        <v>20000</v>
      </c>
      <c r="S516" s="100">
        <f t="shared" si="15"/>
        <v>-20000</v>
      </c>
    </row>
    <row r="517" spans="1:27" ht="19.5" customHeight="1">
      <c r="A517" s="2">
        <v>508</v>
      </c>
      <c r="B517" s="11" t="s">
        <v>2195</v>
      </c>
      <c r="C517" s="4"/>
      <c r="D517" s="4"/>
      <c r="E517" s="11" t="s">
        <v>138</v>
      </c>
      <c r="F517" s="2" t="s">
        <v>2197</v>
      </c>
      <c r="G517" s="2" t="s">
        <v>2194</v>
      </c>
      <c r="H517" s="2" t="s">
        <v>139</v>
      </c>
      <c r="I517" s="2" t="s">
        <v>10</v>
      </c>
      <c r="J517" s="2" t="s">
        <v>2196</v>
      </c>
      <c r="K517" s="105">
        <v>154</v>
      </c>
      <c r="L517" s="63">
        <v>75000</v>
      </c>
      <c r="M517" s="63"/>
      <c r="N517" s="63"/>
      <c r="O517" s="63"/>
      <c r="P517" s="63"/>
      <c r="Q517" s="63"/>
      <c r="R517" s="100">
        <f t="shared" si="14"/>
        <v>75000</v>
      </c>
      <c r="S517" s="100">
        <f t="shared" si="15"/>
        <v>-75000</v>
      </c>
    </row>
    <row r="518" spans="1:27" ht="19.5" customHeight="1">
      <c r="A518" s="2">
        <v>509</v>
      </c>
      <c r="B518" s="11" t="s">
        <v>2169</v>
      </c>
      <c r="C518" s="4"/>
      <c r="D518" s="4"/>
      <c r="E518" s="11" t="s">
        <v>2170</v>
      </c>
      <c r="F518" s="2" t="s">
        <v>2173</v>
      </c>
      <c r="G518" s="2" t="s">
        <v>2174</v>
      </c>
      <c r="H518" s="2" t="s">
        <v>2171</v>
      </c>
      <c r="I518" s="2" t="s">
        <v>10</v>
      </c>
      <c r="J518" s="2" t="s">
        <v>2172</v>
      </c>
      <c r="K518" s="105">
        <v>215</v>
      </c>
      <c r="L518" s="63">
        <v>0</v>
      </c>
      <c r="M518" s="63"/>
      <c r="N518" s="63"/>
      <c r="O518" s="63"/>
      <c r="P518" s="63"/>
      <c r="Q518" s="63"/>
      <c r="R518" s="100">
        <f t="shared" si="14"/>
        <v>0</v>
      </c>
      <c r="S518" s="100">
        <f t="shared" si="15"/>
        <v>0</v>
      </c>
    </row>
    <row r="519" spans="1:27" ht="19.5" customHeight="1">
      <c r="A519" s="2">
        <v>510</v>
      </c>
      <c r="B519" s="11" t="s">
        <v>141</v>
      </c>
      <c r="C519" s="11"/>
      <c r="D519" s="11"/>
      <c r="E519" s="11" t="s">
        <v>3090</v>
      </c>
      <c r="F519" s="2" t="s">
        <v>2312</v>
      </c>
      <c r="G519" s="68" t="s">
        <v>2310</v>
      </c>
      <c r="H519" s="2" t="s">
        <v>3091</v>
      </c>
      <c r="I519" s="68" t="s">
        <v>10</v>
      </c>
      <c r="J519" s="68" t="s">
        <v>2306</v>
      </c>
      <c r="K519" s="105">
        <v>1450</v>
      </c>
      <c r="L519" s="63">
        <v>0</v>
      </c>
      <c r="M519" s="63"/>
      <c r="N519" s="63"/>
      <c r="O519" s="63"/>
      <c r="P519" s="63"/>
      <c r="Q519" s="63"/>
      <c r="R519" s="100">
        <f t="shared" si="14"/>
        <v>0</v>
      </c>
      <c r="S519" s="100">
        <f t="shared" si="15"/>
        <v>0</v>
      </c>
    </row>
    <row r="520" spans="1:27" ht="19.5" customHeight="1">
      <c r="A520" s="2">
        <v>511</v>
      </c>
      <c r="B520" s="67" t="s">
        <v>2311</v>
      </c>
      <c r="C520" s="4"/>
      <c r="D520" s="4"/>
      <c r="E520" s="11" t="s">
        <v>140</v>
      </c>
      <c r="F520" s="68" t="s">
        <v>2312</v>
      </c>
      <c r="G520" s="68" t="s">
        <v>2310</v>
      </c>
      <c r="H520" s="68" t="s">
        <v>142</v>
      </c>
      <c r="I520" s="68" t="s">
        <v>10</v>
      </c>
      <c r="J520" s="68" t="s">
        <v>2306</v>
      </c>
      <c r="K520" s="105">
        <v>1490</v>
      </c>
      <c r="L520" s="63">
        <v>17574</v>
      </c>
      <c r="M520" s="63"/>
      <c r="N520" s="63"/>
      <c r="O520" s="63"/>
      <c r="P520" s="63"/>
      <c r="Q520" s="63"/>
      <c r="R520" s="100">
        <f t="shared" si="14"/>
        <v>17574</v>
      </c>
      <c r="S520" s="100">
        <f t="shared" si="15"/>
        <v>-17574</v>
      </c>
    </row>
    <row r="521" spans="1:27" ht="19.5" customHeight="1">
      <c r="A521" s="2">
        <v>512</v>
      </c>
      <c r="B521" s="77" t="s">
        <v>3092</v>
      </c>
      <c r="C521" s="4"/>
      <c r="D521" s="4"/>
      <c r="E521" s="77" t="s">
        <v>3093</v>
      </c>
      <c r="F521" s="2" t="s">
        <v>253</v>
      </c>
      <c r="G521" s="5" t="s">
        <v>3094</v>
      </c>
      <c r="H521" s="5" t="s">
        <v>238</v>
      </c>
      <c r="I521" s="7" t="s">
        <v>10</v>
      </c>
      <c r="J521" s="2" t="s">
        <v>2841</v>
      </c>
      <c r="K521" s="105">
        <v>4000</v>
      </c>
      <c r="L521" s="63"/>
      <c r="M521" s="63"/>
      <c r="N521" s="63"/>
      <c r="O521" s="63"/>
      <c r="P521" s="63"/>
      <c r="Q521" s="63"/>
      <c r="R521" s="100">
        <f t="shared" si="14"/>
        <v>0</v>
      </c>
      <c r="S521" s="100">
        <f t="shared" si="15"/>
        <v>0</v>
      </c>
      <c r="T521" s="37"/>
      <c r="U521" s="37"/>
      <c r="V521" s="37"/>
      <c r="W521" s="37"/>
      <c r="X521" s="37"/>
      <c r="Y521" s="37"/>
      <c r="Z521" s="37"/>
      <c r="AA521" s="37"/>
    </row>
    <row r="522" spans="1:27" ht="19.5" customHeight="1">
      <c r="A522" s="2">
        <v>513</v>
      </c>
      <c r="B522" s="11" t="s">
        <v>506</v>
      </c>
      <c r="C522" s="11"/>
      <c r="D522" s="11"/>
      <c r="E522" s="11" t="s">
        <v>2506</v>
      </c>
      <c r="F522" s="2" t="s">
        <v>3095</v>
      </c>
      <c r="G522" s="2" t="s">
        <v>3096</v>
      </c>
      <c r="H522" s="2" t="s">
        <v>258</v>
      </c>
      <c r="I522" s="2" t="s">
        <v>658</v>
      </c>
      <c r="J522" s="2" t="s">
        <v>3097</v>
      </c>
      <c r="K522" s="105">
        <v>9790</v>
      </c>
      <c r="L522" s="63">
        <v>2</v>
      </c>
      <c r="M522" s="63"/>
      <c r="N522" s="63"/>
      <c r="O522" s="63"/>
      <c r="P522" s="63"/>
      <c r="Q522" s="63"/>
      <c r="R522" s="100">
        <f t="shared" si="14"/>
        <v>2</v>
      </c>
      <c r="S522" s="100">
        <f t="shared" si="15"/>
        <v>-2</v>
      </c>
    </row>
    <row r="523" spans="1:27" ht="19.5" customHeight="1">
      <c r="A523" s="2">
        <v>514</v>
      </c>
      <c r="B523" s="77" t="s">
        <v>1522</v>
      </c>
      <c r="C523" s="4"/>
      <c r="D523" s="4"/>
      <c r="E523" s="77" t="s">
        <v>3098</v>
      </c>
      <c r="F523" s="5" t="s">
        <v>3099</v>
      </c>
      <c r="G523" s="5" t="s">
        <v>3100</v>
      </c>
      <c r="H523" s="5" t="s">
        <v>225</v>
      </c>
      <c r="I523" s="5" t="s">
        <v>10</v>
      </c>
      <c r="J523" s="5" t="s">
        <v>642</v>
      </c>
      <c r="K523" s="105">
        <v>1230</v>
      </c>
      <c r="L523" s="63"/>
      <c r="M523" s="63"/>
      <c r="N523" s="63"/>
      <c r="O523" s="63"/>
      <c r="P523" s="63"/>
      <c r="Q523" s="63"/>
      <c r="R523" s="100">
        <f t="shared" ref="R523:R586" si="16">L523+M523-O523</f>
        <v>0</v>
      </c>
      <c r="S523" s="100">
        <f t="shared" ref="S523:S586" si="17">Q523-R523</f>
        <v>0</v>
      </c>
      <c r="T523" s="37"/>
      <c r="U523" s="37"/>
      <c r="V523" s="37"/>
      <c r="W523" s="37"/>
      <c r="X523" s="37"/>
      <c r="Y523" s="37"/>
      <c r="Z523" s="37"/>
      <c r="AA523" s="37"/>
    </row>
    <row r="524" spans="1:27" ht="19.5" customHeight="1">
      <c r="A524" s="2">
        <v>515</v>
      </c>
      <c r="B524" s="67" t="s">
        <v>2507</v>
      </c>
      <c r="C524" s="4"/>
      <c r="D524" s="4"/>
      <c r="E524" s="11" t="s">
        <v>1950</v>
      </c>
      <c r="F524" s="2" t="s">
        <v>1952</v>
      </c>
      <c r="G524" s="2" t="s">
        <v>1953</v>
      </c>
      <c r="H524" s="2" t="s">
        <v>1951</v>
      </c>
      <c r="I524" s="2" t="s">
        <v>13</v>
      </c>
      <c r="J524" s="2" t="s">
        <v>1106</v>
      </c>
      <c r="K524" s="105">
        <v>2184</v>
      </c>
      <c r="L524" s="63">
        <v>12075</v>
      </c>
      <c r="M524" s="63"/>
      <c r="N524" s="63"/>
      <c r="O524" s="63"/>
      <c r="P524" s="63"/>
      <c r="Q524" s="63"/>
      <c r="R524" s="100">
        <f t="shared" si="16"/>
        <v>12075</v>
      </c>
      <c r="S524" s="100">
        <f t="shared" si="17"/>
        <v>-12075</v>
      </c>
    </row>
    <row r="525" spans="1:27" ht="19.5" customHeight="1">
      <c r="A525" s="2">
        <v>516</v>
      </c>
      <c r="B525" s="11" t="s">
        <v>3101</v>
      </c>
      <c r="C525" s="4"/>
      <c r="D525" s="4"/>
      <c r="E525" s="11" t="s">
        <v>2568</v>
      </c>
      <c r="F525" s="2" t="s">
        <v>3102</v>
      </c>
      <c r="G525" s="2" t="s">
        <v>3103</v>
      </c>
      <c r="H525" s="2" t="s">
        <v>759</v>
      </c>
      <c r="I525" s="2" t="s">
        <v>15</v>
      </c>
      <c r="J525" s="2" t="s">
        <v>3104</v>
      </c>
      <c r="K525" s="105">
        <v>6790</v>
      </c>
      <c r="L525" s="63">
        <v>317</v>
      </c>
      <c r="M525" s="63"/>
      <c r="N525" s="63"/>
      <c r="O525" s="63"/>
      <c r="P525" s="63"/>
      <c r="Q525" s="63"/>
      <c r="R525" s="100">
        <f t="shared" si="16"/>
        <v>317</v>
      </c>
      <c r="S525" s="100">
        <f t="shared" si="17"/>
        <v>-317</v>
      </c>
    </row>
    <row r="526" spans="1:27" ht="19.5" customHeight="1">
      <c r="A526" s="2">
        <v>517</v>
      </c>
      <c r="B526" s="11" t="s">
        <v>1109</v>
      </c>
      <c r="C526" s="4"/>
      <c r="D526" s="4"/>
      <c r="E526" s="11" t="s">
        <v>1349</v>
      </c>
      <c r="F526" s="2" t="s">
        <v>1351</v>
      </c>
      <c r="G526" s="2" t="s">
        <v>360</v>
      </c>
      <c r="H526" s="2" t="s">
        <v>310</v>
      </c>
      <c r="I526" s="2" t="s">
        <v>11</v>
      </c>
      <c r="J526" s="2" t="s">
        <v>1350</v>
      </c>
      <c r="K526" s="105">
        <v>312</v>
      </c>
      <c r="L526" s="63">
        <v>81</v>
      </c>
      <c r="M526" s="63"/>
      <c r="N526" s="63"/>
      <c r="O526" s="63"/>
      <c r="P526" s="63"/>
      <c r="Q526" s="63"/>
      <c r="R526" s="100">
        <f t="shared" si="16"/>
        <v>81</v>
      </c>
      <c r="S526" s="100">
        <f t="shared" si="17"/>
        <v>-81</v>
      </c>
    </row>
    <row r="527" spans="1:27" ht="19.5" customHeight="1">
      <c r="A527" s="2">
        <v>518</v>
      </c>
      <c r="B527" s="67" t="s">
        <v>893</v>
      </c>
      <c r="C527" s="4"/>
      <c r="D527" s="4"/>
      <c r="E527" s="67" t="s">
        <v>982</v>
      </c>
      <c r="F527" s="68" t="s">
        <v>896</v>
      </c>
      <c r="G527" s="68" t="s">
        <v>897</v>
      </c>
      <c r="H527" s="68" t="s">
        <v>894</v>
      </c>
      <c r="I527" s="68" t="s">
        <v>898</v>
      </c>
      <c r="J527" s="68" t="s">
        <v>895</v>
      </c>
      <c r="K527" s="105">
        <v>277000</v>
      </c>
      <c r="L527" s="63">
        <v>23</v>
      </c>
      <c r="M527" s="63"/>
      <c r="N527" s="63"/>
      <c r="O527" s="63"/>
      <c r="P527" s="63"/>
      <c r="Q527" s="63"/>
      <c r="R527" s="100">
        <f t="shared" si="16"/>
        <v>23</v>
      </c>
      <c r="S527" s="100">
        <f t="shared" si="17"/>
        <v>-23</v>
      </c>
    </row>
    <row r="528" spans="1:27" ht="19.5" customHeight="1">
      <c r="A528" s="2">
        <v>519</v>
      </c>
      <c r="B528" s="65" t="s">
        <v>622</v>
      </c>
      <c r="C528" s="11"/>
      <c r="D528" s="11"/>
      <c r="E528" s="65" t="s">
        <v>3105</v>
      </c>
      <c r="F528" s="2" t="s">
        <v>3106</v>
      </c>
      <c r="G528" s="2" t="s">
        <v>3107</v>
      </c>
      <c r="H528" s="66" t="s">
        <v>299</v>
      </c>
      <c r="I528" s="2" t="s">
        <v>11</v>
      </c>
      <c r="J528" s="2" t="s">
        <v>842</v>
      </c>
      <c r="K528" s="105">
        <v>2270</v>
      </c>
      <c r="L528" s="63">
        <v>210</v>
      </c>
      <c r="M528" s="63"/>
      <c r="N528" s="63"/>
      <c r="O528" s="63"/>
      <c r="P528" s="63"/>
      <c r="Q528" s="63"/>
      <c r="R528" s="100">
        <f t="shared" si="16"/>
        <v>210</v>
      </c>
      <c r="S528" s="100">
        <f t="shared" si="17"/>
        <v>-210</v>
      </c>
    </row>
    <row r="529" spans="1:19" ht="19.5" customHeight="1">
      <c r="A529" s="2">
        <v>520</v>
      </c>
      <c r="B529" s="11" t="s">
        <v>1352</v>
      </c>
      <c r="C529" s="4"/>
      <c r="D529" s="4"/>
      <c r="E529" s="11" t="s">
        <v>1798</v>
      </c>
      <c r="F529" s="2" t="s">
        <v>1799</v>
      </c>
      <c r="G529" s="2" t="s">
        <v>1797</v>
      </c>
      <c r="H529" s="2" t="s">
        <v>327</v>
      </c>
      <c r="I529" s="2" t="s">
        <v>11</v>
      </c>
      <c r="J529" s="2" t="s">
        <v>647</v>
      </c>
      <c r="K529" s="105">
        <v>5985</v>
      </c>
      <c r="L529" s="63">
        <v>0</v>
      </c>
      <c r="M529" s="63"/>
      <c r="N529" s="63"/>
      <c r="O529" s="63"/>
      <c r="P529" s="63"/>
      <c r="Q529" s="63"/>
      <c r="R529" s="100">
        <f t="shared" si="16"/>
        <v>0</v>
      </c>
      <c r="S529" s="100">
        <f t="shared" si="17"/>
        <v>0</v>
      </c>
    </row>
    <row r="530" spans="1:19" ht="19.5" customHeight="1">
      <c r="A530" s="2">
        <v>521</v>
      </c>
      <c r="B530" s="11" t="s">
        <v>2509</v>
      </c>
      <c r="C530" s="11"/>
      <c r="D530" s="11"/>
      <c r="E530" s="11" t="s">
        <v>2508</v>
      </c>
      <c r="F530" s="2" t="s">
        <v>420</v>
      </c>
      <c r="G530" s="2" t="s">
        <v>414</v>
      </c>
      <c r="H530" s="2" t="s">
        <v>2510</v>
      </c>
      <c r="I530" s="2" t="s">
        <v>520</v>
      </c>
      <c r="J530" s="2" t="s">
        <v>3108</v>
      </c>
      <c r="K530" s="105">
        <v>503</v>
      </c>
      <c r="L530" s="63">
        <v>630</v>
      </c>
      <c r="M530" s="63"/>
      <c r="N530" s="63"/>
      <c r="O530" s="63"/>
      <c r="P530" s="63"/>
      <c r="Q530" s="63"/>
      <c r="R530" s="100">
        <f t="shared" si="16"/>
        <v>630</v>
      </c>
      <c r="S530" s="100">
        <f t="shared" si="17"/>
        <v>-630</v>
      </c>
    </row>
    <row r="531" spans="1:19" ht="19.5" customHeight="1">
      <c r="A531" s="2">
        <v>522</v>
      </c>
      <c r="B531" s="67" t="s">
        <v>2294</v>
      </c>
      <c r="C531" s="4"/>
      <c r="D531" s="4"/>
      <c r="E531" s="11" t="s">
        <v>145</v>
      </c>
      <c r="F531" s="2" t="s">
        <v>2295</v>
      </c>
      <c r="G531" s="2" t="s">
        <v>2253</v>
      </c>
      <c r="H531" s="2" t="s">
        <v>147</v>
      </c>
      <c r="I531" s="2" t="s">
        <v>16</v>
      </c>
      <c r="J531" s="2" t="s">
        <v>2250</v>
      </c>
      <c r="K531" s="105">
        <v>1200</v>
      </c>
      <c r="L531" s="63">
        <v>19025</v>
      </c>
      <c r="M531" s="63"/>
      <c r="N531" s="63"/>
      <c r="O531" s="63"/>
      <c r="P531" s="63"/>
      <c r="Q531" s="63"/>
      <c r="R531" s="100">
        <f t="shared" si="16"/>
        <v>19025</v>
      </c>
      <c r="S531" s="100">
        <f t="shared" si="17"/>
        <v>-19025</v>
      </c>
    </row>
    <row r="532" spans="1:19" ht="19.5" customHeight="1">
      <c r="A532" s="2">
        <v>523</v>
      </c>
      <c r="B532" s="67" t="s">
        <v>376</v>
      </c>
      <c r="C532" s="4"/>
      <c r="D532" s="4"/>
      <c r="E532" s="11" t="s">
        <v>549</v>
      </c>
      <c r="F532" s="2" t="s">
        <v>551</v>
      </c>
      <c r="G532" s="2" t="s">
        <v>215</v>
      </c>
      <c r="H532" s="2" t="s">
        <v>550</v>
      </c>
      <c r="I532" s="2" t="s">
        <v>11</v>
      </c>
      <c r="J532" s="2" t="s">
        <v>538</v>
      </c>
      <c r="K532" s="105">
        <v>520</v>
      </c>
      <c r="L532" s="63">
        <v>828</v>
      </c>
      <c r="M532" s="63"/>
      <c r="N532" s="63"/>
      <c r="O532" s="63"/>
      <c r="P532" s="63"/>
      <c r="Q532" s="63"/>
      <c r="R532" s="100">
        <f t="shared" si="16"/>
        <v>828</v>
      </c>
      <c r="S532" s="100">
        <f t="shared" si="17"/>
        <v>-828</v>
      </c>
    </row>
    <row r="533" spans="1:19" ht="19.5" customHeight="1">
      <c r="A533" s="2">
        <v>524</v>
      </c>
      <c r="B533" s="67" t="s">
        <v>376</v>
      </c>
      <c r="C533" s="4"/>
      <c r="D533" s="4"/>
      <c r="E533" s="11" t="s">
        <v>552</v>
      </c>
      <c r="F533" s="2" t="s">
        <v>554</v>
      </c>
      <c r="G533" s="2" t="s">
        <v>215</v>
      </c>
      <c r="H533" s="2" t="s">
        <v>299</v>
      </c>
      <c r="I533" s="2" t="s">
        <v>11</v>
      </c>
      <c r="J533" s="2" t="s">
        <v>553</v>
      </c>
      <c r="K533" s="105">
        <v>435</v>
      </c>
      <c r="L533" s="63">
        <v>0</v>
      </c>
      <c r="M533" s="63"/>
      <c r="N533" s="63"/>
      <c r="O533" s="63"/>
      <c r="P533" s="63"/>
      <c r="Q533" s="63"/>
      <c r="R533" s="100">
        <f t="shared" si="16"/>
        <v>0</v>
      </c>
      <c r="S533" s="100">
        <f t="shared" si="17"/>
        <v>0</v>
      </c>
    </row>
    <row r="534" spans="1:19" ht="19.5" customHeight="1">
      <c r="A534" s="2">
        <v>525</v>
      </c>
      <c r="B534" s="67" t="s">
        <v>556</v>
      </c>
      <c r="C534" s="4"/>
      <c r="D534" s="4"/>
      <c r="E534" s="11" t="s">
        <v>1980</v>
      </c>
      <c r="F534" s="2" t="s">
        <v>1981</v>
      </c>
      <c r="G534" s="2" t="s">
        <v>1946</v>
      </c>
      <c r="H534" s="2" t="s">
        <v>238</v>
      </c>
      <c r="I534" s="2" t="s">
        <v>11</v>
      </c>
      <c r="J534" s="2" t="s">
        <v>842</v>
      </c>
      <c r="K534" s="105">
        <v>460</v>
      </c>
      <c r="L534" s="63">
        <v>3337</v>
      </c>
      <c r="M534" s="63"/>
      <c r="N534" s="63"/>
      <c r="O534" s="63"/>
      <c r="P534" s="63"/>
      <c r="Q534" s="63"/>
      <c r="R534" s="100">
        <f t="shared" si="16"/>
        <v>3337</v>
      </c>
      <c r="S534" s="100">
        <f t="shared" si="17"/>
        <v>-3337</v>
      </c>
    </row>
    <row r="535" spans="1:19" ht="19.5" customHeight="1">
      <c r="A535" s="2">
        <v>526</v>
      </c>
      <c r="B535" s="67" t="s">
        <v>649</v>
      </c>
      <c r="C535" s="4"/>
      <c r="D535" s="4"/>
      <c r="E535" s="11" t="s">
        <v>650</v>
      </c>
      <c r="F535" s="2" t="s">
        <v>652</v>
      </c>
      <c r="G535" s="2" t="s">
        <v>245</v>
      </c>
      <c r="H535" s="2" t="s">
        <v>651</v>
      </c>
      <c r="I535" s="2" t="s">
        <v>11</v>
      </c>
      <c r="J535" s="2" t="s">
        <v>547</v>
      </c>
      <c r="K535" s="105">
        <v>4200</v>
      </c>
      <c r="L535" s="63">
        <v>6657</v>
      </c>
      <c r="M535" s="63"/>
      <c r="N535" s="63"/>
      <c r="O535" s="63"/>
      <c r="P535" s="63"/>
      <c r="Q535" s="63"/>
      <c r="R535" s="100">
        <f t="shared" si="16"/>
        <v>6657</v>
      </c>
      <c r="S535" s="100">
        <f t="shared" si="17"/>
        <v>-6657</v>
      </c>
    </row>
    <row r="536" spans="1:19" ht="19.5" customHeight="1">
      <c r="A536" s="2">
        <v>527</v>
      </c>
      <c r="B536" s="64" t="s">
        <v>221</v>
      </c>
      <c r="C536" s="3"/>
      <c r="D536" s="3"/>
      <c r="E536" s="11" t="s">
        <v>221</v>
      </c>
      <c r="F536" s="2" t="s">
        <v>223</v>
      </c>
      <c r="G536" s="2" t="s">
        <v>215</v>
      </c>
      <c r="H536" s="2" t="s">
        <v>222</v>
      </c>
      <c r="I536" s="2" t="s">
        <v>10</v>
      </c>
      <c r="J536" s="2" t="s">
        <v>1329</v>
      </c>
      <c r="K536" s="105">
        <v>115</v>
      </c>
      <c r="L536" s="63">
        <v>500</v>
      </c>
      <c r="M536" s="63"/>
      <c r="N536" s="63"/>
      <c r="O536" s="63"/>
      <c r="P536" s="63"/>
      <c r="Q536" s="63"/>
      <c r="R536" s="100">
        <f t="shared" si="16"/>
        <v>500</v>
      </c>
      <c r="S536" s="100">
        <f t="shared" si="17"/>
        <v>-500</v>
      </c>
    </row>
    <row r="537" spans="1:19" ht="19.5" customHeight="1">
      <c r="A537" s="2">
        <v>528</v>
      </c>
      <c r="B537" s="64" t="s">
        <v>221</v>
      </c>
      <c r="C537" s="3"/>
      <c r="D537" s="3"/>
      <c r="E537" s="11" t="s">
        <v>221</v>
      </c>
      <c r="F537" s="2" t="s">
        <v>380</v>
      </c>
      <c r="G537" s="2" t="s">
        <v>360</v>
      </c>
      <c r="H537" s="2" t="s">
        <v>222</v>
      </c>
      <c r="I537" s="2" t="s">
        <v>10</v>
      </c>
      <c r="J537" s="2" t="s">
        <v>1329</v>
      </c>
      <c r="K537" s="105">
        <v>123</v>
      </c>
      <c r="L537" s="63">
        <v>0</v>
      </c>
      <c r="M537" s="63"/>
      <c r="N537" s="63"/>
      <c r="O537" s="63"/>
      <c r="P537" s="63"/>
      <c r="Q537" s="63"/>
      <c r="R537" s="100">
        <f t="shared" si="16"/>
        <v>0</v>
      </c>
      <c r="S537" s="100">
        <f t="shared" si="17"/>
        <v>0</v>
      </c>
    </row>
    <row r="538" spans="1:19" ht="19.5" customHeight="1">
      <c r="A538" s="2">
        <v>529</v>
      </c>
      <c r="B538" s="11" t="s">
        <v>221</v>
      </c>
      <c r="C538" s="11"/>
      <c r="D538" s="11"/>
      <c r="E538" s="11" t="s">
        <v>221</v>
      </c>
      <c r="F538" s="2" t="s">
        <v>3109</v>
      </c>
      <c r="G538" s="2" t="s">
        <v>360</v>
      </c>
      <c r="H538" s="2" t="s">
        <v>222</v>
      </c>
      <c r="I538" s="2" t="s">
        <v>10</v>
      </c>
      <c r="J538" s="2" t="s">
        <v>1329</v>
      </c>
      <c r="K538" s="105">
        <v>125</v>
      </c>
      <c r="L538" s="63">
        <v>15</v>
      </c>
      <c r="M538" s="63"/>
      <c r="N538" s="63"/>
      <c r="O538" s="63"/>
      <c r="P538" s="63"/>
      <c r="Q538" s="63"/>
      <c r="R538" s="100">
        <f t="shared" si="16"/>
        <v>15</v>
      </c>
      <c r="S538" s="100">
        <f t="shared" si="17"/>
        <v>-15</v>
      </c>
    </row>
    <row r="539" spans="1:19" ht="19.5" customHeight="1">
      <c r="A539" s="2">
        <v>530</v>
      </c>
      <c r="B539" s="11" t="s">
        <v>221</v>
      </c>
      <c r="C539" s="4"/>
      <c r="D539" s="4"/>
      <c r="E539" s="11" t="s">
        <v>221</v>
      </c>
      <c r="F539" s="2" t="s">
        <v>3109</v>
      </c>
      <c r="G539" s="2" t="s">
        <v>360</v>
      </c>
      <c r="H539" s="2" t="s">
        <v>222</v>
      </c>
      <c r="I539" s="2" t="s">
        <v>10</v>
      </c>
      <c r="J539" s="2" t="s">
        <v>1329</v>
      </c>
      <c r="K539" s="105">
        <v>144</v>
      </c>
      <c r="L539" s="63">
        <v>4</v>
      </c>
      <c r="M539" s="63"/>
      <c r="N539" s="63"/>
      <c r="O539" s="63"/>
      <c r="P539" s="63"/>
      <c r="Q539" s="63"/>
      <c r="R539" s="100">
        <f t="shared" si="16"/>
        <v>4</v>
      </c>
      <c r="S539" s="100">
        <f t="shared" si="17"/>
        <v>-4</v>
      </c>
    </row>
    <row r="540" spans="1:19" ht="19.5" customHeight="1">
      <c r="A540" s="2">
        <v>531</v>
      </c>
      <c r="B540" s="64" t="s">
        <v>474</v>
      </c>
      <c r="C540" s="3"/>
      <c r="D540" s="3"/>
      <c r="E540" s="11" t="s">
        <v>475</v>
      </c>
      <c r="F540" s="2" t="s">
        <v>476</v>
      </c>
      <c r="G540" s="2" t="s">
        <v>473</v>
      </c>
      <c r="H540" s="2" t="s">
        <v>238</v>
      </c>
      <c r="I540" s="2" t="s">
        <v>10</v>
      </c>
      <c r="J540" s="2" t="s">
        <v>642</v>
      </c>
      <c r="K540" s="105">
        <v>92</v>
      </c>
      <c r="L540" s="63">
        <v>27</v>
      </c>
      <c r="M540" s="63"/>
      <c r="N540" s="63"/>
      <c r="O540" s="63"/>
      <c r="P540" s="63"/>
      <c r="Q540" s="63"/>
      <c r="R540" s="100">
        <f t="shared" si="16"/>
        <v>27</v>
      </c>
      <c r="S540" s="100">
        <f t="shared" si="17"/>
        <v>-27</v>
      </c>
    </row>
    <row r="541" spans="1:19" ht="19.5" customHeight="1">
      <c r="A541" s="2">
        <v>532</v>
      </c>
      <c r="B541" s="11" t="s">
        <v>1488</v>
      </c>
      <c r="C541" s="4"/>
      <c r="D541" s="4"/>
      <c r="E541" s="11" t="s">
        <v>1489</v>
      </c>
      <c r="F541" s="2" t="s">
        <v>1490</v>
      </c>
      <c r="G541" s="2" t="s">
        <v>1485</v>
      </c>
      <c r="H541" s="2" t="s">
        <v>1173</v>
      </c>
      <c r="I541" s="2" t="s">
        <v>10</v>
      </c>
      <c r="J541" s="2" t="s">
        <v>623</v>
      </c>
      <c r="K541" s="105">
        <v>4925</v>
      </c>
      <c r="L541" s="63">
        <v>258</v>
      </c>
      <c r="M541" s="63"/>
      <c r="N541" s="63"/>
      <c r="O541" s="63"/>
      <c r="P541" s="63"/>
      <c r="Q541" s="63"/>
      <c r="R541" s="100">
        <f t="shared" si="16"/>
        <v>258</v>
      </c>
      <c r="S541" s="100">
        <f t="shared" si="17"/>
        <v>-258</v>
      </c>
    </row>
    <row r="542" spans="1:19" ht="19.5" customHeight="1">
      <c r="A542" s="2">
        <v>533</v>
      </c>
      <c r="B542" s="11" t="s">
        <v>474</v>
      </c>
      <c r="C542" s="11"/>
      <c r="D542" s="11"/>
      <c r="E542" s="11" t="s">
        <v>2511</v>
      </c>
      <c r="F542" s="2" t="s">
        <v>3110</v>
      </c>
      <c r="G542" s="2" t="s">
        <v>3111</v>
      </c>
      <c r="H542" s="2" t="s">
        <v>238</v>
      </c>
      <c r="I542" s="2" t="s">
        <v>11</v>
      </c>
      <c r="J542" s="2" t="s">
        <v>642</v>
      </c>
      <c r="K542" s="105">
        <v>2394</v>
      </c>
      <c r="L542" s="63">
        <v>417</v>
      </c>
      <c r="M542" s="63"/>
      <c r="N542" s="63"/>
      <c r="O542" s="63"/>
      <c r="P542" s="63"/>
      <c r="Q542" s="63"/>
      <c r="R542" s="100">
        <f t="shared" si="16"/>
        <v>417</v>
      </c>
      <c r="S542" s="100">
        <f t="shared" si="17"/>
        <v>-417</v>
      </c>
    </row>
    <row r="543" spans="1:19" ht="19.5" customHeight="1">
      <c r="A543" s="2">
        <v>534</v>
      </c>
      <c r="B543" s="11" t="s">
        <v>3112</v>
      </c>
      <c r="C543" s="11"/>
      <c r="D543" s="11"/>
      <c r="E543" s="11" t="s">
        <v>2512</v>
      </c>
      <c r="F543" s="2" t="s">
        <v>3113</v>
      </c>
      <c r="G543" s="2" t="s">
        <v>3114</v>
      </c>
      <c r="H543" s="2" t="s">
        <v>258</v>
      </c>
      <c r="I543" s="2" t="s">
        <v>11</v>
      </c>
      <c r="J543" s="2" t="s">
        <v>1736</v>
      </c>
      <c r="K543" s="105">
        <v>9450</v>
      </c>
      <c r="L543" s="63">
        <v>0</v>
      </c>
      <c r="M543" s="63"/>
      <c r="N543" s="63"/>
      <c r="O543" s="63"/>
      <c r="P543" s="63"/>
      <c r="Q543" s="63"/>
      <c r="R543" s="100">
        <f t="shared" si="16"/>
        <v>0</v>
      </c>
      <c r="S543" s="100">
        <f t="shared" si="17"/>
        <v>0</v>
      </c>
    </row>
    <row r="544" spans="1:19" ht="19.5" customHeight="1">
      <c r="A544" s="2">
        <v>535</v>
      </c>
      <c r="B544" s="11" t="s">
        <v>645</v>
      </c>
      <c r="C544" s="4"/>
      <c r="D544" s="4"/>
      <c r="E544" s="11" t="s">
        <v>645</v>
      </c>
      <c r="F544" s="2" t="s">
        <v>1355</v>
      </c>
      <c r="G544" s="2" t="s">
        <v>360</v>
      </c>
      <c r="H544" s="2" t="s">
        <v>291</v>
      </c>
      <c r="I544" s="2" t="s">
        <v>11</v>
      </c>
      <c r="J544" s="2" t="s">
        <v>647</v>
      </c>
      <c r="K544" s="105">
        <v>232</v>
      </c>
      <c r="L544" s="63">
        <v>27</v>
      </c>
      <c r="M544" s="63"/>
      <c r="N544" s="63"/>
      <c r="O544" s="63"/>
      <c r="P544" s="63"/>
      <c r="Q544" s="63"/>
      <c r="R544" s="100">
        <f t="shared" si="16"/>
        <v>27</v>
      </c>
      <c r="S544" s="100">
        <f t="shared" si="17"/>
        <v>-27</v>
      </c>
    </row>
    <row r="545" spans="1:27" ht="19.5" customHeight="1">
      <c r="A545" s="2">
        <v>536</v>
      </c>
      <c r="B545" s="67" t="s">
        <v>645</v>
      </c>
      <c r="C545" s="4"/>
      <c r="D545" s="4"/>
      <c r="E545" s="11" t="s">
        <v>646</v>
      </c>
      <c r="F545" s="2" t="s">
        <v>648</v>
      </c>
      <c r="G545" s="2" t="s">
        <v>644</v>
      </c>
      <c r="H545" s="2" t="s">
        <v>248</v>
      </c>
      <c r="I545" s="2" t="s">
        <v>10</v>
      </c>
      <c r="J545" s="2" t="s">
        <v>647</v>
      </c>
      <c r="K545" s="105">
        <v>225</v>
      </c>
      <c r="L545" s="63">
        <v>1816</v>
      </c>
      <c r="M545" s="63"/>
      <c r="N545" s="63"/>
      <c r="O545" s="63"/>
      <c r="P545" s="63"/>
      <c r="Q545" s="63"/>
      <c r="R545" s="100">
        <f t="shared" si="16"/>
        <v>1816</v>
      </c>
      <c r="S545" s="100">
        <f t="shared" si="17"/>
        <v>-1816</v>
      </c>
    </row>
    <row r="546" spans="1:27" ht="19.5" customHeight="1">
      <c r="A546" s="2">
        <v>537</v>
      </c>
      <c r="B546" s="65" t="s">
        <v>645</v>
      </c>
      <c r="C546" s="11"/>
      <c r="D546" s="11"/>
      <c r="E546" s="65" t="s">
        <v>646</v>
      </c>
      <c r="F546" s="2" t="s">
        <v>648</v>
      </c>
      <c r="G546" s="2" t="s">
        <v>3115</v>
      </c>
      <c r="H546" s="66" t="s">
        <v>248</v>
      </c>
      <c r="I546" s="2" t="s">
        <v>10</v>
      </c>
      <c r="J546" s="2" t="s">
        <v>647</v>
      </c>
      <c r="K546" s="105">
        <v>259</v>
      </c>
      <c r="L546" s="63">
        <v>17</v>
      </c>
      <c r="M546" s="63"/>
      <c r="N546" s="63"/>
      <c r="O546" s="63"/>
      <c r="P546" s="63"/>
      <c r="Q546" s="63"/>
      <c r="R546" s="100">
        <f t="shared" si="16"/>
        <v>17</v>
      </c>
      <c r="S546" s="100">
        <f t="shared" si="17"/>
        <v>-17</v>
      </c>
    </row>
    <row r="547" spans="1:27" ht="19.5" customHeight="1">
      <c r="A547" s="2">
        <v>538</v>
      </c>
      <c r="B547" s="77" t="s">
        <v>645</v>
      </c>
      <c r="C547" s="4"/>
      <c r="D547" s="4"/>
      <c r="E547" s="77" t="s">
        <v>3116</v>
      </c>
      <c r="F547" s="5" t="s">
        <v>3117</v>
      </c>
      <c r="G547" s="5" t="s">
        <v>2757</v>
      </c>
      <c r="H547" s="5" t="s">
        <v>291</v>
      </c>
      <c r="I547" s="5" t="s">
        <v>10</v>
      </c>
      <c r="J547" s="5" t="s">
        <v>642</v>
      </c>
      <c r="K547" s="105">
        <v>1000</v>
      </c>
      <c r="L547" s="63"/>
      <c r="M547" s="63"/>
      <c r="N547" s="63"/>
      <c r="O547" s="63"/>
      <c r="P547" s="63"/>
      <c r="Q547" s="63"/>
      <c r="R547" s="100">
        <f t="shared" si="16"/>
        <v>0</v>
      </c>
      <c r="S547" s="100">
        <f t="shared" si="17"/>
        <v>0</v>
      </c>
      <c r="T547" s="37"/>
      <c r="U547" s="37"/>
      <c r="V547" s="37"/>
      <c r="W547" s="37"/>
      <c r="X547" s="37"/>
      <c r="Y547" s="37"/>
      <c r="Z547" s="37"/>
      <c r="AA547" s="37"/>
    </row>
    <row r="548" spans="1:27" ht="19.5" customHeight="1">
      <c r="A548" s="2">
        <v>539</v>
      </c>
      <c r="B548" s="11" t="s">
        <v>645</v>
      </c>
      <c r="C548" s="4"/>
      <c r="D548" s="4"/>
      <c r="E548" s="11" t="s">
        <v>1286</v>
      </c>
      <c r="F548" s="2" t="s">
        <v>1287</v>
      </c>
      <c r="G548" s="2" t="s">
        <v>1288</v>
      </c>
      <c r="H548" s="2" t="s">
        <v>248</v>
      </c>
      <c r="I548" s="2" t="s">
        <v>10</v>
      </c>
      <c r="J548" s="2" t="s">
        <v>647</v>
      </c>
      <c r="K548" s="105">
        <v>750</v>
      </c>
      <c r="L548" s="63">
        <v>14723</v>
      </c>
      <c r="M548" s="63"/>
      <c r="N548" s="63"/>
      <c r="O548" s="63"/>
      <c r="P548" s="63"/>
      <c r="Q548" s="63"/>
      <c r="R548" s="100">
        <f t="shared" si="16"/>
        <v>14723</v>
      </c>
      <c r="S548" s="100">
        <f t="shared" si="17"/>
        <v>-14723</v>
      </c>
    </row>
    <row r="549" spans="1:27" ht="19.5" customHeight="1">
      <c r="A549" s="2">
        <v>540</v>
      </c>
      <c r="B549" s="11" t="s">
        <v>256</v>
      </c>
      <c r="C549" s="4"/>
      <c r="D549" s="4"/>
      <c r="E549" s="11" t="s">
        <v>1274</v>
      </c>
      <c r="F549" s="2" t="s">
        <v>1275</v>
      </c>
      <c r="G549" s="2" t="s">
        <v>1276</v>
      </c>
      <c r="H549" s="2" t="s">
        <v>296</v>
      </c>
      <c r="I549" s="2" t="s">
        <v>12</v>
      </c>
      <c r="J549" s="2" t="s">
        <v>1267</v>
      </c>
      <c r="K549" s="105">
        <v>6800</v>
      </c>
      <c r="L549" s="63">
        <v>0</v>
      </c>
      <c r="M549" s="63"/>
      <c r="N549" s="63"/>
      <c r="O549" s="63"/>
      <c r="P549" s="63"/>
      <c r="Q549" s="63"/>
      <c r="R549" s="100">
        <f t="shared" si="16"/>
        <v>0</v>
      </c>
      <c r="S549" s="100">
        <f t="shared" si="17"/>
        <v>0</v>
      </c>
    </row>
    <row r="550" spans="1:27" ht="19.5" customHeight="1">
      <c r="A550" s="2">
        <v>541</v>
      </c>
      <c r="B550" s="67" t="s">
        <v>886</v>
      </c>
      <c r="C550" s="11"/>
      <c r="D550" s="11"/>
      <c r="E550" s="67" t="s">
        <v>887</v>
      </c>
      <c r="F550" s="68" t="s">
        <v>890</v>
      </c>
      <c r="G550" s="68" t="s">
        <v>298</v>
      </c>
      <c r="H550" s="68" t="s">
        <v>888</v>
      </c>
      <c r="I550" s="68" t="s">
        <v>891</v>
      </c>
      <c r="J550" s="68" t="s">
        <v>889</v>
      </c>
      <c r="K550" s="105">
        <v>113163</v>
      </c>
      <c r="L550" s="63">
        <v>0</v>
      </c>
      <c r="M550" s="63"/>
      <c r="N550" s="63"/>
      <c r="O550" s="63"/>
      <c r="P550" s="63"/>
      <c r="Q550" s="63"/>
      <c r="R550" s="100">
        <f t="shared" si="16"/>
        <v>0</v>
      </c>
      <c r="S550" s="100">
        <f t="shared" si="17"/>
        <v>0</v>
      </c>
    </row>
    <row r="551" spans="1:27" ht="19.5" customHeight="1">
      <c r="A551" s="2">
        <v>542</v>
      </c>
      <c r="B551" s="65" t="s">
        <v>2513</v>
      </c>
      <c r="C551" s="11"/>
      <c r="D551" s="11"/>
      <c r="E551" s="65" t="s">
        <v>3118</v>
      </c>
      <c r="F551" s="2" t="s">
        <v>3119</v>
      </c>
      <c r="G551" s="2" t="s">
        <v>298</v>
      </c>
      <c r="H551" s="66" t="s">
        <v>2514</v>
      </c>
      <c r="I551" s="2" t="s">
        <v>891</v>
      </c>
      <c r="J551" s="2" t="s">
        <v>3120</v>
      </c>
      <c r="K551" s="105">
        <v>85381</v>
      </c>
      <c r="L551" s="63">
        <v>13</v>
      </c>
      <c r="M551" s="63"/>
      <c r="N551" s="63"/>
      <c r="O551" s="63"/>
      <c r="P551" s="63"/>
      <c r="Q551" s="63"/>
      <c r="R551" s="100">
        <f t="shared" si="16"/>
        <v>13</v>
      </c>
      <c r="S551" s="100">
        <f t="shared" si="17"/>
        <v>-13</v>
      </c>
    </row>
    <row r="552" spans="1:27" ht="19.5" customHeight="1">
      <c r="A552" s="2">
        <v>543</v>
      </c>
      <c r="B552" s="11" t="s">
        <v>1668</v>
      </c>
      <c r="C552" s="4"/>
      <c r="D552" s="4"/>
      <c r="E552" s="11" t="s">
        <v>1669</v>
      </c>
      <c r="F552" s="17" t="s">
        <v>1670</v>
      </c>
      <c r="G552" s="2" t="s">
        <v>1667</v>
      </c>
      <c r="H552" s="2" t="s">
        <v>869</v>
      </c>
      <c r="I552" s="13" t="s">
        <v>1011</v>
      </c>
      <c r="J552" s="2" t="s">
        <v>547</v>
      </c>
      <c r="K552" s="105">
        <v>1280</v>
      </c>
      <c r="L552" s="63">
        <v>6981</v>
      </c>
      <c r="M552" s="63"/>
      <c r="N552" s="63"/>
      <c r="O552" s="63"/>
      <c r="P552" s="63"/>
      <c r="Q552" s="63"/>
      <c r="R552" s="100">
        <f t="shared" si="16"/>
        <v>6981</v>
      </c>
      <c r="S552" s="100">
        <f t="shared" si="17"/>
        <v>-6981</v>
      </c>
    </row>
    <row r="553" spans="1:27" ht="19.5" customHeight="1">
      <c r="A553" s="2">
        <v>544</v>
      </c>
      <c r="B553" s="11" t="s">
        <v>2350</v>
      </c>
      <c r="C553" s="4"/>
      <c r="D553" s="4"/>
      <c r="E553" s="11" t="s">
        <v>148</v>
      </c>
      <c r="F553" s="89" t="s">
        <v>2398</v>
      </c>
      <c r="G553" s="2" t="s">
        <v>2397</v>
      </c>
      <c r="H553" s="93" t="s">
        <v>3121</v>
      </c>
      <c r="I553" s="2" t="s">
        <v>10</v>
      </c>
      <c r="J553" s="2" t="s">
        <v>620</v>
      </c>
      <c r="K553" s="105">
        <v>595</v>
      </c>
      <c r="L553" s="63">
        <v>21980</v>
      </c>
      <c r="M553" s="63"/>
      <c r="N553" s="63"/>
      <c r="O553" s="63"/>
      <c r="P553" s="63"/>
      <c r="Q553" s="63"/>
      <c r="R553" s="100">
        <f t="shared" si="16"/>
        <v>21980</v>
      </c>
      <c r="S553" s="100">
        <f t="shared" si="17"/>
        <v>-21980</v>
      </c>
    </row>
    <row r="554" spans="1:27" ht="19.5" customHeight="1">
      <c r="A554" s="2">
        <v>545</v>
      </c>
      <c r="B554" s="77" t="s">
        <v>3122</v>
      </c>
      <c r="C554" s="4"/>
      <c r="D554" s="4"/>
      <c r="E554" s="77" t="s">
        <v>3123</v>
      </c>
      <c r="F554" s="5" t="s">
        <v>3124</v>
      </c>
      <c r="G554" s="5" t="s">
        <v>3125</v>
      </c>
      <c r="H554" s="5" t="s">
        <v>3126</v>
      </c>
      <c r="I554" s="5" t="s">
        <v>10</v>
      </c>
      <c r="J554" s="5" t="s">
        <v>263</v>
      </c>
      <c r="K554" s="105">
        <v>730</v>
      </c>
      <c r="L554" s="63"/>
      <c r="M554" s="63"/>
      <c r="N554" s="63"/>
      <c r="O554" s="63"/>
      <c r="P554" s="63"/>
      <c r="Q554" s="63"/>
      <c r="R554" s="100">
        <f t="shared" si="16"/>
        <v>0</v>
      </c>
      <c r="S554" s="100">
        <f t="shared" si="17"/>
        <v>0</v>
      </c>
      <c r="T554" s="37"/>
      <c r="U554" s="37"/>
      <c r="V554" s="37"/>
      <c r="W554" s="37"/>
      <c r="X554" s="37"/>
      <c r="Y554" s="37"/>
      <c r="Z554" s="37"/>
      <c r="AA554" s="37"/>
    </row>
    <row r="555" spans="1:27" ht="19.5" customHeight="1">
      <c r="A555" s="2">
        <v>546</v>
      </c>
      <c r="B555" s="11" t="s">
        <v>1123</v>
      </c>
      <c r="C555" s="4"/>
      <c r="D555" s="4"/>
      <c r="E555" s="11" t="s">
        <v>1547</v>
      </c>
      <c r="F555" s="2" t="s">
        <v>1549</v>
      </c>
      <c r="G555" s="2" t="s">
        <v>3127</v>
      </c>
      <c r="H555" s="2" t="s">
        <v>310</v>
      </c>
      <c r="I555" s="2" t="s">
        <v>10</v>
      </c>
      <c r="J555" s="2" t="s">
        <v>1548</v>
      </c>
      <c r="K555" s="105">
        <v>3780</v>
      </c>
      <c r="L555" s="63">
        <v>0</v>
      </c>
      <c r="M555" s="63"/>
      <c r="N555" s="63"/>
      <c r="O555" s="63"/>
      <c r="P555" s="63"/>
      <c r="Q555" s="63"/>
      <c r="R555" s="100">
        <f t="shared" si="16"/>
        <v>0</v>
      </c>
      <c r="S555" s="100">
        <f t="shared" si="17"/>
        <v>0</v>
      </c>
    </row>
    <row r="556" spans="1:27" ht="19.5" customHeight="1">
      <c r="A556" s="2">
        <v>547</v>
      </c>
      <c r="B556" s="11" t="s">
        <v>1123</v>
      </c>
      <c r="C556" s="11"/>
      <c r="D556" s="11"/>
      <c r="E556" s="11" t="s">
        <v>1547</v>
      </c>
      <c r="F556" s="2" t="s">
        <v>3128</v>
      </c>
      <c r="G556" s="2" t="s">
        <v>3127</v>
      </c>
      <c r="H556" s="2" t="s">
        <v>310</v>
      </c>
      <c r="I556" s="2" t="s">
        <v>10</v>
      </c>
      <c r="J556" s="2" t="s">
        <v>1548</v>
      </c>
      <c r="K556" s="105">
        <v>4095</v>
      </c>
      <c r="L556" s="63">
        <v>46</v>
      </c>
      <c r="M556" s="63"/>
      <c r="N556" s="63"/>
      <c r="O556" s="63"/>
      <c r="P556" s="63"/>
      <c r="Q556" s="63"/>
      <c r="R556" s="100">
        <f t="shared" si="16"/>
        <v>46</v>
      </c>
      <c r="S556" s="100">
        <f t="shared" si="17"/>
        <v>-46</v>
      </c>
    </row>
    <row r="557" spans="1:27" ht="19.5" customHeight="1">
      <c r="A557" s="2">
        <v>548</v>
      </c>
      <c r="B557" s="11" t="s">
        <v>1636</v>
      </c>
      <c r="C557" s="4"/>
      <c r="D557" s="4"/>
      <c r="E557" s="11" t="s">
        <v>1637</v>
      </c>
      <c r="F557" s="2" t="s">
        <v>1639</v>
      </c>
      <c r="G557" s="2" t="s">
        <v>473</v>
      </c>
      <c r="H557" s="2" t="s">
        <v>1638</v>
      </c>
      <c r="I557" s="2" t="s">
        <v>11</v>
      </c>
      <c r="J557" s="2" t="s">
        <v>2700</v>
      </c>
      <c r="K557" s="105">
        <v>100</v>
      </c>
      <c r="L557" s="63">
        <v>21274</v>
      </c>
      <c r="M557" s="63"/>
      <c r="N557" s="63"/>
      <c r="O557" s="63"/>
      <c r="P557" s="63"/>
      <c r="Q557" s="63"/>
      <c r="R557" s="100">
        <f t="shared" si="16"/>
        <v>21274</v>
      </c>
      <c r="S557" s="100">
        <f t="shared" si="17"/>
        <v>-21274</v>
      </c>
    </row>
    <row r="558" spans="1:27" ht="19.5" customHeight="1">
      <c r="A558" s="2">
        <v>549</v>
      </c>
      <c r="B558" s="65" t="s">
        <v>2612</v>
      </c>
      <c r="C558" s="11"/>
      <c r="D558" s="11"/>
      <c r="E558" s="65" t="s">
        <v>3129</v>
      </c>
      <c r="F558" s="2" t="s">
        <v>3130</v>
      </c>
      <c r="G558" s="2" t="s">
        <v>2056</v>
      </c>
      <c r="H558" s="66" t="s">
        <v>2613</v>
      </c>
      <c r="I558" s="2" t="s">
        <v>520</v>
      </c>
      <c r="J558" s="2" t="s">
        <v>3131</v>
      </c>
      <c r="K558" s="105">
        <v>6600</v>
      </c>
      <c r="L558" s="63">
        <v>0</v>
      </c>
      <c r="M558" s="63"/>
      <c r="N558" s="63"/>
      <c r="O558" s="63"/>
      <c r="P558" s="63"/>
      <c r="Q558" s="63"/>
      <c r="R558" s="100">
        <f t="shared" si="16"/>
        <v>0</v>
      </c>
      <c r="S558" s="100">
        <f t="shared" si="17"/>
        <v>0</v>
      </c>
    </row>
    <row r="559" spans="1:27" ht="19.5" customHeight="1">
      <c r="A559" s="2">
        <v>550</v>
      </c>
      <c r="B559" s="11" t="s">
        <v>2516</v>
      </c>
      <c r="C559" s="11"/>
      <c r="D559" s="11"/>
      <c r="E559" s="11" t="s">
        <v>2515</v>
      </c>
      <c r="F559" s="2" t="s">
        <v>3132</v>
      </c>
      <c r="G559" s="2" t="s">
        <v>3133</v>
      </c>
      <c r="H559" s="2" t="s">
        <v>2517</v>
      </c>
      <c r="I559" s="2" t="s">
        <v>15</v>
      </c>
      <c r="J559" s="2" t="s">
        <v>3131</v>
      </c>
      <c r="K559" s="105">
        <v>17010</v>
      </c>
      <c r="L559" s="63">
        <v>90</v>
      </c>
      <c r="M559" s="63"/>
      <c r="N559" s="63"/>
      <c r="O559" s="63"/>
      <c r="P559" s="63"/>
      <c r="Q559" s="63"/>
      <c r="R559" s="100">
        <f t="shared" si="16"/>
        <v>90</v>
      </c>
      <c r="S559" s="100">
        <f t="shared" si="17"/>
        <v>-90</v>
      </c>
    </row>
    <row r="560" spans="1:27" ht="19.5" customHeight="1">
      <c r="A560" s="2">
        <v>551</v>
      </c>
      <c r="B560" s="65" t="s">
        <v>1697</v>
      </c>
      <c r="C560" s="11"/>
      <c r="D560" s="11"/>
      <c r="E560" s="65" t="s">
        <v>3134</v>
      </c>
      <c r="F560" s="2" t="s">
        <v>3135</v>
      </c>
      <c r="G560" s="2" t="s">
        <v>3136</v>
      </c>
      <c r="H560" s="66" t="s">
        <v>2518</v>
      </c>
      <c r="I560" s="2" t="s">
        <v>11</v>
      </c>
      <c r="J560" s="2" t="s">
        <v>3137</v>
      </c>
      <c r="K560" s="105">
        <v>415</v>
      </c>
      <c r="L560" s="63">
        <v>3</v>
      </c>
      <c r="M560" s="63"/>
      <c r="N560" s="63"/>
      <c r="O560" s="63"/>
      <c r="P560" s="63"/>
      <c r="Q560" s="63"/>
      <c r="R560" s="100">
        <f t="shared" si="16"/>
        <v>3</v>
      </c>
      <c r="S560" s="100">
        <f t="shared" si="17"/>
        <v>-3</v>
      </c>
    </row>
    <row r="561" spans="1:27" ht="19.5" customHeight="1">
      <c r="A561" s="2">
        <v>552</v>
      </c>
      <c r="B561" s="65" t="s">
        <v>52</v>
      </c>
      <c r="C561" s="11"/>
      <c r="D561" s="11"/>
      <c r="E561" s="65" t="s">
        <v>3138</v>
      </c>
      <c r="F561" s="2" t="s">
        <v>2238</v>
      </c>
      <c r="G561" s="2" t="s">
        <v>3139</v>
      </c>
      <c r="H561" s="66" t="s">
        <v>3140</v>
      </c>
      <c r="I561" s="2" t="s">
        <v>18</v>
      </c>
      <c r="J561" s="2" t="s">
        <v>2775</v>
      </c>
      <c r="K561" s="105">
        <v>46200</v>
      </c>
      <c r="L561" s="63">
        <v>0</v>
      </c>
      <c r="M561" s="63"/>
      <c r="N561" s="63"/>
      <c r="O561" s="63"/>
      <c r="P561" s="63"/>
      <c r="Q561" s="63"/>
      <c r="R561" s="100">
        <f t="shared" si="16"/>
        <v>0</v>
      </c>
      <c r="S561" s="100">
        <f t="shared" si="17"/>
        <v>0</v>
      </c>
    </row>
    <row r="562" spans="1:27" ht="19.5" customHeight="1">
      <c r="A562" s="2">
        <v>553</v>
      </c>
      <c r="B562" s="77" t="s">
        <v>1390</v>
      </c>
      <c r="C562" s="4"/>
      <c r="D562" s="4"/>
      <c r="E562" s="77" t="s">
        <v>3141</v>
      </c>
      <c r="F562" s="5" t="s">
        <v>3142</v>
      </c>
      <c r="G562" s="5" t="s">
        <v>3143</v>
      </c>
      <c r="H562" s="5" t="s">
        <v>3144</v>
      </c>
      <c r="I562" s="5" t="s">
        <v>10</v>
      </c>
      <c r="J562" s="5" t="s">
        <v>3145</v>
      </c>
      <c r="K562" s="105">
        <v>735</v>
      </c>
      <c r="L562" s="63"/>
      <c r="M562" s="63"/>
      <c r="N562" s="63"/>
      <c r="O562" s="63"/>
      <c r="P562" s="63"/>
      <c r="Q562" s="63"/>
      <c r="R562" s="100">
        <f t="shared" si="16"/>
        <v>0</v>
      </c>
      <c r="S562" s="100">
        <f t="shared" si="17"/>
        <v>0</v>
      </c>
      <c r="T562" s="37"/>
      <c r="U562" s="37"/>
      <c r="V562" s="37"/>
      <c r="W562" s="37"/>
      <c r="X562" s="37"/>
      <c r="Y562" s="37"/>
      <c r="Z562" s="37"/>
      <c r="AA562" s="37"/>
    </row>
    <row r="563" spans="1:27" ht="19.5" customHeight="1">
      <c r="A563" s="2">
        <v>554</v>
      </c>
      <c r="B563" s="77" t="s">
        <v>1289</v>
      </c>
      <c r="C563" s="4"/>
      <c r="D563" s="4"/>
      <c r="E563" s="77" t="s">
        <v>3146</v>
      </c>
      <c r="F563" s="5" t="s">
        <v>3147</v>
      </c>
      <c r="G563" s="5" t="s">
        <v>2685</v>
      </c>
      <c r="H563" s="5" t="s">
        <v>1290</v>
      </c>
      <c r="I563" s="5" t="s">
        <v>10</v>
      </c>
      <c r="J563" s="5" t="s">
        <v>3145</v>
      </c>
      <c r="K563" s="105">
        <v>1950</v>
      </c>
      <c r="L563" s="63"/>
      <c r="M563" s="63"/>
      <c r="N563" s="63"/>
      <c r="O563" s="63"/>
      <c r="P563" s="63"/>
      <c r="Q563" s="63"/>
      <c r="R563" s="100">
        <f t="shared" si="16"/>
        <v>0</v>
      </c>
      <c r="S563" s="100">
        <f t="shared" si="17"/>
        <v>0</v>
      </c>
      <c r="T563" s="37"/>
      <c r="U563" s="37"/>
      <c r="V563" s="37"/>
      <c r="W563" s="37"/>
      <c r="X563" s="37"/>
      <c r="Y563" s="37"/>
      <c r="Z563" s="37"/>
      <c r="AA563" s="37"/>
    </row>
    <row r="564" spans="1:27" ht="19.5" customHeight="1">
      <c r="A564" s="2">
        <v>555</v>
      </c>
      <c r="B564" s="64" t="s">
        <v>224</v>
      </c>
      <c r="C564" s="3"/>
      <c r="D564" s="3"/>
      <c r="E564" s="64" t="s">
        <v>224</v>
      </c>
      <c r="F564" s="2" t="s">
        <v>226</v>
      </c>
      <c r="G564" s="2" t="s">
        <v>215</v>
      </c>
      <c r="H564" s="2" t="s">
        <v>225</v>
      </c>
      <c r="I564" s="2" t="s">
        <v>10</v>
      </c>
      <c r="J564" s="2" t="s">
        <v>647</v>
      </c>
      <c r="K564" s="105">
        <v>1450</v>
      </c>
      <c r="L564" s="63">
        <v>470</v>
      </c>
      <c r="M564" s="63"/>
      <c r="N564" s="63"/>
      <c r="O564" s="63"/>
      <c r="P564" s="63"/>
      <c r="Q564" s="63"/>
      <c r="R564" s="100">
        <f t="shared" si="16"/>
        <v>470</v>
      </c>
      <c r="S564" s="100">
        <f t="shared" si="17"/>
        <v>-470</v>
      </c>
    </row>
    <row r="565" spans="1:27" ht="19.5" customHeight="1">
      <c r="A565" s="2">
        <v>556</v>
      </c>
      <c r="B565" s="11" t="s">
        <v>224</v>
      </c>
      <c r="C565" s="11"/>
      <c r="D565" s="11"/>
      <c r="E565" s="11" t="s">
        <v>3148</v>
      </c>
      <c r="F565" s="2" t="s">
        <v>3149</v>
      </c>
      <c r="G565" s="2" t="s">
        <v>449</v>
      </c>
      <c r="H565" s="2" t="s">
        <v>225</v>
      </c>
      <c r="I565" s="2" t="s">
        <v>11</v>
      </c>
      <c r="J565" s="2" t="s">
        <v>842</v>
      </c>
      <c r="K565" s="105">
        <v>1492</v>
      </c>
      <c r="L565" s="63">
        <v>0</v>
      </c>
      <c r="M565" s="63"/>
      <c r="N565" s="63"/>
      <c r="O565" s="63"/>
      <c r="P565" s="63"/>
      <c r="Q565" s="63"/>
      <c r="R565" s="100">
        <f t="shared" si="16"/>
        <v>0</v>
      </c>
      <c r="S565" s="100">
        <f t="shared" si="17"/>
        <v>0</v>
      </c>
    </row>
    <row r="566" spans="1:27" ht="19.5" customHeight="1">
      <c r="A566" s="2">
        <v>557</v>
      </c>
      <c r="B566" s="65" t="s">
        <v>1119</v>
      </c>
      <c r="C566" s="11"/>
      <c r="D566" s="11"/>
      <c r="E566" s="65" t="s">
        <v>1120</v>
      </c>
      <c r="F566" s="2" t="s">
        <v>1121</v>
      </c>
      <c r="G566" s="2" t="s">
        <v>1122</v>
      </c>
      <c r="H566" s="66" t="s">
        <v>17</v>
      </c>
      <c r="I566" s="2" t="s">
        <v>11</v>
      </c>
      <c r="J566" s="2" t="s">
        <v>814</v>
      </c>
      <c r="K566" s="105">
        <v>6700</v>
      </c>
      <c r="L566" s="63">
        <v>10289</v>
      </c>
      <c r="M566" s="63"/>
      <c r="N566" s="63"/>
      <c r="O566" s="63"/>
      <c r="P566" s="63"/>
      <c r="Q566" s="63"/>
      <c r="R566" s="100">
        <f t="shared" si="16"/>
        <v>10289</v>
      </c>
      <c r="S566" s="100">
        <f t="shared" si="17"/>
        <v>-10289</v>
      </c>
    </row>
    <row r="567" spans="1:27" ht="19.5" customHeight="1">
      <c r="A567" s="2">
        <v>558</v>
      </c>
      <c r="B567" s="71" t="s">
        <v>1522</v>
      </c>
      <c r="C567" s="72"/>
      <c r="D567" s="72"/>
      <c r="E567" s="71" t="s">
        <v>1711</v>
      </c>
      <c r="F567" s="73" t="s">
        <v>1712</v>
      </c>
      <c r="G567" s="73" t="s">
        <v>1698</v>
      </c>
      <c r="H567" s="73" t="s">
        <v>17</v>
      </c>
      <c r="I567" s="73" t="s">
        <v>10</v>
      </c>
      <c r="J567" s="73" t="s">
        <v>1710</v>
      </c>
      <c r="K567" s="105">
        <v>1407</v>
      </c>
      <c r="L567" s="63">
        <v>15389</v>
      </c>
      <c r="M567" s="63"/>
      <c r="N567" s="63"/>
      <c r="O567" s="63"/>
      <c r="P567" s="63"/>
      <c r="Q567" s="63"/>
      <c r="R567" s="100">
        <f t="shared" si="16"/>
        <v>15389</v>
      </c>
      <c r="S567" s="100">
        <f t="shared" si="17"/>
        <v>-15389</v>
      </c>
    </row>
    <row r="568" spans="1:27" ht="19.5" customHeight="1">
      <c r="A568" s="2">
        <v>559</v>
      </c>
      <c r="B568" s="67" t="s">
        <v>256</v>
      </c>
      <c r="C568" s="4"/>
      <c r="D568" s="4"/>
      <c r="E568" s="11" t="s">
        <v>1579</v>
      </c>
      <c r="F568" s="2" t="s">
        <v>1582</v>
      </c>
      <c r="G568" s="2" t="s">
        <v>1578</v>
      </c>
      <c r="H568" s="2" t="s">
        <v>1580</v>
      </c>
      <c r="I568" s="2" t="s">
        <v>13</v>
      </c>
      <c r="J568" s="2" t="s">
        <v>1581</v>
      </c>
      <c r="K568" s="105">
        <v>6500</v>
      </c>
      <c r="L568" s="63">
        <v>0</v>
      </c>
      <c r="M568" s="63"/>
      <c r="N568" s="63"/>
      <c r="O568" s="63"/>
      <c r="P568" s="63"/>
      <c r="Q568" s="63"/>
      <c r="R568" s="100">
        <f t="shared" si="16"/>
        <v>0</v>
      </c>
      <c r="S568" s="100">
        <f t="shared" si="17"/>
        <v>0</v>
      </c>
    </row>
    <row r="569" spans="1:27" ht="19.5" customHeight="1">
      <c r="A569" s="2">
        <v>560</v>
      </c>
      <c r="B569" s="67" t="s">
        <v>256</v>
      </c>
      <c r="C569" s="4"/>
      <c r="D569" s="4"/>
      <c r="E569" s="11" t="s">
        <v>1579</v>
      </c>
      <c r="F569" s="2" t="s">
        <v>1584</v>
      </c>
      <c r="G569" s="2" t="s">
        <v>1578</v>
      </c>
      <c r="H569" s="2" t="s">
        <v>1583</v>
      </c>
      <c r="I569" s="2" t="s">
        <v>11</v>
      </c>
      <c r="J569" s="2" t="s">
        <v>1046</v>
      </c>
      <c r="K569" s="105">
        <v>12500</v>
      </c>
      <c r="L569" s="63">
        <v>0</v>
      </c>
      <c r="M569" s="63"/>
      <c r="N569" s="63"/>
      <c r="O569" s="63"/>
      <c r="P569" s="63"/>
      <c r="Q569" s="63"/>
      <c r="R569" s="100">
        <f t="shared" si="16"/>
        <v>0</v>
      </c>
      <c r="S569" s="100">
        <f t="shared" si="17"/>
        <v>0</v>
      </c>
    </row>
    <row r="570" spans="1:27" ht="19.5" customHeight="1">
      <c r="A570" s="2">
        <v>561</v>
      </c>
      <c r="B570" s="11" t="s">
        <v>1292</v>
      </c>
      <c r="C570" s="4"/>
      <c r="D570" s="4"/>
      <c r="E570" s="11" t="s">
        <v>1293</v>
      </c>
      <c r="F570" s="2" t="s">
        <v>1296</v>
      </c>
      <c r="G570" s="2" t="s">
        <v>1297</v>
      </c>
      <c r="H570" s="2" t="s">
        <v>1294</v>
      </c>
      <c r="I570" s="2" t="s">
        <v>10</v>
      </c>
      <c r="J570" s="2" t="s">
        <v>1295</v>
      </c>
      <c r="K570" s="105">
        <v>16000</v>
      </c>
      <c r="L570" s="63">
        <v>102</v>
      </c>
      <c r="M570" s="63"/>
      <c r="N570" s="63"/>
      <c r="O570" s="63"/>
      <c r="P570" s="63"/>
      <c r="Q570" s="63"/>
      <c r="R570" s="100">
        <f t="shared" si="16"/>
        <v>102</v>
      </c>
      <c r="S570" s="100">
        <f t="shared" si="17"/>
        <v>-102</v>
      </c>
    </row>
    <row r="571" spans="1:27" ht="19.5" customHeight="1">
      <c r="A571" s="2">
        <v>562</v>
      </c>
      <c r="B571" s="77" t="s">
        <v>1289</v>
      </c>
      <c r="C571" s="4"/>
      <c r="D571" s="4"/>
      <c r="E571" s="77" t="s">
        <v>3150</v>
      </c>
      <c r="F571" s="5" t="s">
        <v>3151</v>
      </c>
      <c r="G571" s="5" t="s">
        <v>255</v>
      </c>
      <c r="H571" s="5" t="s">
        <v>3152</v>
      </c>
      <c r="I571" s="5" t="s">
        <v>10</v>
      </c>
      <c r="J571" s="5" t="s">
        <v>1329</v>
      </c>
      <c r="K571" s="105">
        <v>559</v>
      </c>
      <c r="L571" s="63"/>
      <c r="M571" s="63"/>
      <c r="N571" s="63"/>
      <c r="O571" s="63"/>
      <c r="P571" s="63"/>
      <c r="Q571" s="63"/>
      <c r="R571" s="100">
        <f t="shared" si="16"/>
        <v>0</v>
      </c>
      <c r="S571" s="100">
        <f t="shared" si="17"/>
        <v>0</v>
      </c>
      <c r="T571" s="37"/>
      <c r="U571" s="37"/>
      <c r="V571" s="37"/>
      <c r="W571" s="37"/>
      <c r="X571" s="37"/>
      <c r="Y571" s="37"/>
      <c r="Z571" s="37"/>
      <c r="AA571" s="37"/>
    </row>
    <row r="572" spans="1:27" ht="19.5" customHeight="1">
      <c r="A572" s="2">
        <v>563</v>
      </c>
      <c r="B572" s="85" t="s">
        <v>3153</v>
      </c>
      <c r="C572" s="4"/>
      <c r="D572" s="4"/>
      <c r="E572" s="11" t="s">
        <v>3154</v>
      </c>
      <c r="F572" s="94" t="s">
        <v>3155</v>
      </c>
      <c r="G572" s="86" t="s">
        <v>3156</v>
      </c>
      <c r="H572" s="2" t="s">
        <v>3157</v>
      </c>
      <c r="I572" s="2" t="s">
        <v>520</v>
      </c>
      <c r="J572" s="2" t="s">
        <v>2654</v>
      </c>
      <c r="K572" s="105">
        <v>5565</v>
      </c>
      <c r="L572" s="63"/>
      <c r="M572" s="63"/>
      <c r="N572" s="63"/>
      <c r="O572" s="63"/>
      <c r="P572" s="63"/>
      <c r="Q572" s="63"/>
      <c r="R572" s="100">
        <f t="shared" si="16"/>
        <v>0</v>
      </c>
      <c r="S572" s="100">
        <f t="shared" si="17"/>
        <v>0</v>
      </c>
      <c r="T572" s="37"/>
      <c r="U572" s="37"/>
      <c r="V572" s="37"/>
      <c r="W572" s="37"/>
      <c r="X572" s="37"/>
      <c r="Y572" s="37"/>
      <c r="Z572" s="37"/>
      <c r="AA572" s="37"/>
    </row>
    <row r="573" spans="1:27" ht="19.5" customHeight="1">
      <c r="A573" s="2">
        <v>564</v>
      </c>
      <c r="B573" s="77" t="s">
        <v>353</v>
      </c>
      <c r="C573" s="4"/>
      <c r="D573" s="4"/>
      <c r="E573" s="77" t="s">
        <v>3158</v>
      </c>
      <c r="F573" s="5" t="s">
        <v>3159</v>
      </c>
      <c r="G573" s="5" t="s">
        <v>3160</v>
      </c>
      <c r="H573" s="5" t="s">
        <v>384</v>
      </c>
      <c r="I573" s="5" t="s">
        <v>10</v>
      </c>
      <c r="J573" s="5" t="s">
        <v>642</v>
      </c>
      <c r="K573" s="105">
        <v>4200</v>
      </c>
      <c r="L573" s="63"/>
      <c r="M573" s="63"/>
      <c r="N573" s="63"/>
      <c r="O573" s="63"/>
      <c r="P573" s="63"/>
      <c r="Q573" s="63"/>
      <c r="R573" s="100">
        <f t="shared" si="16"/>
        <v>0</v>
      </c>
      <c r="S573" s="100">
        <f t="shared" si="17"/>
        <v>0</v>
      </c>
      <c r="T573" s="37"/>
      <c r="U573" s="37"/>
      <c r="V573" s="37"/>
      <c r="W573" s="37"/>
      <c r="X573" s="37"/>
      <c r="Y573" s="37"/>
      <c r="Z573" s="37"/>
      <c r="AA573" s="37"/>
    </row>
    <row r="574" spans="1:27" ht="19.5" customHeight="1">
      <c r="A574" s="2">
        <v>565</v>
      </c>
      <c r="B574" s="77" t="s">
        <v>353</v>
      </c>
      <c r="C574" s="4"/>
      <c r="D574" s="4"/>
      <c r="E574" s="77" t="s">
        <v>3161</v>
      </c>
      <c r="F574" s="5" t="s">
        <v>3162</v>
      </c>
      <c r="G574" s="5" t="s">
        <v>3160</v>
      </c>
      <c r="H574" s="5" t="s">
        <v>3163</v>
      </c>
      <c r="I574" s="5" t="s">
        <v>10</v>
      </c>
      <c r="J574" s="5" t="s">
        <v>642</v>
      </c>
      <c r="K574" s="105">
        <v>2330</v>
      </c>
      <c r="L574" s="63"/>
      <c r="M574" s="63"/>
      <c r="N574" s="63"/>
      <c r="O574" s="63"/>
      <c r="P574" s="63"/>
      <c r="Q574" s="63"/>
      <c r="R574" s="100">
        <f t="shared" si="16"/>
        <v>0</v>
      </c>
      <c r="S574" s="100">
        <f t="shared" si="17"/>
        <v>0</v>
      </c>
      <c r="T574" s="37"/>
      <c r="U574" s="37"/>
      <c r="V574" s="37"/>
      <c r="W574" s="37"/>
      <c r="X574" s="37"/>
      <c r="Y574" s="37"/>
      <c r="Z574" s="37"/>
      <c r="AA574" s="37"/>
    </row>
    <row r="575" spans="1:27" ht="19.5" customHeight="1">
      <c r="A575" s="2">
        <v>566</v>
      </c>
      <c r="B575" s="11" t="s">
        <v>765</v>
      </c>
      <c r="C575" s="11"/>
      <c r="D575" s="11"/>
      <c r="E575" s="11" t="s">
        <v>766</v>
      </c>
      <c r="F575" s="2" t="s">
        <v>3164</v>
      </c>
      <c r="G575" s="2" t="s">
        <v>769</v>
      </c>
      <c r="H575" s="2" t="s">
        <v>767</v>
      </c>
      <c r="I575" s="2" t="s">
        <v>520</v>
      </c>
      <c r="J575" s="2" t="s">
        <v>768</v>
      </c>
      <c r="K575" s="105">
        <v>10100</v>
      </c>
      <c r="L575" s="63">
        <v>23</v>
      </c>
      <c r="M575" s="63"/>
      <c r="N575" s="63"/>
      <c r="O575" s="63"/>
      <c r="P575" s="63"/>
      <c r="Q575" s="63"/>
      <c r="R575" s="100">
        <f t="shared" si="16"/>
        <v>23</v>
      </c>
      <c r="S575" s="100">
        <f t="shared" si="17"/>
        <v>-23</v>
      </c>
    </row>
    <row r="576" spans="1:27" ht="19.5" customHeight="1">
      <c r="A576" s="2">
        <v>567</v>
      </c>
      <c r="B576" s="67" t="s">
        <v>639</v>
      </c>
      <c r="C576" s="4"/>
      <c r="D576" s="4"/>
      <c r="E576" s="11" t="s">
        <v>1189</v>
      </c>
      <c r="F576" s="2" t="s">
        <v>1191</v>
      </c>
      <c r="G576" s="2" t="s">
        <v>352</v>
      </c>
      <c r="H576" s="2" t="s">
        <v>334</v>
      </c>
      <c r="I576" s="2" t="s">
        <v>11</v>
      </c>
      <c r="J576" s="2" t="s">
        <v>1190</v>
      </c>
      <c r="K576" s="105">
        <v>798</v>
      </c>
      <c r="L576" s="63">
        <v>848</v>
      </c>
      <c r="M576" s="63"/>
      <c r="N576" s="63"/>
      <c r="O576" s="63"/>
      <c r="P576" s="63"/>
      <c r="Q576" s="63"/>
      <c r="R576" s="100">
        <f t="shared" si="16"/>
        <v>848</v>
      </c>
      <c r="S576" s="100">
        <f t="shared" si="17"/>
        <v>-848</v>
      </c>
    </row>
    <row r="577" spans="1:27" ht="19.5" customHeight="1">
      <c r="A577" s="2">
        <v>568</v>
      </c>
      <c r="B577" s="11" t="s">
        <v>639</v>
      </c>
      <c r="C577" s="11"/>
      <c r="D577" s="11"/>
      <c r="E577" s="11" t="s">
        <v>1189</v>
      </c>
      <c r="F577" s="2" t="s">
        <v>1191</v>
      </c>
      <c r="G577" s="2" t="s">
        <v>352</v>
      </c>
      <c r="H577" s="2" t="s">
        <v>334</v>
      </c>
      <c r="I577" s="2" t="s">
        <v>11</v>
      </c>
      <c r="J577" s="68" t="s">
        <v>623</v>
      </c>
      <c r="K577" s="105">
        <v>882</v>
      </c>
      <c r="L577" s="63">
        <v>544</v>
      </c>
      <c r="M577" s="63"/>
      <c r="N577" s="63"/>
      <c r="O577" s="63"/>
      <c r="P577" s="63"/>
      <c r="Q577" s="63"/>
      <c r="R577" s="100">
        <f t="shared" si="16"/>
        <v>544</v>
      </c>
      <c r="S577" s="100">
        <f t="shared" si="17"/>
        <v>-544</v>
      </c>
    </row>
    <row r="578" spans="1:27" ht="19.5" customHeight="1">
      <c r="A578" s="2">
        <v>569</v>
      </c>
      <c r="B578" s="77" t="s">
        <v>3165</v>
      </c>
      <c r="C578" s="4"/>
      <c r="D578" s="4"/>
      <c r="E578" s="77" t="s">
        <v>3166</v>
      </c>
      <c r="F578" s="5" t="s">
        <v>3167</v>
      </c>
      <c r="G578" s="5" t="s">
        <v>3032</v>
      </c>
      <c r="H578" s="5" t="s">
        <v>387</v>
      </c>
      <c r="I578" s="7" t="s">
        <v>10</v>
      </c>
      <c r="J578" s="5" t="s">
        <v>642</v>
      </c>
      <c r="K578" s="105">
        <v>1020</v>
      </c>
      <c r="L578" s="63"/>
      <c r="M578" s="63"/>
      <c r="N578" s="63"/>
      <c r="O578" s="63"/>
      <c r="P578" s="63"/>
      <c r="Q578" s="63"/>
      <c r="R578" s="100">
        <f t="shared" si="16"/>
        <v>0</v>
      </c>
      <c r="S578" s="100">
        <f t="shared" si="17"/>
        <v>0</v>
      </c>
      <c r="T578" s="37"/>
      <c r="U578" s="37"/>
      <c r="V578" s="37"/>
      <c r="W578" s="37"/>
      <c r="X578" s="37"/>
      <c r="Y578" s="37"/>
      <c r="Z578" s="37"/>
      <c r="AA578" s="37"/>
    </row>
    <row r="579" spans="1:27" ht="19.5" customHeight="1">
      <c r="A579" s="2">
        <v>570</v>
      </c>
      <c r="B579" s="67" t="s">
        <v>992</v>
      </c>
      <c r="C579" s="4"/>
      <c r="D579" s="4"/>
      <c r="E579" s="67" t="s">
        <v>993</v>
      </c>
      <c r="F579" s="68" t="s">
        <v>995</v>
      </c>
      <c r="G579" s="68" t="s">
        <v>979</v>
      </c>
      <c r="H579" s="68" t="s">
        <v>994</v>
      </c>
      <c r="I579" s="68" t="s">
        <v>10</v>
      </c>
      <c r="J579" s="68" t="s">
        <v>623</v>
      </c>
      <c r="K579" s="105">
        <v>780</v>
      </c>
      <c r="L579" s="63">
        <v>10758</v>
      </c>
      <c r="M579" s="63"/>
      <c r="N579" s="63"/>
      <c r="O579" s="63"/>
      <c r="P579" s="63"/>
      <c r="Q579" s="63"/>
      <c r="R579" s="100">
        <f t="shared" si="16"/>
        <v>10758</v>
      </c>
      <c r="S579" s="100">
        <f t="shared" si="17"/>
        <v>-10758</v>
      </c>
    </row>
    <row r="580" spans="1:27" ht="19.5" customHeight="1">
      <c r="A580" s="2">
        <v>571</v>
      </c>
      <c r="B580" s="67" t="s">
        <v>847</v>
      </c>
      <c r="C580" s="4"/>
      <c r="D580" s="4"/>
      <c r="E580" s="11" t="s">
        <v>1430</v>
      </c>
      <c r="F580" s="2" t="s">
        <v>1431</v>
      </c>
      <c r="G580" s="2" t="s">
        <v>1429</v>
      </c>
      <c r="H580" s="2" t="s">
        <v>272</v>
      </c>
      <c r="I580" s="2" t="s">
        <v>10</v>
      </c>
      <c r="J580" s="2" t="s">
        <v>1046</v>
      </c>
      <c r="K580" s="105">
        <v>696</v>
      </c>
      <c r="L580" s="63">
        <v>5000</v>
      </c>
      <c r="M580" s="63"/>
      <c r="N580" s="63"/>
      <c r="O580" s="63"/>
      <c r="P580" s="63"/>
      <c r="Q580" s="63"/>
      <c r="R580" s="100">
        <f t="shared" si="16"/>
        <v>5000</v>
      </c>
      <c r="S580" s="100">
        <f t="shared" si="17"/>
        <v>-5000</v>
      </c>
    </row>
    <row r="581" spans="1:27" ht="19.5" customHeight="1">
      <c r="A581" s="2">
        <v>572</v>
      </c>
      <c r="B581" s="64" t="s">
        <v>353</v>
      </c>
      <c r="C581" s="3"/>
      <c r="D581" s="3"/>
      <c r="E581" s="11" t="s">
        <v>461</v>
      </c>
      <c r="F581" s="2" t="s">
        <v>462</v>
      </c>
      <c r="G581" s="2" t="s">
        <v>458</v>
      </c>
      <c r="H581" s="2" t="s">
        <v>381</v>
      </c>
      <c r="I581" s="2" t="s">
        <v>10</v>
      </c>
      <c r="J581" s="2" t="s">
        <v>642</v>
      </c>
      <c r="K581" s="105">
        <v>1410</v>
      </c>
      <c r="L581" s="63">
        <v>10732</v>
      </c>
      <c r="M581" s="63"/>
      <c r="N581" s="63"/>
      <c r="O581" s="63"/>
      <c r="P581" s="63"/>
      <c r="Q581" s="63"/>
      <c r="R581" s="100">
        <f t="shared" si="16"/>
        <v>10732</v>
      </c>
      <c r="S581" s="100">
        <f t="shared" si="17"/>
        <v>-10732</v>
      </c>
    </row>
    <row r="582" spans="1:27" ht="19.5" customHeight="1">
      <c r="A582" s="2">
        <v>573</v>
      </c>
      <c r="B582" s="64" t="s">
        <v>353</v>
      </c>
      <c r="C582" s="3"/>
      <c r="D582" s="3"/>
      <c r="E582" s="11" t="s">
        <v>353</v>
      </c>
      <c r="F582" s="2" t="s">
        <v>382</v>
      </c>
      <c r="G582" s="2" t="s">
        <v>360</v>
      </c>
      <c r="H582" s="2" t="s">
        <v>381</v>
      </c>
      <c r="I582" s="2" t="s">
        <v>10</v>
      </c>
      <c r="J582" s="2" t="s">
        <v>642</v>
      </c>
      <c r="K582" s="105">
        <v>53</v>
      </c>
      <c r="L582" s="63">
        <v>82</v>
      </c>
      <c r="M582" s="63"/>
      <c r="N582" s="63"/>
      <c r="O582" s="63"/>
      <c r="P582" s="63"/>
      <c r="Q582" s="63"/>
      <c r="R582" s="100">
        <f t="shared" si="16"/>
        <v>82</v>
      </c>
      <c r="S582" s="100">
        <f t="shared" si="17"/>
        <v>-82</v>
      </c>
    </row>
    <row r="583" spans="1:27" ht="19.5" customHeight="1">
      <c r="A583" s="2">
        <v>574</v>
      </c>
      <c r="B583" s="77" t="s">
        <v>353</v>
      </c>
      <c r="C583" s="4"/>
      <c r="D583" s="4"/>
      <c r="E583" s="11" t="s">
        <v>3168</v>
      </c>
      <c r="F583" s="5" t="s">
        <v>3169</v>
      </c>
      <c r="G583" s="5" t="s">
        <v>2380</v>
      </c>
      <c r="H583" s="5" t="s">
        <v>384</v>
      </c>
      <c r="I583" s="7" t="s">
        <v>10</v>
      </c>
      <c r="J583" s="5" t="s">
        <v>642</v>
      </c>
      <c r="K583" s="105">
        <v>128</v>
      </c>
      <c r="L583" s="63"/>
      <c r="M583" s="63"/>
      <c r="N583" s="63"/>
      <c r="O583" s="63"/>
      <c r="P583" s="63"/>
      <c r="Q583" s="63"/>
      <c r="R583" s="100">
        <f t="shared" si="16"/>
        <v>0</v>
      </c>
      <c r="S583" s="100">
        <f t="shared" si="17"/>
        <v>0</v>
      </c>
      <c r="T583" s="37"/>
      <c r="U583" s="37"/>
      <c r="V583" s="37"/>
      <c r="W583" s="37"/>
      <c r="X583" s="37"/>
      <c r="Y583" s="37"/>
      <c r="Z583" s="37"/>
      <c r="AA583" s="37"/>
    </row>
    <row r="584" spans="1:27" ht="19.5" customHeight="1">
      <c r="A584" s="2">
        <v>575</v>
      </c>
      <c r="B584" s="64" t="s">
        <v>265</v>
      </c>
      <c r="C584" s="3"/>
      <c r="D584" s="3"/>
      <c r="E584" s="11" t="s">
        <v>469</v>
      </c>
      <c r="F584" s="2" t="s">
        <v>470</v>
      </c>
      <c r="G584" s="2" t="s">
        <v>463</v>
      </c>
      <c r="H584" s="2" t="s">
        <v>390</v>
      </c>
      <c r="I584" s="2" t="s">
        <v>10</v>
      </c>
      <c r="J584" s="2" t="s">
        <v>642</v>
      </c>
      <c r="K584" s="105">
        <v>900</v>
      </c>
      <c r="L584" s="63">
        <v>15452</v>
      </c>
      <c r="M584" s="63"/>
      <c r="N584" s="63"/>
      <c r="O584" s="63"/>
      <c r="P584" s="63"/>
      <c r="Q584" s="63"/>
      <c r="R584" s="100">
        <f t="shared" si="16"/>
        <v>15452</v>
      </c>
      <c r="S584" s="100">
        <f t="shared" si="17"/>
        <v>-15452</v>
      </c>
    </row>
    <row r="585" spans="1:27" ht="19.5" customHeight="1">
      <c r="A585" s="2">
        <v>576</v>
      </c>
      <c r="B585" s="67" t="s">
        <v>3170</v>
      </c>
      <c r="C585" s="4"/>
      <c r="D585" s="4"/>
      <c r="E585" s="11" t="s">
        <v>1594</v>
      </c>
      <c r="F585" s="2" t="s">
        <v>1597</v>
      </c>
      <c r="G585" s="2" t="s">
        <v>1578</v>
      </c>
      <c r="H585" s="2" t="s">
        <v>1595</v>
      </c>
      <c r="I585" s="2" t="s">
        <v>658</v>
      </c>
      <c r="J585" s="2" t="s">
        <v>1596</v>
      </c>
      <c r="K585" s="105">
        <v>37000</v>
      </c>
      <c r="L585" s="63">
        <v>100</v>
      </c>
      <c r="M585" s="63"/>
      <c r="N585" s="63"/>
      <c r="O585" s="63"/>
      <c r="P585" s="63"/>
      <c r="Q585" s="63"/>
      <c r="R585" s="100">
        <f t="shared" si="16"/>
        <v>100</v>
      </c>
      <c r="S585" s="100">
        <f t="shared" si="17"/>
        <v>-100</v>
      </c>
    </row>
    <row r="586" spans="1:27" ht="19.5" customHeight="1">
      <c r="A586" s="2">
        <v>577</v>
      </c>
      <c r="B586" s="67" t="s">
        <v>2507</v>
      </c>
      <c r="C586" s="4"/>
      <c r="D586" s="4"/>
      <c r="E586" s="11" t="s">
        <v>1569</v>
      </c>
      <c r="F586" s="2" t="s">
        <v>1572</v>
      </c>
      <c r="G586" s="2" t="s">
        <v>1573</v>
      </c>
      <c r="H586" s="2" t="s">
        <v>1570</v>
      </c>
      <c r="I586" s="2" t="s">
        <v>13</v>
      </c>
      <c r="J586" s="2" t="s">
        <v>1571</v>
      </c>
      <c r="K586" s="105">
        <v>2800</v>
      </c>
      <c r="L586" s="63">
        <v>41</v>
      </c>
      <c r="M586" s="63"/>
      <c r="N586" s="63"/>
      <c r="O586" s="63"/>
      <c r="P586" s="63"/>
      <c r="Q586" s="63"/>
      <c r="R586" s="100">
        <f t="shared" si="16"/>
        <v>41</v>
      </c>
      <c r="S586" s="100">
        <f t="shared" si="17"/>
        <v>-41</v>
      </c>
    </row>
    <row r="587" spans="1:27" ht="19.5" customHeight="1">
      <c r="A587" s="2">
        <v>578</v>
      </c>
      <c r="B587" s="65" t="s">
        <v>2507</v>
      </c>
      <c r="C587" s="11"/>
      <c r="D587" s="11"/>
      <c r="E587" s="65" t="s">
        <v>3171</v>
      </c>
      <c r="F587" s="2" t="s">
        <v>3172</v>
      </c>
      <c r="G587" s="2" t="s">
        <v>1573</v>
      </c>
      <c r="H587" s="66" t="s">
        <v>3173</v>
      </c>
      <c r="I587" s="2" t="s">
        <v>13</v>
      </c>
      <c r="J587" s="2" t="s">
        <v>1571</v>
      </c>
      <c r="K587" s="105">
        <v>2200</v>
      </c>
      <c r="L587" s="63">
        <v>0</v>
      </c>
      <c r="M587" s="63"/>
      <c r="N587" s="63"/>
      <c r="O587" s="63"/>
      <c r="P587" s="63"/>
      <c r="Q587" s="63"/>
      <c r="R587" s="100">
        <f t="shared" ref="R587:R650" si="18">L587+M587-O587</f>
        <v>0</v>
      </c>
      <c r="S587" s="100">
        <f t="shared" ref="S587:S650" si="19">Q587-R587</f>
        <v>0</v>
      </c>
    </row>
    <row r="588" spans="1:27" ht="19.5" customHeight="1">
      <c r="A588" s="2">
        <v>579</v>
      </c>
      <c r="B588" s="67" t="s">
        <v>821</v>
      </c>
      <c r="C588" s="4"/>
      <c r="D588" s="4"/>
      <c r="E588" s="11" t="s">
        <v>822</v>
      </c>
      <c r="F588" s="2" t="s">
        <v>823</v>
      </c>
      <c r="G588" s="2" t="s">
        <v>806</v>
      </c>
      <c r="H588" s="2" t="s">
        <v>272</v>
      </c>
      <c r="I588" s="2" t="s">
        <v>11</v>
      </c>
      <c r="J588" s="2" t="s">
        <v>804</v>
      </c>
      <c r="K588" s="105">
        <v>147</v>
      </c>
      <c r="L588" s="63">
        <v>2708</v>
      </c>
      <c r="M588" s="63"/>
      <c r="N588" s="63"/>
      <c r="O588" s="63"/>
      <c r="P588" s="63"/>
      <c r="Q588" s="63"/>
      <c r="R588" s="100">
        <f t="shared" si="18"/>
        <v>2708</v>
      </c>
      <c r="S588" s="100">
        <f t="shared" si="19"/>
        <v>-2708</v>
      </c>
    </row>
    <row r="589" spans="1:27" ht="19.5" customHeight="1">
      <c r="A589" s="2">
        <v>580</v>
      </c>
      <c r="B589" s="64" t="s">
        <v>270</v>
      </c>
      <c r="C589" s="3"/>
      <c r="D589" s="3"/>
      <c r="E589" s="11" t="s">
        <v>271</v>
      </c>
      <c r="F589" s="2" t="s">
        <v>273</v>
      </c>
      <c r="G589" s="2" t="s">
        <v>255</v>
      </c>
      <c r="H589" s="2" t="s">
        <v>272</v>
      </c>
      <c r="I589" s="2" t="s">
        <v>10</v>
      </c>
      <c r="J589" s="2" t="s">
        <v>647</v>
      </c>
      <c r="K589" s="105">
        <v>609</v>
      </c>
      <c r="L589" s="63">
        <v>0</v>
      </c>
      <c r="M589" s="63"/>
      <c r="N589" s="63"/>
      <c r="O589" s="63"/>
      <c r="P589" s="63"/>
      <c r="Q589" s="63"/>
      <c r="R589" s="100">
        <f t="shared" si="18"/>
        <v>0</v>
      </c>
      <c r="S589" s="100">
        <f t="shared" si="19"/>
        <v>0</v>
      </c>
    </row>
    <row r="590" spans="1:27" ht="19.5" customHeight="1">
      <c r="A590" s="2">
        <v>581</v>
      </c>
      <c r="B590" s="11" t="s">
        <v>265</v>
      </c>
      <c r="C590" s="11"/>
      <c r="D590" s="11"/>
      <c r="E590" s="11" t="s">
        <v>386</v>
      </c>
      <c r="F590" s="2" t="s">
        <v>388</v>
      </c>
      <c r="G590" s="2" t="s">
        <v>360</v>
      </c>
      <c r="H590" s="2" t="s">
        <v>387</v>
      </c>
      <c r="I590" s="2" t="s">
        <v>10</v>
      </c>
      <c r="J590" s="2" t="s">
        <v>642</v>
      </c>
      <c r="K590" s="105">
        <v>886</v>
      </c>
      <c r="L590" s="63">
        <v>2209</v>
      </c>
      <c r="M590" s="63"/>
      <c r="N590" s="63"/>
      <c r="O590" s="63"/>
      <c r="P590" s="63"/>
      <c r="Q590" s="63"/>
      <c r="R590" s="100">
        <f t="shared" si="18"/>
        <v>2209</v>
      </c>
      <c r="S590" s="100">
        <f t="shared" si="19"/>
        <v>-2209</v>
      </c>
    </row>
    <row r="591" spans="1:27" ht="19.5" customHeight="1">
      <c r="A591" s="2">
        <v>582</v>
      </c>
      <c r="B591" s="64" t="s">
        <v>265</v>
      </c>
      <c r="C591" s="3"/>
      <c r="D591" s="3"/>
      <c r="E591" s="11" t="s">
        <v>389</v>
      </c>
      <c r="F591" s="2" t="s">
        <v>391</v>
      </c>
      <c r="G591" s="2" t="s">
        <v>360</v>
      </c>
      <c r="H591" s="2" t="s">
        <v>390</v>
      </c>
      <c r="I591" s="2" t="s">
        <v>10</v>
      </c>
      <c r="J591" s="2" t="s">
        <v>642</v>
      </c>
      <c r="K591" s="105">
        <v>230</v>
      </c>
      <c r="L591" s="63">
        <v>0</v>
      </c>
      <c r="M591" s="63"/>
      <c r="N591" s="63"/>
      <c r="O591" s="63"/>
      <c r="P591" s="63"/>
      <c r="Q591" s="63"/>
      <c r="R591" s="100">
        <f t="shared" si="18"/>
        <v>0</v>
      </c>
      <c r="S591" s="100">
        <f t="shared" si="19"/>
        <v>0</v>
      </c>
    </row>
    <row r="592" spans="1:27" ht="19.5" customHeight="1">
      <c r="A592" s="2">
        <v>583</v>
      </c>
      <c r="B592" s="11" t="s">
        <v>1356</v>
      </c>
      <c r="C592" s="11"/>
      <c r="D592" s="11"/>
      <c r="E592" s="11" t="s">
        <v>1766</v>
      </c>
      <c r="F592" s="2" t="s">
        <v>3174</v>
      </c>
      <c r="G592" s="2" t="s">
        <v>1763</v>
      </c>
      <c r="H592" s="2" t="s">
        <v>1767</v>
      </c>
      <c r="I592" s="2" t="s">
        <v>628</v>
      </c>
      <c r="J592" s="2" t="s">
        <v>1743</v>
      </c>
      <c r="K592" s="105">
        <v>1544</v>
      </c>
      <c r="L592" s="63">
        <v>423</v>
      </c>
      <c r="M592" s="63"/>
      <c r="N592" s="63"/>
      <c r="O592" s="63"/>
      <c r="P592" s="63"/>
      <c r="Q592" s="63"/>
      <c r="R592" s="100">
        <f t="shared" si="18"/>
        <v>423</v>
      </c>
      <c r="S592" s="100">
        <f t="shared" si="19"/>
        <v>-423</v>
      </c>
    </row>
    <row r="593" spans="1:27" ht="19.5" customHeight="1">
      <c r="A593" s="2">
        <v>584</v>
      </c>
      <c r="B593" s="11" t="s">
        <v>442</v>
      </c>
      <c r="C593" s="11"/>
      <c r="D593" s="11"/>
      <c r="E593" s="11" t="s">
        <v>442</v>
      </c>
      <c r="F593" s="2" t="s">
        <v>3175</v>
      </c>
      <c r="G593" s="2" t="s">
        <v>2903</v>
      </c>
      <c r="H593" s="2" t="s">
        <v>272</v>
      </c>
      <c r="I593" s="2" t="s">
        <v>10</v>
      </c>
      <c r="J593" s="2" t="s">
        <v>642</v>
      </c>
      <c r="K593" s="105">
        <v>118</v>
      </c>
      <c r="L593" s="63">
        <v>6</v>
      </c>
      <c r="M593" s="63"/>
      <c r="N593" s="63"/>
      <c r="O593" s="63"/>
      <c r="P593" s="63"/>
      <c r="Q593" s="63"/>
      <c r="R593" s="100">
        <f t="shared" si="18"/>
        <v>6</v>
      </c>
      <c r="S593" s="100">
        <f t="shared" si="19"/>
        <v>-6</v>
      </c>
    </row>
    <row r="594" spans="1:27" ht="19.5" customHeight="1">
      <c r="A594" s="2">
        <v>585</v>
      </c>
      <c r="B594" s="11" t="s">
        <v>3176</v>
      </c>
      <c r="C594" s="4"/>
      <c r="D594" s="4"/>
      <c r="E594" s="11" t="s">
        <v>2582</v>
      </c>
      <c r="F594" s="2" t="s">
        <v>3177</v>
      </c>
      <c r="G594" s="2" t="s">
        <v>3178</v>
      </c>
      <c r="H594" s="2" t="s">
        <v>272</v>
      </c>
      <c r="I594" s="2" t="s">
        <v>10</v>
      </c>
      <c r="J594" s="2" t="s">
        <v>3179</v>
      </c>
      <c r="K594" s="105">
        <v>116</v>
      </c>
      <c r="L594" s="63">
        <v>16</v>
      </c>
      <c r="M594" s="63"/>
      <c r="N594" s="63"/>
      <c r="O594" s="63"/>
      <c r="P594" s="63"/>
      <c r="Q594" s="63"/>
      <c r="R594" s="100">
        <f t="shared" si="18"/>
        <v>16</v>
      </c>
      <c r="S594" s="100">
        <f t="shared" si="19"/>
        <v>-16</v>
      </c>
    </row>
    <row r="595" spans="1:27" ht="19.5" customHeight="1">
      <c r="A595" s="2">
        <v>586</v>
      </c>
      <c r="B595" s="64" t="s">
        <v>442</v>
      </c>
      <c r="C595" s="3"/>
      <c r="D595" s="3"/>
      <c r="E595" s="64" t="s">
        <v>443</v>
      </c>
      <c r="F595" s="2" t="s">
        <v>446</v>
      </c>
      <c r="G595" s="2" t="s">
        <v>437</v>
      </c>
      <c r="H595" s="2" t="s">
        <v>444</v>
      </c>
      <c r="I595" s="2" t="s">
        <v>15</v>
      </c>
      <c r="J595" s="2" t="s">
        <v>445</v>
      </c>
      <c r="K595" s="105">
        <v>8820</v>
      </c>
      <c r="L595" s="63">
        <v>138</v>
      </c>
      <c r="M595" s="63"/>
      <c r="N595" s="63"/>
      <c r="O595" s="63"/>
      <c r="P595" s="63"/>
      <c r="Q595" s="63"/>
      <c r="R595" s="100">
        <f t="shared" si="18"/>
        <v>138</v>
      </c>
      <c r="S595" s="100">
        <f t="shared" si="19"/>
        <v>-138</v>
      </c>
    </row>
    <row r="596" spans="1:27" ht="19.5" customHeight="1">
      <c r="A596" s="2">
        <v>587</v>
      </c>
      <c r="B596" s="11" t="s">
        <v>1661</v>
      </c>
      <c r="C596" s="4"/>
      <c r="D596" s="4"/>
      <c r="E596" s="11" t="s">
        <v>1662</v>
      </c>
      <c r="F596" s="2" t="s">
        <v>1663</v>
      </c>
      <c r="G596" s="9" t="s">
        <v>479</v>
      </c>
      <c r="H596" s="7" t="s">
        <v>994</v>
      </c>
      <c r="I596" s="9" t="s">
        <v>10</v>
      </c>
      <c r="J596" s="7" t="s">
        <v>1642</v>
      </c>
      <c r="K596" s="105">
        <v>590</v>
      </c>
      <c r="L596" s="63">
        <v>0</v>
      </c>
      <c r="M596" s="63"/>
      <c r="N596" s="63"/>
      <c r="O596" s="63"/>
      <c r="P596" s="63"/>
      <c r="Q596" s="63"/>
      <c r="R596" s="100">
        <f t="shared" si="18"/>
        <v>0</v>
      </c>
      <c r="S596" s="100">
        <f t="shared" si="19"/>
        <v>0</v>
      </c>
    </row>
    <row r="597" spans="1:27" ht="19.5" customHeight="1">
      <c r="A597" s="2">
        <v>588</v>
      </c>
      <c r="B597" s="67" t="s">
        <v>1522</v>
      </c>
      <c r="C597" s="4"/>
      <c r="D597" s="4"/>
      <c r="E597" s="11" t="s">
        <v>1523</v>
      </c>
      <c r="F597" s="2" t="s">
        <v>1524</v>
      </c>
      <c r="G597" s="2" t="s">
        <v>1525</v>
      </c>
      <c r="H597" s="2" t="s">
        <v>225</v>
      </c>
      <c r="I597" s="2" t="s">
        <v>10</v>
      </c>
      <c r="J597" s="2" t="s">
        <v>538</v>
      </c>
      <c r="K597" s="105">
        <v>945</v>
      </c>
      <c r="L597" s="63">
        <v>2365</v>
      </c>
      <c r="M597" s="63"/>
      <c r="N597" s="63"/>
      <c r="O597" s="63"/>
      <c r="P597" s="63"/>
      <c r="Q597" s="63"/>
      <c r="R597" s="100">
        <f t="shared" si="18"/>
        <v>2365</v>
      </c>
      <c r="S597" s="100">
        <f t="shared" si="19"/>
        <v>-2365</v>
      </c>
    </row>
    <row r="598" spans="1:27" ht="19.5" customHeight="1">
      <c r="A598" s="2">
        <v>589</v>
      </c>
      <c r="B598" s="77" t="s">
        <v>347</v>
      </c>
      <c r="C598" s="4"/>
      <c r="D598" s="4"/>
      <c r="E598" s="11" t="s">
        <v>3180</v>
      </c>
      <c r="F598" s="5" t="s">
        <v>3181</v>
      </c>
      <c r="G598" s="5" t="s">
        <v>3182</v>
      </c>
      <c r="H598" s="5" t="s">
        <v>327</v>
      </c>
      <c r="I598" s="7" t="s">
        <v>10</v>
      </c>
      <c r="J598" s="5" t="s">
        <v>642</v>
      </c>
      <c r="K598" s="105">
        <v>92</v>
      </c>
      <c r="L598" s="63"/>
      <c r="M598" s="63"/>
      <c r="N598" s="63"/>
      <c r="O598" s="63"/>
      <c r="P598" s="63"/>
      <c r="Q598" s="63"/>
      <c r="R598" s="100">
        <f t="shared" si="18"/>
        <v>0</v>
      </c>
      <c r="S598" s="100">
        <f t="shared" si="19"/>
        <v>0</v>
      </c>
      <c r="T598" s="37"/>
      <c r="U598" s="37"/>
      <c r="V598" s="37"/>
      <c r="W598" s="37"/>
      <c r="X598" s="37"/>
      <c r="Y598" s="37"/>
      <c r="Z598" s="37"/>
      <c r="AA598" s="37"/>
    </row>
    <row r="599" spans="1:27" ht="19.5" customHeight="1">
      <c r="A599" s="2">
        <v>590</v>
      </c>
      <c r="B599" s="64" t="s">
        <v>236</v>
      </c>
      <c r="C599" s="3"/>
      <c r="D599" s="3"/>
      <c r="E599" s="11" t="s">
        <v>237</v>
      </c>
      <c r="F599" s="2" t="s">
        <v>239</v>
      </c>
      <c r="G599" s="2" t="s">
        <v>240</v>
      </c>
      <c r="H599" s="2" t="s">
        <v>238</v>
      </c>
      <c r="I599" s="2" t="s">
        <v>10</v>
      </c>
      <c r="J599" s="2" t="s">
        <v>642</v>
      </c>
      <c r="K599" s="105">
        <v>136</v>
      </c>
      <c r="L599" s="63">
        <v>0</v>
      </c>
      <c r="M599" s="63"/>
      <c r="N599" s="63"/>
      <c r="O599" s="63"/>
      <c r="P599" s="63"/>
      <c r="Q599" s="63"/>
      <c r="R599" s="100">
        <f t="shared" si="18"/>
        <v>0</v>
      </c>
      <c r="S599" s="100">
        <f t="shared" si="19"/>
        <v>0</v>
      </c>
    </row>
    <row r="600" spans="1:27" ht="19.5" customHeight="1">
      <c r="A600" s="2">
        <v>591</v>
      </c>
      <c r="B600" s="71" t="s">
        <v>1702</v>
      </c>
      <c r="C600" s="72"/>
      <c r="D600" s="72"/>
      <c r="E600" s="71" t="s">
        <v>1703</v>
      </c>
      <c r="F600" s="82" t="s">
        <v>1704</v>
      </c>
      <c r="G600" s="73" t="s">
        <v>1705</v>
      </c>
      <c r="H600" s="73" t="s">
        <v>238</v>
      </c>
      <c r="I600" s="73" t="s">
        <v>10</v>
      </c>
      <c r="J600" s="73" t="s">
        <v>1239</v>
      </c>
      <c r="K600" s="105">
        <v>693</v>
      </c>
      <c r="L600" s="63">
        <v>22471</v>
      </c>
      <c r="M600" s="63"/>
      <c r="N600" s="63"/>
      <c r="O600" s="63"/>
      <c r="P600" s="63"/>
      <c r="Q600" s="63"/>
      <c r="R600" s="100">
        <f t="shared" si="18"/>
        <v>22471</v>
      </c>
      <c r="S600" s="100">
        <f t="shared" si="19"/>
        <v>-22471</v>
      </c>
    </row>
    <row r="601" spans="1:27" ht="19.5" customHeight="1">
      <c r="A601" s="2">
        <v>592</v>
      </c>
      <c r="B601" s="11" t="s">
        <v>1419</v>
      </c>
      <c r="C601" s="11"/>
      <c r="D601" s="11"/>
      <c r="E601" s="11" t="s">
        <v>2519</v>
      </c>
      <c r="F601" s="2" t="s">
        <v>3183</v>
      </c>
      <c r="G601" s="2" t="s">
        <v>1268</v>
      </c>
      <c r="H601" s="2" t="s">
        <v>1421</v>
      </c>
      <c r="I601" s="73" t="s">
        <v>10</v>
      </c>
      <c r="J601" s="2" t="s">
        <v>1350</v>
      </c>
      <c r="K601" s="105">
        <v>5000</v>
      </c>
      <c r="L601" s="63">
        <v>6929</v>
      </c>
      <c r="M601" s="63"/>
      <c r="N601" s="63"/>
      <c r="O601" s="63"/>
      <c r="P601" s="63"/>
      <c r="Q601" s="63"/>
      <c r="R601" s="100">
        <f t="shared" si="18"/>
        <v>6929</v>
      </c>
      <c r="S601" s="100">
        <f t="shared" si="19"/>
        <v>-6929</v>
      </c>
    </row>
    <row r="602" spans="1:27" ht="19.5" customHeight="1">
      <c r="A602" s="2">
        <v>593</v>
      </c>
      <c r="B602" s="67" t="s">
        <v>1999</v>
      </c>
      <c r="C602" s="4"/>
      <c r="D602" s="4"/>
      <c r="E602" s="11" t="s">
        <v>2000</v>
      </c>
      <c r="F602" s="2" t="s">
        <v>2002</v>
      </c>
      <c r="G602" s="2" t="s">
        <v>1953</v>
      </c>
      <c r="H602" s="2" t="s">
        <v>2001</v>
      </c>
      <c r="I602" s="2" t="s">
        <v>11</v>
      </c>
      <c r="J602" s="2" t="s">
        <v>842</v>
      </c>
      <c r="K602" s="105">
        <v>3465</v>
      </c>
      <c r="L602" s="63">
        <v>18454</v>
      </c>
      <c r="M602" s="63"/>
      <c r="N602" s="63"/>
      <c r="O602" s="63"/>
      <c r="P602" s="63"/>
      <c r="Q602" s="63"/>
      <c r="R602" s="100">
        <f t="shared" si="18"/>
        <v>18454</v>
      </c>
      <c r="S602" s="100">
        <f t="shared" si="19"/>
        <v>-18454</v>
      </c>
    </row>
    <row r="603" spans="1:27" ht="19.5" customHeight="1">
      <c r="A603" s="2">
        <v>594</v>
      </c>
      <c r="B603" s="70" t="s">
        <v>2115</v>
      </c>
      <c r="C603" s="4"/>
      <c r="D603" s="4"/>
      <c r="E603" s="11" t="s">
        <v>2116</v>
      </c>
      <c r="F603" s="2" t="s">
        <v>2118</v>
      </c>
      <c r="G603" s="2" t="s">
        <v>2036</v>
      </c>
      <c r="H603" s="2" t="s">
        <v>2117</v>
      </c>
      <c r="I603" s="2" t="s">
        <v>10</v>
      </c>
      <c r="J603" s="2" t="s">
        <v>626</v>
      </c>
      <c r="K603" s="105">
        <v>10387</v>
      </c>
      <c r="L603" s="63">
        <v>8877</v>
      </c>
      <c r="M603" s="63"/>
      <c r="N603" s="63"/>
      <c r="O603" s="63"/>
      <c r="P603" s="63"/>
      <c r="Q603" s="63"/>
      <c r="R603" s="100">
        <f t="shared" si="18"/>
        <v>8877</v>
      </c>
      <c r="S603" s="100">
        <f t="shared" si="19"/>
        <v>-8877</v>
      </c>
    </row>
    <row r="604" spans="1:27" ht="19.5" customHeight="1">
      <c r="A604" s="2">
        <v>595</v>
      </c>
      <c r="B604" s="11" t="s">
        <v>588</v>
      </c>
      <c r="C604" s="11"/>
      <c r="D604" s="11"/>
      <c r="E604" s="11" t="s">
        <v>2520</v>
      </c>
      <c r="F604" s="2" t="s">
        <v>3184</v>
      </c>
      <c r="G604" s="2" t="s">
        <v>3185</v>
      </c>
      <c r="H604" s="2" t="s">
        <v>267</v>
      </c>
      <c r="I604" s="2" t="s">
        <v>10</v>
      </c>
      <c r="J604" s="2" t="s">
        <v>547</v>
      </c>
      <c r="K604" s="105">
        <v>10349</v>
      </c>
      <c r="L604" s="63">
        <v>72</v>
      </c>
      <c r="M604" s="63"/>
      <c r="N604" s="63"/>
      <c r="O604" s="63"/>
      <c r="P604" s="63"/>
      <c r="Q604" s="63"/>
      <c r="R604" s="100">
        <f t="shared" si="18"/>
        <v>72</v>
      </c>
      <c r="S604" s="100">
        <f t="shared" si="19"/>
        <v>-72</v>
      </c>
    </row>
    <row r="605" spans="1:27" ht="19.5" customHeight="1">
      <c r="A605" s="2">
        <v>596</v>
      </c>
      <c r="B605" s="77" t="s">
        <v>802</v>
      </c>
      <c r="C605" s="4"/>
      <c r="D605" s="4"/>
      <c r="E605" s="77" t="s">
        <v>3186</v>
      </c>
      <c r="F605" s="5" t="s">
        <v>3187</v>
      </c>
      <c r="G605" s="5" t="s">
        <v>3188</v>
      </c>
      <c r="H605" s="5" t="s">
        <v>225</v>
      </c>
      <c r="I605" s="5" t="s">
        <v>10</v>
      </c>
      <c r="J605" s="5" t="s">
        <v>1350</v>
      </c>
      <c r="K605" s="105">
        <v>2793</v>
      </c>
      <c r="L605" s="63"/>
      <c r="M605" s="63"/>
      <c r="N605" s="63"/>
      <c r="O605" s="63"/>
      <c r="P605" s="63"/>
      <c r="Q605" s="63"/>
      <c r="R605" s="100">
        <f t="shared" si="18"/>
        <v>0</v>
      </c>
      <c r="S605" s="100">
        <f t="shared" si="19"/>
        <v>0</v>
      </c>
      <c r="T605" s="37"/>
      <c r="U605" s="37"/>
      <c r="V605" s="37"/>
      <c r="W605" s="37"/>
      <c r="X605" s="37"/>
      <c r="Y605" s="37"/>
      <c r="Z605" s="37"/>
      <c r="AA605" s="37"/>
    </row>
    <row r="606" spans="1:27" ht="19.5" customHeight="1">
      <c r="A606" s="2">
        <v>597</v>
      </c>
      <c r="B606" s="11" t="s">
        <v>683</v>
      </c>
      <c r="C606" s="11"/>
      <c r="D606" s="11"/>
      <c r="E606" s="11" t="s">
        <v>2583</v>
      </c>
      <c r="F606" s="2" t="s">
        <v>3189</v>
      </c>
      <c r="G606" s="2" t="s">
        <v>1449</v>
      </c>
      <c r="H606" s="2" t="s">
        <v>1918</v>
      </c>
      <c r="I606" s="2" t="s">
        <v>12</v>
      </c>
      <c r="J606" s="2" t="s">
        <v>3190</v>
      </c>
      <c r="K606" s="105">
        <v>1638</v>
      </c>
      <c r="L606" s="63">
        <v>14</v>
      </c>
      <c r="M606" s="63"/>
      <c r="N606" s="63"/>
      <c r="O606" s="63"/>
      <c r="P606" s="63"/>
      <c r="Q606" s="63"/>
      <c r="R606" s="100">
        <f t="shared" si="18"/>
        <v>14</v>
      </c>
      <c r="S606" s="100">
        <f t="shared" si="19"/>
        <v>-14</v>
      </c>
    </row>
    <row r="607" spans="1:27" ht="19.5" customHeight="1">
      <c r="A607" s="2">
        <v>598</v>
      </c>
      <c r="B607" s="11" t="s">
        <v>2618</v>
      </c>
      <c r="C607" s="11"/>
      <c r="D607" s="11"/>
      <c r="E607" s="11" t="s">
        <v>2617</v>
      </c>
      <c r="F607" s="2" t="s">
        <v>3191</v>
      </c>
      <c r="G607" s="2" t="s">
        <v>2909</v>
      </c>
      <c r="H607" s="2" t="s">
        <v>2619</v>
      </c>
      <c r="I607" s="2" t="s">
        <v>628</v>
      </c>
      <c r="J607" s="2" t="s">
        <v>241</v>
      </c>
      <c r="K607" s="105">
        <v>15380</v>
      </c>
      <c r="L607" s="63">
        <v>15</v>
      </c>
      <c r="M607" s="63"/>
      <c r="N607" s="63"/>
      <c r="O607" s="63"/>
      <c r="P607" s="63"/>
      <c r="Q607" s="63"/>
      <c r="R607" s="100">
        <f t="shared" si="18"/>
        <v>15</v>
      </c>
      <c r="S607" s="100">
        <f t="shared" si="19"/>
        <v>-15</v>
      </c>
    </row>
    <row r="608" spans="1:27" ht="19.5" customHeight="1">
      <c r="A608" s="2">
        <v>599</v>
      </c>
      <c r="B608" s="11" t="s">
        <v>683</v>
      </c>
      <c r="C608" s="11"/>
      <c r="D608" s="11"/>
      <c r="E608" s="11" t="s">
        <v>2584</v>
      </c>
      <c r="F608" s="2" t="s">
        <v>3192</v>
      </c>
      <c r="G608" s="2" t="s">
        <v>1449</v>
      </c>
      <c r="H608" s="2" t="s">
        <v>2585</v>
      </c>
      <c r="I608" s="66" t="s">
        <v>10</v>
      </c>
      <c r="J608" s="2" t="s">
        <v>3193</v>
      </c>
      <c r="K608" s="105">
        <v>2709</v>
      </c>
      <c r="L608" s="63">
        <v>0</v>
      </c>
      <c r="M608" s="63"/>
      <c r="N608" s="63"/>
      <c r="O608" s="63"/>
      <c r="P608" s="63"/>
      <c r="Q608" s="63"/>
      <c r="R608" s="100">
        <f t="shared" si="18"/>
        <v>0</v>
      </c>
      <c r="S608" s="100">
        <f t="shared" si="19"/>
        <v>0</v>
      </c>
    </row>
    <row r="609" spans="1:27" ht="19.5" customHeight="1">
      <c r="A609" s="2">
        <v>600</v>
      </c>
      <c r="B609" s="67" t="s">
        <v>1450</v>
      </c>
      <c r="C609" s="4"/>
      <c r="D609" s="4"/>
      <c r="E609" s="11" t="s">
        <v>1451</v>
      </c>
      <c r="F609" s="2" t="s">
        <v>1454</v>
      </c>
      <c r="G609" s="2" t="s">
        <v>1449</v>
      </c>
      <c r="H609" s="2" t="s">
        <v>1452</v>
      </c>
      <c r="I609" s="2" t="s">
        <v>10</v>
      </c>
      <c r="J609" s="2" t="s">
        <v>1453</v>
      </c>
      <c r="K609" s="105">
        <v>3024</v>
      </c>
      <c r="L609" s="63">
        <v>884</v>
      </c>
      <c r="M609" s="63"/>
      <c r="N609" s="63"/>
      <c r="O609" s="63"/>
      <c r="P609" s="63"/>
      <c r="Q609" s="63"/>
      <c r="R609" s="100">
        <f t="shared" si="18"/>
        <v>884</v>
      </c>
      <c r="S609" s="100">
        <f t="shared" si="19"/>
        <v>-884</v>
      </c>
    </row>
    <row r="610" spans="1:27" ht="19.5" customHeight="1">
      <c r="A610" s="2">
        <v>601</v>
      </c>
      <c r="B610" s="11" t="s">
        <v>683</v>
      </c>
      <c r="C610" s="11"/>
      <c r="D610" s="11"/>
      <c r="E610" s="65" t="s">
        <v>3194</v>
      </c>
      <c r="F610" s="2" t="s">
        <v>1454</v>
      </c>
      <c r="G610" s="2" t="s">
        <v>1449</v>
      </c>
      <c r="H610" s="2" t="s">
        <v>2586</v>
      </c>
      <c r="I610" s="2" t="s">
        <v>10</v>
      </c>
      <c r="J610" s="2" t="s">
        <v>3193</v>
      </c>
      <c r="K610" s="105">
        <v>3900</v>
      </c>
      <c r="L610" s="63">
        <v>18</v>
      </c>
      <c r="M610" s="63"/>
      <c r="N610" s="63"/>
      <c r="O610" s="63"/>
      <c r="P610" s="63"/>
      <c r="Q610" s="63"/>
      <c r="R610" s="100">
        <f t="shared" si="18"/>
        <v>18</v>
      </c>
      <c r="S610" s="100">
        <f t="shared" si="19"/>
        <v>-18</v>
      </c>
    </row>
    <row r="611" spans="1:27" ht="19.5" customHeight="1">
      <c r="A611" s="2">
        <v>602</v>
      </c>
      <c r="B611" s="67" t="s">
        <v>1970</v>
      </c>
      <c r="C611" s="4"/>
      <c r="D611" s="4"/>
      <c r="E611" s="11" t="s">
        <v>1971</v>
      </c>
      <c r="F611" s="2" t="s">
        <v>1973</v>
      </c>
      <c r="G611" s="2" t="s">
        <v>1953</v>
      </c>
      <c r="H611" s="2" t="s">
        <v>1972</v>
      </c>
      <c r="I611" s="2" t="s">
        <v>11</v>
      </c>
      <c r="J611" s="2" t="s">
        <v>842</v>
      </c>
      <c r="K611" s="105">
        <v>1950</v>
      </c>
      <c r="L611" s="63">
        <v>6909</v>
      </c>
      <c r="M611" s="63"/>
      <c r="N611" s="63"/>
      <c r="O611" s="63"/>
      <c r="P611" s="63"/>
      <c r="Q611" s="63"/>
      <c r="R611" s="100">
        <f t="shared" si="18"/>
        <v>6909</v>
      </c>
      <c r="S611" s="100">
        <f t="shared" si="19"/>
        <v>-6909</v>
      </c>
    </row>
    <row r="612" spans="1:27" ht="19.5" customHeight="1">
      <c r="A612" s="2">
        <v>603</v>
      </c>
      <c r="B612" s="11" t="s">
        <v>2355</v>
      </c>
      <c r="C612" s="4"/>
      <c r="D612" s="4"/>
      <c r="E612" s="11" t="s">
        <v>149</v>
      </c>
      <c r="F612" s="79" t="s">
        <v>2356</v>
      </c>
      <c r="G612" s="79" t="s">
        <v>1567</v>
      </c>
      <c r="H612" s="2" t="s">
        <v>150</v>
      </c>
      <c r="I612" s="2" t="s">
        <v>10</v>
      </c>
      <c r="J612" s="2" t="s">
        <v>2180</v>
      </c>
      <c r="K612" s="105">
        <v>1155</v>
      </c>
      <c r="L612" s="63">
        <v>9900</v>
      </c>
      <c r="M612" s="63"/>
      <c r="N612" s="63"/>
      <c r="O612" s="63"/>
      <c r="P612" s="63"/>
      <c r="Q612" s="63"/>
      <c r="R612" s="100">
        <f t="shared" si="18"/>
        <v>9900</v>
      </c>
      <c r="S612" s="100">
        <f t="shared" si="19"/>
        <v>-9900</v>
      </c>
    </row>
    <row r="613" spans="1:27" ht="19.5" customHeight="1">
      <c r="A613" s="2">
        <v>604</v>
      </c>
      <c r="B613" s="67" t="s">
        <v>256</v>
      </c>
      <c r="C613" s="4"/>
      <c r="D613" s="4"/>
      <c r="E613" s="11" t="s">
        <v>1612</v>
      </c>
      <c r="F613" s="2" t="s">
        <v>1614</v>
      </c>
      <c r="G613" s="2" t="s">
        <v>463</v>
      </c>
      <c r="H613" s="2" t="s">
        <v>334</v>
      </c>
      <c r="I613" s="2" t="s">
        <v>11</v>
      </c>
      <c r="J613" s="2" t="s">
        <v>1613</v>
      </c>
      <c r="K613" s="105">
        <v>12600</v>
      </c>
      <c r="L613" s="63">
        <v>2000</v>
      </c>
      <c r="M613" s="63"/>
      <c r="N613" s="63"/>
      <c r="O613" s="63"/>
      <c r="P613" s="63"/>
      <c r="Q613" s="63"/>
      <c r="R613" s="100">
        <f t="shared" si="18"/>
        <v>2000</v>
      </c>
      <c r="S613" s="100">
        <f t="shared" si="19"/>
        <v>-2000</v>
      </c>
    </row>
    <row r="614" spans="1:27" ht="19.5" customHeight="1">
      <c r="A614" s="2">
        <v>605</v>
      </c>
      <c r="B614" s="77" t="s">
        <v>659</v>
      </c>
      <c r="C614" s="4"/>
      <c r="D614" s="4"/>
      <c r="E614" s="77" t="s">
        <v>3195</v>
      </c>
      <c r="F614" s="5" t="s">
        <v>3196</v>
      </c>
      <c r="G614" s="5" t="s">
        <v>3197</v>
      </c>
      <c r="H614" s="5" t="s">
        <v>258</v>
      </c>
      <c r="I614" s="5" t="s">
        <v>10</v>
      </c>
      <c r="J614" s="5" t="s">
        <v>1350</v>
      </c>
      <c r="K614" s="105">
        <v>1900</v>
      </c>
      <c r="L614" s="63"/>
      <c r="M614" s="63"/>
      <c r="N614" s="63"/>
      <c r="O614" s="63"/>
      <c r="P614" s="63"/>
      <c r="Q614" s="63"/>
      <c r="R614" s="100">
        <f t="shared" si="18"/>
        <v>0</v>
      </c>
      <c r="S614" s="100">
        <f t="shared" si="19"/>
        <v>0</v>
      </c>
      <c r="T614" s="37"/>
      <c r="U614" s="37"/>
      <c r="V614" s="37"/>
      <c r="W614" s="37"/>
      <c r="X614" s="37"/>
      <c r="Y614" s="37"/>
      <c r="Z614" s="37"/>
      <c r="AA614" s="37"/>
    </row>
    <row r="615" spans="1:27" ht="19.5" customHeight="1">
      <c r="A615" s="2">
        <v>606</v>
      </c>
      <c r="B615" s="77" t="s">
        <v>3198</v>
      </c>
      <c r="C615" s="4"/>
      <c r="D615" s="4"/>
      <c r="E615" s="77" t="s">
        <v>3199</v>
      </c>
      <c r="F615" s="5" t="s">
        <v>3200</v>
      </c>
      <c r="G615" s="5" t="s">
        <v>2072</v>
      </c>
      <c r="H615" s="5" t="s">
        <v>3201</v>
      </c>
      <c r="I615" s="5" t="s">
        <v>14</v>
      </c>
      <c r="J615" s="5" t="s">
        <v>3202</v>
      </c>
      <c r="K615" s="105">
        <v>138500</v>
      </c>
      <c r="L615" s="63"/>
      <c r="M615" s="63"/>
      <c r="N615" s="63"/>
      <c r="O615" s="63"/>
      <c r="P615" s="63"/>
      <c r="Q615" s="63"/>
      <c r="R615" s="100">
        <f t="shared" si="18"/>
        <v>0</v>
      </c>
      <c r="S615" s="100">
        <f t="shared" si="19"/>
        <v>0</v>
      </c>
      <c r="T615" s="37"/>
      <c r="U615" s="37"/>
      <c r="V615" s="37"/>
      <c r="W615" s="37"/>
      <c r="X615" s="37"/>
      <c r="Y615" s="37"/>
      <c r="Z615" s="37"/>
      <c r="AA615" s="37"/>
    </row>
    <row r="616" spans="1:27" ht="19.5" customHeight="1">
      <c r="A616" s="2">
        <v>607</v>
      </c>
      <c r="B616" s="70" t="s">
        <v>2073</v>
      </c>
      <c r="C616" s="4"/>
      <c r="D616" s="4"/>
      <c r="E616" s="11" t="s">
        <v>2074</v>
      </c>
      <c r="F616" s="2" t="s">
        <v>2076</v>
      </c>
      <c r="G616" s="2" t="s">
        <v>2072</v>
      </c>
      <c r="H616" s="2" t="s">
        <v>2075</v>
      </c>
      <c r="I616" s="2" t="s">
        <v>898</v>
      </c>
      <c r="J616" s="2" t="s">
        <v>2065</v>
      </c>
      <c r="K616" s="105">
        <v>153999</v>
      </c>
      <c r="L616" s="63">
        <v>547</v>
      </c>
      <c r="M616" s="63"/>
      <c r="N616" s="63"/>
      <c r="O616" s="63"/>
      <c r="P616" s="63"/>
      <c r="Q616" s="63"/>
      <c r="R616" s="100">
        <f t="shared" si="18"/>
        <v>547</v>
      </c>
      <c r="S616" s="100">
        <f t="shared" si="19"/>
        <v>-547</v>
      </c>
    </row>
    <row r="617" spans="1:27" ht="19.5" customHeight="1">
      <c r="A617" s="2">
        <v>608</v>
      </c>
      <c r="B617" s="71" t="s">
        <v>353</v>
      </c>
      <c r="C617" s="4"/>
      <c r="D617" s="4"/>
      <c r="E617" s="11" t="s">
        <v>2614</v>
      </c>
      <c r="F617" s="2" t="s">
        <v>525</v>
      </c>
      <c r="G617" s="2" t="s">
        <v>526</v>
      </c>
      <c r="H617" s="2" t="s">
        <v>524</v>
      </c>
      <c r="I617" s="2" t="s">
        <v>628</v>
      </c>
      <c r="J617" s="2" t="s">
        <v>3203</v>
      </c>
      <c r="K617" s="105">
        <v>21945</v>
      </c>
      <c r="L617" s="63">
        <v>4</v>
      </c>
      <c r="M617" s="63"/>
      <c r="N617" s="63"/>
      <c r="O617" s="63"/>
      <c r="P617" s="63"/>
      <c r="Q617" s="63"/>
      <c r="R617" s="100">
        <f t="shared" si="18"/>
        <v>4</v>
      </c>
      <c r="S617" s="100">
        <f t="shared" si="19"/>
        <v>-4</v>
      </c>
    </row>
    <row r="618" spans="1:27" ht="19.5" customHeight="1">
      <c r="A618" s="2">
        <v>609</v>
      </c>
      <c r="B618" s="77" t="s">
        <v>3092</v>
      </c>
      <c r="C618" s="4"/>
      <c r="D618" s="4"/>
      <c r="E618" s="77" t="s">
        <v>3204</v>
      </c>
      <c r="F618" s="5" t="s">
        <v>3205</v>
      </c>
      <c r="G618" s="2" t="s">
        <v>3206</v>
      </c>
      <c r="H618" s="5" t="s">
        <v>238</v>
      </c>
      <c r="I618" s="5" t="s">
        <v>10</v>
      </c>
      <c r="J618" s="2" t="s">
        <v>667</v>
      </c>
      <c r="K618" s="105">
        <v>5397</v>
      </c>
      <c r="L618" s="63"/>
      <c r="M618" s="63"/>
      <c r="N618" s="63"/>
      <c r="O618" s="63"/>
      <c r="P618" s="63"/>
      <c r="Q618" s="63"/>
      <c r="R618" s="100">
        <f t="shared" si="18"/>
        <v>0</v>
      </c>
      <c r="S618" s="100">
        <f t="shared" si="19"/>
        <v>0</v>
      </c>
      <c r="T618" s="37"/>
      <c r="U618" s="37"/>
      <c r="V618" s="37"/>
      <c r="W618" s="37"/>
      <c r="X618" s="37"/>
      <c r="Y618" s="37"/>
      <c r="Z618" s="37"/>
      <c r="AA618" s="37"/>
    </row>
    <row r="619" spans="1:27" ht="19.5" customHeight="1">
      <c r="A619" s="2">
        <v>610</v>
      </c>
      <c r="B619" s="65" t="s">
        <v>3207</v>
      </c>
      <c r="C619" s="11"/>
      <c r="D619" s="11"/>
      <c r="E619" s="65" t="s">
        <v>3207</v>
      </c>
      <c r="F619" s="2" t="s">
        <v>3208</v>
      </c>
      <c r="G619" s="2" t="s">
        <v>1913</v>
      </c>
      <c r="H619" s="2" t="s">
        <v>739</v>
      </c>
      <c r="I619" s="2" t="s">
        <v>701</v>
      </c>
      <c r="J619" s="2" t="s">
        <v>241</v>
      </c>
      <c r="K619" s="105">
        <v>3169</v>
      </c>
      <c r="L619" s="63">
        <v>6</v>
      </c>
      <c r="M619" s="63"/>
      <c r="N619" s="63"/>
      <c r="O619" s="63"/>
      <c r="P619" s="63"/>
      <c r="Q619" s="63"/>
      <c r="R619" s="100">
        <f t="shared" si="18"/>
        <v>6</v>
      </c>
      <c r="S619" s="100">
        <f t="shared" si="19"/>
        <v>-6</v>
      </c>
    </row>
    <row r="620" spans="1:27" ht="19.5" customHeight="1">
      <c r="A620" s="2">
        <v>611</v>
      </c>
      <c r="B620" s="11" t="s">
        <v>1333</v>
      </c>
      <c r="C620" s="11"/>
      <c r="D620" s="11"/>
      <c r="E620" s="11" t="s">
        <v>2521</v>
      </c>
      <c r="F620" s="2" t="s">
        <v>3209</v>
      </c>
      <c r="G620" s="2" t="s">
        <v>3210</v>
      </c>
      <c r="H620" s="2" t="s">
        <v>2522</v>
      </c>
      <c r="I620" s="2" t="s">
        <v>18</v>
      </c>
      <c r="J620" s="2" t="s">
        <v>3211</v>
      </c>
      <c r="K620" s="105">
        <v>23799</v>
      </c>
      <c r="L620" s="63">
        <v>216</v>
      </c>
      <c r="M620" s="63"/>
      <c r="N620" s="63"/>
      <c r="O620" s="63"/>
      <c r="P620" s="63"/>
      <c r="Q620" s="63"/>
      <c r="R620" s="100">
        <f t="shared" si="18"/>
        <v>216</v>
      </c>
      <c r="S620" s="100">
        <f t="shared" si="19"/>
        <v>-216</v>
      </c>
    </row>
    <row r="621" spans="1:27" ht="19.5" customHeight="1">
      <c r="A621" s="2">
        <v>612</v>
      </c>
      <c r="B621" s="11" t="s">
        <v>1664</v>
      </c>
      <c r="C621" s="4"/>
      <c r="D621" s="4"/>
      <c r="E621" s="11" t="s">
        <v>1899</v>
      </c>
      <c r="F621" s="8" t="s">
        <v>1900</v>
      </c>
      <c r="G621" s="8" t="s">
        <v>1901</v>
      </c>
      <c r="H621" s="8" t="s">
        <v>715</v>
      </c>
      <c r="I621" s="68" t="s">
        <v>14</v>
      </c>
      <c r="J621" s="8" t="s">
        <v>306</v>
      </c>
      <c r="K621" s="105">
        <v>23000</v>
      </c>
      <c r="L621" s="63">
        <v>0</v>
      </c>
      <c r="M621" s="63"/>
      <c r="N621" s="63"/>
      <c r="O621" s="63"/>
      <c r="P621" s="63"/>
      <c r="Q621" s="63"/>
      <c r="R621" s="100">
        <f t="shared" si="18"/>
        <v>0</v>
      </c>
      <c r="S621" s="100">
        <f t="shared" si="19"/>
        <v>0</v>
      </c>
    </row>
    <row r="622" spans="1:27" ht="19.5" customHeight="1">
      <c r="A622" s="2">
        <v>613</v>
      </c>
      <c r="B622" s="11" t="s">
        <v>411</v>
      </c>
      <c r="C622" s="11"/>
      <c r="D622" s="11"/>
      <c r="E622" s="11" t="s">
        <v>2587</v>
      </c>
      <c r="F622" s="2" t="s">
        <v>3212</v>
      </c>
      <c r="G622" s="2" t="s">
        <v>3213</v>
      </c>
      <c r="H622" s="2" t="s">
        <v>225</v>
      </c>
      <c r="I622" s="66" t="s">
        <v>10</v>
      </c>
      <c r="J622" s="2" t="s">
        <v>1350</v>
      </c>
      <c r="K622" s="105">
        <v>2350</v>
      </c>
      <c r="L622" s="63">
        <v>2</v>
      </c>
      <c r="M622" s="63"/>
      <c r="N622" s="63"/>
      <c r="O622" s="63"/>
      <c r="P622" s="63"/>
      <c r="Q622" s="63"/>
      <c r="R622" s="100">
        <f t="shared" si="18"/>
        <v>2</v>
      </c>
      <c r="S622" s="100">
        <f t="shared" si="19"/>
        <v>-2</v>
      </c>
    </row>
    <row r="623" spans="1:27" ht="19.5" customHeight="1">
      <c r="A623" s="2">
        <v>614</v>
      </c>
      <c r="B623" s="11" t="s">
        <v>702</v>
      </c>
      <c r="C623" s="4"/>
      <c r="D623" s="4"/>
      <c r="E623" s="11" t="s">
        <v>703</v>
      </c>
      <c r="F623" s="2" t="s">
        <v>705</v>
      </c>
      <c r="G623" s="2" t="s">
        <v>700</v>
      </c>
      <c r="H623" s="2" t="s">
        <v>704</v>
      </c>
      <c r="I623" s="2" t="s">
        <v>701</v>
      </c>
      <c r="J623" s="2" t="s">
        <v>698</v>
      </c>
      <c r="K623" s="105">
        <v>3500</v>
      </c>
      <c r="L623" s="63">
        <v>3726</v>
      </c>
      <c r="M623" s="63"/>
      <c r="N623" s="63"/>
      <c r="O623" s="63"/>
      <c r="P623" s="63"/>
      <c r="Q623" s="63"/>
      <c r="R623" s="100">
        <f t="shared" si="18"/>
        <v>3726</v>
      </c>
      <c r="S623" s="100">
        <f t="shared" si="19"/>
        <v>-3726</v>
      </c>
    </row>
    <row r="624" spans="1:27" ht="19.5" customHeight="1">
      <c r="A624" s="2">
        <v>615</v>
      </c>
      <c r="B624" s="11" t="s">
        <v>337</v>
      </c>
      <c r="C624" s="11"/>
      <c r="D624" s="11"/>
      <c r="E624" s="65" t="s">
        <v>3214</v>
      </c>
      <c r="F624" s="2" t="s">
        <v>3215</v>
      </c>
      <c r="G624" s="2" t="s">
        <v>3216</v>
      </c>
      <c r="H624" s="2" t="s">
        <v>225</v>
      </c>
      <c r="I624" s="66" t="s">
        <v>10</v>
      </c>
      <c r="J624" s="2" t="s">
        <v>667</v>
      </c>
      <c r="K624" s="105">
        <v>5250</v>
      </c>
      <c r="L624" s="63">
        <v>24</v>
      </c>
      <c r="M624" s="63"/>
      <c r="N624" s="63"/>
      <c r="O624" s="63"/>
      <c r="P624" s="63"/>
      <c r="Q624" s="63"/>
      <c r="R624" s="100">
        <f t="shared" si="18"/>
        <v>24</v>
      </c>
      <c r="S624" s="100">
        <f t="shared" si="19"/>
        <v>-24</v>
      </c>
    </row>
    <row r="625" spans="1:27" ht="19.5" customHeight="1">
      <c r="A625" s="2">
        <v>616</v>
      </c>
      <c r="B625" s="67" t="s">
        <v>1140</v>
      </c>
      <c r="C625" s="4"/>
      <c r="D625" s="4"/>
      <c r="E625" s="11" t="s">
        <v>1141</v>
      </c>
      <c r="F625" s="2" t="s">
        <v>1143</v>
      </c>
      <c r="G625" s="2" t="s">
        <v>1136</v>
      </c>
      <c r="H625" s="2" t="s">
        <v>909</v>
      </c>
      <c r="I625" s="2" t="s">
        <v>1144</v>
      </c>
      <c r="J625" s="2" t="s">
        <v>1142</v>
      </c>
      <c r="K625" s="105">
        <v>6574</v>
      </c>
      <c r="L625" s="63">
        <v>110</v>
      </c>
      <c r="M625" s="63"/>
      <c r="N625" s="63"/>
      <c r="O625" s="63"/>
      <c r="P625" s="63"/>
      <c r="Q625" s="63"/>
      <c r="R625" s="100">
        <f t="shared" si="18"/>
        <v>110</v>
      </c>
      <c r="S625" s="100">
        <f t="shared" si="19"/>
        <v>-110</v>
      </c>
    </row>
    <row r="626" spans="1:27" ht="19.5" customHeight="1">
      <c r="A626" s="2">
        <v>617</v>
      </c>
      <c r="B626" s="11" t="s">
        <v>1540</v>
      </c>
      <c r="C626" s="4"/>
      <c r="D626" s="4"/>
      <c r="E626" s="11" t="s">
        <v>1541</v>
      </c>
      <c r="F626" s="2" t="s">
        <v>1543</v>
      </c>
      <c r="G626" s="2" t="s">
        <v>1544</v>
      </c>
      <c r="H626" s="2" t="s">
        <v>1542</v>
      </c>
      <c r="I626" s="2" t="s">
        <v>10</v>
      </c>
      <c r="J626" s="2" t="s">
        <v>884</v>
      </c>
      <c r="K626" s="105">
        <v>4290</v>
      </c>
      <c r="L626" s="63">
        <v>8886</v>
      </c>
      <c r="M626" s="63"/>
      <c r="N626" s="63"/>
      <c r="O626" s="63"/>
      <c r="P626" s="63"/>
      <c r="Q626" s="63"/>
      <c r="R626" s="100">
        <f t="shared" si="18"/>
        <v>8886</v>
      </c>
      <c r="S626" s="100">
        <f t="shared" si="19"/>
        <v>-8886</v>
      </c>
    </row>
    <row r="627" spans="1:27" ht="19.5" customHeight="1">
      <c r="A627" s="2">
        <v>618</v>
      </c>
      <c r="B627" s="11" t="s">
        <v>3217</v>
      </c>
      <c r="C627" s="11"/>
      <c r="D627" s="11"/>
      <c r="E627" s="11" t="s">
        <v>1541</v>
      </c>
      <c r="F627" s="2" t="s">
        <v>1543</v>
      </c>
      <c r="G627" s="2" t="s">
        <v>3218</v>
      </c>
      <c r="H627" s="2" t="s">
        <v>1542</v>
      </c>
      <c r="I627" s="2" t="s">
        <v>10</v>
      </c>
      <c r="J627" s="2" t="s">
        <v>647</v>
      </c>
      <c r="K627" s="105">
        <v>4560</v>
      </c>
      <c r="L627" s="63">
        <v>0</v>
      </c>
      <c r="M627" s="63"/>
      <c r="N627" s="63"/>
      <c r="O627" s="63"/>
      <c r="P627" s="63"/>
      <c r="Q627" s="63"/>
      <c r="R627" s="100">
        <f t="shared" si="18"/>
        <v>0</v>
      </c>
      <c r="S627" s="100">
        <f t="shared" si="19"/>
        <v>0</v>
      </c>
    </row>
    <row r="628" spans="1:27" ht="19.5" customHeight="1">
      <c r="A628" s="2">
        <v>619</v>
      </c>
      <c r="B628" s="11" t="s">
        <v>683</v>
      </c>
      <c r="C628" s="4"/>
      <c r="D628" s="4"/>
      <c r="E628" s="11" t="s">
        <v>684</v>
      </c>
      <c r="F628" s="2" t="s">
        <v>687</v>
      </c>
      <c r="G628" s="2" t="s">
        <v>688</v>
      </c>
      <c r="H628" s="2" t="s">
        <v>685</v>
      </c>
      <c r="I628" s="2" t="s">
        <v>10</v>
      </c>
      <c r="J628" s="2" t="s">
        <v>686</v>
      </c>
      <c r="K628" s="105">
        <v>3500</v>
      </c>
      <c r="L628" s="63">
        <v>0</v>
      </c>
      <c r="M628" s="63"/>
      <c r="N628" s="63"/>
      <c r="O628" s="63"/>
      <c r="P628" s="63"/>
      <c r="Q628" s="63"/>
      <c r="R628" s="100">
        <f t="shared" si="18"/>
        <v>0</v>
      </c>
      <c r="S628" s="100">
        <f t="shared" si="19"/>
        <v>0</v>
      </c>
    </row>
    <row r="629" spans="1:27" ht="19.5" customHeight="1">
      <c r="A629" s="2">
        <v>620</v>
      </c>
      <c r="B629" s="11" t="s">
        <v>742</v>
      </c>
      <c r="C629" s="4"/>
      <c r="D629" s="4"/>
      <c r="E629" s="11" t="s">
        <v>743</v>
      </c>
      <c r="F629" s="2" t="s">
        <v>746</v>
      </c>
      <c r="G629" s="2" t="s">
        <v>718</v>
      </c>
      <c r="H629" s="2" t="s">
        <v>744</v>
      </c>
      <c r="I629" s="2" t="s">
        <v>628</v>
      </c>
      <c r="J629" s="2" t="s">
        <v>745</v>
      </c>
      <c r="K629" s="105">
        <v>39900</v>
      </c>
      <c r="L629" s="63">
        <v>18</v>
      </c>
      <c r="M629" s="63"/>
      <c r="N629" s="63"/>
      <c r="O629" s="63"/>
      <c r="P629" s="63"/>
      <c r="Q629" s="63"/>
      <c r="R629" s="100">
        <f t="shared" si="18"/>
        <v>18</v>
      </c>
      <c r="S629" s="100">
        <f t="shared" si="19"/>
        <v>-18</v>
      </c>
    </row>
    <row r="630" spans="1:27" ht="19.5" customHeight="1">
      <c r="A630" s="2">
        <v>621</v>
      </c>
      <c r="B630" s="11" t="s">
        <v>3219</v>
      </c>
      <c r="C630" s="11"/>
      <c r="D630" s="11"/>
      <c r="E630" s="11" t="s">
        <v>2523</v>
      </c>
      <c r="F630" s="2" t="s">
        <v>3220</v>
      </c>
      <c r="G630" s="2" t="s">
        <v>449</v>
      </c>
      <c r="H630" s="2" t="s">
        <v>2524</v>
      </c>
      <c r="I630" s="66" t="s">
        <v>10</v>
      </c>
      <c r="J630" s="2" t="s">
        <v>647</v>
      </c>
      <c r="K630" s="105">
        <v>350</v>
      </c>
      <c r="L630" s="63">
        <v>23</v>
      </c>
      <c r="M630" s="63"/>
      <c r="N630" s="63"/>
      <c r="O630" s="63"/>
      <c r="P630" s="63"/>
      <c r="Q630" s="63"/>
      <c r="R630" s="100">
        <f t="shared" si="18"/>
        <v>23</v>
      </c>
      <c r="S630" s="100">
        <f t="shared" si="19"/>
        <v>-23</v>
      </c>
    </row>
    <row r="631" spans="1:27" ht="19.5" customHeight="1">
      <c r="A631" s="2">
        <v>622</v>
      </c>
      <c r="B631" s="11" t="s">
        <v>747</v>
      </c>
      <c r="C631" s="11"/>
      <c r="D631" s="11"/>
      <c r="E631" s="11" t="s">
        <v>1068</v>
      </c>
      <c r="F631" s="2" t="s">
        <v>3221</v>
      </c>
      <c r="G631" s="2" t="s">
        <v>414</v>
      </c>
      <c r="H631" s="2" t="s">
        <v>3222</v>
      </c>
      <c r="I631" s="66" t="s">
        <v>14</v>
      </c>
      <c r="J631" s="2" t="s">
        <v>3223</v>
      </c>
      <c r="K631" s="105">
        <v>1145</v>
      </c>
      <c r="L631" s="63">
        <v>0</v>
      </c>
      <c r="M631" s="63"/>
      <c r="N631" s="63"/>
      <c r="O631" s="63"/>
      <c r="P631" s="63"/>
      <c r="Q631" s="63"/>
      <c r="R631" s="100">
        <f t="shared" si="18"/>
        <v>0</v>
      </c>
      <c r="S631" s="100">
        <f t="shared" si="19"/>
        <v>0</v>
      </c>
    </row>
    <row r="632" spans="1:27" ht="19.5" customHeight="1">
      <c r="A632" s="2">
        <v>623</v>
      </c>
      <c r="B632" s="11" t="s">
        <v>747</v>
      </c>
      <c r="C632" s="11"/>
      <c r="D632" s="11"/>
      <c r="E632" s="11" t="s">
        <v>1068</v>
      </c>
      <c r="F632" s="2" t="s">
        <v>3224</v>
      </c>
      <c r="G632" s="2" t="s">
        <v>255</v>
      </c>
      <c r="H632" s="2" t="s">
        <v>2525</v>
      </c>
      <c r="I632" s="2" t="s">
        <v>18</v>
      </c>
      <c r="J632" s="2" t="s">
        <v>1069</v>
      </c>
      <c r="K632" s="105">
        <v>11886</v>
      </c>
      <c r="L632" s="63">
        <v>195</v>
      </c>
      <c r="M632" s="63"/>
      <c r="N632" s="63"/>
      <c r="O632" s="63"/>
      <c r="P632" s="63"/>
      <c r="Q632" s="63"/>
      <c r="R632" s="100">
        <f t="shared" si="18"/>
        <v>195</v>
      </c>
      <c r="S632" s="100">
        <f t="shared" si="19"/>
        <v>-195</v>
      </c>
    </row>
    <row r="633" spans="1:27" ht="19.5" customHeight="1">
      <c r="A633" s="2">
        <v>624</v>
      </c>
      <c r="B633" s="11" t="s">
        <v>747</v>
      </c>
      <c r="C633" s="4"/>
      <c r="D633" s="4"/>
      <c r="E633" s="11" t="s">
        <v>1768</v>
      </c>
      <c r="F633" s="2" t="s">
        <v>1770</v>
      </c>
      <c r="G633" s="2" t="s">
        <v>1763</v>
      </c>
      <c r="H633" s="2" t="s">
        <v>1769</v>
      </c>
      <c r="I633" s="2" t="s">
        <v>15</v>
      </c>
      <c r="J633" s="2" t="s">
        <v>1762</v>
      </c>
      <c r="K633" s="105">
        <v>8190</v>
      </c>
      <c r="L633" s="63">
        <v>0</v>
      </c>
      <c r="M633" s="63"/>
      <c r="N633" s="63"/>
      <c r="O633" s="63"/>
      <c r="P633" s="63"/>
      <c r="Q633" s="63"/>
      <c r="R633" s="100">
        <f t="shared" si="18"/>
        <v>0</v>
      </c>
      <c r="S633" s="100">
        <f t="shared" si="19"/>
        <v>0</v>
      </c>
    </row>
    <row r="634" spans="1:27" ht="19.5" customHeight="1">
      <c r="A634" s="2">
        <v>625</v>
      </c>
      <c r="B634" s="67" t="s">
        <v>998</v>
      </c>
      <c r="C634" s="4"/>
      <c r="D634" s="4"/>
      <c r="E634" s="67" t="s">
        <v>999</v>
      </c>
      <c r="F634" s="68" t="s">
        <v>1000</v>
      </c>
      <c r="G634" s="68" t="s">
        <v>1001</v>
      </c>
      <c r="H634" s="68" t="s">
        <v>327</v>
      </c>
      <c r="I634" s="68" t="s">
        <v>10</v>
      </c>
      <c r="J634" s="68" t="s">
        <v>626</v>
      </c>
      <c r="K634" s="105">
        <v>8000</v>
      </c>
      <c r="L634" s="63">
        <v>4775</v>
      </c>
      <c r="M634" s="63"/>
      <c r="N634" s="63"/>
      <c r="O634" s="63"/>
      <c r="P634" s="63"/>
      <c r="Q634" s="63"/>
      <c r="R634" s="100">
        <f t="shared" si="18"/>
        <v>4775</v>
      </c>
      <c r="S634" s="100">
        <f t="shared" si="19"/>
        <v>-4775</v>
      </c>
    </row>
    <row r="635" spans="1:27" ht="19.5" customHeight="1">
      <c r="A635" s="2">
        <v>626</v>
      </c>
      <c r="B635" s="11" t="s">
        <v>583</v>
      </c>
      <c r="C635" s="4"/>
      <c r="D635" s="4"/>
      <c r="E635" s="11" t="s">
        <v>3225</v>
      </c>
      <c r="F635" s="2" t="s">
        <v>3226</v>
      </c>
      <c r="G635" s="2" t="s">
        <v>3227</v>
      </c>
      <c r="H635" s="2" t="s">
        <v>390</v>
      </c>
      <c r="I635" s="2" t="s">
        <v>11</v>
      </c>
      <c r="J635" s="2" t="s">
        <v>1131</v>
      </c>
      <c r="K635" s="105">
        <v>1075</v>
      </c>
      <c r="L635" s="63"/>
      <c r="M635" s="63"/>
      <c r="N635" s="63"/>
      <c r="O635" s="63"/>
      <c r="P635" s="63"/>
      <c r="Q635" s="63"/>
      <c r="R635" s="100">
        <f t="shared" si="18"/>
        <v>0</v>
      </c>
      <c r="S635" s="100">
        <f t="shared" si="19"/>
        <v>0</v>
      </c>
      <c r="T635" s="37"/>
      <c r="U635" s="37"/>
      <c r="V635" s="37"/>
      <c r="W635" s="37"/>
      <c r="X635" s="37"/>
      <c r="Y635" s="37"/>
      <c r="Z635" s="37"/>
      <c r="AA635" s="37"/>
    </row>
    <row r="636" spans="1:27" ht="19.5" customHeight="1">
      <c r="A636" s="2">
        <v>627</v>
      </c>
      <c r="B636" s="64" t="s">
        <v>433</v>
      </c>
      <c r="C636" s="3"/>
      <c r="D636" s="3"/>
      <c r="E636" s="11" t="s">
        <v>464</v>
      </c>
      <c r="F636" s="2" t="s">
        <v>465</v>
      </c>
      <c r="G636" s="2" t="s">
        <v>463</v>
      </c>
      <c r="H636" s="2" t="s">
        <v>225</v>
      </c>
      <c r="I636" s="2" t="s">
        <v>10</v>
      </c>
      <c r="J636" s="2" t="s">
        <v>647</v>
      </c>
      <c r="K636" s="105">
        <v>9600</v>
      </c>
      <c r="L636" s="63">
        <v>18764</v>
      </c>
      <c r="M636" s="63"/>
      <c r="N636" s="63"/>
      <c r="O636" s="63"/>
      <c r="P636" s="63"/>
      <c r="Q636" s="63"/>
      <c r="R636" s="100">
        <f t="shared" si="18"/>
        <v>18764</v>
      </c>
      <c r="S636" s="100">
        <f t="shared" si="19"/>
        <v>-18764</v>
      </c>
    </row>
    <row r="637" spans="1:27" ht="19.5" customHeight="1">
      <c r="A637" s="2">
        <v>628</v>
      </c>
      <c r="B637" s="71" t="s">
        <v>3228</v>
      </c>
      <c r="C637" s="4"/>
      <c r="D637" s="4"/>
      <c r="E637" s="65" t="s">
        <v>3229</v>
      </c>
      <c r="F637" s="2" t="s">
        <v>3230</v>
      </c>
      <c r="G637" s="2" t="s">
        <v>1136</v>
      </c>
      <c r="H637" s="2" t="s">
        <v>2588</v>
      </c>
      <c r="I637" s="2" t="s">
        <v>18</v>
      </c>
      <c r="J637" s="2" t="s">
        <v>3231</v>
      </c>
      <c r="K637" s="105">
        <v>2982</v>
      </c>
      <c r="L637" s="63">
        <v>1</v>
      </c>
      <c r="M637" s="63"/>
      <c r="N637" s="63"/>
      <c r="O637" s="63"/>
      <c r="P637" s="63"/>
      <c r="Q637" s="63"/>
      <c r="R637" s="100">
        <f t="shared" si="18"/>
        <v>1</v>
      </c>
      <c r="S637" s="100">
        <f t="shared" si="19"/>
        <v>-1</v>
      </c>
    </row>
    <row r="638" spans="1:27" ht="19.5" customHeight="1">
      <c r="A638" s="2">
        <v>629</v>
      </c>
      <c r="B638" s="67" t="s">
        <v>2003</v>
      </c>
      <c r="C638" s="4"/>
      <c r="D638" s="4"/>
      <c r="E638" s="67" t="s">
        <v>2004</v>
      </c>
      <c r="F638" s="68" t="s">
        <v>2006</v>
      </c>
      <c r="G638" s="68" t="s">
        <v>2007</v>
      </c>
      <c r="H638" s="68" t="s">
        <v>2005</v>
      </c>
      <c r="I638" s="68" t="s">
        <v>10</v>
      </c>
      <c r="J638" s="68" t="s">
        <v>1041</v>
      </c>
      <c r="K638" s="105">
        <v>3585</v>
      </c>
      <c r="L638" s="63">
        <v>2561</v>
      </c>
      <c r="M638" s="63"/>
      <c r="N638" s="63"/>
      <c r="O638" s="63"/>
      <c r="P638" s="63"/>
      <c r="Q638" s="63"/>
      <c r="R638" s="100">
        <f t="shared" si="18"/>
        <v>2561</v>
      </c>
      <c r="S638" s="100">
        <f t="shared" si="19"/>
        <v>-2561</v>
      </c>
    </row>
    <row r="639" spans="1:27" ht="19.5" customHeight="1">
      <c r="A639" s="2">
        <v>630</v>
      </c>
      <c r="B639" s="65" t="s">
        <v>2615</v>
      </c>
      <c r="C639" s="4"/>
      <c r="D639" s="4"/>
      <c r="E639" s="11" t="s">
        <v>3232</v>
      </c>
      <c r="F639" s="2" t="s">
        <v>3233</v>
      </c>
      <c r="G639" s="2" t="s">
        <v>3234</v>
      </c>
      <c r="H639" s="2" t="s">
        <v>235</v>
      </c>
      <c r="I639" s="2" t="s">
        <v>10</v>
      </c>
      <c r="J639" s="2" t="s">
        <v>538</v>
      </c>
      <c r="K639" s="105">
        <v>178</v>
      </c>
      <c r="L639" s="63">
        <v>1</v>
      </c>
      <c r="M639" s="63"/>
      <c r="N639" s="63"/>
      <c r="O639" s="63"/>
      <c r="P639" s="63"/>
      <c r="Q639" s="63"/>
      <c r="R639" s="100">
        <f t="shared" si="18"/>
        <v>1</v>
      </c>
      <c r="S639" s="100">
        <f t="shared" si="19"/>
        <v>-1</v>
      </c>
    </row>
    <row r="640" spans="1:27" ht="19.5" customHeight="1">
      <c r="A640" s="2">
        <v>631</v>
      </c>
      <c r="B640" s="67" t="s">
        <v>592</v>
      </c>
      <c r="C640" s="4"/>
      <c r="D640" s="4"/>
      <c r="E640" s="11" t="s">
        <v>593</v>
      </c>
      <c r="F640" s="2" t="s">
        <v>595</v>
      </c>
      <c r="G640" s="2" t="s">
        <v>587</v>
      </c>
      <c r="H640" s="2" t="s">
        <v>594</v>
      </c>
      <c r="I640" s="2" t="s">
        <v>11</v>
      </c>
      <c r="J640" s="2" t="s">
        <v>585</v>
      </c>
      <c r="K640" s="105">
        <v>436</v>
      </c>
      <c r="L640" s="63">
        <v>0</v>
      </c>
      <c r="M640" s="63"/>
      <c r="N640" s="63"/>
      <c r="O640" s="63"/>
      <c r="P640" s="63"/>
      <c r="Q640" s="63"/>
      <c r="R640" s="100">
        <f t="shared" si="18"/>
        <v>0</v>
      </c>
      <c r="S640" s="100">
        <f t="shared" si="19"/>
        <v>0</v>
      </c>
    </row>
    <row r="641" spans="1:27" ht="19.5" customHeight="1">
      <c r="A641" s="2">
        <v>632</v>
      </c>
      <c r="B641" s="77" t="s">
        <v>3235</v>
      </c>
      <c r="C641" s="4"/>
      <c r="D641" s="4"/>
      <c r="E641" s="77" t="s">
        <v>3236</v>
      </c>
      <c r="F641" s="5" t="s">
        <v>3237</v>
      </c>
      <c r="G641" s="5" t="s">
        <v>489</v>
      </c>
      <c r="H641" s="5" t="s">
        <v>2005</v>
      </c>
      <c r="I641" s="7" t="s">
        <v>10</v>
      </c>
      <c r="J641" s="2" t="s">
        <v>3238</v>
      </c>
      <c r="K641" s="105">
        <v>1450</v>
      </c>
      <c r="L641" s="63"/>
      <c r="M641" s="63"/>
      <c r="N641" s="63"/>
      <c r="O641" s="63"/>
      <c r="P641" s="63"/>
      <c r="Q641" s="63"/>
      <c r="R641" s="100">
        <f t="shared" si="18"/>
        <v>0</v>
      </c>
      <c r="S641" s="100">
        <f t="shared" si="19"/>
        <v>0</v>
      </c>
      <c r="T641" s="37"/>
      <c r="U641" s="37"/>
      <c r="V641" s="37"/>
      <c r="W641" s="37"/>
      <c r="X641" s="37"/>
      <c r="Y641" s="37"/>
      <c r="Z641" s="37"/>
      <c r="AA641" s="37"/>
    </row>
    <row r="642" spans="1:27" ht="19.5" customHeight="1">
      <c r="A642" s="2">
        <v>633</v>
      </c>
      <c r="B642" s="67" t="s">
        <v>1171</v>
      </c>
      <c r="C642" s="4"/>
      <c r="D642" s="4"/>
      <c r="E642" s="67" t="s">
        <v>1172</v>
      </c>
      <c r="F642" s="68" t="s">
        <v>1174</v>
      </c>
      <c r="G642" s="68" t="s">
        <v>1159</v>
      </c>
      <c r="H642" s="68" t="s">
        <v>1173</v>
      </c>
      <c r="I642" s="68" t="s">
        <v>11</v>
      </c>
      <c r="J642" s="68" t="s">
        <v>623</v>
      </c>
      <c r="K642" s="105">
        <v>790</v>
      </c>
      <c r="L642" s="63">
        <v>7920</v>
      </c>
      <c r="M642" s="63"/>
      <c r="N642" s="63"/>
      <c r="O642" s="63"/>
      <c r="P642" s="63"/>
      <c r="Q642" s="63"/>
      <c r="R642" s="100">
        <f t="shared" si="18"/>
        <v>7920</v>
      </c>
      <c r="S642" s="100">
        <f t="shared" si="19"/>
        <v>-7920</v>
      </c>
    </row>
    <row r="643" spans="1:27" ht="19.5" customHeight="1">
      <c r="A643" s="2">
        <v>634</v>
      </c>
      <c r="B643" s="11" t="s">
        <v>1362</v>
      </c>
      <c r="C643" s="4"/>
      <c r="D643" s="4"/>
      <c r="E643" s="11" t="s">
        <v>1363</v>
      </c>
      <c r="F643" s="2" t="s">
        <v>1364</v>
      </c>
      <c r="G643" s="2" t="s">
        <v>360</v>
      </c>
      <c r="H643" s="2" t="s">
        <v>225</v>
      </c>
      <c r="I643" s="2" t="s">
        <v>11</v>
      </c>
      <c r="J643" s="2" t="s">
        <v>1336</v>
      </c>
      <c r="K643" s="105">
        <v>623</v>
      </c>
      <c r="L643" s="63">
        <v>500</v>
      </c>
      <c r="M643" s="63"/>
      <c r="N643" s="63"/>
      <c r="O643" s="63"/>
      <c r="P643" s="63"/>
      <c r="Q643" s="63"/>
      <c r="R643" s="100">
        <f t="shared" si="18"/>
        <v>500</v>
      </c>
      <c r="S643" s="100">
        <f t="shared" si="19"/>
        <v>-500</v>
      </c>
    </row>
    <row r="644" spans="1:27" ht="19.5" customHeight="1">
      <c r="A644" s="2">
        <v>635</v>
      </c>
      <c r="B644" s="11" t="s">
        <v>1362</v>
      </c>
      <c r="C644" s="11"/>
      <c r="D644" s="11"/>
      <c r="E644" s="11" t="s">
        <v>1363</v>
      </c>
      <c r="F644" s="2" t="s">
        <v>1364</v>
      </c>
      <c r="G644" s="2" t="s">
        <v>360</v>
      </c>
      <c r="H644" s="2" t="s">
        <v>225</v>
      </c>
      <c r="I644" s="2" t="s">
        <v>11</v>
      </c>
      <c r="J644" s="2" t="s">
        <v>1336</v>
      </c>
      <c r="K644" s="105">
        <v>709</v>
      </c>
      <c r="L644" s="63">
        <v>1194</v>
      </c>
      <c r="M644" s="63"/>
      <c r="N644" s="63"/>
      <c r="O644" s="63"/>
      <c r="P644" s="63"/>
      <c r="Q644" s="63"/>
      <c r="R644" s="100">
        <f t="shared" si="18"/>
        <v>1194</v>
      </c>
      <c r="S644" s="100">
        <f t="shared" si="19"/>
        <v>-1194</v>
      </c>
    </row>
    <row r="645" spans="1:27" ht="19.5" customHeight="1">
      <c r="A645" s="2">
        <v>636</v>
      </c>
      <c r="B645" s="87" t="s">
        <v>3239</v>
      </c>
      <c r="C645" s="4"/>
      <c r="D645" s="4"/>
      <c r="E645" s="11" t="s">
        <v>1674</v>
      </c>
      <c r="F645" s="6" t="s">
        <v>1676</v>
      </c>
      <c r="G645" s="14" t="s">
        <v>1677</v>
      </c>
      <c r="H645" s="2" t="s">
        <v>3240</v>
      </c>
      <c r="I645" s="14" t="s">
        <v>10</v>
      </c>
      <c r="J645" s="2" t="s">
        <v>1675</v>
      </c>
      <c r="K645" s="105">
        <v>840</v>
      </c>
      <c r="L645" s="63">
        <v>3931</v>
      </c>
      <c r="M645" s="63"/>
      <c r="N645" s="63"/>
      <c r="O645" s="63"/>
      <c r="P645" s="63"/>
      <c r="Q645" s="63"/>
      <c r="R645" s="100">
        <f t="shared" si="18"/>
        <v>3931</v>
      </c>
      <c r="S645" s="100">
        <f t="shared" si="19"/>
        <v>-3931</v>
      </c>
    </row>
    <row r="646" spans="1:27" ht="19.5" customHeight="1">
      <c r="A646" s="2">
        <v>637</v>
      </c>
      <c r="B646" s="11" t="s">
        <v>2527</v>
      </c>
      <c r="C646" s="11"/>
      <c r="D646" s="11"/>
      <c r="E646" s="11" t="s">
        <v>2526</v>
      </c>
      <c r="F646" s="2" t="s">
        <v>3241</v>
      </c>
      <c r="G646" s="2" t="s">
        <v>3242</v>
      </c>
      <c r="H646" s="2" t="s">
        <v>267</v>
      </c>
      <c r="I646" s="2" t="s">
        <v>14</v>
      </c>
      <c r="J646" s="2" t="s">
        <v>3243</v>
      </c>
      <c r="K646" s="105">
        <v>153560</v>
      </c>
      <c r="L646" s="63">
        <v>2</v>
      </c>
      <c r="M646" s="63"/>
      <c r="N646" s="63"/>
      <c r="O646" s="63"/>
      <c r="P646" s="63"/>
      <c r="Q646" s="63"/>
      <c r="R646" s="100">
        <f t="shared" si="18"/>
        <v>2</v>
      </c>
      <c r="S646" s="100">
        <f t="shared" si="19"/>
        <v>-2</v>
      </c>
    </row>
    <row r="647" spans="1:27" ht="19.5" customHeight="1">
      <c r="A647" s="2">
        <v>638</v>
      </c>
      <c r="B647" s="65" t="s">
        <v>152</v>
      </c>
      <c r="C647" s="11"/>
      <c r="D647" s="11"/>
      <c r="E647" s="65" t="s">
        <v>151</v>
      </c>
      <c r="F647" s="2" t="s">
        <v>2297</v>
      </c>
      <c r="G647" s="2" t="s">
        <v>2253</v>
      </c>
      <c r="H647" s="66" t="s">
        <v>153</v>
      </c>
      <c r="I647" s="2" t="s">
        <v>11</v>
      </c>
      <c r="J647" s="2" t="s">
        <v>1329</v>
      </c>
      <c r="K647" s="105">
        <v>780</v>
      </c>
      <c r="L647" s="63">
        <v>0</v>
      </c>
      <c r="M647" s="63"/>
      <c r="N647" s="63"/>
      <c r="O647" s="63"/>
      <c r="P647" s="63"/>
      <c r="Q647" s="63"/>
      <c r="R647" s="100">
        <f t="shared" si="18"/>
        <v>0</v>
      </c>
      <c r="S647" s="100">
        <f t="shared" si="19"/>
        <v>0</v>
      </c>
    </row>
    <row r="648" spans="1:27" ht="19.5" customHeight="1">
      <c r="A648" s="2">
        <v>639</v>
      </c>
      <c r="B648" s="67" t="s">
        <v>2296</v>
      </c>
      <c r="C648" s="4"/>
      <c r="D648" s="4"/>
      <c r="E648" s="11" t="s">
        <v>151</v>
      </c>
      <c r="F648" s="2" t="s">
        <v>2297</v>
      </c>
      <c r="G648" s="2" t="s">
        <v>2253</v>
      </c>
      <c r="H648" s="2" t="s">
        <v>153</v>
      </c>
      <c r="I648" s="2" t="s">
        <v>16</v>
      </c>
      <c r="J648" s="2" t="s">
        <v>2250</v>
      </c>
      <c r="K648" s="105">
        <v>800</v>
      </c>
      <c r="L648" s="63">
        <v>19430</v>
      </c>
      <c r="M648" s="63"/>
      <c r="N648" s="63"/>
      <c r="O648" s="63"/>
      <c r="P648" s="63"/>
      <c r="Q648" s="63"/>
      <c r="R648" s="100">
        <f t="shared" si="18"/>
        <v>19430</v>
      </c>
      <c r="S648" s="100">
        <f t="shared" si="19"/>
        <v>-19430</v>
      </c>
    </row>
    <row r="649" spans="1:27" ht="19.5" customHeight="1">
      <c r="A649" s="2">
        <v>640</v>
      </c>
      <c r="B649" s="70" t="s">
        <v>2106</v>
      </c>
      <c r="C649" s="4"/>
      <c r="D649" s="4"/>
      <c r="E649" s="11" t="s">
        <v>2107</v>
      </c>
      <c r="F649" s="2" t="s">
        <v>2109</v>
      </c>
      <c r="G649" s="2" t="s">
        <v>2056</v>
      </c>
      <c r="H649" s="2" t="s">
        <v>2108</v>
      </c>
      <c r="I649" s="2" t="s">
        <v>628</v>
      </c>
      <c r="J649" s="2" t="s">
        <v>1034</v>
      </c>
      <c r="K649" s="105">
        <v>124999</v>
      </c>
      <c r="L649" s="63">
        <v>12</v>
      </c>
      <c r="M649" s="63"/>
      <c r="N649" s="63"/>
      <c r="O649" s="63"/>
      <c r="P649" s="63"/>
      <c r="Q649" s="63"/>
      <c r="R649" s="100">
        <f t="shared" si="18"/>
        <v>12</v>
      </c>
      <c r="S649" s="100">
        <f t="shared" si="19"/>
        <v>-12</v>
      </c>
    </row>
    <row r="650" spans="1:27" ht="19.5" customHeight="1">
      <c r="A650" s="2">
        <v>641</v>
      </c>
      <c r="B650" s="67" t="s">
        <v>607</v>
      </c>
      <c r="C650" s="4"/>
      <c r="D650" s="4"/>
      <c r="E650" s="11" t="s">
        <v>608</v>
      </c>
      <c r="F650" s="2" t="s">
        <v>609</v>
      </c>
      <c r="G650" s="2" t="s">
        <v>610</v>
      </c>
      <c r="H650" s="2" t="s">
        <v>327</v>
      </c>
      <c r="I650" s="2" t="s">
        <v>10</v>
      </c>
      <c r="J650" s="2" t="s">
        <v>547</v>
      </c>
      <c r="K650" s="105">
        <v>3500</v>
      </c>
      <c r="L650" s="63">
        <v>1614</v>
      </c>
      <c r="M650" s="63"/>
      <c r="N650" s="63"/>
      <c r="O650" s="63"/>
      <c r="P650" s="63"/>
      <c r="Q650" s="63"/>
      <c r="R650" s="100">
        <f t="shared" si="18"/>
        <v>1614</v>
      </c>
      <c r="S650" s="100">
        <f t="shared" si="19"/>
        <v>-1614</v>
      </c>
    </row>
    <row r="651" spans="1:27" ht="19.5" customHeight="1">
      <c r="A651" s="2">
        <v>642</v>
      </c>
      <c r="B651" s="64" t="s">
        <v>313</v>
      </c>
      <c r="C651" s="3"/>
      <c r="D651" s="3"/>
      <c r="E651" s="11" t="s">
        <v>502</v>
      </c>
      <c r="F651" s="2" t="s">
        <v>504</v>
      </c>
      <c r="G651" s="2" t="s">
        <v>1946</v>
      </c>
      <c r="H651" s="2" t="s">
        <v>235</v>
      </c>
      <c r="I651" s="2" t="s">
        <v>10</v>
      </c>
      <c r="J651" s="2" t="s">
        <v>503</v>
      </c>
      <c r="K651" s="105">
        <v>473</v>
      </c>
      <c r="L651" s="63">
        <v>5082</v>
      </c>
      <c r="M651" s="63"/>
      <c r="N651" s="63"/>
      <c r="O651" s="63"/>
      <c r="P651" s="63"/>
      <c r="Q651" s="63"/>
      <c r="R651" s="100">
        <f t="shared" ref="R651:R714" si="20">L651+M651-O651</f>
        <v>5082</v>
      </c>
      <c r="S651" s="100">
        <f t="shared" ref="S651:S714" si="21">Q651-R651</f>
        <v>-5082</v>
      </c>
    </row>
    <row r="652" spans="1:27" ht="19.5" customHeight="1">
      <c r="A652" s="2">
        <v>643</v>
      </c>
      <c r="B652" s="11" t="s">
        <v>313</v>
      </c>
      <c r="C652" s="11"/>
      <c r="D652" s="11"/>
      <c r="E652" s="11" t="s">
        <v>2528</v>
      </c>
      <c r="F652" s="2" t="s">
        <v>3244</v>
      </c>
      <c r="G652" s="2" t="s">
        <v>3245</v>
      </c>
      <c r="H652" s="2" t="s">
        <v>315</v>
      </c>
      <c r="I652" s="2" t="s">
        <v>11</v>
      </c>
      <c r="J652" s="2" t="s">
        <v>503</v>
      </c>
      <c r="K652" s="105">
        <v>700</v>
      </c>
      <c r="L652" s="63">
        <v>81</v>
      </c>
      <c r="M652" s="63"/>
      <c r="N652" s="63"/>
      <c r="O652" s="63"/>
      <c r="P652" s="63"/>
      <c r="Q652" s="63"/>
      <c r="R652" s="100">
        <f t="shared" si="20"/>
        <v>81</v>
      </c>
      <c r="S652" s="100">
        <f t="shared" si="21"/>
        <v>-81</v>
      </c>
    </row>
    <row r="653" spans="1:27" ht="19.5" customHeight="1">
      <c r="A653" s="2">
        <v>644</v>
      </c>
      <c r="B653" s="11" t="s">
        <v>1365</v>
      </c>
      <c r="C653" s="4"/>
      <c r="D653" s="4"/>
      <c r="E653" s="11" t="s">
        <v>1366</v>
      </c>
      <c r="F653" s="2" t="s">
        <v>1367</v>
      </c>
      <c r="G653" s="2" t="s">
        <v>360</v>
      </c>
      <c r="H653" s="2" t="s">
        <v>310</v>
      </c>
      <c r="I653" s="2" t="s">
        <v>11</v>
      </c>
      <c r="J653" s="2" t="s">
        <v>1329</v>
      </c>
      <c r="K653" s="105">
        <v>245</v>
      </c>
      <c r="L653" s="63">
        <v>9403</v>
      </c>
      <c r="M653" s="63"/>
      <c r="N653" s="63"/>
      <c r="O653" s="63"/>
      <c r="P653" s="63"/>
      <c r="Q653" s="63"/>
      <c r="R653" s="100">
        <f t="shared" si="20"/>
        <v>9403</v>
      </c>
      <c r="S653" s="100">
        <f t="shared" si="21"/>
        <v>-9403</v>
      </c>
    </row>
    <row r="654" spans="1:27" ht="19.5" customHeight="1">
      <c r="A654" s="2">
        <v>645</v>
      </c>
      <c r="B654" s="11" t="s">
        <v>731</v>
      </c>
      <c r="C654" s="11"/>
      <c r="D654" s="11"/>
      <c r="E654" s="65" t="s">
        <v>2023</v>
      </c>
      <c r="F654" s="2" t="s">
        <v>3246</v>
      </c>
      <c r="G654" s="2" t="s">
        <v>3247</v>
      </c>
      <c r="H654" s="2" t="s">
        <v>1807</v>
      </c>
      <c r="I654" s="66" t="s">
        <v>10</v>
      </c>
      <c r="J654" s="2" t="s">
        <v>3248</v>
      </c>
      <c r="K654" s="105">
        <v>1600</v>
      </c>
      <c r="L654" s="63">
        <v>0</v>
      </c>
      <c r="M654" s="63"/>
      <c r="N654" s="63"/>
      <c r="O654" s="63"/>
      <c r="P654" s="63"/>
      <c r="Q654" s="63"/>
      <c r="R654" s="100">
        <f t="shared" si="20"/>
        <v>0</v>
      </c>
      <c r="S654" s="100">
        <f t="shared" si="21"/>
        <v>0</v>
      </c>
    </row>
    <row r="655" spans="1:27" ht="19.5" customHeight="1">
      <c r="A655" s="2">
        <v>646</v>
      </c>
      <c r="B655" s="67" t="s">
        <v>2022</v>
      </c>
      <c r="C655" s="4"/>
      <c r="D655" s="4"/>
      <c r="E655" s="67" t="s">
        <v>2023</v>
      </c>
      <c r="F655" s="68" t="s">
        <v>2025</v>
      </c>
      <c r="G655" s="68" t="s">
        <v>505</v>
      </c>
      <c r="H655" s="68" t="s">
        <v>1807</v>
      </c>
      <c r="I655" s="68" t="s">
        <v>10</v>
      </c>
      <c r="J655" s="68" t="s">
        <v>2024</v>
      </c>
      <c r="K655" s="105">
        <v>1700</v>
      </c>
      <c r="L655" s="63">
        <v>9864</v>
      </c>
      <c r="M655" s="63"/>
      <c r="N655" s="63"/>
      <c r="O655" s="63"/>
      <c r="P655" s="63"/>
      <c r="Q655" s="63"/>
      <c r="R655" s="100">
        <f t="shared" si="20"/>
        <v>9864</v>
      </c>
      <c r="S655" s="100">
        <f t="shared" si="21"/>
        <v>-9864</v>
      </c>
    </row>
    <row r="656" spans="1:27" ht="19.5" customHeight="1">
      <c r="A656" s="2">
        <v>647</v>
      </c>
      <c r="B656" s="11" t="s">
        <v>433</v>
      </c>
      <c r="C656" s="11"/>
      <c r="D656" s="11"/>
      <c r="E656" s="11" t="s">
        <v>2589</v>
      </c>
      <c r="F656" s="2" t="s">
        <v>3249</v>
      </c>
      <c r="G656" s="2" t="s">
        <v>3250</v>
      </c>
      <c r="H656" s="2" t="s">
        <v>272</v>
      </c>
      <c r="I656" s="2" t="s">
        <v>11</v>
      </c>
      <c r="J656" s="2" t="s">
        <v>642</v>
      </c>
      <c r="K656" s="105">
        <v>1370</v>
      </c>
      <c r="L656" s="63">
        <v>14219</v>
      </c>
      <c r="M656" s="63"/>
      <c r="N656" s="63"/>
      <c r="O656" s="63"/>
      <c r="P656" s="63"/>
      <c r="Q656" s="63"/>
      <c r="R656" s="100">
        <f t="shared" si="20"/>
        <v>14219</v>
      </c>
      <c r="S656" s="100">
        <f t="shared" si="21"/>
        <v>-14219</v>
      </c>
    </row>
    <row r="657" spans="1:27" ht="19.5" customHeight="1">
      <c r="A657" s="2">
        <v>648</v>
      </c>
      <c r="B657" s="11" t="s">
        <v>1692</v>
      </c>
      <c r="C657" s="4"/>
      <c r="D657" s="4"/>
      <c r="E657" s="11" t="s">
        <v>1693</v>
      </c>
      <c r="F657" s="2" t="s">
        <v>1696</v>
      </c>
      <c r="G657" s="2" t="s">
        <v>255</v>
      </c>
      <c r="H657" s="2" t="s">
        <v>1694</v>
      </c>
      <c r="I657" s="2" t="s">
        <v>10</v>
      </c>
      <c r="J657" s="2" t="s">
        <v>1695</v>
      </c>
      <c r="K657" s="105">
        <v>4494</v>
      </c>
      <c r="L657" s="63">
        <v>10000</v>
      </c>
      <c r="M657" s="63"/>
      <c r="N657" s="63"/>
      <c r="O657" s="63"/>
      <c r="P657" s="63"/>
      <c r="Q657" s="63"/>
      <c r="R657" s="100">
        <f t="shared" si="20"/>
        <v>10000</v>
      </c>
      <c r="S657" s="100">
        <f t="shared" si="21"/>
        <v>-10000</v>
      </c>
    </row>
    <row r="658" spans="1:27" ht="19.5" customHeight="1">
      <c r="A658" s="2">
        <v>649</v>
      </c>
      <c r="B658" s="11" t="s">
        <v>695</v>
      </c>
      <c r="C658" s="4"/>
      <c r="D658" s="4"/>
      <c r="E658" s="11" t="s">
        <v>696</v>
      </c>
      <c r="F658" s="2" t="s">
        <v>699</v>
      </c>
      <c r="G658" s="2" t="s">
        <v>700</v>
      </c>
      <c r="H658" s="2" t="s">
        <v>697</v>
      </c>
      <c r="I658" s="2" t="s">
        <v>701</v>
      </c>
      <c r="J658" s="2" t="s">
        <v>698</v>
      </c>
      <c r="K658" s="105">
        <v>2900</v>
      </c>
      <c r="L658" s="63">
        <v>0</v>
      </c>
      <c r="M658" s="63"/>
      <c r="N658" s="63"/>
      <c r="O658" s="63"/>
      <c r="P658" s="63"/>
      <c r="Q658" s="63"/>
      <c r="R658" s="100">
        <f t="shared" si="20"/>
        <v>0</v>
      </c>
      <c r="S658" s="100">
        <f t="shared" si="21"/>
        <v>0</v>
      </c>
    </row>
    <row r="659" spans="1:27" ht="19.5" customHeight="1">
      <c r="A659" s="2">
        <v>650</v>
      </c>
      <c r="B659" s="84" t="s">
        <v>3251</v>
      </c>
      <c r="C659" s="4"/>
      <c r="D659" s="4"/>
      <c r="E659" s="77" t="s">
        <v>3252</v>
      </c>
      <c r="F659" s="5" t="s">
        <v>3253</v>
      </c>
      <c r="G659" s="5" t="s">
        <v>2927</v>
      </c>
      <c r="H659" s="5" t="s">
        <v>3254</v>
      </c>
      <c r="I659" s="5" t="s">
        <v>18</v>
      </c>
      <c r="J659" s="2" t="s">
        <v>277</v>
      </c>
      <c r="K659" s="105">
        <v>9450</v>
      </c>
      <c r="L659" s="63"/>
      <c r="M659" s="63"/>
      <c r="N659" s="63"/>
      <c r="O659" s="63"/>
      <c r="P659" s="63"/>
      <c r="Q659" s="63"/>
      <c r="R659" s="100">
        <f t="shared" si="20"/>
        <v>0</v>
      </c>
      <c r="S659" s="100">
        <f t="shared" si="21"/>
        <v>0</v>
      </c>
      <c r="T659" s="37"/>
      <c r="U659" s="37"/>
      <c r="V659" s="37"/>
      <c r="W659" s="37"/>
      <c r="X659" s="37"/>
      <c r="Y659" s="37"/>
      <c r="Z659" s="37"/>
      <c r="AA659" s="37"/>
    </row>
    <row r="660" spans="1:27" ht="19.5" customHeight="1">
      <c r="A660" s="2">
        <v>651</v>
      </c>
      <c r="B660" s="65" t="s">
        <v>2530</v>
      </c>
      <c r="C660" s="11"/>
      <c r="D660" s="11"/>
      <c r="E660" s="65" t="s">
        <v>2529</v>
      </c>
      <c r="F660" s="2" t="s">
        <v>3255</v>
      </c>
      <c r="G660" s="2" t="s">
        <v>2646</v>
      </c>
      <c r="H660" s="66" t="s">
        <v>3256</v>
      </c>
      <c r="I660" s="2" t="s">
        <v>701</v>
      </c>
      <c r="J660" s="2" t="s">
        <v>423</v>
      </c>
      <c r="K660" s="105">
        <v>630</v>
      </c>
      <c r="L660" s="63">
        <v>21</v>
      </c>
      <c r="M660" s="63"/>
      <c r="N660" s="63"/>
      <c r="O660" s="63"/>
      <c r="P660" s="63"/>
      <c r="Q660" s="63"/>
      <c r="R660" s="100">
        <f t="shared" si="20"/>
        <v>21</v>
      </c>
      <c r="S660" s="100">
        <f t="shared" si="21"/>
        <v>-21</v>
      </c>
    </row>
    <row r="661" spans="1:27" ht="19.5" customHeight="1">
      <c r="A661" s="2">
        <v>652</v>
      </c>
      <c r="B661" s="64" t="s">
        <v>341</v>
      </c>
      <c r="C661" s="3"/>
      <c r="D661" s="3"/>
      <c r="E661" s="11" t="s">
        <v>2530</v>
      </c>
      <c r="F661" s="2" t="s">
        <v>343</v>
      </c>
      <c r="G661" s="2" t="s">
        <v>336</v>
      </c>
      <c r="H661" s="2" t="s">
        <v>342</v>
      </c>
      <c r="I661" s="2" t="s">
        <v>520</v>
      </c>
      <c r="J661" s="2" t="s">
        <v>3257</v>
      </c>
      <c r="K661" s="105">
        <v>499</v>
      </c>
      <c r="L661" s="63">
        <v>883</v>
      </c>
      <c r="M661" s="63"/>
      <c r="N661" s="63"/>
      <c r="O661" s="63"/>
      <c r="P661" s="63"/>
      <c r="Q661" s="63"/>
      <c r="R661" s="100">
        <f t="shared" si="20"/>
        <v>883</v>
      </c>
      <c r="S661" s="100">
        <f t="shared" si="21"/>
        <v>-883</v>
      </c>
    </row>
    <row r="662" spans="1:27" ht="19.5" customHeight="1">
      <c r="A662" s="2">
        <v>653</v>
      </c>
      <c r="B662" s="64" t="s">
        <v>341</v>
      </c>
      <c r="C662" s="3"/>
      <c r="D662" s="3"/>
      <c r="E662" s="11" t="s">
        <v>421</v>
      </c>
      <c r="F662" s="2" t="s">
        <v>424</v>
      </c>
      <c r="G662" s="2" t="s">
        <v>414</v>
      </c>
      <c r="H662" s="2" t="s">
        <v>422</v>
      </c>
      <c r="I662" s="2" t="s">
        <v>520</v>
      </c>
      <c r="J662" s="2" t="s">
        <v>423</v>
      </c>
      <c r="K662" s="105">
        <v>980</v>
      </c>
      <c r="L662" s="63">
        <v>600</v>
      </c>
      <c r="M662" s="63"/>
      <c r="N662" s="63"/>
      <c r="O662" s="63"/>
      <c r="P662" s="63"/>
      <c r="Q662" s="63"/>
      <c r="R662" s="100">
        <f t="shared" si="20"/>
        <v>600</v>
      </c>
      <c r="S662" s="100">
        <f t="shared" si="21"/>
        <v>-600</v>
      </c>
    </row>
    <row r="663" spans="1:27" ht="19.5" customHeight="1">
      <c r="A663" s="2">
        <v>654</v>
      </c>
      <c r="B663" s="11" t="s">
        <v>1842</v>
      </c>
      <c r="C663" s="4"/>
      <c r="D663" s="4"/>
      <c r="E663" s="74" t="s">
        <v>1843</v>
      </c>
      <c r="F663" s="19" t="s">
        <v>1845</v>
      </c>
      <c r="G663" s="2" t="s">
        <v>1841</v>
      </c>
      <c r="H663" s="2" t="s">
        <v>1844</v>
      </c>
      <c r="I663" s="2" t="s">
        <v>10</v>
      </c>
      <c r="J663" s="19" t="s">
        <v>1153</v>
      </c>
      <c r="K663" s="105">
        <v>1400</v>
      </c>
      <c r="L663" s="63">
        <v>0</v>
      </c>
      <c r="M663" s="63"/>
      <c r="N663" s="63"/>
      <c r="O663" s="63"/>
      <c r="P663" s="63"/>
      <c r="Q663" s="63"/>
      <c r="R663" s="100">
        <f t="shared" si="20"/>
        <v>0</v>
      </c>
      <c r="S663" s="100">
        <f t="shared" si="21"/>
        <v>0</v>
      </c>
    </row>
    <row r="664" spans="1:27" ht="19.5" customHeight="1">
      <c r="A664" s="2">
        <v>655</v>
      </c>
      <c r="B664" s="67" t="s">
        <v>564</v>
      </c>
      <c r="C664" s="4"/>
      <c r="D664" s="4"/>
      <c r="E664" s="11" t="s">
        <v>565</v>
      </c>
      <c r="F664" s="2" t="s">
        <v>567</v>
      </c>
      <c r="G664" s="2" t="s">
        <v>215</v>
      </c>
      <c r="H664" s="2" t="s">
        <v>566</v>
      </c>
      <c r="I664" s="2" t="s">
        <v>11</v>
      </c>
      <c r="J664" s="2" t="s">
        <v>538</v>
      </c>
      <c r="K664" s="105">
        <v>620</v>
      </c>
      <c r="L664" s="63">
        <v>360</v>
      </c>
      <c r="M664" s="63"/>
      <c r="N664" s="63"/>
      <c r="O664" s="63"/>
      <c r="P664" s="63"/>
      <c r="Q664" s="63"/>
      <c r="R664" s="100">
        <f t="shared" si="20"/>
        <v>360</v>
      </c>
      <c r="S664" s="100">
        <f t="shared" si="21"/>
        <v>-360</v>
      </c>
    </row>
    <row r="665" spans="1:27" ht="19.5" customHeight="1">
      <c r="A665" s="2">
        <v>656</v>
      </c>
      <c r="B665" s="77" t="s">
        <v>564</v>
      </c>
      <c r="C665" s="4"/>
      <c r="D665" s="4"/>
      <c r="E665" s="77" t="s">
        <v>3258</v>
      </c>
      <c r="F665" s="5" t="s">
        <v>3259</v>
      </c>
      <c r="G665" s="5" t="s">
        <v>3260</v>
      </c>
      <c r="H665" s="5" t="s">
        <v>2531</v>
      </c>
      <c r="I665" s="5" t="s">
        <v>10</v>
      </c>
      <c r="J665" s="5" t="s">
        <v>3261</v>
      </c>
      <c r="K665" s="105">
        <v>525</v>
      </c>
      <c r="L665" s="63"/>
      <c r="M665" s="63"/>
      <c r="N665" s="63"/>
      <c r="O665" s="63"/>
      <c r="P665" s="63"/>
      <c r="Q665" s="63"/>
      <c r="R665" s="100">
        <f t="shared" si="20"/>
        <v>0</v>
      </c>
      <c r="S665" s="100">
        <f t="shared" si="21"/>
        <v>0</v>
      </c>
      <c r="T665" s="37"/>
      <c r="U665" s="37"/>
      <c r="V665" s="37"/>
      <c r="W665" s="37"/>
      <c r="X665" s="37"/>
      <c r="Y665" s="37"/>
      <c r="Z665" s="37"/>
      <c r="AA665" s="37"/>
    </row>
    <row r="666" spans="1:27" ht="19.5" customHeight="1">
      <c r="A666" s="2">
        <v>657</v>
      </c>
      <c r="B666" s="11" t="s">
        <v>564</v>
      </c>
      <c r="C666" s="4"/>
      <c r="D666" s="4"/>
      <c r="E666" s="11" t="s">
        <v>1075</v>
      </c>
      <c r="F666" s="2" t="s">
        <v>1078</v>
      </c>
      <c r="G666" s="2" t="s">
        <v>336</v>
      </c>
      <c r="H666" s="2" t="s">
        <v>1076</v>
      </c>
      <c r="I666" s="2" t="s">
        <v>1079</v>
      </c>
      <c r="J666" s="2" t="s">
        <v>1077</v>
      </c>
      <c r="K666" s="105">
        <v>1050</v>
      </c>
      <c r="L666" s="63">
        <v>100</v>
      </c>
      <c r="M666" s="63"/>
      <c r="N666" s="63"/>
      <c r="O666" s="63"/>
      <c r="P666" s="63"/>
      <c r="Q666" s="63"/>
      <c r="R666" s="100">
        <f t="shared" si="20"/>
        <v>100</v>
      </c>
      <c r="S666" s="100">
        <f t="shared" si="21"/>
        <v>-100</v>
      </c>
    </row>
    <row r="667" spans="1:27" ht="19.5" customHeight="1">
      <c r="A667" s="2">
        <v>658</v>
      </c>
      <c r="B667" s="65" t="s">
        <v>564</v>
      </c>
      <c r="C667" s="11"/>
      <c r="D667" s="11"/>
      <c r="E667" s="65" t="s">
        <v>1075</v>
      </c>
      <c r="F667" s="2" t="s">
        <v>1078</v>
      </c>
      <c r="G667" s="2" t="s">
        <v>336</v>
      </c>
      <c r="H667" s="66" t="s">
        <v>2532</v>
      </c>
      <c r="I667" s="2" t="s">
        <v>1079</v>
      </c>
      <c r="J667" s="2" t="s">
        <v>1077</v>
      </c>
      <c r="K667" s="105">
        <v>1103</v>
      </c>
      <c r="L667" s="63">
        <v>4</v>
      </c>
      <c r="M667" s="63"/>
      <c r="N667" s="63"/>
      <c r="O667" s="63"/>
      <c r="P667" s="63"/>
      <c r="Q667" s="63"/>
      <c r="R667" s="100">
        <f t="shared" si="20"/>
        <v>4</v>
      </c>
      <c r="S667" s="100">
        <f t="shared" si="21"/>
        <v>-4</v>
      </c>
    </row>
    <row r="668" spans="1:27" ht="19.5" customHeight="1">
      <c r="A668" s="2">
        <v>659</v>
      </c>
      <c r="B668" s="65" t="s">
        <v>564</v>
      </c>
      <c r="C668" s="11"/>
      <c r="D668" s="11"/>
      <c r="E668" s="65" t="s">
        <v>3262</v>
      </c>
      <c r="F668" s="2" t="s">
        <v>3263</v>
      </c>
      <c r="G668" s="2" t="s">
        <v>336</v>
      </c>
      <c r="H668" s="66" t="s">
        <v>566</v>
      </c>
      <c r="I668" s="66" t="s">
        <v>11</v>
      </c>
      <c r="J668" s="2" t="s">
        <v>1291</v>
      </c>
      <c r="K668" s="105">
        <v>630</v>
      </c>
      <c r="L668" s="63">
        <v>2076</v>
      </c>
      <c r="M668" s="63"/>
      <c r="N668" s="63"/>
      <c r="O668" s="63"/>
      <c r="P668" s="63"/>
      <c r="Q668" s="63"/>
      <c r="R668" s="100">
        <f t="shared" si="20"/>
        <v>2076</v>
      </c>
      <c r="S668" s="100">
        <f t="shared" si="21"/>
        <v>-2076</v>
      </c>
    </row>
    <row r="669" spans="1:27" ht="19.5" customHeight="1">
      <c r="A669" s="2">
        <v>660</v>
      </c>
      <c r="B669" s="67" t="s">
        <v>2146</v>
      </c>
      <c r="C669" s="4"/>
      <c r="D669" s="4"/>
      <c r="E669" s="11" t="s">
        <v>2147</v>
      </c>
      <c r="F669" s="2" t="s">
        <v>2149</v>
      </c>
      <c r="G669" s="2" t="s">
        <v>350</v>
      </c>
      <c r="H669" s="2" t="s">
        <v>267</v>
      </c>
      <c r="I669" s="2" t="s">
        <v>14</v>
      </c>
      <c r="J669" s="2" t="s">
        <v>2148</v>
      </c>
      <c r="K669" s="105">
        <v>26450</v>
      </c>
      <c r="L669" s="63">
        <v>74</v>
      </c>
      <c r="M669" s="63"/>
      <c r="N669" s="63"/>
      <c r="O669" s="63"/>
      <c r="P669" s="63"/>
      <c r="Q669" s="63"/>
      <c r="R669" s="100">
        <f t="shared" si="20"/>
        <v>74</v>
      </c>
      <c r="S669" s="100">
        <f t="shared" si="21"/>
        <v>-74</v>
      </c>
    </row>
    <row r="670" spans="1:27" ht="19.5" customHeight="1">
      <c r="A670" s="2">
        <v>661</v>
      </c>
      <c r="B670" s="77" t="s">
        <v>1368</v>
      </c>
      <c r="C670" s="4"/>
      <c r="D670" s="4"/>
      <c r="E670" s="77" t="s">
        <v>1368</v>
      </c>
      <c r="F670" s="5" t="s">
        <v>3264</v>
      </c>
      <c r="G670" s="5" t="s">
        <v>3265</v>
      </c>
      <c r="H670" s="5" t="s">
        <v>299</v>
      </c>
      <c r="I670" s="5" t="s">
        <v>10</v>
      </c>
      <c r="J670" s="5" t="s">
        <v>647</v>
      </c>
      <c r="K670" s="105">
        <v>325</v>
      </c>
      <c r="L670" s="63"/>
      <c r="M670" s="63"/>
      <c r="N670" s="63"/>
      <c r="O670" s="63"/>
      <c r="P670" s="63"/>
      <c r="Q670" s="63"/>
      <c r="R670" s="100">
        <f t="shared" si="20"/>
        <v>0</v>
      </c>
      <c r="S670" s="100">
        <f t="shared" si="21"/>
        <v>0</v>
      </c>
      <c r="T670" s="37"/>
      <c r="U670" s="37"/>
      <c r="V670" s="37"/>
      <c r="W670" s="37"/>
      <c r="X670" s="37"/>
      <c r="Y670" s="37"/>
      <c r="Z670" s="37"/>
      <c r="AA670" s="37"/>
    </row>
    <row r="671" spans="1:27" ht="19.5" customHeight="1">
      <c r="A671" s="2">
        <v>662</v>
      </c>
      <c r="B671" s="11" t="s">
        <v>683</v>
      </c>
      <c r="C671" s="11"/>
      <c r="D671" s="11"/>
      <c r="E671" s="11" t="s">
        <v>3266</v>
      </c>
      <c r="F671" s="2" t="s">
        <v>3267</v>
      </c>
      <c r="G671" s="2" t="s">
        <v>322</v>
      </c>
      <c r="H671" s="2" t="s">
        <v>691</v>
      </c>
      <c r="I671" s="66" t="s">
        <v>10</v>
      </c>
      <c r="J671" s="2" t="s">
        <v>647</v>
      </c>
      <c r="K671" s="105">
        <v>2098</v>
      </c>
      <c r="L671" s="63">
        <v>0</v>
      </c>
      <c r="M671" s="63"/>
      <c r="N671" s="63"/>
      <c r="O671" s="63"/>
      <c r="P671" s="63"/>
      <c r="Q671" s="63"/>
      <c r="R671" s="100">
        <f t="shared" si="20"/>
        <v>0</v>
      </c>
      <c r="S671" s="100">
        <f t="shared" si="21"/>
        <v>0</v>
      </c>
    </row>
    <row r="672" spans="1:27" ht="19.5" customHeight="1">
      <c r="A672" s="2">
        <v>663</v>
      </c>
      <c r="B672" s="11" t="s">
        <v>392</v>
      </c>
      <c r="C672" s="11"/>
      <c r="D672" s="11"/>
      <c r="E672" s="11" t="s">
        <v>2533</v>
      </c>
      <c r="F672" s="2" t="s">
        <v>3268</v>
      </c>
      <c r="G672" s="2" t="s">
        <v>3269</v>
      </c>
      <c r="H672" s="2" t="s">
        <v>267</v>
      </c>
      <c r="I672" s="2" t="s">
        <v>14</v>
      </c>
      <c r="J672" s="2" t="s">
        <v>483</v>
      </c>
      <c r="K672" s="105">
        <v>45000</v>
      </c>
      <c r="L672" s="63">
        <v>4</v>
      </c>
      <c r="M672" s="63"/>
      <c r="N672" s="63"/>
      <c r="O672" s="63"/>
      <c r="P672" s="63"/>
      <c r="Q672" s="63"/>
      <c r="R672" s="100">
        <f t="shared" si="20"/>
        <v>4</v>
      </c>
      <c r="S672" s="100">
        <f t="shared" si="21"/>
        <v>-4</v>
      </c>
    </row>
    <row r="673" spans="1:27" ht="19.5" customHeight="1">
      <c r="A673" s="2">
        <v>664</v>
      </c>
      <c r="B673" s="77" t="s">
        <v>392</v>
      </c>
      <c r="C673" s="4"/>
      <c r="D673" s="4"/>
      <c r="E673" s="77" t="s">
        <v>2534</v>
      </c>
      <c r="F673" s="5" t="s">
        <v>3270</v>
      </c>
      <c r="G673" s="5" t="s">
        <v>3271</v>
      </c>
      <c r="H673" s="5" t="s">
        <v>235</v>
      </c>
      <c r="I673" s="5" t="s">
        <v>10</v>
      </c>
      <c r="J673" s="5" t="s">
        <v>1329</v>
      </c>
      <c r="K673" s="105">
        <v>420</v>
      </c>
      <c r="L673" s="63"/>
      <c r="M673" s="63"/>
      <c r="N673" s="63"/>
      <c r="O673" s="63"/>
      <c r="P673" s="63"/>
      <c r="Q673" s="63"/>
      <c r="R673" s="100">
        <f t="shared" si="20"/>
        <v>0</v>
      </c>
      <c r="S673" s="100">
        <f t="shared" si="21"/>
        <v>0</v>
      </c>
      <c r="T673" s="37"/>
      <c r="U673" s="37"/>
      <c r="V673" s="37"/>
      <c r="W673" s="37"/>
      <c r="X673" s="37"/>
      <c r="Y673" s="37"/>
      <c r="Z673" s="37"/>
      <c r="AA673" s="37"/>
    </row>
    <row r="674" spans="1:27" ht="19.5" customHeight="1">
      <c r="A674" s="2">
        <v>665</v>
      </c>
      <c r="B674" s="11" t="s">
        <v>2357</v>
      </c>
      <c r="C674" s="4"/>
      <c r="D674" s="4"/>
      <c r="E674" s="11" t="s">
        <v>2358</v>
      </c>
      <c r="F674" s="79" t="s">
        <v>2359</v>
      </c>
      <c r="G674" s="79" t="s">
        <v>1567</v>
      </c>
      <c r="H674" s="2" t="s">
        <v>550</v>
      </c>
      <c r="I674" s="2" t="s">
        <v>10</v>
      </c>
      <c r="J674" s="2" t="s">
        <v>1237</v>
      </c>
      <c r="K674" s="105">
        <v>630</v>
      </c>
      <c r="L674" s="63">
        <v>0</v>
      </c>
      <c r="M674" s="63"/>
      <c r="N674" s="63"/>
      <c r="O674" s="63"/>
      <c r="P674" s="63"/>
      <c r="Q674" s="63"/>
      <c r="R674" s="100">
        <f t="shared" si="20"/>
        <v>0</v>
      </c>
      <c r="S674" s="100">
        <f t="shared" si="21"/>
        <v>0</v>
      </c>
    </row>
    <row r="675" spans="1:27" ht="19.5" customHeight="1">
      <c r="A675" s="2">
        <v>666</v>
      </c>
      <c r="B675" s="77" t="s">
        <v>274</v>
      </c>
      <c r="C675" s="4"/>
      <c r="D675" s="4"/>
      <c r="E675" s="77" t="s">
        <v>3272</v>
      </c>
      <c r="F675" s="5" t="s">
        <v>3273</v>
      </c>
      <c r="G675" s="5" t="s">
        <v>2823</v>
      </c>
      <c r="H675" s="5" t="s">
        <v>225</v>
      </c>
      <c r="I675" s="5" t="s">
        <v>10</v>
      </c>
      <c r="J675" s="5" t="s">
        <v>642</v>
      </c>
      <c r="K675" s="105">
        <v>2728</v>
      </c>
      <c r="L675" s="63"/>
      <c r="M675" s="63"/>
      <c r="N675" s="63"/>
      <c r="O675" s="63"/>
      <c r="P675" s="63"/>
      <c r="Q675" s="63"/>
      <c r="R675" s="100">
        <f t="shared" si="20"/>
        <v>0</v>
      </c>
      <c r="S675" s="100">
        <f t="shared" si="21"/>
        <v>0</v>
      </c>
      <c r="T675" s="37"/>
      <c r="U675" s="37"/>
      <c r="V675" s="37"/>
      <c r="W675" s="37"/>
      <c r="X675" s="37"/>
      <c r="Y675" s="37"/>
      <c r="Z675" s="37"/>
      <c r="AA675" s="37"/>
    </row>
    <row r="676" spans="1:27" ht="19.5" customHeight="1">
      <c r="A676" s="2">
        <v>667</v>
      </c>
      <c r="B676" s="11" t="s">
        <v>737</v>
      </c>
      <c r="C676" s="4"/>
      <c r="D676" s="4"/>
      <c r="E676" s="11" t="s">
        <v>738</v>
      </c>
      <c r="F676" s="2" t="s">
        <v>741</v>
      </c>
      <c r="G676" s="2" t="s">
        <v>718</v>
      </c>
      <c r="H676" s="2" t="s">
        <v>739</v>
      </c>
      <c r="I676" s="2" t="s">
        <v>628</v>
      </c>
      <c r="J676" s="2" t="s">
        <v>740</v>
      </c>
      <c r="K676" s="105">
        <v>27930</v>
      </c>
      <c r="L676" s="63">
        <v>290</v>
      </c>
      <c r="M676" s="63"/>
      <c r="N676" s="63"/>
      <c r="O676" s="63"/>
      <c r="P676" s="63"/>
      <c r="Q676" s="63"/>
      <c r="R676" s="100">
        <f t="shared" si="20"/>
        <v>290</v>
      </c>
      <c r="S676" s="100">
        <f t="shared" si="21"/>
        <v>-290</v>
      </c>
    </row>
    <row r="677" spans="1:27" ht="19.5" customHeight="1">
      <c r="A677" s="2">
        <v>668</v>
      </c>
      <c r="B677" s="11" t="s">
        <v>2535</v>
      </c>
      <c r="C677" s="4"/>
      <c r="D677" s="4"/>
      <c r="E677" s="11" t="s">
        <v>1559</v>
      </c>
      <c r="F677" s="2" t="s">
        <v>1561</v>
      </c>
      <c r="G677" s="2" t="s">
        <v>1558</v>
      </c>
      <c r="H677" s="2" t="s">
        <v>3274</v>
      </c>
      <c r="I677" s="68" t="s">
        <v>12</v>
      </c>
      <c r="J677" s="2" t="s">
        <v>1560</v>
      </c>
      <c r="K677" s="105">
        <v>2800</v>
      </c>
      <c r="L677" s="63">
        <v>1615</v>
      </c>
      <c r="M677" s="63"/>
      <c r="N677" s="63"/>
      <c r="O677" s="63"/>
      <c r="P677" s="63"/>
      <c r="Q677" s="63"/>
      <c r="R677" s="100">
        <f t="shared" si="20"/>
        <v>1615</v>
      </c>
      <c r="S677" s="100">
        <f t="shared" si="21"/>
        <v>-1615</v>
      </c>
    </row>
    <row r="678" spans="1:27" ht="19.5" customHeight="1">
      <c r="A678" s="2">
        <v>669</v>
      </c>
      <c r="B678" s="64" t="s">
        <v>256</v>
      </c>
      <c r="C678" s="3"/>
      <c r="D678" s="3"/>
      <c r="E678" s="11" t="s">
        <v>490</v>
      </c>
      <c r="F678" s="2" t="s">
        <v>491</v>
      </c>
      <c r="G678" s="2" t="s">
        <v>492</v>
      </c>
      <c r="H678" s="2" t="s">
        <v>299</v>
      </c>
      <c r="I678" s="2" t="s">
        <v>10</v>
      </c>
      <c r="J678" s="2" t="s">
        <v>1350</v>
      </c>
      <c r="K678" s="105">
        <v>998</v>
      </c>
      <c r="L678" s="63">
        <v>5896</v>
      </c>
      <c r="M678" s="63"/>
      <c r="N678" s="63"/>
      <c r="O678" s="63"/>
      <c r="P678" s="63"/>
      <c r="Q678" s="63"/>
      <c r="R678" s="100">
        <f t="shared" si="20"/>
        <v>5896</v>
      </c>
      <c r="S678" s="100">
        <f t="shared" si="21"/>
        <v>-5896</v>
      </c>
    </row>
    <row r="679" spans="1:27" ht="19.5" customHeight="1">
      <c r="A679" s="2">
        <v>670</v>
      </c>
      <c r="B679" s="11" t="s">
        <v>2537</v>
      </c>
      <c r="C679" s="11"/>
      <c r="D679" s="11"/>
      <c r="E679" s="11" t="s">
        <v>2536</v>
      </c>
      <c r="F679" s="2" t="s">
        <v>3275</v>
      </c>
      <c r="G679" s="2" t="s">
        <v>255</v>
      </c>
      <c r="H679" s="2" t="s">
        <v>2538</v>
      </c>
      <c r="I679" s="66" t="s">
        <v>12</v>
      </c>
      <c r="J679" s="2" t="s">
        <v>3276</v>
      </c>
      <c r="K679" s="105">
        <v>1428</v>
      </c>
      <c r="L679" s="63">
        <v>36</v>
      </c>
      <c r="M679" s="63"/>
      <c r="N679" s="63"/>
      <c r="O679" s="63"/>
      <c r="P679" s="63"/>
      <c r="Q679" s="63"/>
      <c r="R679" s="100">
        <f t="shared" si="20"/>
        <v>36</v>
      </c>
      <c r="S679" s="100">
        <f t="shared" si="21"/>
        <v>-36</v>
      </c>
    </row>
    <row r="680" spans="1:27" ht="19.5" customHeight="1">
      <c r="A680" s="2">
        <v>671</v>
      </c>
      <c r="B680" s="70" t="s">
        <v>2089</v>
      </c>
      <c r="C680" s="4"/>
      <c r="D680" s="4"/>
      <c r="E680" s="11" t="s">
        <v>2090</v>
      </c>
      <c r="F680" s="2" t="s">
        <v>2091</v>
      </c>
      <c r="G680" s="2" t="s">
        <v>2092</v>
      </c>
      <c r="H680" s="2" t="s">
        <v>327</v>
      </c>
      <c r="I680" s="2" t="s">
        <v>10</v>
      </c>
      <c r="J680" s="2" t="s">
        <v>626</v>
      </c>
      <c r="K680" s="105">
        <v>1900</v>
      </c>
      <c r="L680" s="63">
        <v>572</v>
      </c>
      <c r="M680" s="63"/>
      <c r="N680" s="63"/>
      <c r="O680" s="63"/>
      <c r="P680" s="63"/>
      <c r="Q680" s="63"/>
      <c r="R680" s="100">
        <f t="shared" si="20"/>
        <v>572</v>
      </c>
      <c r="S680" s="100">
        <f t="shared" si="21"/>
        <v>-572</v>
      </c>
    </row>
    <row r="681" spans="1:27" ht="19.5" customHeight="1">
      <c r="A681" s="2">
        <v>672</v>
      </c>
      <c r="B681" s="11" t="s">
        <v>729</v>
      </c>
      <c r="C681" s="4"/>
      <c r="D681" s="4"/>
      <c r="E681" s="11" t="s">
        <v>1105</v>
      </c>
      <c r="F681" s="2" t="s">
        <v>1107</v>
      </c>
      <c r="G681" s="2" t="s">
        <v>1108</v>
      </c>
      <c r="H681" s="2" t="s">
        <v>849</v>
      </c>
      <c r="I681" s="2" t="s">
        <v>13</v>
      </c>
      <c r="J681" s="2" t="s">
        <v>1106</v>
      </c>
      <c r="K681" s="105">
        <v>3300</v>
      </c>
      <c r="L681" s="63">
        <v>8990</v>
      </c>
      <c r="M681" s="63"/>
      <c r="N681" s="63"/>
      <c r="O681" s="63"/>
      <c r="P681" s="63"/>
      <c r="Q681" s="63"/>
      <c r="R681" s="100">
        <f t="shared" si="20"/>
        <v>8990</v>
      </c>
      <c r="S681" s="100">
        <f t="shared" si="21"/>
        <v>-8990</v>
      </c>
    </row>
    <row r="682" spans="1:27" ht="19.5" customHeight="1">
      <c r="A682" s="2">
        <v>673</v>
      </c>
      <c r="B682" s="65" t="s">
        <v>242</v>
      </c>
      <c r="C682" s="11"/>
      <c r="D682" s="11"/>
      <c r="E682" s="65" t="s">
        <v>242</v>
      </c>
      <c r="F682" s="2" t="s">
        <v>3277</v>
      </c>
      <c r="G682" s="2" t="s">
        <v>245</v>
      </c>
      <c r="H682" s="2" t="s">
        <v>2539</v>
      </c>
      <c r="I682" s="66" t="s">
        <v>520</v>
      </c>
      <c r="J682" s="2" t="s">
        <v>241</v>
      </c>
      <c r="K682" s="105">
        <v>3150</v>
      </c>
      <c r="L682" s="63">
        <v>36</v>
      </c>
      <c r="M682" s="63"/>
      <c r="N682" s="63"/>
      <c r="O682" s="63"/>
      <c r="P682" s="63"/>
      <c r="Q682" s="63"/>
      <c r="R682" s="100">
        <f t="shared" si="20"/>
        <v>36</v>
      </c>
      <c r="S682" s="100">
        <f t="shared" si="21"/>
        <v>-36</v>
      </c>
    </row>
    <row r="683" spans="1:27" ht="19.5" customHeight="1">
      <c r="A683" s="2">
        <v>674</v>
      </c>
      <c r="B683" s="64" t="s">
        <v>242</v>
      </c>
      <c r="C683" s="3"/>
      <c r="D683" s="3"/>
      <c r="E683" s="64" t="s">
        <v>242</v>
      </c>
      <c r="F683" s="2" t="s">
        <v>244</v>
      </c>
      <c r="G683" s="2" t="s">
        <v>245</v>
      </c>
      <c r="H683" s="2" t="s">
        <v>243</v>
      </c>
      <c r="I683" s="2" t="s">
        <v>520</v>
      </c>
      <c r="J683" s="2" t="s">
        <v>241</v>
      </c>
      <c r="K683" s="105">
        <v>3255</v>
      </c>
      <c r="L683" s="63">
        <v>170</v>
      </c>
      <c r="M683" s="63"/>
      <c r="N683" s="63"/>
      <c r="O683" s="63"/>
      <c r="P683" s="63"/>
      <c r="Q683" s="63"/>
      <c r="R683" s="100">
        <f t="shared" si="20"/>
        <v>170</v>
      </c>
      <c r="S683" s="100">
        <f t="shared" si="21"/>
        <v>-170</v>
      </c>
    </row>
    <row r="684" spans="1:27" ht="19.5" customHeight="1">
      <c r="A684" s="2">
        <v>675</v>
      </c>
      <c r="B684" s="11" t="s">
        <v>750</v>
      </c>
      <c r="C684" s="4"/>
      <c r="D684" s="4"/>
      <c r="E684" s="11" t="s">
        <v>1369</v>
      </c>
      <c r="F684" s="2" t="s">
        <v>1372</v>
      </c>
      <c r="G684" s="2" t="s">
        <v>360</v>
      </c>
      <c r="H684" s="2" t="s">
        <v>1370</v>
      </c>
      <c r="I684" s="2" t="s">
        <v>11</v>
      </c>
      <c r="J684" s="2" t="s">
        <v>1371</v>
      </c>
      <c r="K684" s="105">
        <v>61</v>
      </c>
      <c r="L684" s="63">
        <v>4413</v>
      </c>
      <c r="M684" s="63"/>
      <c r="N684" s="63"/>
      <c r="O684" s="63"/>
      <c r="P684" s="63"/>
      <c r="Q684" s="63"/>
      <c r="R684" s="100">
        <f t="shared" si="20"/>
        <v>4413</v>
      </c>
      <c r="S684" s="100">
        <f t="shared" si="21"/>
        <v>-4413</v>
      </c>
    </row>
    <row r="685" spans="1:27" ht="19.5" customHeight="1">
      <c r="A685" s="2">
        <v>676</v>
      </c>
      <c r="B685" s="64" t="s">
        <v>227</v>
      </c>
      <c r="C685" s="3"/>
      <c r="D685" s="3"/>
      <c r="E685" s="11" t="s">
        <v>397</v>
      </c>
      <c r="F685" s="2" t="s">
        <v>399</v>
      </c>
      <c r="G685" s="2" t="s">
        <v>360</v>
      </c>
      <c r="H685" s="2" t="s">
        <v>398</v>
      </c>
      <c r="I685" s="2" t="s">
        <v>10</v>
      </c>
      <c r="J685" s="2" t="s">
        <v>642</v>
      </c>
      <c r="K685" s="105">
        <v>89</v>
      </c>
      <c r="L685" s="63">
        <v>43491</v>
      </c>
      <c r="M685" s="63"/>
      <c r="N685" s="63"/>
      <c r="O685" s="63"/>
      <c r="P685" s="63"/>
      <c r="Q685" s="63"/>
      <c r="R685" s="100">
        <f t="shared" si="20"/>
        <v>43491</v>
      </c>
      <c r="S685" s="100">
        <f t="shared" si="21"/>
        <v>-43491</v>
      </c>
    </row>
    <row r="686" spans="1:27" ht="19.5" customHeight="1">
      <c r="A686" s="2">
        <v>677</v>
      </c>
      <c r="B686" s="64" t="s">
        <v>227</v>
      </c>
      <c r="C686" s="3"/>
      <c r="D686" s="3"/>
      <c r="E686" s="65" t="s">
        <v>527</v>
      </c>
      <c r="F686" s="2" t="s">
        <v>528</v>
      </c>
      <c r="G686" s="2" t="s">
        <v>529</v>
      </c>
      <c r="H686" s="2" t="s">
        <v>225</v>
      </c>
      <c r="I686" s="2" t="s">
        <v>410</v>
      </c>
      <c r="J686" s="2" t="s">
        <v>3278</v>
      </c>
      <c r="K686" s="105">
        <v>1954</v>
      </c>
      <c r="L686" s="63">
        <v>16005</v>
      </c>
      <c r="M686" s="63"/>
      <c r="N686" s="63"/>
      <c r="O686" s="63"/>
      <c r="P686" s="63"/>
      <c r="Q686" s="63"/>
      <c r="R686" s="100">
        <f t="shared" si="20"/>
        <v>16005</v>
      </c>
      <c r="S686" s="100">
        <f t="shared" si="21"/>
        <v>-16005</v>
      </c>
    </row>
    <row r="687" spans="1:27" ht="19.5" customHeight="1">
      <c r="A687" s="2">
        <v>678</v>
      </c>
      <c r="B687" s="67" t="s">
        <v>836</v>
      </c>
      <c r="C687" s="4"/>
      <c r="D687" s="4"/>
      <c r="E687" s="11" t="s">
        <v>837</v>
      </c>
      <c r="F687" s="2" t="s">
        <v>840</v>
      </c>
      <c r="G687" s="2" t="s">
        <v>806</v>
      </c>
      <c r="H687" s="2" t="s">
        <v>838</v>
      </c>
      <c r="I687" s="2" t="s">
        <v>16</v>
      </c>
      <c r="J687" s="2" t="s">
        <v>839</v>
      </c>
      <c r="K687" s="105">
        <v>1010</v>
      </c>
      <c r="L687" s="63">
        <v>995</v>
      </c>
      <c r="M687" s="63"/>
      <c r="N687" s="63"/>
      <c r="O687" s="63"/>
      <c r="P687" s="63"/>
      <c r="Q687" s="63"/>
      <c r="R687" s="100">
        <f t="shared" si="20"/>
        <v>995</v>
      </c>
      <c r="S687" s="100">
        <f t="shared" si="21"/>
        <v>-995</v>
      </c>
    </row>
    <row r="688" spans="1:27" ht="19.5" customHeight="1">
      <c r="A688" s="2">
        <v>679</v>
      </c>
      <c r="B688" s="67" t="s">
        <v>661</v>
      </c>
      <c r="C688" s="4"/>
      <c r="D688" s="4"/>
      <c r="E688" s="11" t="s">
        <v>662</v>
      </c>
      <c r="F688" s="2" t="s">
        <v>664</v>
      </c>
      <c r="G688" s="2" t="s">
        <v>245</v>
      </c>
      <c r="H688" s="2" t="s">
        <v>663</v>
      </c>
      <c r="I688" s="2" t="s">
        <v>11</v>
      </c>
      <c r="J688" s="2" t="s">
        <v>538</v>
      </c>
      <c r="K688" s="105">
        <v>1554</v>
      </c>
      <c r="L688" s="63">
        <v>6385</v>
      </c>
      <c r="M688" s="63"/>
      <c r="N688" s="63"/>
      <c r="O688" s="63"/>
      <c r="P688" s="63"/>
      <c r="Q688" s="63"/>
      <c r="R688" s="100">
        <f t="shared" si="20"/>
        <v>6385</v>
      </c>
      <c r="S688" s="100">
        <f t="shared" si="21"/>
        <v>-6385</v>
      </c>
    </row>
    <row r="689" spans="1:27" ht="19.5" customHeight="1">
      <c r="A689" s="2">
        <v>680</v>
      </c>
      <c r="B689" s="67" t="s">
        <v>996</v>
      </c>
      <c r="C689" s="4"/>
      <c r="D689" s="4"/>
      <c r="E689" s="11" t="s">
        <v>2143</v>
      </c>
      <c r="F689" s="2" t="s">
        <v>2145</v>
      </c>
      <c r="G689" s="2" t="s">
        <v>2137</v>
      </c>
      <c r="H689" s="2" t="s">
        <v>17</v>
      </c>
      <c r="I689" s="2" t="s">
        <v>10</v>
      </c>
      <c r="J689" s="2" t="s">
        <v>2144</v>
      </c>
      <c r="K689" s="105">
        <v>1900</v>
      </c>
      <c r="L689" s="63">
        <v>6014</v>
      </c>
      <c r="M689" s="63"/>
      <c r="N689" s="63"/>
      <c r="O689" s="63"/>
      <c r="P689" s="63"/>
      <c r="Q689" s="63"/>
      <c r="R689" s="100">
        <f t="shared" si="20"/>
        <v>6014</v>
      </c>
      <c r="S689" s="100">
        <f t="shared" si="21"/>
        <v>-6014</v>
      </c>
    </row>
    <row r="690" spans="1:27" ht="19.5" customHeight="1">
      <c r="A690" s="2">
        <v>681</v>
      </c>
      <c r="B690" s="64" t="s">
        <v>395</v>
      </c>
      <c r="C690" s="3"/>
      <c r="D690" s="3"/>
      <c r="E690" s="11" t="s">
        <v>395</v>
      </c>
      <c r="F690" s="2" t="s">
        <v>396</v>
      </c>
      <c r="G690" s="2" t="s">
        <v>360</v>
      </c>
      <c r="H690" s="2" t="s">
        <v>267</v>
      </c>
      <c r="I690" s="2" t="s">
        <v>10</v>
      </c>
      <c r="J690" s="2" t="s">
        <v>1329</v>
      </c>
      <c r="K690" s="105">
        <v>326</v>
      </c>
      <c r="L690" s="63">
        <v>10150</v>
      </c>
      <c r="M690" s="63"/>
      <c r="N690" s="63"/>
      <c r="O690" s="63"/>
      <c r="P690" s="63"/>
      <c r="Q690" s="63"/>
      <c r="R690" s="100">
        <f t="shared" si="20"/>
        <v>10150</v>
      </c>
      <c r="S690" s="100">
        <f t="shared" si="21"/>
        <v>-10150</v>
      </c>
    </row>
    <row r="691" spans="1:27" ht="19.5" customHeight="1">
      <c r="A691" s="2">
        <v>682</v>
      </c>
      <c r="B691" s="64" t="s">
        <v>227</v>
      </c>
      <c r="C691" s="3"/>
      <c r="D691" s="3"/>
      <c r="E691" s="64" t="s">
        <v>477</v>
      </c>
      <c r="F691" s="2" t="s">
        <v>478</v>
      </c>
      <c r="G691" s="2" t="s">
        <v>473</v>
      </c>
      <c r="H691" s="2" t="s">
        <v>225</v>
      </c>
      <c r="I691" s="2" t="s">
        <v>10</v>
      </c>
      <c r="J691" s="2" t="s">
        <v>642</v>
      </c>
      <c r="K691" s="105">
        <v>76</v>
      </c>
      <c r="L691" s="63">
        <v>1</v>
      </c>
      <c r="M691" s="63"/>
      <c r="N691" s="63"/>
      <c r="O691" s="63"/>
      <c r="P691" s="63"/>
      <c r="Q691" s="63"/>
      <c r="R691" s="100">
        <f t="shared" si="20"/>
        <v>1</v>
      </c>
      <c r="S691" s="100">
        <f t="shared" si="21"/>
        <v>-1</v>
      </c>
    </row>
    <row r="692" spans="1:27" ht="19.5" customHeight="1">
      <c r="A692" s="2">
        <v>683</v>
      </c>
      <c r="B692" s="11" t="s">
        <v>750</v>
      </c>
      <c r="C692" s="4"/>
      <c r="D692" s="4"/>
      <c r="E692" s="11" t="s">
        <v>1771</v>
      </c>
      <c r="F692" s="2" t="s">
        <v>1773</v>
      </c>
      <c r="G692" s="2" t="s">
        <v>1763</v>
      </c>
      <c r="H692" s="2" t="s">
        <v>1772</v>
      </c>
      <c r="I692" s="2" t="s">
        <v>15</v>
      </c>
      <c r="J692" s="2" t="s">
        <v>1762</v>
      </c>
      <c r="K692" s="105">
        <v>18270</v>
      </c>
      <c r="L692" s="63">
        <v>106</v>
      </c>
      <c r="M692" s="63"/>
      <c r="N692" s="63"/>
      <c r="O692" s="63"/>
      <c r="P692" s="63"/>
      <c r="Q692" s="63"/>
      <c r="R692" s="100">
        <f t="shared" si="20"/>
        <v>106</v>
      </c>
      <c r="S692" s="100">
        <f t="shared" si="21"/>
        <v>-106</v>
      </c>
    </row>
    <row r="693" spans="1:27" ht="19.5" customHeight="1">
      <c r="A693" s="2">
        <v>684</v>
      </c>
      <c r="B693" s="64" t="s">
        <v>227</v>
      </c>
      <c r="C693" s="3"/>
      <c r="D693" s="3"/>
      <c r="E693" s="11" t="s">
        <v>450</v>
      </c>
      <c r="F693" s="2" t="s">
        <v>452</v>
      </c>
      <c r="G693" s="2" t="s">
        <v>449</v>
      </c>
      <c r="H693" s="2" t="s">
        <v>272</v>
      </c>
      <c r="I693" s="2" t="s">
        <v>12</v>
      </c>
      <c r="J693" s="2" t="s">
        <v>451</v>
      </c>
      <c r="K693" s="105">
        <v>1235</v>
      </c>
      <c r="L693" s="63">
        <v>3684</v>
      </c>
      <c r="M693" s="63"/>
      <c r="N693" s="63"/>
      <c r="O693" s="63"/>
      <c r="P693" s="63"/>
      <c r="Q693" s="63"/>
      <c r="R693" s="100">
        <f t="shared" si="20"/>
        <v>3684</v>
      </c>
      <c r="S693" s="100">
        <f t="shared" si="21"/>
        <v>-3684</v>
      </c>
    </row>
    <row r="694" spans="1:27" ht="19.5" customHeight="1">
      <c r="A694" s="2">
        <v>685</v>
      </c>
      <c r="B694" s="77" t="s">
        <v>750</v>
      </c>
      <c r="C694" s="4"/>
      <c r="D694" s="4"/>
      <c r="E694" s="77" t="s">
        <v>3279</v>
      </c>
      <c r="F694" s="5" t="s">
        <v>3280</v>
      </c>
      <c r="G694" s="5" t="s">
        <v>3281</v>
      </c>
      <c r="H694" s="5" t="s">
        <v>398</v>
      </c>
      <c r="I694" s="5" t="s">
        <v>3282</v>
      </c>
      <c r="J694" s="5" t="s">
        <v>1897</v>
      </c>
      <c r="K694" s="105">
        <v>1385</v>
      </c>
      <c r="L694" s="63"/>
      <c r="M694" s="63"/>
      <c r="N694" s="63"/>
      <c r="O694" s="63"/>
      <c r="P694" s="63"/>
      <c r="Q694" s="63"/>
      <c r="R694" s="100">
        <f t="shared" si="20"/>
        <v>0</v>
      </c>
      <c r="S694" s="100">
        <f t="shared" si="21"/>
        <v>0</v>
      </c>
      <c r="T694" s="37"/>
      <c r="U694" s="37"/>
      <c r="V694" s="37"/>
      <c r="W694" s="37"/>
      <c r="X694" s="37"/>
      <c r="Y694" s="37"/>
      <c r="Z694" s="37"/>
      <c r="AA694" s="37"/>
    </row>
    <row r="695" spans="1:27" ht="19.5" customHeight="1">
      <c r="A695" s="2">
        <v>686</v>
      </c>
      <c r="B695" s="11" t="s">
        <v>751</v>
      </c>
      <c r="C695" s="4"/>
      <c r="D695" s="4"/>
      <c r="E695" s="11" t="s">
        <v>752</v>
      </c>
      <c r="F695" s="2" t="s">
        <v>755</v>
      </c>
      <c r="G695" s="2" t="s">
        <v>756</v>
      </c>
      <c r="H695" s="2" t="s">
        <v>753</v>
      </c>
      <c r="I695" s="2" t="s">
        <v>10</v>
      </c>
      <c r="J695" s="2" t="s">
        <v>754</v>
      </c>
      <c r="K695" s="105">
        <v>7350</v>
      </c>
      <c r="L695" s="63">
        <v>22034</v>
      </c>
      <c r="M695" s="63"/>
      <c r="N695" s="63"/>
      <c r="O695" s="63"/>
      <c r="P695" s="63"/>
      <c r="Q695" s="63"/>
      <c r="R695" s="100">
        <f t="shared" si="20"/>
        <v>22034</v>
      </c>
      <c r="S695" s="100">
        <f t="shared" si="21"/>
        <v>-22034</v>
      </c>
    </row>
    <row r="696" spans="1:27" ht="19.5" customHeight="1">
      <c r="A696" s="2">
        <v>687</v>
      </c>
      <c r="B696" s="77" t="s">
        <v>560</v>
      </c>
      <c r="C696" s="4"/>
      <c r="D696" s="4"/>
      <c r="E696" s="77" t="s">
        <v>3283</v>
      </c>
      <c r="F696" s="5" t="s">
        <v>3284</v>
      </c>
      <c r="G696" s="5" t="s">
        <v>3285</v>
      </c>
      <c r="H696" s="5" t="s">
        <v>299</v>
      </c>
      <c r="I696" s="5" t="s">
        <v>12</v>
      </c>
      <c r="J696" s="5" t="s">
        <v>3286</v>
      </c>
      <c r="K696" s="105">
        <v>2190</v>
      </c>
      <c r="L696" s="63"/>
      <c r="M696" s="63"/>
      <c r="N696" s="63"/>
      <c r="O696" s="63"/>
      <c r="P696" s="63"/>
      <c r="Q696" s="63"/>
      <c r="R696" s="100">
        <f t="shared" si="20"/>
        <v>0</v>
      </c>
      <c r="S696" s="100">
        <f t="shared" si="21"/>
        <v>0</v>
      </c>
      <c r="T696" s="37"/>
      <c r="U696" s="37"/>
      <c r="V696" s="37"/>
      <c r="W696" s="37"/>
      <c r="X696" s="37"/>
      <c r="Y696" s="37"/>
      <c r="Z696" s="37"/>
      <c r="AA696" s="37"/>
    </row>
    <row r="697" spans="1:27" ht="19.5" customHeight="1">
      <c r="A697" s="2">
        <v>688</v>
      </c>
      <c r="B697" s="11" t="s">
        <v>615</v>
      </c>
      <c r="C697" s="4"/>
      <c r="D697" s="4"/>
      <c r="E697" s="11" t="s">
        <v>616</v>
      </c>
      <c r="F697" s="2" t="s">
        <v>618</v>
      </c>
      <c r="G697" s="2" t="s">
        <v>217</v>
      </c>
      <c r="H697" s="2" t="s">
        <v>617</v>
      </c>
      <c r="I697" s="2" t="s">
        <v>10</v>
      </c>
      <c r="J697" s="2" t="s">
        <v>538</v>
      </c>
      <c r="K697" s="105">
        <v>2289</v>
      </c>
      <c r="L697" s="63">
        <v>17773</v>
      </c>
      <c r="M697" s="63"/>
      <c r="N697" s="63"/>
      <c r="O697" s="63"/>
      <c r="P697" s="63"/>
      <c r="Q697" s="63"/>
      <c r="R697" s="100">
        <f t="shared" si="20"/>
        <v>17773</v>
      </c>
      <c r="S697" s="100">
        <f t="shared" si="21"/>
        <v>-17773</v>
      </c>
    </row>
    <row r="698" spans="1:27" ht="19.5" customHeight="1">
      <c r="A698" s="2">
        <v>689</v>
      </c>
      <c r="B698" s="64" t="s">
        <v>227</v>
      </c>
      <c r="C698" s="3"/>
      <c r="D698" s="3"/>
      <c r="E698" s="11" t="s">
        <v>447</v>
      </c>
      <c r="F698" s="2" t="s">
        <v>448</v>
      </c>
      <c r="G698" s="2" t="s">
        <v>427</v>
      </c>
      <c r="H698" s="2" t="s">
        <v>225</v>
      </c>
      <c r="I698" s="2" t="s">
        <v>410</v>
      </c>
      <c r="J698" s="2" t="s">
        <v>3287</v>
      </c>
      <c r="K698" s="105">
        <v>1400</v>
      </c>
      <c r="L698" s="63">
        <v>10997</v>
      </c>
      <c r="M698" s="63"/>
      <c r="N698" s="63"/>
      <c r="O698" s="63"/>
      <c r="P698" s="63"/>
      <c r="Q698" s="63"/>
      <c r="R698" s="100">
        <f t="shared" si="20"/>
        <v>10997</v>
      </c>
      <c r="S698" s="100">
        <f t="shared" si="21"/>
        <v>-10997</v>
      </c>
    </row>
    <row r="699" spans="1:27" ht="19.5" customHeight="1">
      <c r="A699" s="2">
        <v>690</v>
      </c>
      <c r="B699" s="77" t="s">
        <v>2364</v>
      </c>
      <c r="C699" s="4"/>
      <c r="D699" s="4"/>
      <c r="E699" s="77" t="s">
        <v>3288</v>
      </c>
      <c r="F699" s="5" t="s">
        <v>3289</v>
      </c>
      <c r="G699" s="5" t="s">
        <v>357</v>
      </c>
      <c r="H699" s="5" t="s">
        <v>3290</v>
      </c>
      <c r="I699" s="5" t="s">
        <v>14</v>
      </c>
      <c r="J699" s="5" t="s">
        <v>1271</v>
      </c>
      <c r="K699" s="105">
        <v>57500</v>
      </c>
      <c r="L699" s="63"/>
      <c r="M699" s="63"/>
      <c r="N699" s="63"/>
      <c r="O699" s="63"/>
      <c r="P699" s="63"/>
      <c r="Q699" s="63"/>
      <c r="R699" s="100">
        <f t="shared" si="20"/>
        <v>0</v>
      </c>
      <c r="S699" s="100">
        <f t="shared" si="21"/>
        <v>0</v>
      </c>
      <c r="T699" s="37"/>
      <c r="U699" s="37"/>
      <c r="V699" s="37"/>
      <c r="W699" s="37"/>
      <c r="X699" s="37"/>
      <c r="Y699" s="37"/>
      <c r="Z699" s="37"/>
      <c r="AA699" s="37"/>
    </row>
    <row r="700" spans="1:27" ht="19.5" customHeight="1">
      <c r="A700" s="2">
        <v>691</v>
      </c>
      <c r="B700" s="11" t="s">
        <v>395</v>
      </c>
      <c r="C700" s="11"/>
      <c r="D700" s="11"/>
      <c r="E700" s="11" t="s">
        <v>3291</v>
      </c>
      <c r="F700" s="2" t="s">
        <v>3292</v>
      </c>
      <c r="G700" s="2" t="s">
        <v>776</v>
      </c>
      <c r="H700" s="2" t="s">
        <v>267</v>
      </c>
      <c r="I700" s="2" t="s">
        <v>14</v>
      </c>
      <c r="J700" s="2" t="s">
        <v>483</v>
      </c>
      <c r="K700" s="105">
        <v>56700</v>
      </c>
      <c r="L700" s="63">
        <v>1</v>
      </c>
      <c r="M700" s="63"/>
      <c r="N700" s="63"/>
      <c r="O700" s="63"/>
      <c r="P700" s="63"/>
      <c r="Q700" s="63"/>
      <c r="R700" s="100">
        <f t="shared" si="20"/>
        <v>1</v>
      </c>
      <c r="S700" s="100">
        <f t="shared" si="21"/>
        <v>-1</v>
      </c>
    </row>
    <row r="701" spans="1:27" ht="19.5" customHeight="1">
      <c r="A701" s="2">
        <v>692</v>
      </c>
      <c r="B701" s="11" t="s">
        <v>750</v>
      </c>
      <c r="C701" s="11"/>
      <c r="D701" s="11"/>
      <c r="E701" s="11" t="s">
        <v>2540</v>
      </c>
      <c r="F701" s="2" t="s">
        <v>3293</v>
      </c>
      <c r="G701" s="2" t="s">
        <v>3294</v>
      </c>
      <c r="H701" s="2" t="s">
        <v>1016</v>
      </c>
      <c r="I701" s="2" t="s">
        <v>14</v>
      </c>
      <c r="J701" s="2" t="s">
        <v>3295</v>
      </c>
      <c r="K701" s="105">
        <v>47730</v>
      </c>
      <c r="L701" s="63">
        <v>2</v>
      </c>
      <c r="M701" s="63"/>
      <c r="N701" s="63"/>
      <c r="O701" s="63"/>
      <c r="P701" s="63"/>
      <c r="Q701" s="63"/>
      <c r="R701" s="100">
        <f t="shared" si="20"/>
        <v>2</v>
      </c>
      <c r="S701" s="100">
        <f t="shared" si="21"/>
        <v>-2</v>
      </c>
    </row>
    <row r="702" spans="1:27" ht="19.5" customHeight="1">
      <c r="A702" s="2">
        <v>693</v>
      </c>
      <c r="B702" s="11" t="s">
        <v>1514</v>
      </c>
      <c r="C702" s="4"/>
      <c r="D702" s="4"/>
      <c r="E702" s="11" t="s">
        <v>1515</v>
      </c>
      <c r="F702" s="2" t="s">
        <v>1518</v>
      </c>
      <c r="G702" s="2" t="s">
        <v>1519</v>
      </c>
      <c r="H702" s="2" t="s">
        <v>1516</v>
      </c>
      <c r="I702" s="2" t="s">
        <v>10</v>
      </c>
      <c r="J702" s="2" t="s">
        <v>1517</v>
      </c>
      <c r="K702" s="105">
        <v>3900</v>
      </c>
      <c r="L702" s="63">
        <v>7603</v>
      </c>
      <c r="M702" s="63"/>
      <c r="N702" s="63"/>
      <c r="O702" s="63"/>
      <c r="P702" s="63"/>
      <c r="Q702" s="63"/>
      <c r="R702" s="100">
        <f t="shared" si="20"/>
        <v>7603</v>
      </c>
      <c r="S702" s="100">
        <f t="shared" si="21"/>
        <v>-7603</v>
      </c>
    </row>
    <row r="703" spans="1:27" ht="19.5" customHeight="1">
      <c r="A703" s="2">
        <v>694</v>
      </c>
      <c r="B703" s="11" t="s">
        <v>3296</v>
      </c>
      <c r="C703" s="11"/>
      <c r="D703" s="11"/>
      <c r="E703" s="65" t="s">
        <v>1164</v>
      </c>
      <c r="F703" s="2" t="s">
        <v>1166</v>
      </c>
      <c r="G703" s="68" t="s">
        <v>1159</v>
      </c>
      <c r="H703" s="2" t="s">
        <v>1165</v>
      </c>
      <c r="I703" s="66" t="s">
        <v>10</v>
      </c>
      <c r="J703" s="68" t="s">
        <v>538</v>
      </c>
      <c r="K703" s="105">
        <v>4500</v>
      </c>
      <c r="L703" s="63">
        <v>25</v>
      </c>
      <c r="M703" s="63"/>
      <c r="N703" s="63"/>
      <c r="O703" s="63"/>
      <c r="P703" s="63"/>
      <c r="Q703" s="63"/>
      <c r="R703" s="100">
        <f t="shared" si="20"/>
        <v>25</v>
      </c>
      <c r="S703" s="100">
        <f t="shared" si="21"/>
        <v>-25</v>
      </c>
    </row>
    <row r="704" spans="1:27" ht="19.5" customHeight="1">
      <c r="A704" s="2">
        <v>695</v>
      </c>
      <c r="B704" s="67" t="s">
        <v>1163</v>
      </c>
      <c r="C704" s="4"/>
      <c r="D704" s="4"/>
      <c r="E704" s="67" t="s">
        <v>1164</v>
      </c>
      <c r="F704" s="68" t="s">
        <v>1166</v>
      </c>
      <c r="G704" s="68" t="s">
        <v>1159</v>
      </c>
      <c r="H704" s="68" t="s">
        <v>1165</v>
      </c>
      <c r="I704" s="68" t="s">
        <v>11</v>
      </c>
      <c r="J704" s="68" t="s">
        <v>623</v>
      </c>
      <c r="K704" s="105">
        <v>3990</v>
      </c>
      <c r="L704" s="63">
        <v>5541</v>
      </c>
      <c r="M704" s="63"/>
      <c r="N704" s="63"/>
      <c r="O704" s="63"/>
      <c r="P704" s="63"/>
      <c r="Q704" s="63"/>
      <c r="R704" s="100">
        <f t="shared" si="20"/>
        <v>5541</v>
      </c>
      <c r="S704" s="100">
        <f t="shared" si="21"/>
        <v>-5541</v>
      </c>
    </row>
    <row r="705" spans="1:19" ht="19.5" customHeight="1">
      <c r="A705" s="2">
        <v>696</v>
      </c>
      <c r="B705" s="11" t="s">
        <v>1376</v>
      </c>
      <c r="C705" s="4"/>
      <c r="D705" s="4"/>
      <c r="E705" s="11" t="s">
        <v>1407</v>
      </c>
      <c r="F705" s="2" t="s">
        <v>1409</v>
      </c>
      <c r="G705" s="2" t="s">
        <v>407</v>
      </c>
      <c r="H705" s="2" t="s">
        <v>1408</v>
      </c>
      <c r="I705" s="2" t="s">
        <v>11</v>
      </c>
      <c r="J705" s="2" t="s">
        <v>1237</v>
      </c>
      <c r="K705" s="105">
        <v>2800</v>
      </c>
      <c r="L705" s="63">
        <v>29968</v>
      </c>
      <c r="M705" s="63"/>
      <c r="N705" s="63"/>
      <c r="O705" s="63"/>
      <c r="P705" s="63"/>
      <c r="Q705" s="63"/>
      <c r="R705" s="100">
        <f t="shared" si="20"/>
        <v>29968</v>
      </c>
      <c r="S705" s="100">
        <f t="shared" si="21"/>
        <v>-29968</v>
      </c>
    </row>
    <row r="706" spans="1:19" ht="19.5" customHeight="1">
      <c r="A706" s="2">
        <v>697</v>
      </c>
      <c r="B706" s="11" t="s">
        <v>2198</v>
      </c>
      <c r="C706" s="4"/>
      <c r="D706" s="4"/>
      <c r="E706" s="11" t="s">
        <v>154</v>
      </c>
      <c r="F706" s="2" t="s">
        <v>2199</v>
      </c>
      <c r="G706" s="2" t="s">
        <v>2200</v>
      </c>
      <c r="H706" s="2" t="s">
        <v>156</v>
      </c>
      <c r="I706" s="2" t="s">
        <v>12</v>
      </c>
      <c r="J706" s="2" t="s">
        <v>2187</v>
      </c>
      <c r="K706" s="105">
        <v>6000</v>
      </c>
      <c r="L706" s="63">
        <v>3064</v>
      </c>
      <c r="M706" s="63"/>
      <c r="N706" s="63"/>
      <c r="O706" s="63"/>
      <c r="P706" s="63"/>
      <c r="Q706" s="63"/>
      <c r="R706" s="100">
        <f t="shared" si="20"/>
        <v>3064</v>
      </c>
      <c r="S706" s="100">
        <f t="shared" si="21"/>
        <v>-3064</v>
      </c>
    </row>
    <row r="707" spans="1:19" ht="19.5" customHeight="1">
      <c r="A707" s="2">
        <v>698</v>
      </c>
      <c r="B707" s="67" t="s">
        <v>2159</v>
      </c>
      <c r="C707" s="4"/>
      <c r="D707" s="4"/>
      <c r="E707" s="11" t="s">
        <v>157</v>
      </c>
      <c r="F707" s="2" t="s">
        <v>2160</v>
      </c>
      <c r="G707" s="2" t="s">
        <v>2161</v>
      </c>
      <c r="H707" s="2" t="s">
        <v>158</v>
      </c>
      <c r="I707" s="2" t="s">
        <v>11</v>
      </c>
      <c r="J707" s="2" t="s">
        <v>660</v>
      </c>
      <c r="K707" s="105">
        <v>2709</v>
      </c>
      <c r="L707" s="63">
        <v>20</v>
      </c>
      <c r="M707" s="63"/>
      <c r="N707" s="63"/>
      <c r="O707" s="63"/>
      <c r="P707" s="63"/>
      <c r="Q707" s="63"/>
      <c r="R707" s="100">
        <f t="shared" si="20"/>
        <v>20</v>
      </c>
      <c r="S707" s="100">
        <f t="shared" si="21"/>
        <v>-20</v>
      </c>
    </row>
    <row r="708" spans="1:19" ht="19.5" customHeight="1">
      <c r="A708" s="2">
        <v>699</v>
      </c>
      <c r="B708" s="67" t="s">
        <v>2228</v>
      </c>
      <c r="C708" s="4"/>
      <c r="D708" s="4"/>
      <c r="E708" s="67" t="s">
        <v>159</v>
      </c>
      <c r="F708" s="68" t="s">
        <v>2230</v>
      </c>
      <c r="G708" s="68" t="s">
        <v>2227</v>
      </c>
      <c r="H708" s="68" t="s">
        <v>160</v>
      </c>
      <c r="I708" s="2" t="s">
        <v>14</v>
      </c>
      <c r="J708" s="68" t="s">
        <v>2229</v>
      </c>
      <c r="K708" s="105">
        <v>44400</v>
      </c>
      <c r="L708" s="63">
        <v>0</v>
      </c>
      <c r="M708" s="63"/>
      <c r="N708" s="63"/>
      <c r="O708" s="63"/>
      <c r="P708" s="63"/>
      <c r="Q708" s="63"/>
      <c r="R708" s="100">
        <f t="shared" si="20"/>
        <v>0</v>
      </c>
      <c r="S708" s="100">
        <f t="shared" si="21"/>
        <v>0</v>
      </c>
    </row>
    <row r="709" spans="1:19" ht="19.5" customHeight="1">
      <c r="A709" s="2">
        <v>700</v>
      </c>
      <c r="B709" s="11" t="s">
        <v>2399</v>
      </c>
      <c r="C709" s="4"/>
      <c r="D709" s="4"/>
      <c r="E709" s="11" t="s">
        <v>161</v>
      </c>
      <c r="F709" s="2" t="s">
        <v>2400</v>
      </c>
      <c r="G709" s="2" t="s">
        <v>2397</v>
      </c>
      <c r="H709" s="2" t="s">
        <v>3297</v>
      </c>
      <c r="I709" s="2" t="s">
        <v>10</v>
      </c>
      <c r="J709" s="2" t="s">
        <v>620</v>
      </c>
      <c r="K709" s="105">
        <v>1680</v>
      </c>
      <c r="L709" s="63">
        <v>0</v>
      </c>
      <c r="M709" s="63"/>
      <c r="N709" s="63"/>
      <c r="O709" s="63"/>
      <c r="P709" s="63"/>
      <c r="Q709" s="63"/>
      <c r="R709" s="100">
        <f t="shared" si="20"/>
        <v>0</v>
      </c>
      <c r="S709" s="100">
        <f t="shared" si="21"/>
        <v>0</v>
      </c>
    </row>
    <row r="710" spans="1:19" ht="19.5" customHeight="1">
      <c r="A710" s="2">
        <v>701</v>
      </c>
      <c r="B710" s="67" t="s">
        <v>792</v>
      </c>
      <c r="C710" s="4"/>
      <c r="D710" s="4"/>
      <c r="E710" s="11" t="s">
        <v>793</v>
      </c>
      <c r="F710" s="2" t="s">
        <v>795</v>
      </c>
      <c r="G710" s="2" t="s">
        <v>796</v>
      </c>
      <c r="H710" s="2" t="s">
        <v>794</v>
      </c>
      <c r="I710" s="2" t="s">
        <v>520</v>
      </c>
      <c r="J710" s="2" t="s">
        <v>241</v>
      </c>
      <c r="K710" s="105">
        <v>13500</v>
      </c>
      <c r="L710" s="63">
        <v>167</v>
      </c>
      <c r="M710" s="63"/>
      <c r="N710" s="63"/>
      <c r="O710" s="63"/>
      <c r="P710" s="63"/>
      <c r="Q710" s="63"/>
      <c r="R710" s="100">
        <f t="shared" si="20"/>
        <v>167</v>
      </c>
      <c r="S710" s="100">
        <f t="shared" si="21"/>
        <v>-167</v>
      </c>
    </row>
    <row r="711" spans="1:19" ht="19.5" customHeight="1">
      <c r="A711" s="2">
        <v>702</v>
      </c>
      <c r="B711" s="11" t="s">
        <v>855</v>
      </c>
      <c r="C711" s="4"/>
      <c r="D711" s="4"/>
      <c r="E711" s="11" t="s">
        <v>855</v>
      </c>
      <c r="F711" s="2" t="s">
        <v>1373</v>
      </c>
      <c r="G711" s="2" t="s">
        <v>360</v>
      </c>
      <c r="H711" s="2" t="s">
        <v>334</v>
      </c>
      <c r="I711" s="2" t="s">
        <v>11</v>
      </c>
      <c r="J711" s="2" t="s">
        <v>1329</v>
      </c>
      <c r="K711" s="105">
        <v>200</v>
      </c>
      <c r="L711" s="63">
        <v>12520</v>
      </c>
      <c r="M711" s="63"/>
      <c r="N711" s="63"/>
      <c r="O711" s="63"/>
      <c r="P711" s="63"/>
      <c r="Q711" s="63"/>
      <c r="R711" s="100">
        <f t="shared" si="20"/>
        <v>12520</v>
      </c>
      <c r="S711" s="100">
        <f t="shared" si="21"/>
        <v>-12520</v>
      </c>
    </row>
    <row r="712" spans="1:19" ht="19.5" customHeight="1">
      <c r="A712" s="2">
        <v>703</v>
      </c>
      <c r="B712" s="11" t="s">
        <v>855</v>
      </c>
      <c r="C712" s="11"/>
      <c r="D712" s="11"/>
      <c r="E712" s="11" t="s">
        <v>855</v>
      </c>
      <c r="F712" s="2" t="s">
        <v>3298</v>
      </c>
      <c r="G712" s="2" t="s">
        <v>360</v>
      </c>
      <c r="H712" s="2" t="s">
        <v>334</v>
      </c>
      <c r="I712" s="2" t="s">
        <v>11</v>
      </c>
      <c r="J712" s="2" t="s">
        <v>1329</v>
      </c>
      <c r="K712" s="105">
        <v>224</v>
      </c>
      <c r="L712" s="63">
        <v>18</v>
      </c>
      <c r="M712" s="63"/>
      <c r="N712" s="63"/>
      <c r="O712" s="63"/>
      <c r="P712" s="63"/>
      <c r="Q712" s="63"/>
      <c r="R712" s="100">
        <f t="shared" si="20"/>
        <v>18</v>
      </c>
      <c r="S712" s="100">
        <f t="shared" si="21"/>
        <v>-18</v>
      </c>
    </row>
    <row r="713" spans="1:19" ht="19.5" customHeight="1">
      <c r="A713" s="2">
        <v>704</v>
      </c>
      <c r="B713" s="11" t="s">
        <v>855</v>
      </c>
      <c r="C713" s="4"/>
      <c r="D713" s="4"/>
      <c r="E713" s="11" t="s">
        <v>1808</v>
      </c>
      <c r="F713" s="2" t="s">
        <v>1811</v>
      </c>
      <c r="G713" s="2" t="s">
        <v>1812</v>
      </c>
      <c r="H713" s="2" t="s">
        <v>1809</v>
      </c>
      <c r="I713" s="2" t="s">
        <v>520</v>
      </c>
      <c r="J713" s="2" t="s">
        <v>1810</v>
      </c>
      <c r="K713" s="105">
        <v>29900</v>
      </c>
      <c r="L713" s="63">
        <v>76</v>
      </c>
      <c r="M713" s="63"/>
      <c r="N713" s="63"/>
      <c r="O713" s="63"/>
      <c r="P713" s="63"/>
      <c r="Q713" s="63"/>
      <c r="R713" s="100">
        <f t="shared" si="20"/>
        <v>76</v>
      </c>
      <c r="S713" s="100">
        <f t="shared" si="21"/>
        <v>-76</v>
      </c>
    </row>
    <row r="714" spans="1:19" ht="19.5" customHeight="1">
      <c r="A714" s="2">
        <v>705</v>
      </c>
      <c r="B714" s="64" t="s">
        <v>400</v>
      </c>
      <c r="C714" s="3"/>
      <c r="D714" s="3"/>
      <c r="E714" s="11" t="s">
        <v>400</v>
      </c>
      <c r="F714" s="2" t="s">
        <v>401</v>
      </c>
      <c r="G714" s="2" t="s">
        <v>360</v>
      </c>
      <c r="H714" s="2" t="s">
        <v>235</v>
      </c>
      <c r="I714" s="2" t="s">
        <v>10</v>
      </c>
      <c r="J714" s="2" t="s">
        <v>1329</v>
      </c>
      <c r="K714" s="105">
        <v>146</v>
      </c>
      <c r="L714" s="63">
        <v>7000</v>
      </c>
      <c r="M714" s="63"/>
      <c r="N714" s="63"/>
      <c r="O714" s="63"/>
      <c r="P714" s="63"/>
      <c r="Q714" s="63"/>
      <c r="R714" s="100">
        <f t="shared" si="20"/>
        <v>7000</v>
      </c>
      <c r="S714" s="100">
        <f t="shared" si="21"/>
        <v>-7000</v>
      </c>
    </row>
    <row r="715" spans="1:19" ht="19.5" customHeight="1">
      <c r="A715" s="2">
        <v>706</v>
      </c>
      <c r="B715" s="67" t="s">
        <v>882</v>
      </c>
      <c r="C715" s="11"/>
      <c r="D715" s="11"/>
      <c r="E715" s="67" t="s">
        <v>883</v>
      </c>
      <c r="F715" s="68" t="s">
        <v>885</v>
      </c>
      <c r="G715" s="68" t="s">
        <v>298</v>
      </c>
      <c r="H715" s="68" t="s">
        <v>262</v>
      </c>
      <c r="I715" s="68" t="s">
        <v>10</v>
      </c>
      <c r="J715" s="68" t="s">
        <v>884</v>
      </c>
      <c r="K715" s="105">
        <v>64711</v>
      </c>
      <c r="L715" s="63">
        <v>29</v>
      </c>
      <c r="M715" s="63"/>
      <c r="N715" s="63"/>
      <c r="O715" s="63"/>
      <c r="P715" s="63"/>
      <c r="Q715" s="63"/>
      <c r="R715" s="100">
        <f t="shared" ref="R715:R778" si="22">L715+M715-O715</f>
        <v>29</v>
      </c>
      <c r="S715" s="100">
        <f t="shared" ref="S715:S778" si="23">Q715-R715</f>
        <v>-29</v>
      </c>
    </row>
    <row r="716" spans="1:19" ht="19.5" customHeight="1">
      <c r="A716" s="2">
        <v>707</v>
      </c>
      <c r="B716" s="11" t="s">
        <v>847</v>
      </c>
      <c r="C716" s="4"/>
      <c r="D716" s="4"/>
      <c r="E716" s="11" t="s">
        <v>1874</v>
      </c>
      <c r="F716" s="8" t="s">
        <v>1875</v>
      </c>
      <c r="G716" s="8" t="s">
        <v>1876</v>
      </c>
      <c r="H716" s="8" t="s">
        <v>225</v>
      </c>
      <c r="I716" s="68" t="s">
        <v>10</v>
      </c>
      <c r="J716" s="8" t="s">
        <v>1350</v>
      </c>
      <c r="K716" s="105">
        <v>2970</v>
      </c>
      <c r="L716" s="63">
        <v>16319</v>
      </c>
      <c r="M716" s="63"/>
      <c r="N716" s="63"/>
      <c r="O716" s="63"/>
      <c r="P716" s="63"/>
      <c r="Q716" s="63"/>
      <c r="R716" s="100">
        <f t="shared" si="22"/>
        <v>16319</v>
      </c>
      <c r="S716" s="100">
        <f t="shared" si="23"/>
        <v>-16319</v>
      </c>
    </row>
    <row r="717" spans="1:19" ht="19.5" customHeight="1">
      <c r="A717" s="2">
        <v>708</v>
      </c>
      <c r="B717" s="11" t="s">
        <v>689</v>
      </c>
      <c r="C717" s="4"/>
      <c r="D717" s="4"/>
      <c r="E717" s="11" t="s">
        <v>1089</v>
      </c>
      <c r="F717" s="2" t="s">
        <v>1091</v>
      </c>
      <c r="G717" s="2" t="s">
        <v>1092</v>
      </c>
      <c r="H717" s="2" t="s">
        <v>1090</v>
      </c>
      <c r="I717" s="2" t="s">
        <v>11</v>
      </c>
      <c r="J717" s="2" t="s">
        <v>815</v>
      </c>
      <c r="K717" s="105">
        <v>7000</v>
      </c>
      <c r="L717" s="63">
        <v>136</v>
      </c>
      <c r="M717" s="63"/>
      <c r="N717" s="63"/>
      <c r="O717" s="63"/>
      <c r="P717" s="63"/>
      <c r="Q717" s="63"/>
      <c r="R717" s="100">
        <f t="shared" si="22"/>
        <v>136</v>
      </c>
      <c r="S717" s="100">
        <f t="shared" si="23"/>
        <v>-136</v>
      </c>
    </row>
    <row r="718" spans="1:19" ht="19.5" customHeight="1">
      <c r="A718" s="2">
        <v>709</v>
      </c>
      <c r="B718" s="65" t="s">
        <v>689</v>
      </c>
      <c r="C718" s="11"/>
      <c r="D718" s="11"/>
      <c r="E718" s="65" t="s">
        <v>3299</v>
      </c>
      <c r="F718" s="2" t="s">
        <v>3300</v>
      </c>
      <c r="G718" s="2" t="s">
        <v>3301</v>
      </c>
      <c r="H718" s="66" t="s">
        <v>1260</v>
      </c>
      <c r="I718" s="2" t="s">
        <v>11</v>
      </c>
      <c r="J718" s="2" t="s">
        <v>815</v>
      </c>
      <c r="K718" s="105">
        <v>6870</v>
      </c>
      <c r="L718" s="63">
        <v>4</v>
      </c>
      <c r="M718" s="63"/>
      <c r="N718" s="63"/>
      <c r="O718" s="63"/>
      <c r="P718" s="63"/>
      <c r="Q718" s="63"/>
      <c r="R718" s="100">
        <f t="shared" si="22"/>
        <v>4</v>
      </c>
      <c r="S718" s="100">
        <f t="shared" si="23"/>
        <v>-4</v>
      </c>
    </row>
    <row r="719" spans="1:19" ht="19.5" customHeight="1">
      <c r="A719" s="2">
        <v>710</v>
      </c>
      <c r="B719" s="67" t="s">
        <v>1500</v>
      </c>
      <c r="C719" s="4"/>
      <c r="D719" s="4"/>
      <c r="E719" s="11" t="s">
        <v>1501</v>
      </c>
      <c r="F719" s="2" t="s">
        <v>1503</v>
      </c>
      <c r="G719" s="2" t="s">
        <v>1504</v>
      </c>
      <c r="H719" s="2" t="s">
        <v>1502</v>
      </c>
      <c r="I719" s="2" t="s">
        <v>14</v>
      </c>
      <c r="J719" s="2" t="s">
        <v>306</v>
      </c>
      <c r="K719" s="105">
        <v>29400</v>
      </c>
      <c r="L719" s="63">
        <v>324</v>
      </c>
      <c r="M719" s="63"/>
      <c r="N719" s="63"/>
      <c r="O719" s="63"/>
      <c r="P719" s="63"/>
      <c r="Q719" s="63"/>
      <c r="R719" s="100">
        <f t="shared" si="22"/>
        <v>324</v>
      </c>
      <c r="S719" s="100">
        <f t="shared" si="23"/>
        <v>-324</v>
      </c>
    </row>
    <row r="720" spans="1:19" ht="19.5" customHeight="1">
      <c r="A720" s="2">
        <v>711</v>
      </c>
      <c r="B720" s="11" t="s">
        <v>870</v>
      </c>
      <c r="C720" s="11"/>
      <c r="D720" s="11"/>
      <c r="E720" s="65" t="s">
        <v>3302</v>
      </c>
      <c r="F720" s="2" t="s">
        <v>3303</v>
      </c>
      <c r="G720" s="2" t="s">
        <v>3304</v>
      </c>
      <c r="H720" s="2" t="s">
        <v>1568</v>
      </c>
      <c r="I720" s="2" t="s">
        <v>14</v>
      </c>
      <c r="J720" s="2" t="s">
        <v>1069</v>
      </c>
      <c r="K720" s="105">
        <v>10080</v>
      </c>
      <c r="L720" s="63">
        <v>6</v>
      </c>
      <c r="M720" s="63"/>
      <c r="N720" s="63"/>
      <c r="O720" s="63"/>
      <c r="P720" s="63"/>
      <c r="Q720" s="63"/>
      <c r="R720" s="100">
        <f t="shared" si="22"/>
        <v>6</v>
      </c>
      <c r="S720" s="100">
        <f t="shared" si="23"/>
        <v>-6</v>
      </c>
    </row>
    <row r="721" spans="1:19" ht="19.5" customHeight="1">
      <c r="A721" s="2">
        <v>712</v>
      </c>
      <c r="B721" s="67" t="s">
        <v>855</v>
      </c>
      <c r="C721" s="4"/>
      <c r="D721" s="4"/>
      <c r="E721" s="67" t="s">
        <v>1176</v>
      </c>
      <c r="F721" s="68" t="s">
        <v>1178</v>
      </c>
      <c r="G721" s="68" t="s">
        <v>1170</v>
      </c>
      <c r="H721" s="68" t="s">
        <v>1177</v>
      </c>
      <c r="I721" s="68" t="s">
        <v>11</v>
      </c>
      <c r="J721" s="68" t="s">
        <v>623</v>
      </c>
      <c r="K721" s="105">
        <v>2690</v>
      </c>
      <c r="L721" s="63">
        <v>7899</v>
      </c>
      <c r="M721" s="63"/>
      <c r="N721" s="63"/>
      <c r="O721" s="63"/>
      <c r="P721" s="63"/>
      <c r="Q721" s="63"/>
      <c r="R721" s="100">
        <f t="shared" si="22"/>
        <v>7899</v>
      </c>
      <c r="S721" s="100">
        <f t="shared" si="23"/>
        <v>-7899</v>
      </c>
    </row>
    <row r="722" spans="1:19" ht="19.5" customHeight="1">
      <c r="A722" s="2">
        <v>713</v>
      </c>
      <c r="B722" s="11" t="s">
        <v>855</v>
      </c>
      <c r="C722" s="4"/>
      <c r="D722" s="4"/>
      <c r="E722" s="11" t="s">
        <v>1774</v>
      </c>
      <c r="F722" s="2" t="s">
        <v>1775</v>
      </c>
      <c r="G722" s="2" t="s">
        <v>1170</v>
      </c>
      <c r="H722" s="2" t="s">
        <v>641</v>
      </c>
      <c r="I722" s="2" t="s">
        <v>11</v>
      </c>
      <c r="J722" s="2" t="s">
        <v>1736</v>
      </c>
      <c r="K722" s="105">
        <v>1400</v>
      </c>
      <c r="L722" s="63">
        <v>8536</v>
      </c>
      <c r="M722" s="63"/>
      <c r="N722" s="63"/>
      <c r="O722" s="63"/>
      <c r="P722" s="63"/>
      <c r="Q722" s="63"/>
      <c r="R722" s="100">
        <f t="shared" si="22"/>
        <v>8536</v>
      </c>
      <c r="S722" s="100">
        <f t="shared" si="23"/>
        <v>-8536</v>
      </c>
    </row>
    <row r="723" spans="1:19" ht="19.5" customHeight="1">
      <c r="A723" s="2">
        <v>714</v>
      </c>
      <c r="B723" s="67" t="s">
        <v>634</v>
      </c>
      <c r="C723" s="4"/>
      <c r="D723" s="4"/>
      <c r="E723" s="11" t="s">
        <v>1822</v>
      </c>
      <c r="F723" s="2" t="s">
        <v>1823</v>
      </c>
      <c r="G723" s="2" t="s">
        <v>492</v>
      </c>
      <c r="H723" s="2" t="s">
        <v>267</v>
      </c>
      <c r="I723" s="2" t="s">
        <v>10</v>
      </c>
      <c r="J723" s="2" t="s">
        <v>620</v>
      </c>
      <c r="K723" s="105">
        <v>955</v>
      </c>
      <c r="L723" s="63">
        <v>3039</v>
      </c>
      <c r="M723" s="63"/>
      <c r="N723" s="63"/>
      <c r="O723" s="63"/>
      <c r="P723" s="63"/>
      <c r="Q723" s="63"/>
      <c r="R723" s="100">
        <f t="shared" si="22"/>
        <v>3039</v>
      </c>
      <c r="S723" s="100">
        <f t="shared" si="23"/>
        <v>-3039</v>
      </c>
    </row>
    <row r="724" spans="1:19" ht="19.5" customHeight="1">
      <c r="A724" s="2">
        <v>715</v>
      </c>
      <c r="B724" s="11" t="s">
        <v>2541</v>
      </c>
      <c r="C724" s="11"/>
      <c r="D724" s="11"/>
      <c r="E724" s="65" t="s">
        <v>402</v>
      </c>
      <c r="F724" s="2" t="s">
        <v>3305</v>
      </c>
      <c r="G724" s="2" t="s">
        <v>2380</v>
      </c>
      <c r="H724" s="66" t="s">
        <v>327</v>
      </c>
      <c r="I724" s="66" t="s">
        <v>11</v>
      </c>
      <c r="J724" s="2" t="s">
        <v>642</v>
      </c>
      <c r="K724" s="105">
        <v>139</v>
      </c>
      <c r="L724" s="63">
        <v>23</v>
      </c>
      <c r="M724" s="63"/>
      <c r="N724" s="63"/>
      <c r="O724" s="63"/>
      <c r="P724" s="63"/>
      <c r="Q724" s="63"/>
      <c r="R724" s="100">
        <f t="shared" si="22"/>
        <v>23</v>
      </c>
      <c r="S724" s="100">
        <f t="shared" si="23"/>
        <v>-23</v>
      </c>
    </row>
    <row r="725" spans="1:19" ht="19.5" customHeight="1">
      <c r="A725" s="2">
        <v>716</v>
      </c>
      <c r="B725" s="11" t="s">
        <v>265</v>
      </c>
      <c r="C725" s="11"/>
      <c r="D725" s="11"/>
      <c r="E725" s="11" t="s">
        <v>2542</v>
      </c>
      <c r="F725" s="2" t="s">
        <v>3306</v>
      </c>
      <c r="G725" s="2" t="s">
        <v>3307</v>
      </c>
      <c r="H725" s="2" t="s">
        <v>387</v>
      </c>
      <c r="I725" s="66" t="s">
        <v>11</v>
      </c>
      <c r="J725" s="2" t="s">
        <v>642</v>
      </c>
      <c r="K725" s="105">
        <v>2079</v>
      </c>
      <c r="L725" s="63">
        <v>35000</v>
      </c>
      <c r="M725" s="63"/>
      <c r="N725" s="63"/>
      <c r="O725" s="63"/>
      <c r="P725" s="63"/>
      <c r="Q725" s="63"/>
      <c r="R725" s="100">
        <f t="shared" si="22"/>
        <v>35000</v>
      </c>
      <c r="S725" s="100">
        <f t="shared" si="23"/>
        <v>-35000</v>
      </c>
    </row>
    <row r="726" spans="1:19" ht="19.5" customHeight="1">
      <c r="A726" s="2">
        <v>717</v>
      </c>
      <c r="B726" s="67" t="s">
        <v>1179</v>
      </c>
      <c r="C726" s="4"/>
      <c r="D726" s="4"/>
      <c r="E726" s="11" t="s">
        <v>1598</v>
      </c>
      <c r="F726" s="2" t="s">
        <v>1599</v>
      </c>
      <c r="G726" s="2" t="s">
        <v>1765</v>
      </c>
      <c r="H726" s="2" t="s">
        <v>258</v>
      </c>
      <c r="I726" s="2" t="s">
        <v>10</v>
      </c>
      <c r="J726" s="2" t="s">
        <v>1350</v>
      </c>
      <c r="K726" s="105">
        <v>9500</v>
      </c>
      <c r="L726" s="63">
        <v>3651</v>
      </c>
      <c r="M726" s="63"/>
      <c r="N726" s="63"/>
      <c r="O726" s="63"/>
      <c r="P726" s="63"/>
      <c r="Q726" s="63"/>
      <c r="R726" s="100">
        <f t="shared" si="22"/>
        <v>3651</v>
      </c>
      <c r="S726" s="100">
        <f t="shared" si="23"/>
        <v>-3651</v>
      </c>
    </row>
    <row r="727" spans="1:19" ht="19.5" customHeight="1">
      <c r="A727" s="2">
        <v>718</v>
      </c>
      <c r="B727" s="11" t="s">
        <v>1356</v>
      </c>
      <c r="C727" s="11"/>
      <c r="D727" s="11"/>
      <c r="E727" s="11" t="s">
        <v>2543</v>
      </c>
      <c r="F727" s="2" t="s">
        <v>3308</v>
      </c>
      <c r="G727" s="2" t="s">
        <v>3309</v>
      </c>
      <c r="H727" s="2" t="s">
        <v>238</v>
      </c>
      <c r="I727" s="66" t="s">
        <v>10</v>
      </c>
      <c r="J727" s="2" t="s">
        <v>642</v>
      </c>
      <c r="K727" s="105">
        <v>1831</v>
      </c>
      <c r="L727" s="63">
        <v>1077</v>
      </c>
      <c r="M727" s="63"/>
      <c r="N727" s="63"/>
      <c r="O727" s="63"/>
      <c r="P727" s="63"/>
      <c r="Q727" s="63"/>
      <c r="R727" s="100">
        <f t="shared" si="22"/>
        <v>1077</v>
      </c>
      <c r="S727" s="100">
        <f t="shared" si="23"/>
        <v>-1077</v>
      </c>
    </row>
    <row r="728" spans="1:19" ht="19.5" customHeight="1">
      <c r="A728" s="2">
        <v>719</v>
      </c>
      <c r="B728" s="11" t="s">
        <v>624</v>
      </c>
      <c r="C728" s="4"/>
      <c r="D728" s="4"/>
      <c r="E728" s="11" t="s">
        <v>1094</v>
      </c>
      <c r="F728" s="2" t="s">
        <v>1095</v>
      </c>
      <c r="G728" s="2" t="s">
        <v>1093</v>
      </c>
      <c r="H728" s="2" t="s">
        <v>238</v>
      </c>
      <c r="I728" s="2" t="s">
        <v>11</v>
      </c>
      <c r="J728" s="2" t="s">
        <v>815</v>
      </c>
      <c r="K728" s="105">
        <v>3000</v>
      </c>
      <c r="L728" s="63">
        <v>2965</v>
      </c>
      <c r="M728" s="63"/>
      <c r="N728" s="63"/>
      <c r="O728" s="63"/>
      <c r="P728" s="63"/>
      <c r="Q728" s="63"/>
      <c r="R728" s="100">
        <f t="shared" si="22"/>
        <v>2965</v>
      </c>
      <c r="S728" s="100">
        <f t="shared" si="23"/>
        <v>-2965</v>
      </c>
    </row>
    <row r="729" spans="1:19" ht="19.5" customHeight="1">
      <c r="A729" s="2">
        <v>720</v>
      </c>
      <c r="B729" s="11" t="s">
        <v>792</v>
      </c>
      <c r="C729" s="4"/>
      <c r="D729" s="4"/>
      <c r="E729" s="11" t="s">
        <v>1934</v>
      </c>
      <c r="F729" s="2" t="s">
        <v>1937</v>
      </c>
      <c r="G729" s="2" t="s">
        <v>1913</v>
      </c>
      <c r="H729" s="2" t="s">
        <v>1935</v>
      </c>
      <c r="I729" s="2" t="s">
        <v>15</v>
      </c>
      <c r="J729" s="2" t="s">
        <v>1936</v>
      </c>
      <c r="K729" s="105">
        <v>9440</v>
      </c>
      <c r="L729" s="63">
        <v>74</v>
      </c>
      <c r="M729" s="63"/>
      <c r="N729" s="63"/>
      <c r="O729" s="63"/>
      <c r="P729" s="63"/>
      <c r="Q729" s="63"/>
      <c r="R729" s="100">
        <f t="shared" si="22"/>
        <v>74</v>
      </c>
      <c r="S729" s="100">
        <f t="shared" si="23"/>
        <v>-74</v>
      </c>
    </row>
    <row r="730" spans="1:19" ht="19.5" customHeight="1">
      <c r="A730" s="2">
        <v>721</v>
      </c>
      <c r="B730" s="11" t="s">
        <v>792</v>
      </c>
      <c r="C730" s="4"/>
      <c r="D730" s="4"/>
      <c r="E730" s="11" t="s">
        <v>1929</v>
      </c>
      <c r="F730" s="2" t="s">
        <v>1932</v>
      </c>
      <c r="G730" s="2" t="s">
        <v>1913</v>
      </c>
      <c r="H730" s="2" t="s">
        <v>1930</v>
      </c>
      <c r="I730" s="2" t="s">
        <v>1933</v>
      </c>
      <c r="J730" s="2" t="s">
        <v>1931</v>
      </c>
      <c r="K730" s="105">
        <v>5250</v>
      </c>
      <c r="L730" s="63">
        <v>18</v>
      </c>
      <c r="M730" s="63"/>
      <c r="N730" s="63"/>
      <c r="O730" s="63"/>
      <c r="P730" s="63"/>
      <c r="Q730" s="63"/>
      <c r="R730" s="100">
        <f t="shared" si="22"/>
        <v>18</v>
      </c>
      <c r="S730" s="100">
        <f t="shared" si="23"/>
        <v>-18</v>
      </c>
    </row>
    <row r="731" spans="1:19" ht="19.5" customHeight="1">
      <c r="A731" s="2">
        <v>722</v>
      </c>
      <c r="B731" s="11" t="s">
        <v>3310</v>
      </c>
      <c r="C731" s="4"/>
      <c r="D731" s="4"/>
      <c r="E731" s="11" t="s">
        <v>3311</v>
      </c>
      <c r="F731" s="2" t="s">
        <v>3312</v>
      </c>
      <c r="G731" s="2" t="s">
        <v>2672</v>
      </c>
      <c r="H731" s="2" t="s">
        <v>3313</v>
      </c>
      <c r="I731" s="2" t="s">
        <v>14</v>
      </c>
      <c r="J731" s="2" t="s">
        <v>3314</v>
      </c>
      <c r="K731" s="105">
        <v>80000</v>
      </c>
      <c r="L731" s="63">
        <v>48</v>
      </c>
      <c r="M731" s="63"/>
      <c r="N731" s="63"/>
      <c r="O731" s="63"/>
      <c r="P731" s="63"/>
      <c r="Q731" s="63"/>
      <c r="R731" s="100">
        <f t="shared" si="22"/>
        <v>48</v>
      </c>
      <c r="S731" s="100">
        <f t="shared" si="23"/>
        <v>-48</v>
      </c>
    </row>
    <row r="732" spans="1:19" ht="19.5" customHeight="1">
      <c r="A732" s="2">
        <v>723</v>
      </c>
      <c r="B732" s="67" t="s">
        <v>876</v>
      </c>
      <c r="C732" s="11"/>
      <c r="D732" s="11"/>
      <c r="E732" s="67" t="s">
        <v>877</v>
      </c>
      <c r="F732" s="68" t="s">
        <v>880</v>
      </c>
      <c r="G732" s="68" t="s">
        <v>881</v>
      </c>
      <c r="H732" s="68" t="s">
        <v>878</v>
      </c>
      <c r="I732" s="68" t="s">
        <v>628</v>
      </c>
      <c r="J732" s="68" t="s">
        <v>879</v>
      </c>
      <c r="K732" s="105">
        <v>13834</v>
      </c>
      <c r="L732" s="63">
        <v>361</v>
      </c>
      <c r="M732" s="63"/>
      <c r="N732" s="63"/>
      <c r="O732" s="63"/>
      <c r="P732" s="63"/>
      <c r="Q732" s="63"/>
      <c r="R732" s="100">
        <f t="shared" si="22"/>
        <v>361</v>
      </c>
      <c r="S732" s="100">
        <f t="shared" si="23"/>
        <v>-361</v>
      </c>
    </row>
    <row r="733" spans="1:19" ht="19.5" customHeight="1">
      <c r="A733" s="2">
        <v>724</v>
      </c>
      <c r="B733" s="11" t="s">
        <v>870</v>
      </c>
      <c r="C733" s="11"/>
      <c r="D733" s="11"/>
      <c r="E733" s="11" t="s">
        <v>2544</v>
      </c>
      <c r="F733" s="2" t="s">
        <v>3315</v>
      </c>
      <c r="G733" s="2" t="s">
        <v>863</v>
      </c>
      <c r="H733" s="2" t="s">
        <v>2545</v>
      </c>
      <c r="I733" s="66" t="s">
        <v>14</v>
      </c>
      <c r="J733" s="2" t="s">
        <v>3316</v>
      </c>
      <c r="K733" s="105">
        <v>42300</v>
      </c>
      <c r="L733" s="63">
        <v>198</v>
      </c>
      <c r="M733" s="63"/>
      <c r="N733" s="63"/>
      <c r="O733" s="63"/>
      <c r="P733" s="63"/>
      <c r="Q733" s="63"/>
      <c r="R733" s="100">
        <f t="shared" si="22"/>
        <v>198</v>
      </c>
      <c r="S733" s="100">
        <f t="shared" si="23"/>
        <v>-198</v>
      </c>
    </row>
    <row r="734" spans="1:19" ht="19.5" customHeight="1">
      <c r="A734" s="2">
        <v>725</v>
      </c>
      <c r="B734" s="11" t="s">
        <v>870</v>
      </c>
      <c r="C734" s="11"/>
      <c r="D734" s="11"/>
      <c r="E734" s="11" t="s">
        <v>2544</v>
      </c>
      <c r="F734" s="2" t="s">
        <v>3315</v>
      </c>
      <c r="G734" s="2" t="s">
        <v>863</v>
      </c>
      <c r="H734" s="2" t="s">
        <v>2546</v>
      </c>
      <c r="I734" s="66" t="s">
        <v>14</v>
      </c>
      <c r="J734" s="2" t="s">
        <v>3316</v>
      </c>
      <c r="K734" s="105">
        <v>3080</v>
      </c>
      <c r="L734" s="63">
        <v>250</v>
      </c>
      <c r="M734" s="63"/>
      <c r="N734" s="63"/>
      <c r="O734" s="63"/>
      <c r="P734" s="63"/>
      <c r="Q734" s="63"/>
      <c r="R734" s="100">
        <f t="shared" si="22"/>
        <v>250</v>
      </c>
      <c r="S734" s="100">
        <f t="shared" si="23"/>
        <v>-250</v>
      </c>
    </row>
    <row r="735" spans="1:19" ht="19.5" customHeight="1">
      <c r="A735" s="2">
        <v>726</v>
      </c>
      <c r="B735" s="67" t="s">
        <v>802</v>
      </c>
      <c r="C735" s="4"/>
      <c r="D735" s="4"/>
      <c r="E735" s="11" t="s">
        <v>1605</v>
      </c>
      <c r="F735" s="2" t="s">
        <v>1606</v>
      </c>
      <c r="G735" s="2" t="s">
        <v>463</v>
      </c>
      <c r="H735" s="2" t="s">
        <v>272</v>
      </c>
      <c r="I735" s="2" t="s">
        <v>11</v>
      </c>
      <c r="J735" s="2" t="s">
        <v>1600</v>
      </c>
      <c r="K735" s="105">
        <v>3890</v>
      </c>
      <c r="L735" s="63">
        <v>904</v>
      </c>
      <c r="M735" s="63"/>
      <c r="N735" s="63"/>
      <c r="O735" s="63"/>
      <c r="P735" s="63"/>
      <c r="Q735" s="63"/>
      <c r="R735" s="100">
        <f t="shared" si="22"/>
        <v>904</v>
      </c>
      <c r="S735" s="100">
        <f t="shared" si="23"/>
        <v>-904</v>
      </c>
    </row>
    <row r="736" spans="1:19" ht="19.5" customHeight="1">
      <c r="A736" s="2">
        <v>727</v>
      </c>
      <c r="B736" s="11" t="s">
        <v>802</v>
      </c>
      <c r="C736" s="11"/>
      <c r="D736" s="11"/>
      <c r="E736" s="65" t="s">
        <v>1605</v>
      </c>
      <c r="F736" s="2" t="s">
        <v>3317</v>
      </c>
      <c r="G736" s="2" t="s">
        <v>463</v>
      </c>
      <c r="H736" s="2" t="s">
        <v>272</v>
      </c>
      <c r="I736" s="2" t="s">
        <v>11</v>
      </c>
      <c r="J736" s="2" t="s">
        <v>1600</v>
      </c>
      <c r="K736" s="105">
        <v>4100</v>
      </c>
      <c r="L736" s="63">
        <v>3093</v>
      </c>
      <c r="M736" s="63"/>
      <c r="N736" s="63"/>
      <c r="O736" s="63"/>
      <c r="P736" s="63"/>
      <c r="Q736" s="63"/>
      <c r="R736" s="100">
        <f t="shared" si="22"/>
        <v>3093</v>
      </c>
      <c r="S736" s="100">
        <f t="shared" si="23"/>
        <v>-3093</v>
      </c>
    </row>
    <row r="737" spans="1:19" ht="19.5" customHeight="1">
      <c r="A737" s="2">
        <v>728</v>
      </c>
      <c r="B737" s="11" t="s">
        <v>802</v>
      </c>
      <c r="C737" s="11"/>
      <c r="D737" s="11"/>
      <c r="E737" s="65" t="s">
        <v>3318</v>
      </c>
      <c r="F737" s="2" t="s">
        <v>1607</v>
      </c>
      <c r="G737" s="2" t="s">
        <v>463</v>
      </c>
      <c r="H737" s="2" t="s">
        <v>225</v>
      </c>
      <c r="I737" s="2" t="s">
        <v>11</v>
      </c>
      <c r="J737" s="2" t="s">
        <v>1600</v>
      </c>
      <c r="K737" s="105">
        <v>8000</v>
      </c>
      <c r="L737" s="63">
        <v>1618</v>
      </c>
      <c r="M737" s="63"/>
      <c r="N737" s="63"/>
      <c r="O737" s="63"/>
      <c r="P737" s="63"/>
      <c r="Q737" s="63"/>
      <c r="R737" s="100">
        <f t="shared" si="22"/>
        <v>1618</v>
      </c>
      <c r="S737" s="100">
        <f t="shared" si="23"/>
        <v>-1618</v>
      </c>
    </row>
    <row r="738" spans="1:19" ht="19.5" customHeight="1">
      <c r="A738" s="2">
        <v>729</v>
      </c>
      <c r="B738" s="64" t="s">
        <v>309</v>
      </c>
      <c r="C738" s="3"/>
      <c r="D738" s="3"/>
      <c r="E738" s="11" t="s">
        <v>466</v>
      </c>
      <c r="F738" s="2" t="s">
        <v>468</v>
      </c>
      <c r="G738" s="2" t="s">
        <v>463</v>
      </c>
      <c r="H738" s="2" t="s">
        <v>310</v>
      </c>
      <c r="I738" s="2" t="s">
        <v>10</v>
      </c>
      <c r="J738" s="2" t="s">
        <v>467</v>
      </c>
      <c r="K738" s="105">
        <v>420</v>
      </c>
      <c r="L738" s="63">
        <v>15320</v>
      </c>
      <c r="M738" s="63"/>
      <c r="N738" s="63"/>
      <c r="O738" s="63"/>
      <c r="P738" s="63"/>
      <c r="Q738" s="63"/>
      <c r="R738" s="100">
        <f t="shared" si="22"/>
        <v>15320</v>
      </c>
      <c r="S738" s="100">
        <f t="shared" si="23"/>
        <v>-15320</v>
      </c>
    </row>
    <row r="739" spans="1:19" ht="19.5" customHeight="1">
      <c r="A739" s="2">
        <v>730</v>
      </c>
      <c r="B739" s="67" t="s">
        <v>1618</v>
      </c>
      <c r="C739" s="4"/>
      <c r="D739" s="4"/>
      <c r="E739" s="11" t="s">
        <v>1619</v>
      </c>
      <c r="F739" s="2" t="s">
        <v>1620</v>
      </c>
      <c r="G739" s="2" t="s">
        <v>463</v>
      </c>
      <c r="H739" s="2" t="s">
        <v>1232</v>
      </c>
      <c r="I739" s="2" t="s">
        <v>11</v>
      </c>
      <c r="J739" s="2" t="s">
        <v>1613</v>
      </c>
      <c r="K739" s="105">
        <v>880</v>
      </c>
      <c r="L739" s="63">
        <v>1670</v>
      </c>
      <c r="M739" s="63"/>
      <c r="N739" s="63"/>
      <c r="O739" s="63"/>
      <c r="P739" s="63"/>
      <c r="Q739" s="63"/>
      <c r="R739" s="100">
        <f t="shared" si="22"/>
        <v>1670</v>
      </c>
      <c r="S739" s="100">
        <f t="shared" si="23"/>
        <v>-1670</v>
      </c>
    </row>
    <row r="740" spans="1:19" ht="19.5" customHeight="1">
      <c r="A740" s="2">
        <v>731</v>
      </c>
      <c r="B740" s="67" t="s">
        <v>645</v>
      </c>
      <c r="C740" s="4"/>
      <c r="D740" s="4"/>
      <c r="E740" s="11" t="s">
        <v>1615</v>
      </c>
      <c r="F740" s="2" t="s">
        <v>1617</v>
      </c>
      <c r="G740" s="2" t="s">
        <v>463</v>
      </c>
      <c r="H740" s="2" t="s">
        <v>291</v>
      </c>
      <c r="I740" s="2" t="s">
        <v>11</v>
      </c>
      <c r="J740" s="2" t="s">
        <v>1616</v>
      </c>
      <c r="K740" s="105">
        <v>2250</v>
      </c>
      <c r="L740" s="63">
        <v>3191</v>
      </c>
      <c r="M740" s="63"/>
      <c r="N740" s="63"/>
      <c r="O740" s="63"/>
      <c r="P740" s="63"/>
      <c r="Q740" s="63"/>
      <c r="R740" s="100">
        <f t="shared" si="22"/>
        <v>3191</v>
      </c>
      <c r="S740" s="100">
        <f t="shared" si="23"/>
        <v>-3191</v>
      </c>
    </row>
    <row r="741" spans="1:19" ht="19.5" customHeight="1">
      <c r="A741" s="2">
        <v>732</v>
      </c>
      <c r="B741" s="11" t="s">
        <v>337</v>
      </c>
      <c r="C741" s="11"/>
      <c r="D741" s="11"/>
      <c r="E741" s="11" t="s">
        <v>2547</v>
      </c>
      <c r="F741" s="2" t="s">
        <v>3319</v>
      </c>
      <c r="G741" s="2" t="s">
        <v>3032</v>
      </c>
      <c r="H741" s="2" t="s">
        <v>272</v>
      </c>
      <c r="I741" s="2" t="s">
        <v>11</v>
      </c>
      <c r="J741" s="2" t="s">
        <v>1350</v>
      </c>
      <c r="K741" s="105">
        <v>1640</v>
      </c>
      <c r="L741" s="63">
        <v>47</v>
      </c>
      <c r="M741" s="63"/>
      <c r="N741" s="63"/>
      <c r="O741" s="63"/>
      <c r="P741" s="63"/>
      <c r="Q741" s="63"/>
      <c r="R741" s="100">
        <f t="shared" si="22"/>
        <v>47</v>
      </c>
      <c r="S741" s="100">
        <f t="shared" si="23"/>
        <v>-47</v>
      </c>
    </row>
    <row r="742" spans="1:19" ht="19.5" customHeight="1">
      <c r="A742" s="2">
        <v>733</v>
      </c>
      <c r="B742" s="11" t="s">
        <v>855</v>
      </c>
      <c r="C742" s="4"/>
      <c r="D742" s="4"/>
      <c r="E742" s="67" t="s">
        <v>1298</v>
      </c>
      <c r="F742" s="2" t="s">
        <v>1300</v>
      </c>
      <c r="G742" s="2" t="s">
        <v>1301</v>
      </c>
      <c r="H742" s="2" t="s">
        <v>1299</v>
      </c>
      <c r="I742" s="2" t="s">
        <v>628</v>
      </c>
      <c r="J742" s="2" t="s">
        <v>241</v>
      </c>
      <c r="K742" s="105">
        <v>10300</v>
      </c>
      <c r="L742" s="63">
        <v>239</v>
      </c>
      <c r="M742" s="63"/>
      <c r="N742" s="63"/>
      <c r="O742" s="63"/>
      <c r="P742" s="63"/>
      <c r="Q742" s="63"/>
      <c r="R742" s="100">
        <f t="shared" si="22"/>
        <v>239</v>
      </c>
      <c r="S742" s="100">
        <f t="shared" si="23"/>
        <v>-239</v>
      </c>
    </row>
    <row r="743" spans="1:19" ht="19.5" customHeight="1">
      <c r="A743" s="2">
        <v>734</v>
      </c>
      <c r="B743" s="11" t="s">
        <v>572</v>
      </c>
      <c r="C743" s="11"/>
      <c r="D743" s="11"/>
      <c r="E743" s="11" t="s">
        <v>2548</v>
      </c>
      <c r="F743" s="2" t="s">
        <v>3320</v>
      </c>
      <c r="G743" s="2" t="s">
        <v>3321</v>
      </c>
      <c r="H743" s="2" t="s">
        <v>235</v>
      </c>
      <c r="I743" s="2" t="s">
        <v>11</v>
      </c>
      <c r="J743" s="2" t="s">
        <v>2700</v>
      </c>
      <c r="K743" s="105">
        <v>810</v>
      </c>
      <c r="L743" s="63">
        <v>60</v>
      </c>
      <c r="M743" s="63"/>
      <c r="N743" s="63"/>
      <c r="O743" s="63"/>
      <c r="P743" s="63"/>
      <c r="Q743" s="63"/>
      <c r="R743" s="100">
        <f t="shared" si="22"/>
        <v>60</v>
      </c>
      <c r="S743" s="100">
        <f t="shared" si="23"/>
        <v>-60</v>
      </c>
    </row>
    <row r="744" spans="1:19" ht="19.5" customHeight="1">
      <c r="A744" s="2">
        <v>735</v>
      </c>
      <c r="B744" s="67" t="s">
        <v>572</v>
      </c>
      <c r="C744" s="4"/>
      <c r="D744" s="4"/>
      <c r="E744" s="11" t="s">
        <v>573</v>
      </c>
      <c r="F744" s="2" t="s">
        <v>575</v>
      </c>
      <c r="G744" s="2" t="s">
        <v>215</v>
      </c>
      <c r="H744" s="2" t="s">
        <v>235</v>
      </c>
      <c r="I744" s="2" t="s">
        <v>11</v>
      </c>
      <c r="J744" s="2" t="s">
        <v>574</v>
      </c>
      <c r="K744" s="105">
        <v>680</v>
      </c>
      <c r="L744" s="63">
        <v>14934</v>
      </c>
      <c r="M744" s="63"/>
      <c r="N744" s="63"/>
      <c r="O744" s="63"/>
      <c r="P744" s="63"/>
      <c r="Q744" s="63"/>
      <c r="R744" s="100">
        <f t="shared" si="22"/>
        <v>14934</v>
      </c>
      <c r="S744" s="100">
        <f t="shared" si="23"/>
        <v>-14934</v>
      </c>
    </row>
    <row r="745" spans="1:19" ht="19.5" customHeight="1">
      <c r="A745" s="2">
        <v>736</v>
      </c>
      <c r="B745" s="11" t="s">
        <v>1419</v>
      </c>
      <c r="C745" s="4"/>
      <c r="D745" s="4"/>
      <c r="E745" s="11" t="s">
        <v>1420</v>
      </c>
      <c r="F745" s="2" t="s">
        <v>1422</v>
      </c>
      <c r="G745" s="2" t="s">
        <v>1423</v>
      </c>
      <c r="H745" s="2" t="s">
        <v>1421</v>
      </c>
      <c r="I745" s="2" t="s">
        <v>11</v>
      </c>
      <c r="J745" s="2" t="s">
        <v>1237</v>
      </c>
      <c r="K745" s="105">
        <v>5400</v>
      </c>
      <c r="L745" s="63">
        <v>0</v>
      </c>
      <c r="M745" s="63"/>
      <c r="N745" s="63"/>
      <c r="O745" s="63"/>
      <c r="P745" s="63"/>
      <c r="Q745" s="63"/>
      <c r="R745" s="100">
        <f t="shared" si="22"/>
        <v>0</v>
      </c>
      <c r="S745" s="100">
        <f t="shared" si="23"/>
        <v>0</v>
      </c>
    </row>
    <row r="746" spans="1:19" ht="19.5" customHeight="1">
      <c r="A746" s="2">
        <v>737</v>
      </c>
      <c r="B746" s="64" t="s">
        <v>329</v>
      </c>
      <c r="C746" s="3"/>
      <c r="D746" s="3"/>
      <c r="E746" s="11" t="s">
        <v>330</v>
      </c>
      <c r="F746" s="2" t="s">
        <v>331</v>
      </c>
      <c r="G746" s="2" t="s">
        <v>324</v>
      </c>
      <c r="H746" s="2" t="s">
        <v>262</v>
      </c>
      <c r="I746" s="2" t="s">
        <v>10</v>
      </c>
      <c r="J746" s="2" t="s">
        <v>647</v>
      </c>
      <c r="K746" s="105">
        <v>400</v>
      </c>
      <c r="L746" s="63">
        <v>0</v>
      </c>
      <c r="M746" s="63"/>
      <c r="N746" s="63"/>
      <c r="O746" s="63"/>
      <c r="P746" s="63"/>
      <c r="Q746" s="63"/>
      <c r="R746" s="100">
        <f t="shared" si="22"/>
        <v>0</v>
      </c>
      <c r="S746" s="100">
        <f t="shared" si="23"/>
        <v>0</v>
      </c>
    </row>
    <row r="747" spans="1:19" ht="19.5" customHeight="1">
      <c r="A747" s="2">
        <v>738</v>
      </c>
      <c r="B747" s="67" t="s">
        <v>2014</v>
      </c>
      <c r="C747" s="4"/>
      <c r="D747" s="4"/>
      <c r="E747" s="67" t="s">
        <v>2015</v>
      </c>
      <c r="F747" s="68" t="s">
        <v>2018</v>
      </c>
      <c r="G747" s="68" t="s">
        <v>2013</v>
      </c>
      <c r="H747" s="68" t="s">
        <v>2016</v>
      </c>
      <c r="I747" s="68" t="s">
        <v>18</v>
      </c>
      <c r="J747" s="68" t="s">
        <v>2017</v>
      </c>
      <c r="K747" s="105">
        <v>138000</v>
      </c>
      <c r="L747" s="63">
        <v>3</v>
      </c>
      <c r="M747" s="63"/>
      <c r="N747" s="63"/>
      <c r="O747" s="63"/>
      <c r="P747" s="63"/>
      <c r="Q747" s="63"/>
      <c r="R747" s="100">
        <f t="shared" si="22"/>
        <v>3</v>
      </c>
      <c r="S747" s="100">
        <f t="shared" si="23"/>
        <v>-3</v>
      </c>
    </row>
    <row r="748" spans="1:19" ht="19.5" customHeight="1">
      <c r="A748" s="2">
        <v>739</v>
      </c>
      <c r="B748" s="71" t="s">
        <v>3322</v>
      </c>
      <c r="C748" s="4"/>
      <c r="D748" s="4"/>
      <c r="E748" s="11" t="s">
        <v>3323</v>
      </c>
      <c r="F748" s="2" t="s">
        <v>3324</v>
      </c>
      <c r="G748" s="2" t="s">
        <v>3325</v>
      </c>
      <c r="H748" s="2" t="s">
        <v>238</v>
      </c>
      <c r="I748" s="2" t="s">
        <v>11</v>
      </c>
      <c r="J748" s="2" t="s">
        <v>642</v>
      </c>
      <c r="K748" s="105">
        <v>2150</v>
      </c>
      <c r="L748" s="63">
        <v>3</v>
      </c>
      <c r="M748" s="63"/>
      <c r="N748" s="63"/>
      <c r="O748" s="63"/>
      <c r="P748" s="63"/>
      <c r="Q748" s="63"/>
      <c r="R748" s="100">
        <f t="shared" si="22"/>
        <v>3</v>
      </c>
      <c r="S748" s="100">
        <f t="shared" si="23"/>
        <v>-3</v>
      </c>
    </row>
    <row r="749" spans="1:19" ht="19.5" customHeight="1">
      <c r="A749" s="2">
        <v>740</v>
      </c>
      <c r="B749" s="11" t="s">
        <v>323</v>
      </c>
      <c r="C749" s="11"/>
      <c r="D749" s="11"/>
      <c r="E749" s="11" t="s">
        <v>2549</v>
      </c>
      <c r="F749" s="2" t="s">
        <v>3326</v>
      </c>
      <c r="G749" s="2" t="s">
        <v>458</v>
      </c>
      <c r="H749" s="2" t="s">
        <v>272</v>
      </c>
      <c r="I749" s="2" t="s">
        <v>11</v>
      </c>
      <c r="J749" s="2" t="s">
        <v>647</v>
      </c>
      <c r="K749" s="105">
        <v>10800</v>
      </c>
      <c r="L749" s="63">
        <v>1</v>
      </c>
      <c r="M749" s="63"/>
      <c r="N749" s="63"/>
      <c r="O749" s="63"/>
      <c r="P749" s="63"/>
      <c r="Q749" s="63"/>
      <c r="R749" s="100">
        <f t="shared" si="22"/>
        <v>1</v>
      </c>
      <c r="S749" s="100">
        <f t="shared" si="23"/>
        <v>-1</v>
      </c>
    </row>
    <row r="750" spans="1:19" ht="19.5" customHeight="1">
      <c r="A750" s="2">
        <v>741</v>
      </c>
      <c r="B750" s="11" t="s">
        <v>323</v>
      </c>
      <c r="C750" s="11"/>
      <c r="D750" s="11"/>
      <c r="E750" s="11" t="s">
        <v>2550</v>
      </c>
      <c r="F750" s="2" t="s">
        <v>3327</v>
      </c>
      <c r="G750" s="2" t="s">
        <v>458</v>
      </c>
      <c r="H750" s="2" t="s">
        <v>225</v>
      </c>
      <c r="I750" s="2" t="s">
        <v>11</v>
      </c>
      <c r="J750" s="2" t="s">
        <v>647</v>
      </c>
      <c r="K750" s="105">
        <v>16860</v>
      </c>
      <c r="L750" s="63">
        <v>1036</v>
      </c>
      <c r="M750" s="63"/>
      <c r="N750" s="63"/>
      <c r="O750" s="63"/>
      <c r="P750" s="63"/>
      <c r="Q750" s="63"/>
      <c r="R750" s="100">
        <f t="shared" si="22"/>
        <v>1036</v>
      </c>
      <c r="S750" s="100">
        <f t="shared" si="23"/>
        <v>-1036</v>
      </c>
    </row>
    <row r="751" spans="1:19" ht="19.5" customHeight="1">
      <c r="A751" s="2">
        <v>742</v>
      </c>
      <c r="B751" s="64" t="s">
        <v>347</v>
      </c>
      <c r="C751" s="3"/>
      <c r="D751" s="3"/>
      <c r="E751" s="11" t="s">
        <v>459</v>
      </c>
      <c r="F751" s="2" t="s">
        <v>460</v>
      </c>
      <c r="G751" s="2" t="s">
        <v>458</v>
      </c>
      <c r="H751" s="2" t="s">
        <v>327</v>
      </c>
      <c r="I751" s="2" t="s">
        <v>10</v>
      </c>
      <c r="J751" s="2" t="s">
        <v>642</v>
      </c>
      <c r="K751" s="105">
        <v>596</v>
      </c>
      <c r="L751" s="63">
        <v>32237</v>
      </c>
      <c r="M751" s="63"/>
      <c r="N751" s="63"/>
      <c r="O751" s="63"/>
      <c r="P751" s="63"/>
      <c r="Q751" s="63"/>
      <c r="R751" s="100">
        <f t="shared" si="22"/>
        <v>32237</v>
      </c>
      <c r="S751" s="100">
        <f t="shared" si="23"/>
        <v>-32237</v>
      </c>
    </row>
    <row r="752" spans="1:19" ht="19.5" customHeight="1">
      <c r="A752" s="2">
        <v>743</v>
      </c>
      <c r="B752" s="64" t="s">
        <v>236</v>
      </c>
      <c r="C752" s="3"/>
      <c r="D752" s="3"/>
      <c r="E752" s="11" t="s">
        <v>408</v>
      </c>
      <c r="F752" s="2" t="s">
        <v>409</v>
      </c>
      <c r="G752" s="2" t="s">
        <v>407</v>
      </c>
      <c r="H752" s="2" t="s">
        <v>238</v>
      </c>
      <c r="I752" s="2" t="s">
        <v>10</v>
      </c>
      <c r="J752" s="2" t="s">
        <v>642</v>
      </c>
      <c r="K752" s="105">
        <v>530</v>
      </c>
      <c r="L752" s="63">
        <v>16556</v>
      </c>
      <c r="M752" s="63"/>
      <c r="N752" s="63"/>
      <c r="O752" s="63"/>
      <c r="P752" s="63"/>
      <c r="Q752" s="63"/>
      <c r="R752" s="100">
        <f t="shared" si="22"/>
        <v>16556</v>
      </c>
      <c r="S752" s="100">
        <f t="shared" si="23"/>
        <v>-16556</v>
      </c>
    </row>
    <row r="753" spans="1:27" ht="19.5" customHeight="1">
      <c r="A753" s="2">
        <v>744</v>
      </c>
      <c r="B753" s="64" t="s">
        <v>236</v>
      </c>
      <c r="C753" s="3"/>
      <c r="D753" s="3"/>
      <c r="E753" s="11" t="s">
        <v>405</v>
      </c>
      <c r="F753" s="2" t="s">
        <v>406</v>
      </c>
      <c r="G753" s="2" t="s">
        <v>407</v>
      </c>
      <c r="H753" s="2" t="s">
        <v>327</v>
      </c>
      <c r="I753" s="2" t="s">
        <v>10</v>
      </c>
      <c r="J753" s="2" t="s">
        <v>642</v>
      </c>
      <c r="K753" s="105">
        <v>428</v>
      </c>
      <c r="L753" s="63">
        <v>27216</v>
      </c>
      <c r="M753" s="63"/>
      <c r="N753" s="63"/>
      <c r="O753" s="63"/>
      <c r="P753" s="63"/>
      <c r="Q753" s="63"/>
      <c r="R753" s="100">
        <f t="shared" si="22"/>
        <v>27216</v>
      </c>
      <c r="S753" s="100">
        <f t="shared" si="23"/>
        <v>-27216</v>
      </c>
    </row>
    <row r="754" spans="1:27" ht="19.5" customHeight="1">
      <c r="A754" s="2">
        <v>745</v>
      </c>
      <c r="B754" s="64" t="s">
        <v>353</v>
      </c>
      <c r="C754" s="3"/>
      <c r="D754" s="3"/>
      <c r="E754" s="11" t="s">
        <v>354</v>
      </c>
      <c r="F754" s="2" t="s">
        <v>356</v>
      </c>
      <c r="G754" s="2" t="s">
        <v>357</v>
      </c>
      <c r="H754" s="2" t="s">
        <v>355</v>
      </c>
      <c r="I754" s="2" t="s">
        <v>520</v>
      </c>
      <c r="J754" s="2" t="s">
        <v>241</v>
      </c>
      <c r="K754" s="105">
        <v>20400</v>
      </c>
      <c r="L754" s="63">
        <v>89</v>
      </c>
      <c r="M754" s="63"/>
      <c r="N754" s="63"/>
      <c r="O754" s="63"/>
      <c r="P754" s="63"/>
      <c r="Q754" s="63"/>
      <c r="R754" s="100">
        <f t="shared" si="22"/>
        <v>89</v>
      </c>
      <c r="S754" s="100">
        <f t="shared" si="23"/>
        <v>-89</v>
      </c>
    </row>
    <row r="755" spans="1:27" ht="19.5" customHeight="1">
      <c r="A755" s="2">
        <v>746</v>
      </c>
      <c r="B755" s="67" t="s">
        <v>2298</v>
      </c>
      <c r="C755" s="4"/>
      <c r="D755" s="4"/>
      <c r="E755" s="11" t="s">
        <v>163</v>
      </c>
      <c r="F755" s="2" t="s">
        <v>2299</v>
      </c>
      <c r="G755" s="2" t="s">
        <v>2253</v>
      </c>
      <c r="H755" s="2" t="s">
        <v>165</v>
      </c>
      <c r="I755" s="2" t="s">
        <v>16</v>
      </c>
      <c r="J755" s="2" t="s">
        <v>2250</v>
      </c>
      <c r="K755" s="105">
        <v>850</v>
      </c>
      <c r="L755" s="63">
        <v>22620</v>
      </c>
      <c r="M755" s="63"/>
      <c r="N755" s="63"/>
      <c r="O755" s="63"/>
      <c r="P755" s="63"/>
      <c r="Q755" s="63"/>
      <c r="R755" s="100">
        <f t="shared" si="22"/>
        <v>22620</v>
      </c>
      <c r="S755" s="100">
        <f t="shared" si="23"/>
        <v>-22620</v>
      </c>
    </row>
    <row r="756" spans="1:27" ht="19.5" customHeight="1">
      <c r="A756" s="2">
        <v>747</v>
      </c>
      <c r="B756" s="77" t="s">
        <v>876</v>
      </c>
      <c r="C756" s="4"/>
      <c r="D756" s="4"/>
      <c r="E756" s="77" t="s">
        <v>3328</v>
      </c>
      <c r="F756" s="5" t="s">
        <v>3329</v>
      </c>
      <c r="G756" s="5" t="s">
        <v>881</v>
      </c>
      <c r="H756" s="5" t="s">
        <v>3330</v>
      </c>
      <c r="I756" s="5" t="s">
        <v>18</v>
      </c>
      <c r="J756" s="5" t="s">
        <v>3331</v>
      </c>
      <c r="K756" s="105">
        <v>203522</v>
      </c>
      <c r="L756" s="63"/>
      <c r="M756" s="63"/>
      <c r="N756" s="63"/>
      <c r="O756" s="63"/>
      <c r="P756" s="63"/>
      <c r="Q756" s="63"/>
      <c r="R756" s="100">
        <f t="shared" si="22"/>
        <v>0</v>
      </c>
      <c r="S756" s="100">
        <f t="shared" si="23"/>
        <v>0</v>
      </c>
      <c r="T756" s="37"/>
      <c r="U756" s="37"/>
      <c r="V756" s="37"/>
      <c r="W756" s="37"/>
      <c r="X756" s="37"/>
      <c r="Y756" s="37"/>
      <c r="Z756" s="37"/>
      <c r="AA756" s="37"/>
    </row>
    <row r="757" spans="1:27" ht="19.5" customHeight="1">
      <c r="A757" s="2">
        <v>748</v>
      </c>
      <c r="B757" s="11" t="s">
        <v>758</v>
      </c>
      <c r="C757" s="11"/>
      <c r="D757" s="11"/>
      <c r="E757" s="11" t="s">
        <v>2569</v>
      </c>
      <c r="F757" s="2" t="s">
        <v>3332</v>
      </c>
      <c r="G757" s="2" t="s">
        <v>3333</v>
      </c>
      <c r="H757" s="2" t="s">
        <v>3334</v>
      </c>
      <c r="I757" s="66" t="s">
        <v>15</v>
      </c>
      <c r="J757" s="2" t="s">
        <v>277</v>
      </c>
      <c r="K757" s="105">
        <v>6930</v>
      </c>
      <c r="L757" s="63">
        <v>1000</v>
      </c>
      <c r="M757" s="63"/>
      <c r="N757" s="63"/>
      <c r="O757" s="63"/>
      <c r="P757" s="63"/>
      <c r="Q757" s="63"/>
      <c r="R757" s="100">
        <f t="shared" si="22"/>
        <v>1000</v>
      </c>
      <c r="S757" s="100">
        <f t="shared" si="23"/>
        <v>-1000</v>
      </c>
    </row>
    <row r="758" spans="1:27" ht="19.5" customHeight="1">
      <c r="A758" s="2">
        <v>749</v>
      </c>
      <c r="B758" s="11" t="s">
        <v>758</v>
      </c>
      <c r="C758" s="11"/>
      <c r="D758" s="11"/>
      <c r="E758" s="11" t="s">
        <v>2570</v>
      </c>
      <c r="F758" s="2" t="s">
        <v>3335</v>
      </c>
      <c r="G758" s="2" t="s">
        <v>2927</v>
      </c>
      <c r="H758" s="2" t="s">
        <v>759</v>
      </c>
      <c r="I758" s="2" t="s">
        <v>15</v>
      </c>
      <c r="J758" s="2" t="s">
        <v>3104</v>
      </c>
      <c r="K758" s="105">
        <v>11025</v>
      </c>
      <c r="L758" s="63">
        <v>62</v>
      </c>
      <c r="M758" s="63"/>
      <c r="N758" s="63"/>
      <c r="O758" s="63"/>
      <c r="P758" s="63"/>
      <c r="Q758" s="63"/>
      <c r="R758" s="100">
        <f t="shared" si="22"/>
        <v>62</v>
      </c>
      <c r="S758" s="100">
        <f t="shared" si="23"/>
        <v>-62</v>
      </c>
    </row>
    <row r="759" spans="1:27" ht="19.5" customHeight="1">
      <c r="A759" s="2">
        <v>750</v>
      </c>
      <c r="B759" s="11" t="s">
        <v>708</v>
      </c>
      <c r="C759" s="4"/>
      <c r="D759" s="4"/>
      <c r="E759" s="11" t="s">
        <v>709</v>
      </c>
      <c r="F759" s="2" t="s">
        <v>711</v>
      </c>
      <c r="G759" s="2" t="s">
        <v>712</v>
      </c>
      <c r="H759" s="2" t="s">
        <v>272</v>
      </c>
      <c r="I759" s="2" t="s">
        <v>12</v>
      </c>
      <c r="J759" s="2" t="s">
        <v>710</v>
      </c>
      <c r="K759" s="105">
        <v>3150</v>
      </c>
      <c r="L759" s="63">
        <v>3915</v>
      </c>
      <c r="M759" s="63"/>
      <c r="N759" s="63"/>
      <c r="O759" s="63"/>
      <c r="P759" s="63"/>
      <c r="Q759" s="63"/>
      <c r="R759" s="100">
        <f t="shared" si="22"/>
        <v>3915</v>
      </c>
      <c r="S759" s="100">
        <f t="shared" si="23"/>
        <v>-3915</v>
      </c>
    </row>
    <row r="760" spans="1:27" ht="19.5" customHeight="1">
      <c r="A760" s="2">
        <v>751</v>
      </c>
      <c r="B760" s="77" t="s">
        <v>2470</v>
      </c>
      <c r="C760" s="4"/>
      <c r="D760" s="4"/>
      <c r="E760" s="77" t="s">
        <v>3336</v>
      </c>
      <c r="F760" s="5" t="s">
        <v>3337</v>
      </c>
      <c r="G760" s="5" t="s">
        <v>3338</v>
      </c>
      <c r="H760" s="5" t="s">
        <v>384</v>
      </c>
      <c r="I760" s="5" t="s">
        <v>10</v>
      </c>
      <c r="J760" s="5" t="s">
        <v>2394</v>
      </c>
      <c r="K760" s="105">
        <v>150</v>
      </c>
      <c r="L760" s="63"/>
      <c r="M760" s="63"/>
      <c r="N760" s="63"/>
      <c r="O760" s="63"/>
      <c r="P760" s="63"/>
      <c r="Q760" s="63"/>
      <c r="R760" s="100">
        <f t="shared" si="22"/>
        <v>0</v>
      </c>
      <c r="S760" s="100">
        <f t="shared" si="23"/>
        <v>0</v>
      </c>
      <c r="T760" s="37"/>
      <c r="U760" s="37"/>
      <c r="V760" s="37"/>
      <c r="W760" s="37"/>
      <c r="X760" s="37"/>
      <c r="Y760" s="37"/>
      <c r="Z760" s="37"/>
      <c r="AA760" s="37"/>
    </row>
    <row r="761" spans="1:27" ht="19.5" customHeight="1">
      <c r="A761" s="2">
        <v>752</v>
      </c>
      <c r="B761" s="64" t="s">
        <v>433</v>
      </c>
      <c r="C761" s="3"/>
      <c r="D761" s="3"/>
      <c r="E761" s="11" t="s">
        <v>481</v>
      </c>
      <c r="F761" s="2" t="s">
        <v>484</v>
      </c>
      <c r="G761" s="2" t="s">
        <v>485</v>
      </c>
      <c r="H761" s="2" t="s">
        <v>482</v>
      </c>
      <c r="I761" s="2" t="s">
        <v>14</v>
      </c>
      <c r="J761" s="2" t="s">
        <v>483</v>
      </c>
      <c r="K761" s="105">
        <v>14910</v>
      </c>
      <c r="L761" s="63">
        <v>42</v>
      </c>
      <c r="M761" s="63"/>
      <c r="N761" s="63"/>
      <c r="O761" s="63"/>
      <c r="P761" s="63"/>
      <c r="Q761" s="63"/>
      <c r="R761" s="100">
        <f t="shared" si="22"/>
        <v>42</v>
      </c>
      <c r="S761" s="100">
        <f t="shared" si="23"/>
        <v>-42</v>
      </c>
    </row>
    <row r="762" spans="1:27" ht="19.5" customHeight="1">
      <c r="A762" s="2">
        <v>753</v>
      </c>
      <c r="B762" s="67" t="s">
        <v>1302</v>
      </c>
      <c r="C762" s="4"/>
      <c r="D762" s="4"/>
      <c r="E762" s="11" t="s">
        <v>1994</v>
      </c>
      <c r="F762" s="2" t="s">
        <v>1996</v>
      </c>
      <c r="G762" s="2" t="s">
        <v>1946</v>
      </c>
      <c r="H762" s="2" t="s">
        <v>1995</v>
      </c>
      <c r="I762" s="2" t="s">
        <v>11</v>
      </c>
      <c r="J762" s="2" t="s">
        <v>842</v>
      </c>
      <c r="K762" s="105">
        <v>2583</v>
      </c>
      <c r="L762" s="63">
        <v>11115</v>
      </c>
      <c r="M762" s="63"/>
      <c r="N762" s="63"/>
      <c r="O762" s="63"/>
      <c r="P762" s="63"/>
      <c r="Q762" s="63"/>
      <c r="R762" s="100">
        <f t="shared" si="22"/>
        <v>11115</v>
      </c>
      <c r="S762" s="100">
        <f t="shared" si="23"/>
        <v>-11115</v>
      </c>
    </row>
    <row r="763" spans="1:27" ht="19.5" customHeight="1">
      <c r="A763" s="2">
        <v>754</v>
      </c>
      <c r="B763" s="11" t="s">
        <v>1380</v>
      </c>
      <c r="C763" s="4"/>
      <c r="D763" s="4"/>
      <c r="E763" s="11" t="s">
        <v>1381</v>
      </c>
      <c r="F763" s="2" t="s">
        <v>1382</v>
      </c>
      <c r="G763" s="2" t="s">
        <v>360</v>
      </c>
      <c r="H763" s="2" t="s">
        <v>310</v>
      </c>
      <c r="I763" s="2" t="s">
        <v>11</v>
      </c>
      <c r="J763" s="2" t="s">
        <v>642</v>
      </c>
      <c r="K763" s="105">
        <v>268</v>
      </c>
      <c r="L763" s="63">
        <v>9474</v>
      </c>
      <c r="M763" s="63"/>
      <c r="N763" s="63"/>
      <c r="O763" s="63"/>
      <c r="P763" s="63"/>
      <c r="Q763" s="63"/>
      <c r="R763" s="100">
        <f t="shared" si="22"/>
        <v>9474</v>
      </c>
      <c r="S763" s="100">
        <f t="shared" si="23"/>
        <v>-9474</v>
      </c>
    </row>
    <row r="764" spans="1:27" ht="19.5" customHeight="1">
      <c r="A764" s="2">
        <v>755</v>
      </c>
      <c r="B764" s="11" t="s">
        <v>1380</v>
      </c>
      <c r="C764" s="11"/>
      <c r="D764" s="11"/>
      <c r="E764" s="11" t="s">
        <v>1381</v>
      </c>
      <c r="F764" s="2" t="s">
        <v>1382</v>
      </c>
      <c r="G764" s="2" t="s">
        <v>861</v>
      </c>
      <c r="H764" s="2" t="s">
        <v>310</v>
      </c>
      <c r="I764" s="2" t="s">
        <v>11</v>
      </c>
      <c r="J764" s="2" t="s">
        <v>642</v>
      </c>
      <c r="K764" s="105">
        <v>290</v>
      </c>
      <c r="L764" s="63">
        <v>0</v>
      </c>
      <c r="M764" s="63"/>
      <c r="N764" s="63"/>
      <c r="O764" s="63"/>
      <c r="P764" s="63"/>
      <c r="Q764" s="63"/>
      <c r="R764" s="100">
        <f t="shared" si="22"/>
        <v>0</v>
      </c>
      <c r="S764" s="100">
        <f t="shared" si="23"/>
        <v>0</v>
      </c>
    </row>
    <row r="765" spans="1:27" ht="19.5" customHeight="1">
      <c r="A765" s="2">
        <v>756</v>
      </c>
      <c r="B765" s="11" t="s">
        <v>1380</v>
      </c>
      <c r="C765" s="4"/>
      <c r="D765" s="4"/>
      <c r="E765" s="11" t="s">
        <v>1383</v>
      </c>
      <c r="F765" s="2" t="s">
        <v>1384</v>
      </c>
      <c r="G765" s="2" t="s">
        <v>360</v>
      </c>
      <c r="H765" s="2" t="s">
        <v>869</v>
      </c>
      <c r="I765" s="2" t="s">
        <v>11</v>
      </c>
      <c r="J765" s="2" t="s">
        <v>642</v>
      </c>
      <c r="K765" s="105">
        <v>532</v>
      </c>
      <c r="L765" s="63">
        <v>440</v>
      </c>
      <c r="M765" s="63"/>
      <c r="N765" s="63"/>
      <c r="O765" s="63"/>
      <c r="P765" s="63"/>
      <c r="Q765" s="63"/>
      <c r="R765" s="100">
        <f t="shared" si="22"/>
        <v>440</v>
      </c>
      <c r="S765" s="100">
        <f t="shared" si="23"/>
        <v>-440</v>
      </c>
    </row>
    <row r="766" spans="1:27" ht="19.5" customHeight="1">
      <c r="A766" s="2">
        <v>757</v>
      </c>
      <c r="B766" s="11" t="s">
        <v>3339</v>
      </c>
      <c r="C766" s="4"/>
      <c r="D766" s="4"/>
      <c r="E766" s="11" t="s">
        <v>3340</v>
      </c>
      <c r="F766" s="2" t="s">
        <v>3341</v>
      </c>
      <c r="G766" s="2" t="s">
        <v>2945</v>
      </c>
      <c r="H766" s="2" t="s">
        <v>3342</v>
      </c>
      <c r="I766" s="2" t="s">
        <v>13</v>
      </c>
      <c r="J766" s="2" t="s">
        <v>562</v>
      </c>
      <c r="K766" s="105">
        <v>1150</v>
      </c>
      <c r="L766" s="63">
        <v>0</v>
      </c>
      <c r="M766" s="63"/>
      <c r="N766" s="63"/>
      <c r="O766" s="63"/>
      <c r="P766" s="63"/>
      <c r="Q766" s="63"/>
      <c r="R766" s="100">
        <f t="shared" si="22"/>
        <v>0</v>
      </c>
      <c r="S766" s="100">
        <f t="shared" si="23"/>
        <v>0</v>
      </c>
    </row>
    <row r="767" spans="1:27" ht="19.5" customHeight="1">
      <c r="A767" s="2">
        <v>758</v>
      </c>
      <c r="B767" s="67" t="s">
        <v>1029</v>
      </c>
      <c r="C767" s="4"/>
      <c r="D767" s="4"/>
      <c r="E767" s="67" t="s">
        <v>1030</v>
      </c>
      <c r="F767" s="68" t="s">
        <v>1032</v>
      </c>
      <c r="G767" s="68" t="s">
        <v>1033</v>
      </c>
      <c r="H767" s="68" t="s">
        <v>1031</v>
      </c>
      <c r="I767" s="68" t="s">
        <v>10</v>
      </c>
      <c r="J767" s="68" t="s">
        <v>884</v>
      </c>
      <c r="K767" s="105">
        <v>4397</v>
      </c>
      <c r="L767" s="63">
        <v>164</v>
      </c>
      <c r="M767" s="63"/>
      <c r="N767" s="63"/>
      <c r="O767" s="63"/>
      <c r="P767" s="63"/>
      <c r="Q767" s="63"/>
      <c r="R767" s="100">
        <f t="shared" si="22"/>
        <v>164</v>
      </c>
      <c r="S767" s="100">
        <f t="shared" si="23"/>
        <v>-164</v>
      </c>
    </row>
    <row r="768" spans="1:27" ht="19.5" customHeight="1">
      <c r="A768" s="2">
        <v>759</v>
      </c>
      <c r="B768" s="11" t="s">
        <v>1235</v>
      </c>
      <c r="C768" s="4"/>
      <c r="D768" s="4"/>
      <c r="E768" s="11" t="s">
        <v>1877</v>
      </c>
      <c r="F768" s="8" t="s">
        <v>1879</v>
      </c>
      <c r="G768" s="8" t="s">
        <v>1880</v>
      </c>
      <c r="H768" s="8" t="s">
        <v>272</v>
      </c>
      <c r="I768" s="68" t="s">
        <v>12</v>
      </c>
      <c r="J768" s="8" t="s">
        <v>1878</v>
      </c>
      <c r="K768" s="105">
        <v>9030</v>
      </c>
      <c r="L768" s="63">
        <v>1826</v>
      </c>
      <c r="M768" s="63"/>
      <c r="N768" s="63"/>
      <c r="O768" s="63"/>
      <c r="P768" s="63"/>
      <c r="Q768" s="63"/>
      <c r="R768" s="100">
        <f t="shared" si="22"/>
        <v>1826</v>
      </c>
      <c r="S768" s="100">
        <f t="shared" si="23"/>
        <v>-1826</v>
      </c>
    </row>
    <row r="769" spans="1:27" ht="19.5" customHeight="1">
      <c r="A769" s="2">
        <v>760</v>
      </c>
      <c r="B769" s="67" t="s">
        <v>1029</v>
      </c>
      <c r="C769" s="4"/>
      <c r="D769" s="4"/>
      <c r="E769" s="11" t="s">
        <v>1228</v>
      </c>
      <c r="F769" s="2" t="s">
        <v>1230</v>
      </c>
      <c r="G769" s="2" t="s">
        <v>352</v>
      </c>
      <c r="H769" s="2" t="s">
        <v>1229</v>
      </c>
      <c r="I769" s="2" t="s">
        <v>13</v>
      </c>
      <c r="J769" s="2" t="s">
        <v>1208</v>
      </c>
      <c r="K769" s="105">
        <v>1155</v>
      </c>
      <c r="L769" s="63">
        <v>268</v>
      </c>
      <c r="M769" s="63"/>
      <c r="N769" s="63"/>
      <c r="O769" s="63"/>
      <c r="P769" s="63"/>
      <c r="Q769" s="63"/>
      <c r="R769" s="100">
        <f t="shared" si="22"/>
        <v>268</v>
      </c>
      <c r="S769" s="100">
        <f t="shared" si="23"/>
        <v>-268</v>
      </c>
    </row>
    <row r="770" spans="1:27" ht="19.5" customHeight="1">
      <c r="A770" s="2">
        <v>761</v>
      </c>
      <c r="B770" s="11" t="s">
        <v>1029</v>
      </c>
      <c r="C770" s="11"/>
      <c r="D770" s="11"/>
      <c r="E770" s="11" t="s">
        <v>2551</v>
      </c>
      <c r="F770" s="2" t="s">
        <v>3343</v>
      </c>
      <c r="G770" s="2" t="s">
        <v>3344</v>
      </c>
      <c r="H770" s="2" t="s">
        <v>2552</v>
      </c>
      <c r="I770" s="2" t="s">
        <v>11</v>
      </c>
      <c r="J770" s="2" t="s">
        <v>647</v>
      </c>
      <c r="K770" s="105">
        <v>1285</v>
      </c>
      <c r="L770" s="63">
        <v>1407</v>
      </c>
      <c r="M770" s="63"/>
      <c r="N770" s="63"/>
      <c r="O770" s="63"/>
      <c r="P770" s="63"/>
      <c r="Q770" s="63"/>
      <c r="R770" s="100">
        <f t="shared" si="22"/>
        <v>1407</v>
      </c>
      <c r="S770" s="100">
        <f t="shared" si="23"/>
        <v>-1407</v>
      </c>
    </row>
    <row r="771" spans="1:27" ht="19.5" customHeight="1">
      <c r="A771" s="2">
        <v>762</v>
      </c>
      <c r="B771" s="67" t="s">
        <v>1424</v>
      </c>
      <c r="C771" s="4"/>
      <c r="D771" s="4"/>
      <c r="E771" s="11" t="s">
        <v>1425</v>
      </c>
      <c r="F771" s="2" t="s">
        <v>1428</v>
      </c>
      <c r="G771" s="2" t="s">
        <v>1429</v>
      </c>
      <c r="H771" s="2" t="s">
        <v>1426</v>
      </c>
      <c r="I771" s="2" t="s">
        <v>10</v>
      </c>
      <c r="J771" s="2" t="s">
        <v>1427</v>
      </c>
      <c r="K771" s="105">
        <v>220</v>
      </c>
      <c r="L771" s="63">
        <v>72</v>
      </c>
      <c r="M771" s="63"/>
      <c r="N771" s="63"/>
      <c r="O771" s="63"/>
      <c r="P771" s="63"/>
      <c r="Q771" s="63"/>
      <c r="R771" s="100">
        <f t="shared" si="22"/>
        <v>72</v>
      </c>
      <c r="S771" s="100">
        <f t="shared" si="23"/>
        <v>-72</v>
      </c>
    </row>
    <row r="772" spans="1:27" ht="19.5" customHeight="1">
      <c r="A772" s="2">
        <v>763</v>
      </c>
      <c r="B772" s="67" t="s">
        <v>1167</v>
      </c>
      <c r="C772" s="4"/>
      <c r="D772" s="4"/>
      <c r="E772" s="67" t="s">
        <v>1168</v>
      </c>
      <c r="F772" s="68" t="s">
        <v>1169</v>
      </c>
      <c r="G772" s="68" t="s">
        <v>1159</v>
      </c>
      <c r="H772" s="68" t="s">
        <v>258</v>
      </c>
      <c r="I772" s="68" t="s">
        <v>11</v>
      </c>
      <c r="J772" s="68" t="s">
        <v>620</v>
      </c>
      <c r="K772" s="105">
        <v>4500</v>
      </c>
      <c r="L772" s="63">
        <v>13806</v>
      </c>
      <c r="M772" s="63"/>
      <c r="N772" s="63"/>
      <c r="O772" s="63"/>
      <c r="P772" s="63"/>
      <c r="Q772" s="63"/>
      <c r="R772" s="100">
        <f t="shared" si="22"/>
        <v>13806</v>
      </c>
      <c r="S772" s="100">
        <f t="shared" si="23"/>
        <v>-13806</v>
      </c>
    </row>
    <row r="773" spans="1:27" ht="19.5" customHeight="1">
      <c r="A773" s="2">
        <v>764</v>
      </c>
      <c r="B773" s="11" t="s">
        <v>750</v>
      </c>
      <c r="C773" s="11"/>
      <c r="D773" s="11"/>
      <c r="E773" s="11" t="s">
        <v>3345</v>
      </c>
      <c r="F773" s="2" t="s">
        <v>3346</v>
      </c>
      <c r="G773" s="2" t="s">
        <v>1867</v>
      </c>
      <c r="H773" s="2" t="s">
        <v>3347</v>
      </c>
      <c r="I773" s="2" t="s">
        <v>13</v>
      </c>
      <c r="J773" s="2" t="s">
        <v>2386</v>
      </c>
      <c r="K773" s="105">
        <v>382</v>
      </c>
      <c r="L773" s="63">
        <v>0</v>
      </c>
      <c r="M773" s="63"/>
      <c r="N773" s="63"/>
      <c r="O773" s="63"/>
      <c r="P773" s="63"/>
      <c r="Q773" s="63"/>
      <c r="R773" s="100">
        <f t="shared" si="22"/>
        <v>0</v>
      </c>
      <c r="S773" s="100">
        <f t="shared" si="23"/>
        <v>0</v>
      </c>
    </row>
    <row r="774" spans="1:27" ht="19.5" customHeight="1">
      <c r="A774" s="2">
        <v>765</v>
      </c>
      <c r="B774" s="11" t="s">
        <v>359</v>
      </c>
      <c r="C774" s="4"/>
      <c r="D774" s="4"/>
      <c r="E774" s="11" t="s">
        <v>1532</v>
      </c>
      <c r="F774" s="2" t="s">
        <v>1533</v>
      </c>
      <c r="G774" s="2" t="s">
        <v>458</v>
      </c>
      <c r="H774" s="2" t="s">
        <v>258</v>
      </c>
      <c r="I774" s="2" t="s">
        <v>10</v>
      </c>
      <c r="J774" s="2" t="s">
        <v>1239</v>
      </c>
      <c r="K774" s="105">
        <v>1750</v>
      </c>
      <c r="L774" s="63">
        <v>0</v>
      </c>
      <c r="M774" s="63"/>
      <c r="N774" s="63"/>
      <c r="O774" s="63"/>
      <c r="P774" s="63"/>
      <c r="Q774" s="63"/>
      <c r="R774" s="100">
        <f t="shared" si="22"/>
        <v>0</v>
      </c>
      <c r="S774" s="100">
        <f t="shared" si="23"/>
        <v>0</v>
      </c>
    </row>
    <row r="775" spans="1:27" ht="19.5" customHeight="1">
      <c r="A775" s="2">
        <v>766</v>
      </c>
      <c r="B775" s="64" t="s">
        <v>359</v>
      </c>
      <c r="C775" s="3"/>
      <c r="D775" s="3"/>
      <c r="E775" s="11" t="s">
        <v>456</v>
      </c>
      <c r="F775" s="2" t="s">
        <v>457</v>
      </c>
      <c r="G775" s="2" t="s">
        <v>458</v>
      </c>
      <c r="H775" s="2" t="s">
        <v>262</v>
      </c>
      <c r="I775" s="2" t="s">
        <v>10</v>
      </c>
      <c r="J775" s="2" t="s">
        <v>642</v>
      </c>
      <c r="K775" s="105">
        <v>1780</v>
      </c>
      <c r="L775" s="63">
        <v>1490</v>
      </c>
      <c r="M775" s="63"/>
      <c r="N775" s="63"/>
      <c r="O775" s="63"/>
      <c r="P775" s="63"/>
      <c r="Q775" s="63"/>
      <c r="R775" s="100">
        <f t="shared" si="22"/>
        <v>1490</v>
      </c>
      <c r="S775" s="100">
        <f t="shared" si="23"/>
        <v>-1490</v>
      </c>
    </row>
    <row r="776" spans="1:27" ht="19.5" customHeight="1">
      <c r="A776" s="2">
        <v>767</v>
      </c>
      <c r="B776" s="11" t="s">
        <v>359</v>
      </c>
      <c r="C776" s="11"/>
      <c r="D776" s="11"/>
      <c r="E776" s="11" t="s">
        <v>456</v>
      </c>
      <c r="F776" s="2" t="s">
        <v>3348</v>
      </c>
      <c r="G776" s="2" t="s">
        <v>458</v>
      </c>
      <c r="H776" s="2" t="s">
        <v>262</v>
      </c>
      <c r="I776" s="2" t="s">
        <v>11</v>
      </c>
      <c r="J776" s="2" t="s">
        <v>642</v>
      </c>
      <c r="K776" s="105">
        <v>1900</v>
      </c>
      <c r="L776" s="63">
        <v>133</v>
      </c>
      <c r="M776" s="63"/>
      <c r="N776" s="63"/>
      <c r="O776" s="63"/>
      <c r="P776" s="63"/>
      <c r="Q776" s="63"/>
      <c r="R776" s="100">
        <f t="shared" si="22"/>
        <v>133</v>
      </c>
      <c r="S776" s="100">
        <f t="shared" si="23"/>
        <v>-133</v>
      </c>
    </row>
    <row r="777" spans="1:27" ht="19.5" customHeight="1">
      <c r="A777" s="2">
        <v>768</v>
      </c>
      <c r="B777" s="67" t="s">
        <v>1510</v>
      </c>
      <c r="C777" s="4"/>
      <c r="D777" s="4"/>
      <c r="E777" s="11" t="s">
        <v>1511</v>
      </c>
      <c r="F777" s="2" t="s">
        <v>1513</v>
      </c>
      <c r="G777" s="2" t="s">
        <v>1509</v>
      </c>
      <c r="H777" s="2" t="s">
        <v>1512</v>
      </c>
      <c r="I777" s="2" t="s">
        <v>14</v>
      </c>
      <c r="J777" s="2" t="s">
        <v>306</v>
      </c>
      <c r="K777" s="105">
        <v>30870</v>
      </c>
      <c r="L777" s="63">
        <v>34</v>
      </c>
      <c r="M777" s="63"/>
      <c r="N777" s="63"/>
      <c r="O777" s="63"/>
      <c r="P777" s="63"/>
      <c r="Q777" s="63"/>
      <c r="R777" s="100">
        <f t="shared" si="22"/>
        <v>34</v>
      </c>
      <c r="S777" s="100">
        <f t="shared" si="23"/>
        <v>-34</v>
      </c>
    </row>
    <row r="778" spans="1:27" ht="19.5" customHeight="1">
      <c r="A778" s="2">
        <v>769</v>
      </c>
      <c r="B778" s="11" t="s">
        <v>683</v>
      </c>
      <c r="C778" s="11"/>
      <c r="D778" s="11"/>
      <c r="E778" s="11" t="s">
        <v>2553</v>
      </c>
      <c r="F778" s="2" t="s">
        <v>3349</v>
      </c>
      <c r="G778" s="2" t="s">
        <v>3350</v>
      </c>
      <c r="H778" s="2" t="s">
        <v>2554</v>
      </c>
      <c r="I778" s="2" t="s">
        <v>14</v>
      </c>
      <c r="J778" s="2" t="s">
        <v>483</v>
      </c>
      <c r="K778" s="105">
        <v>33600</v>
      </c>
      <c r="L778" s="63">
        <v>4</v>
      </c>
      <c r="M778" s="63"/>
      <c r="N778" s="63"/>
      <c r="O778" s="63"/>
      <c r="P778" s="63"/>
      <c r="Q778" s="63"/>
      <c r="R778" s="100">
        <f t="shared" si="22"/>
        <v>4</v>
      </c>
      <c r="S778" s="100">
        <f t="shared" si="23"/>
        <v>-4</v>
      </c>
    </row>
    <row r="779" spans="1:27" ht="19.5" customHeight="1">
      <c r="A779" s="2">
        <v>770</v>
      </c>
      <c r="B779" s="67" t="s">
        <v>913</v>
      </c>
      <c r="C779" s="11"/>
      <c r="D779" s="11"/>
      <c r="E779" s="67" t="s">
        <v>914</v>
      </c>
      <c r="F779" s="68" t="s">
        <v>917</v>
      </c>
      <c r="G779" s="68" t="s">
        <v>918</v>
      </c>
      <c r="H779" s="68" t="s">
        <v>915</v>
      </c>
      <c r="I779" s="68" t="s">
        <v>628</v>
      </c>
      <c r="J779" s="68" t="s">
        <v>916</v>
      </c>
      <c r="K779" s="105">
        <v>241525</v>
      </c>
      <c r="L779" s="63">
        <v>60</v>
      </c>
      <c r="M779" s="63"/>
      <c r="N779" s="63"/>
      <c r="O779" s="63"/>
      <c r="P779" s="63"/>
      <c r="Q779" s="63"/>
      <c r="R779" s="100">
        <f t="shared" ref="R779:R842" si="24">L779+M779-O779</f>
        <v>60</v>
      </c>
      <c r="S779" s="100">
        <f t="shared" ref="S779:S842" si="25">Q779-R779</f>
        <v>-60</v>
      </c>
    </row>
    <row r="780" spans="1:27" ht="19.5" customHeight="1">
      <c r="A780" s="2">
        <v>771</v>
      </c>
      <c r="B780" s="11" t="s">
        <v>3351</v>
      </c>
      <c r="C780" s="11"/>
      <c r="D780" s="11"/>
      <c r="E780" s="11" t="s">
        <v>3352</v>
      </c>
      <c r="F780" s="2" t="s">
        <v>3353</v>
      </c>
      <c r="G780" s="2" t="s">
        <v>3354</v>
      </c>
      <c r="H780" s="2" t="s">
        <v>3355</v>
      </c>
      <c r="I780" s="2" t="s">
        <v>11</v>
      </c>
      <c r="J780" s="2" t="s">
        <v>541</v>
      </c>
      <c r="K780" s="105">
        <v>1050</v>
      </c>
      <c r="L780" s="63">
        <v>0</v>
      </c>
      <c r="M780" s="63"/>
      <c r="N780" s="63"/>
      <c r="O780" s="63"/>
      <c r="P780" s="63"/>
      <c r="Q780" s="63"/>
      <c r="R780" s="100">
        <f t="shared" si="24"/>
        <v>0</v>
      </c>
      <c r="S780" s="100">
        <f t="shared" si="25"/>
        <v>0</v>
      </c>
    </row>
    <row r="781" spans="1:27" ht="19.5" customHeight="1">
      <c r="A781" s="2">
        <v>772</v>
      </c>
      <c r="B781" s="77" t="s">
        <v>3356</v>
      </c>
      <c r="C781" s="4"/>
      <c r="D781" s="4"/>
      <c r="E781" s="77" t="s">
        <v>3357</v>
      </c>
      <c r="F781" s="5" t="s">
        <v>3358</v>
      </c>
      <c r="G781" s="5" t="s">
        <v>3359</v>
      </c>
      <c r="H781" s="5" t="s">
        <v>2522</v>
      </c>
      <c r="I781" s="5" t="s">
        <v>14</v>
      </c>
      <c r="J781" s="5" t="s">
        <v>3360</v>
      </c>
      <c r="K781" s="105">
        <v>62158</v>
      </c>
      <c r="L781" s="63"/>
      <c r="M781" s="63"/>
      <c r="N781" s="63"/>
      <c r="O781" s="63"/>
      <c r="P781" s="63"/>
      <c r="Q781" s="63"/>
      <c r="R781" s="100">
        <f t="shared" si="24"/>
        <v>0</v>
      </c>
      <c r="S781" s="100">
        <f t="shared" si="25"/>
        <v>0</v>
      </c>
      <c r="T781" s="37"/>
      <c r="U781" s="37"/>
      <c r="V781" s="37"/>
      <c r="W781" s="37"/>
      <c r="X781" s="37"/>
      <c r="Y781" s="37"/>
      <c r="Z781" s="37"/>
      <c r="AA781" s="37"/>
    </row>
    <row r="782" spans="1:27" ht="19.5" customHeight="1">
      <c r="A782" s="2">
        <v>773</v>
      </c>
      <c r="B782" s="11" t="s">
        <v>1127</v>
      </c>
      <c r="C782" s="4"/>
      <c r="D782" s="4"/>
      <c r="E782" s="11" t="s">
        <v>1128</v>
      </c>
      <c r="F782" s="2" t="s">
        <v>1130</v>
      </c>
      <c r="G782" s="2" t="s">
        <v>1093</v>
      </c>
      <c r="H782" s="2" t="s">
        <v>1129</v>
      </c>
      <c r="I782" s="2" t="s">
        <v>11</v>
      </c>
      <c r="J782" s="2" t="s">
        <v>815</v>
      </c>
      <c r="K782" s="105">
        <v>1495</v>
      </c>
      <c r="L782" s="63">
        <v>30257</v>
      </c>
      <c r="M782" s="63"/>
      <c r="N782" s="63"/>
      <c r="O782" s="63"/>
      <c r="P782" s="63"/>
      <c r="Q782" s="63"/>
      <c r="R782" s="100">
        <f t="shared" si="24"/>
        <v>30257</v>
      </c>
      <c r="S782" s="100">
        <f t="shared" si="25"/>
        <v>-30257</v>
      </c>
    </row>
    <row r="783" spans="1:27" ht="19.5" customHeight="1">
      <c r="A783" s="2">
        <v>774</v>
      </c>
      <c r="B783" s="71" t="s">
        <v>3361</v>
      </c>
      <c r="C783" s="4"/>
      <c r="D783" s="4"/>
      <c r="E783" s="11" t="s">
        <v>2590</v>
      </c>
      <c r="F783" s="2" t="s">
        <v>3362</v>
      </c>
      <c r="G783" s="2" t="s">
        <v>1644</v>
      </c>
      <c r="H783" s="2" t="s">
        <v>225</v>
      </c>
      <c r="I783" s="2" t="s">
        <v>11</v>
      </c>
      <c r="J783" s="7" t="s">
        <v>1659</v>
      </c>
      <c r="K783" s="105">
        <v>6250</v>
      </c>
      <c r="L783" s="63">
        <v>13</v>
      </c>
      <c r="M783" s="63"/>
      <c r="N783" s="63"/>
      <c r="O783" s="63"/>
      <c r="P783" s="63"/>
      <c r="Q783" s="63"/>
      <c r="R783" s="100">
        <f t="shared" si="24"/>
        <v>13</v>
      </c>
      <c r="S783" s="100">
        <f t="shared" si="25"/>
        <v>-13</v>
      </c>
    </row>
    <row r="784" spans="1:27" ht="19.5" customHeight="1">
      <c r="A784" s="2">
        <v>775</v>
      </c>
      <c r="B784" s="95" t="s">
        <v>555</v>
      </c>
      <c r="C784" s="4"/>
      <c r="D784" s="4"/>
      <c r="E784" s="95" t="s">
        <v>1658</v>
      </c>
      <c r="F784" s="2" t="s">
        <v>1660</v>
      </c>
      <c r="G784" s="9" t="s">
        <v>479</v>
      </c>
      <c r="H784" s="10" t="s">
        <v>232</v>
      </c>
      <c r="I784" s="9" t="s">
        <v>10</v>
      </c>
      <c r="J784" s="7" t="s">
        <v>1659</v>
      </c>
      <c r="K784" s="105">
        <v>1500</v>
      </c>
      <c r="L784" s="63">
        <v>12435</v>
      </c>
      <c r="M784" s="63"/>
      <c r="N784" s="63"/>
      <c r="O784" s="63"/>
      <c r="P784" s="63"/>
      <c r="Q784" s="63"/>
      <c r="R784" s="100">
        <f t="shared" si="24"/>
        <v>12435</v>
      </c>
      <c r="S784" s="100">
        <f t="shared" si="25"/>
        <v>-12435</v>
      </c>
    </row>
    <row r="785" spans="1:27" ht="19.5" customHeight="1">
      <c r="A785" s="2">
        <v>776</v>
      </c>
      <c r="B785" s="11" t="s">
        <v>555</v>
      </c>
      <c r="C785" s="11"/>
      <c r="D785" s="11"/>
      <c r="E785" s="11" t="s">
        <v>1658</v>
      </c>
      <c r="F785" s="2" t="s">
        <v>3363</v>
      </c>
      <c r="G785" s="2" t="s">
        <v>862</v>
      </c>
      <c r="H785" s="2" t="s">
        <v>232</v>
      </c>
      <c r="I785" s="2" t="s">
        <v>11</v>
      </c>
      <c r="J785" s="7" t="s">
        <v>1659</v>
      </c>
      <c r="K785" s="105">
        <v>1690</v>
      </c>
      <c r="L785" s="63">
        <v>1</v>
      </c>
      <c r="M785" s="63"/>
      <c r="N785" s="63"/>
      <c r="O785" s="63"/>
      <c r="P785" s="63"/>
      <c r="Q785" s="63"/>
      <c r="R785" s="100">
        <f t="shared" si="24"/>
        <v>1</v>
      </c>
      <c r="S785" s="100">
        <f t="shared" si="25"/>
        <v>-1</v>
      </c>
    </row>
    <row r="786" spans="1:27" ht="19.5" customHeight="1">
      <c r="A786" s="2">
        <v>777</v>
      </c>
      <c r="B786" s="77" t="s">
        <v>1488</v>
      </c>
      <c r="C786" s="4"/>
      <c r="D786" s="4"/>
      <c r="E786" s="77" t="s">
        <v>3364</v>
      </c>
      <c r="F786" s="5" t="s">
        <v>3365</v>
      </c>
      <c r="G786" s="5" t="s">
        <v>2907</v>
      </c>
      <c r="H786" s="5" t="s">
        <v>1173</v>
      </c>
      <c r="I786" s="5" t="s">
        <v>10</v>
      </c>
      <c r="J786" s="5" t="s">
        <v>647</v>
      </c>
      <c r="K786" s="105">
        <v>2150</v>
      </c>
      <c r="L786" s="63"/>
      <c r="M786" s="63"/>
      <c r="N786" s="63"/>
      <c r="O786" s="63"/>
      <c r="P786" s="63"/>
      <c r="Q786" s="63"/>
      <c r="R786" s="100">
        <f t="shared" si="24"/>
        <v>0</v>
      </c>
      <c r="S786" s="100">
        <f t="shared" si="25"/>
        <v>0</v>
      </c>
      <c r="T786" s="37"/>
      <c r="U786" s="37"/>
      <c r="V786" s="37"/>
      <c r="W786" s="37"/>
      <c r="X786" s="37"/>
      <c r="Y786" s="37"/>
      <c r="Z786" s="37"/>
      <c r="AA786" s="37"/>
    </row>
    <row r="787" spans="1:27" ht="19.5" customHeight="1">
      <c r="A787" s="2">
        <v>778</v>
      </c>
      <c r="B787" s="11" t="s">
        <v>1640</v>
      </c>
      <c r="C787" s="4"/>
      <c r="D787" s="4"/>
      <c r="E787" s="11" t="s">
        <v>1645</v>
      </c>
      <c r="F787" s="2" t="s">
        <v>1646</v>
      </c>
      <c r="G787" s="9" t="s">
        <v>479</v>
      </c>
      <c r="H787" s="7" t="s">
        <v>327</v>
      </c>
      <c r="I787" s="9" t="s">
        <v>10</v>
      </c>
      <c r="J787" s="7" t="s">
        <v>1642</v>
      </c>
      <c r="K787" s="105">
        <v>680</v>
      </c>
      <c r="L787" s="63">
        <v>20</v>
      </c>
      <c r="M787" s="63"/>
      <c r="N787" s="63"/>
      <c r="O787" s="63"/>
      <c r="P787" s="63"/>
      <c r="Q787" s="63"/>
      <c r="R787" s="100">
        <f t="shared" si="24"/>
        <v>20</v>
      </c>
      <c r="S787" s="100">
        <f t="shared" si="25"/>
        <v>-20</v>
      </c>
    </row>
    <row r="788" spans="1:27" ht="19.5" customHeight="1">
      <c r="A788" s="2">
        <v>779</v>
      </c>
      <c r="B788" s="64" t="s">
        <v>329</v>
      </c>
      <c r="C788" s="3"/>
      <c r="D788" s="3"/>
      <c r="E788" s="11" t="s">
        <v>480</v>
      </c>
      <c r="F788" s="2" t="s">
        <v>3366</v>
      </c>
      <c r="G788" s="2" t="s">
        <v>479</v>
      </c>
      <c r="H788" s="2" t="s">
        <v>262</v>
      </c>
      <c r="I788" s="2" t="s">
        <v>10</v>
      </c>
      <c r="J788" s="2" t="s">
        <v>647</v>
      </c>
      <c r="K788" s="105">
        <v>750</v>
      </c>
      <c r="L788" s="63">
        <v>9000</v>
      </c>
      <c r="M788" s="63"/>
      <c r="N788" s="63"/>
      <c r="O788" s="63"/>
      <c r="P788" s="63"/>
      <c r="Q788" s="63"/>
      <c r="R788" s="100">
        <f t="shared" si="24"/>
        <v>9000</v>
      </c>
      <c r="S788" s="100">
        <f t="shared" si="25"/>
        <v>-9000</v>
      </c>
    </row>
    <row r="789" spans="1:27" ht="19.5" customHeight="1">
      <c r="A789" s="2">
        <v>780</v>
      </c>
      <c r="B789" s="11" t="s">
        <v>592</v>
      </c>
      <c r="C789" s="4"/>
      <c r="D789" s="4"/>
      <c r="E789" s="11" t="s">
        <v>1665</v>
      </c>
      <c r="F789" s="12" t="s">
        <v>1666</v>
      </c>
      <c r="G789" s="9" t="s">
        <v>479</v>
      </c>
      <c r="H789" s="7" t="s">
        <v>235</v>
      </c>
      <c r="I789" s="9" t="s">
        <v>10</v>
      </c>
      <c r="J789" s="7" t="s">
        <v>1642</v>
      </c>
      <c r="K789" s="105">
        <v>499</v>
      </c>
      <c r="L789" s="63">
        <v>0</v>
      </c>
      <c r="M789" s="63"/>
      <c r="N789" s="63"/>
      <c r="O789" s="63"/>
      <c r="P789" s="63"/>
      <c r="Q789" s="63"/>
      <c r="R789" s="100">
        <f t="shared" si="24"/>
        <v>0</v>
      </c>
      <c r="S789" s="100">
        <f t="shared" si="25"/>
        <v>0</v>
      </c>
    </row>
    <row r="790" spans="1:27" ht="19.5" customHeight="1">
      <c r="A790" s="2">
        <v>781</v>
      </c>
      <c r="B790" s="77" t="s">
        <v>3367</v>
      </c>
      <c r="C790" s="4"/>
      <c r="D790" s="4"/>
      <c r="E790" s="77" t="s">
        <v>3368</v>
      </c>
      <c r="F790" s="5" t="s">
        <v>3369</v>
      </c>
      <c r="G790" s="5" t="s">
        <v>2907</v>
      </c>
      <c r="H790" s="5" t="s">
        <v>594</v>
      </c>
      <c r="I790" s="5" t="s">
        <v>10</v>
      </c>
      <c r="J790" s="5" t="s">
        <v>3370</v>
      </c>
      <c r="K790" s="105">
        <v>790</v>
      </c>
      <c r="L790" s="63"/>
      <c r="M790" s="63"/>
      <c r="N790" s="63"/>
      <c r="O790" s="63"/>
      <c r="P790" s="63"/>
      <c r="Q790" s="63"/>
      <c r="R790" s="100">
        <f t="shared" si="24"/>
        <v>0</v>
      </c>
      <c r="S790" s="100">
        <f t="shared" si="25"/>
        <v>0</v>
      </c>
      <c r="T790" s="37"/>
      <c r="U790" s="37"/>
      <c r="V790" s="37"/>
      <c r="W790" s="37"/>
      <c r="X790" s="37"/>
      <c r="Y790" s="37"/>
      <c r="Z790" s="37"/>
      <c r="AA790" s="37"/>
    </row>
    <row r="791" spans="1:27" ht="19.5" customHeight="1">
      <c r="A791" s="2">
        <v>782</v>
      </c>
      <c r="B791" s="11" t="s">
        <v>771</v>
      </c>
      <c r="C791" s="11"/>
      <c r="D791" s="11"/>
      <c r="E791" s="11" t="s">
        <v>2555</v>
      </c>
      <c r="F791" s="2" t="s">
        <v>3371</v>
      </c>
      <c r="G791" s="2" t="s">
        <v>1890</v>
      </c>
      <c r="H791" s="2" t="s">
        <v>262</v>
      </c>
      <c r="I791" s="2" t="s">
        <v>10</v>
      </c>
      <c r="J791" s="7" t="s">
        <v>1642</v>
      </c>
      <c r="K791" s="105">
        <v>8350</v>
      </c>
      <c r="L791" s="63">
        <v>562</v>
      </c>
      <c r="M791" s="63"/>
      <c r="N791" s="63"/>
      <c r="O791" s="63"/>
      <c r="P791" s="63"/>
      <c r="Q791" s="63"/>
      <c r="R791" s="100">
        <f t="shared" si="24"/>
        <v>562</v>
      </c>
      <c r="S791" s="100">
        <f t="shared" si="25"/>
        <v>-562</v>
      </c>
    </row>
    <row r="792" spans="1:27" ht="19.5" customHeight="1">
      <c r="A792" s="2">
        <v>783</v>
      </c>
      <c r="B792" s="11" t="s">
        <v>1647</v>
      </c>
      <c r="C792" s="4"/>
      <c r="D792" s="4"/>
      <c r="E792" s="11" t="s">
        <v>1648</v>
      </c>
      <c r="F792" s="2" t="s">
        <v>1649</v>
      </c>
      <c r="G792" s="9" t="s">
        <v>479</v>
      </c>
      <c r="H792" s="7" t="s">
        <v>327</v>
      </c>
      <c r="I792" s="9" t="s">
        <v>10</v>
      </c>
      <c r="J792" s="7" t="s">
        <v>1642</v>
      </c>
      <c r="K792" s="105">
        <v>1530</v>
      </c>
      <c r="L792" s="63">
        <v>7921</v>
      </c>
      <c r="M792" s="63"/>
      <c r="N792" s="63"/>
      <c r="O792" s="63"/>
      <c r="P792" s="63"/>
      <c r="Q792" s="63"/>
      <c r="R792" s="100">
        <f t="shared" si="24"/>
        <v>7921</v>
      </c>
      <c r="S792" s="100">
        <f t="shared" si="25"/>
        <v>-7921</v>
      </c>
    </row>
    <row r="793" spans="1:27" ht="19.5" customHeight="1">
      <c r="A793" s="2">
        <v>784</v>
      </c>
      <c r="B793" s="11" t="s">
        <v>1650</v>
      </c>
      <c r="C793" s="4"/>
      <c r="D793" s="4"/>
      <c r="E793" s="11" t="s">
        <v>1651</v>
      </c>
      <c r="F793" s="2" t="s">
        <v>1653</v>
      </c>
      <c r="G793" s="9" t="s">
        <v>479</v>
      </c>
      <c r="H793" s="8" t="s">
        <v>869</v>
      </c>
      <c r="I793" s="9" t="s">
        <v>10</v>
      </c>
      <c r="J793" s="7" t="s">
        <v>1652</v>
      </c>
      <c r="K793" s="105">
        <v>1090</v>
      </c>
      <c r="L793" s="63">
        <v>10000</v>
      </c>
      <c r="M793" s="63"/>
      <c r="N793" s="63"/>
      <c r="O793" s="63"/>
      <c r="P793" s="63"/>
      <c r="Q793" s="63"/>
      <c r="R793" s="100">
        <f t="shared" si="24"/>
        <v>10000</v>
      </c>
      <c r="S793" s="100">
        <f t="shared" si="25"/>
        <v>-10000</v>
      </c>
    </row>
    <row r="794" spans="1:27" ht="19.5" customHeight="1">
      <c r="A794" s="2">
        <v>785</v>
      </c>
      <c r="B794" s="64" t="s">
        <v>227</v>
      </c>
      <c r="C794" s="3"/>
      <c r="D794" s="3"/>
      <c r="E794" s="11" t="s">
        <v>344</v>
      </c>
      <c r="F794" s="2" t="s">
        <v>345</v>
      </c>
      <c r="G794" s="2" t="s">
        <v>346</v>
      </c>
      <c r="H794" s="2" t="s">
        <v>225</v>
      </c>
      <c r="I794" s="2" t="s">
        <v>10</v>
      </c>
      <c r="J794" s="2" t="s">
        <v>647</v>
      </c>
      <c r="K794" s="105">
        <v>420</v>
      </c>
      <c r="L794" s="63">
        <v>0</v>
      </c>
      <c r="M794" s="63"/>
      <c r="N794" s="63"/>
      <c r="O794" s="63"/>
      <c r="P794" s="63"/>
      <c r="Q794" s="63"/>
      <c r="R794" s="100">
        <f t="shared" si="24"/>
        <v>0</v>
      </c>
      <c r="S794" s="100">
        <f t="shared" si="25"/>
        <v>0</v>
      </c>
    </row>
    <row r="795" spans="1:27" ht="19.5" customHeight="1">
      <c r="A795" s="2">
        <v>786</v>
      </c>
      <c r="B795" s="11" t="s">
        <v>1640</v>
      </c>
      <c r="C795" s="4"/>
      <c r="D795" s="4"/>
      <c r="E795" s="11" t="s">
        <v>1641</v>
      </c>
      <c r="F795" s="2" t="s">
        <v>1643</v>
      </c>
      <c r="G795" s="9" t="s">
        <v>479</v>
      </c>
      <c r="H795" s="7" t="s">
        <v>625</v>
      </c>
      <c r="I795" s="9" t="s">
        <v>10</v>
      </c>
      <c r="J795" s="7" t="s">
        <v>1642</v>
      </c>
      <c r="K795" s="105">
        <v>519</v>
      </c>
      <c r="L795" s="63">
        <v>8386</v>
      </c>
      <c r="M795" s="63"/>
      <c r="N795" s="63"/>
      <c r="O795" s="63"/>
      <c r="P795" s="63"/>
      <c r="Q795" s="63"/>
      <c r="R795" s="100">
        <f t="shared" si="24"/>
        <v>8386</v>
      </c>
      <c r="S795" s="100">
        <f t="shared" si="25"/>
        <v>-8386</v>
      </c>
    </row>
    <row r="796" spans="1:27" ht="19.5" customHeight="1">
      <c r="A796" s="2">
        <v>787</v>
      </c>
      <c r="B796" s="77" t="s">
        <v>3198</v>
      </c>
      <c r="C796" s="4"/>
      <c r="D796" s="4"/>
      <c r="E796" s="77" t="s">
        <v>3372</v>
      </c>
      <c r="F796" s="5" t="s">
        <v>3373</v>
      </c>
      <c r="G796" s="5" t="s">
        <v>3374</v>
      </c>
      <c r="H796" s="5" t="s">
        <v>3375</v>
      </c>
      <c r="I796" s="5" t="s">
        <v>14</v>
      </c>
      <c r="J796" s="5" t="s">
        <v>3202</v>
      </c>
      <c r="K796" s="105">
        <v>98000</v>
      </c>
      <c r="L796" s="63"/>
      <c r="M796" s="63"/>
      <c r="N796" s="63"/>
      <c r="O796" s="63"/>
      <c r="P796" s="63"/>
      <c r="Q796" s="63"/>
      <c r="R796" s="100">
        <f t="shared" si="24"/>
        <v>0</v>
      </c>
      <c r="S796" s="100">
        <f t="shared" si="25"/>
        <v>0</v>
      </c>
      <c r="T796" s="37"/>
      <c r="U796" s="37"/>
      <c r="V796" s="37"/>
      <c r="W796" s="37"/>
      <c r="X796" s="37"/>
      <c r="Y796" s="37"/>
      <c r="Z796" s="37"/>
      <c r="AA796" s="37"/>
    </row>
    <row r="797" spans="1:27" ht="19.5" customHeight="1">
      <c r="A797" s="2">
        <v>788</v>
      </c>
      <c r="B797" s="11" t="s">
        <v>1109</v>
      </c>
      <c r="C797" s="4"/>
      <c r="D797" s="4"/>
      <c r="E797" s="11" t="s">
        <v>1110</v>
      </c>
      <c r="F797" s="2" t="s">
        <v>1112</v>
      </c>
      <c r="G797" s="2" t="s">
        <v>1113</v>
      </c>
      <c r="H797" s="2" t="s">
        <v>384</v>
      </c>
      <c r="I797" s="2" t="s">
        <v>11</v>
      </c>
      <c r="J797" s="2" t="s">
        <v>1111</v>
      </c>
      <c r="K797" s="105">
        <v>4990</v>
      </c>
      <c r="L797" s="63">
        <v>0</v>
      </c>
      <c r="M797" s="63"/>
      <c r="N797" s="63"/>
      <c r="O797" s="63"/>
      <c r="P797" s="63"/>
      <c r="Q797" s="63"/>
      <c r="R797" s="100">
        <f t="shared" si="24"/>
        <v>0</v>
      </c>
      <c r="S797" s="100">
        <f t="shared" si="25"/>
        <v>0</v>
      </c>
    </row>
    <row r="798" spans="1:27" ht="19.5" customHeight="1">
      <c r="A798" s="2">
        <v>789</v>
      </c>
      <c r="B798" s="67" t="s">
        <v>930</v>
      </c>
      <c r="C798" s="11"/>
      <c r="D798" s="11"/>
      <c r="E798" s="67" t="s">
        <v>936</v>
      </c>
      <c r="F798" s="68" t="s">
        <v>938</v>
      </c>
      <c r="G798" s="68" t="s">
        <v>935</v>
      </c>
      <c r="H798" s="68" t="s">
        <v>937</v>
      </c>
      <c r="I798" s="68" t="s">
        <v>892</v>
      </c>
      <c r="J798" s="68" t="s">
        <v>933</v>
      </c>
      <c r="K798" s="105">
        <v>278090</v>
      </c>
      <c r="L798" s="63">
        <v>126</v>
      </c>
      <c r="M798" s="63"/>
      <c r="N798" s="63"/>
      <c r="O798" s="63"/>
      <c r="P798" s="63"/>
      <c r="Q798" s="63"/>
      <c r="R798" s="100">
        <f t="shared" si="24"/>
        <v>126</v>
      </c>
      <c r="S798" s="100">
        <f t="shared" si="25"/>
        <v>-126</v>
      </c>
    </row>
    <row r="799" spans="1:27" ht="19.5" customHeight="1">
      <c r="A799" s="2">
        <v>790</v>
      </c>
      <c r="B799" s="67" t="s">
        <v>930</v>
      </c>
      <c r="C799" s="11"/>
      <c r="D799" s="11"/>
      <c r="E799" s="67" t="s">
        <v>931</v>
      </c>
      <c r="F799" s="68" t="s">
        <v>934</v>
      </c>
      <c r="G799" s="68" t="s">
        <v>935</v>
      </c>
      <c r="H799" s="68" t="s">
        <v>932</v>
      </c>
      <c r="I799" s="68" t="s">
        <v>892</v>
      </c>
      <c r="J799" s="68" t="s">
        <v>933</v>
      </c>
      <c r="K799" s="105">
        <v>225996</v>
      </c>
      <c r="L799" s="63">
        <v>5</v>
      </c>
      <c r="M799" s="63"/>
      <c r="N799" s="63"/>
      <c r="O799" s="63"/>
      <c r="P799" s="63"/>
      <c r="Q799" s="63"/>
      <c r="R799" s="100">
        <f t="shared" si="24"/>
        <v>5</v>
      </c>
      <c r="S799" s="100">
        <f t="shared" si="25"/>
        <v>-5</v>
      </c>
    </row>
    <row r="800" spans="1:27" ht="19.5" customHeight="1">
      <c r="A800" s="2">
        <v>791</v>
      </c>
      <c r="B800" s="77" t="s">
        <v>2445</v>
      </c>
      <c r="C800" s="4"/>
      <c r="D800" s="4"/>
      <c r="E800" s="77" t="s">
        <v>3376</v>
      </c>
      <c r="F800" s="5" t="s">
        <v>3377</v>
      </c>
      <c r="G800" s="5" t="s">
        <v>322</v>
      </c>
      <c r="H800" s="5" t="s">
        <v>3378</v>
      </c>
      <c r="I800" s="5" t="s">
        <v>10</v>
      </c>
      <c r="J800" s="5" t="s">
        <v>1872</v>
      </c>
      <c r="K800" s="105">
        <v>845</v>
      </c>
      <c r="L800" s="63"/>
      <c r="M800" s="63"/>
      <c r="N800" s="63"/>
      <c r="O800" s="63"/>
      <c r="P800" s="63"/>
      <c r="Q800" s="63"/>
      <c r="R800" s="100">
        <f t="shared" si="24"/>
        <v>0</v>
      </c>
      <c r="S800" s="100">
        <f t="shared" si="25"/>
        <v>0</v>
      </c>
      <c r="T800" s="37"/>
      <c r="U800" s="37"/>
      <c r="V800" s="37"/>
      <c r="W800" s="37"/>
      <c r="X800" s="37"/>
      <c r="Y800" s="37"/>
      <c r="Z800" s="37"/>
      <c r="AA800" s="37"/>
    </row>
    <row r="801" spans="1:27" ht="19.5" customHeight="1">
      <c r="A801" s="2">
        <v>792</v>
      </c>
      <c r="B801" s="11" t="s">
        <v>1780</v>
      </c>
      <c r="C801" s="4"/>
      <c r="D801" s="4"/>
      <c r="E801" s="11" t="s">
        <v>1781</v>
      </c>
      <c r="F801" s="2" t="s">
        <v>1784</v>
      </c>
      <c r="G801" s="2" t="s">
        <v>1170</v>
      </c>
      <c r="H801" s="2" t="s">
        <v>1782</v>
      </c>
      <c r="I801" s="2" t="s">
        <v>15</v>
      </c>
      <c r="J801" s="2" t="s">
        <v>1783</v>
      </c>
      <c r="K801" s="105">
        <v>16000</v>
      </c>
      <c r="L801" s="63">
        <v>35</v>
      </c>
      <c r="M801" s="63"/>
      <c r="N801" s="63"/>
      <c r="O801" s="63"/>
      <c r="P801" s="63"/>
      <c r="Q801" s="63"/>
      <c r="R801" s="100">
        <f t="shared" si="24"/>
        <v>35</v>
      </c>
      <c r="S801" s="100">
        <f t="shared" si="25"/>
        <v>-35</v>
      </c>
    </row>
    <row r="802" spans="1:27" ht="19.5" customHeight="1">
      <c r="A802" s="2">
        <v>793</v>
      </c>
      <c r="B802" s="11" t="s">
        <v>234</v>
      </c>
      <c r="C802" s="11"/>
      <c r="D802" s="11"/>
      <c r="E802" s="11" t="s">
        <v>3379</v>
      </c>
      <c r="F802" s="2" t="s">
        <v>3380</v>
      </c>
      <c r="G802" s="2" t="s">
        <v>2424</v>
      </c>
      <c r="H802" s="2" t="s">
        <v>235</v>
      </c>
      <c r="I802" s="2" t="s">
        <v>11</v>
      </c>
      <c r="J802" s="2" t="s">
        <v>647</v>
      </c>
      <c r="K802" s="105">
        <v>586</v>
      </c>
      <c r="L802" s="63">
        <v>0</v>
      </c>
      <c r="M802" s="63"/>
      <c r="N802" s="63"/>
      <c r="O802" s="63"/>
      <c r="P802" s="63"/>
      <c r="Q802" s="63"/>
      <c r="R802" s="100">
        <f t="shared" si="24"/>
        <v>0</v>
      </c>
      <c r="S802" s="100">
        <f t="shared" si="25"/>
        <v>0</v>
      </c>
    </row>
    <row r="803" spans="1:27" ht="19.5" customHeight="1">
      <c r="A803" s="2">
        <v>794</v>
      </c>
      <c r="B803" s="67" t="s">
        <v>1618</v>
      </c>
      <c r="C803" s="4"/>
      <c r="D803" s="4"/>
      <c r="E803" s="67" t="s">
        <v>2019</v>
      </c>
      <c r="F803" s="68" t="s">
        <v>2020</v>
      </c>
      <c r="G803" s="68" t="s">
        <v>2021</v>
      </c>
      <c r="H803" s="68" t="s">
        <v>225</v>
      </c>
      <c r="I803" s="68" t="s">
        <v>10</v>
      </c>
      <c r="J803" s="68" t="s">
        <v>623</v>
      </c>
      <c r="K803" s="105">
        <v>900</v>
      </c>
      <c r="L803" s="63">
        <v>92</v>
      </c>
      <c r="M803" s="63"/>
      <c r="N803" s="63"/>
      <c r="O803" s="63"/>
      <c r="P803" s="63"/>
      <c r="Q803" s="63"/>
      <c r="R803" s="100">
        <f t="shared" si="24"/>
        <v>92</v>
      </c>
      <c r="S803" s="100">
        <f t="shared" si="25"/>
        <v>-92</v>
      </c>
    </row>
    <row r="804" spans="1:27" ht="19.5" customHeight="1">
      <c r="A804" s="2">
        <v>795</v>
      </c>
      <c r="B804" s="11" t="s">
        <v>1618</v>
      </c>
      <c r="C804" s="4"/>
      <c r="D804" s="96"/>
      <c r="E804" s="11" t="s">
        <v>3381</v>
      </c>
      <c r="F804" s="2" t="s">
        <v>3382</v>
      </c>
      <c r="G804" s="2" t="s">
        <v>3383</v>
      </c>
      <c r="H804" s="2" t="s">
        <v>994</v>
      </c>
      <c r="I804" s="2" t="s">
        <v>11</v>
      </c>
      <c r="J804" s="2" t="s">
        <v>842</v>
      </c>
      <c r="K804" s="105">
        <v>1025</v>
      </c>
      <c r="L804" s="63"/>
      <c r="M804" s="63"/>
      <c r="N804" s="63"/>
      <c r="O804" s="63"/>
      <c r="P804" s="63"/>
      <c r="Q804" s="63"/>
      <c r="R804" s="100">
        <f t="shared" si="24"/>
        <v>0</v>
      </c>
      <c r="S804" s="100">
        <f t="shared" si="25"/>
        <v>0</v>
      </c>
      <c r="T804" s="37"/>
      <c r="U804" s="37"/>
      <c r="V804" s="37"/>
      <c r="W804" s="37"/>
      <c r="X804" s="37"/>
      <c r="Y804" s="37"/>
      <c r="Z804" s="37"/>
      <c r="AA804" s="37"/>
    </row>
    <row r="805" spans="1:27" ht="19.5" customHeight="1">
      <c r="A805" s="2">
        <v>796</v>
      </c>
      <c r="B805" s="11" t="s">
        <v>3384</v>
      </c>
      <c r="C805" s="11"/>
      <c r="D805" s="11"/>
      <c r="E805" s="11" t="s">
        <v>3385</v>
      </c>
      <c r="F805" s="2" t="s">
        <v>3386</v>
      </c>
      <c r="G805" s="2" t="s">
        <v>3053</v>
      </c>
      <c r="H805" s="2" t="s">
        <v>3387</v>
      </c>
      <c r="I805" s="2" t="s">
        <v>15</v>
      </c>
      <c r="J805" s="2" t="s">
        <v>3388</v>
      </c>
      <c r="K805" s="105">
        <v>23100</v>
      </c>
      <c r="L805" s="63">
        <v>0</v>
      </c>
      <c r="M805" s="63"/>
      <c r="N805" s="63"/>
      <c r="O805" s="63"/>
      <c r="P805" s="63"/>
      <c r="Q805" s="63"/>
      <c r="R805" s="100">
        <f t="shared" si="24"/>
        <v>0</v>
      </c>
      <c r="S805" s="100">
        <f t="shared" si="25"/>
        <v>0</v>
      </c>
    </row>
    <row r="806" spans="1:27" ht="19.5" customHeight="1">
      <c r="A806" s="2">
        <v>797</v>
      </c>
      <c r="B806" s="67" t="s">
        <v>1434</v>
      </c>
      <c r="C806" s="4"/>
      <c r="D806" s="4"/>
      <c r="E806" s="11" t="s">
        <v>1435</v>
      </c>
      <c r="F806" s="2" t="s">
        <v>1438</v>
      </c>
      <c r="G806" s="2" t="s">
        <v>1429</v>
      </c>
      <c r="H806" s="2" t="s">
        <v>1436</v>
      </c>
      <c r="I806" s="2" t="s">
        <v>18</v>
      </c>
      <c r="J806" s="2" t="s">
        <v>1437</v>
      </c>
      <c r="K806" s="105">
        <v>12000</v>
      </c>
      <c r="L806" s="63">
        <v>100</v>
      </c>
      <c r="M806" s="63"/>
      <c r="N806" s="63"/>
      <c r="O806" s="63"/>
      <c r="P806" s="63"/>
      <c r="Q806" s="63"/>
      <c r="R806" s="100">
        <f t="shared" si="24"/>
        <v>100</v>
      </c>
      <c r="S806" s="100">
        <f t="shared" si="25"/>
        <v>-100</v>
      </c>
    </row>
    <row r="807" spans="1:27" ht="19.5" customHeight="1">
      <c r="A807" s="2">
        <v>798</v>
      </c>
      <c r="B807" s="11" t="s">
        <v>1562</v>
      </c>
      <c r="C807" s="4"/>
      <c r="D807" s="4"/>
      <c r="E807" s="11" t="s">
        <v>1563</v>
      </c>
      <c r="F807" s="2" t="s">
        <v>1565</v>
      </c>
      <c r="G807" s="2" t="s">
        <v>1566</v>
      </c>
      <c r="H807" s="2" t="s">
        <v>1564</v>
      </c>
      <c r="I807" s="2" t="s">
        <v>12</v>
      </c>
      <c r="J807" s="2" t="s">
        <v>1560</v>
      </c>
      <c r="K807" s="105">
        <v>1470</v>
      </c>
      <c r="L807" s="63">
        <v>2550</v>
      </c>
      <c r="M807" s="63"/>
      <c r="N807" s="63"/>
      <c r="O807" s="63"/>
      <c r="P807" s="63"/>
      <c r="Q807" s="63"/>
      <c r="R807" s="100">
        <f t="shared" si="24"/>
        <v>2550</v>
      </c>
      <c r="S807" s="100">
        <f t="shared" si="25"/>
        <v>-2550</v>
      </c>
    </row>
    <row r="808" spans="1:27" ht="19.5" customHeight="1">
      <c r="A808" s="2">
        <v>799</v>
      </c>
      <c r="B808" s="67" t="s">
        <v>967</v>
      </c>
      <c r="C808" s="4"/>
      <c r="D808" s="4"/>
      <c r="E808" s="67" t="s">
        <v>968</v>
      </c>
      <c r="F808" s="68" t="s">
        <v>970</v>
      </c>
      <c r="G808" s="68" t="s">
        <v>971</v>
      </c>
      <c r="H808" s="68" t="s">
        <v>945</v>
      </c>
      <c r="I808" s="68" t="s">
        <v>12</v>
      </c>
      <c r="J808" s="68" t="s">
        <v>969</v>
      </c>
      <c r="K808" s="105">
        <v>3475</v>
      </c>
      <c r="L808" s="63">
        <v>1654</v>
      </c>
      <c r="M808" s="63"/>
      <c r="N808" s="63"/>
      <c r="O808" s="63"/>
      <c r="P808" s="63"/>
      <c r="Q808" s="63"/>
      <c r="R808" s="100">
        <f t="shared" si="24"/>
        <v>1654</v>
      </c>
      <c r="S808" s="100">
        <f t="shared" si="25"/>
        <v>-1654</v>
      </c>
    </row>
    <row r="809" spans="1:27" ht="19.5" customHeight="1">
      <c r="A809" s="2">
        <v>800</v>
      </c>
      <c r="B809" s="11" t="s">
        <v>1235</v>
      </c>
      <c r="C809" s="4"/>
      <c r="D809" s="4"/>
      <c r="E809" s="11" t="s">
        <v>1731</v>
      </c>
      <c r="F809" s="2" t="s">
        <v>1733</v>
      </c>
      <c r="G809" s="2" t="s">
        <v>1734</v>
      </c>
      <c r="H809" s="2" t="s">
        <v>1200</v>
      </c>
      <c r="I809" s="2" t="s">
        <v>13</v>
      </c>
      <c r="J809" s="2" t="s">
        <v>1732</v>
      </c>
      <c r="K809" s="105">
        <v>1850</v>
      </c>
      <c r="L809" s="63">
        <v>2784</v>
      </c>
      <c r="M809" s="63"/>
      <c r="N809" s="63"/>
      <c r="O809" s="63"/>
      <c r="P809" s="63"/>
      <c r="Q809" s="63"/>
      <c r="R809" s="100">
        <f t="shared" si="24"/>
        <v>2784</v>
      </c>
      <c r="S809" s="100">
        <f t="shared" si="25"/>
        <v>-2784</v>
      </c>
    </row>
    <row r="810" spans="1:27" ht="19.5" customHeight="1">
      <c r="A810" s="2">
        <v>801</v>
      </c>
      <c r="B810" s="64" t="s">
        <v>265</v>
      </c>
      <c r="C810" s="3"/>
      <c r="D810" s="3"/>
      <c r="E810" s="11" t="s">
        <v>266</v>
      </c>
      <c r="F810" s="2" t="s">
        <v>269</v>
      </c>
      <c r="G810" s="2" t="s">
        <v>255</v>
      </c>
      <c r="H810" s="2" t="s">
        <v>267</v>
      </c>
      <c r="I810" s="2" t="s">
        <v>14</v>
      </c>
      <c r="J810" s="2" t="s">
        <v>268</v>
      </c>
      <c r="K810" s="105">
        <v>8988</v>
      </c>
      <c r="L810" s="63">
        <v>282</v>
      </c>
      <c r="M810" s="63"/>
      <c r="N810" s="63"/>
      <c r="O810" s="63"/>
      <c r="P810" s="63"/>
      <c r="Q810" s="63"/>
      <c r="R810" s="100">
        <f t="shared" si="24"/>
        <v>282</v>
      </c>
      <c r="S810" s="100">
        <f t="shared" si="25"/>
        <v>-282</v>
      </c>
    </row>
    <row r="811" spans="1:27" ht="19.5" customHeight="1">
      <c r="A811" s="2">
        <v>802</v>
      </c>
      <c r="B811" s="67" t="s">
        <v>2300</v>
      </c>
      <c r="C811" s="4"/>
      <c r="D811" s="4"/>
      <c r="E811" s="11" t="s">
        <v>166</v>
      </c>
      <c r="F811" s="2" t="s">
        <v>2301</v>
      </c>
      <c r="G811" s="2" t="s">
        <v>2253</v>
      </c>
      <c r="H811" s="2" t="s">
        <v>168</v>
      </c>
      <c r="I811" s="2" t="s">
        <v>16</v>
      </c>
      <c r="J811" s="2" t="s">
        <v>2250</v>
      </c>
      <c r="K811" s="105">
        <v>1300</v>
      </c>
      <c r="L811" s="63">
        <v>6010</v>
      </c>
      <c r="M811" s="63"/>
      <c r="N811" s="63"/>
      <c r="O811" s="63"/>
      <c r="P811" s="63"/>
      <c r="Q811" s="63"/>
      <c r="R811" s="100">
        <f t="shared" si="24"/>
        <v>6010</v>
      </c>
      <c r="S811" s="100">
        <f t="shared" si="25"/>
        <v>-6010</v>
      </c>
    </row>
    <row r="812" spans="1:27" ht="19.5" customHeight="1">
      <c r="A812" s="2">
        <v>803</v>
      </c>
      <c r="B812" s="11" t="s">
        <v>1631</v>
      </c>
      <c r="C812" s="4"/>
      <c r="D812" s="4"/>
      <c r="E812" s="11" t="s">
        <v>1631</v>
      </c>
      <c r="F812" s="2" t="s">
        <v>1634</v>
      </c>
      <c r="G812" s="2" t="s">
        <v>473</v>
      </c>
      <c r="H812" s="2" t="s">
        <v>1632</v>
      </c>
      <c r="I812" s="2" t="s">
        <v>1635</v>
      </c>
      <c r="J812" s="2" t="s">
        <v>1633</v>
      </c>
      <c r="K812" s="105">
        <v>385</v>
      </c>
      <c r="L812" s="63">
        <v>0</v>
      </c>
      <c r="M812" s="63"/>
      <c r="N812" s="63"/>
      <c r="O812" s="63"/>
      <c r="P812" s="63"/>
      <c r="Q812" s="63"/>
      <c r="R812" s="100">
        <f t="shared" si="24"/>
        <v>0</v>
      </c>
      <c r="S812" s="100">
        <f t="shared" si="25"/>
        <v>0</v>
      </c>
    </row>
    <row r="813" spans="1:27" ht="19.5" customHeight="1">
      <c r="A813" s="2">
        <v>804</v>
      </c>
      <c r="B813" s="11" t="s">
        <v>1631</v>
      </c>
      <c r="C813" s="11"/>
      <c r="D813" s="11"/>
      <c r="E813" s="11" t="s">
        <v>1631</v>
      </c>
      <c r="F813" s="2" t="s">
        <v>3389</v>
      </c>
      <c r="G813" s="2" t="s">
        <v>3390</v>
      </c>
      <c r="H813" s="2" t="s">
        <v>1632</v>
      </c>
      <c r="I813" s="2" t="s">
        <v>12</v>
      </c>
      <c r="J813" s="2" t="s">
        <v>2660</v>
      </c>
      <c r="K813" s="105">
        <v>399</v>
      </c>
      <c r="L813" s="63">
        <v>3765</v>
      </c>
      <c r="M813" s="63"/>
      <c r="N813" s="63"/>
      <c r="O813" s="63"/>
      <c r="P813" s="63"/>
      <c r="Q813" s="63"/>
      <c r="R813" s="100">
        <f t="shared" si="24"/>
        <v>3765</v>
      </c>
      <c r="S813" s="100">
        <f t="shared" si="25"/>
        <v>-3765</v>
      </c>
    </row>
    <row r="814" spans="1:27" ht="19.5" customHeight="1">
      <c r="A814" s="2">
        <v>805</v>
      </c>
      <c r="B814" s="11" t="s">
        <v>1631</v>
      </c>
      <c r="C814" s="11"/>
      <c r="D814" s="11"/>
      <c r="E814" s="11" t="s">
        <v>1631</v>
      </c>
      <c r="F814" s="2" t="s">
        <v>3391</v>
      </c>
      <c r="G814" s="2" t="s">
        <v>3392</v>
      </c>
      <c r="H814" s="2" t="s">
        <v>1632</v>
      </c>
      <c r="I814" s="2" t="s">
        <v>12</v>
      </c>
      <c r="J814" s="2" t="s">
        <v>2660</v>
      </c>
      <c r="K814" s="105">
        <v>473</v>
      </c>
      <c r="L814" s="63">
        <v>19</v>
      </c>
      <c r="M814" s="63"/>
      <c r="N814" s="63"/>
      <c r="O814" s="63"/>
      <c r="P814" s="63"/>
      <c r="Q814" s="63"/>
      <c r="R814" s="100">
        <f t="shared" si="24"/>
        <v>19</v>
      </c>
      <c r="S814" s="100">
        <f t="shared" si="25"/>
        <v>-19</v>
      </c>
    </row>
    <row r="815" spans="1:27" ht="19.5" customHeight="1">
      <c r="A815" s="2">
        <v>806</v>
      </c>
      <c r="B815" s="11" t="s">
        <v>750</v>
      </c>
      <c r="C815" s="4"/>
      <c r="D815" s="4"/>
      <c r="E815" s="11" t="s">
        <v>1625</v>
      </c>
      <c r="F815" s="2" t="s">
        <v>1627</v>
      </c>
      <c r="G815" s="2" t="s">
        <v>473</v>
      </c>
      <c r="H815" s="2" t="s">
        <v>1370</v>
      </c>
      <c r="I815" s="2" t="s">
        <v>11</v>
      </c>
      <c r="J815" s="2" t="s">
        <v>1626</v>
      </c>
      <c r="K815" s="105">
        <v>59</v>
      </c>
      <c r="L815" s="63">
        <v>500</v>
      </c>
      <c r="M815" s="63"/>
      <c r="N815" s="63"/>
      <c r="O815" s="63"/>
      <c r="P815" s="63"/>
      <c r="Q815" s="63"/>
      <c r="R815" s="100">
        <f t="shared" si="24"/>
        <v>500</v>
      </c>
      <c r="S815" s="100">
        <f t="shared" si="25"/>
        <v>-500</v>
      </c>
    </row>
    <row r="816" spans="1:27" ht="19.5" customHeight="1">
      <c r="A816" s="2">
        <v>807</v>
      </c>
      <c r="B816" s="77" t="s">
        <v>395</v>
      </c>
      <c r="C816" s="4"/>
      <c r="D816" s="4"/>
      <c r="E816" s="77" t="s">
        <v>3393</v>
      </c>
      <c r="F816" s="5" t="s">
        <v>3394</v>
      </c>
      <c r="G816" s="5" t="s">
        <v>3395</v>
      </c>
      <c r="H816" s="5" t="s">
        <v>267</v>
      </c>
      <c r="I816" s="5" t="s">
        <v>10</v>
      </c>
      <c r="J816" s="5" t="s">
        <v>642</v>
      </c>
      <c r="K816" s="105">
        <v>4360</v>
      </c>
      <c r="L816" s="63"/>
      <c r="M816" s="63"/>
      <c r="N816" s="63"/>
      <c r="O816" s="63"/>
      <c r="P816" s="63"/>
      <c r="Q816" s="63"/>
      <c r="R816" s="100">
        <f t="shared" si="24"/>
        <v>0</v>
      </c>
      <c r="S816" s="100">
        <f t="shared" si="25"/>
        <v>0</v>
      </c>
      <c r="T816" s="37"/>
      <c r="U816" s="37"/>
      <c r="V816" s="37"/>
      <c r="W816" s="37"/>
      <c r="X816" s="37"/>
      <c r="Y816" s="37"/>
      <c r="Z816" s="37"/>
      <c r="AA816" s="37"/>
    </row>
    <row r="817" spans="1:27" ht="19.5" customHeight="1">
      <c r="A817" s="2">
        <v>808</v>
      </c>
      <c r="B817" s="77" t="s">
        <v>3396</v>
      </c>
      <c r="C817" s="4"/>
      <c r="D817" s="4"/>
      <c r="E817" s="77" t="s">
        <v>3397</v>
      </c>
      <c r="F817" s="5" t="s">
        <v>2431</v>
      </c>
      <c r="G817" s="2" t="s">
        <v>3398</v>
      </c>
      <c r="H817" s="5" t="s">
        <v>3399</v>
      </c>
      <c r="I817" s="7" t="s">
        <v>18</v>
      </c>
      <c r="J817" s="5" t="s">
        <v>3400</v>
      </c>
      <c r="K817" s="105">
        <v>21000</v>
      </c>
      <c r="L817" s="63">
        <v>2</v>
      </c>
      <c r="M817" s="63"/>
      <c r="N817" s="63"/>
      <c r="O817" s="63"/>
      <c r="P817" s="63"/>
      <c r="Q817" s="63"/>
      <c r="R817" s="100">
        <f t="shared" si="24"/>
        <v>2</v>
      </c>
      <c r="S817" s="100">
        <f t="shared" si="25"/>
        <v>-2</v>
      </c>
      <c r="T817" s="37"/>
      <c r="U817" s="37"/>
      <c r="V817" s="37"/>
      <c r="W817" s="37"/>
      <c r="X817" s="37"/>
      <c r="Y817" s="37"/>
      <c r="Z817" s="37"/>
      <c r="AA817" s="37"/>
    </row>
    <row r="818" spans="1:27" ht="19.5" customHeight="1">
      <c r="A818" s="2">
        <v>809</v>
      </c>
      <c r="B818" s="11" t="s">
        <v>1029</v>
      </c>
      <c r="C818" s="11"/>
      <c r="D818" s="11"/>
      <c r="E818" s="11" t="s">
        <v>1385</v>
      </c>
      <c r="F818" s="2" t="s">
        <v>3401</v>
      </c>
      <c r="G818" s="2" t="s">
        <v>3402</v>
      </c>
      <c r="H818" s="2" t="s">
        <v>1386</v>
      </c>
      <c r="I818" s="2" t="s">
        <v>10</v>
      </c>
      <c r="J818" s="2" t="s">
        <v>647</v>
      </c>
      <c r="K818" s="105">
        <v>1344</v>
      </c>
      <c r="L818" s="63">
        <v>2</v>
      </c>
      <c r="M818" s="63"/>
      <c r="N818" s="63"/>
      <c r="O818" s="63"/>
      <c r="P818" s="63"/>
      <c r="Q818" s="63"/>
      <c r="R818" s="100">
        <f t="shared" si="24"/>
        <v>2</v>
      </c>
      <c r="S818" s="100">
        <f t="shared" si="25"/>
        <v>-2</v>
      </c>
    </row>
    <row r="819" spans="1:27" ht="19.5" customHeight="1">
      <c r="A819" s="2">
        <v>810</v>
      </c>
      <c r="B819" s="11" t="s">
        <v>1029</v>
      </c>
      <c r="C819" s="4"/>
      <c r="D819" s="4"/>
      <c r="E819" s="11" t="s">
        <v>1387</v>
      </c>
      <c r="F819" s="2" t="s">
        <v>1389</v>
      </c>
      <c r="G819" s="2" t="s">
        <v>360</v>
      </c>
      <c r="H819" s="2" t="s">
        <v>1388</v>
      </c>
      <c r="I819" s="2" t="s">
        <v>11</v>
      </c>
      <c r="J819" s="2" t="s">
        <v>1336</v>
      </c>
      <c r="K819" s="105">
        <v>2370</v>
      </c>
      <c r="L819" s="63">
        <v>2152</v>
      </c>
      <c r="M819" s="63"/>
      <c r="N819" s="63"/>
      <c r="O819" s="63"/>
      <c r="P819" s="63"/>
      <c r="Q819" s="63"/>
      <c r="R819" s="100">
        <f t="shared" si="24"/>
        <v>2152</v>
      </c>
      <c r="S819" s="100">
        <f t="shared" si="25"/>
        <v>-2152</v>
      </c>
    </row>
    <row r="820" spans="1:27" ht="19.5" customHeight="1">
      <c r="A820" s="2">
        <v>811</v>
      </c>
      <c r="B820" s="71" t="s">
        <v>3339</v>
      </c>
      <c r="C820" s="4"/>
      <c r="D820" s="4"/>
      <c r="E820" s="11" t="s">
        <v>1387</v>
      </c>
      <c r="F820" s="2" t="s">
        <v>3403</v>
      </c>
      <c r="G820" s="2" t="s">
        <v>3402</v>
      </c>
      <c r="H820" s="2" t="s">
        <v>1388</v>
      </c>
      <c r="I820" s="2" t="s">
        <v>11</v>
      </c>
      <c r="J820" s="2" t="s">
        <v>647</v>
      </c>
      <c r="K820" s="105">
        <v>2568</v>
      </c>
      <c r="L820" s="63">
        <v>14</v>
      </c>
      <c r="M820" s="63"/>
      <c r="N820" s="63"/>
      <c r="O820" s="63"/>
      <c r="P820" s="63"/>
      <c r="Q820" s="63"/>
      <c r="R820" s="100">
        <f t="shared" si="24"/>
        <v>14</v>
      </c>
      <c r="S820" s="100">
        <f t="shared" si="25"/>
        <v>-14</v>
      </c>
    </row>
    <row r="821" spans="1:27" ht="19.5" customHeight="1">
      <c r="A821" s="2">
        <v>812</v>
      </c>
      <c r="B821" s="77" t="s">
        <v>3404</v>
      </c>
      <c r="C821" s="4"/>
      <c r="D821" s="4"/>
      <c r="E821" s="77" t="s">
        <v>3405</v>
      </c>
      <c r="F821" s="5" t="s">
        <v>3406</v>
      </c>
      <c r="G821" s="5" t="s">
        <v>3407</v>
      </c>
      <c r="H821" s="5" t="s">
        <v>1173</v>
      </c>
      <c r="I821" s="5" t="s">
        <v>10</v>
      </c>
      <c r="J821" s="5" t="s">
        <v>647</v>
      </c>
      <c r="K821" s="105">
        <v>1050</v>
      </c>
      <c r="L821" s="63"/>
      <c r="M821" s="63"/>
      <c r="N821" s="63"/>
      <c r="O821" s="63"/>
      <c r="P821" s="63"/>
      <c r="Q821" s="63"/>
      <c r="R821" s="100">
        <f t="shared" si="24"/>
        <v>0</v>
      </c>
      <c r="S821" s="100">
        <f t="shared" si="25"/>
        <v>0</v>
      </c>
      <c r="T821" s="37"/>
      <c r="U821" s="37"/>
      <c r="V821" s="37"/>
      <c r="W821" s="37"/>
      <c r="X821" s="37"/>
      <c r="Y821" s="37"/>
      <c r="Z821" s="37"/>
      <c r="AA821" s="37"/>
    </row>
    <row r="822" spans="1:27" ht="19.5" customHeight="1">
      <c r="A822" s="2">
        <v>813</v>
      </c>
      <c r="B822" s="64" t="s">
        <v>428</v>
      </c>
      <c r="C822" s="3"/>
      <c r="D822" s="3"/>
      <c r="E822" s="11" t="s">
        <v>3408</v>
      </c>
      <c r="F822" s="2" t="s">
        <v>431</v>
      </c>
      <c r="G822" s="2" t="s">
        <v>432</v>
      </c>
      <c r="H822" s="2" t="s">
        <v>429</v>
      </c>
      <c r="I822" s="2" t="s">
        <v>14</v>
      </c>
      <c r="J822" s="2" t="s">
        <v>430</v>
      </c>
      <c r="K822" s="105">
        <v>6845</v>
      </c>
      <c r="L822" s="63">
        <v>190</v>
      </c>
      <c r="M822" s="63"/>
      <c r="N822" s="63"/>
      <c r="O822" s="63"/>
      <c r="P822" s="63"/>
      <c r="Q822" s="63"/>
      <c r="R822" s="100">
        <f t="shared" si="24"/>
        <v>190</v>
      </c>
      <c r="S822" s="100">
        <f t="shared" si="25"/>
        <v>-190</v>
      </c>
    </row>
    <row r="823" spans="1:27" ht="19.5" customHeight="1">
      <c r="A823" s="2">
        <v>814</v>
      </c>
      <c r="B823" s="11" t="s">
        <v>855</v>
      </c>
      <c r="C823" s="4"/>
      <c r="D823" s="4"/>
      <c r="E823" s="69" t="s">
        <v>856</v>
      </c>
      <c r="F823" s="2" t="s">
        <v>857</v>
      </c>
      <c r="G823" s="2" t="s">
        <v>2785</v>
      </c>
      <c r="H823" s="2" t="s">
        <v>641</v>
      </c>
      <c r="I823" s="2" t="s">
        <v>11</v>
      </c>
      <c r="J823" s="2" t="s">
        <v>647</v>
      </c>
      <c r="K823" s="105">
        <v>2450</v>
      </c>
      <c r="L823" s="63">
        <v>2</v>
      </c>
      <c r="M823" s="63"/>
      <c r="N823" s="63"/>
      <c r="O823" s="63"/>
      <c r="P823" s="63"/>
      <c r="Q823" s="63"/>
      <c r="R823" s="100">
        <f t="shared" si="24"/>
        <v>2</v>
      </c>
      <c r="S823" s="100">
        <f t="shared" si="25"/>
        <v>-2</v>
      </c>
    </row>
    <row r="824" spans="1:27" ht="19.5" customHeight="1">
      <c r="A824" s="2">
        <v>815</v>
      </c>
      <c r="B824" s="11" t="s">
        <v>1311</v>
      </c>
      <c r="C824" s="4"/>
      <c r="D824" s="4"/>
      <c r="E824" s="11" t="s">
        <v>1720</v>
      </c>
      <c r="F824" s="2" t="s">
        <v>1721</v>
      </c>
      <c r="G824" s="2" t="s">
        <v>1170</v>
      </c>
      <c r="H824" s="2" t="s">
        <v>1313</v>
      </c>
      <c r="I824" s="2" t="s">
        <v>11</v>
      </c>
      <c r="J824" s="2" t="s">
        <v>1718</v>
      </c>
      <c r="K824" s="105">
        <v>1400</v>
      </c>
      <c r="L824" s="63">
        <v>19956</v>
      </c>
      <c r="M824" s="63"/>
      <c r="N824" s="63"/>
      <c r="O824" s="63"/>
      <c r="P824" s="63"/>
      <c r="Q824" s="63"/>
      <c r="R824" s="100">
        <f t="shared" si="24"/>
        <v>19956</v>
      </c>
      <c r="S824" s="100">
        <f t="shared" si="25"/>
        <v>-19956</v>
      </c>
    </row>
    <row r="825" spans="1:27" ht="19.5" customHeight="1">
      <c r="A825" s="2">
        <v>816</v>
      </c>
      <c r="B825" s="67" t="s">
        <v>788</v>
      </c>
      <c r="C825" s="4"/>
      <c r="D825" s="4"/>
      <c r="E825" s="11" t="s">
        <v>789</v>
      </c>
      <c r="F825" s="2" t="s">
        <v>790</v>
      </c>
      <c r="G825" s="2" t="s">
        <v>791</v>
      </c>
      <c r="H825" s="2" t="s">
        <v>369</v>
      </c>
      <c r="I825" s="2" t="s">
        <v>11</v>
      </c>
      <c r="J825" s="2" t="s">
        <v>778</v>
      </c>
      <c r="K825" s="105">
        <v>5670</v>
      </c>
      <c r="L825" s="63">
        <v>127</v>
      </c>
      <c r="M825" s="63"/>
      <c r="N825" s="63"/>
      <c r="O825" s="63"/>
      <c r="P825" s="63"/>
      <c r="Q825" s="63"/>
      <c r="R825" s="100">
        <f t="shared" si="24"/>
        <v>127</v>
      </c>
      <c r="S825" s="100">
        <f t="shared" si="25"/>
        <v>-127</v>
      </c>
    </row>
    <row r="826" spans="1:27" ht="19.5" customHeight="1">
      <c r="A826" s="2">
        <v>817</v>
      </c>
      <c r="B826" s="67" t="s">
        <v>638</v>
      </c>
      <c r="C826" s="4"/>
      <c r="D826" s="4"/>
      <c r="E826" s="11" t="s">
        <v>1997</v>
      </c>
      <c r="F826" s="2" t="s">
        <v>1998</v>
      </c>
      <c r="G826" s="2" t="s">
        <v>1946</v>
      </c>
      <c r="H826" s="2" t="s">
        <v>429</v>
      </c>
      <c r="I826" s="2" t="s">
        <v>1258</v>
      </c>
      <c r="J826" s="2" t="s">
        <v>1948</v>
      </c>
      <c r="K826" s="105">
        <v>1550</v>
      </c>
      <c r="L826" s="63">
        <v>7889</v>
      </c>
      <c r="M826" s="63"/>
      <c r="N826" s="63"/>
      <c r="O826" s="63"/>
      <c r="P826" s="63"/>
      <c r="Q826" s="63"/>
      <c r="R826" s="100">
        <f t="shared" si="24"/>
        <v>7889</v>
      </c>
      <c r="S826" s="100">
        <f t="shared" si="25"/>
        <v>-7889</v>
      </c>
    </row>
    <row r="827" spans="1:27" ht="19.5" customHeight="1">
      <c r="A827" s="2">
        <v>818</v>
      </c>
      <c r="B827" s="11" t="s">
        <v>3409</v>
      </c>
      <c r="C827" s="11"/>
      <c r="D827" s="11"/>
      <c r="E827" s="11" t="s">
        <v>3410</v>
      </c>
      <c r="F827" s="2" t="s">
        <v>3411</v>
      </c>
      <c r="G827" s="2" t="s">
        <v>3412</v>
      </c>
      <c r="H827" s="2" t="s">
        <v>225</v>
      </c>
      <c r="I827" s="2" t="s">
        <v>10</v>
      </c>
      <c r="J827" s="2" t="s">
        <v>642</v>
      </c>
      <c r="K827" s="105">
        <v>186</v>
      </c>
      <c r="L827" s="63">
        <v>0</v>
      </c>
      <c r="M827" s="63"/>
      <c r="N827" s="63"/>
      <c r="O827" s="63"/>
      <c r="P827" s="63"/>
      <c r="Q827" s="63"/>
      <c r="R827" s="100">
        <f t="shared" si="24"/>
        <v>0</v>
      </c>
      <c r="S827" s="100">
        <f t="shared" si="25"/>
        <v>0</v>
      </c>
    </row>
    <row r="828" spans="1:27" ht="19.5" customHeight="1">
      <c r="A828" s="2">
        <v>819</v>
      </c>
      <c r="B828" s="11" t="s">
        <v>841</v>
      </c>
      <c r="C828" s="11"/>
      <c r="D828" s="11"/>
      <c r="E828" s="11" t="s">
        <v>3413</v>
      </c>
      <c r="F828" s="2" t="s">
        <v>3414</v>
      </c>
      <c r="G828" s="2" t="s">
        <v>3412</v>
      </c>
      <c r="H828" s="2" t="s">
        <v>3415</v>
      </c>
      <c r="I828" s="2" t="s">
        <v>10</v>
      </c>
      <c r="J828" s="2" t="s">
        <v>642</v>
      </c>
      <c r="K828" s="105">
        <v>264</v>
      </c>
      <c r="L828" s="63">
        <v>0</v>
      </c>
      <c r="M828" s="63"/>
      <c r="N828" s="63"/>
      <c r="O828" s="63"/>
      <c r="P828" s="63"/>
      <c r="Q828" s="63"/>
      <c r="R828" s="100">
        <f t="shared" si="24"/>
        <v>0</v>
      </c>
      <c r="S828" s="100">
        <f t="shared" si="25"/>
        <v>0</v>
      </c>
    </row>
    <row r="829" spans="1:27" ht="19.5" customHeight="1">
      <c r="A829" s="2">
        <v>820</v>
      </c>
      <c r="B829" s="11" t="s">
        <v>689</v>
      </c>
      <c r="C829" s="4"/>
      <c r="D829" s="4"/>
      <c r="E829" s="11" t="s">
        <v>690</v>
      </c>
      <c r="F829" s="2" t="s">
        <v>693</v>
      </c>
      <c r="G829" s="2" t="s">
        <v>694</v>
      </c>
      <c r="H829" s="2" t="s">
        <v>691</v>
      </c>
      <c r="I829" s="2" t="s">
        <v>12</v>
      </c>
      <c r="J829" s="2" t="s">
        <v>692</v>
      </c>
      <c r="K829" s="105">
        <v>8190</v>
      </c>
      <c r="L829" s="63">
        <v>9049</v>
      </c>
      <c r="M829" s="63"/>
      <c r="N829" s="63"/>
      <c r="O829" s="63"/>
      <c r="P829" s="63"/>
      <c r="Q829" s="63"/>
      <c r="R829" s="100">
        <f t="shared" si="24"/>
        <v>9049</v>
      </c>
      <c r="S829" s="100">
        <f t="shared" si="25"/>
        <v>-9049</v>
      </c>
    </row>
    <row r="830" spans="1:27" ht="19.5" customHeight="1">
      <c r="A830" s="2">
        <v>821</v>
      </c>
      <c r="B830" s="67" t="s">
        <v>689</v>
      </c>
      <c r="C830" s="4"/>
      <c r="D830" s="4"/>
      <c r="E830" s="11" t="s">
        <v>1259</v>
      </c>
      <c r="F830" s="2" t="s">
        <v>1262</v>
      </c>
      <c r="G830" s="2" t="s">
        <v>1263</v>
      </c>
      <c r="H830" s="2" t="s">
        <v>1260</v>
      </c>
      <c r="I830" s="2" t="s">
        <v>10</v>
      </c>
      <c r="J830" s="2" t="s">
        <v>1261</v>
      </c>
      <c r="K830" s="105">
        <v>4980</v>
      </c>
      <c r="L830" s="63">
        <v>5506</v>
      </c>
      <c r="M830" s="63"/>
      <c r="N830" s="63"/>
      <c r="O830" s="63"/>
      <c r="P830" s="63"/>
      <c r="Q830" s="63"/>
      <c r="R830" s="100">
        <f t="shared" si="24"/>
        <v>5506</v>
      </c>
      <c r="S830" s="100">
        <f t="shared" si="25"/>
        <v>-5506</v>
      </c>
    </row>
    <row r="831" spans="1:27" ht="19.5" customHeight="1">
      <c r="A831" s="2">
        <v>822</v>
      </c>
      <c r="B831" s="11" t="s">
        <v>3217</v>
      </c>
      <c r="C831" s="11"/>
      <c r="D831" s="11"/>
      <c r="E831" s="11" t="s">
        <v>3416</v>
      </c>
      <c r="F831" s="2" t="s">
        <v>3417</v>
      </c>
      <c r="G831" s="2" t="s">
        <v>3418</v>
      </c>
      <c r="H831" s="2" t="s">
        <v>2556</v>
      </c>
      <c r="I831" s="2" t="s">
        <v>10</v>
      </c>
      <c r="J831" s="2" t="s">
        <v>778</v>
      </c>
      <c r="K831" s="105">
        <v>3800</v>
      </c>
      <c r="L831" s="63">
        <v>38</v>
      </c>
      <c r="M831" s="63"/>
      <c r="N831" s="63"/>
      <c r="O831" s="63"/>
      <c r="P831" s="63"/>
      <c r="Q831" s="63"/>
      <c r="R831" s="100">
        <f t="shared" si="24"/>
        <v>38</v>
      </c>
      <c r="S831" s="100">
        <f t="shared" si="25"/>
        <v>-38</v>
      </c>
    </row>
    <row r="832" spans="1:27" ht="19.5" customHeight="1">
      <c r="A832" s="2">
        <v>823</v>
      </c>
      <c r="B832" s="64" t="s">
        <v>531</v>
      </c>
      <c r="C832" s="3"/>
      <c r="D832" s="3"/>
      <c r="E832" s="11" t="s">
        <v>535</v>
      </c>
      <c r="F832" s="2" t="s">
        <v>536</v>
      </c>
      <c r="G832" s="2" t="s">
        <v>537</v>
      </c>
      <c r="H832" s="2" t="s">
        <v>533</v>
      </c>
      <c r="I832" s="2" t="s">
        <v>520</v>
      </c>
      <c r="J832" s="2" t="s">
        <v>2654</v>
      </c>
      <c r="K832" s="105">
        <v>4500</v>
      </c>
      <c r="L832" s="63">
        <v>171</v>
      </c>
      <c r="M832" s="63"/>
      <c r="N832" s="63"/>
      <c r="O832" s="63"/>
      <c r="P832" s="63"/>
      <c r="Q832" s="63"/>
      <c r="R832" s="100">
        <f t="shared" si="24"/>
        <v>171</v>
      </c>
      <c r="S832" s="100">
        <f t="shared" si="25"/>
        <v>-171</v>
      </c>
    </row>
    <row r="833" spans="1:19" ht="19.5" customHeight="1">
      <c r="A833" s="2">
        <v>824</v>
      </c>
      <c r="B833" s="11" t="s">
        <v>813</v>
      </c>
      <c r="C833" s="11"/>
      <c r="D833" s="11"/>
      <c r="E833" s="11" t="s">
        <v>2557</v>
      </c>
      <c r="F833" s="2" t="s">
        <v>3419</v>
      </c>
      <c r="G833" s="2" t="s">
        <v>2965</v>
      </c>
      <c r="H833" s="2" t="s">
        <v>299</v>
      </c>
      <c r="I833" s="2" t="s">
        <v>10</v>
      </c>
      <c r="J833" s="2" t="s">
        <v>541</v>
      </c>
      <c r="K833" s="105">
        <v>2000</v>
      </c>
      <c r="L833" s="63">
        <v>1574</v>
      </c>
      <c r="M833" s="63"/>
      <c r="N833" s="63"/>
      <c r="O833" s="63"/>
      <c r="P833" s="63"/>
      <c r="Q833" s="63"/>
      <c r="R833" s="100">
        <f t="shared" si="24"/>
        <v>1574</v>
      </c>
      <c r="S833" s="100">
        <f t="shared" si="25"/>
        <v>-1574</v>
      </c>
    </row>
    <row r="834" spans="1:19" ht="19.5" customHeight="1">
      <c r="A834" s="2">
        <v>825</v>
      </c>
      <c r="B834" s="67" t="s">
        <v>797</v>
      </c>
      <c r="C834" s="4"/>
      <c r="D834" s="4"/>
      <c r="E834" s="11" t="s">
        <v>798</v>
      </c>
      <c r="F834" s="2" t="s">
        <v>800</v>
      </c>
      <c r="G834" s="2" t="s">
        <v>801</v>
      </c>
      <c r="H834" s="2" t="s">
        <v>799</v>
      </c>
      <c r="I834" s="2" t="s">
        <v>520</v>
      </c>
      <c r="J834" s="2" t="s">
        <v>241</v>
      </c>
      <c r="K834" s="105">
        <v>16300</v>
      </c>
      <c r="L834" s="63">
        <v>30</v>
      </c>
      <c r="M834" s="63"/>
      <c r="N834" s="63"/>
      <c r="O834" s="63"/>
      <c r="P834" s="63"/>
      <c r="Q834" s="63"/>
      <c r="R834" s="100">
        <f t="shared" si="24"/>
        <v>30</v>
      </c>
      <c r="S834" s="100">
        <f t="shared" si="25"/>
        <v>-30</v>
      </c>
    </row>
    <row r="835" spans="1:19" ht="19.5" customHeight="1">
      <c r="A835" s="2">
        <v>826</v>
      </c>
      <c r="B835" s="11" t="s">
        <v>3420</v>
      </c>
      <c r="C835" s="4"/>
      <c r="D835" s="4"/>
      <c r="E835" s="11" t="s">
        <v>1080</v>
      </c>
      <c r="F835" s="2" t="s">
        <v>1083</v>
      </c>
      <c r="G835" s="2" t="s">
        <v>336</v>
      </c>
      <c r="H835" s="2" t="s">
        <v>1081</v>
      </c>
      <c r="I835" s="2" t="s">
        <v>10</v>
      </c>
      <c r="J835" s="2" t="s">
        <v>1082</v>
      </c>
      <c r="K835" s="105">
        <v>420</v>
      </c>
      <c r="L835" s="63">
        <v>8</v>
      </c>
      <c r="M835" s="63"/>
      <c r="N835" s="63"/>
      <c r="O835" s="63"/>
      <c r="P835" s="63"/>
      <c r="Q835" s="63"/>
      <c r="R835" s="100">
        <f t="shared" si="24"/>
        <v>8</v>
      </c>
      <c r="S835" s="100">
        <f t="shared" si="25"/>
        <v>-8</v>
      </c>
    </row>
    <row r="836" spans="1:19" ht="19.5" customHeight="1">
      <c r="A836" s="2">
        <v>827</v>
      </c>
      <c r="B836" s="67" t="s">
        <v>2323</v>
      </c>
      <c r="C836" s="4"/>
      <c r="D836" s="4"/>
      <c r="E836" s="11" t="s">
        <v>169</v>
      </c>
      <c r="F836" s="2" t="s">
        <v>2324</v>
      </c>
      <c r="G836" s="2" t="s">
        <v>2325</v>
      </c>
      <c r="H836" s="2" t="s">
        <v>171</v>
      </c>
      <c r="I836" s="2" t="s">
        <v>10</v>
      </c>
      <c r="J836" s="2" t="s">
        <v>884</v>
      </c>
      <c r="K836" s="105">
        <v>3450</v>
      </c>
      <c r="L836" s="63">
        <v>11348</v>
      </c>
      <c r="M836" s="63"/>
      <c r="N836" s="63"/>
      <c r="O836" s="63"/>
      <c r="P836" s="63"/>
      <c r="Q836" s="63"/>
      <c r="R836" s="100">
        <f t="shared" si="24"/>
        <v>11348</v>
      </c>
      <c r="S836" s="100">
        <f t="shared" si="25"/>
        <v>-11348</v>
      </c>
    </row>
    <row r="837" spans="1:19" ht="19.5" customHeight="1">
      <c r="A837" s="2">
        <v>828</v>
      </c>
      <c r="B837" s="64" t="s">
        <v>371</v>
      </c>
      <c r="C837" s="3"/>
      <c r="D837" s="3"/>
      <c r="E837" s="11" t="s">
        <v>486</v>
      </c>
      <c r="F837" s="2" t="s">
        <v>487</v>
      </c>
      <c r="G837" s="2" t="s">
        <v>488</v>
      </c>
      <c r="H837" s="2" t="s">
        <v>248</v>
      </c>
      <c r="I837" s="2" t="s">
        <v>10</v>
      </c>
      <c r="J837" s="2" t="s">
        <v>647</v>
      </c>
      <c r="K837" s="105">
        <v>399</v>
      </c>
      <c r="L837" s="63">
        <v>9004</v>
      </c>
      <c r="M837" s="63"/>
      <c r="N837" s="63"/>
      <c r="O837" s="63"/>
      <c r="P837" s="63"/>
      <c r="Q837" s="63"/>
      <c r="R837" s="100">
        <f t="shared" si="24"/>
        <v>9004</v>
      </c>
      <c r="S837" s="100">
        <f t="shared" si="25"/>
        <v>-9004</v>
      </c>
    </row>
    <row r="838" spans="1:19" ht="19.5" customHeight="1">
      <c r="A838" s="2">
        <v>829</v>
      </c>
      <c r="B838" s="11" t="s">
        <v>371</v>
      </c>
      <c r="C838" s="11"/>
      <c r="D838" s="11"/>
      <c r="E838" s="11" t="s">
        <v>486</v>
      </c>
      <c r="F838" s="2" t="s">
        <v>3421</v>
      </c>
      <c r="G838" s="2" t="s">
        <v>3422</v>
      </c>
      <c r="H838" s="2" t="s">
        <v>248</v>
      </c>
      <c r="I838" s="2" t="s">
        <v>11</v>
      </c>
      <c r="J838" s="2" t="s">
        <v>642</v>
      </c>
      <c r="K838" s="105">
        <v>483</v>
      </c>
      <c r="L838" s="63">
        <v>2</v>
      </c>
      <c r="M838" s="63"/>
      <c r="N838" s="63"/>
      <c r="O838" s="63"/>
      <c r="P838" s="63"/>
      <c r="Q838" s="63"/>
      <c r="R838" s="100">
        <f t="shared" si="24"/>
        <v>2</v>
      </c>
      <c r="S838" s="100">
        <f t="shared" si="25"/>
        <v>-2</v>
      </c>
    </row>
    <row r="839" spans="1:19" ht="19.5" customHeight="1">
      <c r="A839" s="2">
        <v>830</v>
      </c>
      <c r="B839" s="11" t="s">
        <v>2360</v>
      </c>
      <c r="C839" s="4"/>
      <c r="D839" s="4"/>
      <c r="E839" s="11" t="s">
        <v>172</v>
      </c>
      <c r="F839" s="79" t="s">
        <v>2361</v>
      </c>
      <c r="G839" s="79" t="s">
        <v>1567</v>
      </c>
      <c r="H839" s="2" t="s">
        <v>17</v>
      </c>
      <c r="I839" s="2" t="s">
        <v>10</v>
      </c>
      <c r="J839" s="2" t="s">
        <v>1026</v>
      </c>
      <c r="K839" s="105">
        <v>6300</v>
      </c>
      <c r="L839" s="63">
        <v>4307</v>
      </c>
      <c r="M839" s="63"/>
      <c r="N839" s="63"/>
      <c r="O839" s="63"/>
      <c r="P839" s="63"/>
      <c r="Q839" s="63"/>
      <c r="R839" s="100">
        <f t="shared" si="24"/>
        <v>4307</v>
      </c>
      <c r="S839" s="100">
        <f t="shared" si="25"/>
        <v>-4307</v>
      </c>
    </row>
    <row r="840" spans="1:19" ht="19.5" customHeight="1">
      <c r="A840" s="2">
        <v>831</v>
      </c>
      <c r="B840" s="11" t="s">
        <v>1838</v>
      </c>
      <c r="C840" s="4"/>
      <c r="D840" s="4"/>
      <c r="E840" s="74" t="s">
        <v>1839</v>
      </c>
      <c r="F840" s="19" t="s">
        <v>1840</v>
      </c>
      <c r="G840" s="2" t="s">
        <v>1841</v>
      </c>
      <c r="H840" s="19" t="s">
        <v>334</v>
      </c>
      <c r="I840" s="2" t="s">
        <v>10</v>
      </c>
      <c r="J840" s="19" t="s">
        <v>1153</v>
      </c>
      <c r="K840" s="105">
        <v>1350</v>
      </c>
      <c r="L840" s="63">
        <v>6700</v>
      </c>
      <c r="M840" s="63"/>
      <c r="N840" s="63"/>
      <c r="O840" s="63"/>
      <c r="P840" s="63"/>
      <c r="Q840" s="63"/>
      <c r="R840" s="100">
        <f t="shared" si="24"/>
        <v>6700</v>
      </c>
      <c r="S840" s="100">
        <f t="shared" si="25"/>
        <v>-6700</v>
      </c>
    </row>
    <row r="841" spans="1:19" ht="19.5" customHeight="1">
      <c r="A841" s="2">
        <v>832</v>
      </c>
      <c r="B841" s="70" t="s">
        <v>2058</v>
      </c>
      <c r="C841" s="4"/>
      <c r="D841" s="4"/>
      <c r="E841" s="11" t="s">
        <v>2060</v>
      </c>
      <c r="F841" s="2" t="s">
        <v>2061</v>
      </c>
      <c r="G841" s="2" t="s">
        <v>2059</v>
      </c>
      <c r="H841" s="2" t="s">
        <v>327</v>
      </c>
      <c r="I841" s="2" t="s">
        <v>10</v>
      </c>
      <c r="J841" s="2" t="s">
        <v>626</v>
      </c>
      <c r="K841" s="105">
        <v>4414</v>
      </c>
      <c r="L841" s="63">
        <v>1500</v>
      </c>
      <c r="M841" s="63"/>
      <c r="N841" s="63"/>
      <c r="O841" s="63"/>
      <c r="P841" s="63"/>
      <c r="Q841" s="63"/>
      <c r="R841" s="100">
        <f t="shared" si="24"/>
        <v>1500</v>
      </c>
      <c r="S841" s="100">
        <f t="shared" si="25"/>
        <v>-1500</v>
      </c>
    </row>
    <row r="842" spans="1:19" ht="19.5" customHeight="1">
      <c r="A842" s="2">
        <v>833</v>
      </c>
      <c r="B842" s="70" t="s">
        <v>2043</v>
      </c>
      <c r="C842" s="4"/>
      <c r="D842" s="4"/>
      <c r="E842" s="11" t="s">
        <v>2044</v>
      </c>
      <c r="F842" s="2" t="s">
        <v>2045</v>
      </c>
      <c r="G842" s="2" t="s">
        <v>2046</v>
      </c>
      <c r="H842" s="2" t="s">
        <v>225</v>
      </c>
      <c r="I842" s="2" t="s">
        <v>10</v>
      </c>
      <c r="J842" s="2" t="s">
        <v>626</v>
      </c>
      <c r="K842" s="105">
        <v>4612</v>
      </c>
      <c r="L842" s="63">
        <v>1464</v>
      </c>
      <c r="M842" s="63"/>
      <c r="N842" s="63"/>
      <c r="O842" s="63"/>
      <c r="P842" s="63"/>
      <c r="Q842" s="63"/>
      <c r="R842" s="100">
        <f t="shared" si="24"/>
        <v>1464</v>
      </c>
      <c r="S842" s="100">
        <f t="shared" si="25"/>
        <v>-1464</v>
      </c>
    </row>
    <row r="843" spans="1:19" ht="19.5" customHeight="1">
      <c r="A843" s="2">
        <v>834</v>
      </c>
      <c r="B843" s="70" t="s">
        <v>2038</v>
      </c>
      <c r="C843" s="4"/>
      <c r="D843" s="4"/>
      <c r="E843" s="11" t="s">
        <v>2039</v>
      </c>
      <c r="F843" s="2" t="s">
        <v>2041</v>
      </c>
      <c r="G843" s="2" t="s">
        <v>2042</v>
      </c>
      <c r="H843" s="2" t="s">
        <v>770</v>
      </c>
      <c r="I843" s="2" t="s">
        <v>628</v>
      </c>
      <c r="J843" s="2" t="s">
        <v>2040</v>
      </c>
      <c r="K843" s="105">
        <v>13698</v>
      </c>
      <c r="L843" s="63">
        <v>263</v>
      </c>
      <c r="M843" s="63"/>
      <c r="N843" s="63"/>
      <c r="O843" s="63"/>
      <c r="P843" s="63"/>
      <c r="Q843" s="63"/>
      <c r="R843" s="100">
        <f t="shared" ref="R843:R906" si="26">L843+M843-O843</f>
        <v>263</v>
      </c>
      <c r="S843" s="100">
        <f t="shared" ref="S843:S906" si="27">Q843-R843</f>
        <v>-263</v>
      </c>
    </row>
    <row r="844" spans="1:19" ht="19.5" customHeight="1">
      <c r="A844" s="2">
        <v>835</v>
      </c>
      <c r="B844" s="64" t="s">
        <v>227</v>
      </c>
      <c r="C844" s="3"/>
      <c r="D844" s="3"/>
      <c r="E844" s="11" t="s">
        <v>471</v>
      </c>
      <c r="F844" s="2" t="s">
        <v>472</v>
      </c>
      <c r="G844" s="2" t="s">
        <v>463</v>
      </c>
      <c r="H844" s="2" t="s">
        <v>225</v>
      </c>
      <c r="I844" s="2" t="s">
        <v>10</v>
      </c>
      <c r="J844" s="2" t="s">
        <v>647</v>
      </c>
      <c r="K844" s="105">
        <v>420</v>
      </c>
      <c r="L844" s="63">
        <v>43463</v>
      </c>
      <c r="M844" s="63"/>
      <c r="N844" s="63"/>
      <c r="O844" s="63"/>
      <c r="P844" s="63"/>
      <c r="Q844" s="63"/>
      <c r="R844" s="100">
        <f t="shared" si="26"/>
        <v>43463</v>
      </c>
      <c r="S844" s="100">
        <f t="shared" si="27"/>
        <v>-43463</v>
      </c>
    </row>
    <row r="845" spans="1:19" ht="19.5" customHeight="1">
      <c r="A845" s="2">
        <v>836</v>
      </c>
      <c r="B845" s="11" t="s">
        <v>706</v>
      </c>
      <c r="C845" s="11"/>
      <c r="D845" s="11"/>
      <c r="E845" s="11" t="s">
        <v>1520</v>
      </c>
      <c r="F845" s="2" t="s">
        <v>1521</v>
      </c>
      <c r="G845" s="2" t="s">
        <v>3423</v>
      </c>
      <c r="H845" s="2" t="s">
        <v>390</v>
      </c>
      <c r="I845" s="2" t="s">
        <v>11</v>
      </c>
      <c r="J845" s="2" t="s">
        <v>547</v>
      </c>
      <c r="K845" s="105">
        <v>2160</v>
      </c>
      <c r="L845" s="63">
        <v>2250</v>
      </c>
      <c r="M845" s="63"/>
      <c r="N845" s="63"/>
      <c r="O845" s="63"/>
      <c r="P845" s="63"/>
      <c r="Q845" s="63"/>
      <c r="R845" s="100">
        <f t="shared" si="26"/>
        <v>2250</v>
      </c>
      <c r="S845" s="100">
        <f t="shared" si="27"/>
        <v>-2250</v>
      </c>
    </row>
    <row r="846" spans="1:19" ht="19.5" customHeight="1">
      <c r="A846" s="2">
        <v>837</v>
      </c>
      <c r="B846" s="11" t="s">
        <v>1902</v>
      </c>
      <c r="C846" s="4"/>
      <c r="D846" s="4"/>
      <c r="E846" s="11" t="s">
        <v>1903</v>
      </c>
      <c r="F846" s="2" t="s">
        <v>1905</v>
      </c>
      <c r="G846" s="2" t="s">
        <v>1867</v>
      </c>
      <c r="H846" s="2" t="s">
        <v>1904</v>
      </c>
      <c r="I846" s="2" t="s">
        <v>10</v>
      </c>
      <c r="J846" s="2" t="s">
        <v>647</v>
      </c>
      <c r="K846" s="105">
        <v>229</v>
      </c>
      <c r="L846" s="63">
        <v>26067</v>
      </c>
      <c r="M846" s="63"/>
      <c r="N846" s="63"/>
      <c r="O846" s="63"/>
      <c r="P846" s="63"/>
      <c r="Q846" s="63"/>
      <c r="R846" s="100">
        <f t="shared" si="26"/>
        <v>26067</v>
      </c>
      <c r="S846" s="100">
        <f t="shared" si="27"/>
        <v>-26067</v>
      </c>
    </row>
    <row r="847" spans="1:19" ht="19.5" customHeight="1">
      <c r="A847" s="2">
        <v>838</v>
      </c>
      <c r="B847" s="11" t="s">
        <v>1938</v>
      </c>
      <c r="C847" s="11"/>
      <c r="D847" s="11"/>
      <c r="E847" s="11" t="s">
        <v>1939</v>
      </c>
      <c r="F847" s="2" t="s">
        <v>3424</v>
      </c>
      <c r="G847" s="2" t="s">
        <v>3032</v>
      </c>
      <c r="H847" s="2" t="s">
        <v>2591</v>
      </c>
      <c r="I847" s="2" t="s">
        <v>11</v>
      </c>
      <c r="J847" s="2" t="s">
        <v>3425</v>
      </c>
      <c r="K847" s="105">
        <v>3570</v>
      </c>
      <c r="L847" s="63">
        <v>33</v>
      </c>
      <c r="M847" s="63"/>
      <c r="N847" s="63"/>
      <c r="O847" s="63"/>
      <c r="P847" s="63"/>
      <c r="Q847" s="63"/>
      <c r="R847" s="100">
        <f t="shared" si="26"/>
        <v>33</v>
      </c>
      <c r="S847" s="100">
        <f t="shared" si="27"/>
        <v>-33</v>
      </c>
    </row>
    <row r="848" spans="1:19" ht="19.5" customHeight="1">
      <c r="A848" s="2">
        <v>839</v>
      </c>
      <c r="B848" s="71" t="s">
        <v>2592</v>
      </c>
      <c r="C848" s="4"/>
      <c r="D848" s="4"/>
      <c r="E848" s="71" t="s">
        <v>3426</v>
      </c>
      <c r="F848" s="2" t="s">
        <v>1940</v>
      </c>
      <c r="G848" s="2" t="s">
        <v>1916</v>
      </c>
      <c r="H848" s="2" t="s">
        <v>225</v>
      </c>
      <c r="I848" s="2" t="s">
        <v>11</v>
      </c>
      <c r="J848" s="2" t="s">
        <v>585</v>
      </c>
      <c r="K848" s="105">
        <v>504</v>
      </c>
      <c r="L848" s="63">
        <v>9</v>
      </c>
      <c r="M848" s="63"/>
      <c r="N848" s="63"/>
      <c r="O848" s="63"/>
      <c r="P848" s="63"/>
      <c r="Q848" s="63"/>
      <c r="R848" s="100">
        <f t="shared" si="26"/>
        <v>9</v>
      </c>
      <c r="S848" s="100">
        <f t="shared" si="27"/>
        <v>-9</v>
      </c>
    </row>
    <row r="849" spans="1:27" ht="19.5" customHeight="1">
      <c r="A849" s="2">
        <v>840</v>
      </c>
      <c r="B849" s="11" t="s">
        <v>3427</v>
      </c>
      <c r="C849" s="11"/>
      <c r="D849" s="11"/>
      <c r="E849" s="11" t="s">
        <v>3428</v>
      </c>
      <c r="F849" s="2" t="s">
        <v>2302</v>
      </c>
      <c r="G849" s="2" t="s">
        <v>2253</v>
      </c>
      <c r="H849" s="2" t="s">
        <v>3429</v>
      </c>
      <c r="I849" s="2" t="s">
        <v>11</v>
      </c>
      <c r="J849" s="2" t="s">
        <v>1350</v>
      </c>
      <c r="K849" s="105">
        <v>780</v>
      </c>
      <c r="L849" s="63">
        <v>0</v>
      </c>
      <c r="M849" s="63"/>
      <c r="N849" s="63"/>
      <c r="O849" s="63"/>
      <c r="P849" s="63"/>
      <c r="Q849" s="63"/>
      <c r="R849" s="100">
        <f t="shared" si="26"/>
        <v>0</v>
      </c>
      <c r="S849" s="100">
        <f t="shared" si="27"/>
        <v>0</v>
      </c>
    </row>
    <row r="850" spans="1:27" ht="19.5" customHeight="1">
      <c r="A850" s="2">
        <v>841</v>
      </c>
      <c r="B850" s="11" t="s">
        <v>3430</v>
      </c>
      <c r="C850" s="11"/>
      <c r="D850" s="11"/>
      <c r="E850" s="11" t="s">
        <v>3431</v>
      </c>
      <c r="F850" s="2" t="s">
        <v>3432</v>
      </c>
      <c r="G850" s="2" t="s">
        <v>3433</v>
      </c>
      <c r="H850" s="2" t="s">
        <v>174</v>
      </c>
      <c r="I850" s="2" t="s">
        <v>11</v>
      </c>
      <c r="J850" s="2" t="s">
        <v>1350</v>
      </c>
      <c r="K850" s="105">
        <v>2000</v>
      </c>
      <c r="L850" s="63">
        <v>0</v>
      </c>
      <c r="M850" s="63"/>
      <c r="N850" s="63"/>
      <c r="O850" s="63"/>
      <c r="P850" s="63"/>
      <c r="Q850" s="63"/>
      <c r="R850" s="100">
        <f t="shared" si="26"/>
        <v>0</v>
      </c>
      <c r="S850" s="100">
        <f t="shared" si="27"/>
        <v>0</v>
      </c>
    </row>
    <row r="851" spans="1:27" ht="19.5" customHeight="1">
      <c r="A851" s="2">
        <v>842</v>
      </c>
      <c r="B851" s="67" t="s">
        <v>2231</v>
      </c>
      <c r="C851" s="4"/>
      <c r="D851" s="4"/>
      <c r="E851" s="67" t="s">
        <v>173</v>
      </c>
      <c r="F851" s="68" t="s">
        <v>2232</v>
      </c>
      <c r="G851" s="68" t="s">
        <v>2206</v>
      </c>
      <c r="H851" s="68" t="s">
        <v>174</v>
      </c>
      <c r="I851" s="2" t="s">
        <v>11</v>
      </c>
      <c r="J851" s="68" t="s">
        <v>2204</v>
      </c>
      <c r="K851" s="105">
        <v>2190</v>
      </c>
      <c r="L851" s="63">
        <v>40</v>
      </c>
      <c r="M851" s="63"/>
      <c r="N851" s="63"/>
      <c r="O851" s="63"/>
      <c r="P851" s="63"/>
      <c r="Q851" s="63"/>
      <c r="R851" s="100">
        <f t="shared" si="26"/>
        <v>40</v>
      </c>
      <c r="S851" s="100">
        <f t="shared" si="27"/>
        <v>-40</v>
      </c>
    </row>
    <row r="852" spans="1:27" ht="19.5" customHeight="1">
      <c r="A852" s="2">
        <v>843</v>
      </c>
      <c r="B852" s="11" t="s">
        <v>1307</v>
      </c>
      <c r="C852" s="11"/>
      <c r="D852" s="11"/>
      <c r="E852" s="11" t="s">
        <v>1308</v>
      </c>
      <c r="F852" s="2" t="s">
        <v>3434</v>
      </c>
      <c r="G852" s="2" t="s">
        <v>360</v>
      </c>
      <c r="H852" s="2" t="s">
        <v>327</v>
      </c>
      <c r="I852" s="2" t="s">
        <v>11</v>
      </c>
      <c r="J852" s="2" t="s">
        <v>647</v>
      </c>
      <c r="K852" s="105">
        <v>62</v>
      </c>
      <c r="L852" s="63">
        <v>0</v>
      </c>
      <c r="M852" s="63"/>
      <c r="N852" s="63"/>
      <c r="O852" s="63"/>
      <c r="P852" s="63"/>
      <c r="Q852" s="63"/>
      <c r="R852" s="100">
        <f t="shared" si="26"/>
        <v>0</v>
      </c>
      <c r="S852" s="100">
        <f t="shared" si="27"/>
        <v>0</v>
      </c>
    </row>
    <row r="853" spans="1:27" ht="19.5" customHeight="1">
      <c r="A853" s="2">
        <v>844</v>
      </c>
      <c r="B853" s="11" t="s">
        <v>1307</v>
      </c>
      <c r="C853" s="4"/>
      <c r="D853" s="4"/>
      <c r="E853" s="11" t="s">
        <v>1308</v>
      </c>
      <c r="F853" s="2" t="s">
        <v>1309</v>
      </c>
      <c r="G853" s="2" t="s">
        <v>360</v>
      </c>
      <c r="H853" s="2" t="s">
        <v>327</v>
      </c>
      <c r="I853" s="2" t="s">
        <v>11</v>
      </c>
      <c r="J853" s="2" t="s">
        <v>647</v>
      </c>
      <c r="K853" s="105">
        <v>72</v>
      </c>
      <c r="L853" s="63">
        <v>2968</v>
      </c>
      <c r="M853" s="63"/>
      <c r="N853" s="63"/>
      <c r="O853" s="63"/>
      <c r="P853" s="63"/>
      <c r="Q853" s="63"/>
      <c r="R853" s="100">
        <f t="shared" si="26"/>
        <v>2968</v>
      </c>
      <c r="S853" s="100">
        <f t="shared" si="27"/>
        <v>-2968</v>
      </c>
    </row>
    <row r="854" spans="1:27" ht="19.5" customHeight="1">
      <c r="A854" s="2">
        <v>845</v>
      </c>
      <c r="B854" s="70" t="s">
        <v>2119</v>
      </c>
      <c r="C854" s="4"/>
      <c r="D854" s="4"/>
      <c r="E854" s="11" t="s">
        <v>2120</v>
      </c>
      <c r="F854" s="2" t="s">
        <v>2121</v>
      </c>
      <c r="G854" s="2" t="s">
        <v>2042</v>
      </c>
      <c r="H854" s="2" t="s">
        <v>258</v>
      </c>
      <c r="I854" s="2" t="s">
        <v>10</v>
      </c>
      <c r="J854" s="2" t="s">
        <v>966</v>
      </c>
      <c r="K854" s="105">
        <v>1636</v>
      </c>
      <c r="L854" s="63">
        <v>309</v>
      </c>
      <c r="M854" s="63"/>
      <c r="N854" s="63"/>
      <c r="O854" s="63"/>
      <c r="P854" s="63"/>
      <c r="Q854" s="63"/>
      <c r="R854" s="100">
        <f t="shared" si="26"/>
        <v>309</v>
      </c>
      <c r="S854" s="100">
        <f t="shared" si="27"/>
        <v>-309</v>
      </c>
    </row>
    <row r="855" spans="1:27" ht="19.5" customHeight="1">
      <c r="A855" s="2">
        <v>846</v>
      </c>
      <c r="B855" s="67" t="s">
        <v>1137</v>
      </c>
      <c r="C855" s="4"/>
      <c r="D855" s="4"/>
      <c r="E855" s="11" t="s">
        <v>1138</v>
      </c>
      <c r="F855" s="2" t="s">
        <v>1139</v>
      </c>
      <c r="G855" s="2" t="s">
        <v>1136</v>
      </c>
      <c r="H855" s="2" t="s">
        <v>248</v>
      </c>
      <c r="I855" s="2" t="s">
        <v>10</v>
      </c>
      <c r="J855" s="2" t="s">
        <v>547</v>
      </c>
      <c r="K855" s="105">
        <v>157</v>
      </c>
      <c r="L855" s="63">
        <v>699</v>
      </c>
      <c r="M855" s="63"/>
      <c r="N855" s="63"/>
      <c r="O855" s="63"/>
      <c r="P855" s="63"/>
      <c r="Q855" s="63"/>
      <c r="R855" s="100">
        <f t="shared" si="26"/>
        <v>699</v>
      </c>
      <c r="S855" s="100">
        <f t="shared" si="27"/>
        <v>-699</v>
      </c>
    </row>
    <row r="856" spans="1:27" ht="19.5" customHeight="1">
      <c r="A856" s="2">
        <v>847</v>
      </c>
      <c r="B856" s="67" t="s">
        <v>178</v>
      </c>
      <c r="C856" s="4"/>
      <c r="D856" s="4"/>
      <c r="E856" s="11" t="s">
        <v>177</v>
      </c>
      <c r="F856" s="2" t="s">
        <v>2202</v>
      </c>
      <c r="G856" s="2" t="s">
        <v>2189</v>
      </c>
      <c r="H856" s="2" t="s">
        <v>179</v>
      </c>
      <c r="I856" s="2" t="s">
        <v>10</v>
      </c>
      <c r="J856" s="2" t="s">
        <v>2201</v>
      </c>
      <c r="K856" s="105">
        <v>490</v>
      </c>
      <c r="L856" s="63">
        <v>36100</v>
      </c>
      <c r="M856" s="63"/>
      <c r="N856" s="63"/>
      <c r="O856" s="63"/>
      <c r="P856" s="63"/>
      <c r="Q856" s="63"/>
      <c r="R856" s="100">
        <f t="shared" si="26"/>
        <v>36100</v>
      </c>
      <c r="S856" s="100">
        <f t="shared" si="27"/>
        <v>-36100</v>
      </c>
    </row>
    <row r="857" spans="1:27" ht="19.5" customHeight="1">
      <c r="A857" s="2">
        <v>848</v>
      </c>
      <c r="B857" s="11" t="s">
        <v>181</v>
      </c>
      <c r="C857" s="4"/>
      <c r="D857" s="4"/>
      <c r="E857" s="11" t="s">
        <v>180</v>
      </c>
      <c r="F857" s="2" t="s">
        <v>2419</v>
      </c>
      <c r="G857" s="75" t="s">
        <v>2420</v>
      </c>
      <c r="H857" s="2" t="s">
        <v>182</v>
      </c>
      <c r="I857" s="2" t="s">
        <v>10</v>
      </c>
      <c r="J857" s="76" t="s">
        <v>541</v>
      </c>
      <c r="K857" s="105">
        <v>2850</v>
      </c>
      <c r="L857" s="63">
        <v>2581</v>
      </c>
      <c r="M857" s="63"/>
      <c r="N857" s="63"/>
      <c r="O857" s="63"/>
      <c r="P857" s="63"/>
      <c r="Q857" s="63"/>
      <c r="R857" s="100">
        <f t="shared" si="26"/>
        <v>2581</v>
      </c>
      <c r="S857" s="100">
        <f t="shared" si="27"/>
        <v>-2581</v>
      </c>
    </row>
    <row r="858" spans="1:27" ht="19.5" customHeight="1">
      <c r="A858" s="2">
        <v>849</v>
      </c>
      <c r="B858" s="65" t="s">
        <v>3435</v>
      </c>
      <c r="C858" s="11"/>
      <c r="D858" s="11"/>
      <c r="E858" s="65" t="s">
        <v>3436</v>
      </c>
      <c r="F858" s="2" t="s">
        <v>3437</v>
      </c>
      <c r="G858" s="2" t="s">
        <v>2253</v>
      </c>
      <c r="H858" s="66" t="s">
        <v>3438</v>
      </c>
      <c r="I858" s="2" t="s">
        <v>15</v>
      </c>
      <c r="J858" s="2" t="s">
        <v>3400</v>
      </c>
      <c r="K858" s="105">
        <v>28500</v>
      </c>
      <c r="L858" s="63">
        <v>0</v>
      </c>
      <c r="M858" s="63"/>
      <c r="N858" s="63"/>
      <c r="O858" s="63"/>
      <c r="P858" s="63"/>
      <c r="Q858" s="63"/>
      <c r="R858" s="100">
        <f t="shared" si="26"/>
        <v>0</v>
      </c>
      <c r="S858" s="100">
        <f t="shared" si="27"/>
        <v>0</v>
      </c>
    </row>
    <row r="859" spans="1:27" ht="19.5" customHeight="1">
      <c r="A859" s="2">
        <v>850</v>
      </c>
      <c r="B859" s="67" t="s">
        <v>2245</v>
      </c>
      <c r="C859" s="4"/>
      <c r="D859" s="4"/>
      <c r="E859" s="11" t="s">
        <v>183</v>
      </c>
      <c r="F859" s="2" t="s">
        <v>2246</v>
      </c>
      <c r="G859" s="2" t="s">
        <v>2244</v>
      </c>
      <c r="H859" s="2" t="s">
        <v>184</v>
      </c>
      <c r="I859" s="2" t="s">
        <v>18</v>
      </c>
      <c r="J859" s="2" t="s">
        <v>2239</v>
      </c>
      <c r="K859" s="105">
        <v>17000</v>
      </c>
      <c r="L859" s="63">
        <v>173</v>
      </c>
      <c r="M859" s="63"/>
      <c r="N859" s="63"/>
      <c r="O859" s="63"/>
      <c r="P859" s="63"/>
      <c r="Q859" s="63"/>
      <c r="R859" s="100">
        <f t="shared" si="26"/>
        <v>173</v>
      </c>
      <c r="S859" s="100">
        <f t="shared" si="27"/>
        <v>-173</v>
      </c>
    </row>
    <row r="860" spans="1:27" ht="19.5" customHeight="1">
      <c r="A860" s="2">
        <v>851</v>
      </c>
      <c r="B860" s="77" t="s">
        <v>3396</v>
      </c>
      <c r="C860" s="4"/>
      <c r="D860" s="4"/>
      <c r="E860" s="77" t="s">
        <v>3439</v>
      </c>
      <c r="F860" s="5" t="s">
        <v>3440</v>
      </c>
      <c r="G860" s="5" t="s">
        <v>3441</v>
      </c>
      <c r="H860" s="5" t="s">
        <v>3399</v>
      </c>
      <c r="I860" s="5" t="s">
        <v>15</v>
      </c>
      <c r="J860" s="5" t="s">
        <v>3400</v>
      </c>
      <c r="K860" s="105">
        <v>22900</v>
      </c>
      <c r="L860" s="63"/>
      <c r="M860" s="63"/>
      <c r="N860" s="63"/>
      <c r="O860" s="63"/>
      <c r="P860" s="63"/>
      <c r="Q860" s="63"/>
      <c r="R860" s="100">
        <f t="shared" si="26"/>
        <v>0</v>
      </c>
      <c r="S860" s="100">
        <f t="shared" si="27"/>
        <v>0</v>
      </c>
      <c r="T860" s="37"/>
      <c r="U860" s="37"/>
      <c r="V860" s="37"/>
      <c r="W860" s="37"/>
      <c r="X860" s="37"/>
      <c r="Y860" s="37"/>
      <c r="Z860" s="37"/>
      <c r="AA860" s="37"/>
    </row>
    <row r="861" spans="1:27" ht="19.5" customHeight="1">
      <c r="A861" s="2">
        <v>852</v>
      </c>
      <c r="B861" s="67" t="s">
        <v>2162</v>
      </c>
      <c r="C861" s="4"/>
      <c r="D861" s="4"/>
      <c r="E861" s="11" t="s">
        <v>185</v>
      </c>
      <c r="F861" s="2" t="s">
        <v>2164</v>
      </c>
      <c r="G861" s="2" t="s">
        <v>2161</v>
      </c>
      <c r="H861" s="2" t="s">
        <v>186</v>
      </c>
      <c r="I861" s="2" t="s">
        <v>3442</v>
      </c>
      <c r="J861" s="2" t="s">
        <v>2163</v>
      </c>
      <c r="K861" s="105">
        <v>28980</v>
      </c>
      <c r="L861" s="63">
        <v>294</v>
      </c>
      <c r="M861" s="63"/>
      <c r="N861" s="63"/>
      <c r="O861" s="63"/>
      <c r="P861" s="63"/>
      <c r="Q861" s="63"/>
      <c r="R861" s="100">
        <f t="shared" si="26"/>
        <v>294</v>
      </c>
      <c r="S861" s="100">
        <f t="shared" si="27"/>
        <v>-294</v>
      </c>
    </row>
    <row r="862" spans="1:27" ht="19.5" customHeight="1">
      <c r="A862" s="2">
        <v>853</v>
      </c>
      <c r="B862" s="67" t="s">
        <v>2303</v>
      </c>
      <c r="C862" s="4"/>
      <c r="D862" s="4"/>
      <c r="E862" s="11" t="s">
        <v>188</v>
      </c>
      <c r="F862" s="2" t="s">
        <v>2305</v>
      </c>
      <c r="G862" s="2" t="s">
        <v>2253</v>
      </c>
      <c r="H862" s="2" t="s">
        <v>2304</v>
      </c>
      <c r="I862" s="2" t="s">
        <v>16</v>
      </c>
      <c r="J862" s="2" t="s">
        <v>2250</v>
      </c>
      <c r="K862" s="105">
        <v>1200</v>
      </c>
      <c r="L862" s="63">
        <v>14370</v>
      </c>
      <c r="M862" s="63"/>
      <c r="N862" s="63"/>
      <c r="O862" s="63"/>
      <c r="P862" s="63"/>
      <c r="Q862" s="63"/>
      <c r="R862" s="100">
        <f t="shared" si="26"/>
        <v>14370</v>
      </c>
      <c r="S862" s="100">
        <f t="shared" si="27"/>
        <v>-14370</v>
      </c>
    </row>
    <row r="863" spans="1:27" ht="19.5" customHeight="1">
      <c r="A863" s="2">
        <v>854</v>
      </c>
      <c r="B863" s="11" t="s">
        <v>2421</v>
      </c>
      <c r="C863" s="4"/>
      <c r="D863" s="4"/>
      <c r="E863" s="87" t="s">
        <v>189</v>
      </c>
      <c r="F863" s="2" t="s">
        <v>2422</v>
      </c>
      <c r="G863" s="75" t="s">
        <v>2413</v>
      </c>
      <c r="H863" s="2" t="s">
        <v>190</v>
      </c>
      <c r="I863" s="2" t="s">
        <v>10</v>
      </c>
      <c r="J863" s="76" t="s">
        <v>541</v>
      </c>
      <c r="K863" s="105">
        <v>3124</v>
      </c>
      <c r="L863" s="63">
        <v>21416</v>
      </c>
      <c r="M863" s="63"/>
      <c r="N863" s="63"/>
      <c r="O863" s="63"/>
      <c r="P863" s="63"/>
      <c r="Q863" s="63"/>
      <c r="R863" s="100">
        <f t="shared" si="26"/>
        <v>21416</v>
      </c>
      <c r="S863" s="100">
        <f t="shared" si="27"/>
        <v>-21416</v>
      </c>
    </row>
    <row r="864" spans="1:27" ht="19.5" customHeight="1">
      <c r="A864" s="2">
        <v>855</v>
      </c>
      <c r="B864" s="67" t="s">
        <v>2313</v>
      </c>
      <c r="C864" s="4"/>
      <c r="D864" s="4"/>
      <c r="E864" s="67" t="s">
        <v>191</v>
      </c>
      <c r="F864" s="68" t="s">
        <v>3443</v>
      </c>
      <c r="G864" s="68" t="s">
        <v>2310</v>
      </c>
      <c r="H864" s="68" t="s">
        <v>193</v>
      </c>
      <c r="I864" s="68" t="s">
        <v>10</v>
      </c>
      <c r="J864" s="68" t="s">
        <v>2306</v>
      </c>
      <c r="K864" s="105">
        <v>2400</v>
      </c>
      <c r="L864" s="63">
        <v>12700</v>
      </c>
      <c r="M864" s="63"/>
      <c r="N864" s="63"/>
      <c r="O864" s="63"/>
      <c r="P864" s="63"/>
      <c r="Q864" s="63"/>
      <c r="R864" s="100">
        <f t="shared" si="26"/>
        <v>12700</v>
      </c>
      <c r="S864" s="100">
        <f t="shared" si="27"/>
        <v>-12700</v>
      </c>
    </row>
    <row r="865" spans="1:27" ht="19.5" customHeight="1">
      <c r="A865" s="2">
        <v>856</v>
      </c>
      <c r="B865" s="97" t="s">
        <v>3444</v>
      </c>
      <c r="C865" s="4"/>
      <c r="D865" s="4"/>
      <c r="E865" s="77" t="s">
        <v>3445</v>
      </c>
      <c r="F865" s="5" t="s">
        <v>3446</v>
      </c>
      <c r="G865" s="2" t="s">
        <v>3447</v>
      </c>
      <c r="H865" s="5" t="s">
        <v>3448</v>
      </c>
      <c r="I865" s="7" t="s">
        <v>14</v>
      </c>
      <c r="J865" s="2" t="s">
        <v>3449</v>
      </c>
      <c r="K865" s="105">
        <v>45099</v>
      </c>
      <c r="L865" s="63"/>
      <c r="M865" s="63"/>
      <c r="N865" s="63"/>
      <c r="O865" s="63"/>
      <c r="P865" s="63"/>
      <c r="Q865" s="63"/>
      <c r="R865" s="100">
        <f t="shared" si="26"/>
        <v>0</v>
      </c>
      <c r="S865" s="100">
        <f t="shared" si="27"/>
        <v>0</v>
      </c>
      <c r="T865" s="37"/>
      <c r="U865" s="37"/>
      <c r="V865" s="37"/>
      <c r="W865" s="37"/>
      <c r="X865" s="37"/>
      <c r="Y865" s="37"/>
      <c r="Z865" s="37"/>
      <c r="AA865" s="37"/>
    </row>
    <row r="866" spans="1:27" ht="19.5" customHeight="1">
      <c r="A866" s="2">
        <v>857</v>
      </c>
      <c r="B866" s="77" t="s">
        <v>1510</v>
      </c>
      <c r="C866" s="4"/>
      <c r="D866" s="4"/>
      <c r="E866" s="77" t="s">
        <v>3450</v>
      </c>
      <c r="F866" s="5" t="s">
        <v>3451</v>
      </c>
      <c r="G866" s="5" t="s">
        <v>3447</v>
      </c>
      <c r="H866" s="5" t="s">
        <v>3452</v>
      </c>
      <c r="I866" s="5" t="s">
        <v>14</v>
      </c>
      <c r="J866" s="5" t="s">
        <v>3453</v>
      </c>
      <c r="K866" s="105">
        <v>40000</v>
      </c>
      <c r="L866" s="63"/>
      <c r="M866" s="63"/>
      <c r="N866" s="63"/>
      <c r="O866" s="63"/>
      <c r="P866" s="63"/>
      <c r="Q866" s="63"/>
      <c r="R866" s="100">
        <f t="shared" si="26"/>
        <v>0</v>
      </c>
      <c r="S866" s="100">
        <f t="shared" si="27"/>
        <v>0</v>
      </c>
      <c r="T866" s="37"/>
      <c r="U866" s="37"/>
      <c r="V866" s="37"/>
      <c r="W866" s="37"/>
      <c r="X866" s="37"/>
      <c r="Y866" s="37"/>
      <c r="Z866" s="37"/>
      <c r="AA866" s="37"/>
    </row>
    <row r="867" spans="1:27" ht="19.5" customHeight="1">
      <c r="A867" s="2">
        <v>858</v>
      </c>
      <c r="B867" s="70" t="s">
        <v>2127</v>
      </c>
      <c r="C867" s="4"/>
      <c r="D867" s="4"/>
      <c r="E867" s="11" t="s">
        <v>2128</v>
      </c>
      <c r="F867" s="2" t="s">
        <v>2131</v>
      </c>
      <c r="G867" s="2" t="s">
        <v>2126</v>
      </c>
      <c r="H867" s="2" t="s">
        <v>2129</v>
      </c>
      <c r="I867" s="2" t="s">
        <v>14</v>
      </c>
      <c r="J867" s="2" t="s">
        <v>2130</v>
      </c>
      <c r="K867" s="105">
        <v>39000</v>
      </c>
      <c r="L867" s="63">
        <v>70</v>
      </c>
      <c r="M867" s="63"/>
      <c r="N867" s="63"/>
      <c r="O867" s="63"/>
      <c r="P867" s="63"/>
      <c r="Q867" s="63"/>
      <c r="R867" s="100">
        <f t="shared" si="26"/>
        <v>70</v>
      </c>
      <c r="S867" s="100">
        <f t="shared" si="27"/>
        <v>-70</v>
      </c>
    </row>
    <row r="868" spans="1:27" ht="19.5" customHeight="1">
      <c r="A868" s="2">
        <v>859</v>
      </c>
      <c r="B868" s="67" t="s">
        <v>1247</v>
      </c>
      <c r="C868" s="4"/>
      <c r="D868" s="4"/>
      <c r="E868" s="67" t="s">
        <v>1248</v>
      </c>
      <c r="F868" s="68" t="s">
        <v>1251</v>
      </c>
      <c r="G868" s="68" t="s">
        <v>1252</v>
      </c>
      <c r="H868" s="68" t="s">
        <v>1249</v>
      </c>
      <c r="I868" s="68" t="s">
        <v>11</v>
      </c>
      <c r="J868" s="68" t="s">
        <v>1250</v>
      </c>
      <c r="K868" s="105">
        <v>4800</v>
      </c>
      <c r="L868" s="63">
        <v>0</v>
      </c>
      <c r="M868" s="63"/>
      <c r="N868" s="63"/>
      <c r="O868" s="63"/>
      <c r="P868" s="63"/>
      <c r="Q868" s="63"/>
      <c r="R868" s="100">
        <f t="shared" si="26"/>
        <v>0</v>
      </c>
      <c r="S868" s="100">
        <f t="shared" si="27"/>
        <v>0</v>
      </c>
    </row>
    <row r="869" spans="1:27" ht="19.5" customHeight="1">
      <c r="A869" s="2">
        <v>860</v>
      </c>
      <c r="B869" s="67" t="s">
        <v>3454</v>
      </c>
      <c r="C869" s="4"/>
      <c r="D869" s="4"/>
      <c r="E869" s="11" t="s">
        <v>827</v>
      </c>
      <c r="F869" s="2" t="s">
        <v>828</v>
      </c>
      <c r="G869" s="2" t="s">
        <v>806</v>
      </c>
      <c r="H869" s="2" t="s">
        <v>3455</v>
      </c>
      <c r="I869" s="2" t="s">
        <v>11</v>
      </c>
      <c r="J869" s="2" t="s">
        <v>804</v>
      </c>
      <c r="K869" s="105">
        <v>181</v>
      </c>
      <c r="L869" s="63">
        <v>14255</v>
      </c>
      <c r="M869" s="63"/>
      <c r="N869" s="63"/>
      <c r="O869" s="63"/>
      <c r="P869" s="63"/>
      <c r="Q869" s="63"/>
      <c r="R869" s="100">
        <f t="shared" si="26"/>
        <v>14255</v>
      </c>
      <c r="S869" s="100">
        <f t="shared" si="27"/>
        <v>-14255</v>
      </c>
    </row>
    <row r="870" spans="1:27" ht="19.5" customHeight="1">
      <c r="A870" s="2">
        <v>861</v>
      </c>
      <c r="B870" s="11" t="s">
        <v>3456</v>
      </c>
      <c r="C870" s="11"/>
      <c r="D870" s="11"/>
      <c r="E870" s="11" t="s">
        <v>3457</v>
      </c>
      <c r="F870" s="2" t="s">
        <v>3458</v>
      </c>
      <c r="G870" s="2" t="s">
        <v>3459</v>
      </c>
      <c r="H870" s="2" t="s">
        <v>2558</v>
      </c>
      <c r="I870" s="2" t="s">
        <v>12</v>
      </c>
      <c r="J870" s="2" t="s">
        <v>2660</v>
      </c>
      <c r="K870" s="105">
        <v>784</v>
      </c>
      <c r="L870" s="63">
        <v>3</v>
      </c>
      <c r="M870" s="63"/>
      <c r="N870" s="63"/>
      <c r="O870" s="63"/>
      <c r="P870" s="63"/>
      <c r="Q870" s="63"/>
      <c r="R870" s="100">
        <f t="shared" si="26"/>
        <v>3</v>
      </c>
      <c r="S870" s="100">
        <f t="shared" si="27"/>
        <v>-3</v>
      </c>
    </row>
    <row r="871" spans="1:27" ht="19.5" customHeight="1">
      <c r="A871" s="2">
        <v>862</v>
      </c>
      <c r="B871" s="64" t="s">
        <v>433</v>
      </c>
      <c r="C871" s="3"/>
      <c r="D871" s="3"/>
      <c r="E871" s="11" t="s">
        <v>496</v>
      </c>
      <c r="F871" s="2" t="s">
        <v>497</v>
      </c>
      <c r="G871" s="2" t="s">
        <v>492</v>
      </c>
      <c r="H871" s="2" t="s">
        <v>272</v>
      </c>
      <c r="I871" s="2" t="s">
        <v>10</v>
      </c>
      <c r="J871" s="2" t="s">
        <v>647</v>
      </c>
      <c r="K871" s="105">
        <v>1193</v>
      </c>
      <c r="L871" s="63">
        <v>0</v>
      </c>
      <c r="M871" s="63"/>
      <c r="N871" s="63"/>
      <c r="O871" s="63"/>
      <c r="P871" s="63"/>
      <c r="Q871" s="63"/>
      <c r="R871" s="100">
        <f t="shared" si="26"/>
        <v>0</v>
      </c>
      <c r="S871" s="100">
        <f t="shared" si="27"/>
        <v>0</v>
      </c>
    </row>
    <row r="872" spans="1:27" ht="19.5" customHeight="1">
      <c r="A872" s="2">
        <v>863</v>
      </c>
      <c r="B872" s="64" t="s">
        <v>433</v>
      </c>
      <c r="C872" s="3"/>
      <c r="D872" s="3"/>
      <c r="E872" s="11" t="s">
        <v>498</v>
      </c>
      <c r="F872" s="2" t="s">
        <v>499</v>
      </c>
      <c r="G872" s="2" t="s">
        <v>492</v>
      </c>
      <c r="H872" s="2" t="s">
        <v>225</v>
      </c>
      <c r="I872" s="2" t="s">
        <v>10</v>
      </c>
      <c r="J872" s="2" t="s">
        <v>845</v>
      </c>
      <c r="K872" s="105">
        <v>2038</v>
      </c>
      <c r="L872" s="63">
        <v>0</v>
      </c>
      <c r="M872" s="63"/>
      <c r="N872" s="63"/>
      <c r="O872" s="63"/>
      <c r="P872" s="63"/>
      <c r="Q872" s="63"/>
      <c r="R872" s="100">
        <f t="shared" si="26"/>
        <v>0</v>
      </c>
      <c r="S872" s="100">
        <f t="shared" si="27"/>
        <v>0</v>
      </c>
    </row>
    <row r="873" spans="1:27" ht="19.5" customHeight="1">
      <c r="A873" s="2">
        <v>864</v>
      </c>
      <c r="B873" s="67" t="s">
        <v>1590</v>
      </c>
      <c r="C873" s="4"/>
      <c r="D873" s="4"/>
      <c r="E873" s="11" t="s">
        <v>1591</v>
      </c>
      <c r="F873" s="2" t="s">
        <v>1593</v>
      </c>
      <c r="G873" s="2" t="s">
        <v>772</v>
      </c>
      <c r="H873" s="2" t="s">
        <v>1592</v>
      </c>
      <c r="I873" s="2" t="s">
        <v>13</v>
      </c>
      <c r="J873" s="2" t="s">
        <v>1588</v>
      </c>
      <c r="K873" s="105">
        <v>3950</v>
      </c>
      <c r="L873" s="63">
        <v>1673</v>
      </c>
      <c r="M873" s="63"/>
      <c r="N873" s="63"/>
      <c r="O873" s="63"/>
      <c r="P873" s="63"/>
      <c r="Q873" s="63"/>
      <c r="R873" s="100">
        <f t="shared" si="26"/>
        <v>1673</v>
      </c>
      <c r="S873" s="100">
        <f t="shared" si="27"/>
        <v>-1673</v>
      </c>
    </row>
    <row r="874" spans="1:27" ht="19.5" customHeight="1">
      <c r="A874" s="2">
        <v>865</v>
      </c>
      <c r="B874" s="77" t="s">
        <v>689</v>
      </c>
      <c r="C874" s="4"/>
      <c r="D874" s="4"/>
      <c r="E874" s="77" t="s">
        <v>3460</v>
      </c>
      <c r="F874" s="5" t="s">
        <v>3461</v>
      </c>
      <c r="G874" s="5" t="s">
        <v>3462</v>
      </c>
      <c r="H874" s="5" t="s">
        <v>1090</v>
      </c>
      <c r="I874" s="5" t="s">
        <v>12</v>
      </c>
      <c r="J874" s="5" t="s">
        <v>2386</v>
      </c>
      <c r="K874" s="105">
        <v>7780</v>
      </c>
      <c r="L874" s="63"/>
      <c r="M874" s="63"/>
      <c r="N874" s="63"/>
      <c r="O874" s="63"/>
      <c r="P874" s="63"/>
      <c r="Q874" s="63"/>
      <c r="R874" s="100">
        <f t="shared" si="26"/>
        <v>0</v>
      </c>
      <c r="S874" s="100">
        <f t="shared" si="27"/>
        <v>0</v>
      </c>
      <c r="T874" s="37"/>
      <c r="U874" s="37"/>
      <c r="V874" s="37"/>
      <c r="W874" s="37"/>
      <c r="X874" s="37"/>
      <c r="Y874" s="37"/>
      <c r="Z874" s="37"/>
      <c r="AA874" s="37"/>
    </row>
    <row r="875" spans="1:27" ht="19.5" customHeight="1">
      <c r="A875" s="2">
        <v>866</v>
      </c>
      <c r="B875" s="11" t="s">
        <v>592</v>
      </c>
      <c r="C875" s="4"/>
      <c r="D875" s="4"/>
      <c r="E875" s="11" t="s">
        <v>1415</v>
      </c>
      <c r="F875" s="2" t="s">
        <v>1417</v>
      </c>
      <c r="G875" s="2" t="s">
        <v>1418</v>
      </c>
      <c r="H875" s="2" t="s">
        <v>594</v>
      </c>
      <c r="I875" s="2" t="s">
        <v>11</v>
      </c>
      <c r="J875" s="2" t="s">
        <v>1416</v>
      </c>
      <c r="K875" s="105">
        <v>2590</v>
      </c>
      <c r="L875" s="63">
        <v>28232</v>
      </c>
      <c r="M875" s="63"/>
      <c r="N875" s="63"/>
      <c r="O875" s="63"/>
      <c r="P875" s="63"/>
      <c r="Q875" s="63"/>
      <c r="R875" s="100">
        <f t="shared" si="26"/>
        <v>28232</v>
      </c>
      <c r="S875" s="100">
        <f t="shared" si="27"/>
        <v>-28232</v>
      </c>
    </row>
    <row r="876" spans="1:27" ht="19.5" customHeight="1">
      <c r="A876" s="2">
        <v>867</v>
      </c>
      <c r="B876" s="77" t="s">
        <v>3463</v>
      </c>
      <c r="C876" s="4"/>
      <c r="D876" s="4"/>
      <c r="E876" s="77" t="s">
        <v>3464</v>
      </c>
      <c r="F876" s="5" t="s">
        <v>3465</v>
      </c>
      <c r="G876" s="5" t="s">
        <v>3466</v>
      </c>
      <c r="H876" s="5" t="s">
        <v>3467</v>
      </c>
      <c r="I876" s="5" t="s">
        <v>10</v>
      </c>
      <c r="J876" s="5" t="s">
        <v>1350</v>
      </c>
      <c r="K876" s="105">
        <v>2100</v>
      </c>
      <c r="L876" s="63"/>
      <c r="M876" s="63"/>
      <c r="N876" s="63"/>
      <c r="O876" s="63"/>
      <c r="P876" s="63"/>
      <c r="Q876" s="63"/>
      <c r="R876" s="100">
        <f t="shared" si="26"/>
        <v>0</v>
      </c>
      <c r="S876" s="100">
        <f t="shared" si="27"/>
        <v>0</v>
      </c>
      <c r="T876" s="37"/>
      <c r="U876" s="37"/>
      <c r="V876" s="37"/>
      <c r="W876" s="37"/>
      <c r="X876" s="37"/>
      <c r="Y876" s="37"/>
      <c r="Z876" s="37"/>
      <c r="AA876" s="37"/>
    </row>
    <row r="877" spans="1:27" ht="19.5" customHeight="1">
      <c r="A877" s="2">
        <v>868</v>
      </c>
      <c r="B877" s="11" t="s">
        <v>2407</v>
      </c>
      <c r="C877" s="4"/>
      <c r="D877" s="4"/>
      <c r="E877" s="98" t="s">
        <v>194</v>
      </c>
      <c r="F877" s="90" t="s">
        <v>2409</v>
      </c>
      <c r="G877" s="90" t="s">
        <v>2410</v>
      </c>
      <c r="H877" s="2" t="s">
        <v>195</v>
      </c>
      <c r="I877" s="2" t="s">
        <v>11</v>
      </c>
      <c r="J877" s="2" t="s">
        <v>2408</v>
      </c>
      <c r="K877" s="105">
        <v>2916</v>
      </c>
      <c r="L877" s="63">
        <v>626</v>
      </c>
      <c r="M877" s="63"/>
      <c r="N877" s="63"/>
      <c r="O877" s="63"/>
      <c r="P877" s="63"/>
      <c r="Q877" s="63"/>
      <c r="R877" s="100">
        <f t="shared" si="26"/>
        <v>626</v>
      </c>
      <c r="S877" s="100">
        <f t="shared" si="27"/>
        <v>-626</v>
      </c>
    </row>
    <row r="878" spans="1:27" ht="19.5" customHeight="1">
      <c r="A878" s="2">
        <v>869</v>
      </c>
      <c r="B878" s="11" t="s">
        <v>1881</v>
      </c>
      <c r="C878" s="4"/>
      <c r="D878" s="4"/>
      <c r="E878" s="11" t="s">
        <v>1882</v>
      </c>
      <c r="F878" s="2" t="s">
        <v>1883</v>
      </c>
      <c r="G878" s="2" t="s">
        <v>1867</v>
      </c>
      <c r="H878" s="2" t="s">
        <v>291</v>
      </c>
      <c r="I878" s="2" t="s">
        <v>10</v>
      </c>
      <c r="J878" s="2" t="s">
        <v>642</v>
      </c>
      <c r="K878" s="105">
        <v>276</v>
      </c>
      <c r="L878" s="63">
        <v>0</v>
      </c>
      <c r="M878" s="63"/>
      <c r="N878" s="63"/>
      <c r="O878" s="63"/>
      <c r="P878" s="63"/>
      <c r="Q878" s="63"/>
      <c r="R878" s="100">
        <f t="shared" si="26"/>
        <v>0</v>
      </c>
      <c r="S878" s="100">
        <f t="shared" si="27"/>
        <v>0</v>
      </c>
    </row>
    <row r="879" spans="1:27" ht="19.5" customHeight="1">
      <c r="A879" s="2">
        <v>870</v>
      </c>
      <c r="B879" s="11" t="s">
        <v>2175</v>
      </c>
      <c r="C879" s="4"/>
      <c r="D879" s="4"/>
      <c r="E879" s="11" t="s">
        <v>196</v>
      </c>
      <c r="F879" s="2" t="s">
        <v>2177</v>
      </c>
      <c r="G879" s="2" t="s">
        <v>2178</v>
      </c>
      <c r="H879" s="2" t="s">
        <v>198</v>
      </c>
      <c r="I879" s="2" t="s">
        <v>10</v>
      </c>
      <c r="J879" s="2" t="s">
        <v>2176</v>
      </c>
      <c r="K879" s="105">
        <v>378</v>
      </c>
      <c r="L879" s="63">
        <v>6539</v>
      </c>
      <c r="M879" s="63"/>
      <c r="N879" s="63"/>
      <c r="O879" s="63"/>
      <c r="P879" s="63"/>
      <c r="Q879" s="63"/>
      <c r="R879" s="100">
        <f t="shared" si="26"/>
        <v>6539</v>
      </c>
      <c r="S879" s="100">
        <f t="shared" si="27"/>
        <v>-6539</v>
      </c>
    </row>
    <row r="880" spans="1:27" ht="19.5" customHeight="1">
      <c r="A880" s="2">
        <v>871</v>
      </c>
      <c r="B880" s="70" t="s">
        <v>2110</v>
      </c>
      <c r="C880" s="4"/>
      <c r="D880" s="4"/>
      <c r="E880" s="11" t="s">
        <v>2111</v>
      </c>
      <c r="F880" s="2" t="s">
        <v>2113</v>
      </c>
      <c r="G880" s="2" t="s">
        <v>2114</v>
      </c>
      <c r="H880" s="2" t="s">
        <v>2112</v>
      </c>
      <c r="I880" s="2" t="s">
        <v>10</v>
      </c>
      <c r="J880" s="2" t="s">
        <v>626</v>
      </c>
      <c r="K880" s="105">
        <v>12482</v>
      </c>
      <c r="L880" s="63">
        <v>4871</v>
      </c>
      <c r="M880" s="63"/>
      <c r="N880" s="63"/>
      <c r="O880" s="63"/>
      <c r="P880" s="63"/>
      <c r="Q880" s="63"/>
      <c r="R880" s="100">
        <f t="shared" si="26"/>
        <v>4871</v>
      </c>
      <c r="S880" s="100">
        <f t="shared" si="27"/>
        <v>-4871</v>
      </c>
    </row>
    <row r="881" spans="1:27" ht="19.5" customHeight="1">
      <c r="A881" s="2">
        <v>872</v>
      </c>
      <c r="B881" s="11" t="s">
        <v>760</v>
      </c>
      <c r="C881" s="4"/>
      <c r="D881" s="4"/>
      <c r="E881" s="11" t="s">
        <v>761</v>
      </c>
      <c r="F881" s="2" t="s">
        <v>764</v>
      </c>
      <c r="G881" s="2" t="s">
        <v>707</v>
      </c>
      <c r="H881" s="2" t="s">
        <v>762</v>
      </c>
      <c r="I881" s="2" t="s">
        <v>10</v>
      </c>
      <c r="J881" s="2" t="s">
        <v>763</v>
      </c>
      <c r="K881" s="105">
        <v>1890</v>
      </c>
      <c r="L881" s="63">
        <v>5293</v>
      </c>
      <c r="M881" s="63"/>
      <c r="N881" s="63"/>
      <c r="O881" s="63"/>
      <c r="P881" s="63"/>
      <c r="Q881" s="63"/>
      <c r="R881" s="100">
        <f t="shared" si="26"/>
        <v>5293</v>
      </c>
      <c r="S881" s="100">
        <f t="shared" si="27"/>
        <v>-5293</v>
      </c>
    </row>
    <row r="882" spans="1:27" ht="19.5" customHeight="1">
      <c r="A882" s="2">
        <v>873</v>
      </c>
      <c r="B882" s="11" t="s">
        <v>689</v>
      </c>
      <c r="C882" s="4"/>
      <c r="D882" s="4"/>
      <c r="E882" s="11" t="s">
        <v>1264</v>
      </c>
      <c r="F882" s="2" t="s">
        <v>1266</v>
      </c>
      <c r="G882" s="2" t="s">
        <v>1263</v>
      </c>
      <c r="H882" s="2" t="s">
        <v>1265</v>
      </c>
      <c r="I882" s="2" t="s">
        <v>10</v>
      </c>
      <c r="J882" s="2" t="s">
        <v>1261</v>
      </c>
      <c r="K882" s="105">
        <v>7090</v>
      </c>
      <c r="L882" s="63">
        <v>3351</v>
      </c>
      <c r="M882" s="63"/>
      <c r="N882" s="63"/>
      <c r="O882" s="63"/>
      <c r="P882" s="63"/>
      <c r="Q882" s="63"/>
      <c r="R882" s="100">
        <f t="shared" si="26"/>
        <v>3351</v>
      </c>
      <c r="S882" s="100">
        <f t="shared" si="27"/>
        <v>-3351</v>
      </c>
    </row>
    <row r="883" spans="1:27" ht="19.5" customHeight="1">
      <c r="A883" s="2">
        <v>874</v>
      </c>
      <c r="B883" s="11" t="s">
        <v>3468</v>
      </c>
      <c r="C883" s="4"/>
      <c r="D883" s="4"/>
      <c r="E883" s="11" t="s">
        <v>199</v>
      </c>
      <c r="F883" s="89" t="s">
        <v>2402</v>
      </c>
      <c r="G883" s="2" t="s">
        <v>2397</v>
      </c>
      <c r="H883" s="2" t="s">
        <v>3469</v>
      </c>
      <c r="I883" s="2" t="s">
        <v>10</v>
      </c>
      <c r="J883" s="2" t="s">
        <v>2401</v>
      </c>
      <c r="K883" s="105">
        <v>830</v>
      </c>
      <c r="L883" s="63">
        <v>0</v>
      </c>
      <c r="M883" s="63"/>
      <c r="N883" s="63"/>
      <c r="O883" s="63"/>
      <c r="P883" s="63"/>
      <c r="Q883" s="63"/>
      <c r="R883" s="100">
        <f t="shared" si="26"/>
        <v>0</v>
      </c>
      <c r="S883" s="100">
        <f t="shared" si="27"/>
        <v>0</v>
      </c>
    </row>
    <row r="884" spans="1:27" ht="19.5" customHeight="1">
      <c r="A884" s="2">
        <v>875</v>
      </c>
      <c r="B884" s="11" t="s">
        <v>939</v>
      </c>
      <c r="C884" s="4"/>
      <c r="D884" s="4"/>
      <c r="E884" s="11" t="s">
        <v>1864</v>
      </c>
      <c r="F884" s="2" t="s">
        <v>1866</v>
      </c>
      <c r="G884" s="2" t="s">
        <v>1867</v>
      </c>
      <c r="H884" s="2" t="s">
        <v>258</v>
      </c>
      <c r="I884" s="2" t="s">
        <v>12</v>
      </c>
      <c r="J884" s="2" t="s">
        <v>1865</v>
      </c>
      <c r="K884" s="105">
        <v>433</v>
      </c>
      <c r="L884" s="63">
        <v>88</v>
      </c>
      <c r="M884" s="63"/>
      <c r="N884" s="63"/>
      <c r="O884" s="63"/>
      <c r="P884" s="63"/>
      <c r="Q884" s="63"/>
      <c r="R884" s="100">
        <f t="shared" si="26"/>
        <v>88</v>
      </c>
      <c r="S884" s="100">
        <f t="shared" si="27"/>
        <v>-88</v>
      </c>
    </row>
    <row r="885" spans="1:27" ht="19.5" customHeight="1">
      <c r="A885" s="2">
        <v>876</v>
      </c>
      <c r="B885" s="11" t="s">
        <v>560</v>
      </c>
      <c r="C885" s="11"/>
      <c r="D885" s="11"/>
      <c r="E885" s="11" t="s">
        <v>1864</v>
      </c>
      <c r="F885" s="2" t="s">
        <v>1866</v>
      </c>
      <c r="G885" s="2" t="s">
        <v>1868</v>
      </c>
      <c r="H885" s="2" t="s">
        <v>258</v>
      </c>
      <c r="I885" s="2" t="s">
        <v>13</v>
      </c>
      <c r="J885" s="2" t="s">
        <v>1865</v>
      </c>
      <c r="K885" s="105">
        <v>402</v>
      </c>
      <c r="L885" s="63">
        <v>384</v>
      </c>
      <c r="M885" s="63"/>
      <c r="N885" s="63"/>
      <c r="O885" s="63"/>
      <c r="P885" s="63"/>
      <c r="Q885" s="63"/>
      <c r="R885" s="100">
        <f t="shared" si="26"/>
        <v>384</v>
      </c>
      <c r="S885" s="100">
        <f t="shared" si="27"/>
        <v>-384</v>
      </c>
    </row>
    <row r="886" spans="1:27" ht="19.5" customHeight="1">
      <c r="A886" s="2">
        <v>877</v>
      </c>
      <c r="B886" s="11" t="s">
        <v>560</v>
      </c>
      <c r="C886" s="11"/>
      <c r="D886" s="11"/>
      <c r="E886" s="11" t="s">
        <v>3470</v>
      </c>
      <c r="F886" s="2" t="s">
        <v>3471</v>
      </c>
      <c r="G886" s="2" t="s">
        <v>1868</v>
      </c>
      <c r="H886" s="2" t="s">
        <v>299</v>
      </c>
      <c r="I886" s="2" t="s">
        <v>13</v>
      </c>
      <c r="J886" s="2" t="s">
        <v>1865</v>
      </c>
      <c r="K886" s="105">
        <v>392</v>
      </c>
      <c r="L886" s="63">
        <v>200</v>
      </c>
      <c r="M886" s="63"/>
      <c r="N886" s="63"/>
      <c r="O886" s="63"/>
      <c r="P886" s="63"/>
      <c r="Q886" s="63"/>
      <c r="R886" s="100">
        <f t="shared" si="26"/>
        <v>200</v>
      </c>
      <c r="S886" s="100">
        <f t="shared" si="27"/>
        <v>-200</v>
      </c>
    </row>
    <row r="887" spans="1:27" ht="19.5" customHeight="1">
      <c r="A887" s="2">
        <v>878</v>
      </c>
      <c r="B887" s="77" t="s">
        <v>392</v>
      </c>
      <c r="C887" s="4"/>
      <c r="D887" s="4"/>
      <c r="E887" s="77" t="s">
        <v>3472</v>
      </c>
      <c r="F887" s="5" t="s">
        <v>3473</v>
      </c>
      <c r="G887" s="5" t="s">
        <v>2884</v>
      </c>
      <c r="H887" s="5" t="s">
        <v>267</v>
      </c>
      <c r="I887" s="5" t="s">
        <v>10</v>
      </c>
      <c r="J887" s="5" t="s">
        <v>1350</v>
      </c>
      <c r="K887" s="105">
        <v>353</v>
      </c>
      <c r="L887" s="63"/>
      <c r="M887" s="63"/>
      <c r="N887" s="63"/>
      <c r="O887" s="63"/>
      <c r="P887" s="63"/>
      <c r="Q887" s="63"/>
      <c r="R887" s="100">
        <f t="shared" si="26"/>
        <v>0</v>
      </c>
      <c r="S887" s="100">
        <f t="shared" si="27"/>
        <v>0</v>
      </c>
      <c r="T887" s="37"/>
      <c r="U887" s="37"/>
      <c r="V887" s="37"/>
      <c r="W887" s="37"/>
      <c r="X887" s="37"/>
      <c r="Y887" s="37"/>
      <c r="Z887" s="37"/>
      <c r="AA887" s="37"/>
    </row>
    <row r="888" spans="1:27" ht="19.5" customHeight="1">
      <c r="A888" s="2">
        <v>879</v>
      </c>
      <c r="B888" s="11" t="s">
        <v>634</v>
      </c>
      <c r="C888" s="4"/>
      <c r="D888" s="4"/>
      <c r="E888" s="11" t="s">
        <v>1888</v>
      </c>
      <c r="F888" s="2" t="s">
        <v>1889</v>
      </c>
      <c r="G888" s="2" t="s">
        <v>1867</v>
      </c>
      <c r="H888" s="2" t="s">
        <v>235</v>
      </c>
      <c r="I888" s="2" t="s">
        <v>10</v>
      </c>
      <c r="J888" s="2" t="s">
        <v>1329</v>
      </c>
      <c r="K888" s="105">
        <v>434</v>
      </c>
      <c r="L888" s="63">
        <v>0</v>
      </c>
      <c r="M888" s="63"/>
      <c r="N888" s="63"/>
      <c r="O888" s="63"/>
      <c r="P888" s="63"/>
      <c r="Q888" s="63"/>
      <c r="R888" s="100">
        <f t="shared" si="26"/>
        <v>0</v>
      </c>
      <c r="S888" s="100">
        <f t="shared" si="27"/>
        <v>0</v>
      </c>
    </row>
    <row r="889" spans="1:27" ht="19.5" customHeight="1">
      <c r="A889" s="2">
        <v>880</v>
      </c>
      <c r="B889" s="77" t="s">
        <v>3474</v>
      </c>
      <c r="C889" s="4"/>
      <c r="D889" s="4"/>
      <c r="E889" s="77" t="s">
        <v>3475</v>
      </c>
      <c r="F889" s="5" t="s">
        <v>3476</v>
      </c>
      <c r="G889" s="5" t="s">
        <v>3477</v>
      </c>
      <c r="H889" s="5" t="s">
        <v>3478</v>
      </c>
      <c r="I889" s="5" t="s">
        <v>10</v>
      </c>
      <c r="J889" s="5" t="s">
        <v>3479</v>
      </c>
      <c r="K889" s="105">
        <v>3750</v>
      </c>
      <c r="L889" s="63"/>
      <c r="M889" s="63"/>
      <c r="N889" s="63"/>
      <c r="O889" s="63"/>
      <c r="P889" s="63"/>
      <c r="Q889" s="63"/>
      <c r="R889" s="100">
        <f t="shared" si="26"/>
        <v>0</v>
      </c>
      <c r="S889" s="100">
        <f t="shared" si="27"/>
        <v>0</v>
      </c>
      <c r="T889" s="37"/>
      <c r="U889" s="37"/>
      <c r="V889" s="37"/>
      <c r="W889" s="37"/>
      <c r="X889" s="37"/>
      <c r="Y889" s="37"/>
      <c r="Z889" s="37"/>
      <c r="AA889" s="37"/>
    </row>
    <row r="890" spans="1:27" ht="19.5" customHeight="1">
      <c r="A890" s="2">
        <v>881</v>
      </c>
      <c r="B890" s="11" t="s">
        <v>1247</v>
      </c>
      <c r="C890" s="4"/>
      <c r="D890" s="4"/>
      <c r="E890" s="67" t="s">
        <v>1303</v>
      </c>
      <c r="F890" s="2" t="s">
        <v>1305</v>
      </c>
      <c r="G890" s="2" t="s">
        <v>1306</v>
      </c>
      <c r="H890" s="2" t="s">
        <v>1304</v>
      </c>
      <c r="I890" s="2" t="s">
        <v>10</v>
      </c>
      <c r="J890" s="2" t="s">
        <v>647</v>
      </c>
      <c r="K890" s="105">
        <v>6250</v>
      </c>
      <c r="L890" s="63">
        <v>16</v>
      </c>
      <c r="M890" s="63"/>
      <c r="N890" s="63"/>
      <c r="O890" s="63"/>
      <c r="P890" s="63"/>
      <c r="Q890" s="63"/>
      <c r="R890" s="100">
        <f t="shared" si="26"/>
        <v>16</v>
      </c>
      <c r="S890" s="100">
        <f t="shared" si="27"/>
        <v>-16</v>
      </c>
    </row>
    <row r="891" spans="1:27" ht="19.5" customHeight="1">
      <c r="A891" s="2">
        <v>882</v>
      </c>
      <c r="B891" s="11" t="s">
        <v>1800</v>
      </c>
      <c r="C891" s="4"/>
      <c r="D891" s="4"/>
      <c r="E891" s="11" t="s">
        <v>1801</v>
      </c>
      <c r="F891" s="2" t="s">
        <v>1802</v>
      </c>
      <c r="G891" s="2" t="s">
        <v>1797</v>
      </c>
      <c r="H891" s="2" t="s">
        <v>550</v>
      </c>
      <c r="I891" s="2" t="s">
        <v>11</v>
      </c>
      <c r="J891" s="2" t="s">
        <v>647</v>
      </c>
      <c r="K891" s="105">
        <v>8778</v>
      </c>
      <c r="L891" s="63">
        <v>4608</v>
      </c>
      <c r="M891" s="63"/>
      <c r="N891" s="63"/>
      <c r="O891" s="63"/>
      <c r="P891" s="63"/>
      <c r="Q891" s="63"/>
      <c r="R891" s="100">
        <f t="shared" si="26"/>
        <v>4608</v>
      </c>
      <c r="S891" s="100">
        <f t="shared" si="27"/>
        <v>-4608</v>
      </c>
    </row>
    <row r="892" spans="1:27" ht="19.5" customHeight="1">
      <c r="A892" s="2">
        <v>883</v>
      </c>
      <c r="B892" s="11" t="s">
        <v>1800</v>
      </c>
      <c r="C892" s="4"/>
      <c r="D892" s="4"/>
      <c r="E892" s="11" t="s">
        <v>1803</v>
      </c>
      <c r="F892" s="2" t="s">
        <v>1804</v>
      </c>
      <c r="G892" s="2" t="s">
        <v>1797</v>
      </c>
      <c r="H892" s="2" t="s">
        <v>229</v>
      </c>
      <c r="I892" s="2" t="s">
        <v>11</v>
      </c>
      <c r="J892" s="2" t="s">
        <v>647</v>
      </c>
      <c r="K892" s="105">
        <v>5334</v>
      </c>
      <c r="L892" s="63">
        <v>11</v>
      </c>
      <c r="M892" s="63"/>
      <c r="N892" s="63"/>
      <c r="O892" s="63"/>
      <c r="P892" s="63"/>
      <c r="Q892" s="63"/>
      <c r="R892" s="100">
        <f t="shared" si="26"/>
        <v>11</v>
      </c>
      <c r="S892" s="100">
        <f t="shared" si="27"/>
        <v>-11</v>
      </c>
    </row>
    <row r="893" spans="1:27" ht="19.5" customHeight="1">
      <c r="A893" s="2">
        <v>884</v>
      </c>
      <c r="B893" s="84" t="s">
        <v>3480</v>
      </c>
      <c r="C893" s="4"/>
      <c r="D893" s="4"/>
      <c r="E893" s="77" t="s">
        <v>3481</v>
      </c>
      <c r="F893" s="5" t="s">
        <v>3482</v>
      </c>
      <c r="G893" s="2" t="s">
        <v>3483</v>
      </c>
      <c r="H893" s="5" t="s">
        <v>3415</v>
      </c>
      <c r="I893" s="7" t="s">
        <v>10</v>
      </c>
      <c r="J893" s="2" t="s">
        <v>642</v>
      </c>
      <c r="K893" s="105">
        <v>250</v>
      </c>
      <c r="L893" s="63"/>
      <c r="M893" s="63"/>
      <c r="N893" s="63"/>
      <c r="O893" s="63"/>
      <c r="P893" s="63"/>
      <c r="Q893" s="63"/>
      <c r="R893" s="100">
        <f t="shared" si="26"/>
        <v>0</v>
      </c>
      <c r="S893" s="100">
        <f t="shared" si="27"/>
        <v>0</v>
      </c>
      <c r="T893" s="37"/>
      <c r="U893" s="37"/>
      <c r="V893" s="37"/>
      <c r="W893" s="37"/>
      <c r="X893" s="37"/>
      <c r="Y893" s="37"/>
      <c r="Z893" s="37"/>
      <c r="AA893" s="37"/>
    </row>
    <row r="894" spans="1:27" ht="19.5" customHeight="1">
      <c r="A894" s="2">
        <v>885</v>
      </c>
      <c r="B894" s="67" t="s">
        <v>1184</v>
      </c>
      <c r="C894" s="4"/>
      <c r="D894" s="4"/>
      <c r="E894" s="67" t="s">
        <v>1185</v>
      </c>
      <c r="F894" s="68" t="s">
        <v>1187</v>
      </c>
      <c r="G894" s="68" t="s">
        <v>1188</v>
      </c>
      <c r="H894" s="68" t="s">
        <v>1186</v>
      </c>
      <c r="I894" s="68" t="s">
        <v>11</v>
      </c>
      <c r="J894" s="68" t="s">
        <v>623</v>
      </c>
      <c r="K894" s="105">
        <v>2650</v>
      </c>
      <c r="L894" s="63">
        <v>5124</v>
      </c>
      <c r="M894" s="63"/>
      <c r="N894" s="63"/>
      <c r="O894" s="63"/>
      <c r="P894" s="63"/>
      <c r="Q894" s="63"/>
      <c r="R894" s="100">
        <f t="shared" si="26"/>
        <v>5124</v>
      </c>
      <c r="S894" s="100">
        <f t="shared" si="27"/>
        <v>-5124</v>
      </c>
    </row>
    <row r="895" spans="1:27" ht="19.5" customHeight="1">
      <c r="A895" s="2">
        <v>886</v>
      </c>
      <c r="B895" s="11" t="s">
        <v>638</v>
      </c>
      <c r="C895" s="4"/>
      <c r="D895" s="4"/>
      <c r="E895" s="11" t="s">
        <v>1491</v>
      </c>
      <c r="F895" s="2" t="s">
        <v>1493</v>
      </c>
      <c r="G895" s="2" t="s">
        <v>1485</v>
      </c>
      <c r="H895" s="2" t="s">
        <v>429</v>
      </c>
      <c r="I895" s="2" t="s">
        <v>12</v>
      </c>
      <c r="J895" s="2" t="s">
        <v>1492</v>
      </c>
      <c r="K895" s="105">
        <v>4800</v>
      </c>
      <c r="L895" s="63">
        <v>3429</v>
      </c>
      <c r="M895" s="63"/>
      <c r="N895" s="63"/>
      <c r="O895" s="63"/>
      <c r="P895" s="63"/>
      <c r="Q895" s="63"/>
      <c r="R895" s="100">
        <f t="shared" si="26"/>
        <v>3429</v>
      </c>
      <c r="S895" s="100">
        <f t="shared" si="27"/>
        <v>-3429</v>
      </c>
    </row>
    <row r="896" spans="1:27" ht="19.5" customHeight="1">
      <c r="A896" s="2">
        <v>887</v>
      </c>
      <c r="B896" s="67" t="s">
        <v>919</v>
      </c>
      <c r="C896" s="11"/>
      <c r="D896" s="11"/>
      <c r="E896" s="67" t="s">
        <v>920</v>
      </c>
      <c r="F896" s="68" t="s">
        <v>923</v>
      </c>
      <c r="G896" s="68" t="s">
        <v>924</v>
      </c>
      <c r="H896" s="68" t="s">
        <v>921</v>
      </c>
      <c r="I896" s="68" t="s">
        <v>892</v>
      </c>
      <c r="J896" s="68" t="s">
        <v>922</v>
      </c>
      <c r="K896" s="105">
        <v>76379</v>
      </c>
      <c r="L896" s="63">
        <v>13</v>
      </c>
      <c r="M896" s="63"/>
      <c r="N896" s="63"/>
      <c r="O896" s="63"/>
      <c r="P896" s="63"/>
      <c r="Q896" s="63"/>
      <c r="R896" s="100">
        <f t="shared" si="26"/>
        <v>13</v>
      </c>
      <c r="S896" s="100">
        <f t="shared" si="27"/>
        <v>-13</v>
      </c>
    </row>
    <row r="897" spans="1:27" ht="19.5" customHeight="1">
      <c r="A897" s="2">
        <v>888</v>
      </c>
      <c r="B897" s="67" t="s">
        <v>919</v>
      </c>
      <c r="C897" s="4"/>
      <c r="D897" s="4"/>
      <c r="E897" s="67" t="s">
        <v>925</v>
      </c>
      <c r="F897" s="68" t="s">
        <v>1018</v>
      </c>
      <c r="G897" s="68" t="s">
        <v>929</v>
      </c>
      <c r="H897" s="68" t="s">
        <v>1017</v>
      </c>
      <c r="I897" s="68" t="s">
        <v>628</v>
      </c>
      <c r="J897" s="68" t="s">
        <v>927</v>
      </c>
      <c r="K897" s="105">
        <v>4575</v>
      </c>
      <c r="L897" s="63">
        <v>254</v>
      </c>
      <c r="M897" s="63"/>
      <c r="N897" s="63"/>
      <c r="O897" s="63"/>
      <c r="P897" s="63"/>
      <c r="Q897" s="63"/>
      <c r="R897" s="100">
        <f t="shared" si="26"/>
        <v>254</v>
      </c>
      <c r="S897" s="100">
        <f t="shared" si="27"/>
        <v>-254</v>
      </c>
    </row>
    <row r="898" spans="1:27" ht="19.5" customHeight="1">
      <c r="A898" s="2">
        <v>889</v>
      </c>
      <c r="B898" s="67" t="s">
        <v>919</v>
      </c>
      <c r="C898" s="11"/>
      <c r="D898" s="11"/>
      <c r="E898" s="67" t="s">
        <v>925</v>
      </c>
      <c r="F898" s="68" t="s">
        <v>928</v>
      </c>
      <c r="G898" s="68" t="s">
        <v>929</v>
      </c>
      <c r="H898" s="68" t="s">
        <v>926</v>
      </c>
      <c r="I898" s="68" t="s">
        <v>628</v>
      </c>
      <c r="J898" s="68" t="s">
        <v>927</v>
      </c>
      <c r="K898" s="105">
        <v>8513</v>
      </c>
      <c r="L898" s="63">
        <v>269</v>
      </c>
      <c r="M898" s="63"/>
      <c r="N898" s="63"/>
      <c r="O898" s="63"/>
      <c r="P898" s="63"/>
      <c r="Q898" s="63"/>
      <c r="R898" s="100">
        <f t="shared" si="26"/>
        <v>269</v>
      </c>
      <c r="S898" s="100">
        <f t="shared" si="27"/>
        <v>-269</v>
      </c>
    </row>
    <row r="899" spans="1:27" ht="19.5" customHeight="1">
      <c r="A899" s="2">
        <v>890</v>
      </c>
      <c r="B899" s="67" t="s">
        <v>246</v>
      </c>
      <c r="C899" s="4"/>
      <c r="D899" s="4"/>
      <c r="E899" s="11" t="s">
        <v>665</v>
      </c>
      <c r="F899" s="2" t="s">
        <v>666</v>
      </c>
      <c r="G899" s="2" t="s">
        <v>245</v>
      </c>
      <c r="H899" s="2" t="s">
        <v>291</v>
      </c>
      <c r="I899" s="2" t="s">
        <v>11</v>
      </c>
      <c r="J899" s="2" t="s">
        <v>553</v>
      </c>
      <c r="K899" s="105">
        <v>3990</v>
      </c>
      <c r="L899" s="63">
        <v>2135</v>
      </c>
      <c r="M899" s="63"/>
      <c r="N899" s="63"/>
      <c r="O899" s="63"/>
      <c r="P899" s="63"/>
      <c r="Q899" s="63"/>
      <c r="R899" s="100">
        <f t="shared" si="26"/>
        <v>2135</v>
      </c>
      <c r="S899" s="100">
        <f t="shared" si="27"/>
        <v>-2135</v>
      </c>
    </row>
    <row r="900" spans="1:27" ht="19.5" customHeight="1">
      <c r="A900" s="2">
        <v>891</v>
      </c>
      <c r="B900" s="64" t="s">
        <v>246</v>
      </c>
      <c r="C900" s="3"/>
      <c r="D900" s="3"/>
      <c r="E900" s="11" t="s">
        <v>247</v>
      </c>
      <c r="F900" s="2" t="s">
        <v>249</v>
      </c>
      <c r="G900" s="2" t="s">
        <v>245</v>
      </c>
      <c r="H900" s="2" t="s">
        <v>248</v>
      </c>
      <c r="I900" s="2" t="s">
        <v>10</v>
      </c>
      <c r="J900" s="2" t="s">
        <v>642</v>
      </c>
      <c r="K900" s="105">
        <v>1785</v>
      </c>
      <c r="L900" s="63">
        <v>2436</v>
      </c>
      <c r="M900" s="63"/>
      <c r="N900" s="63"/>
      <c r="O900" s="63"/>
      <c r="P900" s="63"/>
      <c r="Q900" s="63"/>
      <c r="R900" s="100">
        <f t="shared" si="26"/>
        <v>2436</v>
      </c>
      <c r="S900" s="100">
        <f t="shared" si="27"/>
        <v>-2436</v>
      </c>
    </row>
    <row r="901" spans="1:27" ht="19.5" customHeight="1">
      <c r="A901" s="2">
        <v>892</v>
      </c>
      <c r="B901" s="67" t="s">
        <v>202</v>
      </c>
      <c r="C901" s="4"/>
      <c r="D901" s="4"/>
      <c r="E901" s="11" t="s">
        <v>201</v>
      </c>
      <c r="F901" s="2" t="s">
        <v>2328</v>
      </c>
      <c r="G901" s="2" t="s">
        <v>2325</v>
      </c>
      <c r="H901" s="2" t="s">
        <v>203</v>
      </c>
      <c r="I901" s="2" t="s">
        <v>10</v>
      </c>
      <c r="J901" s="2" t="s">
        <v>2327</v>
      </c>
      <c r="K901" s="105">
        <v>968</v>
      </c>
      <c r="L901" s="63">
        <v>7080</v>
      </c>
      <c r="M901" s="63"/>
      <c r="N901" s="63"/>
      <c r="O901" s="63"/>
      <c r="P901" s="63"/>
      <c r="Q901" s="63"/>
      <c r="R901" s="100">
        <f t="shared" si="26"/>
        <v>7080</v>
      </c>
      <c r="S901" s="100">
        <f t="shared" si="27"/>
        <v>-7080</v>
      </c>
    </row>
    <row r="902" spans="1:27" ht="19.5" customHeight="1">
      <c r="A902" s="2">
        <v>893</v>
      </c>
      <c r="B902" s="77" t="s">
        <v>1235</v>
      </c>
      <c r="C902" s="4"/>
      <c r="D902" s="4"/>
      <c r="E902" s="77" t="s">
        <v>3484</v>
      </c>
      <c r="F902" s="5" t="s">
        <v>3485</v>
      </c>
      <c r="G902" s="5" t="s">
        <v>2682</v>
      </c>
      <c r="H902" s="5" t="s">
        <v>262</v>
      </c>
      <c r="I902" s="5" t="s">
        <v>10</v>
      </c>
      <c r="J902" s="5" t="s">
        <v>1350</v>
      </c>
      <c r="K902" s="105">
        <v>2993</v>
      </c>
      <c r="L902" s="63"/>
      <c r="M902" s="63"/>
      <c r="N902" s="63"/>
      <c r="O902" s="63"/>
      <c r="P902" s="63"/>
      <c r="Q902" s="63"/>
      <c r="R902" s="100">
        <f t="shared" si="26"/>
        <v>0</v>
      </c>
      <c r="S902" s="100">
        <f t="shared" si="27"/>
        <v>0</v>
      </c>
      <c r="T902" s="37"/>
      <c r="U902" s="37"/>
      <c r="V902" s="37"/>
      <c r="W902" s="37"/>
      <c r="X902" s="37"/>
      <c r="Y902" s="37"/>
      <c r="Z902" s="37"/>
      <c r="AA902" s="37"/>
    </row>
    <row r="903" spans="1:27" ht="19.5" customHeight="1">
      <c r="A903" s="2">
        <v>894</v>
      </c>
      <c r="B903" s="11" t="s">
        <v>816</v>
      </c>
      <c r="C903" s="11"/>
      <c r="D903" s="11"/>
      <c r="E903" s="11" t="s">
        <v>817</v>
      </c>
      <c r="F903" s="2" t="s">
        <v>818</v>
      </c>
      <c r="G903" s="2" t="s">
        <v>806</v>
      </c>
      <c r="H903" s="2" t="s">
        <v>258</v>
      </c>
      <c r="I903" s="2" t="s">
        <v>11</v>
      </c>
      <c r="J903" s="2" t="s">
        <v>1329</v>
      </c>
      <c r="K903" s="105">
        <v>280</v>
      </c>
      <c r="L903" s="63">
        <v>0</v>
      </c>
      <c r="M903" s="63"/>
      <c r="N903" s="63"/>
      <c r="O903" s="63"/>
      <c r="P903" s="63"/>
      <c r="Q903" s="63"/>
      <c r="R903" s="100">
        <f t="shared" si="26"/>
        <v>0</v>
      </c>
      <c r="S903" s="100">
        <f t="shared" si="27"/>
        <v>0</v>
      </c>
    </row>
    <row r="904" spans="1:27" ht="19.5" customHeight="1">
      <c r="A904" s="2">
        <v>895</v>
      </c>
      <c r="B904" s="71" t="s">
        <v>3486</v>
      </c>
      <c r="C904" s="4"/>
      <c r="D904" s="4"/>
      <c r="E904" s="11" t="s">
        <v>817</v>
      </c>
      <c r="F904" s="2" t="s">
        <v>818</v>
      </c>
      <c r="G904" s="2" t="s">
        <v>2922</v>
      </c>
      <c r="H904" s="2" t="s">
        <v>258</v>
      </c>
      <c r="I904" s="2" t="s">
        <v>11</v>
      </c>
      <c r="J904" s="2" t="s">
        <v>1329</v>
      </c>
      <c r="K904" s="105">
        <v>355</v>
      </c>
      <c r="L904" s="63">
        <v>0</v>
      </c>
      <c r="M904" s="63"/>
      <c r="N904" s="63"/>
      <c r="O904" s="63"/>
      <c r="P904" s="63"/>
      <c r="Q904" s="63"/>
      <c r="R904" s="100">
        <f t="shared" si="26"/>
        <v>0</v>
      </c>
      <c r="S904" s="100">
        <f t="shared" si="27"/>
        <v>0</v>
      </c>
    </row>
    <row r="905" spans="1:27" ht="19.5" customHeight="1">
      <c r="A905" s="2">
        <v>896</v>
      </c>
      <c r="B905" s="67" t="s">
        <v>816</v>
      </c>
      <c r="C905" s="4"/>
      <c r="D905" s="4"/>
      <c r="E905" s="11" t="s">
        <v>819</v>
      </c>
      <c r="F905" s="2" t="s">
        <v>820</v>
      </c>
      <c r="G905" s="2" t="s">
        <v>806</v>
      </c>
      <c r="H905" s="2" t="s">
        <v>299</v>
      </c>
      <c r="I905" s="2" t="s">
        <v>11</v>
      </c>
      <c r="J905" s="2" t="s">
        <v>804</v>
      </c>
      <c r="K905" s="105">
        <v>357</v>
      </c>
      <c r="L905" s="63">
        <v>0</v>
      </c>
      <c r="M905" s="63"/>
      <c r="N905" s="63"/>
      <c r="O905" s="63"/>
      <c r="P905" s="63"/>
      <c r="Q905" s="63"/>
      <c r="R905" s="100">
        <f t="shared" si="26"/>
        <v>0</v>
      </c>
      <c r="S905" s="100">
        <f t="shared" si="27"/>
        <v>0</v>
      </c>
    </row>
    <row r="906" spans="1:27" ht="19.5" customHeight="1">
      <c r="A906" s="2">
        <v>897</v>
      </c>
      <c r="B906" s="11" t="s">
        <v>2319</v>
      </c>
      <c r="C906" s="4"/>
      <c r="D906" s="4"/>
      <c r="E906" s="11" t="s">
        <v>2320</v>
      </c>
      <c r="F906" s="2" t="s">
        <v>2322</v>
      </c>
      <c r="G906" s="2" t="s">
        <v>2318</v>
      </c>
      <c r="H906" s="2" t="s">
        <v>2321</v>
      </c>
      <c r="I906" s="2" t="s">
        <v>11</v>
      </c>
      <c r="J906" s="2" t="s">
        <v>1237</v>
      </c>
      <c r="K906" s="105">
        <v>935</v>
      </c>
      <c r="L906" s="63">
        <v>0</v>
      </c>
      <c r="M906" s="63"/>
      <c r="N906" s="63"/>
      <c r="O906" s="63"/>
      <c r="P906" s="63"/>
      <c r="Q906" s="63"/>
      <c r="R906" s="100">
        <f t="shared" si="26"/>
        <v>0</v>
      </c>
      <c r="S906" s="100">
        <f t="shared" si="27"/>
        <v>0</v>
      </c>
    </row>
    <row r="907" spans="1:27" ht="19.5" customHeight="1">
      <c r="A907" s="2">
        <v>898</v>
      </c>
      <c r="B907" s="11" t="s">
        <v>2362</v>
      </c>
      <c r="C907" s="4"/>
      <c r="D907" s="4"/>
      <c r="E907" s="11" t="s">
        <v>204</v>
      </c>
      <c r="F907" s="79" t="s">
        <v>2363</v>
      </c>
      <c r="G907" s="79" t="s">
        <v>1567</v>
      </c>
      <c r="H907" s="2" t="s">
        <v>205</v>
      </c>
      <c r="I907" s="2" t="s">
        <v>10</v>
      </c>
      <c r="J907" s="2" t="s">
        <v>884</v>
      </c>
      <c r="K907" s="105">
        <v>1260</v>
      </c>
      <c r="L907" s="63">
        <v>13850</v>
      </c>
      <c r="M907" s="63"/>
      <c r="N907" s="63"/>
      <c r="O907" s="63"/>
      <c r="P907" s="63"/>
      <c r="Q907" s="63"/>
      <c r="R907" s="100">
        <f t="shared" ref="R907:R934" si="28">L907+M907-O907</f>
        <v>13850</v>
      </c>
      <c r="S907" s="100">
        <f t="shared" ref="S907:S934" si="29">Q907-R907</f>
        <v>-13850</v>
      </c>
    </row>
    <row r="908" spans="1:27" ht="19.5" customHeight="1">
      <c r="A908" s="2">
        <v>899</v>
      </c>
      <c r="B908" s="67" t="s">
        <v>2314</v>
      </c>
      <c r="C908" s="4"/>
      <c r="D908" s="4"/>
      <c r="E908" s="67" t="s">
        <v>206</v>
      </c>
      <c r="F908" s="68" t="s">
        <v>3487</v>
      </c>
      <c r="G908" s="68" t="s">
        <v>2310</v>
      </c>
      <c r="H908" s="68" t="s">
        <v>3488</v>
      </c>
      <c r="I908" s="68" t="s">
        <v>10</v>
      </c>
      <c r="J908" s="68" t="s">
        <v>2306</v>
      </c>
      <c r="K908" s="105">
        <v>5500</v>
      </c>
      <c r="L908" s="63">
        <v>2308</v>
      </c>
      <c r="M908" s="63"/>
      <c r="N908" s="63"/>
      <c r="O908" s="63"/>
      <c r="P908" s="63"/>
      <c r="Q908" s="63"/>
      <c r="R908" s="100">
        <f t="shared" si="28"/>
        <v>2308</v>
      </c>
      <c r="S908" s="100">
        <f t="shared" si="29"/>
        <v>-2308</v>
      </c>
    </row>
    <row r="909" spans="1:27" ht="19.5" customHeight="1">
      <c r="A909" s="2">
        <v>900</v>
      </c>
      <c r="B909" s="11" t="s">
        <v>2427</v>
      </c>
      <c r="C909" s="11"/>
      <c r="D909" s="11"/>
      <c r="E909" s="11" t="s">
        <v>207</v>
      </c>
      <c r="F909" s="2" t="s">
        <v>2429</v>
      </c>
      <c r="G909" s="2" t="s">
        <v>2430</v>
      </c>
      <c r="H909" s="2" t="s">
        <v>2428</v>
      </c>
      <c r="I909" s="2" t="s">
        <v>10</v>
      </c>
      <c r="J909" s="2" t="s">
        <v>1350</v>
      </c>
      <c r="K909" s="105">
        <v>420</v>
      </c>
      <c r="L909" s="63">
        <v>10</v>
      </c>
      <c r="M909" s="63"/>
      <c r="N909" s="63"/>
      <c r="O909" s="63"/>
      <c r="P909" s="63"/>
      <c r="Q909" s="63"/>
      <c r="R909" s="100">
        <f t="shared" si="28"/>
        <v>10</v>
      </c>
      <c r="S909" s="100">
        <f t="shared" si="29"/>
        <v>-10</v>
      </c>
    </row>
    <row r="910" spans="1:27" ht="19.5" customHeight="1">
      <c r="A910" s="2">
        <v>901</v>
      </c>
      <c r="B910" s="11" t="s">
        <v>1368</v>
      </c>
      <c r="C910" s="4"/>
      <c r="D910" s="4"/>
      <c r="E910" s="11" t="s">
        <v>3489</v>
      </c>
      <c r="F910" s="2" t="s">
        <v>1943</v>
      </c>
      <c r="G910" s="2" t="s">
        <v>1913</v>
      </c>
      <c r="H910" s="2" t="s">
        <v>1941</v>
      </c>
      <c r="I910" s="2" t="s">
        <v>658</v>
      </c>
      <c r="J910" s="2" t="s">
        <v>1942</v>
      </c>
      <c r="K910" s="105">
        <v>3780</v>
      </c>
      <c r="L910" s="63">
        <v>0</v>
      </c>
      <c r="M910" s="63"/>
      <c r="N910" s="63"/>
      <c r="O910" s="63"/>
      <c r="P910" s="63"/>
      <c r="Q910" s="63"/>
      <c r="R910" s="100">
        <f t="shared" si="28"/>
        <v>0</v>
      </c>
      <c r="S910" s="100">
        <f t="shared" si="29"/>
        <v>0</v>
      </c>
    </row>
    <row r="911" spans="1:27" ht="19.5" customHeight="1">
      <c r="A911" s="2">
        <v>902</v>
      </c>
      <c r="B911" s="67" t="s">
        <v>611</v>
      </c>
      <c r="C911" s="4"/>
      <c r="D911" s="4"/>
      <c r="E911" s="11" t="s">
        <v>612</v>
      </c>
      <c r="F911" s="2" t="s">
        <v>613</v>
      </c>
      <c r="G911" s="2" t="s">
        <v>614</v>
      </c>
      <c r="H911" s="2" t="s">
        <v>291</v>
      </c>
      <c r="I911" s="2" t="s">
        <v>10</v>
      </c>
      <c r="J911" s="2" t="s">
        <v>547</v>
      </c>
      <c r="K911" s="105">
        <v>7600</v>
      </c>
      <c r="L911" s="63">
        <v>2330</v>
      </c>
      <c r="M911" s="63"/>
      <c r="N911" s="63"/>
      <c r="O911" s="63"/>
      <c r="P911" s="63"/>
      <c r="Q911" s="63"/>
      <c r="R911" s="100">
        <f t="shared" si="28"/>
        <v>2330</v>
      </c>
      <c r="S911" s="100">
        <f t="shared" si="29"/>
        <v>-2330</v>
      </c>
    </row>
    <row r="912" spans="1:27" ht="19.5" customHeight="1">
      <c r="A912" s="2">
        <v>903</v>
      </c>
      <c r="B912" s="64" t="s">
        <v>531</v>
      </c>
      <c r="C912" s="3"/>
      <c r="D912" s="3"/>
      <c r="E912" s="11" t="s">
        <v>532</v>
      </c>
      <c r="F912" s="2" t="s">
        <v>3490</v>
      </c>
      <c r="G912" s="2" t="s">
        <v>530</v>
      </c>
      <c r="H912" s="2" t="s">
        <v>534</v>
      </c>
      <c r="I912" s="2" t="s">
        <v>10</v>
      </c>
      <c r="J912" s="2" t="s">
        <v>642</v>
      </c>
      <c r="K912" s="105">
        <v>115</v>
      </c>
      <c r="L912" s="63">
        <v>4128</v>
      </c>
      <c r="M912" s="63"/>
      <c r="N912" s="63"/>
      <c r="O912" s="63"/>
      <c r="P912" s="63"/>
      <c r="Q912" s="63"/>
      <c r="R912" s="100">
        <f t="shared" si="28"/>
        <v>4128</v>
      </c>
      <c r="S912" s="100">
        <f t="shared" si="29"/>
        <v>-4128</v>
      </c>
    </row>
    <row r="913" spans="1:27" ht="19.5" customHeight="1">
      <c r="A913" s="2">
        <v>904</v>
      </c>
      <c r="B913" s="77" t="s">
        <v>274</v>
      </c>
      <c r="C913" s="4"/>
      <c r="D913" s="4"/>
      <c r="E913" s="77" t="s">
        <v>3491</v>
      </c>
      <c r="F913" s="5" t="s">
        <v>3492</v>
      </c>
      <c r="G913" s="5" t="s">
        <v>3493</v>
      </c>
      <c r="H913" s="5" t="s">
        <v>225</v>
      </c>
      <c r="I913" s="5" t="s">
        <v>10</v>
      </c>
      <c r="J913" s="5" t="s">
        <v>2841</v>
      </c>
      <c r="K913" s="105">
        <v>4623</v>
      </c>
      <c r="L913" s="63"/>
      <c r="M913" s="63"/>
      <c r="N913" s="63"/>
      <c r="O913" s="63"/>
      <c r="P913" s="63"/>
      <c r="Q913" s="63"/>
      <c r="R913" s="100">
        <f t="shared" si="28"/>
        <v>0</v>
      </c>
      <c r="S913" s="100">
        <f t="shared" si="29"/>
        <v>0</v>
      </c>
      <c r="T913" s="37"/>
      <c r="U913" s="37"/>
      <c r="V913" s="37"/>
      <c r="W913" s="37"/>
      <c r="X913" s="37"/>
      <c r="Y913" s="37"/>
      <c r="Z913" s="37"/>
      <c r="AA913" s="37"/>
    </row>
    <row r="914" spans="1:27" ht="19.5" customHeight="1">
      <c r="A914" s="2">
        <v>905</v>
      </c>
      <c r="B914" s="67" t="s">
        <v>788</v>
      </c>
      <c r="C914" s="4"/>
      <c r="D914" s="4"/>
      <c r="E914" s="11" t="s">
        <v>1990</v>
      </c>
      <c r="F914" s="2" t="s">
        <v>1991</v>
      </c>
      <c r="G914" s="2" t="s">
        <v>1946</v>
      </c>
      <c r="H914" s="2" t="s">
        <v>390</v>
      </c>
      <c r="I914" s="2" t="s">
        <v>11</v>
      </c>
      <c r="J914" s="2" t="s">
        <v>842</v>
      </c>
      <c r="K914" s="105">
        <v>441</v>
      </c>
      <c r="L914" s="63">
        <v>4793</v>
      </c>
      <c r="M914" s="63"/>
      <c r="N914" s="63"/>
      <c r="O914" s="63"/>
      <c r="P914" s="63"/>
      <c r="Q914" s="63"/>
      <c r="R914" s="100">
        <f t="shared" si="28"/>
        <v>4793</v>
      </c>
      <c r="S914" s="100">
        <f t="shared" si="29"/>
        <v>-4793</v>
      </c>
    </row>
    <row r="915" spans="1:27" ht="19.5" customHeight="1">
      <c r="A915" s="2">
        <v>906</v>
      </c>
      <c r="B915" s="67" t="s">
        <v>1245</v>
      </c>
      <c r="C915" s="4"/>
      <c r="D915" s="4"/>
      <c r="E915" s="11" t="s">
        <v>1992</v>
      </c>
      <c r="F915" s="2" t="s">
        <v>1993</v>
      </c>
      <c r="G915" s="2" t="s">
        <v>1946</v>
      </c>
      <c r="H915" s="2" t="s">
        <v>1246</v>
      </c>
      <c r="I915" s="2" t="s">
        <v>11</v>
      </c>
      <c r="J915" s="2" t="s">
        <v>842</v>
      </c>
      <c r="K915" s="105">
        <v>2184</v>
      </c>
      <c r="L915" s="63">
        <v>4045</v>
      </c>
      <c r="M915" s="63"/>
      <c r="N915" s="63"/>
      <c r="O915" s="63"/>
      <c r="P915" s="63"/>
      <c r="Q915" s="63"/>
      <c r="R915" s="100">
        <f t="shared" si="28"/>
        <v>4045</v>
      </c>
      <c r="S915" s="100">
        <f t="shared" si="29"/>
        <v>-4045</v>
      </c>
    </row>
    <row r="916" spans="1:27" ht="19.5" customHeight="1">
      <c r="A916" s="2">
        <v>907</v>
      </c>
      <c r="B916" s="67" t="s">
        <v>1834</v>
      </c>
      <c r="C916" s="4"/>
      <c r="D916" s="4"/>
      <c r="E916" s="11" t="s">
        <v>1835</v>
      </c>
      <c r="F916" s="2" t="s">
        <v>1837</v>
      </c>
      <c r="G916" s="2" t="s">
        <v>492</v>
      </c>
      <c r="H916" s="2" t="s">
        <v>1836</v>
      </c>
      <c r="I916" s="2" t="s">
        <v>10</v>
      </c>
      <c r="J916" s="2" t="s">
        <v>1153</v>
      </c>
      <c r="K916" s="105">
        <v>179</v>
      </c>
      <c r="L916" s="63">
        <v>3283</v>
      </c>
      <c r="M916" s="63"/>
      <c r="N916" s="63"/>
      <c r="O916" s="63"/>
      <c r="P916" s="63"/>
      <c r="Q916" s="63"/>
      <c r="R916" s="100">
        <f t="shared" si="28"/>
        <v>3283</v>
      </c>
      <c r="S916" s="100">
        <f t="shared" si="29"/>
        <v>-3283</v>
      </c>
    </row>
    <row r="917" spans="1:27" ht="19.5" customHeight="1">
      <c r="A917" s="2">
        <v>908</v>
      </c>
      <c r="B917" s="67" t="s">
        <v>1443</v>
      </c>
      <c r="C917" s="4"/>
      <c r="D917" s="4"/>
      <c r="E917" s="11" t="s">
        <v>1444</v>
      </c>
      <c r="F917" s="2" t="s">
        <v>1445</v>
      </c>
      <c r="G917" s="2" t="s">
        <v>1429</v>
      </c>
      <c r="H917" s="2" t="s">
        <v>272</v>
      </c>
      <c r="I917" s="2" t="s">
        <v>10</v>
      </c>
      <c r="J917" s="2" t="s">
        <v>1427</v>
      </c>
      <c r="K917" s="105">
        <v>478</v>
      </c>
      <c r="L917" s="63">
        <v>3512</v>
      </c>
      <c r="M917" s="63"/>
      <c r="N917" s="63"/>
      <c r="O917" s="63"/>
      <c r="P917" s="63"/>
      <c r="Q917" s="63"/>
      <c r="R917" s="100">
        <f t="shared" si="28"/>
        <v>3512</v>
      </c>
      <c r="S917" s="100">
        <f t="shared" si="29"/>
        <v>-3512</v>
      </c>
    </row>
    <row r="918" spans="1:27" ht="19.5" customHeight="1">
      <c r="A918" s="2">
        <v>909</v>
      </c>
      <c r="B918" s="67" t="s">
        <v>843</v>
      </c>
      <c r="C918" s="4"/>
      <c r="D918" s="4"/>
      <c r="E918" s="11" t="s">
        <v>844</v>
      </c>
      <c r="F918" s="2" t="s">
        <v>846</v>
      </c>
      <c r="G918" s="2" t="s">
        <v>806</v>
      </c>
      <c r="H918" s="2" t="s">
        <v>272</v>
      </c>
      <c r="I918" s="2" t="s">
        <v>11</v>
      </c>
      <c r="J918" s="2" t="s">
        <v>845</v>
      </c>
      <c r="K918" s="105">
        <v>155</v>
      </c>
      <c r="L918" s="63">
        <v>12704</v>
      </c>
      <c r="M918" s="63"/>
      <c r="N918" s="63"/>
      <c r="O918" s="63"/>
      <c r="P918" s="63"/>
      <c r="Q918" s="63"/>
      <c r="R918" s="100">
        <f t="shared" si="28"/>
        <v>12704</v>
      </c>
      <c r="S918" s="100">
        <f t="shared" si="29"/>
        <v>-12704</v>
      </c>
    </row>
    <row r="919" spans="1:27" ht="19.5" customHeight="1">
      <c r="A919" s="2">
        <v>910</v>
      </c>
      <c r="B919" s="11" t="s">
        <v>843</v>
      </c>
      <c r="C919" s="11"/>
      <c r="D919" s="11"/>
      <c r="E919" s="11" t="s">
        <v>3494</v>
      </c>
      <c r="F919" s="2" t="s">
        <v>3495</v>
      </c>
      <c r="G919" s="2" t="s">
        <v>806</v>
      </c>
      <c r="H919" s="2" t="s">
        <v>272</v>
      </c>
      <c r="I919" s="2" t="s">
        <v>11</v>
      </c>
      <c r="J919" s="2" t="s">
        <v>642</v>
      </c>
      <c r="K919" s="105">
        <v>117</v>
      </c>
      <c r="L919" s="63">
        <v>0</v>
      </c>
      <c r="M919" s="63"/>
      <c r="N919" s="63"/>
      <c r="O919" s="63"/>
      <c r="P919" s="63"/>
      <c r="Q919" s="63"/>
      <c r="R919" s="100">
        <f t="shared" si="28"/>
        <v>0</v>
      </c>
      <c r="S919" s="100">
        <f t="shared" si="29"/>
        <v>0</v>
      </c>
    </row>
    <row r="920" spans="1:27" ht="19.5" customHeight="1">
      <c r="A920" s="2">
        <v>911</v>
      </c>
      <c r="B920" s="11" t="s">
        <v>3496</v>
      </c>
      <c r="C920" s="4"/>
      <c r="D920" s="4"/>
      <c r="E920" s="11" t="s">
        <v>1477</v>
      </c>
      <c r="F920" s="2" t="s">
        <v>1478</v>
      </c>
      <c r="G920" s="2" t="s">
        <v>1479</v>
      </c>
      <c r="H920" s="2" t="s">
        <v>739</v>
      </c>
      <c r="I920" s="2" t="s">
        <v>1476</v>
      </c>
      <c r="J920" s="2" t="s">
        <v>1473</v>
      </c>
      <c r="K920" s="105">
        <v>11000</v>
      </c>
      <c r="L920" s="63">
        <v>53</v>
      </c>
      <c r="M920" s="63"/>
      <c r="N920" s="63"/>
      <c r="O920" s="63"/>
      <c r="P920" s="63"/>
      <c r="Q920" s="63"/>
      <c r="R920" s="100">
        <f t="shared" si="28"/>
        <v>53</v>
      </c>
      <c r="S920" s="100">
        <f t="shared" si="29"/>
        <v>-53</v>
      </c>
    </row>
    <row r="921" spans="1:27" ht="19.5" customHeight="1">
      <c r="A921" s="2">
        <v>912</v>
      </c>
      <c r="B921" s="11" t="s">
        <v>1402</v>
      </c>
      <c r="C921" s="4"/>
      <c r="D921" s="4"/>
      <c r="E921" s="11" t="s">
        <v>1402</v>
      </c>
      <c r="F921" s="2" t="s">
        <v>1403</v>
      </c>
      <c r="G921" s="2" t="s">
        <v>360</v>
      </c>
      <c r="H921" s="2" t="s">
        <v>225</v>
      </c>
      <c r="I921" s="2" t="s">
        <v>11</v>
      </c>
      <c r="J921" s="2" t="s">
        <v>647</v>
      </c>
      <c r="K921" s="105">
        <v>165</v>
      </c>
      <c r="L921" s="63">
        <v>5062</v>
      </c>
      <c r="M921" s="63"/>
      <c r="N921" s="63"/>
      <c r="O921" s="63"/>
      <c r="P921" s="63"/>
      <c r="Q921" s="63"/>
      <c r="R921" s="100">
        <f t="shared" si="28"/>
        <v>5062</v>
      </c>
      <c r="S921" s="100">
        <f t="shared" si="29"/>
        <v>-5062</v>
      </c>
    </row>
    <row r="922" spans="1:27" ht="19.5" customHeight="1">
      <c r="A922" s="2">
        <v>913</v>
      </c>
      <c r="B922" s="67" t="s">
        <v>337</v>
      </c>
      <c r="C922" s="4"/>
      <c r="D922" s="4"/>
      <c r="E922" s="11" t="s">
        <v>1947</v>
      </c>
      <c r="F922" s="2" t="s">
        <v>1949</v>
      </c>
      <c r="G922" s="2" t="s">
        <v>1946</v>
      </c>
      <c r="H922" s="2" t="s">
        <v>1200</v>
      </c>
      <c r="I922" s="2" t="s">
        <v>13</v>
      </c>
      <c r="J922" s="2" t="s">
        <v>1948</v>
      </c>
      <c r="K922" s="105">
        <v>2499</v>
      </c>
      <c r="L922" s="63">
        <v>228</v>
      </c>
      <c r="M922" s="63"/>
      <c r="N922" s="63"/>
      <c r="O922" s="63"/>
      <c r="P922" s="63"/>
      <c r="Q922" s="63"/>
      <c r="R922" s="100">
        <f t="shared" si="28"/>
        <v>228</v>
      </c>
      <c r="S922" s="100">
        <f t="shared" si="29"/>
        <v>-228</v>
      </c>
    </row>
    <row r="923" spans="1:27" ht="19.5" customHeight="1">
      <c r="A923" s="2">
        <v>914</v>
      </c>
      <c r="B923" s="11" t="s">
        <v>1330</v>
      </c>
      <c r="C923" s="4"/>
      <c r="D923" s="4"/>
      <c r="E923" s="11" t="s">
        <v>1742</v>
      </c>
      <c r="F923" s="2" t="s">
        <v>1744</v>
      </c>
      <c r="G923" s="2" t="s">
        <v>1745</v>
      </c>
      <c r="H923" s="2" t="s">
        <v>1580</v>
      </c>
      <c r="I923" s="2" t="s">
        <v>520</v>
      </c>
      <c r="J923" s="2" t="s">
        <v>1743</v>
      </c>
      <c r="K923" s="105">
        <v>7920</v>
      </c>
      <c r="L923" s="63">
        <v>771</v>
      </c>
      <c r="M923" s="63"/>
      <c r="N923" s="63"/>
      <c r="O923" s="63"/>
      <c r="P923" s="63"/>
      <c r="Q923" s="63"/>
      <c r="R923" s="100">
        <f t="shared" si="28"/>
        <v>771</v>
      </c>
      <c r="S923" s="100">
        <f t="shared" si="29"/>
        <v>-771</v>
      </c>
    </row>
    <row r="924" spans="1:27" ht="19.5" customHeight="1">
      <c r="A924" s="2">
        <v>915</v>
      </c>
      <c r="B924" s="11" t="s">
        <v>1330</v>
      </c>
      <c r="C924" s="11"/>
      <c r="D924" s="11"/>
      <c r="E924" s="11" t="s">
        <v>2559</v>
      </c>
      <c r="F924" s="2" t="s">
        <v>3497</v>
      </c>
      <c r="G924" s="2" t="s">
        <v>3498</v>
      </c>
      <c r="H924" s="2" t="s">
        <v>291</v>
      </c>
      <c r="I924" s="2" t="s">
        <v>10</v>
      </c>
      <c r="J924" s="2" t="s">
        <v>3499</v>
      </c>
      <c r="K924" s="105">
        <v>3477</v>
      </c>
      <c r="L924" s="63">
        <v>10</v>
      </c>
      <c r="M924" s="63"/>
      <c r="N924" s="63"/>
      <c r="O924" s="63"/>
      <c r="P924" s="63"/>
      <c r="Q924" s="63"/>
      <c r="R924" s="100">
        <f t="shared" si="28"/>
        <v>10</v>
      </c>
      <c r="S924" s="100">
        <f t="shared" si="29"/>
        <v>-10</v>
      </c>
    </row>
    <row r="925" spans="1:27" ht="19.5" customHeight="1">
      <c r="A925" s="2">
        <v>916</v>
      </c>
      <c r="B925" s="11" t="s">
        <v>729</v>
      </c>
      <c r="C925" s="11"/>
      <c r="D925" s="11"/>
      <c r="E925" s="11" t="s">
        <v>2560</v>
      </c>
      <c r="F925" s="2" t="s">
        <v>3500</v>
      </c>
      <c r="G925" s="2" t="s">
        <v>3501</v>
      </c>
      <c r="H925" s="2" t="s">
        <v>730</v>
      </c>
      <c r="I925" s="2" t="s">
        <v>11</v>
      </c>
      <c r="J925" s="2" t="s">
        <v>647</v>
      </c>
      <c r="K925" s="105">
        <v>1500</v>
      </c>
      <c r="L925" s="63">
        <v>27</v>
      </c>
      <c r="M925" s="63"/>
      <c r="N925" s="63"/>
      <c r="O925" s="63"/>
      <c r="P925" s="63"/>
      <c r="Q925" s="63"/>
      <c r="R925" s="100">
        <f t="shared" si="28"/>
        <v>27</v>
      </c>
      <c r="S925" s="100">
        <f t="shared" si="29"/>
        <v>-27</v>
      </c>
    </row>
    <row r="926" spans="1:27" ht="19.5" customHeight="1">
      <c r="A926" s="2">
        <v>917</v>
      </c>
      <c r="B926" s="11" t="s">
        <v>2403</v>
      </c>
      <c r="C926" s="4"/>
      <c r="D926" s="4"/>
      <c r="E926" s="11" t="s">
        <v>2404</v>
      </c>
      <c r="F926" s="89" t="s">
        <v>2406</v>
      </c>
      <c r="G926" s="2" t="s">
        <v>2397</v>
      </c>
      <c r="H926" s="93" t="s">
        <v>2405</v>
      </c>
      <c r="I926" s="2" t="s">
        <v>10</v>
      </c>
      <c r="J926" s="2" t="s">
        <v>620</v>
      </c>
      <c r="K926" s="105">
        <v>830</v>
      </c>
      <c r="L926" s="63">
        <v>0</v>
      </c>
      <c r="M926" s="63"/>
      <c r="N926" s="63"/>
      <c r="O926" s="63"/>
      <c r="P926" s="63"/>
      <c r="Q926" s="63"/>
      <c r="R926" s="100">
        <f t="shared" si="28"/>
        <v>0</v>
      </c>
      <c r="S926" s="100">
        <f t="shared" si="29"/>
        <v>0</v>
      </c>
    </row>
    <row r="927" spans="1:27" ht="19.5" customHeight="1">
      <c r="A927" s="2">
        <v>918</v>
      </c>
      <c r="B927" s="77" t="s">
        <v>3502</v>
      </c>
      <c r="C927" s="4"/>
      <c r="D927" s="4"/>
      <c r="E927" s="77" t="s">
        <v>3503</v>
      </c>
      <c r="F927" s="5" t="s">
        <v>3504</v>
      </c>
      <c r="G927" s="5" t="s">
        <v>2752</v>
      </c>
      <c r="H927" s="5" t="s">
        <v>3505</v>
      </c>
      <c r="I927" s="5" t="s">
        <v>10</v>
      </c>
      <c r="J927" s="5" t="s">
        <v>351</v>
      </c>
      <c r="K927" s="105">
        <v>4700</v>
      </c>
      <c r="L927" s="63"/>
      <c r="M927" s="63"/>
      <c r="N927" s="63"/>
      <c r="O927" s="63"/>
      <c r="P927" s="63"/>
      <c r="Q927" s="63"/>
      <c r="R927" s="100">
        <f t="shared" si="28"/>
        <v>0</v>
      </c>
      <c r="S927" s="100">
        <f t="shared" si="29"/>
        <v>0</v>
      </c>
      <c r="T927" s="37"/>
      <c r="U927" s="37"/>
      <c r="V927" s="37"/>
      <c r="W927" s="37"/>
      <c r="X927" s="37"/>
      <c r="Y927" s="37"/>
      <c r="Z927" s="37"/>
      <c r="AA927" s="37"/>
    </row>
    <row r="928" spans="1:27" ht="19.5" customHeight="1">
      <c r="A928" s="2">
        <v>919</v>
      </c>
      <c r="B928" s="67" t="s">
        <v>907</v>
      </c>
      <c r="C928" s="11"/>
      <c r="D928" s="11"/>
      <c r="E928" s="67" t="s">
        <v>908</v>
      </c>
      <c r="F928" s="68" t="s">
        <v>911</v>
      </c>
      <c r="G928" s="68" t="s">
        <v>912</v>
      </c>
      <c r="H928" s="68" t="s">
        <v>909</v>
      </c>
      <c r="I928" s="68" t="s">
        <v>682</v>
      </c>
      <c r="J928" s="68" t="s">
        <v>910</v>
      </c>
      <c r="K928" s="105">
        <v>55600</v>
      </c>
      <c r="L928" s="63">
        <v>0</v>
      </c>
      <c r="M928" s="63"/>
      <c r="N928" s="63"/>
      <c r="O928" s="63"/>
      <c r="P928" s="63"/>
      <c r="Q928" s="63"/>
      <c r="R928" s="100">
        <f t="shared" si="28"/>
        <v>0</v>
      </c>
      <c r="S928" s="100">
        <f t="shared" si="29"/>
        <v>0</v>
      </c>
    </row>
    <row r="929" spans="1:27" ht="19.5" customHeight="1">
      <c r="A929" s="2">
        <v>920</v>
      </c>
      <c r="B929" s="67" t="s">
        <v>1829</v>
      </c>
      <c r="C929" s="4"/>
      <c r="D929" s="4"/>
      <c r="E929" s="11" t="s">
        <v>1830</v>
      </c>
      <c r="F929" s="2" t="s">
        <v>1833</v>
      </c>
      <c r="G929" s="2" t="s">
        <v>492</v>
      </c>
      <c r="H929" s="2" t="s">
        <v>1831</v>
      </c>
      <c r="I929" s="2" t="s">
        <v>10</v>
      </c>
      <c r="J929" s="2" t="s">
        <v>1832</v>
      </c>
      <c r="K929" s="105">
        <v>325</v>
      </c>
      <c r="L929" s="63">
        <v>32105</v>
      </c>
      <c r="M929" s="63"/>
      <c r="N929" s="63"/>
      <c r="O929" s="63"/>
      <c r="P929" s="63"/>
      <c r="Q929" s="63"/>
      <c r="R929" s="100">
        <f t="shared" si="28"/>
        <v>32105</v>
      </c>
      <c r="S929" s="100">
        <f t="shared" si="29"/>
        <v>-32105</v>
      </c>
    </row>
    <row r="930" spans="1:27" ht="19.5" customHeight="1">
      <c r="A930" s="2">
        <v>921</v>
      </c>
      <c r="B930" s="11" t="s">
        <v>1526</v>
      </c>
      <c r="C930" s="4"/>
      <c r="D930" s="4"/>
      <c r="E930" s="11" t="s">
        <v>3506</v>
      </c>
      <c r="F930" s="2" t="s">
        <v>3507</v>
      </c>
      <c r="G930" s="2" t="s">
        <v>3508</v>
      </c>
      <c r="H930" s="2" t="s">
        <v>1045</v>
      </c>
      <c r="I930" s="2" t="s">
        <v>1476</v>
      </c>
      <c r="J930" s="2" t="s">
        <v>3509</v>
      </c>
      <c r="K930" s="105">
        <v>4200</v>
      </c>
      <c r="L930" s="63"/>
      <c r="M930" s="63"/>
      <c r="N930" s="63"/>
      <c r="O930" s="63"/>
      <c r="P930" s="63"/>
      <c r="Q930" s="63"/>
      <c r="R930" s="100">
        <f t="shared" si="28"/>
        <v>0</v>
      </c>
      <c r="S930" s="100">
        <f t="shared" si="29"/>
        <v>0</v>
      </c>
      <c r="T930" s="37"/>
      <c r="U930" s="37"/>
      <c r="V930" s="37"/>
      <c r="W930" s="37"/>
      <c r="X930" s="37"/>
      <c r="Y930" s="37"/>
      <c r="Z930" s="37"/>
      <c r="AA930" s="37"/>
    </row>
    <row r="931" spans="1:27" ht="19.5" customHeight="1">
      <c r="A931" s="2">
        <v>922</v>
      </c>
      <c r="B931" s="77" t="s">
        <v>556</v>
      </c>
      <c r="C931" s="4"/>
      <c r="D931" s="4"/>
      <c r="E931" s="77" t="s">
        <v>3510</v>
      </c>
      <c r="F931" s="5" t="s">
        <v>3511</v>
      </c>
      <c r="G931" s="5" t="s">
        <v>3512</v>
      </c>
      <c r="H931" s="5" t="s">
        <v>238</v>
      </c>
      <c r="I931" s="5" t="s">
        <v>10</v>
      </c>
      <c r="J931" s="5" t="s">
        <v>642</v>
      </c>
      <c r="K931" s="105">
        <v>6097</v>
      </c>
      <c r="L931" s="63"/>
      <c r="M931" s="63"/>
      <c r="N931" s="63"/>
      <c r="O931" s="63"/>
      <c r="P931" s="63"/>
      <c r="Q931" s="63"/>
      <c r="R931" s="100">
        <f t="shared" si="28"/>
        <v>0</v>
      </c>
      <c r="S931" s="100">
        <f t="shared" si="29"/>
        <v>0</v>
      </c>
      <c r="T931" s="37"/>
      <c r="U931" s="37"/>
      <c r="V931" s="37"/>
      <c r="W931" s="37"/>
      <c r="X931" s="37"/>
      <c r="Y931" s="37"/>
      <c r="Z931" s="37"/>
      <c r="AA931" s="37"/>
    </row>
    <row r="932" spans="1:27" ht="19.5" customHeight="1">
      <c r="A932" s="2">
        <v>923</v>
      </c>
      <c r="B932" s="67" t="s">
        <v>984</v>
      </c>
      <c r="C932" s="4"/>
      <c r="D932" s="4"/>
      <c r="E932" s="67" t="s">
        <v>985</v>
      </c>
      <c r="F932" s="68" t="s">
        <v>986</v>
      </c>
      <c r="G932" s="68" t="s">
        <v>987</v>
      </c>
      <c r="H932" s="68" t="s">
        <v>327</v>
      </c>
      <c r="I932" s="68" t="s">
        <v>10</v>
      </c>
      <c r="J932" s="68" t="s">
        <v>626</v>
      </c>
      <c r="K932" s="105">
        <v>4534</v>
      </c>
      <c r="L932" s="63">
        <v>3042</v>
      </c>
      <c r="M932" s="63"/>
      <c r="N932" s="63"/>
      <c r="O932" s="63"/>
      <c r="P932" s="63"/>
      <c r="Q932" s="63"/>
      <c r="R932" s="100">
        <f t="shared" si="28"/>
        <v>3042</v>
      </c>
      <c r="S932" s="100">
        <f t="shared" si="29"/>
        <v>-3042</v>
      </c>
    </row>
    <row r="933" spans="1:27" ht="19.5" customHeight="1">
      <c r="A933" s="2">
        <v>924</v>
      </c>
      <c r="B933" s="77" t="s">
        <v>3513</v>
      </c>
      <c r="C933" s="4"/>
      <c r="D933" s="4"/>
      <c r="E933" s="77" t="s">
        <v>3514</v>
      </c>
      <c r="F933" s="5" t="s">
        <v>3515</v>
      </c>
      <c r="G933" s="5" t="s">
        <v>2978</v>
      </c>
      <c r="H933" s="5" t="s">
        <v>3516</v>
      </c>
      <c r="I933" s="5" t="s">
        <v>18</v>
      </c>
      <c r="J933" s="5" t="s">
        <v>1271</v>
      </c>
      <c r="K933" s="105">
        <v>23990</v>
      </c>
      <c r="L933" s="63"/>
      <c r="M933" s="63"/>
      <c r="N933" s="63"/>
      <c r="O933" s="63"/>
      <c r="P933" s="63"/>
      <c r="Q933" s="63"/>
      <c r="R933" s="100">
        <f t="shared" si="28"/>
        <v>0</v>
      </c>
      <c r="S933" s="100">
        <f t="shared" si="29"/>
        <v>0</v>
      </c>
      <c r="T933" s="37"/>
      <c r="U933" s="37"/>
      <c r="V933" s="37"/>
      <c r="W933" s="37"/>
      <c r="X933" s="37"/>
      <c r="Y933" s="37"/>
      <c r="Z933" s="37"/>
      <c r="AA933" s="37"/>
    </row>
    <row r="934" spans="1:27" ht="19.5" customHeight="1">
      <c r="A934" s="2">
        <v>925</v>
      </c>
      <c r="B934" s="11" t="s">
        <v>779</v>
      </c>
      <c r="C934" s="11"/>
      <c r="D934" s="11"/>
      <c r="E934" s="11" t="s">
        <v>2561</v>
      </c>
      <c r="F934" s="2" t="s">
        <v>3517</v>
      </c>
      <c r="G934" s="2" t="s">
        <v>3518</v>
      </c>
      <c r="H934" s="2" t="s">
        <v>2562</v>
      </c>
      <c r="I934" s="2" t="s">
        <v>15</v>
      </c>
      <c r="J934" s="2" t="s">
        <v>3519</v>
      </c>
      <c r="K934" s="105">
        <v>25150</v>
      </c>
      <c r="L934" s="63">
        <v>10</v>
      </c>
      <c r="M934" s="63"/>
      <c r="N934" s="63"/>
      <c r="O934" s="63"/>
      <c r="P934" s="63"/>
      <c r="Q934" s="63"/>
      <c r="R934" s="100">
        <f t="shared" si="28"/>
        <v>10</v>
      </c>
      <c r="S934" s="100">
        <f t="shared" si="29"/>
        <v>-10</v>
      </c>
    </row>
    <row r="935" spans="1:27" s="37" customFormat="1" ht="19.5" customHeight="1">
      <c r="A935" s="2"/>
      <c r="B935" s="67"/>
      <c r="C935" s="2"/>
      <c r="D935" s="2"/>
      <c r="E935" s="11"/>
      <c r="F935" s="2"/>
      <c r="G935" s="2"/>
      <c r="H935" s="2"/>
      <c r="I935" s="2"/>
      <c r="J935" s="2"/>
      <c r="K935" s="105"/>
      <c r="L935" s="63"/>
      <c r="M935" s="99"/>
      <c r="N935" s="99"/>
      <c r="O935" s="99"/>
      <c r="P935" s="99"/>
      <c r="Q935" s="63"/>
      <c r="R935" s="18"/>
      <c r="S935" s="18"/>
      <c r="T935" s="18"/>
      <c r="U935" s="18"/>
      <c r="V935" s="18"/>
      <c r="W935" s="18"/>
      <c r="X935" s="18"/>
      <c r="Y935" s="18"/>
      <c r="Z935" s="18"/>
      <c r="AA935" s="18"/>
    </row>
    <row r="936" spans="1:27" s="37" customFormat="1" ht="18.75">
      <c r="A936" s="38"/>
      <c r="B936" s="59"/>
      <c r="C936" s="38"/>
      <c r="D936" s="39"/>
      <c r="E936" s="59"/>
      <c r="F936" s="38"/>
      <c r="G936" s="38"/>
      <c r="H936" s="38"/>
      <c r="I936" s="38"/>
      <c r="J936" s="38"/>
      <c r="K936" s="107"/>
      <c r="L936" s="49"/>
      <c r="M936" s="50"/>
      <c r="N936" s="50"/>
      <c r="O936" s="50"/>
      <c r="P936" s="51"/>
      <c r="Q936" s="52"/>
    </row>
    <row r="937" spans="1:27">
      <c r="K937" s="108"/>
      <c r="M937" s="53"/>
      <c r="N937" s="53"/>
      <c r="O937" s="53"/>
      <c r="P937" s="53"/>
      <c r="R937" s="40"/>
      <c r="S937" s="40"/>
    </row>
    <row r="938" spans="1:27">
      <c r="K938" s="108"/>
    </row>
    <row r="939" spans="1:27" s="41" customFormat="1" ht="18.75">
      <c r="A939" s="24"/>
      <c r="B939" s="61"/>
      <c r="D939" s="39"/>
      <c r="E939" s="62" t="s">
        <v>9</v>
      </c>
      <c r="F939" s="1"/>
      <c r="G939" s="24"/>
      <c r="H939" s="24"/>
      <c r="I939" s="24"/>
      <c r="J939" s="24"/>
      <c r="K939" s="108"/>
      <c r="L939" s="53"/>
      <c r="M939" s="54"/>
      <c r="N939" s="54"/>
      <c r="O939" s="54"/>
      <c r="P939" s="50"/>
      <c r="Q939" s="49"/>
    </row>
    <row r="940" spans="1:27" ht="18.75">
      <c r="D940" s="41"/>
      <c r="K940" s="108"/>
    </row>
    <row r="941" spans="1:27">
      <c r="K941" s="108"/>
    </row>
    <row r="942" spans="1:27" ht="18.75">
      <c r="K942" s="107"/>
      <c r="L942" s="49"/>
      <c r="M942" s="50"/>
      <c r="N942" s="50"/>
      <c r="O942" s="50"/>
    </row>
    <row r="945" spans="1:27" s="41" customFormat="1" ht="18.75">
      <c r="A945" s="24"/>
      <c r="B945" s="61"/>
      <c r="D945" s="39"/>
      <c r="E945" s="61" t="s">
        <v>3520</v>
      </c>
      <c r="F945" s="24"/>
      <c r="G945" s="24"/>
      <c r="H945" s="24"/>
      <c r="I945" s="24"/>
      <c r="J945" s="24"/>
      <c r="K945" s="109"/>
      <c r="L945" s="53"/>
      <c r="M945" s="54"/>
      <c r="N945" s="54"/>
      <c r="O945" s="54"/>
      <c r="P945" s="50"/>
      <c r="Q945" s="49"/>
    </row>
    <row r="947" spans="1:27">
      <c r="D947" s="18"/>
    </row>
    <row r="948" spans="1:27">
      <c r="D948" s="18"/>
    </row>
    <row r="949" spans="1:27">
      <c r="D949" s="18"/>
      <c r="K949" s="110"/>
    </row>
    <row r="950" spans="1:27">
      <c r="D950" s="18"/>
      <c r="K950" s="110"/>
    </row>
    <row r="951" spans="1:27">
      <c r="D951" s="18"/>
      <c r="K951" s="110"/>
    </row>
    <row r="952" spans="1:27">
      <c r="C952" s="18"/>
      <c r="D952" s="18"/>
      <c r="K952" s="110"/>
    </row>
    <row r="953" spans="1:27">
      <c r="C953" s="18"/>
      <c r="D953" s="18"/>
      <c r="K953" s="110"/>
    </row>
    <row r="954" spans="1:27" s="42" customFormat="1">
      <c r="A954" s="39"/>
      <c r="B954" s="60"/>
      <c r="C954" s="18"/>
      <c r="D954" s="18"/>
      <c r="E954" s="60"/>
      <c r="F954" s="39"/>
      <c r="G954" s="39"/>
      <c r="H954" s="39"/>
      <c r="I954" s="39"/>
      <c r="J954" s="39"/>
      <c r="K954" s="110"/>
      <c r="L954" s="53"/>
      <c r="M954" s="54"/>
      <c r="N954" s="54"/>
      <c r="O954" s="54"/>
      <c r="P954" s="54"/>
      <c r="Q954" s="53"/>
      <c r="R954" s="18"/>
      <c r="S954" s="18"/>
      <c r="T954" s="18"/>
      <c r="U954" s="18"/>
      <c r="V954" s="18"/>
      <c r="W954" s="18"/>
      <c r="X954" s="18"/>
      <c r="Y954" s="18"/>
      <c r="Z954" s="18"/>
      <c r="AA954" s="18"/>
    </row>
    <row r="955" spans="1:27" s="42" customFormat="1">
      <c r="A955" s="39"/>
      <c r="B955" s="60"/>
      <c r="C955" s="18"/>
      <c r="D955" s="18"/>
      <c r="E955" s="60"/>
      <c r="F955" s="39"/>
      <c r="G955" s="39"/>
      <c r="H955" s="39"/>
      <c r="I955" s="39"/>
      <c r="J955" s="39"/>
      <c r="K955" s="110"/>
      <c r="L955" s="53"/>
      <c r="M955" s="54"/>
      <c r="N955" s="54"/>
      <c r="O955" s="54"/>
      <c r="P955" s="54"/>
      <c r="Q955" s="53"/>
      <c r="R955" s="18"/>
      <c r="S955" s="18"/>
      <c r="T955" s="18"/>
      <c r="U955" s="18"/>
      <c r="V955" s="18"/>
      <c r="W955" s="18"/>
      <c r="X955" s="18"/>
      <c r="Y955" s="18"/>
      <c r="Z955" s="18"/>
      <c r="AA955" s="18"/>
    </row>
    <row r="956" spans="1:27" s="42" customFormat="1">
      <c r="A956" s="39"/>
      <c r="B956" s="60"/>
      <c r="C956" s="18"/>
      <c r="D956" s="18"/>
      <c r="E956" s="60"/>
      <c r="F956" s="39"/>
      <c r="G956" s="39"/>
      <c r="H956" s="39"/>
      <c r="I956" s="39"/>
      <c r="J956" s="39"/>
      <c r="K956" s="110"/>
      <c r="L956" s="53"/>
      <c r="M956" s="54"/>
      <c r="N956" s="54"/>
      <c r="O956" s="54"/>
      <c r="P956" s="54"/>
      <c r="Q956" s="53"/>
      <c r="R956" s="18"/>
      <c r="S956" s="18"/>
      <c r="T956" s="18"/>
      <c r="U956" s="18"/>
      <c r="V956" s="18"/>
      <c r="W956" s="18"/>
      <c r="X956" s="18"/>
      <c r="Y956" s="18"/>
      <c r="Z956" s="18"/>
      <c r="AA956" s="18"/>
    </row>
    <row r="957" spans="1:27" s="42" customFormat="1">
      <c r="A957" s="39"/>
      <c r="B957" s="60"/>
      <c r="C957" s="18"/>
      <c r="D957" s="18"/>
      <c r="E957" s="60"/>
      <c r="F957" s="39"/>
      <c r="G957" s="39"/>
      <c r="H957" s="39"/>
      <c r="I957" s="39"/>
      <c r="J957" s="39"/>
      <c r="K957" s="110"/>
      <c r="L957" s="53"/>
      <c r="M957" s="54"/>
      <c r="N957" s="54"/>
      <c r="O957" s="54"/>
      <c r="P957" s="54"/>
      <c r="Q957" s="53"/>
      <c r="R957" s="18"/>
      <c r="S957" s="18"/>
      <c r="T957" s="18"/>
      <c r="U957" s="18"/>
      <c r="V957" s="18"/>
      <c r="W957" s="18"/>
      <c r="X957" s="18"/>
      <c r="Y957" s="18"/>
      <c r="Z957" s="18"/>
      <c r="AA957" s="18"/>
    </row>
    <row r="958" spans="1:27" s="42" customFormat="1">
      <c r="A958" s="39"/>
      <c r="B958" s="60"/>
      <c r="C958" s="18"/>
      <c r="D958" s="18"/>
      <c r="E958" s="60"/>
      <c r="F958" s="39"/>
      <c r="G958" s="39"/>
      <c r="H958" s="39"/>
      <c r="I958" s="39"/>
      <c r="J958" s="39"/>
      <c r="K958" s="110"/>
      <c r="L958" s="53"/>
      <c r="M958" s="54"/>
      <c r="N958" s="54"/>
      <c r="O958" s="54"/>
      <c r="P958" s="54"/>
      <c r="Q958" s="53"/>
      <c r="R958" s="18"/>
      <c r="S958" s="18"/>
      <c r="T958" s="18"/>
      <c r="U958" s="18"/>
      <c r="V958" s="18"/>
      <c r="W958" s="18"/>
      <c r="X958" s="18"/>
      <c r="Y958" s="18"/>
      <c r="Z958" s="18"/>
      <c r="AA958" s="18"/>
    </row>
    <row r="959" spans="1:27" s="42" customFormat="1">
      <c r="A959" s="39"/>
      <c r="B959" s="60"/>
      <c r="C959" s="18"/>
      <c r="D959" s="18"/>
      <c r="E959" s="60"/>
      <c r="F959" s="39"/>
      <c r="G959" s="39"/>
      <c r="H959" s="39"/>
      <c r="I959" s="39"/>
      <c r="J959" s="39"/>
      <c r="K959" s="110"/>
      <c r="L959" s="53"/>
      <c r="M959" s="54"/>
      <c r="N959" s="54"/>
      <c r="O959" s="54"/>
      <c r="P959" s="54"/>
      <c r="Q959" s="53"/>
      <c r="R959" s="18"/>
      <c r="S959" s="18"/>
      <c r="T959" s="18"/>
      <c r="U959" s="18"/>
      <c r="V959" s="18"/>
      <c r="W959" s="18"/>
      <c r="X959" s="18"/>
      <c r="Y959" s="18"/>
      <c r="Z959" s="18"/>
      <c r="AA959" s="18"/>
    </row>
    <row r="960" spans="1:27" s="42" customFormat="1">
      <c r="A960" s="39"/>
      <c r="B960" s="60"/>
      <c r="C960" s="18"/>
      <c r="D960" s="18"/>
      <c r="E960" s="60"/>
      <c r="F960" s="39"/>
      <c r="G960" s="39"/>
      <c r="H960" s="39"/>
      <c r="I960" s="39"/>
      <c r="J960" s="39"/>
      <c r="K960" s="110"/>
      <c r="L960" s="53"/>
      <c r="M960" s="54"/>
      <c r="N960" s="54"/>
      <c r="O960" s="54"/>
      <c r="P960" s="54"/>
      <c r="Q960" s="53"/>
      <c r="R960" s="18"/>
      <c r="S960" s="18"/>
      <c r="T960" s="18"/>
      <c r="U960" s="18"/>
      <c r="V960" s="18"/>
      <c r="W960" s="18"/>
      <c r="X960" s="18"/>
      <c r="Y960" s="18"/>
      <c r="Z960" s="18"/>
      <c r="AA960" s="18"/>
    </row>
    <row r="961" spans="1:27" s="42" customFormat="1">
      <c r="A961" s="39"/>
      <c r="B961" s="60"/>
      <c r="C961" s="18"/>
      <c r="D961" s="18"/>
      <c r="E961" s="60"/>
      <c r="F961" s="39"/>
      <c r="G961" s="39"/>
      <c r="H961" s="39"/>
      <c r="I961" s="39"/>
      <c r="J961" s="39"/>
      <c r="K961" s="110"/>
      <c r="L961" s="53"/>
      <c r="M961" s="54"/>
      <c r="N961" s="54"/>
      <c r="O961" s="54"/>
      <c r="P961" s="54"/>
      <c r="Q961" s="53"/>
      <c r="R961" s="18"/>
      <c r="S961" s="18"/>
      <c r="T961" s="18"/>
      <c r="U961" s="18"/>
      <c r="V961" s="18"/>
      <c r="W961" s="18"/>
      <c r="X961" s="18"/>
      <c r="Y961" s="18"/>
      <c r="Z961" s="18"/>
      <c r="AA961" s="18"/>
    </row>
    <row r="962" spans="1:27" s="42" customFormat="1">
      <c r="A962" s="39"/>
      <c r="B962" s="60"/>
      <c r="C962" s="18"/>
      <c r="D962" s="18"/>
      <c r="E962" s="60"/>
      <c r="F962" s="39"/>
      <c r="G962" s="39"/>
      <c r="H962" s="39"/>
      <c r="I962" s="39"/>
      <c r="J962" s="39"/>
      <c r="K962" s="110"/>
      <c r="L962" s="53"/>
      <c r="M962" s="54"/>
      <c r="N962" s="54"/>
      <c r="O962" s="54"/>
      <c r="P962" s="54"/>
      <c r="Q962" s="53"/>
      <c r="R962" s="18"/>
      <c r="S962" s="18"/>
      <c r="T962" s="18"/>
      <c r="U962" s="18"/>
      <c r="V962" s="18"/>
      <c r="W962" s="18"/>
      <c r="X962" s="18"/>
      <c r="Y962" s="18"/>
      <c r="Z962" s="18"/>
      <c r="AA962" s="18"/>
    </row>
    <row r="963" spans="1:27" s="42" customFormat="1">
      <c r="A963" s="39"/>
      <c r="B963" s="60"/>
      <c r="C963" s="18"/>
      <c r="D963" s="18"/>
      <c r="E963" s="60"/>
      <c r="F963" s="39"/>
      <c r="G963" s="39"/>
      <c r="H963" s="39"/>
      <c r="I963" s="39"/>
      <c r="J963" s="39"/>
      <c r="K963" s="110"/>
      <c r="L963" s="53"/>
      <c r="M963" s="54"/>
      <c r="N963" s="54"/>
      <c r="O963" s="54"/>
      <c r="P963" s="54"/>
      <c r="Q963" s="53"/>
      <c r="R963" s="18"/>
      <c r="S963" s="18"/>
      <c r="T963" s="18"/>
      <c r="U963" s="18"/>
      <c r="V963" s="18"/>
      <c r="W963" s="18"/>
      <c r="X963" s="18"/>
      <c r="Y963" s="18"/>
      <c r="Z963" s="18"/>
      <c r="AA963" s="18"/>
    </row>
    <row r="964" spans="1:27" s="42" customFormat="1">
      <c r="A964" s="39"/>
      <c r="B964" s="60"/>
      <c r="C964" s="18"/>
      <c r="D964" s="18"/>
      <c r="E964" s="60"/>
      <c r="F964" s="39"/>
      <c r="G964" s="39"/>
      <c r="H964" s="39"/>
      <c r="I964" s="39"/>
      <c r="J964" s="39"/>
      <c r="K964" s="110"/>
      <c r="L964" s="53"/>
      <c r="M964" s="54"/>
      <c r="N964" s="54"/>
      <c r="O964" s="54"/>
      <c r="P964" s="54"/>
      <c r="Q964" s="53"/>
      <c r="R964" s="18"/>
      <c r="S964" s="18"/>
      <c r="T964" s="18"/>
      <c r="U964" s="18"/>
      <c r="V964" s="18"/>
      <c r="W964" s="18"/>
      <c r="X964" s="18"/>
      <c r="Y964" s="18"/>
      <c r="Z964" s="18"/>
      <c r="AA964" s="18"/>
    </row>
    <row r="965" spans="1:27" s="42" customFormat="1">
      <c r="A965" s="39"/>
      <c r="B965" s="60"/>
      <c r="C965" s="18"/>
      <c r="D965" s="18"/>
      <c r="E965" s="60"/>
      <c r="F965" s="39"/>
      <c r="G965" s="39"/>
      <c r="H965" s="39"/>
      <c r="I965" s="39"/>
      <c r="J965" s="39"/>
      <c r="K965" s="110"/>
      <c r="L965" s="53"/>
      <c r="M965" s="54"/>
      <c r="N965" s="54"/>
      <c r="O965" s="54"/>
      <c r="P965" s="54"/>
      <c r="Q965" s="53"/>
      <c r="R965" s="18"/>
      <c r="S965" s="18"/>
      <c r="T965" s="18"/>
      <c r="U965" s="18"/>
      <c r="V965" s="18"/>
      <c r="W965" s="18"/>
      <c r="X965" s="18"/>
      <c r="Y965" s="18"/>
      <c r="Z965" s="18"/>
      <c r="AA965" s="18"/>
    </row>
    <row r="966" spans="1:27" s="42" customFormat="1">
      <c r="A966" s="39"/>
      <c r="B966" s="60"/>
      <c r="C966" s="18"/>
      <c r="D966" s="18"/>
      <c r="E966" s="60"/>
      <c r="F966" s="39"/>
      <c r="G966" s="39"/>
      <c r="H966" s="39"/>
      <c r="I966" s="39"/>
      <c r="J966" s="39"/>
      <c r="K966" s="110"/>
      <c r="L966" s="53"/>
      <c r="M966" s="54"/>
      <c r="N966" s="54"/>
      <c r="O966" s="54"/>
      <c r="P966" s="54"/>
      <c r="Q966" s="53"/>
      <c r="R966" s="18"/>
      <c r="S966" s="18"/>
      <c r="T966" s="18"/>
      <c r="U966" s="18"/>
      <c r="V966" s="18"/>
      <c r="W966" s="18"/>
      <c r="X966" s="18"/>
      <c r="Y966" s="18"/>
      <c r="Z966" s="18"/>
      <c r="AA966" s="18"/>
    </row>
    <row r="967" spans="1:27" s="42" customFormat="1">
      <c r="A967" s="39"/>
      <c r="B967" s="60"/>
      <c r="C967" s="18"/>
      <c r="D967" s="18"/>
      <c r="E967" s="60"/>
      <c r="F967" s="39"/>
      <c r="G967" s="39"/>
      <c r="H967" s="39"/>
      <c r="I967" s="39"/>
      <c r="J967" s="39"/>
      <c r="K967" s="110"/>
      <c r="L967" s="53"/>
      <c r="M967" s="54"/>
      <c r="N967" s="54"/>
      <c r="O967" s="54"/>
      <c r="P967" s="54"/>
      <c r="Q967" s="53"/>
      <c r="R967" s="18"/>
      <c r="S967" s="18"/>
      <c r="T967" s="18"/>
      <c r="U967" s="18"/>
      <c r="V967" s="18"/>
      <c r="W967" s="18"/>
      <c r="X967" s="18"/>
      <c r="Y967" s="18"/>
      <c r="Z967" s="18"/>
      <c r="AA967" s="18"/>
    </row>
    <row r="968" spans="1:27" s="42" customFormat="1">
      <c r="A968" s="39"/>
      <c r="B968" s="60"/>
      <c r="C968" s="18"/>
      <c r="D968" s="18"/>
      <c r="E968" s="60"/>
      <c r="F968" s="39"/>
      <c r="G968" s="39"/>
      <c r="H968" s="39"/>
      <c r="I968" s="39"/>
      <c r="J968" s="39"/>
      <c r="K968" s="110"/>
      <c r="L968" s="53"/>
      <c r="M968" s="54"/>
      <c r="N968" s="54"/>
      <c r="O968" s="54"/>
      <c r="P968" s="54"/>
      <c r="Q968" s="53"/>
      <c r="R968" s="18"/>
      <c r="S968" s="18"/>
      <c r="T968" s="18"/>
      <c r="U968" s="18"/>
      <c r="V968" s="18"/>
      <c r="W968" s="18"/>
      <c r="X968" s="18"/>
      <c r="Y968" s="18"/>
      <c r="Z968" s="18"/>
      <c r="AA968" s="18"/>
    </row>
    <row r="969" spans="1:27" s="42" customFormat="1">
      <c r="A969" s="39"/>
      <c r="B969" s="60"/>
      <c r="C969" s="18"/>
      <c r="D969" s="18"/>
      <c r="E969" s="60"/>
      <c r="F969" s="39"/>
      <c r="G969" s="39"/>
      <c r="H969" s="39"/>
      <c r="I969" s="39"/>
      <c r="J969" s="39"/>
      <c r="K969" s="110"/>
      <c r="L969" s="53"/>
      <c r="M969" s="54"/>
      <c r="N969" s="54"/>
      <c r="O969" s="54"/>
      <c r="P969" s="54"/>
      <c r="Q969" s="53"/>
      <c r="R969" s="18"/>
      <c r="S969" s="18"/>
      <c r="T969" s="18"/>
      <c r="U969" s="18"/>
      <c r="V969" s="18"/>
      <c r="W969" s="18"/>
      <c r="X969" s="18"/>
      <c r="Y969" s="18"/>
      <c r="Z969" s="18"/>
      <c r="AA969" s="18"/>
    </row>
    <row r="970" spans="1:27" s="42" customFormat="1">
      <c r="A970" s="39"/>
      <c r="B970" s="60"/>
      <c r="C970" s="18"/>
      <c r="D970" s="39"/>
      <c r="E970" s="60"/>
      <c r="F970" s="39"/>
      <c r="G970" s="39"/>
      <c r="H970" s="39"/>
      <c r="I970" s="39"/>
      <c r="J970" s="39"/>
      <c r="K970" s="110"/>
      <c r="L970" s="53"/>
      <c r="M970" s="54"/>
      <c r="N970" s="54"/>
      <c r="O970" s="54"/>
      <c r="P970" s="54"/>
      <c r="Q970" s="53"/>
      <c r="R970" s="18"/>
      <c r="S970" s="18"/>
      <c r="T970" s="18"/>
      <c r="U970" s="18"/>
      <c r="V970" s="18"/>
      <c r="W970" s="18"/>
      <c r="X970" s="18"/>
      <c r="Y970" s="18"/>
      <c r="Z970" s="18"/>
      <c r="AA970" s="18"/>
    </row>
    <row r="971" spans="1:27" s="42" customFormat="1">
      <c r="A971" s="39"/>
      <c r="B971" s="60"/>
      <c r="C971" s="18"/>
      <c r="D971" s="39"/>
      <c r="E971" s="60"/>
      <c r="F971" s="39"/>
      <c r="G971" s="39"/>
      <c r="H971" s="39"/>
      <c r="I971" s="39"/>
      <c r="J971" s="39"/>
      <c r="K971" s="110"/>
      <c r="L971" s="53"/>
      <c r="M971" s="54"/>
      <c r="N971" s="54"/>
      <c r="O971" s="54"/>
      <c r="P971" s="54"/>
      <c r="Q971" s="53"/>
      <c r="R971" s="18"/>
      <c r="S971" s="18"/>
      <c r="T971" s="18"/>
      <c r="U971" s="18"/>
      <c r="V971" s="18"/>
      <c r="W971" s="18"/>
      <c r="X971" s="18"/>
      <c r="Y971" s="18"/>
      <c r="Z971" s="18"/>
      <c r="AA971" s="18"/>
    </row>
    <row r="972" spans="1:27" s="42" customFormat="1">
      <c r="A972" s="39"/>
      <c r="B972" s="60"/>
      <c r="C972" s="18"/>
      <c r="D972" s="39"/>
      <c r="E972" s="60"/>
      <c r="F972" s="39"/>
      <c r="G972" s="39"/>
      <c r="H972" s="39"/>
      <c r="I972" s="39"/>
      <c r="J972" s="39"/>
      <c r="K972" s="109"/>
      <c r="L972" s="53"/>
      <c r="M972" s="54"/>
      <c r="N972" s="54"/>
      <c r="O972" s="54"/>
      <c r="P972" s="54"/>
      <c r="Q972" s="53"/>
      <c r="R972" s="18"/>
      <c r="S972" s="18"/>
      <c r="T972" s="18"/>
      <c r="U972" s="18"/>
      <c r="V972" s="18"/>
      <c r="W972" s="18"/>
      <c r="X972" s="18"/>
      <c r="Y972" s="18"/>
      <c r="Z972" s="18"/>
      <c r="AA972" s="18"/>
    </row>
    <row r="973" spans="1:27" s="42" customFormat="1">
      <c r="A973" s="39"/>
      <c r="B973" s="60"/>
      <c r="C973" s="18"/>
      <c r="D973" s="39"/>
      <c r="E973" s="60"/>
      <c r="F973" s="39"/>
      <c r="G973" s="39"/>
      <c r="H973" s="39"/>
      <c r="I973" s="39"/>
      <c r="J973" s="39"/>
      <c r="K973" s="109"/>
      <c r="L973" s="53"/>
      <c r="M973" s="54"/>
      <c r="N973" s="54"/>
      <c r="O973" s="54"/>
      <c r="P973" s="54"/>
      <c r="Q973" s="53"/>
      <c r="R973" s="18"/>
      <c r="S973" s="18"/>
      <c r="T973" s="18"/>
      <c r="U973" s="18"/>
      <c r="V973" s="18"/>
      <c r="W973" s="18"/>
      <c r="X973" s="18"/>
      <c r="Y973" s="18"/>
      <c r="Z973" s="18"/>
      <c r="AA973" s="18"/>
    </row>
    <row r="974" spans="1:27" s="42" customFormat="1">
      <c r="A974" s="39"/>
      <c r="B974" s="60"/>
      <c r="C974" s="18"/>
      <c r="D974" s="39"/>
      <c r="E974" s="60"/>
      <c r="F974" s="39"/>
      <c r="G974" s="39"/>
      <c r="H974" s="39"/>
      <c r="I974" s="39"/>
      <c r="J974" s="39"/>
      <c r="K974" s="109"/>
      <c r="L974" s="53"/>
      <c r="M974" s="54"/>
      <c r="N974" s="54"/>
      <c r="O974" s="54"/>
      <c r="P974" s="54"/>
      <c r="Q974" s="53"/>
      <c r="R974" s="18"/>
      <c r="S974" s="18"/>
      <c r="T974" s="18"/>
      <c r="U974" s="18"/>
      <c r="V974" s="18"/>
      <c r="W974" s="18"/>
      <c r="X974" s="18"/>
      <c r="Y974" s="18"/>
      <c r="Z974" s="18"/>
      <c r="AA974" s="1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dimension ref="A1:S1181"/>
  <sheetViews>
    <sheetView zoomScale="60" zoomScaleNormal="60" workbookViewId="0">
      <selection activeCell="F23" sqref="F23"/>
    </sheetView>
  </sheetViews>
  <sheetFormatPr defaultRowHeight="12.75"/>
  <cols>
    <col min="1" max="1" width="11.125" style="121" customWidth="1"/>
    <col min="2" max="2" width="22.25" style="670" customWidth="1"/>
    <col min="3" max="4" width="6.375" style="627" customWidth="1"/>
    <col min="5" max="5" width="24.125" style="628" customWidth="1"/>
    <col min="6" max="6" width="53.75" style="628" customWidth="1"/>
    <col min="7" max="7" width="41.5" style="628" customWidth="1"/>
    <col min="8" max="8" width="54.625" style="628" customWidth="1"/>
    <col min="9" max="9" width="7.625" style="627" bestFit="1" customWidth="1"/>
    <col min="10" max="10" width="52.875" style="628" customWidth="1"/>
    <col min="11" max="11" width="10.25" style="315" customWidth="1"/>
    <col min="12" max="12" width="11" style="53" bestFit="1" customWidth="1"/>
    <col min="13" max="13" width="11.875" style="315" bestFit="1" customWidth="1"/>
    <col min="14" max="14" width="11.875" style="315" customWidth="1"/>
    <col min="15" max="15" width="10.375" style="315" customWidth="1"/>
    <col min="16" max="16" width="11.875" style="315" bestFit="1" customWidth="1"/>
    <col min="17" max="17" width="11.75" style="315" customWidth="1"/>
    <col min="18" max="18" width="10" style="315" customWidth="1"/>
    <col min="19" max="19" width="9" style="630"/>
    <col min="20" max="16384" width="9" style="670"/>
  </cols>
  <sheetData>
    <row r="1" spans="1:19" s="654" customFormat="1" ht="18.75">
      <c r="A1" s="114" t="s">
        <v>2626</v>
      </c>
      <c r="C1" s="611"/>
      <c r="D1" s="611"/>
      <c r="E1" s="610"/>
      <c r="F1" s="610"/>
      <c r="G1" s="612" t="s">
        <v>2</v>
      </c>
      <c r="H1" s="610"/>
      <c r="I1" s="611"/>
      <c r="J1" s="610"/>
      <c r="K1" s="297"/>
      <c r="L1" s="43"/>
      <c r="M1" s="297"/>
      <c r="N1" s="297"/>
      <c r="O1" s="297"/>
      <c r="P1" s="297"/>
      <c r="Q1" s="297"/>
      <c r="R1" s="297"/>
      <c r="S1" s="613"/>
    </row>
    <row r="2" spans="1:19" s="654" customFormat="1" ht="18.75">
      <c r="A2" s="517" t="s">
        <v>2627</v>
      </c>
      <c r="C2" s="611"/>
      <c r="D2" s="611"/>
      <c r="E2" s="610"/>
      <c r="F2" s="610"/>
      <c r="G2" s="612" t="s">
        <v>3</v>
      </c>
      <c r="H2" s="610"/>
      <c r="I2" s="611"/>
      <c r="J2" s="610"/>
      <c r="K2" s="297"/>
      <c r="L2" s="43"/>
      <c r="M2" s="297"/>
      <c r="N2" s="297"/>
      <c r="O2" s="297"/>
      <c r="P2" s="297"/>
      <c r="Q2" s="297"/>
      <c r="R2" s="297"/>
      <c r="S2" s="613"/>
    </row>
    <row r="3" spans="1:19" s="654" customFormat="1" ht="18.75">
      <c r="A3" s="296"/>
      <c r="C3" s="611"/>
      <c r="D3" s="611"/>
      <c r="E3" s="610"/>
      <c r="F3" s="610"/>
      <c r="G3" s="610"/>
      <c r="H3" s="610"/>
      <c r="I3" s="611"/>
      <c r="J3" s="610"/>
      <c r="K3" s="297"/>
      <c r="L3" s="43"/>
      <c r="M3" s="297"/>
      <c r="N3" s="297"/>
      <c r="O3" s="297"/>
      <c r="P3" s="297"/>
      <c r="Q3" s="297"/>
      <c r="R3" s="297"/>
      <c r="S3" s="613"/>
    </row>
    <row r="4" spans="1:19" s="654" customFormat="1" ht="18.75">
      <c r="A4" s="296"/>
      <c r="C4" s="611"/>
      <c r="D4" s="611"/>
      <c r="E4" s="610"/>
      <c r="F4" s="610"/>
      <c r="G4" s="614" t="s">
        <v>12649</v>
      </c>
      <c r="H4" s="610"/>
      <c r="I4" s="611"/>
      <c r="J4" s="610"/>
      <c r="K4" s="297"/>
      <c r="L4" s="43"/>
      <c r="M4" s="297"/>
      <c r="N4" s="297"/>
      <c r="O4" s="297"/>
      <c r="P4" s="297"/>
      <c r="Q4" s="297"/>
      <c r="R4" s="297"/>
      <c r="S4" s="613"/>
    </row>
    <row r="6" spans="1:19" s="656" customFormat="1" ht="18.75">
      <c r="A6" s="599" t="s">
        <v>12650</v>
      </c>
      <c r="B6" s="615"/>
      <c r="C6" s="615"/>
      <c r="D6" s="615"/>
      <c r="E6" s="616"/>
      <c r="F6" s="616"/>
      <c r="G6" s="617"/>
      <c r="H6" s="616"/>
      <c r="I6" s="650"/>
      <c r="J6" s="616"/>
      <c r="K6" s="676"/>
      <c r="L6" s="45"/>
      <c r="M6" s="677"/>
      <c r="N6" s="677"/>
      <c r="O6" s="677"/>
      <c r="P6" s="677"/>
      <c r="Q6" s="677"/>
      <c r="R6" s="677"/>
      <c r="S6" s="655"/>
    </row>
    <row r="7" spans="1:19" s="656" customFormat="1" ht="15.75">
      <c r="A7" s="112"/>
      <c r="E7" s="618"/>
      <c r="F7" s="618"/>
      <c r="G7" s="619"/>
      <c r="H7" s="618"/>
      <c r="I7" s="651"/>
      <c r="J7" s="618"/>
      <c r="K7" s="677"/>
      <c r="L7" s="45"/>
      <c r="M7" s="677"/>
      <c r="N7" s="677"/>
      <c r="O7" s="677"/>
      <c r="P7" s="677"/>
      <c r="Q7" s="677"/>
      <c r="R7" s="677"/>
      <c r="S7" s="655"/>
    </row>
    <row r="8" spans="1:19" s="656" customFormat="1" ht="15.75">
      <c r="A8" s="112"/>
      <c r="E8" s="618"/>
      <c r="F8" s="618"/>
      <c r="G8" s="619"/>
      <c r="H8" s="618"/>
      <c r="I8" s="651"/>
      <c r="J8" s="618"/>
      <c r="K8" s="677"/>
      <c r="L8" s="45"/>
      <c r="M8" s="677"/>
      <c r="N8" s="677"/>
      <c r="O8" s="677"/>
      <c r="P8" s="677"/>
      <c r="Q8" s="677"/>
      <c r="R8" s="677"/>
      <c r="S8" s="655"/>
    </row>
    <row r="9" spans="1:19" s="675" customFormat="1" ht="54.75" customHeight="1">
      <c r="A9" s="598" t="s">
        <v>5090</v>
      </c>
      <c r="B9" s="620" t="s">
        <v>214</v>
      </c>
      <c r="C9" s="620" t="s">
        <v>2629</v>
      </c>
      <c r="D9" s="620" t="s">
        <v>2630</v>
      </c>
      <c r="E9" s="620" t="s">
        <v>2631</v>
      </c>
      <c r="F9" s="620" t="s">
        <v>2632</v>
      </c>
      <c r="G9" s="620" t="s">
        <v>2633</v>
      </c>
      <c r="H9" s="620" t="s">
        <v>2634</v>
      </c>
      <c r="I9" s="620" t="s">
        <v>2635</v>
      </c>
      <c r="J9" s="620" t="s">
        <v>2636</v>
      </c>
      <c r="K9" s="678" t="s">
        <v>2637</v>
      </c>
      <c r="L9" s="678" t="s">
        <v>2638</v>
      </c>
      <c r="M9" s="679" t="s">
        <v>2639</v>
      </c>
      <c r="N9" s="679" t="s">
        <v>2640</v>
      </c>
      <c r="O9" s="679" t="s">
        <v>2641</v>
      </c>
      <c r="P9" s="679" t="s">
        <v>9036</v>
      </c>
      <c r="Q9" s="679" t="s">
        <v>2642</v>
      </c>
      <c r="R9" s="678" t="s">
        <v>2643</v>
      </c>
      <c r="S9" s="674"/>
    </row>
    <row r="10" spans="1:19" s="659" customFormat="1" ht="20.100000000000001" customHeight="1">
      <c r="A10" s="657" t="s">
        <v>4973</v>
      </c>
      <c r="B10" s="649" t="s">
        <v>702</v>
      </c>
      <c r="C10" s="621"/>
      <c r="D10" s="621"/>
      <c r="E10" s="649" t="s">
        <v>4974</v>
      </c>
      <c r="F10" s="622" t="s">
        <v>7102</v>
      </c>
      <c r="G10" s="622" t="s">
        <v>7103</v>
      </c>
      <c r="H10" s="649" t="s">
        <v>262</v>
      </c>
      <c r="I10" s="652" t="s">
        <v>11</v>
      </c>
      <c r="J10" s="622" t="s">
        <v>6113</v>
      </c>
      <c r="K10" s="680">
        <v>1490</v>
      </c>
      <c r="L10" s="680"/>
      <c r="M10" s="681">
        <v>5000</v>
      </c>
      <c r="N10" s="681"/>
      <c r="O10" s="681">
        <v>0</v>
      </c>
      <c r="P10" s="680">
        <v>0</v>
      </c>
      <c r="Q10" s="682">
        <v>0</v>
      </c>
      <c r="R10" s="681">
        <v>5000</v>
      </c>
      <c r="S10" s="658"/>
    </row>
    <row r="11" spans="1:19" s="659" customFormat="1" ht="20.100000000000001" customHeight="1">
      <c r="A11" s="657" t="s">
        <v>4973</v>
      </c>
      <c r="B11" s="649" t="s">
        <v>702</v>
      </c>
      <c r="C11" s="621"/>
      <c r="D11" s="621"/>
      <c r="E11" s="649" t="s">
        <v>4974</v>
      </c>
      <c r="F11" s="622" t="s">
        <v>7102</v>
      </c>
      <c r="G11" s="622" t="s">
        <v>7103</v>
      </c>
      <c r="H11" s="649" t="s">
        <v>262</v>
      </c>
      <c r="I11" s="652" t="s">
        <v>11</v>
      </c>
      <c r="J11" s="622" t="s">
        <v>6113</v>
      </c>
      <c r="K11" s="680">
        <v>1490</v>
      </c>
      <c r="L11" s="680"/>
      <c r="M11" s="681">
        <v>2500</v>
      </c>
      <c r="N11" s="681"/>
      <c r="O11" s="681">
        <v>2500</v>
      </c>
      <c r="P11" s="680">
        <v>2500</v>
      </c>
      <c r="Q11" s="682">
        <v>0</v>
      </c>
      <c r="R11" s="681">
        <v>0</v>
      </c>
      <c r="S11" s="658"/>
    </row>
    <row r="12" spans="1:19" s="659" customFormat="1" ht="20.100000000000001" customHeight="1">
      <c r="A12" s="657" t="s">
        <v>7116</v>
      </c>
      <c r="B12" s="649" t="s">
        <v>5013</v>
      </c>
      <c r="C12" s="621"/>
      <c r="D12" s="621"/>
      <c r="E12" s="649" t="s">
        <v>7118</v>
      </c>
      <c r="F12" s="622" t="s">
        <v>7120</v>
      </c>
      <c r="G12" s="622" t="s">
        <v>621</v>
      </c>
      <c r="H12" s="649" t="s">
        <v>7117</v>
      </c>
      <c r="I12" s="652" t="s">
        <v>520</v>
      </c>
      <c r="J12" s="622" t="s">
        <v>7119</v>
      </c>
      <c r="K12" s="680">
        <v>1407</v>
      </c>
      <c r="L12" s="680"/>
      <c r="M12" s="681">
        <v>6300</v>
      </c>
      <c r="N12" s="681"/>
      <c r="O12" s="681">
        <v>6300</v>
      </c>
      <c r="P12" s="680">
        <v>0</v>
      </c>
      <c r="Q12" s="682">
        <v>6300</v>
      </c>
      <c r="R12" s="681">
        <v>0</v>
      </c>
      <c r="S12" s="658"/>
    </row>
    <row r="13" spans="1:19" s="659" customFormat="1" ht="20.100000000000001" customHeight="1">
      <c r="A13" s="657" t="s">
        <v>7116</v>
      </c>
      <c r="B13" s="649" t="s">
        <v>5013</v>
      </c>
      <c r="C13" s="621"/>
      <c r="D13" s="621"/>
      <c r="E13" s="649" t="s">
        <v>7118</v>
      </c>
      <c r="F13" s="622" t="s">
        <v>7120</v>
      </c>
      <c r="G13" s="622" t="s">
        <v>621</v>
      </c>
      <c r="H13" s="649" t="s">
        <v>7117</v>
      </c>
      <c r="I13" s="652" t="s">
        <v>520</v>
      </c>
      <c r="J13" s="622" t="s">
        <v>7119</v>
      </c>
      <c r="K13" s="680">
        <v>1407</v>
      </c>
      <c r="L13" s="680"/>
      <c r="M13" s="681">
        <v>9990</v>
      </c>
      <c r="N13" s="681"/>
      <c r="O13" s="681">
        <v>2162</v>
      </c>
      <c r="P13" s="680">
        <v>0</v>
      </c>
      <c r="Q13" s="682">
        <v>2162</v>
      </c>
      <c r="R13" s="681">
        <v>7828</v>
      </c>
      <c r="S13" s="658"/>
    </row>
    <row r="14" spans="1:19" s="659" customFormat="1" ht="20.100000000000001" customHeight="1">
      <c r="A14" s="657" t="s">
        <v>3715</v>
      </c>
      <c r="B14" s="649" t="s">
        <v>1333</v>
      </c>
      <c r="C14" s="621"/>
      <c r="D14" s="621"/>
      <c r="E14" s="649" t="s">
        <v>630</v>
      </c>
      <c r="F14" s="622" t="s">
        <v>633</v>
      </c>
      <c r="G14" s="622" t="s">
        <v>621</v>
      </c>
      <c r="H14" s="649" t="s">
        <v>3716</v>
      </c>
      <c r="I14" s="652" t="s">
        <v>15</v>
      </c>
      <c r="J14" s="622" t="s">
        <v>7958</v>
      </c>
      <c r="K14" s="680">
        <v>6132</v>
      </c>
      <c r="L14" s="680">
        <v>10</v>
      </c>
      <c r="M14" s="681">
        <v>0</v>
      </c>
      <c r="N14" s="681"/>
      <c r="O14" s="681">
        <v>10</v>
      </c>
      <c r="P14" s="680">
        <v>10</v>
      </c>
      <c r="Q14" s="682">
        <v>0</v>
      </c>
      <c r="R14" s="681">
        <v>0</v>
      </c>
      <c r="S14" s="658"/>
    </row>
    <row r="15" spans="1:19" s="659" customFormat="1" ht="20.100000000000001" customHeight="1">
      <c r="A15" s="657" t="s">
        <v>3715</v>
      </c>
      <c r="B15" s="649" t="s">
        <v>1333</v>
      </c>
      <c r="C15" s="621"/>
      <c r="D15" s="621"/>
      <c r="E15" s="649" t="s">
        <v>630</v>
      </c>
      <c r="F15" s="622" t="s">
        <v>633</v>
      </c>
      <c r="G15" s="622" t="s">
        <v>621</v>
      </c>
      <c r="H15" s="649" t="s">
        <v>3716</v>
      </c>
      <c r="I15" s="652" t="s">
        <v>15</v>
      </c>
      <c r="J15" s="622" t="s">
        <v>7958</v>
      </c>
      <c r="K15" s="680">
        <v>6132</v>
      </c>
      <c r="L15" s="680"/>
      <c r="M15" s="681">
        <v>80</v>
      </c>
      <c r="N15" s="681"/>
      <c r="O15" s="681">
        <v>70</v>
      </c>
      <c r="P15" s="680">
        <v>70</v>
      </c>
      <c r="Q15" s="682">
        <v>0</v>
      </c>
      <c r="R15" s="681">
        <v>10</v>
      </c>
      <c r="S15" s="658"/>
    </row>
    <row r="16" spans="1:19" s="659" customFormat="1" ht="20.100000000000001" customHeight="1">
      <c r="A16" s="657" t="s">
        <v>8462</v>
      </c>
      <c r="B16" s="649" t="s">
        <v>1333</v>
      </c>
      <c r="C16" s="621"/>
      <c r="D16" s="621"/>
      <c r="E16" s="649" t="s">
        <v>630</v>
      </c>
      <c r="F16" s="622" t="s">
        <v>633</v>
      </c>
      <c r="G16" s="622" t="s">
        <v>621</v>
      </c>
      <c r="H16" s="649" t="s">
        <v>3716</v>
      </c>
      <c r="I16" s="652" t="s">
        <v>15</v>
      </c>
      <c r="J16" s="622" t="s">
        <v>7958</v>
      </c>
      <c r="K16" s="680">
        <v>6132</v>
      </c>
      <c r="L16" s="680"/>
      <c r="M16" s="681">
        <v>90</v>
      </c>
      <c r="N16" s="681"/>
      <c r="O16" s="681">
        <v>90</v>
      </c>
      <c r="P16" s="680">
        <v>90</v>
      </c>
      <c r="Q16" s="682">
        <v>0</v>
      </c>
      <c r="R16" s="681">
        <v>0</v>
      </c>
      <c r="S16" s="658"/>
    </row>
    <row r="17" spans="1:19" s="659" customFormat="1" ht="20.100000000000001" customHeight="1">
      <c r="A17" s="657" t="s">
        <v>4784</v>
      </c>
      <c r="B17" s="649" t="s">
        <v>438</v>
      </c>
      <c r="C17" s="621"/>
      <c r="D17" s="621"/>
      <c r="E17" s="649" t="s">
        <v>4785</v>
      </c>
      <c r="F17" s="622" t="s">
        <v>440</v>
      </c>
      <c r="G17" s="622" t="s">
        <v>441</v>
      </c>
      <c r="H17" s="649" t="s">
        <v>229</v>
      </c>
      <c r="I17" s="652" t="s">
        <v>628</v>
      </c>
      <c r="J17" s="622" t="s">
        <v>12662</v>
      </c>
      <c r="K17" s="680">
        <v>1190</v>
      </c>
      <c r="L17" s="680">
        <v>112</v>
      </c>
      <c r="M17" s="681">
        <v>0</v>
      </c>
      <c r="N17" s="681"/>
      <c r="O17" s="681">
        <v>112</v>
      </c>
      <c r="P17" s="680">
        <v>112</v>
      </c>
      <c r="Q17" s="682">
        <v>0</v>
      </c>
      <c r="R17" s="681">
        <v>0</v>
      </c>
      <c r="S17" s="658"/>
    </row>
    <row r="18" spans="1:19" s="659" customFormat="1" ht="20.100000000000001" customHeight="1">
      <c r="A18" s="657" t="s">
        <v>4978</v>
      </c>
      <c r="B18" s="649" t="s">
        <v>3513</v>
      </c>
      <c r="C18" s="621"/>
      <c r="D18" s="621"/>
      <c r="E18" s="649" t="s">
        <v>4979</v>
      </c>
      <c r="F18" s="622" t="s">
        <v>8025</v>
      </c>
      <c r="G18" s="622" t="s">
        <v>621</v>
      </c>
      <c r="H18" s="649" t="s">
        <v>4980</v>
      </c>
      <c r="I18" s="652" t="s">
        <v>15</v>
      </c>
      <c r="J18" s="622" t="s">
        <v>6940</v>
      </c>
      <c r="K18" s="680">
        <v>16590</v>
      </c>
      <c r="L18" s="680">
        <v>105</v>
      </c>
      <c r="M18" s="681">
        <v>0</v>
      </c>
      <c r="N18" s="681"/>
      <c r="O18" s="681">
        <v>97</v>
      </c>
      <c r="P18" s="680">
        <v>1</v>
      </c>
      <c r="Q18" s="682">
        <v>96</v>
      </c>
      <c r="R18" s="681">
        <v>8</v>
      </c>
      <c r="S18" s="658"/>
    </row>
    <row r="19" spans="1:19" s="659" customFormat="1" ht="20.100000000000001" customHeight="1">
      <c r="A19" s="657" t="s">
        <v>4978</v>
      </c>
      <c r="B19" s="649" t="s">
        <v>3513</v>
      </c>
      <c r="C19" s="621"/>
      <c r="D19" s="621"/>
      <c r="E19" s="649" t="s">
        <v>4979</v>
      </c>
      <c r="F19" s="622" t="s">
        <v>8025</v>
      </c>
      <c r="G19" s="622" t="s">
        <v>621</v>
      </c>
      <c r="H19" s="649" t="s">
        <v>4980</v>
      </c>
      <c r="I19" s="652" t="s">
        <v>15</v>
      </c>
      <c r="J19" s="622" t="s">
        <v>6940</v>
      </c>
      <c r="K19" s="680">
        <v>16590</v>
      </c>
      <c r="L19" s="680">
        <v>220</v>
      </c>
      <c r="M19" s="681">
        <v>0</v>
      </c>
      <c r="N19" s="681"/>
      <c r="O19" s="681">
        <v>9</v>
      </c>
      <c r="P19" s="680">
        <v>0</v>
      </c>
      <c r="Q19" s="682">
        <v>9</v>
      </c>
      <c r="R19" s="681">
        <v>211</v>
      </c>
      <c r="S19" s="658"/>
    </row>
    <row r="20" spans="1:19" s="659" customFormat="1" ht="20.100000000000001" customHeight="1">
      <c r="A20" s="657" t="s">
        <v>3717</v>
      </c>
      <c r="B20" s="649" t="s">
        <v>560</v>
      </c>
      <c r="C20" s="621"/>
      <c r="D20" s="621"/>
      <c r="E20" s="649" t="s">
        <v>3718</v>
      </c>
      <c r="F20" s="622" t="s">
        <v>5778</v>
      </c>
      <c r="G20" s="622" t="s">
        <v>5779</v>
      </c>
      <c r="H20" s="649" t="s">
        <v>299</v>
      </c>
      <c r="I20" s="652" t="s">
        <v>13</v>
      </c>
      <c r="J20" s="622" t="s">
        <v>5777</v>
      </c>
      <c r="K20" s="680">
        <v>2009</v>
      </c>
      <c r="L20" s="680"/>
      <c r="M20" s="681">
        <v>3000</v>
      </c>
      <c r="N20" s="681"/>
      <c r="O20" s="681">
        <v>2995</v>
      </c>
      <c r="P20" s="680">
        <v>2000</v>
      </c>
      <c r="Q20" s="682">
        <v>995</v>
      </c>
      <c r="R20" s="681">
        <v>5</v>
      </c>
      <c r="S20" s="658"/>
    </row>
    <row r="21" spans="1:19" s="659" customFormat="1" ht="20.100000000000001" customHeight="1">
      <c r="A21" s="657" t="s">
        <v>3717</v>
      </c>
      <c r="B21" s="649" t="s">
        <v>560</v>
      </c>
      <c r="C21" s="621"/>
      <c r="D21" s="621"/>
      <c r="E21" s="649" t="s">
        <v>3718</v>
      </c>
      <c r="F21" s="622" t="s">
        <v>5778</v>
      </c>
      <c r="G21" s="622" t="s">
        <v>5779</v>
      </c>
      <c r="H21" s="649" t="s">
        <v>299</v>
      </c>
      <c r="I21" s="652" t="s">
        <v>13</v>
      </c>
      <c r="J21" s="622" t="s">
        <v>5777</v>
      </c>
      <c r="K21" s="680">
        <v>2009</v>
      </c>
      <c r="L21" s="680">
        <v>3</v>
      </c>
      <c r="M21" s="681">
        <v>0</v>
      </c>
      <c r="N21" s="681"/>
      <c r="O21" s="681">
        <v>3</v>
      </c>
      <c r="P21" s="680">
        <v>0</v>
      </c>
      <c r="Q21" s="682">
        <v>3</v>
      </c>
      <c r="R21" s="681">
        <v>0</v>
      </c>
      <c r="S21" s="658"/>
    </row>
    <row r="22" spans="1:19" s="659" customFormat="1" ht="20.100000000000001" customHeight="1">
      <c r="A22" s="657" t="s">
        <v>6988</v>
      </c>
      <c r="B22" s="649" t="s">
        <v>560</v>
      </c>
      <c r="C22" s="621"/>
      <c r="D22" s="621"/>
      <c r="E22" s="649" t="s">
        <v>939</v>
      </c>
      <c r="F22" s="622" t="s">
        <v>6990</v>
      </c>
      <c r="G22" s="622" t="s">
        <v>806</v>
      </c>
      <c r="H22" s="649" t="s">
        <v>299</v>
      </c>
      <c r="I22" s="652" t="s">
        <v>12</v>
      </c>
      <c r="J22" s="622" t="s">
        <v>6989</v>
      </c>
      <c r="K22" s="680">
        <v>370</v>
      </c>
      <c r="L22" s="680"/>
      <c r="M22" s="681">
        <v>1000</v>
      </c>
      <c r="N22" s="681"/>
      <c r="O22" s="681">
        <v>1000</v>
      </c>
      <c r="P22" s="680">
        <v>1000</v>
      </c>
      <c r="Q22" s="682">
        <v>0</v>
      </c>
      <c r="R22" s="681">
        <v>0</v>
      </c>
      <c r="S22" s="658"/>
    </row>
    <row r="23" spans="1:19" s="659" customFormat="1" ht="20.100000000000001" customHeight="1">
      <c r="A23" s="657" t="s">
        <v>6988</v>
      </c>
      <c r="B23" s="649" t="s">
        <v>560</v>
      </c>
      <c r="C23" s="621"/>
      <c r="D23" s="621"/>
      <c r="E23" s="649" t="s">
        <v>939</v>
      </c>
      <c r="F23" s="622" t="s">
        <v>6990</v>
      </c>
      <c r="G23" s="622" t="s">
        <v>806</v>
      </c>
      <c r="H23" s="649" t="s">
        <v>299</v>
      </c>
      <c r="I23" s="652" t="s">
        <v>12</v>
      </c>
      <c r="J23" s="622" t="s">
        <v>6989</v>
      </c>
      <c r="K23" s="680">
        <v>370</v>
      </c>
      <c r="L23" s="680"/>
      <c r="M23" s="681">
        <v>700</v>
      </c>
      <c r="N23" s="681"/>
      <c r="O23" s="681">
        <v>700</v>
      </c>
      <c r="P23" s="680">
        <v>700</v>
      </c>
      <c r="Q23" s="682">
        <v>0</v>
      </c>
      <c r="R23" s="681">
        <v>0</v>
      </c>
      <c r="S23" s="658"/>
    </row>
    <row r="24" spans="1:19" s="659" customFormat="1" ht="20.100000000000001" customHeight="1">
      <c r="A24" s="657" t="s">
        <v>6988</v>
      </c>
      <c r="B24" s="649" t="s">
        <v>560</v>
      </c>
      <c r="C24" s="621"/>
      <c r="D24" s="621"/>
      <c r="E24" s="649" t="s">
        <v>939</v>
      </c>
      <c r="F24" s="622" t="s">
        <v>6990</v>
      </c>
      <c r="G24" s="622" t="s">
        <v>806</v>
      </c>
      <c r="H24" s="649" t="s">
        <v>299</v>
      </c>
      <c r="I24" s="652" t="s">
        <v>12</v>
      </c>
      <c r="J24" s="622" t="s">
        <v>6989</v>
      </c>
      <c r="K24" s="680">
        <v>370</v>
      </c>
      <c r="L24" s="680"/>
      <c r="M24" s="681">
        <v>3300</v>
      </c>
      <c r="N24" s="681"/>
      <c r="O24" s="681">
        <v>3300</v>
      </c>
      <c r="P24" s="680">
        <v>3300</v>
      </c>
      <c r="Q24" s="682">
        <v>0</v>
      </c>
      <c r="R24" s="681">
        <v>0</v>
      </c>
      <c r="S24" s="658"/>
    </row>
    <row r="25" spans="1:19" s="659" customFormat="1" ht="20.100000000000001" customHeight="1">
      <c r="A25" s="657" t="s">
        <v>6998</v>
      </c>
      <c r="B25" s="649" t="s">
        <v>560</v>
      </c>
      <c r="C25" s="621"/>
      <c r="D25" s="621"/>
      <c r="E25" s="649" t="s">
        <v>939</v>
      </c>
      <c r="F25" s="622" t="s">
        <v>7000</v>
      </c>
      <c r="G25" s="622" t="s">
        <v>7001</v>
      </c>
      <c r="H25" s="649" t="s">
        <v>299</v>
      </c>
      <c r="I25" s="652" t="s">
        <v>11</v>
      </c>
      <c r="J25" s="622" t="s">
        <v>6999</v>
      </c>
      <c r="K25" s="680">
        <v>210</v>
      </c>
      <c r="L25" s="680"/>
      <c r="M25" s="681">
        <v>14000</v>
      </c>
      <c r="N25" s="681"/>
      <c r="O25" s="681">
        <v>14000</v>
      </c>
      <c r="P25" s="680">
        <v>14000</v>
      </c>
      <c r="Q25" s="682">
        <v>0</v>
      </c>
      <c r="R25" s="681">
        <v>0</v>
      </c>
      <c r="S25" s="658"/>
    </row>
    <row r="26" spans="1:19" s="659" customFormat="1" ht="20.100000000000001" customHeight="1">
      <c r="A26" s="657" t="s">
        <v>6998</v>
      </c>
      <c r="B26" s="649" t="s">
        <v>560</v>
      </c>
      <c r="C26" s="621"/>
      <c r="D26" s="621"/>
      <c r="E26" s="649" t="s">
        <v>939</v>
      </c>
      <c r="F26" s="622" t="s">
        <v>7000</v>
      </c>
      <c r="G26" s="622" t="s">
        <v>7001</v>
      </c>
      <c r="H26" s="649" t="s">
        <v>299</v>
      </c>
      <c r="I26" s="652" t="s">
        <v>11</v>
      </c>
      <c r="J26" s="622" t="s">
        <v>6999</v>
      </c>
      <c r="K26" s="680">
        <v>210</v>
      </c>
      <c r="L26" s="680"/>
      <c r="M26" s="681">
        <v>31000</v>
      </c>
      <c r="N26" s="681"/>
      <c r="O26" s="681">
        <v>23000</v>
      </c>
      <c r="P26" s="680">
        <v>23000</v>
      </c>
      <c r="Q26" s="682">
        <v>0</v>
      </c>
      <c r="R26" s="681">
        <v>8000</v>
      </c>
      <c r="S26" s="658"/>
    </row>
    <row r="27" spans="1:19" s="659" customFormat="1" ht="20.100000000000001" customHeight="1">
      <c r="A27" s="657" t="s">
        <v>3721</v>
      </c>
      <c r="B27" s="649" t="s">
        <v>639</v>
      </c>
      <c r="C27" s="621"/>
      <c r="D27" s="621"/>
      <c r="E27" s="649" t="s">
        <v>3722</v>
      </c>
      <c r="F27" s="622" t="s">
        <v>643</v>
      </c>
      <c r="G27" s="622" t="s">
        <v>644</v>
      </c>
      <c r="H27" s="649" t="s">
        <v>641</v>
      </c>
      <c r="I27" s="652" t="s">
        <v>10</v>
      </c>
      <c r="J27" s="622" t="s">
        <v>642</v>
      </c>
      <c r="K27" s="680">
        <v>1099</v>
      </c>
      <c r="L27" s="680">
        <v>35</v>
      </c>
      <c r="M27" s="681">
        <v>0</v>
      </c>
      <c r="N27" s="681"/>
      <c r="O27" s="681">
        <v>35</v>
      </c>
      <c r="P27" s="680">
        <v>35</v>
      </c>
      <c r="Q27" s="682">
        <v>0</v>
      </c>
      <c r="R27" s="681">
        <v>0</v>
      </c>
      <c r="S27" s="658"/>
    </row>
    <row r="28" spans="1:19" s="659" customFormat="1" ht="20.100000000000001" customHeight="1">
      <c r="A28" s="657" t="s">
        <v>8757</v>
      </c>
      <c r="B28" s="649" t="s">
        <v>8758</v>
      </c>
      <c r="C28" s="621"/>
      <c r="D28" s="621"/>
      <c r="E28" s="649" t="s">
        <v>8760</v>
      </c>
      <c r="F28" s="622" t="s">
        <v>8762</v>
      </c>
      <c r="G28" s="622" t="s">
        <v>8701</v>
      </c>
      <c r="H28" s="649" t="s">
        <v>12262</v>
      </c>
      <c r="I28" s="652" t="s">
        <v>15</v>
      </c>
      <c r="J28" s="622" t="s">
        <v>8761</v>
      </c>
      <c r="K28" s="680">
        <v>27405</v>
      </c>
      <c r="L28" s="680"/>
      <c r="M28" s="681">
        <v>510</v>
      </c>
      <c r="N28" s="681"/>
      <c r="O28" s="681">
        <v>208</v>
      </c>
      <c r="P28" s="680">
        <v>82</v>
      </c>
      <c r="Q28" s="682">
        <v>126</v>
      </c>
      <c r="R28" s="681">
        <v>302</v>
      </c>
      <c r="S28" s="658"/>
    </row>
    <row r="29" spans="1:19" s="659" customFormat="1" ht="20.100000000000001" customHeight="1">
      <c r="A29" s="657" t="s">
        <v>8757</v>
      </c>
      <c r="B29" s="649" t="s">
        <v>8758</v>
      </c>
      <c r="C29" s="621"/>
      <c r="D29" s="621"/>
      <c r="E29" s="649" t="s">
        <v>8760</v>
      </c>
      <c r="F29" s="622" t="s">
        <v>8762</v>
      </c>
      <c r="G29" s="622" t="s">
        <v>8701</v>
      </c>
      <c r="H29" s="649" t="s">
        <v>12262</v>
      </c>
      <c r="I29" s="652" t="s">
        <v>15</v>
      </c>
      <c r="J29" s="622" t="s">
        <v>8761</v>
      </c>
      <c r="K29" s="680">
        <v>27405</v>
      </c>
      <c r="L29" s="680"/>
      <c r="M29" s="681">
        <v>240</v>
      </c>
      <c r="N29" s="681"/>
      <c r="O29" s="681">
        <v>0</v>
      </c>
      <c r="P29" s="680">
        <v>0</v>
      </c>
      <c r="Q29" s="682">
        <v>0</v>
      </c>
      <c r="R29" s="681">
        <v>240</v>
      </c>
      <c r="S29" s="658"/>
    </row>
    <row r="30" spans="1:19" s="659" customFormat="1" ht="20.100000000000001" customHeight="1">
      <c r="A30" s="657" t="s">
        <v>8196</v>
      </c>
      <c r="B30" s="649" t="s">
        <v>1352</v>
      </c>
      <c r="C30" s="621"/>
      <c r="D30" s="621"/>
      <c r="E30" s="649" t="s">
        <v>8197</v>
      </c>
      <c r="F30" s="622" t="s">
        <v>8198</v>
      </c>
      <c r="G30" s="622" t="s">
        <v>7674</v>
      </c>
      <c r="H30" s="649" t="s">
        <v>238</v>
      </c>
      <c r="I30" s="652" t="s">
        <v>11</v>
      </c>
      <c r="J30" s="622" t="s">
        <v>7871</v>
      </c>
      <c r="K30" s="680">
        <v>3100</v>
      </c>
      <c r="L30" s="680"/>
      <c r="M30" s="681">
        <v>4980</v>
      </c>
      <c r="N30" s="681"/>
      <c r="O30" s="681">
        <v>0</v>
      </c>
      <c r="P30" s="680">
        <v>0</v>
      </c>
      <c r="Q30" s="682">
        <v>0</v>
      </c>
      <c r="R30" s="681">
        <v>4980</v>
      </c>
      <c r="S30" s="658"/>
    </row>
    <row r="31" spans="1:19" s="659" customFormat="1" ht="20.100000000000001" customHeight="1">
      <c r="A31" s="657" t="s">
        <v>3728</v>
      </c>
      <c r="B31" s="649" t="s">
        <v>588</v>
      </c>
      <c r="C31" s="621"/>
      <c r="D31" s="621"/>
      <c r="E31" s="649" t="s">
        <v>1410</v>
      </c>
      <c r="F31" s="622" t="s">
        <v>5708</v>
      </c>
      <c r="G31" s="622" t="s">
        <v>5709</v>
      </c>
      <c r="H31" s="649" t="s">
        <v>267</v>
      </c>
      <c r="I31" s="652" t="s">
        <v>10</v>
      </c>
      <c r="J31" s="622" t="s">
        <v>5707</v>
      </c>
      <c r="K31" s="680">
        <v>3840</v>
      </c>
      <c r="L31" s="680"/>
      <c r="M31" s="681">
        <v>5600</v>
      </c>
      <c r="N31" s="681"/>
      <c r="O31" s="681">
        <v>2548</v>
      </c>
      <c r="P31" s="680">
        <v>0</v>
      </c>
      <c r="Q31" s="682">
        <v>2548</v>
      </c>
      <c r="R31" s="681">
        <v>3052</v>
      </c>
      <c r="S31" s="658"/>
    </row>
    <row r="32" spans="1:19" s="659" customFormat="1" ht="20.100000000000001" customHeight="1">
      <c r="A32" s="657" t="s">
        <v>3729</v>
      </c>
      <c r="B32" s="649" t="s">
        <v>1999</v>
      </c>
      <c r="C32" s="621"/>
      <c r="D32" s="621"/>
      <c r="E32" s="649" t="s">
        <v>3730</v>
      </c>
      <c r="F32" s="622" t="s">
        <v>6158</v>
      </c>
      <c r="G32" s="622" t="s">
        <v>1412</v>
      </c>
      <c r="H32" s="649" t="s">
        <v>2001</v>
      </c>
      <c r="I32" s="652" t="s">
        <v>11</v>
      </c>
      <c r="J32" s="622" t="s">
        <v>5707</v>
      </c>
      <c r="K32" s="680">
        <v>9800</v>
      </c>
      <c r="L32" s="680">
        <v>298</v>
      </c>
      <c r="M32" s="681">
        <v>0</v>
      </c>
      <c r="N32" s="681"/>
      <c r="O32" s="681">
        <v>298</v>
      </c>
      <c r="P32" s="680">
        <v>0</v>
      </c>
      <c r="Q32" s="682">
        <v>298</v>
      </c>
      <c r="R32" s="681">
        <v>0</v>
      </c>
      <c r="S32" s="658"/>
    </row>
    <row r="33" spans="1:19" s="659" customFormat="1" ht="20.100000000000001" customHeight="1">
      <c r="A33" s="657"/>
      <c r="B33" s="649" t="s">
        <v>639</v>
      </c>
      <c r="C33" s="621"/>
      <c r="D33" s="621"/>
      <c r="E33" s="649" t="s">
        <v>1717</v>
      </c>
      <c r="F33" s="622" t="s">
        <v>1719</v>
      </c>
      <c r="G33" s="622" t="s">
        <v>1170</v>
      </c>
      <c r="H33" s="649" t="s">
        <v>299</v>
      </c>
      <c r="I33" s="652" t="s">
        <v>11</v>
      </c>
      <c r="J33" s="622" t="s">
        <v>1718</v>
      </c>
      <c r="K33" s="680">
        <v>1200</v>
      </c>
      <c r="L33" s="680">
        <v>786</v>
      </c>
      <c r="M33" s="681">
        <v>0</v>
      </c>
      <c r="N33" s="681"/>
      <c r="O33" s="681">
        <v>635</v>
      </c>
      <c r="P33" s="680">
        <v>49</v>
      </c>
      <c r="Q33" s="682">
        <v>586</v>
      </c>
      <c r="R33" s="681">
        <v>151</v>
      </c>
      <c r="S33" s="658"/>
    </row>
    <row r="34" spans="1:19" s="659" customFormat="1" ht="20.100000000000001" customHeight="1">
      <c r="A34" s="657" t="s">
        <v>4982</v>
      </c>
      <c r="B34" s="649" t="s">
        <v>1550</v>
      </c>
      <c r="C34" s="621"/>
      <c r="D34" s="621"/>
      <c r="E34" s="649" t="s">
        <v>1776</v>
      </c>
      <c r="F34" s="622" t="s">
        <v>1778</v>
      </c>
      <c r="G34" s="622" t="s">
        <v>7362</v>
      </c>
      <c r="H34" s="649" t="s">
        <v>1777</v>
      </c>
      <c r="I34" s="652" t="s">
        <v>11</v>
      </c>
      <c r="J34" s="622" t="s">
        <v>7525</v>
      </c>
      <c r="K34" s="680">
        <v>240</v>
      </c>
      <c r="L34" s="680">
        <v>24</v>
      </c>
      <c r="M34" s="681">
        <v>0</v>
      </c>
      <c r="N34" s="681"/>
      <c r="O34" s="681">
        <v>24</v>
      </c>
      <c r="P34" s="680">
        <v>24</v>
      </c>
      <c r="Q34" s="682">
        <v>0</v>
      </c>
      <c r="R34" s="681">
        <v>0</v>
      </c>
      <c r="S34" s="658"/>
    </row>
    <row r="35" spans="1:19" s="659" customFormat="1" ht="20.100000000000001" customHeight="1">
      <c r="A35" s="657" t="s">
        <v>3733</v>
      </c>
      <c r="B35" s="649" t="s">
        <v>724</v>
      </c>
      <c r="C35" s="621"/>
      <c r="D35" s="621"/>
      <c r="E35" s="649" t="s">
        <v>2594</v>
      </c>
      <c r="F35" s="622" t="s">
        <v>8171</v>
      </c>
      <c r="G35" s="622" t="s">
        <v>7015</v>
      </c>
      <c r="H35" s="649" t="s">
        <v>733</v>
      </c>
      <c r="I35" s="652" t="s">
        <v>520</v>
      </c>
      <c r="J35" s="622" t="s">
        <v>8170</v>
      </c>
      <c r="K35" s="680">
        <v>1701</v>
      </c>
      <c r="L35" s="680">
        <v>600</v>
      </c>
      <c r="M35" s="681">
        <v>0</v>
      </c>
      <c r="N35" s="681"/>
      <c r="O35" s="681">
        <v>469</v>
      </c>
      <c r="P35" s="680">
        <v>0</v>
      </c>
      <c r="Q35" s="682">
        <v>469</v>
      </c>
      <c r="R35" s="681">
        <v>131</v>
      </c>
      <c r="S35" s="658"/>
    </row>
    <row r="36" spans="1:19" s="659" customFormat="1" ht="20.100000000000001" customHeight="1">
      <c r="A36" s="657" t="s">
        <v>3733</v>
      </c>
      <c r="B36" s="649" t="s">
        <v>724</v>
      </c>
      <c r="C36" s="621"/>
      <c r="D36" s="621"/>
      <c r="E36" s="649" t="s">
        <v>2594</v>
      </c>
      <c r="F36" s="622" t="s">
        <v>8171</v>
      </c>
      <c r="G36" s="622" t="s">
        <v>7015</v>
      </c>
      <c r="H36" s="649" t="s">
        <v>733</v>
      </c>
      <c r="I36" s="652" t="s">
        <v>520</v>
      </c>
      <c r="J36" s="622" t="s">
        <v>8170</v>
      </c>
      <c r="K36" s="680">
        <v>1701</v>
      </c>
      <c r="L36" s="680">
        <v>279</v>
      </c>
      <c r="M36" s="681">
        <v>0</v>
      </c>
      <c r="N36" s="681"/>
      <c r="O36" s="681">
        <v>214</v>
      </c>
      <c r="P36" s="680">
        <v>79</v>
      </c>
      <c r="Q36" s="682">
        <v>135</v>
      </c>
      <c r="R36" s="681">
        <v>65</v>
      </c>
      <c r="S36" s="658"/>
    </row>
    <row r="37" spans="1:19" s="659" customFormat="1" ht="20.100000000000001" customHeight="1">
      <c r="A37" s="657" t="s">
        <v>3735</v>
      </c>
      <c r="B37" s="649" t="s">
        <v>1727</v>
      </c>
      <c r="C37" s="621"/>
      <c r="D37" s="621"/>
      <c r="E37" s="649" t="s">
        <v>3736</v>
      </c>
      <c r="F37" s="622" t="s">
        <v>1729</v>
      </c>
      <c r="G37" s="622" t="s">
        <v>7555</v>
      </c>
      <c r="H37" s="649" t="s">
        <v>238</v>
      </c>
      <c r="I37" s="652" t="s">
        <v>11</v>
      </c>
      <c r="J37" s="622" t="s">
        <v>7554</v>
      </c>
      <c r="K37" s="680">
        <v>1250</v>
      </c>
      <c r="L37" s="680">
        <v>699</v>
      </c>
      <c r="M37" s="681">
        <v>0</v>
      </c>
      <c r="N37" s="681"/>
      <c r="O37" s="681">
        <v>699</v>
      </c>
      <c r="P37" s="680">
        <v>0</v>
      </c>
      <c r="Q37" s="682">
        <v>699</v>
      </c>
      <c r="R37" s="681">
        <v>0</v>
      </c>
      <c r="S37" s="658"/>
    </row>
    <row r="38" spans="1:19" s="659" customFormat="1" ht="20.100000000000001" customHeight="1">
      <c r="A38" s="657" t="s">
        <v>3738</v>
      </c>
      <c r="B38" s="649" t="s">
        <v>3739</v>
      </c>
      <c r="C38" s="621"/>
      <c r="D38" s="621"/>
      <c r="E38" s="649" t="s">
        <v>1885</v>
      </c>
      <c r="F38" s="622" t="s">
        <v>1886</v>
      </c>
      <c r="G38" s="622" t="s">
        <v>7426</v>
      </c>
      <c r="H38" s="649" t="s">
        <v>235</v>
      </c>
      <c r="I38" s="652" t="s">
        <v>11</v>
      </c>
      <c r="J38" s="622" t="s">
        <v>7425</v>
      </c>
      <c r="K38" s="680">
        <v>2980</v>
      </c>
      <c r="L38" s="680">
        <v>17477</v>
      </c>
      <c r="M38" s="681">
        <v>0</v>
      </c>
      <c r="N38" s="681"/>
      <c r="O38" s="681">
        <v>17477</v>
      </c>
      <c r="P38" s="680">
        <v>0</v>
      </c>
      <c r="Q38" s="682">
        <v>17477</v>
      </c>
      <c r="R38" s="681">
        <v>0</v>
      </c>
      <c r="S38" s="658"/>
    </row>
    <row r="39" spans="1:19" s="659" customFormat="1" ht="20.100000000000001" customHeight="1">
      <c r="A39" s="657" t="s">
        <v>3738</v>
      </c>
      <c r="B39" s="649" t="s">
        <v>3739</v>
      </c>
      <c r="C39" s="621"/>
      <c r="D39" s="621"/>
      <c r="E39" s="649" t="s">
        <v>1885</v>
      </c>
      <c r="F39" s="622" t="s">
        <v>1886</v>
      </c>
      <c r="G39" s="622" t="s">
        <v>7426</v>
      </c>
      <c r="H39" s="649" t="s">
        <v>235</v>
      </c>
      <c r="I39" s="652" t="s">
        <v>11</v>
      </c>
      <c r="J39" s="622" t="s">
        <v>7425</v>
      </c>
      <c r="K39" s="680">
        <v>2980</v>
      </c>
      <c r="L39" s="680"/>
      <c r="M39" s="681">
        <v>29970</v>
      </c>
      <c r="N39" s="681"/>
      <c r="O39" s="681">
        <v>8590</v>
      </c>
      <c r="P39" s="680">
        <v>0</v>
      </c>
      <c r="Q39" s="682">
        <v>8590</v>
      </c>
      <c r="R39" s="681">
        <v>21380</v>
      </c>
      <c r="S39" s="658"/>
    </row>
    <row r="40" spans="1:19" s="659" customFormat="1" ht="20.100000000000001" customHeight="1">
      <c r="A40" s="657" t="s">
        <v>3741</v>
      </c>
      <c r="B40" s="649" t="s">
        <v>639</v>
      </c>
      <c r="C40" s="621"/>
      <c r="D40" s="621"/>
      <c r="E40" s="649" t="s">
        <v>3742</v>
      </c>
      <c r="F40" s="622" t="s">
        <v>7416</v>
      </c>
      <c r="G40" s="622" t="s">
        <v>7211</v>
      </c>
      <c r="H40" s="649" t="s">
        <v>299</v>
      </c>
      <c r="I40" s="652" t="s">
        <v>11</v>
      </c>
      <c r="J40" s="622" t="s">
        <v>7415</v>
      </c>
      <c r="K40" s="680">
        <v>340</v>
      </c>
      <c r="L40" s="680"/>
      <c r="M40" s="681">
        <v>800</v>
      </c>
      <c r="N40" s="681"/>
      <c r="O40" s="681">
        <v>780</v>
      </c>
      <c r="P40" s="680">
        <v>780</v>
      </c>
      <c r="Q40" s="682">
        <v>0</v>
      </c>
      <c r="R40" s="681">
        <v>20</v>
      </c>
      <c r="S40" s="658"/>
    </row>
    <row r="41" spans="1:19" s="659" customFormat="1" ht="20.100000000000001" customHeight="1">
      <c r="A41" s="657" t="s">
        <v>3741</v>
      </c>
      <c r="B41" s="649" t="s">
        <v>639</v>
      </c>
      <c r="C41" s="621"/>
      <c r="D41" s="621"/>
      <c r="E41" s="649" t="s">
        <v>3742</v>
      </c>
      <c r="F41" s="622" t="s">
        <v>7416</v>
      </c>
      <c r="G41" s="622" t="s">
        <v>7211</v>
      </c>
      <c r="H41" s="649" t="s">
        <v>299</v>
      </c>
      <c r="I41" s="652" t="s">
        <v>11</v>
      </c>
      <c r="J41" s="622" t="s">
        <v>7415</v>
      </c>
      <c r="K41" s="680">
        <v>340</v>
      </c>
      <c r="L41" s="680">
        <v>20</v>
      </c>
      <c r="M41" s="681">
        <v>0</v>
      </c>
      <c r="N41" s="681"/>
      <c r="O41" s="681">
        <v>20</v>
      </c>
      <c r="P41" s="680">
        <v>20</v>
      </c>
      <c r="Q41" s="682">
        <v>0</v>
      </c>
      <c r="R41" s="681">
        <v>0</v>
      </c>
      <c r="S41" s="658"/>
    </row>
    <row r="42" spans="1:19" s="659" customFormat="1" ht="20.100000000000001" customHeight="1">
      <c r="A42" s="657" t="s">
        <v>7720</v>
      </c>
      <c r="B42" s="649" t="s">
        <v>645</v>
      </c>
      <c r="C42" s="621"/>
      <c r="D42" s="621"/>
      <c r="E42" s="649" t="s">
        <v>7721</v>
      </c>
      <c r="F42" s="622" t="s">
        <v>7723</v>
      </c>
      <c r="G42" s="622" t="s">
        <v>7575</v>
      </c>
      <c r="H42" s="649" t="s">
        <v>291</v>
      </c>
      <c r="I42" s="652" t="s">
        <v>11</v>
      </c>
      <c r="J42" s="622" t="s">
        <v>7722</v>
      </c>
      <c r="K42" s="680">
        <v>199</v>
      </c>
      <c r="L42" s="680"/>
      <c r="M42" s="681">
        <v>2240</v>
      </c>
      <c r="N42" s="681"/>
      <c r="O42" s="681">
        <v>1480</v>
      </c>
      <c r="P42" s="680">
        <v>1480</v>
      </c>
      <c r="Q42" s="682">
        <v>0</v>
      </c>
      <c r="R42" s="681">
        <v>760</v>
      </c>
      <c r="S42" s="658"/>
    </row>
    <row r="43" spans="1:19" s="659" customFormat="1" ht="20.100000000000001" customHeight="1">
      <c r="A43" s="657" t="s">
        <v>3746</v>
      </c>
      <c r="B43" s="649" t="s">
        <v>556</v>
      </c>
      <c r="C43" s="621"/>
      <c r="D43" s="621"/>
      <c r="E43" s="649" t="s">
        <v>3747</v>
      </c>
      <c r="F43" s="622" t="s">
        <v>7715</v>
      </c>
      <c r="G43" s="622" t="s">
        <v>7211</v>
      </c>
      <c r="H43" s="649" t="s">
        <v>327</v>
      </c>
      <c r="I43" s="652" t="s">
        <v>11</v>
      </c>
      <c r="J43" s="622" t="s">
        <v>7712</v>
      </c>
      <c r="K43" s="680">
        <v>272</v>
      </c>
      <c r="L43" s="680"/>
      <c r="M43" s="681">
        <v>990</v>
      </c>
      <c r="N43" s="681"/>
      <c r="O43" s="681">
        <v>990</v>
      </c>
      <c r="P43" s="680">
        <v>990</v>
      </c>
      <c r="Q43" s="682">
        <v>0</v>
      </c>
      <c r="R43" s="681">
        <v>0</v>
      </c>
      <c r="S43" s="658"/>
    </row>
    <row r="44" spans="1:19" s="659" customFormat="1" ht="20.100000000000001" customHeight="1">
      <c r="A44" s="657"/>
      <c r="B44" s="649" t="s">
        <v>227</v>
      </c>
      <c r="C44" s="621"/>
      <c r="D44" s="621"/>
      <c r="E44" s="649" t="s">
        <v>4787</v>
      </c>
      <c r="F44" s="622" t="s">
        <v>233</v>
      </c>
      <c r="G44" s="622" t="s">
        <v>215</v>
      </c>
      <c r="H44" s="649" t="s">
        <v>232</v>
      </c>
      <c r="I44" s="652" t="s">
        <v>12</v>
      </c>
      <c r="J44" s="622" t="s">
        <v>5498</v>
      </c>
      <c r="K44" s="680">
        <v>365</v>
      </c>
      <c r="L44" s="680">
        <v>266</v>
      </c>
      <c r="M44" s="681">
        <v>0</v>
      </c>
      <c r="N44" s="681"/>
      <c r="O44" s="681">
        <v>266</v>
      </c>
      <c r="P44" s="680">
        <v>0</v>
      </c>
      <c r="Q44" s="682">
        <v>266</v>
      </c>
      <c r="R44" s="681">
        <v>0</v>
      </c>
      <c r="S44" s="658"/>
    </row>
    <row r="45" spans="1:19" s="659" customFormat="1" ht="20.100000000000001" customHeight="1">
      <c r="A45" s="657"/>
      <c r="B45" s="649" t="s">
        <v>227</v>
      </c>
      <c r="C45" s="621"/>
      <c r="D45" s="621"/>
      <c r="E45" s="649" t="s">
        <v>4787</v>
      </c>
      <c r="F45" s="622" t="s">
        <v>233</v>
      </c>
      <c r="G45" s="622" t="s">
        <v>215</v>
      </c>
      <c r="H45" s="649" t="s">
        <v>232</v>
      </c>
      <c r="I45" s="652" t="s">
        <v>12</v>
      </c>
      <c r="J45" s="622" t="s">
        <v>5498</v>
      </c>
      <c r="K45" s="680">
        <v>365</v>
      </c>
      <c r="L45" s="680"/>
      <c r="M45" s="681">
        <v>10740</v>
      </c>
      <c r="N45" s="681"/>
      <c r="O45" s="681">
        <v>10713</v>
      </c>
      <c r="P45" s="680">
        <v>117</v>
      </c>
      <c r="Q45" s="682">
        <v>10596</v>
      </c>
      <c r="R45" s="681">
        <v>27</v>
      </c>
      <c r="S45" s="658"/>
    </row>
    <row r="46" spans="1:19" s="659" customFormat="1" ht="20.100000000000001" customHeight="1">
      <c r="A46" s="657"/>
      <c r="B46" s="649" t="s">
        <v>227</v>
      </c>
      <c r="C46" s="621"/>
      <c r="D46" s="621"/>
      <c r="E46" s="649" t="s">
        <v>4787</v>
      </c>
      <c r="F46" s="622" t="s">
        <v>233</v>
      </c>
      <c r="G46" s="622" t="s">
        <v>215</v>
      </c>
      <c r="H46" s="649" t="s">
        <v>232</v>
      </c>
      <c r="I46" s="652" t="s">
        <v>12</v>
      </c>
      <c r="J46" s="622" t="s">
        <v>5498</v>
      </c>
      <c r="K46" s="680">
        <v>365</v>
      </c>
      <c r="L46" s="680"/>
      <c r="M46" s="681">
        <v>9319</v>
      </c>
      <c r="N46" s="681"/>
      <c r="O46" s="681">
        <v>9188</v>
      </c>
      <c r="P46" s="680">
        <v>2188</v>
      </c>
      <c r="Q46" s="682">
        <v>7000</v>
      </c>
      <c r="R46" s="681">
        <v>131</v>
      </c>
      <c r="S46" s="658"/>
    </row>
    <row r="47" spans="1:19" s="659" customFormat="1" ht="20.100000000000001" customHeight="1">
      <c r="A47" s="657" t="s">
        <v>3750</v>
      </c>
      <c r="B47" s="649" t="s">
        <v>629</v>
      </c>
      <c r="C47" s="621"/>
      <c r="D47" s="621"/>
      <c r="E47" s="649" t="s">
        <v>3751</v>
      </c>
      <c r="F47" s="622" t="s">
        <v>7964</v>
      </c>
      <c r="G47" s="622" t="s">
        <v>7575</v>
      </c>
      <c r="H47" s="649" t="s">
        <v>631</v>
      </c>
      <c r="I47" s="652" t="s">
        <v>15</v>
      </c>
      <c r="J47" s="622" t="s">
        <v>7963</v>
      </c>
      <c r="K47" s="680">
        <v>11270</v>
      </c>
      <c r="L47" s="680">
        <v>10</v>
      </c>
      <c r="M47" s="681">
        <v>0</v>
      </c>
      <c r="N47" s="681"/>
      <c r="O47" s="681">
        <v>10</v>
      </c>
      <c r="P47" s="680">
        <v>10</v>
      </c>
      <c r="Q47" s="682">
        <v>0</v>
      </c>
      <c r="R47" s="681">
        <v>0</v>
      </c>
      <c r="S47" s="658"/>
    </row>
    <row r="48" spans="1:19" s="659" customFormat="1" ht="20.100000000000001" customHeight="1">
      <c r="A48" s="657" t="s">
        <v>3750</v>
      </c>
      <c r="B48" s="649" t="s">
        <v>629</v>
      </c>
      <c r="C48" s="621"/>
      <c r="D48" s="621"/>
      <c r="E48" s="649" t="s">
        <v>3751</v>
      </c>
      <c r="F48" s="622" t="s">
        <v>7964</v>
      </c>
      <c r="G48" s="622" t="s">
        <v>7575</v>
      </c>
      <c r="H48" s="649" t="s">
        <v>631</v>
      </c>
      <c r="I48" s="652" t="s">
        <v>15</v>
      </c>
      <c r="J48" s="622" t="s">
        <v>7963</v>
      </c>
      <c r="K48" s="680">
        <v>11270</v>
      </c>
      <c r="L48" s="680"/>
      <c r="M48" s="681">
        <v>100</v>
      </c>
      <c r="N48" s="681"/>
      <c r="O48" s="681">
        <v>53</v>
      </c>
      <c r="P48" s="680">
        <v>53</v>
      </c>
      <c r="Q48" s="682">
        <v>0</v>
      </c>
      <c r="R48" s="681">
        <v>47</v>
      </c>
      <c r="S48" s="658"/>
    </row>
    <row r="49" spans="1:19" s="659" customFormat="1" ht="20.100000000000001" customHeight="1">
      <c r="A49" s="657" t="s">
        <v>4457</v>
      </c>
      <c r="B49" s="649" t="s">
        <v>4459</v>
      </c>
      <c r="C49" s="621"/>
      <c r="D49" s="621"/>
      <c r="E49" s="649" t="s">
        <v>4458</v>
      </c>
      <c r="F49" s="622" t="s">
        <v>7344</v>
      </c>
      <c r="G49" s="622" t="s">
        <v>7211</v>
      </c>
      <c r="H49" s="649" t="s">
        <v>4460</v>
      </c>
      <c r="I49" s="652" t="s">
        <v>11</v>
      </c>
      <c r="J49" s="622" t="s">
        <v>7343</v>
      </c>
      <c r="K49" s="680">
        <v>1090</v>
      </c>
      <c r="L49" s="680"/>
      <c r="M49" s="681">
        <v>3240</v>
      </c>
      <c r="N49" s="681"/>
      <c r="O49" s="681">
        <v>300</v>
      </c>
      <c r="P49" s="680">
        <v>300</v>
      </c>
      <c r="Q49" s="682">
        <v>0</v>
      </c>
      <c r="R49" s="681">
        <v>2940</v>
      </c>
      <c r="S49" s="658"/>
    </row>
    <row r="50" spans="1:19" s="659" customFormat="1" ht="20.100000000000001" customHeight="1">
      <c r="A50" s="657" t="s">
        <v>4457</v>
      </c>
      <c r="B50" s="649" t="s">
        <v>4459</v>
      </c>
      <c r="C50" s="621"/>
      <c r="D50" s="621"/>
      <c r="E50" s="649" t="s">
        <v>4458</v>
      </c>
      <c r="F50" s="622" t="s">
        <v>7344</v>
      </c>
      <c r="G50" s="622" t="s">
        <v>7211</v>
      </c>
      <c r="H50" s="649" t="s">
        <v>4460</v>
      </c>
      <c r="I50" s="652" t="s">
        <v>11</v>
      </c>
      <c r="J50" s="622" t="s">
        <v>7343</v>
      </c>
      <c r="K50" s="680">
        <v>1090</v>
      </c>
      <c r="L50" s="680"/>
      <c r="M50" s="681">
        <v>60</v>
      </c>
      <c r="N50" s="681"/>
      <c r="O50" s="681">
        <v>60</v>
      </c>
      <c r="P50" s="680">
        <v>60</v>
      </c>
      <c r="Q50" s="682">
        <v>0</v>
      </c>
      <c r="R50" s="681">
        <v>0</v>
      </c>
      <c r="S50" s="658"/>
    </row>
    <row r="51" spans="1:19" s="659" customFormat="1" ht="20.100000000000001" customHeight="1">
      <c r="A51" s="657" t="s">
        <v>4983</v>
      </c>
      <c r="B51" s="649" t="s">
        <v>579</v>
      </c>
      <c r="C51" s="621"/>
      <c r="D51" s="621"/>
      <c r="E51" s="649" t="s">
        <v>580</v>
      </c>
      <c r="F51" s="622" t="s">
        <v>7135</v>
      </c>
      <c r="G51" s="622" t="s">
        <v>7136</v>
      </c>
      <c r="H51" s="649" t="s">
        <v>581</v>
      </c>
      <c r="I51" s="652" t="s">
        <v>11</v>
      </c>
      <c r="J51" s="622" t="s">
        <v>7134</v>
      </c>
      <c r="K51" s="680">
        <v>245</v>
      </c>
      <c r="L51" s="680"/>
      <c r="M51" s="681">
        <v>3000</v>
      </c>
      <c r="N51" s="681"/>
      <c r="O51" s="681">
        <v>2347</v>
      </c>
      <c r="P51" s="680">
        <v>1000</v>
      </c>
      <c r="Q51" s="682">
        <v>1347</v>
      </c>
      <c r="R51" s="681">
        <v>653</v>
      </c>
      <c r="S51" s="658"/>
    </row>
    <row r="52" spans="1:19" s="659" customFormat="1" ht="20.100000000000001" customHeight="1">
      <c r="A52" s="657" t="s">
        <v>4983</v>
      </c>
      <c r="B52" s="649" t="s">
        <v>579</v>
      </c>
      <c r="C52" s="621"/>
      <c r="D52" s="621"/>
      <c r="E52" s="649" t="s">
        <v>580</v>
      </c>
      <c r="F52" s="622" t="s">
        <v>7135</v>
      </c>
      <c r="G52" s="622" t="s">
        <v>7136</v>
      </c>
      <c r="H52" s="649" t="s">
        <v>581</v>
      </c>
      <c r="I52" s="652" t="s">
        <v>11</v>
      </c>
      <c r="J52" s="622" t="s">
        <v>7134</v>
      </c>
      <c r="K52" s="680">
        <v>245</v>
      </c>
      <c r="L52" s="680">
        <v>1664</v>
      </c>
      <c r="M52" s="681">
        <v>0</v>
      </c>
      <c r="N52" s="681"/>
      <c r="O52" s="681">
        <v>1664</v>
      </c>
      <c r="P52" s="680">
        <v>0</v>
      </c>
      <c r="Q52" s="682">
        <v>1664</v>
      </c>
      <c r="R52" s="681">
        <v>0</v>
      </c>
      <c r="S52" s="658"/>
    </row>
    <row r="53" spans="1:19" s="659" customFormat="1" ht="20.100000000000001" customHeight="1">
      <c r="A53" s="657" t="s">
        <v>4983</v>
      </c>
      <c r="B53" s="649" t="s">
        <v>579</v>
      </c>
      <c r="C53" s="621"/>
      <c r="D53" s="621"/>
      <c r="E53" s="649" t="s">
        <v>580</v>
      </c>
      <c r="F53" s="622" t="s">
        <v>7135</v>
      </c>
      <c r="G53" s="622" t="s">
        <v>7136</v>
      </c>
      <c r="H53" s="649" t="s">
        <v>581</v>
      </c>
      <c r="I53" s="652" t="s">
        <v>11</v>
      </c>
      <c r="J53" s="622" t="s">
        <v>7134</v>
      </c>
      <c r="K53" s="680">
        <v>245</v>
      </c>
      <c r="L53" s="680"/>
      <c r="M53" s="681">
        <v>1000</v>
      </c>
      <c r="N53" s="681"/>
      <c r="O53" s="681">
        <v>0</v>
      </c>
      <c r="P53" s="680">
        <v>0</v>
      </c>
      <c r="Q53" s="682">
        <v>0</v>
      </c>
      <c r="R53" s="681">
        <v>1000</v>
      </c>
      <c r="S53" s="658"/>
    </row>
    <row r="54" spans="1:19" s="659" customFormat="1" ht="20.100000000000001" customHeight="1">
      <c r="A54" s="657" t="s">
        <v>3753</v>
      </c>
      <c r="B54" s="649" t="s">
        <v>576</v>
      </c>
      <c r="C54" s="621"/>
      <c r="D54" s="621"/>
      <c r="E54" s="649" t="s">
        <v>577</v>
      </c>
      <c r="F54" s="622" t="s">
        <v>8069</v>
      </c>
      <c r="G54" s="622" t="s">
        <v>7575</v>
      </c>
      <c r="H54" s="649" t="s">
        <v>299</v>
      </c>
      <c r="I54" s="652" t="s">
        <v>11</v>
      </c>
      <c r="J54" s="622" t="s">
        <v>8068</v>
      </c>
      <c r="K54" s="680">
        <v>600</v>
      </c>
      <c r="L54" s="680"/>
      <c r="M54" s="681">
        <v>500</v>
      </c>
      <c r="N54" s="681"/>
      <c r="O54" s="681">
        <v>500</v>
      </c>
      <c r="P54" s="680">
        <v>500</v>
      </c>
      <c r="Q54" s="682">
        <v>0</v>
      </c>
      <c r="R54" s="681">
        <v>0</v>
      </c>
      <c r="S54" s="658"/>
    </row>
    <row r="55" spans="1:19" s="659" customFormat="1" ht="20.100000000000001" customHeight="1">
      <c r="A55" s="657" t="s">
        <v>3754</v>
      </c>
      <c r="B55" s="649" t="s">
        <v>1780</v>
      </c>
      <c r="C55" s="621"/>
      <c r="D55" s="621"/>
      <c r="E55" s="649" t="s">
        <v>1856</v>
      </c>
      <c r="F55" s="622" t="s">
        <v>1858</v>
      </c>
      <c r="G55" s="622" t="s">
        <v>1859</v>
      </c>
      <c r="H55" s="649" t="s">
        <v>1340</v>
      </c>
      <c r="I55" s="652" t="s">
        <v>11</v>
      </c>
      <c r="J55" s="622" t="s">
        <v>8481</v>
      </c>
      <c r="K55" s="680">
        <v>365</v>
      </c>
      <c r="L55" s="680"/>
      <c r="M55" s="681">
        <v>1</v>
      </c>
      <c r="N55" s="681"/>
      <c r="O55" s="681">
        <v>0</v>
      </c>
      <c r="P55" s="680">
        <v>0</v>
      </c>
      <c r="Q55" s="682">
        <v>0</v>
      </c>
      <c r="R55" s="681">
        <v>1</v>
      </c>
      <c r="S55" s="658"/>
    </row>
    <row r="56" spans="1:19" s="659" customFormat="1" ht="20.100000000000001" customHeight="1">
      <c r="A56" s="657" t="s">
        <v>3754</v>
      </c>
      <c r="B56" s="649" t="s">
        <v>1780</v>
      </c>
      <c r="C56" s="621"/>
      <c r="D56" s="621"/>
      <c r="E56" s="649" t="s">
        <v>1856</v>
      </c>
      <c r="F56" s="622" t="s">
        <v>1858</v>
      </c>
      <c r="G56" s="622" t="s">
        <v>1859</v>
      </c>
      <c r="H56" s="649" t="s">
        <v>1340</v>
      </c>
      <c r="I56" s="652" t="s">
        <v>11</v>
      </c>
      <c r="J56" s="622" t="s">
        <v>8481</v>
      </c>
      <c r="K56" s="680">
        <v>1365</v>
      </c>
      <c r="L56" s="680">
        <v>5917</v>
      </c>
      <c r="M56" s="681">
        <v>0</v>
      </c>
      <c r="N56" s="681"/>
      <c r="O56" s="681">
        <v>5915</v>
      </c>
      <c r="P56" s="680">
        <v>740</v>
      </c>
      <c r="Q56" s="682">
        <v>5175</v>
      </c>
      <c r="R56" s="681">
        <v>2</v>
      </c>
      <c r="S56" s="658"/>
    </row>
    <row r="57" spans="1:19" s="659" customFormat="1" ht="20.100000000000001" customHeight="1">
      <c r="A57" s="657" t="s">
        <v>3754</v>
      </c>
      <c r="B57" s="649" t="s">
        <v>1780</v>
      </c>
      <c r="C57" s="621"/>
      <c r="D57" s="621"/>
      <c r="E57" s="649" t="s">
        <v>1856</v>
      </c>
      <c r="F57" s="622" t="s">
        <v>1858</v>
      </c>
      <c r="G57" s="622" t="s">
        <v>1859</v>
      </c>
      <c r="H57" s="649" t="s">
        <v>1340</v>
      </c>
      <c r="I57" s="652" t="s">
        <v>11</v>
      </c>
      <c r="J57" s="622" t="s">
        <v>8481</v>
      </c>
      <c r="K57" s="680">
        <v>1365</v>
      </c>
      <c r="L57" s="680">
        <v>2000</v>
      </c>
      <c r="M57" s="681">
        <v>0</v>
      </c>
      <c r="N57" s="681"/>
      <c r="O57" s="681">
        <v>2000</v>
      </c>
      <c r="P57" s="680">
        <v>0</v>
      </c>
      <c r="Q57" s="682">
        <v>2000</v>
      </c>
      <c r="R57" s="681">
        <v>0</v>
      </c>
      <c r="S57" s="658"/>
    </row>
    <row r="58" spans="1:19" s="659" customFormat="1" ht="20.100000000000001" customHeight="1">
      <c r="A58" s="657" t="s">
        <v>3754</v>
      </c>
      <c r="B58" s="649" t="s">
        <v>1780</v>
      </c>
      <c r="C58" s="621"/>
      <c r="D58" s="621"/>
      <c r="E58" s="649" t="s">
        <v>1856</v>
      </c>
      <c r="F58" s="622" t="s">
        <v>1858</v>
      </c>
      <c r="G58" s="622" t="s">
        <v>1859</v>
      </c>
      <c r="H58" s="649" t="s">
        <v>1340</v>
      </c>
      <c r="I58" s="652" t="s">
        <v>11</v>
      </c>
      <c r="J58" s="622" t="s">
        <v>8481</v>
      </c>
      <c r="K58" s="680">
        <v>1365</v>
      </c>
      <c r="L58" s="680"/>
      <c r="M58" s="681">
        <v>20027</v>
      </c>
      <c r="N58" s="681"/>
      <c r="O58" s="681">
        <v>20018</v>
      </c>
      <c r="P58" s="680">
        <v>7818</v>
      </c>
      <c r="Q58" s="682">
        <v>12200</v>
      </c>
      <c r="R58" s="681">
        <v>9</v>
      </c>
      <c r="S58" s="658"/>
    </row>
    <row r="59" spans="1:19" s="659" customFormat="1" ht="20.100000000000001" customHeight="1">
      <c r="A59" s="657" t="s">
        <v>3754</v>
      </c>
      <c r="B59" s="649" t="s">
        <v>1780</v>
      </c>
      <c r="C59" s="621"/>
      <c r="D59" s="621"/>
      <c r="E59" s="649" t="s">
        <v>1856</v>
      </c>
      <c r="F59" s="622" t="s">
        <v>1858</v>
      </c>
      <c r="G59" s="622" t="s">
        <v>1859</v>
      </c>
      <c r="H59" s="649" t="s">
        <v>1340</v>
      </c>
      <c r="I59" s="652" t="s">
        <v>11</v>
      </c>
      <c r="J59" s="622" t="s">
        <v>8481</v>
      </c>
      <c r="K59" s="680">
        <v>1365</v>
      </c>
      <c r="L59" s="680"/>
      <c r="M59" s="681">
        <v>20153</v>
      </c>
      <c r="N59" s="681"/>
      <c r="O59" s="681">
        <v>9280</v>
      </c>
      <c r="P59" s="680">
        <v>5148</v>
      </c>
      <c r="Q59" s="682">
        <v>4132</v>
      </c>
      <c r="R59" s="681">
        <v>10873</v>
      </c>
      <c r="S59" s="658"/>
    </row>
    <row r="60" spans="1:19" s="659" customFormat="1" ht="20.100000000000001" customHeight="1">
      <c r="A60" s="657" t="s">
        <v>3756</v>
      </c>
      <c r="B60" s="649" t="s">
        <v>1780</v>
      </c>
      <c r="C60" s="621"/>
      <c r="D60" s="621"/>
      <c r="E60" s="649" t="s">
        <v>3757</v>
      </c>
      <c r="F60" s="622" t="s">
        <v>6827</v>
      </c>
      <c r="G60" s="622" t="s">
        <v>1859</v>
      </c>
      <c r="H60" s="649" t="s">
        <v>229</v>
      </c>
      <c r="I60" s="652" t="s">
        <v>11</v>
      </c>
      <c r="J60" s="622" t="s">
        <v>6821</v>
      </c>
      <c r="K60" s="680">
        <v>840</v>
      </c>
      <c r="L60" s="680">
        <v>4000</v>
      </c>
      <c r="M60" s="681">
        <v>0</v>
      </c>
      <c r="N60" s="681"/>
      <c r="O60" s="681">
        <v>4000</v>
      </c>
      <c r="P60" s="680">
        <v>4000</v>
      </c>
      <c r="Q60" s="682">
        <v>0</v>
      </c>
      <c r="R60" s="681">
        <v>0</v>
      </c>
      <c r="S60" s="658"/>
    </row>
    <row r="61" spans="1:19" s="659" customFormat="1" ht="20.100000000000001" customHeight="1">
      <c r="A61" s="657" t="s">
        <v>3756</v>
      </c>
      <c r="B61" s="649" t="s">
        <v>1780</v>
      </c>
      <c r="C61" s="621"/>
      <c r="D61" s="621"/>
      <c r="E61" s="649" t="s">
        <v>3757</v>
      </c>
      <c r="F61" s="622" t="s">
        <v>6827</v>
      </c>
      <c r="G61" s="622" t="s">
        <v>1859</v>
      </c>
      <c r="H61" s="649" t="s">
        <v>229</v>
      </c>
      <c r="I61" s="652" t="s">
        <v>11</v>
      </c>
      <c r="J61" s="622" t="s">
        <v>6821</v>
      </c>
      <c r="K61" s="680">
        <v>840</v>
      </c>
      <c r="L61" s="680">
        <v>17000</v>
      </c>
      <c r="M61" s="681">
        <v>0</v>
      </c>
      <c r="N61" s="681"/>
      <c r="O61" s="681">
        <v>14623</v>
      </c>
      <c r="P61" s="680">
        <v>12000</v>
      </c>
      <c r="Q61" s="682">
        <v>2623</v>
      </c>
      <c r="R61" s="681">
        <v>2377</v>
      </c>
      <c r="S61" s="658"/>
    </row>
    <row r="62" spans="1:19" s="659" customFormat="1" ht="20.100000000000001" customHeight="1">
      <c r="A62" s="657" t="s">
        <v>3756</v>
      </c>
      <c r="B62" s="649" t="s">
        <v>1780</v>
      </c>
      <c r="C62" s="621"/>
      <c r="D62" s="621"/>
      <c r="E62" s="649" t="s">
        <v>3757</v>
      </c>
      <c r="F62" s="622" t="s">
        <v>6827</v>
      </c>
      <c r="G62" s="622" t="s">
        <v>1859</v>
      </c>
      <c r="H62" s="649" t="s">
        <v>229</v>
      </c>
      <c r="I62" s="652" t="s">
        <v>11</v>
      </c>
      <c r="J62" s="622" t="s">
        <v>6821</v>
      </c>
      <c r="K62" s="680">
        <v>840</v>
      </c>
      <c r="L62" s="680">
        <v>1500</v>
      </c>
      <c r="M62" s="681">
        <v>0</v>
      </c>
      <c r="N62" s="681"/>
      <c r="O62" s="681">
        <v>1500</v>
      </c>
      <c r="P62" s="680">
        <v>1500</v>
      </c>
      <c r="Q62" s="682">
        <v>0</v>
      </c>
      <c r="R62" s="681">
        <v>0</v>
      </c>
      <c r="S62" s="658"/>
    </row>
    <row r="63" spans="1:19" s="659" customFormat="1" ht="20.100000000000001" customHeight="1">
      <c r="A63" s="657" t="s">
        <v>3756</v>
      </c>
      <c r="B63" s="649" t="s">
        <v>1780</v>
      </c>
      <c r="C63" s="621"/>
      <c r="D63" s="621"/>
      <c r="E63" s="649" t="s">
        <v>3757</v>
      </c>
      <c r="F63" s="622" t="s">
        <v>6827</v>
      </c>
      <c r="G63" s="622" t="s">
        <v>1859</v>
      </c>
      <c r="H63" s="649" t="s">
        <v>229</v>
      </c>
      <c r="I63" s="652" t="s">
        <v>11</v>
      </c>
      <c r="J63" s="622" t="s">
        <v>6821</v>
      </c>
      <c r="K63" s="680">
        <v>840</v>
      </c>
      <c r="L63" s="680">
        <v>4500</v>
      </c>
      <c r="M63" s="681">
        <v>0</v>
      </c>
      <c r="N63" s="681"/>
      <c r="O63" s="681">
        <v>500</v>
      </c>
      <c r="P63" s="680">
        <v>500</v>
      </c>
      <c r="Q63" s="682">
        <v>0</v>
      </c>
      <c r="R63" s="681">
        <v>4000</v>
      </c>
      <c r="S63" s="658"/>
    </row>
    <row r="64" spans="1:19" s="659" customFormat="1" ht="20.100000000000001" customHeight="1">
      <c r="A64" s="657" t="s">
        <v>3756</v>
      </c>
      <c r="B64" s="649" t="s">
        <v>1780</v>
      </c>
      <c r="C64" s="621"/>
      <c r="D64" s="621"/>
      <c r="E64" s="649" t="s">
        <v>3757</v>
      </c>
      <c r="F64" s="622" t="s">
        <v>6827</v>
      </c>
      <c r="G64" s="622" t="s">
        <v>1859</v>
      </c>
      <c r="H64" s="649" t="s">
        <v>229</v>
      </c>
      <c r="I64" s="652" t="s">
        <v>11</v>
      </c>
      <c r="J64" s="622" t="s">
        <v>6821</v>
      </c>
      <c r="K64" s="680">
        <v>840</v>
      </c>
      <c r="L64" s="680"/>
      <c r="M64" s="681">
        <v>5000</v>
      </c>
      <c r="N64" s="681"/>
      <c r="O64" s="681">
        <v>0</v>
      </c>
      <c r="P64" s="680">
        <v>0</v>
      </c>
      <c r="Q64" s="682">
        <v>0</v>
      </c>
      <c r="R64" s="681">
        <v>5000</v>
      </c>
      <c r="S64" s="658"/>
    </row>
    <row r="65" spans="1:19" s="659" customFormat="1" ht="20.100000000000001" customHeight="1">
      <c r="A65" s="657" t="s">
        <v>3756</v>
      </c>
      <c r="B65" s="649" t="s">
        <v>1780</v>
      </c>
      <c r="C65" s="621"/>
      <c r="D65" s="621"/>
      <c r="E65" s="649" t="s">
        <v>3757</v>
      </c>
      <c r="F65" s="622" t="s">
        <v>6827</v>
      </c>
      <c r="G65" s="622" t="s">
        <v>1859</v>
      </c>
      <c r="H65" s="649" t="s">
        <v>229</v>
      </c>
      <c r="I65" s="652" t="s">
        <v>11</v>
      </c>
      <c r="J65" s="622" t="s">
        <v>6821</v>
      </c>
      <c r="K65" s="680">
        <v>840</v>
      </c>
      <c r="L65" s="680"/>
      <c r="M65" s="681">
        <v>10000</v>
      </c>
      <c r="N65" s="681"/>
      <c r="O65" s="681">
        <v>0</v>
      </c>
      <c r="P65" s="680">
        <v>0</v>
      </c>
      <c r="Q65" s="682">
        <v>0</v>
      </c>
      <c r="R65" s="681">
        <v>10000</v>
      </c>
      <c r="S65" s="658"/>
    </row>
    <row r="66" spans="1:19" s="659" customFormat="1" ht="20.100000000000001" customHeight="1">
      <c r="A66" s="657" t="s">
        <v>3762</v>
      </c>
      <c r="B66" s="649" t="s">
        <v>2038</v>
      </c>
      <c r="C66" s="621"/>
      <c r="D66" s="621"/>
      <c r="E66" s="649" t="s">
        <v>3763</v>
      </c>
      <c r="F66" s="622" t="s">
        <v>7954</v>
      </c>
      <c r="G66" s="622" t="s">
        <v>7011</v>
      </c>
      <c r="H66" s="649" t="s">
        <v>225</v>
      </c>
      <c r="I66" s="652" t="s">
        <v>11</v>
      </c>
      <c r="J66" s="622" t="s">
        <v>7953</v>
      </c>
      <c r="K66" s="680">
        <v>420</v>
      </c>
      <c r="L66" s="680">
        <v>15276</v>
      </c>
      <c r="M66" s="681">
        <v>0</v>
      </c>
      <c r="N66" s="681"/>
      <c r="O66" s="681">
        <v>15276</v>
      </c>
      <c r="P66" s="680">
        <v>7410</v>
      </c>
      <c r="Q66" s="682">
        <v>7866</v>
      </c>
      <c r="R66" s="681">
        <v>0</v>
      </c>
      <c r="S66" s="658"/>
    </row>
    <row r="67" spans="1:19" s="659" customFormat="1" ht="20.100000000000001" customHeight="1">
      <c r="A67" s="657" t="s">
        <v>3762</v>
      </c>
      <c r="B67" s="649" t="s">
        <v>2038</v>
      </c>
      <c r="C67" s="621"/>
      <c r="D67" s="621"/>
      <c r="E67" s="649" t="s">
        <v>3763</v>
      </c>
      <c r="F67" s="622" t="s">
        <v>7954</v>
      </c>
      <c r="G67" s="622" t="s">
        <v>7011</v>
      </c>
      <c r="H67" s="649" t="s">
        <v>225</v>
      </c>
      <c r="I67" s="652" t="s">
        <v>11</v>
      </c>
      <c r="J67" s="622" t="s">
        <v>7953</v>
      </c>
      <c r="K67" s="680">
        <v>420</v>
      </c>
      <c r="L67" s="680">
        <v>47490</v>
      </c>
      <c r="M67" s="681">
        <v>0</v>
      </c>
      <c r="N67" s="681"/>
      <c r="O67" s="681">
        <v>21555</v>
      </c>
      <c r="P67" s="680">
        <v>15300</v>
      </c>
      <c r="Q67" s="682">
        <v>6255</v>
      </c>
      <c r="R67" s="681">
        <v>25935</v>
      </c>
      <c r="S67" s="658"/>
    </row>
    <row r="68" spans="1:19" s="659" customFormat="1" ht="20.100000000000001" customHeight="1">
      <c r="A68" s="657" t="s">
        <v>3762</v>
      </c>
      <c r="B68" s="649" t="s">
        <v>2038</v>
      </c>
      <c r="C68" s="621"/>
      <c r="D68" s="621"/>
      <c r="E68" s="649" t="s">
        <v>3763</v>
      </c>
      <c r="F68" s="622" t="s">
        <v>7954</v>
      </c>
      <c r="G68" s="622" t="s">
        <v>7011</v>
      </c>
      <c r="H68" s="649" t="s">
        <v>225</v>
      </c>
      <c r="I68" s="652" t="s">
        <v>11</v>
      </c>
      <c r="J68" s="622" t="s">
        <v>7953</v>
      </c>
      <c r="K68" s="680">
        <v>420</v>
      </c>
      <c r="L68" s="680"/>
      <c r="M68" s="681">
        <v>12000</v>
      </c>
      <c r="N68" s="681"/>
      <c r="O68" s="681">
        <v>0</v>
      </c>
      <c r="P68" s="680">
        <v>0</v>
      </c>
      <c r="Q68" s="682">
        <v>0</v>
      </c>
      <c r="R68" s="681">
        <v>12000</v>
      </c>
      <c r="S68" s="658"/>
    </row>
    <row r="69" spans="1:19" s="659" customFormat="1" ht="20.100000000000001" customHeight="1">
      <c r="A69" s="657" t="s">
        <v>3766</v>
      </c>
      <c r="B69" s="649" t="s">
        <v>1315</v>
      </c>
      <c r="C69" s="621"/>
      <c r="D69" s="621"/>
      <c r="E69" s="649" t="s">
        <v>3767</v>
      </c>
      <c r="F69" s="622" t="s">
        <v>7975</v>
      </c>
      <c r="G69" s="622" t="s">
        <v>7015</v>
      </c>
      <c r="H69" s="649" t="s">
        <v>267</v>
      </c>
      <c r="I69" s="652" t="s">
        <v>11</v>
      </c>
      <c r="J69" s="622" t="s">
        <v>7974</v>
      </c>
      <c r="K69" s="680">
        <v>100</v>
      </c>
      <c r="L69" s="680">
        <v>38438</v>
      </c>
      <c r="M69" s="681">
        <v>291</v>
      </c>
      <c r="N69" s="681"/>
      <c r="O69" s="681">
        <v>20943</v>
      </c>
      <c r="P69" s="680">
        <v>16964</v>
      </c>
      <c r="Q69" s="682">
        <v>3979</v>
      </c>
      <c r="R69" s="681">
        <v>17786</v>
      </c>
      <c r="S69" s="658"/>
    </row>
    <row r="70" spans="1:19" s="659" customFormat="1" ht="20.100000000000001" customHeight="1">
      <c r="A70" s="657" t="s">
        <v>6802</v>
      </c>
      <c r="B70" s="649" t="s">
        <v>2445</v>
      </c>
      <c r="C70" s="621"/>
      <c r="D70" s="621"/>
      <c r="E70" s="649" t="s">
        <v>6804</v>
      </c>
      <c r="F70" s="622" t="s">
        <v>6806</v>
      </c>
      <c r="G70" s="622" t="s">
        <v>485</v>
      </c>
      <c r="H70" s="649" t="s">
        <v>6803</v>
      </c>
      <c r="I70" s="652" t="s">
        <v>11</v>
      </c>
      <c r="J70" s="622" t="s">
        <v>6805</v>
      </c>
      <c r="K70" s="680">
        <v>2380</v>
      </c>
      <c r="L70" s="680"/>
      <c r="M70" s="681">
        <v>7000</v>
      </c>
      <c r="N70" s="681"/>
      <c r="O70" s="681">
        <v>2211</v>
      </c>
      <c r="P70" s="680">
        <v>2000</v>
      </c>
      <c r="Q70" s="682">
        <v>211</v>
      </c>
      <c r="R70" s="681">
        <v>4789</v>
      </c>
      <c r="S70" s="658"/>
    </row>
    <row r="71" spans="1:19" s="659" customFormat="1" ht="20.100000000000001" customHeight="1">
      <c r="A71" s="657" t="s">
        <v>3768</v>
      </c>
      <c r="B71" s="649" t="s">
        <v>1480</v>
      </c>
      <c r="C71" s="621"/>
      <c r="D71" s="621"/>
      <c r="E71" s="649" t="s">
        <v>3769</v>
      </c>
      <c r="F71" s="622" t="s">
        <v>6936</v>
      </c>
      <c r="G71" s="622" t="s">
        <v>2385</v>
      </c>
      <c r="H71" s="649" t="s">
        <v>310</v>
      </c>
      <c r="I71" s="652" t="s">
        <v>11</v>
      </c>
      <c r="J71" s="622" t="s">
        <v>6935</v>
      </c>
      <c r="K71" s="680">
        <v>127</v>
      </c>
      <c r="L71" s="680"/>
      <c r="M71" s="681">
        <v>3200</v>
      </c>
      <c r="N71" s="681"/>
      <c r="O71" s="681">
        <v>3200</v>
      </c>
      <c r="P71" s="680">
        <v>3200</v>
      </c>
      <c r="Q71" s="682">
        <v>0</v>
      </c>
      <c r="R71" s="681">
        <v>0</v>
      </c>
      <c r="S71" s="658"/>
    </row>
    <row r="72" spans="1:19" s="659" customFormat="1" ht="20.100000000000001" customHeight="1">
      <c r="A72" s="657" t="s">
        <v>5796</v>
      </c>
      <c r="B72" s="649" t="s">
        <v>2439</v>
      </c>
      <c r="C72" s="621"/>
      <c r="D72" s="621"/>
      <c r="E72" s="649" t="s">
        <v>2438</v>
      </c>
      <c r="F72" s="622" t="s">
        <v>2671</v>
      </c>
      <c r="G72" s="622" t="s">
        <v>5794</v>
      </c>
      <c r="H72" s="649" t="s">
        <v>2440</v>
      </c>
      <c r="I72" s="652" t="s">
        <v>15</v>
      </c>
      <c r="J72" s="622" t="s">
        <v>5797</v>
      </c>
      <c r="K72" s="680">
        <v>67725</v>
      </c>
      <c r="L72" s="680"/>
      <c r="M72" s="681">
        <v>30</v>
      </c>
      <c r="N72" s="681"/>
      <c r="O72" s="681">
        <v>20</v>
      </c>
      <c r="P72" s="680">
        <v>0</v>
      </c>
      <c r="Q72" s="682">
        <v>20</v>
      </c>
      <c r="R72" s="681">
        <v>10</v>
      </c>
      <c r="S72" s="658"/>
    </row>
    <row r="73" spans="1:19" s="659" customFormat="1" ht="20.100000000000001" customHeight="1">
      <c r="A73" s="657" t="s">
        <v>3771</v>
      </c>
      <c r="B73" s="649" t="s">
        <v>347</v>
      </c>
      <c r="C73" s="621"/>
      <c r="D73" s="621"/>
      <c r="E73" s="649" t="s">
        <v>3772</v>
      </c>
      <c r="F73" s="622" t="s">
        <v>6072</v>
      </c>
      <c r="G73" s="622" t="s">
        <v>954</v>
      </c>
      <c r="H73" s="649" t="s">
        <v>238</v>
      </c>
      <c r="I73" s="652" t="s">
        <v>11</v>
      </c>
      <c r="J73" s="622" t="s">
        <v>6071</v>
      </c>
      <c r="K73" s="680">
        <v>1009</v>
      </c>
      <c r="L73" s="680">
        <v>9620</v>
      </c>
      <c r="M73" s="681">
        <v>0</v>
      </c>
      <c r="N73" s="681"/>
      <c r="O73" s="681">
        <v>9620</v>
      </c>
      <c r="P73" s="680">
        <v>900</v>
      </c>
      <c r="Q73" s="682">
        <v>8720</v>
      </c>
      <c r="R73" s="681">
        <v>0</v>
      </c>
      <c r="S73" s="658"/>
    </row>
    <row r="74" spans="1:19" s="659" customFormat="1" ht="20.100000000000001" customHeight="1">
      <c r="A74" s="657" t="s">
        <v>3771</v>
      </c>
      <c r="B74" s="649" t="s">
        <v>347</v>
      </c>
      <c r="C74" s="621"/>
      <c r="D74" s="621"/>
      <c r="E74" s="649" t="s">
        <v>3772</v>
      </c>
      <c r="F74" s="622" t="s">
        <v>6072</v>
      </c>
      <c r="G74" s="622" t="s">
        <v>954</v>
      </c>
      <c r="H74" s="649" t="s">
        <v>238</v>
      </c>
      <c r="I74" s="652" t="s">
        <v>11</v>
      </c>
      <c r="J74" s="622" t="s">
        <v>6071</v>
      </c>
      <c r="K74" s="680">
        <v>1009</v>
      </c>
      <c r="L74" s="680"/>
      <c r="M74" s="681">
        <v>9990</v>
      </c>
      <c r="N74" s="681"/>
      <c r="O74" s="681">
        <v>0</v>
      </c>
      <c r="P74" s="680">
        <v>0</v>
      </c>
      <c r="Q74" s="682">
        <v>0</v>
      </c>
      <c r="R74" s="681">
        <v>9990</v>
      </c>
      <c r="S74" s="658"/>
    </row>
    <row r="75" spans="1:19" s="659" customFormat="1" ht="20.100000000000001" customHeight="1">
      <c r="A75" s="657" t="s">
        <v>3771</v>
      </c>
      <c r="B75" s="649" t="s">
        <v>347</v>
      </c>
      <c r="C75" s="621"/>
      <c r="D75" s="621"/>
      <c r="E75" s="649" t="s">
        <v>3772</v>
      </c>
      <c r="F75" s="622" t="s">
        <v>6072</v>
      </c>
      <c r="G75" s="622" t="s">
        <v>954</v>
      </c>
      <c r="H75" s="649" t="s">
        <v>238</v>
      </c>
      <c r="I75" s="652" t="s">
        <v>11</v>
      </c>
      <c r="J75" s="622" t="s">
        <v>6071</v>
      </c>
      <c r="K75" s="680">
        <v>1009</v>
      </c>
      <c r="L75" s="680"/>
      <c r="M75" s="681">
        <v>10980</v>
      </c>
      <c r="N75" s="681"/>
      <c r="O75" s="681">
        <v>3700</v>
      </c>
      <c r="P75" s="680">
        <v>0</v>
      </c>
      <c r="Q75" s="682">
        <v>3700</v>
      </c>
      <c r="R75" s="681">
        <v>7280</v>
      </c>
      <c r="S75" s="658"/>
    </row>
    <row r="76" spans="1:19" s="659" customFormat="1" ht="20.100000000000001" customHeight="1">
      <c r="A76" s="657" t="s">
        <v>4789</v>
      </c>
      <c r="B76" s="649" t="s">
        <v>347</v>
      </c>
      <c r="C76" s="621"/>
      <c r="D76" s="621"/>
      <c r="E76" s="649" t="s">
        <v>4790</v>
      </c>
      <c r="F76" s="622" t="s">
        <v>349</v>
      </c>
      <c r="G76" s="622" t="s">
        <v>350</v>
      </c>
      <c r="H76" s="649" t="s">
        <v>327</v>
      </c>
      <c r="I76" s="652" t="s">
        <v>10</v>
      </c>
      <c r="J76" s="622" t="s">
        <v>5107</v>
      </c>
      <c r="K76" s="680">
        <v>254</v>
      </c>
      <c r="L76" s="680">
        <v>293</v>
      </c>
      <c r="M76" s="681">
        <v>4</v>
      </c>
      <c r="N76" s="681"/>
      <c r="O76" s="681">
        <v>297</v>
      </c>
      <c r="P76" s="680">
        <v>297</v>
      </c>
      <c r="Q76" s="682">
        <v>0</v>
      </c>
      <c r="R76" s="681">
        <v>0</v>
      </c>
      <c r="S76" s="658"/>
    </row>
    <row r="77" spans="1:19" s="659" customFormat="1" ht="20.100000000000001" customHeight="1">
      <c r="A77" s="657" t="s">
        <v>4789</v>
      </c>
      <c r="B77" s="649" t="s">
        <v>347</v>
      </c>
      <c r="C77" s="621"/>
      <c r="D77" s="621"/>
      <c r="E77" s="649" t="s">
        <v>4790</v>
      </c>
      <c r="F77" s="622" t="s">
        <v>349</v>
      </c>
      <c r="G77" s="622" t="s">
        <v>350</v>
      </c>
      <c r="H77" s="649" t="s">
        <v>327</v>
      </c>
      <c r="I77" s="652" t="s">
        <v>10</v>
      </c>
      <c r="J77" s="622" t="s">
        <v>5107</v>
      </c>
      <c r="K77" s="680">
        <v>254</v>
      </c>
      <c r="L77" s="680">
        <v>12684</v>
      </c>
      <c r="M77" s="681">
        <v>20</v>
      </c>
      <c r="N77" s="681"/>
      <c r="O77" s="681">
        <v>12661</v>
      </c>
      <c r="P77" s="680">
        <v>1255</v>
      </c>
      <c r="Q77" s="682">
        <v>11406</v>
      </c>
      <c r="R77" s="681">
        <v>43</v>
      </c>
      <c r="S77" s="658"/>
    </row>
    <row r="78" spans="1:19" s="659" customFormat="1" ht="20.100000000000001" customHeight="1">
      <c r="A78" s="657" t="s">
        <v>4793</v>
      </c>
      <c r="B78" s="649" t="s">
        <v>411</v>
      </c>
      <c r="C78" s="621"/>
      <c r="D78" s="621"/>
      <c r="E78" s="649" t="s">
        <v>412</v>
      </c>
      <c r="F78" s="622" t="s">
        <v>413</v>
      </c>
      <c r="G78" s="622" t="s">
        <v>414</v>
      </c>
      <c r="H78" s="649" t="s">
        <v>225</v>
      </c>
      <c r="I78" s="652" t="s">
        <v>10</v>
      </c>
      <c r="J78" s="622" t="s">
        <v>2251</v>
      </c>
      <c r="K78" s="680">
        <v>484</v>
      </c>
      <c r="L78" s="680">
        <v>66</v>
      </c>
      <c r="M78" s="681">
        <v>0</v>
      </c>
      <c r="N78" s="681"/>
      <c r="O78" s="681">
        <v>66</v>
      </c>
      <c r="P78" s="680">
        <v>0</v>
      </c>
      <c r="Q78" s="682">
        <v>66</v>
      </c>
      <c r="R78" s="681">
        <v>0</v>
      </c>
      <c r="S78" s="658"/>
    </row>
    <row r="79" spans="1:19" s="659" customFormat="1" ht="20.100000000000001" customHeight="1">
      <c r="A79" s="657" t="s">
        <v>4592</v>
      </c>
      <c r="B79" s="649" t="s">
        <v>4594</v>
      </c>
      <c r="C79" s="621"/>
      <c r="D79" s="621"/>
      <c r="E79" s="649" t="s">
        <v>4593</v>
      </c>
      <c r="F79" s="622" t="s">
        <v>8588</v>
      </c>
      <c r="G79" s="622" t="s">
        <v>8589</v>
      </c>
      <c r="H79" s="649" t="s">
        <v>4595</v>
      </c>
      <c r="I79" s="652" t="s">
        <v>11</v>
      </c>
      <c r="J79" s="622" t="s">
        <v>8587</v>
      </c>
      <c r="K79" s="680">
        <v>1600</v>
      </c>
      <c r="L79" s="680"/>
      <c r="M79" s="681">
        <v>10000</v>
      </c>
      <c r="N79" s="681"/>
      <c r="O79" s="681">
        <v>10000</v>
      </c>
      <c r="P79" s="680">
        <v>0</v>
      </c>
      <c r="Q79" s="682">
        <v>10000</v>
      </c>
      <c r="R79" s="681">
        <v>0</v>
      </c>
      <c r="S79" s="658"/>
    </row>
    <row r="80" spans="1:19" s="659" customFormat="1" ht="20.100000000000001" customHeight="1">
      <c r="A80" s="657" t="s">
        <v>4592</v>
      </c>
      <c r="B80" s="649" t="s">
        <v>4594</v>
      </c>
      <c r="C80" s="621"/>
      <c r="D80" s="621"/>
      <c r="E80" s="649" t="s">
        <v>4593</v>
      </c>
      <c r="F80" s="622" t="s">
        <v>8588</v>
      </c>
      <c r="G80" s="622" t="s">
        <v>8589</v>
      </c>
      <c r="H80" s="649" t="s">
        <v>4595</v>
      </c>
      <c r="I80" s="652" t="s">
        <v>11</v>
      </c>
      <c r="J80" s="622" t="s">
        <v>8587</v>
      </c>
      <c r="K80" s="680">
        <v>1600</v>
      </c>
      <c r="L80" s="680"/>
      <c r="M80" s="681">
        <v>5500</v>
      </c>
      <c r="N80" s="681"/>
      <c r="O80" s="681">
        <v>5096</v>
      </c>
      <c r="P80" s="680">
        <v>500</v>
      </c>
      <c r="Q80" s="682">
        <v>4596</v>
      </c>
      <c r="R80" s="681">
        <v>404</v>
      </c>
      <c r="S80" s="658"/>
    </row>
    <row r="81" spans="1:19" s="659" customFormat="1" ht="20.100000000000001" customHeight="1">
      <c r="A81" s="657" t="s">
        <v>3777</v>
      </c>
      <c r="B81" s="649" t="s">
        <v>3779</v>
      </c>
      <c r="C81" s="621"/>
      <c r="D81" s="621"/>
      <c r="E81" s="649" t="s">
        <v>3778</v>
      </c>
      <c r="F81" s="622" t="s">
        <v>7491</v>
      </c>
      <c r="G81" s="622" t="s">
        <v>7211</v>
      </c>
      <c r="H81" s="649" t="s">
        <v>1915</v>
      </c>
      <c r="I81" s="652" t="s">
        <v>11</v>
      </c>
      <c r="J81" s="622" t="s">
        <v>7490</v>
      </c>
      <c r="K81" s="680">
        <v>72</v>
      </c>
      <c r="L81" s="680">
        <v>83</v>
      </c>
      <c r="M81" s="681">
        <v>1</v>
      </c>
      <c r="N81" s="681"/>
      <c r="O81" s="681">
        <v>84</v>
      </c>
      <c r="P81" s="680">
        <v>84</v>
      </c>
      <c r="Q81" s="682">
        <v>0</v>
      </c>
      <c r="R81" s="681">
        <v>0</v>
      </c>
      <c r="S81" s="658"/>
    </row>
    <row r="82" spans="1:19" s="659" customFormat="1" ht="20.100000000000001" customHeight="1">
      <c r="A82" s="657" t="s">
        <v>3777</v>
      </c>
      <c r="B82" s="649" t="s">
        <v>3779</v>
      </c>
      <c r="C82" s="621"/>
      <c r="D82" s="621"/>
      <c r="E82" s="649" t="s">
        <v>3778</v>
      </c>
      <c r="F82" s="622" t="s">
        <v>7491</v>
      </c>
      <c r="G82" s="622" t="s">
        <v>7211</v>
      </c>
      <c r="H82" s="649" t="s">
        <v>1915</v>
      </c>
      <c r="I82" s="652" t="s">
        <v>11</v>
      </c>
      <c r="J82" s="622" t="s">
        <v>7490</v>
      </c>
      <c r="K82" s="680">
        <v>72</v>
      </c>
      <c r="L82" s="680"/>
      <c r="M82" s="681">
        <v>7000</v>
      </c>
      <c r="N82" s="681"/>
      <c r="O82" s="681">
        <v>2080</v>
      </c>
      <c r="P82" s="680">
        <v>2080</v>
      </c>
      <c r="Q82" s="682">
        <v>0</v>
      </c>
      <c r="R82" s="681">
        <v>4920</v>
      </c>
      <c r="S82" s="658"/>
    </row>
    <row r="83" spans="1:19" s="659" customFormat="1" ht="20.100000000000001" customHeight="1">
      <c r="A83" s="657" t="s">
        <v>3777</v>
      </c>
      <c r="B83" s="649" t="s">
        <v>3779</v>
      </c>
      <c r="C83" s="621"/>
      <c r="D83" s="621"/>
      <c r="E83" s="649" t="s">
        <v>3778</v>
      </c>
      <c r="F83" s="622" t="s">
        <v>7491</v>
      </c>
      <c r="G83" s="622" t="s">
        <v>7211</v>
      </c>
      <c r="H83" s="649" t="s">
        <v>1915</v>
      </c>
      <c r="I83" s="652" t="s">
        <v>11</v>
      </c>
      <c r="J83" s="622" t="s">
        <v>7490</v>
      </c>
      <c r="K83" s="680">
        <v>72</v>
      </c>
      <c r="L83" s="680">
        <v>46145</v>
      </c>
      <c r="M83" s="681">
        <v>4</v>
      </c>
      <c r="N83" s="681"/>
      <c r="O83" s="681">
        <v>41373</v>
      </c>
      <c r="P83" s="680">
        <v>12695</v>
      </c>
      <c r="Q83" s="682">
        <v>28678</v>
      </c>
      <c r="R83" s="681">
        <v>4776</v>
      </c>
      <c r="S83" s="658"/>
    </row>
    <row r="84" spans="1:19" s="659" customFormat="1" ht="20.100000000000001" customHeight="1">
      <c r="A84" s="657" t="s">
        <v>6698</v>
      </c>
      <c r="B84" s="649" t="s">
        <v>706</v>
      </c>
      <c r="C84" s="621"/>
      <c r="D84" s="621"/>
      <c r="E84" s="649" t="s">
        <v>2442</v>
      </c>
      <c r="F84" s="622" t="s">
        <v>6700</v>
      </c>
      <c r="G84" s="622" t="s">
        <v>6526</v>
      </c>
      <c r="H84" s="649" t="s">
        <v>369</v>
      </c>
      <c r="I84" s="652" t="s">
        <v>11</v>
      </c>
      <c r="J84" s="622" t="s">
        <v>6699</v>
      </c>
      <c r="K84" s="680">
        <v>2680</v>
      </c>
      <c r="L84" s="680"/>
      <c r="M84" s="681">
        <v>9996</v>
      </c>
      <c r="N84" s="681"/>
      <c r="O84" s="681">
        <v>602</v>
      </c>
      <c r="P84" s="680">
        <v>0</v>
      </c>
      <c r="Q84" s="682">
        <v>602</v>
      </c>
      <c r="R84" s="681">
        <v>9394</v>
      </c>
      <c r="S84" s="658"/>
    </row>
    <row r="85" spans="1:19" s="659" customFormat="1" ht="20.100000000000001" customHeight="1">
      <c r="A85" s="657" t="s">
        <v>3782</v>
      </c>
      <c r="B85" s="649" t="s">
        <v>363</v>
      </c>
      <c r="C85" s="621"/>
      <c r="D85" s="621"/>
      <c r="E85" s="649" t="s">
        <v>2443</v>
      </c>
      <c r="F85" s="622" t="s">
        <v>426</v>
      </c>
      <c r="G85" s="622" t="s">
        <v>2686</v>
      </c>
      <c r="H85" s="649" t="s">
        <v>2444</v>
      </c>
      <c r="I85" s="652" t="s">
        <v>11</v>
      </c>
      <c r="J85" s="622" t="s">
        <v>642</v>
      </c>
      <c r="K85" s="680">
        <v>900</v>
      </c>
      <c r="L85" s="680">
        <v>20</v>
      </c>
      <c r="M85" s="681">
        <v>0</v>
      </c>
      <c r="N85" s="681"/>
      <c r="O85" s="681">
        <v>20</v>
      </c>
      <c r="P85" s="680">
        <v>0</v>
      </c>
      <c r="Q85" s="682">
        <v>20</v>
      </c>
      <c r="R85" s="681">
        <v>0</v>
      </c>
      <c r="S85" s="658"/>
    </row>
    <row r="86" spans="1:19" s="659" customFormat="1" ht="20.100000000000001" customHeight="1">
      <c r="A86" s="657"/>
      <c r="B86" s="649" t="s">
        <v>363</v>
      </c>
      <c r="C86" s="621"/>
      <c r="D86" s="621"/>
      <c r="E86" s="649" t="s">
        <v>3539</v>
      </c>
      <c r="F86" s="622" t="s">
        <v>426</v>
      </c>
      <c r="G86" s="622" t="s">
        <v>427</v>
      </c>
      <c r="H86" s="649" t="s">
        <v>291</v>
      </c>
      <c r="I86" s="652" t="s">
        <v>10</v>
      </c>
      <c r="J86" s="622" t="s">
        <v>5103</v>
      </c>
      <c r="K86" s="680">
        <v>750</v>
      </c>
      <c r="L86" s="680">
        <v>5000</v>
      </c>
      <c r="M86" s="681">
        <v>0</v>
      </c>
      <c r="N86" s="681"/>
      <c r="O86" s="681">
        <v>84</v>
      </c>
      <c r="P86" s="680">
        <v>0</v>
      </c>
      <c r="Q86" s="682">
        <v>84</v>
      </c>
      <c r="R86" s="681">
        <v>4916</v>
      </c>
      <c r="S86" s="658"/>
    </row>
    <row r="87" spans="1:19" s="659" customFormat="1" ht="20.100000000000001" customHeight="1">
      <c r="A87" s="657" t="s">
        <v>4596</v>
      </c>
      <c r="B87" s="649" t="s">
        <v>4598</v>
      </c>
      <c r="C87" s="621"/>
      <c r="D87" s="621"/>
      <c r="E87" s="649" t="s">
        <v>4597</v>
      </c>
      <c r="F87" s="622" t="s">
        <v>8770</v>
      </c>
      <c r="G87" s="622" t="s">
        <v>2310</v>
      </c>
      <c r="H87" s="649" t="s">
        <v>4599</v>
      </c>
      <c r="I87" s="652" t="s">
        <v>11</v>
      </c>
      <c r="J87" s="622" t="s">
        <v>8732</v>
      </c>
      <c r="K87" s="680">
        <v>1945</v>
      </c>
      <c r="L87" s="680">
        <v>100</v>
      </c>
      <c r="M87" s="681">
        <v>0</v>
      </c>
      <c r="N87" s="681"/>
      <c r="O87" s="681">
        <v>100</v>
      </c>
      <c r="P87" s="680">
        <v>0</v>
      </c>
      <c r="Q87" s="682">
        <v>100</v>
      </c>
      <c r="R87" s="681">
        <v>0</v>
      </c>
      <c r="S87" s="658"/>
    </row>
    <row r="88" spans="1:19" s="659" customFormat="1" ht="20.100000000000001" customHeight="1">
      <c r="A88" s="657" t="s">
        <v>4596</v>
      </c>
      <c r="B88" s="649" t="s">
        <v>4598</v>
      </c>
      <c r="C88" s="621"/>
      <c r="D88" s="621"/>
      <c r="E88" s="649" t="s">
        <v>4597</v>
      </c>
      <c r="F88" s="622" t="s">
        <v>8770</v>
      </c>
      <c r="G88" s="622" t="s">
        <v>2310</v>
      </c>
      <c r="H88" s="649" t="s">
        <v>4599</v>
      </c>
      <c r="I88" s="652" t="s">
        <v>11</v>
      </c>
      <c r="J88" s="622" t="s">
        <v>8732</v>
      </c>
      <c r="K88" s="680">
        <v>1945</v>
      </c>
      <c r="L88" s="680"/>
      <c r="M88" s="681">
        <v>4000</v>
      </c>
      <c r="N88" s="681"/>
      <c r="O88" s="681">
        <v>4000</v>
      </c>
      <c r="P88" s="680">
        <v>2000</v>
      </c>
      <c r="Q88" s="682">
        <v>2000</v>
      </c>
      <c r="R88" s="681">
        <v>0</v>
      </c>
      <c r="S88" s="658"/>
    </row>
    <row r="89" spans="1:19" s="659" customFormat="1" ht="20.100000000000001" customHeight="1">
      <c r="A89" s="657" t="s">
        <v>4596</v>
      </c>
      <c r="B89" s="649" t="s">
        <v>4598</v>
      </c>
      <c r="C89" s="621"/>
      <c r="D89" s="621"/>
      <c r="E89" s="649" t="s">
        <v>4597</v>
      </c>
      <c r="F89" s="622" t="s">
        <v>8770</v>
      </c>
      <c r="G89" s="622" t="s">
        <v>2310</v>
      </c>
      <c r="H89" s="649" t="s">
        <v>4599</v>
      </c>
      <c r="I89" s="652" t="s">
        <v>11</v>
      </c>
      <c r="J89" s="622" t="s">
        <v>8732</v>
      </c>
      <c r="K89" s="680">
        <v>1945</v>
      </c>
      <c r="L89" s="680"/>
      <c r="M89" s="681">
        <v>3000</v>
      </c>
      <c r="N89" s="681"/>
      <c r="O89" s="681">
        <v>1642</v>
      </c>
      <c r="P89" s="680">
        <v>0</v>
      </c>
      <c r="Q89" s="682">
        <v>1642</v>
      </c>
      <c r="R89" s="681">
        <v>1358</v>
      </c>
      <c r="S89" s="658"/>
    </row>
    <row r="90" spans="1:19" s="659" customFormat="1" ht="20.100000000000001" customHeight="1">
      <c r="A90" s="657" t="s">
        <v>4108</v>
      </c>
      <c r="B90" s="649" t="s">
        <v>1982</v>
      </c>
      <c r="C90" s="621"/>
      <c r="D90" s="621"/>
      <c r="E90" s="649" t="s">
        <v>11543</v>
      </c>
      <c r="F90" s="622" t="s">
        <v>7884</v>
      </c>
      <c r="G90" s="622" t="s">
        <v>7103</v>
      </c>
      <c r="H90" s="649" t="s">
        <v>7881</v>
      </c>
      <c r="I90" s="652" t="s">
        <v>12</v>
      </c>
      <c r="J90" s="622" t="s">
        <v>7883</v>
      </c>
      <c r="K90" s="680">
        <v>2690</v>
      </c>
      <c r="L90" s="680"/>
      <c r="M90" s="681">
        <v>10000</v>
      </c>
      <c r="N90" s="681"/>
      <c r="O90" s="681">
        <v>6653</v>
      </c>
      <c r="P90" s="680">
        <v>200</v>
      </c>
      <c r="Q90" s="682">
        <v>6453</v>
      </c>
      <c r="R90" s="681">
        <v>3347</v>
      </c>
      <c r="S90" s="658"/>
    </row>
    <row r="91" spans="1:19" s="659" customFormat="1" ht="20.100000000000001" customHeight="1">
      <c r="A91" s="657" t="s">
        <v>3784</v>
      </c>
      <c r="B91" s="649" t="s">
        <v>365</v>
      </c>
      <c r="C91" s="621"/>
      <c r="D91" s="621"/>
      <c r="E91" s="649" t="s">
        <v>3785</v>
      </c>
      <c r="F91" s="622" t="s">
        <v>7770</v>
      </c>
      <c r="G91" s="622" t="s">
        <v>7001</v>
      </c>
      <c r="H91" s="649" t="s">
        <v>238</v>
      </c>
      <c r="I91" s="652" t="s">
        <v>11</v>
      </c>
      <c r="J91" s="622" t="s">
        <v>7769</v>
      </c>
      <c r="K91" s="680">
        <v>128</v>
      </c>
      <c r="L91" s="680"/>
      <c r="M91" s="681">
        <v>5000</v>
      </c>
      <c r="N91" s="681"/>
      <c r="O91" s="681">
        <v>4996</v>
      </c>
      <c r="P91" s="680">
        <v>0</v>
      </c>
      <c r="Q91" s="682">
        <v>4996</v>
      </c>
      <c r="R91" s="681">
        <v>4</v>
      </c>
      <c r="S91" s="658"/>
    </row>
    <row r="92" spans="1:19" s="659" customFormat="1" ht="20.100000000000001" customHeight="1">
      <c r="A92" s="657" t="s">
        <v>4796</v>
      </c>
      <c r="B92" s="649" t="s">
        <v>365</v>
      </c>
      <c r="C92" s="621"/>
      <c r="D92" s="621"/>
      <c r="E92" s="649" t="s">
        <v>366</v>
      </c>
      <c r="F92" s="622" t="s">
        <v>367</v>
      </c>
      <c r="G92" s="622" t="s">
        <v>360</v>
      </c>
      <c r="H92" s="649" t="s">
        <v>235</v>
      </c>
      <c r="I92" s="652" t="s">
        <v>10</v>
      </c>
      <c r="J92" s="622" t="s">
        <v>5103</v>
      </c>
      <c r="K92" s="680">
        <v>232</v>
      </c>
      <c r="L92" s="680">
        <v>5</v>
      </c>
      <c r="M92" s="681">
        <v>0</v>
      </c>
      <c r="N92" s="681"/>
      <c r="O92" s="681">
        <v>0</v>
      </c>
      <c r="P92" s="680">
        <v>0</v>
      </c>
      <c r="Q92" s="682">
        <v>0</v>
      </c>
      <c r="R92" s="681">
        <v>5</v>
      </c>
      <c r="S92" s="658"/>
    </row>
    <row r="93" spans="1:19" s="659" customFormat="1" ht="20.100000000000001" customHeight="1">
      <c r="A93" s="657" t="s">
        <v>4796</v>
      </c>
      <c r="B93" s="649" t="s">
        <v>365</v>
      </c>
      <c r="C93" s="621"/>
      <c r="D93" s="621"/>
      <c r="E93" s="649" t="s">
        <v>366</v>
      </c>
      <c r="F93" s="622" t="s">
        <v>367</v>
      </c>
      <c r="G93" s="622" t="s">
        <v>360</v>
      </c>
      <c r="H93" s="649" t="s">
        <v>235</v>
      </c>
      <c r="I93" s="652" t="s">
        <v>10</v>
      </c>
      <c r="J93" s="622" t="s">
        <v>5103</v>
      </c>
      <c r="K93" s="680">
        <v>232</v>
      </c>
      <c r="L93" s="680">
        <v>464</v>
      </c>
      <c r="M93" s="681">
        <v>0</v>
      </c>
      <c r="N93" s="681"/>
      <c r="O93" s="681">
        <v>237</v>
      </c>
      <c r="P93" s="680">
        <v>237</v>
      </c>
      <c r="Q93" s="682">
        <v>0</v>
      </c>
      <c r="R93" s="681">
        <v>227</v>
      </c>
      <c r="S93" s="658"/>
    </row>
    <row r="94" spans="1:19" s="659" customFormat="1" ht="20.100000000000001" customHeight="1">
      <c r="A94" s="657" t="s">
        <v>3786</v>
      </c>
      <c r="B94" s="649" t="s">
        <v>3787</v>
      </c>
      <c r="C94" s="621"/>
      <c r="D94" s="621"/>
      <c r="E94" s="649" t="s">
        <v>1722</v>
      </c>
      <c r="F94" s="622" t="s">
        <v>7205</v>
      </c>
      <c r="G94" s="622" t="s">
        <v>7015</v>
      </c>
      <c r="H94" s="649" t="s">
        <v>1723</v>
      </c>
      <c r="I94" s="652" t="s">
        <v>520</v>
      </c>
      <c r="J94" s="622" t="s">
        <v>7204</v>
      </c>
      <c r="K94" s="680">
        <v>500</v>
      </c>
      <c r="L94" s="680">
        <v>2430</v>
      </c>
      <c r="M94" s="681">
        <v>0</v>
      </c>
      <c r="N94" s="681"/>
      <c r="O94" s="681">
        <v>2430</v>
      </c>
      <c r="P94" s="680">
        <v>43</v>
      </c>
      <c r="Q94" s="682">
        <v>2387</v>
      </c>
      <c r="R94" s="681">
        <v>0</v>
      </c>
      <c r="S94" s="658"/>
    </row>
    <row r="95" spans="1:19" s="659" customFormat="1" ht="20.100000000000001" customHeight="1">
      <c r="A95" s="657" t="s">
        <v>4462</v>
      </c>
      <c r="B95" s="649" t="s">
        <v>683</v>
      </c>
      <c r="C95" s="621"/>
      <c r="D95" s="621"/>
      <c r="E95" s="649" t="s">
        <v>4463</v>
      </c>
      <c r="F95" s="622" t="s">
        <v>7247</v>
      </c>
      <c r="G95" s="622" t="s">
        <v>7248</v>
      </c>
      <c r="H95" s="649" t="s">
        <v>1452</v>
      </c>
      <c r="I95" s="652" t="s">
        <v>11</v>
      </c>
      <c r="J95" s="622" t="s">
        <v>7246</v>
      </c>
      <c r="K95" s="680">
        <v>1900</v>
      </c>
      <c r="L95" s="680"/>
      <c r="M95" s="681">
        <v>18200</v>
      </c>
      <c r="N95" s="681"/>
      <c r="O95" s="681">
        <v>18200</v>
      </c>
      <c r="P95" s="680">
        <v>9500</v>
      </c>
      <c r="Q95" s="682">
        <v>8700</v>
      </c>
      <c r="R95" s="681">
        <v>0</v>
      </c>
      <c r="S95" s="658"/>
    </row>
    <row r="96" spans="1:19" s="659" customFormat="1" ht="20.100000000000001" customHeight="1">
      <c r="A96" s="657" t="s">
        <v>4800</v>
      </c>
      <c r="B96" s="649" t="s">
        <v>683</v>
      </c>
      <c r="C96" s="621"/>
      <c r="D96" s="621"/>
      <c r="E96" s="649" t="s">
        <v>4801</v>
      </c>
      <c r="F96" s="622" t="s">
        <v>220</v>
      </c>
      <c r="G96" s="622" t="s">
        <v>217</v>
      </c>
      <c r="H96" s="649" t="s">
        <v>219</v>
      </c>
      <c r="I96" s="652" t="s">
        <v>10</v>
      </c>
      <c r="J96" s="622" t="s">
        <v>5345</v>
      </c>
      <c r="K96" s="680">
        <v>2375</v>
      </c>
      <c r="L96" s="680">
        <v>1576</v>
      </c>
      <c r="M96" s="681">
        <v>12</v>
      </c>
      <c r="N96" s="681"/>
      <c r="O96" s="681">
        <v>1546</v>
      </c>
      <c r="P96" s="680">
        <v>1509</v>
      </c>
      <c r="Q96" s="682">
        <v>37</v>
      </c>
      <c r="R96" s="681">
        <v>42</v>
      </c>
      <c r="S96" s="658"/>
    </row>
    <row r="97" spans="1:19" s="659" customFormat="1" ht="20.100000000000001" customHeight="1">
      <c r="A97" s="657" t="s">
        <v>3789</v>
      </c>
      <c r="B97" s="649" t="s">
        <v>3790</v>
      </c>
      <c r="C97" s="621"/>
      <c r="D97" s="621"/>
      <c r="E97" s="649" t="s">
        <v>1847</v>
      </c>
      <c r="F97" s="622" t="s">
        <v>7993</v>
      </c>
      <c r="G97" s="622" t="s">
        <v>7994</v>
      </c>
      <c r="H97" s="649" t="s">
        <v>272</v>
      </c>
      <c r="I97" s="652" t="s">
        <v>11</v>
      </c>
      <c r="J97" s="622" t="s">
        <v>7992</v>
      </c>
      <c r="K97" s="680">
        <v>2550</v>
      </c>
      <c r="L97" s="680"/>
      <c r="M97" s="681">
        <v>300</v>
      </c>
      <c r="N97" s="681"/>
      <c r="O97" s="681">
        <v>300</v>
      </c>
      <c r="P97" s="680">
        <v>300</v>
      </c>
      <c r="Q97" s="682">
        <v>0</v>
      </c>
      <c r="R97" s="681">
        <v>0</v>
      </c>
      <c r="S97" s="658"/>
    </row>
    <row r="98" spans="1:19" s="659" customFormat="1" ht="20.100000000000001" customHeight="1">
      <c r="A98" s="657" t="s">
        <v>7731</v>
      </c>
      <c r="B98" s="649" t="s">
        <v>313</v>
      </c>
      <c r="C98" s="621"/>
      <c r="D98" s="621"/>
      <c r="E98" s="649" t="s">
        <v>1124</v>
      </c>
      <c r="F98" s="622" t="s">
        <v>7733</v>
      </c>
      <c r="G98" s="622" t="s">
        <v>7734</v>
      </c>
      <c r="H98" s="649" t="s">
        <v>310</v>
      </c>
      <c r="I98" s="652" t="s">
        <v>11</v>
      </c>
      <c r="J98" s="622" t="s">
        <v>7732</v>
      </c>
      <c r="K98" s="680">
        <v>6490</v>
      </c>
      <c r="L98" s="680"/>
      <c r="M98" s="681">
        <v>420</v>
      </c>
      <c r="N98" s="681"/>
      <c r="O98" s="681">
        <v>420</v>
      </c>
      <c r="P98" s="680">
        <v>420</v>
      </c>
      <c r="Q98" s="682">
        <v>0</v>
      </c>
      <c r="R98" s="681">
        <v>0</v>
      </c>
      <c r="S98" s="658"/>
    </row>
    <row r="99" spans="1:19" s="659" customFormat="1" ht="20.100000000000001" customHeight="1">
      <c r="A99" s="657" t="s">
        <v>4464</v>
      </c>
      <c r="B99" s="649" t="s">
        <v>683</v>
      </c>
      <c r="C99" s="621"/>
      <c r="D99" s="621"/>
      <c r="E99" s="649" t="s">
        <v>4465</v>
      </c>
      <c r="F99" s="622" t="s">
        <v>5877</v>
      </c>
      <c r="G99" s="622" t="s">
        <v>5878</v>
      </c>
      <c r="H99" s="649" t="s">
        <v>2554</v>
      </c>
      <c r="I99" s="652" t="s">
        <v>658</v>
      </c>
      <c r="J99" s="622" t="s">
        <v>5876</v>
      </c>
      <c r="K99" s="680">
        <v>38997</v>
      </c>
      <c r="L99" s="680">
        <v>31</v>
      </c>
      <c r="M99" s="681">
        <v>0</v>
      </c>
      <c r="N99" s="681"/>
      <c r="O99" s="681">
        <v>31</v>
      </c>
      <c r="P99" s="680">
        <v>31</v>
      </c>
      <c r="Q99" s="682">
        <v>0</v>
      </c>
      <c r="R99" s="681">
        <v>0</v>
      </c>
      <c r="S99" s="658"/>
    </row>
    <row r="100" spans="1:19" s="659" customFormat="1" ht="20.100000000000001" customHeight="1">
      <c r="A100" s="657" t="s">
        <v>4464</v>
      </c>
      <c r="B100" s="649" t="s">
        <v>683</v>
      </c>
      <c r="C100" s="621"/>
      <c r="D100" s="621"/>
      <c r="E100" s="649" t="s">
        <v>4465</v>
      </c>
      <c r="F100" s="622" t="s">
        <v>5877</v>
      </c>
      <c r="G100" s="622" t="s">
        <v>5878</v>
      </c>
      <c r="H100" s="649" t="s">
        <v>2554</v>
      </c>
      <c r="I100" s="652" t="s">
        <v>658</v>
      </c>
      <c r="J100" s="622" t="s">
        <v>5876</v>
      </c>
      <c r="K100" s="680">
        <v>38997</v>
      </c>
      <c r="L100" s="680"/>
      <c r="M100" s="681">
        <v>262</v>
      </c>
      <c r="N100" s="681"/>
      <c r="O100" s="681">
        <v>259</v>
      </c>
      <c r="P100" s="680">
        <v>258</v>
      </c>
      <c r="Q100" s="682">
        <v>1</v>
      </c>
      <c r="R100" s="681">
        <v>3</v>
      </c>
      <c r="S100" s="658"/>
    </row>
    <row r="101" spans="1:19" s="659" customFormat="1" ht="20.100000000000001" customHeight="1">
      <c r="A101" s="657" t="s">
        <v>4342</v>
      </c>
      <c r="B101" s="649" t="s">
        <v>750</v>
      </c>
      <c r="C101" s="621"/>
      <c r="D101" s="621"/>
      <c r="E101" s="649" t="s">
        <v>7652</v>
      </c>
      <c r="F101" s="622" t="s">
        <v>7654</v>
      </c>
      <c r="G101" s="622" t="s">
        <v>7655</v>
      </c>
      <c r="H101" s="649" t="s">
        <v>7651</v>
      </c>
      <c r="I101" s="652" t="s">
        <v>12</v>
      </c>
      <c r="J101" s="622" t="s">
        <v>7653</v>
      </c>
      <c r="K101" s="680">
        <v>1800</v>
      </c>
      <c r="L101" s="680"/>
      <c r="M101" s="681">
        <v>150</v>
      </c>
      <c r="N101" s="681"/>
      <c r="O101" s="681">
        <v>150</v>
      </c>
      <c r="P101" s="680">
        <v>150</v>
      </c>
      <c r="Q101" s="682">
        <v>0</v>
      </c>
      <c r="R101" s="681">
        <v>0</v>
      </c>
      <c r="S101" s="658"/>
    </row>
    <row r="102" spans="1:19" s="659" customFormat="1" ht="20.100000000000001" customHeight="1">
      <c r="A102" s="657" t="s">
        <v>4342</v>
      </c>
      <c r="B102" s="649" t="s">
        <v>750</v>
      </c>
      <c r="C102" s="621"/>
      <c r="D102" s="621"/>
      <c r="E102" s="649" t="s">
        <v>7652</v>
      </c>
      <c r="F102" s="622" t="s">
        <v>7654</v>
      </c>
      <c r="G102" s="622" t="s">
        <v>7655</v>
      </c>
      <c r="H102" s="649" t="s">
        <v>7651</v>
      </c>
      <c r="I102" s="652" t="s">
        <v>12</v>
      </c>
      <c r="J102" s="622" t="s">
        <v>7653</v>
      </c>
      <c r="K102" s="680">
        <v>1800</v>
      </c>
      <c r="L102" s="680"/>
      <c r="M102" s="681">
        <v>450</v>
      </c>
      <c r="N102" s="681"/>
      <c r="O102" s="681">
        <v>450</v>
      </c>
      <c r="P102" s="680">
        <v>450</v>
      </c>
      <c r="Q102" s="682">
        <v>0</v>
      </c>
      <c r="R102" s="681">
        <v>0</v>
      </c>
      <c r="S102" s="658"/>
    </row>
    <row r="103" spans="1:19" s="659" customFormat="1" ht="20.100000000000001" customHeight="1">
      <c r="A103" s="657" t="s">
        <v>7187</v>
      </c>
      <c r="B103" s="649" t="s">
        <v>1785</v>
      </c>
      <c r="C103" s="621"/>
      <c r="D103" s="621"/>
      <c r="E103" s="649" t="s">
        <v>7189</v>
      </c>
      <c r="F103" s="622" t="s">
        <v>7191</v>
      </c>
      <c r="G103" s="622" t="s">
        <v>7192</v>
      </c>
      <c r="H103" s="649" t="s">
        <v>12564</v>
      </c>
      <c r="I103" s="652" t="s">
        <v>15</v>
      </c>
      <c r="J103" s="622" t="s">
        <v>7190</v>
      </c>
      <c r="K103" s="680">
        <v>36000</v>
      </c>
      <c r="L103" s="680"/>
      <c r="M103" s="681">
        <v>50</v>
      </c>
      <c r="N103" s="681"/>
      <c r="O103" s="681">
        <v>12</v>
      </c>
      <c r="P103" s="680">
        <v>0</v>
      </c>
      <c r="Q103" s="682">
        <v>12</v>
      </c>
      <c r="R103" s="681">
        <v>38</v>
      </c>
      <c r="S103" s="658"/>
    </row>
    <row r="104" spans="1:19" s="659" customFormat="1" ht="20.100000000000001" customHeight="1">
      <c r="A104" s="657" t="s">
        <v>4600</v>
      </c>
      <c r="B104" s="649" t="s">
        <v>2233</v>
      </c>
      <c r="C104" s="621"/>
      <c r="D104" s="621"/>
      <c r="E104" s="649" t="s">
        <v>4601</v>
      </c>
      <c r="F104" s="622" t="s">
        <v>8888</v>
      </c>
      <c r="G104" s="622" t="s">
        <v>8889</v>
      </c>
      <c r="H104" s="649" t="s">
        <v>4602</v>
      </c>
      <c r="I104" s="652" t="s">
        <v>15</v>
      </c>
      <c r="J104" s="622" t="s">
        <v>8887</v>
      </c>
      <c r="K104" s="680">
        <v>55000</v>
      </c>
      <c r="L104" s="680">
        <v>104</v>
      </c>
      <c r="M104" s="681">
        <v>1310</v>
      </c>
      <c r="N104" s="681"/>
      <c r="O104" s="681">
        <v>1079</v>
      </c>
      <c r="P104" s="680">
        <v>160</v>
      </c>
      <c r="Q104" s="682">
        <v>919</v>
      </c>
      <c r="R104" s="681">
        <v>335</v>
      </c>
      <c r="S104" s="658"/>
    </row>
    <row r="105" spans="1:19" s="659" customFormat="1" ht="20.100000000000001" customHeight="1">
      <c r="A105" s="657" t="s">
        <v>4604</v>
      </c>
      <c r="B105" s="649" t="s">
        <v>4605</v>
      </c>
      <c r="C105" s="621"/>
      <c r="D105" s="621"/>
      <c r="E105" s="649" t="s">
        <v>21</v>
      </c>
      <c r="F105" s="622" t="s">
        <v>8784</v>
      </c>
      <c r="G105" s="622" t="s">
        <v>2182</v>
      </c>
      <c r="H105" s="649" t="s">
        <v>4606</v>
      </c>
      <c r="I105" s="652" t="s">
        <v>11</v>
      </c>
      <c r="J105" s="622" t="s">
        <v>8783</v>
      </c>
      <c r="K105" s="680">
        <v>1260</v>
      </c>
      <c r="L105" s="680"/>
      <c r="M105" s="681">
        <v>10000</v>
      </c>
      <c r="N105" s="681"/>
      <c r="O105" s="681">
        <v>0</v>
      </c>
      <c r="P105" s="680">
        <v>0</v>
      </c>
      <c r="Q105" s="682">
        <v>0</v>
      </c>
      <c r="R105" s="681">
        <v>10000</v>
      </c>
      <c r="S105" s="658"/>
    </row>
    <row r="106" spans="1:19" s="659" customFormat="1" ht="20.100000000000001" customHeight="1">
      <c r="A106" s="657" t="s">
        <v>4604</v>
      </c>
      <c r="B106" s="649" t="s">
        <v>4605</v>
      </c>
      <c r="C106" s="621"/>
      <c r="D106" s="621"/>
      <c r="E106" s="649" t="s">
        <v>21</v>
      </c>
      <c r="F106" s="622" t="s">
        <v>8784</v>
      </c>
      <c r="G106" s="622" t="s">
        <v>2182</v>
      </c>
      <c r="H106" s="649" t="s">
        <v>4606</v>
      </c>
      <c r="I106" s="652" t="s">
        <v>11</v>
      </c>
      <c r="J106" s="622" t="s">
        <v>8783</v>
      </c>
      <c r="K106" s="680">
        <v>1260</v>
      </c>
      <c r="L106" s="680">
        <v>26825</v>
      </c>
      <c r="M106" s="681">
        <v>0</v>
      </c>
      <c r="N106" s="681"/>
      <c r="O106" s="681">
        <v>26825</v>
      </c>
      <c r="P106" s="680">
        <v>6000</v>
      </c>
      <c r="Q106" s="682">
        <v>20825</v>
      </c>
      <c r="R106" s="681">
        <v>0</v>
      </c>
      <c r="S106" s="658"/>
    </row>
    <row r="107" spans="1:19" s="659" customFormat="1" ht="20.100000000000001" customHeight="1">
      <c r="A107" s="657" t="s">
        <v>4604</v>
      </c>
      <c r="B107" s="649" t="s">
        <v>4605</v>
      </c>
      <c r="C107" s="621"/>
      <c r="D107" s="621"/>
      <c r="E107" s="649" t="s">
        <v>21</v>
      </c>
      <c r="F107" s="622" t="s">
        <v>8784</v>
      </c>
      <c r="G107" s="622" t="s">
        <v>2182</v>
      </c>
      <c r="H107" s="649" t="s">
        <v>4606</v>
      </c>
      <c r="I107" s="652" t="s">
        <v>11</v>
      </c>
      <c r="J107" s="622" t="s">
        <v>8783</v>
      </c>
      <c r="K107" s="680">
        <v>1260</v>
      </c>
      <c r="L107" s="680"/>
      <c r="M107" s="681">
        <v>1500</v>
      </c>
      <c r="N107" s="681"/>
      <c r="O107" s="681">
        <v>503</v>
      </c>
      <c r="P107" s="680">
        <v>0</v>
      </c>
      <c r="Q107" s="682">
        <v>503</v>
      </c>
      <c r="R107" s="681">
        <v>997</v>
      </c>
      <c r="S107" s="658"/>
    </row>
    <row r="108" spans="1:19" s="659" customFormat="1" ht="20.100000000000001" customHeight="1">
      <c r="A108" s="657" t="s">
        <v>3794</v>
      </c>
      <c r="B108" s="649" t="s">
        <v>2449</v>
      </c>
      <c r="C108" s="621"/>
      <c r="D108" s="621"/>
      <c r="E108" s="649" t="s">
        <v>3795</v>
      </c>
      <c r="F108" s="622" t="s">
        <v>8251</v>
      </c>
      <c r="G108" s="622" t="s">
        <v>621</v>
      </c>
      <c r="H108" s="649" t="s">
        <v>238</v>
      </c>
      <c r="I108" s="652" t="s">
        <v>11</v>
      </c>
      <c r="J108" s="622" t="s">
        <v>6644</v>
      </c>
      <c r="K108" s="680">
        <v>490</v>
      </c>
      <c r="L108" s="680">
        <v>2547</v>
      </c>
      <c r="M108" s="681">
        <v>0</v>
      </c>
      <c r="N108" s="681"/>
      <c r="O108" s="681">
        <v>2547</v>
      </c>
      <c r="P108" s="680">
        <v>0</v>
      </c>
      <c r="Q108" s="682">
        <v>2547</v>
      </c>
      <c r="R108" s="681">
        <v>0</v>
      </c>
      <c r="S108" s="658"/>
    </row>
    <row r="109" spans="1:19" s="659" customFormat="1" ht="20.100000000000001" customHeight="1">
      <c r="A109" s="657" t="s">
        <v>3794</v>
      </c>
      <c r="B109" s="649" t="s">
        <v>2449</v>
      </c>
      <c r="C109" s="621"/>
      <c r="D109" s="621"/>
      <c r="E109" s="649" t="s">
        <v>3795</v>
      </c>
      <c r="F109" s="622" t="s">
        <v>8251</v>
      </c>
      <c r="G109" s="622" t="s">
        <v>621</v>
      </c>
      <c r="H109" s="649" t="s">
        <v>238</v>
      </c>
      <c r="I109" s="652" t="s">
        <v>11</v>
      </c>
      <c r="J109" s="622" t="s">
        <v>6644</v>
      </c>
      <c r="K109" s="680">
        <v>490</v>
      </c>
      <c r="L109" s="680">
        <v>1440</v>
      </c>
      <c r="M109" s="681">
        <v>0</v>
      </c>
      <c r="N109" s="681"/>
      <c r="O109" s="681">
        <v>272</v>
      </c>
      <c r="P109" s="680">
        <v>0</v>
      </c>
      <c r="Q109" s="682">
        <v>272</v>
      </c>
      <c r="R109" s="681">
        <v>1168</v>
      </c>
      <c r="S109" s="658"/>
    </row>
    <row r="110" spans="1:19" s="659" customFormat="1" ht="20.100000000000001" customHeight="1">
      <c r="A110" s="657" t="s">
        <v>6950</v>
      </c>
      <c r="B110" s="649" t="s">
        <v>695</v>
      </c>
      <c r="C110" s="621"/>
      <c r="D110" s="621"/>
      <c r="E110" s="649" t="s">
        <v>6951</v>
      </c>
      <c r="F110" s="622" t="s">
        <v>6953</v>
      </c>
      <c r="G110" s="622" t="s">
        <v>6954</v>
      </c>
      <c r="H110" s="649" t="s">
        <v>697</v>
      </c>
      <c r="I110" s="652" t="s">
        <v>520</v>
      </c>
      <c r="J110" s="622" t="s">
        <v>6952</v>
      </c>
      <c r="K110" s="680">
        <v>2440</v>
      </c>
      <c r="L110" s="680"/>
      <c r="M110" s="681">
        <v>1000</v>
      </c>
      <c r="N110" s="681"/>
      <c r="O110" s="681">
        <v>1000</v>
      </c>
      <c r="P110" s="680">
        <v>1000</v>
      </c>
      <c r="Q110" s="682">
        <v>0</v>
      </c>
      <c r="R110" s="681">
        <v>0</v>
      </c>
      <c r="S110" s="658"/>
    </row>
    <row r="111" spans="1:19" s="659" customFormat="1" ht="20.100000000000001" customHeight="1">
      <c r="A111" s="657" t="s">
        <v>3800</v>
      </c>
      <c r="B111" s="649" t="s">
        <v>2454</v>
      </c>
      <c r="C111" s="621"/>
      <c r="D111" s="621"/>
      <c r="E111" s="649" t="s">
        <v>3801</v>
      </c>
      <c r="F111" s="622" t="s">
        <v>5746</v>
      </c>
      <c r="G111" s="622" t="s">
        <v>2036</v>
      </c>
      <c r="H111" s="649" t="s">
        <v>3802</v>
      </c>
      <c r="I111" s="652" t="s">
        <v>3803</v>
      </c>
      <c r="J111" s="622" t="s">
        <v>5745</v>
      </c>
      <c r="K111" s="680">
        <v>132323</v>
      </c>
      <c r="L111" s="680"/>
      <c r="M111" s="681">
        <v>200</v>
      </c>
      <c r="N111" s="681"/>
      <c r="O111" s="681">
        <v>62</v>
      </c>
      <c r="P111" s="680">
        <v>0</v>
      </c>
      <c r="Q111" s="682">
        <v>62</v>
      </c>
      <c r="R111" s="681">
        <v>138</v>
      </c>
      <c r="S111" s="658"/>
    </row>
    <row r="112" spans="1:19" s="659" customFormat="1" ht="20.100000000000001" customHeight="1">
      <c r="A112" s="657" t="s">
        <v>3800</v>
      </c>
      <c r="B112" s="649" t="s">
        <v>2454</v>
      </c>
      <c r="C112" s="621"/>
      <c r="D112" s="621"/>
      <c r="E112" s="649" t="s">
        <v>3801</v>
      </c>
      <c r="F112" s="622" t="s">
        <v>5746</v>
      </c>
      <c r="G112" s="622" t="s">
        <v>2036</v>
      </c>
      <c r="H112" s="649" t="s">
        <v>3802</v>
      </c>
      <c r="I112" s="652" t="s">
        <v>3803</v>
      </c>
      <c r="J112" s="622" t="s">
        <v>5745</v>
      </c>
      <c r="K112" s="680">
        <v>132323</v>
      </c>
      <c r="L112" s="680">
        <v>147</v>
      </c>
      <c r="M112" s="681">
        <v>1</v>
      </c>
      <c r="N112" s="681"/>
      <c r="O112" s="681">
        <v>148</v>
      </c>
      <c r="P112" s="680">
        <v>2</v>
      </c>
      <c r="Q112" s="682">
        <v>146</v>
      </c>
      <c r="R112" s="681">
        <v>0</v>
      </c>
      <c r="S112" s="658"/>
    </row>
    <row r="113" spans="1:19" s="659" customFormat="1" ht="20.100000000000001" customHeight="1">
      <c r="A113" s="657" t="s">
        <v>8360</v>
      </c>
      <c r="B113" s="649" t="s">
        <v>2454</v>
      </c>
      <c r="C113" s="621"/>
      <c r="D113" s="621"/>
      <c r="E113" s="649" t="s">
        <v>8362</v>
      </c>
      <c r="F113" s="622" t="s">
        <v>8364</v>
      </c>
      <c r="G113" s="622" t="s">
        <v>8365</v>
      </c>
      <c r="H113" s="649" t="s">
        <v>8361</v>
      </c>
      <c r="I113" s="652" t="s">
        <v>658</v>
      </c>
      <c r="J113" s="622" t="s">
        <v>8363</v>
      </c>
      <c r="K113" s="680">
        <v>96870</v>
      </c>
      <c r="L113" s="680"/>
      <c r="M113" s="681">
        <v>50</v>
      </c>
      <c r="N113" s="681"/>
      <c r="O113" s="681">
        <v>0</v>
      </c>
      <c r="P113" s="680">
        <v>0</v>
      </c>
      <c r="Q113" s="682">
        <v>0</v>
      </c>
      <c r="R113" s="681">
        <v>50</v>
      </c>
      <c r="S113" s="658"/>
    </row>
    <row r="114" spans="1:19" s="659" customFormat="1" ht="20.100000000000001" customHeight="1">
      <c r="A114" s="657" t="s">
        <v>3806</v>
      </c>
      <c r="B114" s="649" t="s">
        <v>1494</v>
      </c>
      <c r="C114" s="621"/>
      <c r="D114" s="621"/>
      <c r="E114" s="649" t="s">
        <v>1495</v>
      </c>
      <c r="F114" s="622" t="s">
        <v>1498</v>
      </c>
      <c r="G114" s="622" t="s">
        <v>1499</v>
      </c>
      <c r="H114" s="649" t="s">
        <v>1496</v>
      </c>
      <c r="I114" s="652" t="s">
        <v>10</v>
      </c>
      <c r="J114" s="622" t="s">
        <v>1497</v>
      </c>
      <c r="K114" s="680">
        <v>3780</v>
      </c>
      <c r="L114" s="680">
        <v>81</v>
      </c>
      <c r="M114" s="681">
        <v>0</v>
      </c>
      <c r="N114" s="681"/>
      <c r="O114" s="681">
        <v>81</v>
      </c>
      <c r="P114" s="680">
        <v>81</v>
      </c>
      <c r="Q114" s="682">
        <v>0</v>
      </c>
      <c r="R114" s="681">
        <v>0</v>
      </c>
      <c r="S114" s="658"/>
    </row>
    <row r="115" spans="1:19" s="659" customFormat="1" ht="20.100000000000001" customHeight="1">
      <c r="A115" s="657" t="s">
        <v>3808</v>
      </c>
      <c r="B115" s="649" t="s">
        <v>1132</v>
      </c>
      <c r="C115" s="621"/>
      <c r="D115" s="621"/>
      <c r="E115" s="649" t="s">
        <v>1133</v>
      </c>
      <c r="F115" s="622" t="s">
        <v>7956</v>
      </c>
      <c r="G115" s="622" t="s">
        <v>7001</v>
      </c>
      <c r="H115" s="649" t="s">
        <v>291</v>
      </c>
      <c r="I115" s="652" t="s">
        <v>10</v>
      </c>
      <c r="J115" s="622" t="s">
        <v>7142</v>
      </c>
      <c r="K115" s="680">
        <v>343</v>
      </c>
      <c r="L115" s="680">
        <v>872</v>
      </c>
      <c r="M115" s="681">
        <v>0</v>
      </c>
      <c r="N115" s="681"/>
      <c r="O115" s="681">
        <v>872</v>
      </c>
      <c r="P115" s="680">
        <v>0</v>
      </c>
      <c r="Q115" s="682">
        <v>872</v>
      </c>
      <c r="R115" s="681">
        <v>0</v>
      </c>
      <c r="S115" s="658"/>
    </row>
    <row r="116" spans="1:19" s="659" customFormat="1" ht="20.100000000000001" customHeight="1">
      <c r="A116" s="657" t="s">
        <v>6465</v>
      </c>
      <c r="B116" s="649" t="s">
        <v>1494</v>
      </c>
      <c r="C116" s="621"/>
      <c r="D116" s="621"/>
      <c r="E116" s="649" t="s">
        <v>6466</v>
      </c>
      <c r="F116" s="622" t="s">
        <v>6468</v>
      </c>
      <c r="G116" s="622" t="s">
        <v>6293</v>
      </c>
      <c r="H116" s="649" t="s">
        <v>2050</v>
      </c>
      <c r="I116" s="652" t="s">
        <v>11</v>
      </c>
      <c r="J116" s="622" t="s">
        <v>6467</v>
      </c>
      <c r="K116" s="680">
        <v>5962</v>
      </c>
      <c r="L116" s="680"/>
      <c r="M116" s="681">
        <v>2000</v>
      </c>
      <c r="N116" s="681"/>
      <c r="O116" s="681">
        <v>0</v>
      </c>
      <c r="P116" s="680">
        <v>0</v>
      </c>
      <c r="Q116" s="682">
        <v>0</v>
      </c>
      <c r="R116" s="681">
        <v>2000</v>
      </c>
      <c r="S116" s="658"/>
    </row>
    <row r="117" spans="1:19" s="659" customFormat="1" ht="20.100000000000001" customHeight="1">
      <c r="A117" s="657" t="s">
        <v>4467</v>
      </c>
      <c r="B117" s="649" t="s">
        <v>802</v>
      </c>
      <c r="C117" s="621"/>
      <c r="D117" s="621"/>
      <c r="E117" s="649" t="s">
        <v>4468</v>
      </c>
      <c r="F117" s="622" t="s">
        <v>8254</v>
      </c>
      <c r="G117" s="622" t="s">
        <v>8255</v>
      </c>
      <c r="H117" s="649" t="s">
        <v>225</v>
      </c>
      <c r="I117" s="652" t="s">
        <v>16</v>
      </c>
      <c r="J117" s="622" t="s">
        <v>8253</v>
      </c>
      <c r="K117" s="680">
        <v>9620</v>
      </c>
      <c r="L117" s="680">
        <v>160</v>
      </c>
      <c r="M117" s="681">
        <v>0</v>
      </c>
      <c r="N117" s="681"/>
      <c r="O117" s="681">
        <v>0</v>
      </c>
      <c r="P117" s="680">
        <v>0</v>
      </c>
      <c r="Q117" s="682">
        <v>0</v>
      </c>
      <c r="R117" s="681">
        <v>160</v>
      </c>
      <c r="S117" s="658"/>
    </row>
    <row r="118" spans="1:19" s="659" customFormat="1" ht="20.100000000000001" customHeight="1">
      <c r="A118" s="657" t="s">
        <v>3814</v>
      </c>
      <c r="B118" s="649" t="s">
        <v>695</v>
      </c>
      <c r="C118" s="621"/>
      <c r="D118" s="621"/>
      <c r="E118" s="649" t="s">
        <v>3815</v>
      </c>
      <c r="F118" s="622" t="s">
        <v>6945</v>
      </c>
      <c r="G118" s="622" t="s">
        <v>6946</v>
      </c>
      <c r="H118" s="649" t="s">
        <v>3816</v>
      </c>
      <c r="I118" s="652" t="s">
        <v>12</v>
      </c>
      <c r="J118" s="622" t="s">
        <v>6944</v>
      </c>
      <c r="K118" s="680">
        <v>1806</v>
      </c>
      <c r="L118" s="680">
        <v>277</v>
      </c>
      <c r="M118" s="681">
        <v>0</v>
      </c>
      <c r="N118" s="681"/>
      <c r="O118" s="681">
        <v>277</v>
      </c>
      <c r="P118" s="680">
        <v>0</v>
      </c>
      <c r="Q118" s="682">
        <v>277</v>
      </c>
      <c r="R118" s="681">
        <v>0</v>
      </c>
      <c r="S118" s="658"/>
    </row>
    <row r="119" spans="1:19" s="659" customFormat="1" ht="20.100000000000001" customHeight="1">
      <c r="A119" s="657" t="s">
        <v>3814</v>
      </c>
      <c r="B119" s="649" t="s">
        <v>695</v>
      </c>
      <c r="C119" s="621"/>
      <c r="D119" s="621"/>
      <c r="E119" s="649" t="s">
        <v>3815</v>
      </c>
      <c r="F119" s="622" t="s">
        <v>6945</v>
      </c>
      <c r="G119" s="622" t="s">
        <v>6946</v>
      </c>
      <c r="H119" s="649" t="s">
        <v>3816</v>
      </c>
      <c r="I119" s="652" t="s">
        <v>12</v>
      </c>
      <c r="J119" s="622" t="s">
        <v>6944</v>
      </c>
      <c r="K119" s="680">
        <v>1806</v>
      </c>
      <c r="L119" s="680"/>
      <c r="M119" s="681">
        <v>1880</v>
      </c>
      <c r="N119" s="681"/>
      <c r="O119" s="681">
        <v>1880</v>
      </c>
      <c r="P119" s="680">
        <v>700</v>
      </c>
      <c r="Q119" s="682">
        <v>1180</v>
      </c>
      <c r="R119" s="681">
        <v>0</v>
      </c>
      <c r="S119" s="658"/>
    </row>
    <row r="120" spans="1:19" s="659" customFormat="1" ht="20.100000000000001" customHeight="1">
      <c r="A120" s="657" t="s">
        <v>3814</v>
      </c>
      <c r="B120" s="649" t="s">
        <v>695</v>
      </c>
      <c r="C120" s="621"/>
      <c r="D120" s="621"/>
      <c r="E120" s="649" t="s">
        <v>3815</v>
      </c>
      <c r="F120" s="622" t="s">
        <v>6945</v>
      </c>
      <c r="G120" s="622" t="s">
        <v>6946</v>
      </c>
      <c r="H120" s="649" t="s">
        <v>3816</v>
      </c>
      <c r="I120" s="652" t="s">
        <v>12</v>
      </c>
      <c r="J120" s="622" t="s">
        <v>6944</v>
      </c>
      <c r="K120" s="680">
        <v>1806</v>
      </c>
      <c r="L120" s="680"/>
      <c r="M120" s="681">
        <v>5123</v>
      </c>
      <c r="N120" s="681"/>
      <c r="O120" s="681">
        <v>413</v>
      </c>
      <c r="P120" s="680">
        <v>9</v>
      </c>
      <c r="Q120" s="682">
        <v>404</v>
      </c>
      <c r="R120" s="681">
        <v>4710</v>
      </c>
      <c r="S120" s="658"/>
    </row>
    <row r="121" spans="1:19" s="659" customFormat="1" ht="20.100000000000001" customHeight="1">
      <c r="A121" s="657" t="s">
        <v>4470</v>
      </c>
      <c r="B121" s="649" t="s">
        <v>1368</v>
      </c>
      <c r="C121" s="621"/>
      <c r="D121" s="621"/>
      <c r="E121" s="649" t="s">
        <v>2725</v>
      </c>
      <c r="F121" s="622" t="s">
        <v>8418</v>
      </c>
      <c r="G121" s="622" t="s">
        <v>7011</v>
      </c>
      <c r="H121" s="649" t="s">
        <v>1941</v>
      </c>
      <c r="I121" s="652" t="s">
        <v>658</v>
      </c>
      <c r="J121" s="622" t="s">
        <v>7340</v>
      </c>
      <c r="K121" s="680">
        <v>2394</v>
      </c>
      <c r="L121" s="680">
        <v>7</v>
      </c>
      <c r="M121" s="681">
        <v>0</v>
      </c>
      <c r="N121" s="681"/>
      <c r="O121" s="681">
        <v>7</v>
      </c>
      <c r="P121" s="680">
        <v>0</v>
      </c>
      <c r="Q121" s="682">
        <v>7</v>
      </c>
      <c r="R121" s="681">
        <v>0</v>
      </c>
      <c r="S121" s="658"/>
    </row>
    <row r="122" spans="1:19" s="659" customFormat="1" ht="20.100000000000001" customHeight="1">
      <c r="A122" s="657" t="s">
        <v>4470</v>
      </c>
      <c r="B122" s="649" t="s">
        <v>1368</v>
      </c>
      <c r="C122" s="621"/>
      <c r="D122" s="621"/>
      <c r="E122" s="649" t="s">
        <v>2725</v>
      </c>
      <c r="F122" s="622" t="s">
        <v>8418</v>
      </c>
      <c r="G122" s="622" t="s">
        <v>7011</v>
      </c>
      <c r="H122" s="649" t="s">
        <v>1941</v>
      </c>
      <c r="I122" s="652" t="s">
        <v>658</v>
      </c>
      <c r="J122" s="622" t="s">
        <v>7340</v>
      </c>
      <c r="K122" s="680">
        <v>2394</v>
      </c>
      <c r="L122" s="680">
        <v>100</v>
      </c>
      <c r="M122" s="681">
        <v>0</v>
      </c>
      <c r="N122" s="681"/>
      <c r="O122" s="681">
        <v>75</v>
      </c>
      <c r="P122" s="680">
        <v>50</v>
      </c>
      <c r="Q122" s="682">
        <v>25</v>
      </c>
      <c r="R122" s="681">
        <v>25</v>
      </c>
      <c r="S122" s="658"/>
    </row>
    <row r="123" spans="1:19" s="659" customFormat="1" ht="20.100000000000001" customHeight="1">
      <c r="A123" s="657" t="s">
        <v>4470</v>
      </c>
      <c r="B123" s="649" t="s">
        <v>1368</v>
      </c>
      <c r="C123" s="621"/>
      <c r="D123" s="621"/>
      <c r="E123" s="649" t="s">
        <v>2725</v>
      </c>
      <c r="F123" s="622" t="s">
        <v>8418</v>
      </c>
      <c r="G123" s="622" t="s">
        <v>7011</v>
      </c>
      <c r="H123" s="649" t="s">
        <v>1941</v>
      </c>
      <c r="I123" s="652" t="s">
        <v>658</v>
      </c>
      <c r="J123" s="622" t="s">
        <v>7340</v>
      </c>
      <c r="K123" s="680">
        <v>2394</v>
      </c>
      <c r="L123" s="680"/>
      <c r="M123" s="681">
        <v>100</v>
      </c>
      <c r="N123" s="681"/>
      <c r="O123" s="681">
        <v>50</v>
      </c>
      <c r="P123" s="680">
        <v>50</v>
      </c>
      <c r="Q123" s="682">
        <v>0</v>
      </c>
      <c r="R123" s="681">
        <v>50</v>
      </c>
      <c r="S123" s="658"/>
    </row>
    <row r="124" spans="1:19" s="659" customFormat="1" ht="20.100000000000001" customHeight="1">
      <c r="A124" s="657" t="s">
        <v>4470</v>
      </c>
      <c r="B124" s="649" t="s">
        <v>1368</v>
      </c>
      <c r="C124" s="621"/>
      <c r="D124" s="621"/>
      <c r="E124" s="649" t="s">
        <v>2725</v>
      </c>
      <c r="F124" s="622" t="s">
        <v>8418</v>
      </c>
      <c r="G124" s="622" t="s">
        <v>7011</v>
      </c>
      <c r="H124" s="649" t="s">
        <v>1941</v>
      </c>
      <c r="I124" s="652" t="s">
        <v>658</v>
      </c>
      <c r="J124" s="622" t="s">
        <v>7340</v>
      </c>
      <c r="K124" s="680">
        <v>2394</v>
      </c>
      <c r="L124" s="680"/>
      <c r="M124" s="681">
        <v>100</v>
      </c>
      <c r="N124" s="681"/>
      <c r="O124" s="681">
        <v>0</v>
      </c>
      <c r="P124" s="680">
        <v>0</v>
      </c>
      <c r="Q124" s="682">
        <v>0</v>
      </c>
      <c r="R124" s="681">
        <v>100</v>
      </c>
      <c r="S124" s="658"/>
    </row>
    <row r="125" spans="1:19" s="659" customFormat="1" ht="20.100000000000001" customHeight="1">
      <c r="A125" s="657" t="s">
        <v>3818</v>
      </c>
      <c r="B125" s="649" t="s">
        <v>750</v>
      </c>
      <c r="C125" s="621"/>
      <c r="D125" s="621"/>
      <c r="E125" s="649" t="s">
        <v>3819</v>
      </c>
      <c r="F125" s="622" t="s">
        <v>7628</v>
      </c>
      <c r="G125" s="622" t="s">
        <v>7011</v>
      </c>
      <c r="H125" s="649" t="s">
        <v>232</v>
      </c>
      <c r="I125" s="652" t="s">
        <v>11</v>
      </c>
      <c r="J125" s="622" t="s">
        <v>7627</v>
      </c>
      <c r="K125" s="680">
        <v>1554</v>
      </c>
      <c r="L125" s="680">
        <v>133</v>
      </c>
      <c r="M125" s="681">
        <v>0</v>
      </c>
      <c r="N125" s="681"/>
      <c r="O125" s="681">
        <v>81</v>
      </c>
      <c r="P125" s="680">
        <v>81</v>
      </c>
      <c r="Q125" s="682">
        <v>0</v>
      </c>
      <c r="R125" s="681">
        <v>52</v>
      </c>
      <c r="S125" s="658"/>
    </row>
    <row r="126" spans="1:19" s="659" customFormat="1" ht="20.100000000000001" customHeight="1">
      <c r="A126" s="657" t="s">
        <v>3821</v>
      </c>
      <c r="B126" s="649" t="s">
        <v>750</v>
      </c>
      <c r="C126" s="621"/>
      <c r="D126" s="621"/>
      <c r="E126" s="649" t="s">
        <v>3822</v>
      </c>
      <c r="F126" s="622" t="s">
        <v>7630</v>
      </c>
      <c r="G126" s="622" t="s">
        <v>7011</v>
      </c>
      <c r="H126" s="649" t="s">
        <v>262</v>
      </c>
      <c r="I126" s="652" t="s">
        <v>11</v>
      </c>
      <c r="J126" s="622" t="s">
        <v>7627</v>
      </c>
      <c r="K126" s="680">
        <v>1869</v>
      </c>
      <c r="L126" s="680"/>
      <c r="M126" s="681">
        <v>100</v>
      </c>
      <c r="N126" s="681"/>
      <c r="O126" s="681">
        <v>100</v>
      </c>
      <c r="P126" s="680">
        <v>100</v>
      </c>
      <c r="Q126" s="682">
        <v>0</v>
      </c>
      <c r="R126" s="681">
        <v>0</v>
      </c>
      <c r="S126" s="658"/>
    </row>
    <row r="127" spans="1:19" s="659" customFormat="1" ht="20.100000000000001" customHeight="1">
      <c r="A127" s="657" t="s">
        <v>3823</v>
      </c>
      <c r="B127" s="649" t="s">
        <v>1195</v>
      </c>
      <c r="C127" s="621"/>
      <c r="D127" s="621"/>
      <c r="E127" s="649" t="s">
        <v>1196</v>
      </c>
      <c r="F127" s="622" t="s">
        <v>7990</v>
      </c>
      <c r="G127" s="622" t="s">
        <v>6536</v>
      </c>
      <c r="H127" s="649" t="s">
        <v>327</v>
      </c>
      <c r="I127" s="652" t="s">
        <v>11</v>
      </c>
      <c r="J127" s="622" t="s">
        <v>7989</v>
      </c>
      <c r="K127" s="680">
        <v>250</v>
      </c>
      <c r="L127" s="680">
        <v>500</v>
      </c>
      <c r="M127" s="681">
        <v>0</v>
      </c>
      <c r="N127" s="681"/>
      <c r="O127" s="681">
        <v>500</v>
      </c>
      <c r="P127" s="680">
        <v>500</v>
      </c>
      <c r="Q127" s="682">
        <v>0</v>
      </c>
      <c r="R127" s="681">
        <v>0</v>
      </c>
      <c r="S127" s="658"/>
    </row>
    <row r="128" spans="1:19" s="659" customFormat="1" ht="20.100000000000001" customHeight="1">
      <c r="A128" s="657" t="s">
        <v>3823</v>
      </c>
      <c r="B128" s="649" t="s">
        <v>1195</v>
      </c>
      <c r="C128" s="621"/>
      <c r="D128" s="621"/>
      <c r="E128" s="649" t="s">
        <v>1196</v>
      </c>
      <c r="F128" s="622" t="s">
        <v>7990</v>
      </c>
      <c r="G128" s="622" t="s">
        <v>6536</v>
      </c>
      <c r="H128" s="649" t="s">
        <v>327</v>
      </c>
      <c r="I128" s="652" t="s">
        <v>11</v>
      </c>
      <c r="J128" s="622" t="s">
        <v>7989</v>
      </c>
      <c r="K128" s="680">
        <v>250</v>
      </c>
      <c r="L128" s="680"/>
      <c r="M128" s="681">
        <v>900</v>
      </c>
      <c r="N128" s="681"/>
      <c r="O128" s="681">
        <v>900</v>
      </c>
      <c r="P128" s="680">
        <v>900</v>
      </c>
      <c r="Q128" s="682">
        <v>0</v>
      </c>
      <c r="R128" s="681">
        <v>0</v>
      </c>
      <c r="S128" s="658"/>
    </row>
    <row r="129" spans="1:19" s="659" customFormat="1" ht="20.100000000000001" customHeight="1">
      <c r="A129" s="657" t="s">
        <v>3823</v>
      </c>
      <c r="B129" s="649" t="s">
        <v>1195</v>
      </c>
      <c r="C129" s="621"/>
      <c r="D129" s="621"/>
      <c r="E129" s="649" t="s">
        <v>1196</v>
      </c>
      <c r="F129" s="622" t="s">
        <v>7990</v>
      </c>
      <c r="G129" s="622" t="s">
        <v>6536</v>
      </c>
      <c r="H129" s="649" t="s">
        <v>327</v>
      </c>
      <c r="I129" s="652" t="s">
        <v>11</v>
      </c>
      <c r="J129" s="622" t="s">
        <v>7989</v>
      </c>
      <c r="K129" s="680">
        <v>250</v>
      </c>
      <c r="L129" s="680"/>
      <c r="M129" s="681">
        <v>2700</v>
      </c>
      <c r="N129" s="681"/>
      <c r="O129" s="681">
        <v>2200</v>
      </c>
      <c r="P129" s="680">
        <v>2200</v>
      </c>
      <c r="Q129" s="682">
        <v>0</v>
      </c>
      <c r="R129" s="681">
        <v>500</v>
      </c>
      <c r="S129" s="658"/>
    </row>
    <row r="130" spans="1:19" s="659" customFormat="1" ht="20.100000000000001" customHeight="1">
      <c r="A130" s="657" t="s">
        <v>3824</v>
      </c>
      <c r="B130" s="649" t="s">
        <v>624</v>
      </c>
      <c r="C130" s="621"/>
      <c r="D130" s="621"/>
      <c r="E130" s="649" t="s">
        <v>3825</v>
      </c>
      <c r="F130" s="622" t="s">
        <v>8276</v>
      </c>
      <c r="G130" s="622" t="s">
        <v>463</v>
      </c>
      <c r="H130" s="649" t="s">
        <v>625</v>
      </c>
      <c r="I130" s="652" t="s">
        <v>11</v>
      </c>
      <c r="J130" s="622" t="s">
        <v>8275</v>
      </c>
      <c r="K130" s="680">
        <v>380</v>
      </c>
      <c r="L130" s="680"/>
      <c r="M130" s="681">
        <v>4480</v>
      </c>
      <c r="N130" s="681"/>
      <c r="O130" s="681">
        <v>4480</v>
      </c>
      <c r="P130" s="680">
        <v>280</v>
      </c>
      <c r="Q130" s="682">
        <v>4200</v>
      </c>
      <c r="R130" s="681">
        <v>0</v>
      </c>
      <c r="S130" s="658"/>
    </row>
    <row r="131" spans="1:19" s="659" customFormat="1" ht="20.100000000000001" customHeight="1">
      <c r="A131" s="657" t="s">
        <v>3824</v>
      </c>
      <c r="B131" s="649" t="s">
        <v>624</v>
      </c>
      <c r="C131" s="621"/>
      <c r="D131" s="621"/>
      <c r="E131" s="649" t="s">
        <v>3825</v>
      </c>
      <c r="F131" s="622" t="s">
        <v>8276</v>
      </c>
      <c r="G131" s="622" t="s">
        <v>463</v>
      </c>
      <c r="H131" s="649" t="s">
        <v>625</v>
      </c>
      <c r="I131" s="652" t="s">
        <v>11</v>
      </c>
      <c r="J131" s="622" t="s">
        <v>8275</v>
      </c>
      <c r="K131" s="680">
        <v>380</v>
      </c>
      <c r="L131" s="680"/>
      <c r="M131" s="681">
        <v>27777</v>
      </c>
      <c r="N131" s="681"/>
      <c r="O131" s="681">
        <v>27581</v>
      </c>
      <c r="P131" s="680">
        <v>84</v>
      </c>
      <c r="Q131" s="682">
        <v>27497</v>
      </c>
      <c r="R131" s="681">
        <v>196</v>
      </c>
      <c r="S131" s="658"/>
    </row>
    <row r="132" spans="1:19" s="659" customFormat="1" ht="20.100000000000001" customHeight="1">
      <c r="A132" s="657" t="s">
        <v>3824</v>
      </c>
      <c r="B132" s="649" t="s">
        <v>624</v>
      </c>
      <c r="C132" s="621"/>
      <c r="D132" s="621"/>
      <c r="E132" s="649" t="s">
        <v>3825</v>
      </c>
      <c r="F132" s="622" t="s">
        <v>8276</v>
      </c>
      <c r="G132" s="622" t="s">
        <v>463</v>
      </c>
      <c r="H132" s="649" t="s">
        <v>625</v>
      </c>
      <c r="I132" s="652" t="s">
        <v>11</v>
      </c>
      <c r="J132" s="622" t="s">
        <v>8275</v>
      </c>
      <c r="K132" s="680">
        <v>380</v>
      </c>
      <c r="L132" s="680">
        <v>57</v>
      </c>
      <c r="M132" s="681">
        <v>0</v>
      </c>
      <c r="N132" s="681"/>
      <c r="O132" s="681">
        <v>57</v>
      </c>
      <c r="P132" s="680">
        <v>57</v>
      </c>
      <c r="Q132" s="682">
        <v>0</v>
      </c>
      <c r="R132" s="681">
        <v>0</v>
      </c>
      <c r="S132" s="658"/>
    </row>
    <row r="133" spans="1:19" s="659" customFormat="1" ht="20.100000000000001" customHeight="1">
      <c r="A133" s="657" t="s">
        <v>3824</v>
      </c>
      <c r="B133" s="649" t="s">
        <v>624</v>
      </c>
      <c r="C133" s="621"/>
      <c r="D133" s="621"/>
      <c r="E133" s="649" t="s">
        <v>3825</v>
      </c>
      <c r="F133" s="622" t="s">
        <v>8276</v>
      </c>
      <c r="G133" s="622" t="s">
        <v>463</v>
      </c>
      <c r="H133" s="649" t="s">
        <v>625</v>
      </c>
      <c r="I133" s="652" t="s">
        <v>11</v>
      </c>
      <c r="J133" s="622" t="s">
        <v>8275</v>
      </c>
      <c r="K133" s="680">
        <v>380</v>
      </c>
      <c r="L133" s="680">
        <v>11990</v>
      </c>
      <c r="M133" s="681">
        <v>5</v>
      </c>
      <c r="N133" s="681"/>
      <c r="O133" s="681">
        <v>11908</v>
      </c>
      <c r="P133" s="680">
        <v>81</v>
      </c>
      <c r="Q133" s="682">
        <v>11827</v>
      </c>
      <c r="R133" s="681">
        <v>87</v>
      </c>
      <c r="S133" s="658"/>
    </row>
    <row r="134" spans="1:19" s="659" customFormat="1" ht="20.100000000000001" customHeight="1">
      <c r="A134" s="657" t="s">
        <v>3812</v>
      </c>
      <c r="B134" s="649" t="s">
        <v>624</v>
      </c>
      <c r="C134" s="621"/>
      <c r="D134" s="621"/>
      <c r="E134" s="649" t="s">
        <v>3827</v>
      </c>
      <c r="F134" s="622" t="s">
        <v>8279</v>
      </c>
      <c r="G134" s="622" t="s">
        <v>463</v>
      </c>
      <c r="H134" s="649" t="s">
        <v>327</v>
      </c>
      <c r="I134" s="652" t="s">
        <v>11</v>
      </c>
      <c r="J134" s="622" t="s">
        <v>8278</v>
      </c>
      <c r="K134" s="680">
        <v>480</v>
      </c>
      <c r="L134" s="680"/>
      <c r="M134" s="681">
        <v>6120</v>
      </c>
      <c r="N134" s="681"/>
      <c r="O134" s="681">
        <v>6119</v>
      </c>
      <c r="P134" s="680">
        <v>120</v>
      </c>
      <c r="Q134" s="682">
        <v>5999</v>
      </c>
      <c r="R134" s="681">
        <v>1</v>
      </c>
      <c r="S134" s="658"/>
    </row>
    <row r="135" spans="1:19" s="659" customFormat="1" ht="20.100000000000001" customHeight="1">
      <c r="A135" s="657" t="s">
        <v>3812</v>
      </c>
      <c r="B135" s="649" t="s">
        <v>624</v>
      </c>
      <c r="C135" s="621"/>
      <c r="D135" s="621"/>
      <c r="E135" s="649" t="s">
        <v>3827</v>
      </c>
      <c r="F135" s="622" t="s">
        <v>8279</v>
      </c>
      <c r="G135" s="622" t="s">
        <v>463</v>
      </c>
      <c r="H135" s="649" t="s">
        <v>327</v>
      </c>
      <c r="I135" s="652" t="s">
        <v>11</v>
      </c>
      <c r="J135" s="622" t="s">
        <v>8278</v>
      </c>
      <c r="K135" s="680">
        <v>480</v>
      </c>
      <c r="L135" s="680">
        <v>2998</v>
      </c>
      <c r="M135" s="681">
        <v>0</v>
      </c>
      <c r="N135" s="681"/>
      <c r="O135" s="681">
        <v>2945</v>
      </c>
      <c r="P135" s="680">
        <v>84</v>
      </c>
      <c r="Q135" s="682">
        <v>2861</v>
      </c>
      <c r="R135" s="681">
        <v>53</v>
      </c>
      <c r="S135" s="658"/>
    </row>
    <row r="136" spans="1:19" s="659" customFormat="1" ht="20.100000000000001" customHeight="1">
      <c r="A136" s="657" t="s">
        <v>3830</v>
      </c>
      <c r="B136" s="649" t="s">
        <v>1096</v>
      </c>
      <c r="C136" s="621"/>
      <c r="D136" s="621"/>
      <c r="E136" s="649" t="s">
        <v>3831</v>
      </c>
      <c r="F136" s="622" t="s">
        <v>1099</v>
      </c>
      <c r="G136" s="622" t="s">
        <v>6532</v>
      </c>
      <c r="H136" s="649" t="s">
        <v>1098</v>
      </c>
      <c r="I136" s="652" t="s">
        <v>11</v>
      </c>
      <c r="J136" s="622" t="s">
        <v>6693</v>
      </c>
      <c r="K136" s="680">
        <v>1800</v>
      </c>
      <c r="L136" s="680">
        <v>5346</v>
      </c>
      <c r="M136" s="681">
        <v>0</v>
      </c>
      <c r="N136" s="681"/>
      <c r="O136" s="681">
        <v>2736</v>
      </c>
      <c r="P136" s="680">
        <v>0</v>
      </c>
      <c r="Q136" s="682">
        <v>2736</v>
      </c>
      <c r="R136" s="681">
        <v>2610</v>
      </c>
      <c r="S136" s="658"/>
    </row>
    <row r="137" spans="1:19" s="659" customFormat="1" ht="20.100000000000001" customHeight="1">
      <c r="A137" s="657" t="s">
        <v>3830</v>
      </c>
      <c r="B137" s="649" t="s">
        <v>1096</v>
      </c>
      <c r="C137" s="621"/>
      <c r="D137" s="621"/>
      <c r="E137" s="649" t="s">
        <v>3831</v>
      </c>
      <c r="F137" s="622" t="s">
        <v>1099</v>
      </c>
      <c r="G137" s="622" t="s">
        <v>6532</v>
      </c>
      <c r="H137" s="649" t="s">
        <v>1098</v>
      </c>
      <c r="I137" s="652" t="s">
        <v>11</v>
      </c>
      <c r="J137" s="622" t="s">
        <v>6693</v>
      </c>
      <c r="K137" s="680">
        <v>1800</v>
      </c>
      <c r="L137" s="680"/>
      <c r="M137" s="681">
        <v>3000</v>
      </c>
      <c r="N137" s="681"/>
      <c r="O137" s="681">
        <v>0</v>
      </c>
      <c r="P137" s="680">
        <v>0</v>
      </c>
      <c r="Q137" s="682">
        <v>0</v>
      </c>
      <c r="R137" s="681">
        <v>3000</v>
      </c>
      <c r="S137" s="658"/>
    </row>
    <row r="138" spans="1:19" s="659" customFormat="1" ht="20.100000000000001" customHeight="1">
      <c r="A138" s="657" t="s">
        <v>6084</v>
      </c>
      <c r="B138" s="649" t="s">
        <v>624</v>
      </c>
      <c r="C138" s="621"/>
      <c r="D138" s="621"/>
      <c r="E138" s="649" t="s">
        <v>6085</v>
      </c>
      <c r="F138" s="622" t="s">
        <v>6087</v>
      </c>
      <c r="G138" s="622" t="s">
        <v>6088</v>
      </c>
      <c r="H138" s="649" t="s">
        <v>327</v>
      </c>
      <c r="I138" s="652" t="s">
        <v>11</v>
      </c>
      <c r="J138" s="622" t="s">
        <v>6086</v>
      </c>
      <c r="K138" s="680">
        <v>1407</v>
      </c>
      <c r="L138" s="680"/>
      <c r="M138" s="681">
        <v>9990</v>
      </c>
      <c r="N138" s="681"/>
      <c r="O138" s="681">
        <v>0</v>
      </c>
      <c r="P138" s="680">
        <v>0</v>
      </c>
      <c r="Q138" s="682">
        <v>0</v>
      </c>
      <c r="R138" s="681">
        <v>9990</v>
      </c>
      <c r="S138" s="658"/>
    </row>
    <row r="139" spans="1:19" s="659" customFormat="1" ht="20.100000000000001" customHeight="1">
      <c r="A139" s="657" t="s">
        <v>4608</v>
      </c>
      <c r="B139" s="649" t="s">
        <v>4610</v>
      </c>
      <c r="C139" s="621"/>
      <c r="D139" s="621"/>
      <c r="E139" s="649" t="s">
        <v>4609</v>
      </c>
      <c r="F139" s="622" t="s">
        <v>8700</v>
      </c>
      <c r="G139" s="622" t="s">
        <v>8701</v>
      </c>
      <c r="H139" s="649" t="s">
        <v>4611</v>
      </c>
      <c r="I139" s="652" t="s">
        <v>11</v>
      </c>
      <c r="J139" s="622" t="s">
        <v>8699</v>
      </c>
      <c r="K139" s="680">
        <v>1850</v>
      </c>
      <c r="L139" s="680">
        <v>1990</v>
      </c>
      <c r="M139" s="681">
        <v>500</v>
      </c>
      <c r="N139" s="681"/>
      <c r="O139" s="681">
        <v>2490</v>
      </c>
      <c r="P139" s="680">
        <v>500</v>
      </c>
      <c r="Q139" s="682">
        <v>1990</v>
      </c>
      <c r="R139" s="681">
        <v>0</v>
      </c>
      <c r="S139" s="658"/>
    </row>
    <row r="140" spans="1:19" s="659" customFormat="1" ht="20.100000000000001" customHeight="1">
      <c r="A140" s="657" t="s">
        <v>4608</v>
      </c>
      <c r="B140" s="649" t="s">
        <v>4610</v>
      </c>
      <c r="C140" s="621"/>
      <c r="D140" s="621"/>
      <c r="E140" s="649" t="s">
        <v>4609</v>
      </c>
      <c r="F140" s="622" t="s">
        <v>8700</v>
      </c>
      <c r="G140" s="622" t="s">
        <v>8701</v>
      </c>
      <c r="H140" s="649" t="s">
        <v>4611</v>
      </c>
      <c r="I140" s="652" t="s">
        <v>11</v>
      </c>
      <c r="J140" s="622" t="s">
        <v>8699</v>
      </c>
      <c r="K140" s="680">
        <v>1850</v>
      </c>
      <c r="L140" s="680"/>
      <c r="M140" s="681">
        <v>2000</v>
      </c>
      <c r="N140" s="681"/>
      <c r="O140" s="681">
        <v>76</v>
      </c>
      <c r="P140" s="680">
        <v>0</v>
      </c>
      <c r="Q140" s="682">
        <v>76</v>
      </c>
      <c r="R140" s="681">
        <v>1924</v>
      </c>
      <c r="S140" s="658"/>
    </row>
    <row r="141" spans="1:19" s="659" customFormat="1" ht="20.100000000000001" customHeight="1">
      <c r="A141" s="657" t="s">
        <v>4612</v>
      </c>
      <c r="B141" s="649" t="s">
        <v>31</v>
      </c>
      <c r="C141" s="621"/>
      <c r="D141" s="621"/>
      <c r="E141" s="649" t="s">
        <v>30</v>
      </c>
      <c r="F141" s="622" t="s">
        <v>8562</v>
      </c>
      <c r="G141" s="622" t="s">
        <v>8563</v>
      </c>
      <c r="H141" s="649" t="s">
        <v>4613</v>
      </c>
      <c r="I141" s="652" t="s">
        <v>11</v>
      </c>
      <c r="J141" s="622" t="s">
        <v>8561</v>
      </c>
      <c r="K141" s="680">
        <v>1600</v>
      </c>
      <c r="L141" s="680">
        <v>8586</v>
      </c>
      <c r="M141" s="681">
        <v>1000</v>
      </c>
      <c r="N141" s="681"/>
      <c r="O141" s="681">
        <v>9586</v>
      </c>
      <c r="P141" s="680">
        <v>4650</v>
      </c>
      <c r="Q141" s="682">
        <v>4936</v>
      </c>
      <c r="R141" s="681">
        <v>0</v>
      </c>
      <c r="S141" s="658"/>
    </row>
    <row r="142" spans="1:19" s="659" customFormat="1" ht="20.100000000000001" customHeight="1">
      <c r="A142" s="657" t="s">
        <v>4616</v>
      </c>
      <c r="B142" s="649" t="s">
        <v>4618</v>
      </c>
      <c r="C142" s="621"/>
      <c r="D142" s="621"/>
      <c r="E142" s="649" t="s">
        <v>4617</v>
      </c>
      <c r="F142" s="622" t="s">
        <v>8899</v>
      </c>
      <c r="G142" s="622" t="s">
        <v>8900</v>
      </c>
      <c r="H142" s="649" t="s">
        <v>4619</v>
      </c>
      <c r="I142" s="652" t="s">
        <v>658</v>
      </c>
      <c r="J142" s="622" t="s">
        <v>8898</v>
      </c>
      <c r="K142" s="680">
        <v>56900</v>
      </c>
      <c r="L142" s="680">
        <v>72</v>
      </c>
      <c r="M142" s="681">
        <v>0</v>
      </c>
      <c r="N142" s="681"/>
      <c r="O142" s="681">
        <v>72</v>
      </c>
      <c r="P142" s="680">
        <v>0</v>
      </c>
      <c r="Q142" s="682">
        <v>72</v>
      </c>
      <c r="R142" s="681">
        <v>0</v>
      </c>
      <c r="S142" s="658"/>
    </row>
    <row r="143" spans="1:19" s="659" customFormat="1" ht="20.100000000000001" customHeight="1">
      <c r="A143" s="657" t="s">
        <v>6534</v>
      </c>
      <c r="B143" s="649" t="s">
        <v>843</v>
      </c>
      <c r="C143" s="621"/>
      <c r="D143" s="621"/>
      <c r="E143" s="649" t="s">
        <v>1231</v>
      </c>
      <c r="F143" s="622" t="s">
        <v>1234</v>
      </c>
      <c r="G143" s="622" t="s">
        <v>6536</v>
      </c>
      <c r="H143" s="649" t="s">
        <v>1232</v>
      </c>
      <c r="I143" s="652" t="s">
        <v>11</v>
      </c>
      <c r="J143" s="622" t="s">
        <v>6535</v>
      </c>
      <c r="K143" s="680">
        <v>1150</v>
      </c>
      <c r="L143" s="680"/>
      <c r="M143" s="681">
        <v>700</v>
      </c>
      <c r="N143" s="681"/>
      <c r="O143" s="681">
        <v>700</v>
      </c>
      <c r="P143" s="680">
        <v>700</v>
      </c>
      <c r="Q143" s="682">
        <v>0</v>
      </c>
      <c r="R143" s="681">
        <v>0</v>
      </c>
      <c r="S143" s="658"/>
    </row>
    <row r="144" spans="1:19" s="659" customFormat="1" ht="20.100000000000001" customHeight="1">
      <c r="A144" s="657" t="s">
        <v>6534</v>
      </c>
      <c r="B144" s="649" t="s">
        <v>843</v>
      </c>
      <c r="C144" s="621"/>
      <c r="D144" s="621"/>
      <c r="E144" s="649" t="s">
        <v>1231</v>
      </c>
      <c r="F144" s="622" t="s">
        <v>1234</v>
      </c>
      <c r="G144" s="622" t="s">
        <v>6536</v>
      </c>
      <c r="H144" s="649" t="s">
        <v>1232</v>
      </c>
      <c r="I144" s="652" t="s">
        <v>11</v>
      </c>
      <c r="J144" s="622" t="s">
        <v>6535</v>
      </c>
      <c r="K144" s="680">
        <v>1150</v>
      </c>
      <c r="L144" s="680">
        <v>700</v>
      </c>
      <c r="M144" s="681">
        <v>0</v>
      </c>
      <c r="N144" s="681"/>
      <c r="O144" s="681">
        <v>700</v>
      </c>
      <c r="P144" s="680">
        <v>700</v>
      </c>
      <c r="Q144" s="682">
        <v>0</v>
      </c>
      <c r="R144" s="681">
        <v>0</v>
      </c>
      <c r="S144" s="658"/>
    </row>
    <row r="145" spans="1:19" s="659" customFormat="1" ht="20.100000000000001" customHeight="1">
      <c r="A145" s="657" t="s">
        <v>6534</v>
      </c>
      <c r="B145" s="649" t="s">
        <v>843</v>
      </c>
      <c r="C145" s="621"/>
      <c r="D145" s="621"/>
      <c r="E145" s="649" t="s">
        <v>1231</v>
      </c>
      <c r="F145" s="622" t="s">
        <v>1234</v>
      </c>
      <c r="G145" s="622" t="s">
        <v>6536</v>
      </c>
      <c r="H145" s="649" t="s">
        <v>1232</v>
      </c>
      <c r="I145" s="652" t="s">
        <v>11</v>
      </c>
      <c r="J145" s="622" t="s">
        <v>6535</v>
      </c>
      <c r="K145" s="680">
        <v>1150</v>
      </c>
      <c r="L145" s="680"/>
      <c r="M145" s="681">
        <v>2620</v>
      </c>
      <c r="N145" s="681"/>
      <c r="O145" s="681">
        <v>2620</v>
      </c>
      <c r="P145" s="680">
        <v>1000</v>
      </c>
      <c r="Q145" s="682">
        <v>1620</v>
      </c>
      <c r="R145" s="681">
        <v>0</v>
      </c>
      <c r="S145" s="658"/>
    </row>
    <row r="146" spans="1:19" s="659" customFormat="1" ht="20.100000000000001" customHeight="1">
      <c r="A146" s="657" t="s">
        <v>6534</v>
      </c>
      <c r="B146" s="649" t="s">
        <v>843</v>
      </c>
      <c r="C146" s="621"/>
      <c r="D146" s="621"/>
      <c r="E146" s="649" t="s">
        <v>1231</v>
      </c>
      <c r="F146" s="622" t="s">
        <v>1234</v>
      </c>
      <c r="G146" s="622" t="s">
        <v>6536</v>
      </c>
      <c r="H146" s="649" t="s">
        <v>1232</v>
      </c>
      <c r="I146" s="652" t="s">
        <v>11</v>
      </c>
      <c r="J146" s="622" t="s">
        <v>6535</v>
      </c>
      <c r="K146" s="680">
        <v>1150</v>
      </c>
      <c r="L146" s="680"/>
      <c r="M146" s="681">
        <v>2380</v>
      </c>
      <c r="N146" s="681"/>
      <c r="O146" s="681">
        <v>1469</v>
      </c>
      <c r="P146" s="680">
        <v>0</v>
      </c>
      <c r="Q146" s="682">
        <v>1469</v>
      </c>
      <c r="R146" s="681">
        <v>911</v>
      </c>
      <c r="S146" s="658"/>
    </row>
    <row r="147" spans="1:19" s="659" customFormat="1" ht="20.100000000000001" customHeight="1">
      <c r="A147" s="657" t="s">
        <v>4807</v>
      </c>
      <c r="B147" s="649" t="s">
        <v>695</v>
      </c>
      <c r="C147" s="621"/>
      <c r="D147" s="621"/>
      <c r="E147" s="649" t="s">
        <v>368</v>
      </c>
      <c r="F147" s="622" t="s">
        <v>370</v>
      </c>
      <c r="G147" s="622" t="s">
        <v>360</v>
      </c>
      <c r="H147" s="649" t="s">
        <v>369</v>
      </c>
      <c r="I147" s="652" t="s">
        <v>10</v>
      </c>
      <c r="J147" s="622" t="s">
        <v>5357</v>
      </c>
      <c r="K147" s="680">
        <v>34</v>
      </c>
      <c r="L147" s="680">
        <v>111</v>
      </c>
      <c r="M147" s="681">
        <v>6</v>
      </c>
      <c r="N147" s="681"/>
      <c r="O147" s="681">
        <v>117</v>
      </c>
      <c r="P147" s="680">
        <v>117</v>
      </c>
      <c r="Q147" s="682">
        <v>0</v>
      </c>
      <c r="R147" s="681">
        <v>0</v>
      </c>
      <c r="S147" s="658"/>
    </row>
    <row r="148" spans="1:19" s="659" customFormat="1" ht="20.100000000000001" customHeight="1">
      <c r="A148" s="657" t="s">
        <v>4807</v>
      </c>
      <c r="B148" s="649" t="s">
        <v>695</v>
      </c>
      <c r="C148" s="621"/>
      <c r="D148" s="621"/>
      <c r="E148" s="649" t="s">
        <v>368</v>
      </c>
      <c r="F148" s="622" t="s">
        <v>370</v>
      </c>
      <c r="G148" s="622" t="s">
        <v>360</v>
      </c>
      <c r="H148" s="649" t="s">
        <v>369</v>
      </c>
      <c r="I148" s="652" t="s">
        <v>10</v>
      </c>
      <c r="J148" s="622" t="s">
        <v>5357</v>
      </c>
      <c r="K148" s="680">
        <v>34</v>
      </c>
      <c r="L148" s="680">
        <v>40000</v>
      </c>
      <c r="M148" s="681">
        <v>21</v>
      </c>
      <c r="N148" s="681"/>
      <c r="O148" s="681">
        <v>5336</v>
      </c>
      <c r="P148" s="680">
        <v>5336</v>
      </c>
      <c r="Q148" s="682">
        <v>0</v>
      </c>
      <c r="R148" s="681">
        <v>34685</v>
      </c>
      <c r="S148" s="658"/>
    </row>
    <row r="149" spans="1:19" s="659" customFormat="1" ht="20.100000000000001" customHeight="1">
      <c r="A149" s="657" t="s">
        <v>4807</v>
      </c>
      <c r="B149" s="649" t="s">
        <v>695</v>
      </c>
      <c r="C149" s="621"/>
      <c r="D149" s="621"/>
      <c r="E149" s="649" t="s">
        <v>368</v>
      </c>
      <c r="F149" s="622" t="s">
        <v>370</v>
      </c>
      <c r="G149" s="622" t="s">
        <v>360</v>
      </c>
      <c r="H149" s="649" t="s">
        <v>369</v>
      </c>
      <c r="I149" s="652" t="s">
        <v>10</v>
      </c>
      <c r="J149" s="622" t="s">
        <v>5357</v>
      </c>
      <c r="K149" s="680">
        <v>34</v>
      </c>
      <c r="L149" s="680">
        <v>2757</v>
      </c>
      <c r="M149" s="681">
        <v>0</v>
      </c>
      <c r="N149" s="681"/>
      <c r="O149" s="681">
        <v>2757</v>
      </c>
      <c r="P149" s="680">
        <v>0</v>
      </c>
      <c r="Q149" s="682">
        <v>2757</v>
      </c>
      <c r="R149" s="681">
        <v>0</v>
      </c>
      <c r="S149" s="658"/>
    </row>
    <row r="150" spans="1:19" s="659" customFormat="1" ht="20.100000000000001" customHeight="1">
      <c r="A150" s="657" t="s">
        <v>4810</v>
      </c>
      <c r="B150" s="649" t="s">
        <v>695</v>
      </c>
      <c r="C150" s="621"/>
      <c r="D150" s="621"/>
      <c r="E150" s="649" t="s">
        <v>368</v>
      </c>
      <c r="F150" s="622" t="s">
        <v>370</v>
      </c>
      <c r="G150" s="622" t="s">
        <v>360</v>
      </c>
      <c r="H150" s="649" t="s">
        <v>369</v>
      </c>
      <c r="I150" s="652" t="s">
        <v>10</v>
      </c>
      <c r="J150" s="622" t="s">
        <v>5357</v>
      </c>
      <c r="K150" s="680">
        <v>34</v>
      </c>
      <c r="L150" s="680">
        <v>18200</v>
      </c>
      <c r="M150" s="681">
        <v>77</v>
      </c>
      <c r="N150" s="681"/>
      <c r="O150" s="681">
        <v>5775</v>
      </c>
      <c r="P150" s="680">
        <v>5634</v>
      </c>
      <c r="Q150" s="682">
        <v>141</v>
      </c>
      <c r="R150" s="681">
        <v>12502</v>
      </c>
      <c r="S150" s="658"/>
    </row>
    <row r="151" spans="1:19" s="659" customFormat="1" ht="20.100000000000001" customHeight="1">
      <c r="A151" s="657" t="s">
        <v>4810</v>
      </c>
      <c r="B151" s="649" t="s">
        <v>695</v>
      </c>
      <c r="C151" s="621"/>
      <c r="D151" s="621"/>
      <c r="E151" s="649" t="s">
        <v>368</v>
      </c>
      <c r="F151" s="622" t="s">
        <v>370</v>
      </c>
      <c r="G151" s="622" t="s">
        <v>360</v>
      </c>
      <c r="H151" s="649" t="s">
        <v>369</v>
      </c>
      <c r="I151" s="652" t="s">
        <v>10</v>
      </c>
      <c r="J151" s="622" t="s">
        <v>5357</v>
      </c>
      <c r="K151" s="680">
        <v>34</v>
      </c>
      <c r="L151" s="680">
        <v>347</v>
      </c>
      <c r="M151" s="681">
        <v>6</v>
      </c>
      <c r="N151" s="681"/>
      <c r="O151" s="681">
        <v>353</v>
      </c>
      <c r="P151" s="680">
        <v>353</v>
      </c>
      <c r="Q151" s="682">
        <v>0</v>
      </c>
      <c r="R151" s="681">
        <v>0</v>
      </c>
      <c r="S151" s="658"/>
    </row>
    <row r="152" spans="1:19" s="659" customFormat="1" ht="20.100000000000001" customHeight="1">
      <c r="A152" s="657" t="s">
        <v>3835</v>
      </c>
      <c r="B152" s="649" t="s">
        <v>695</v>
      </c>
      <c r="C152" s="621"/>
      <c r="D152" s="621"/>
      <c r="E152" s="649" t="s">
        <v>3552</v>
      </c>
      <c r="F152" s="622" t="s">
        <v>6963</v>
      </c>
      <c r="G152" s="622" t="s">
        <v>336</v>
      </c>
      <c r="H152" s="649" t="s">
        <v>390</v>
      </c>
      <c r="I152" s="652" t="s">
        <v>11</v>
      </c>
      <c r="J152" s="622" t="s">
        <v>6962</v>
      </c>
      <c r="K152" s="680">
        <v>49</v>
      </c>
      <c r="L152" s="680"/>
      <c r="M152" s="681">
        <v>5600</v>
      </c>
      <c r="N152" s="681"/>
      <c r="O152" s="681">
        <v>5600</v>
      </c>
      <c r="P152" s="680">
        <v>5600</v>
      </c>
      <c r="Q152" s="682">
        <v>0</v>
      </c>
      <c r="R152" s="681">
        <v>0</v>
      </c>
      <c r="S152" s="658"/>
    </row>
    <row r="153" spans="1:19" s="659" customFormat="1" ht="20.100000000000001" customHeight="1">
      <c r="A153" s="657" t="s">
        <v>3835</v>
      </c>
      <c r="B153" s="649" t="s">
        <v>695</v>
      </c>
      <c r="C153" s="621"/>
      <c r="D153" s="621"/>
      <c r="E153" s="649" t="s">
        <v>3552</v>
      </c>
      <c r="F153" s="622" t="s">
        <v>6963</v>
      </c>
      <c r="G153" s="622" t="s">
        <v>336</v>
      </c>
      <c r="H153" s="649" t="s">
        <v>390</v>
      </c>
      <c r="I153" s="652" t="s">
        <v>11</v>
      </c>
      <c r="J153" s="622" t="s">
        <v>6962</v>
      </c>
      <c r="K153" s="680">
        <v>49</v>
      </c>
      <c r="L153" s="680">
        <v>5000</v>
      </c>
      <c r="M153" s="681">
        <v>0</v>
      </c>
      <c r="N153" s="681"/>
      <c r="O153" s="681">
        <v>4986</v>
      </c>
      <c r="P153" s="680">
        <v>2000</v>
      </c>
      <c r="Q153" s="682">
        <v>2986</v>
      </c>
      <c r="R153" s="681">
        <v>14</v>
      </c>
      <c r="S153" s="658"/>
    </row>
    <row r="154" spans="1:19" s="659" customFormat="1" ht="20.100000000000001" customHeight="1">
      <c r="A154" s="657" t="s">
        <v>3835</v>
      </c>
      <c r="B154" s="649" t="s">
        <v>695</v>
      </c>
      <c r="C154" s="621"/>
      <c r="D154" s="621"/>
      <c r="E154" s="649" t="s">
        <v>3552</v>
      </c>
      <c r="F154" s="622" t="s">
        <v>6963</v>
      </c>
      <c r="G154" s="622" t="s">
        <v>336</v>
      </c>
      <c r="H154" s="649" t="s">
        <v>390</v>
      </c>
      <c r="I154" s="652" t="s">
        <v>11</v>
      </c>
      <c r="J154" s="622" t="s">
        <v>6962</v>
      </c>
      <c r="K154" s="680">
        <v>49</v>
      </c>
      <c r="L154" s="680">
        <v>2000</v>
      </c>
      <c r="M154" s="681">
        <v>0</v>
      </c>
      <c r="N154" s="681"/>
      <c r="O154" s="681">
        <v>2000</v>
      </c>
      <c r="P154" s="680">
        <v>2000</v>
      </c>
      <c r="Q154" s="682">
        <v>0</v>
      </c>
      <c r="R154" s="681">
        <v>0</v>
      </c>
      <c r="S154" s="658"/>
    </row>
    <row r="155" spans="1:19" s="659" customFormat="1" ht="20.100000000000001" customHeight="1">
      <c r="A155" s="657" t="s">
        <v>3835</v>
      </c>
      <c r="B155" s="649" t="s">
        <v>695</v>
      </c>
      <c r="C155" s="621"/>
      <c r="D155" s="621"/>
      <c r="E155" s="649" t="s">
        <v>3552</v>
      </c>
      <c r="F155" s="622" t="s">
        <v>6963</v>
      </c>
      <c r="G155" s="622" t="s">
        <v>336</v>
      </c>
      <c r="H155" s="649" t="s">
        <v>390</v>
      </c>
      <c r="I155" s="652" t="s">
        <v>11</v>
      </c>
      <c r="J155" s="622" t="s">
        <v>6962</v>
      </c>
      <c r="K155" s="680">
        <v>49</v>
      </c>
      <c r="L155" s="680"/>
      <c r="M155" s="681">
        <v>7400</v>
      </c>
      <c r="N155" s="681"/>
      <c r="O155" s="681">
        <v>7400</v>
      </c>
      <c r="P155" s="680">
        <v>7400</v>
      </c>
      <c r="Q155" s="682">
        <v>0</v>
      </c>
      <c r="R155" s="681">
        <v>0</v>
      </c>
      <c r="S155" s="658"/>
    </row>
    <row r="156" spans="1:19" s="659" customFormat="1" ht="20.100000000000001" customHeight="1">
      <c r="A156" s="657" t="s">
        <v>4812</v>
      </c>
      <c r="B156" s="649" t="s">
        <v>695</v>
      </c>
      <c r="C156" s="621"/>
      <c r="D156" s="621"/>
      <c r="E156" s="649" t="s">
        <v>4813</v>
      </c>
      <c r="F156" s="622" t="s">
        <v>454</v>
      </c>
      <c r="G156" s="622" t="s">
        <v>455</v>
      </c>
      <c r="H156" s="649" t="s">
        <v>369</v>
      </c>
      <c r="I156" s="652" t="s">
        <v>10</v>
      </c>
      <c r="J156" s="622" t="s">
        <v>5159</v>
      </c>
      <c r="K156" s="680">
        <v>786</v>
      </c>
      <c r="L156" s="680">
        <v>5000</v>
      </c>
      <c r="M156" s="681">
        <v>0</v>
      </c>
      <c r="N156" s="681"/>
      <c r="O156" s="681">
        <v>4601</v>
      </c>
      <c r="P156" s="680">
        <v>722</v>
      </c>
      <c r="Q156" s="682">
        <v>3879</v>
      </c>
      <c r="R156" s="681">
        <v>399</v>
      </c>
      <c r="S156" s="658"/>
    </row>
    <row r="157" spans="1:19" s="659" customFormat="1" ht="20.100000000000001" customHeight="1">
      <c r="A157" s="657" t="s">
        <v>4812</v>
      </c>
      <c r="B157" s="649" t="s">
        <v>695</v>
      </c>
      <c r="C157" s="621"/>
      <c r="D157" s="621"/>
      <c r="E157" s="649" t="s">
        <v>4813</v>
      </c>
      <c r="F157" s="622" t="s">
        <v>454</v>
      </c>
      <c r="G157" s="622" t="s">
        <v>455</v>
      </c>
      <c r="H157" s="649" t="s">
        <v>369</v>
      </c>
      <c r="I157" s="652" t="s">
        <v>10</v>
      </c>
      <c r="J157" s="622" t="s">
        <v>5159</v>
      </c>
      <c r="K157" s="680">
        <v>786</v>
      </c>
      <c r="L157" s="680">
        <v>5000</v>
      </c>
      <c r="M157" s="681">
        <v>0</v>
      </c>
      <c r="N157" s="681"/>
      <c r="O157" s="681">
        <v>5000</v>
      </c>
      <c r="P157" s="680">
        <v>0</v>
      </c>
      <c r="Q157" s="682">
        <v>5000</v>
      </c>
      <c r="R157" s="681">
        <v>0</v>
      </c>
      <c r="S157" s="658"/>
    </row>
    <row r="158" spans="1:19" s="659" customFormat="1" ht="20.100000000000001" customHeight="1">
      <c r="A158" s="657" t="s">
        <v>4812</v>
      </c>
      <c r="B158" s="649" t="s">
        <v>695</v>
      </c>
      <c r="C158" s="621"/>
      <c r="D158" s="621"/>
      <c r="E158" s="649" t="s">
        <v>4813</v>
      </c>
      <c r="F158" s="622" t="s">
        <v>454</v>
      </c>
      <c r="G158" s="622" t="s">
        <v>455</v>
      </c>
      <c r="H158" s="649" t="s">
        <v>369</v>
      </c>
      <c r="I158" s="652" t="s">
        <v>10</v>
      </c>
      <c r="J158" s="622" t="s">
        <v>5159</v>
      </c>
      <c r="K158" s="680">
        <v>786</v>
      </c>
      <c r="L158" s="680">
        <v>1700</v>
      </c>
      <c r="M158" s="681">
        <v>0</v>
      </c>
      <c r="N158" s="681"/>
      <c r="O158" s="681">
        <v>1700</v>
      </c>
      <c r="P158" s="680">
        <v>0</v>
      </c>
      <c r="Q158" s="682">
        <v>1700</v>
      </c>
      <c r="R158" s="681">
        <v>0</v>
      </c>
      <c r="S158" s="658"/>
    </row>
    <row r="159" spans="1:19" s="659" customFormat="1" ht="20.100000000000001" customHeight="1">
      <c r="A159" s="657" t="s">
        <v>3837</v>
      </c>
      <c r="B159" s="649" t="s">
        <v>695</v>
      </c>
      <c r="C159" s="621"/>
      <c r="D159" s="621"/>
      <c r="E159" s="649" t="s">
        <v>3838</v>
      </c>
      <c r="F159" s="622" t="s">
        <v>6942</v>
      </c>
      <c r="G159" s="622" t="s">
        <v>621</v>
      </c>
      <c r="H159" s="649" t="s">
        <v>2474</v>
      </c>
      <c r="I159" s="652" t="s">
        <v>15</v>
      </c>
      <c r="J159" s="622" t="s">
        <v>6940</v>
      </c>
      <c r="K159" s="680">
        <v>9345</v>
      </c>
      <c r="L159" s="680">
        <v>140</v>
      </c>
      <c r="M159" s="681">
        <v>0</v>
      </c>
      <c r="N159" s="681"/>
      <c r="O159" s="681">
        <v>85</v>
      </c>
      <c r="P159" s="680">
        <v>30</v>
      </c>
      <c r="Q159" s="682">
        <v>55</v>
      </c>
      <c r="R159" s="681">
        <v>55</v>
      </c>
      <c r="S159" s="658"/>
    </row>
    <row r="160" spans="1:19" s="659" customFormat="1" ht="20.100000000000001" customHeight="1">
      <c r="A160" s="657" t="s">
        <v>4816</v>
      </c>
      <c r="B160" s="649" t="s">
        <v>515</v>
      </c>
      <c r="C160" s="621"/>
      <c r="D160" s="621"/>
      <c r="E160" s="649" t="s">
        <v>516</v>
      </c>
      <c r="F160" s="622" t="s">
        <v>518</v>
      </c>
      <c r="G160" s="622" t="s">
        <v>519</v>
      </c>
      <c r="H160" s="649" t="s">
        <v>517</v>
      </c>
      <c r="I160" s="652" t="s">
        <v>520</v>
      </c>
      <c r="J160" s="622" t="s">
        <v>5120</v>
      </c>
      <c r="K160" s="680">
        <v>8376</v>
      </c>
      <c r="L160" s="680">
        <v>1</v>
      </c>
      <c r="M160" s="681">
        <v>0</v>
      </c>
      <c r="N160" s="681"/>
      <c r="O160" s="681">
        <v>1</v>
      </c>
      <c r="P160" s="680">
        <v>1</v>
      </c>
      <c r="Q160" s="682">
        <v>0</v>
      </c>
      <c r="R160" s="681">
        <v>0</v>
      </c>
      <c r="S160" s="658"/>
    </row>
    <row r="161" spans="1:19" s="659" customFormat="1" ht="20.100000000000001" customHeight="1">
      <c r="A161" s="657" t="s">
        <v>4816</v>
      </c>
      <c r="B161" s="649" t="s">
        <v>515</v>
      </c>
      <c r="C161" s="621"/>
      <c r="D161" s="621"/>
      <c r="E161" s="649" t="s">
        <v>516</v>
      </c>
      <c r="F161" s="622" t="s">
        <v>518</v>
      </c>
      <c r="G161" s="622" t="s">
        <v>519</v>
      </c>
      <c r="H161" s="649" t="s">
        <v>517</v>
      </c>
      <c r="I161" s="652" t="s">
        <v>520</v>
      </c>
      <c r="J161" s="622" t="s">
        <v>5120</v>
      </c>
      <c r="K161" s="680">
        <v>8376</v>
      </c>
      <c r="L161" s="680">
        <v>228</v>
      </c>
      <c r="M161" s="681">
        <v>5</v>
      </c>
      <c r="N161" s="681"/>
      <c r="O161" s="681">
        <v>231</v>
      </c>
      <c r="P161" s="680">
        <v>231</v>
      </c>
      <c r="Q161" s="682">
        <v>0</v>
      </c>
      <c r="R161" s="681">
        <v>2</v>
      </c>
      <c r="S161" s="658"/>
    </row>
    <row r="162" spans="1:19" s="659" customFormat="1" ht="20.100000000000001" customHeight="1">
      <c r="A162" s="657" t="s">
        <v>4816</v>
      </c>
      <c r="B162" s="649" t="s">
        <v>515</v>
      </c>
      <c r="C162" s="621"/>
      <c r="D162" s="621"/>
      <c r="E162" s="649" t="s">
        <v>516</v>
      </c>
      <c r="F162" s="622" t="s">
        <v>518</v>
      </c>
      <c r="G162" s="622" t="s">
        <v>519</v>
      </c>
      <c r="H162" s="649" t="s">
        <v>517</v>
      </c>
      <c r="I162" s="652" t="s">
        <v>520</v>
      </c>
      <c r="J162" s="622" t="s">
        <v>5120</v>
      </c>
      <c r="K162" s="680">
        <v>8376</v>
      </c>
      <c r="L162" s="680">
        <v>600</v>
      </c>
      <c r="M162" s="681">
        <v>0</v>
      </c>
      <c r="N162" s="681"/>
      <c r="O162" s="681">
        <v>244</v>
      </c>
      <c r="P162" s="680">
        <v>234</v>
      </c>
      <c r="Q162" s="682">
        <v>10</v>
      </c>
      <c r="R162" s="681">
        <v>356</v>
      </c>
      <c r="S162" s="658"/>
    </row>
    <row r="163" spans="1:19" s="659" customFormat="1" ht="20.100000000000001" customHeight="1">
      <c r="A163" s="657" t="s">
        <v>4819</v>
      </c>
      <c r="B163" s="649" t="s">
        <v>515</v>
      </c>
      <c r="C163" s="621"/>
      <c r="D163" s="621"/>
      <c r="E163" s="649" t="s">
        <v>521</v>
      </c>
      <c r="F163" s="622" t="s">
        <v>522</v>
      </c>
      <c r="G163" s="622" t="s">
        <v>523</v>
      </c>
      <c r="H163" s="649" t="s">
        <v>238</v>
      </c>
      <c r="I163" s="652" t="s">
        <v>10</v>
      </c>
      <c r="J163" s="622" t="s">
        <v>5227</v>
      </c>
      <c r="K163" s="680">
        <v>1120</v>
      </c>
      <c r="L163" s="680">
        <v>330</v>
      </c>
      <c r="M163" s="681">
        <v>9</v>
      </c>
      <c r="N163" s="681"/>
      <c r="O163" s="681">
        <v>339</v>
      </c>
      <c r="P163" s="680">
        <v>339</v>
      </c>
      <c r="Q163" s="682">
        <v>0</v>
      </c>
      <c r="R163" s="681">
        <v>0</v>
      </c>
      <c r="S163" s="658"/>
    </row>
    <row r="164" spans="1:19" s="659" customFormat="1" ht="20.100000000000001" customHeight="1">
      <c r="A164" s="657" t="s">
        <v>4819</v>
      </c>
      <c r="B164" s="649" t="s">
        <v>515</v>
      </c>
      <c r="C164" s="621"/>
      <c r="D164" s="621"/>
      <c r="E164" s="649" t="s">
        <v>521</v>
      </c>
      <c r="F164" s="622" t="s">
        <v>522</v>
      </c>
      <c r="G164" s="622" t="s">
        <v>523</v>
      </c>
      <c r="H164" s="649" t="s">
        <v>238</v>
      </c>
      <c r="I164" s="652" t="s">
        <v>10</v>
      </c>
      <c r="J164" s="622" t="s">
        <v>5227</v>
      </c>
      <c r="K164" s="680">
        <v>1120</v>
      </c>
      <c r="L164" s="680">
        <v>9865</v>
      </c>
      <c r="M164" s="681">
        <v>22</v>
      </c>
      <c r="N164" s="681"/>
      <c r="O164" s="681">
        <v>7962</v>
      </c>
      <c r="P164" s="680">
        <v>504</v>
      </c>
      <c r="Q164" s="682">
        <v>7458</v>
      </c>
      <c r="R164" s="681">
        <v>1925</v>
      </c>
      <c r="S164" s="658"/>
    </row>
    <row r="165" spans="1:19" s="659" customFormat="1" ht="20.100000000000001" customHeight="1">
      <c r="A165" s="657" t="s">
        <v>4819</v>
      </c>
      <c r="B165" s="649" t="s">
        <v>515</v>
      </c>
      <c r="C165" s="621"/>
      <c r="D165" s="621"/>
      <c r="E165" s="649" t="s">
        <v>521</v>
      </c>
      <c r="F165" s="622" t="s">
        <v>522</v>
      </c>
      <c r="G165" s="622" t="s">
        <v>523</v>
      </c>
      <c r="H165" s="649" t="s">
        <v>238</v>
      </c>
      <c r="I165" s="652" t="s">
        <v>10</v>
      </c>
      <c r="J165" s="622" t="s">
        <v>5227</v>
      </c>
      <c r="K165" s="680">
        <v>1120</v>
      </c>
      <c r="L165" s="680">
        <v>10000</v>
      </c>
      <c r="M165" s="681">
        <v>0</v>
      </c>
      <c r="N165" s="681"/>
      <c r="O165" s="681">
        <v>100</v>
      </c>
      <c r="P165" s="680">
        <v>100</v>
      </c>
      <c r="Q165" s="682">
        <v>0</v>
      </c>
      <c r="R165" s="681">
        <v>9900</v>
      </c>
      <c r="S165" s="658"/>
    </row>
    <row r="166" spans="1:19" s="659" customFormat="1" ht="20.100000000000001" customHeight="1">
      <c r="A166" s="657" t="s">
        <v>7753</v>
      </c>
      <c r="B166" s="649" t="s">
        <v>1999</v>
      </c>
      <c r="C166" s="621"/>
      <c r="D166" s="621"/>
      <c r="E166" s="649" t="s">
        <v>7754</v>
      </c>
      <c r="F166" s="622" t="s">
        <v>7755</v>
      </c>
      <c r="G166" s="622" t="s">
        <v>587</v>
      </c>
      <c r="H166" s="649" t="s">
        <v>2001</v>
      </c>
      <c r="I166" s="652" t="s">
        <v>11</v>
      </c>
      <c r="J166" s="622" t="s">
        <v>6143</v>
      </c>
      <c r="K166" s="680">
        <v>1278</v>
      </c>
      <c r="L166" s="680">
        <v>6000</v>
      </c>
      <c r="M166" s="681">
        <v>0</v>
      </c>
      <c r="N166" s="681"/>
      <c r="O166" s="681">
        <v>6000</v>
      </c>
      <c r="P166" s="680">
        <v>0</v>
      </c>
      <c r="Q166" s="682">
        <v>6000</v>
      </c>
      <c r="R166" s="681">
        <v>0</v>
      </c>
      <c r="S166" s="658"/>
    </row>
    <row r="167" spans="1:19" s="659" customFormat="1" ht="20.100000000000001" customHeight="1">
      <c r="A167" s="657" t="s">
        <v>7753</v>
      </c>
      <c r="B167" s="649" t="s">
        <v>1999</v>
      </c>
      <c r="C167" s="621"/>
      <c r="D167" s="621"/>
      <c r="E167" s="649" t="s">
        <v>7754</v>
      </c>
      <c r="F167" s="622" t="s">
        <v>7755</v>
      </c>
      <c r="G167" s="622" t="s">
        <v>587</v>
      </c>
      <c r="H167" s="649" t="s">
        <v>2001</v>
      </c>
      <c r="I167" s="652" t="s">
        <v>11</v>
      </c>
      <c r="J167" s="622" t="s">
        <v>6143</v>
      </c>
      <c r="K167" s="680">
        <v>1278</v>
      </c>
      <c r="L167" s="680"/>
      <c r="M167" s="681">
        <v>12000</v>
      </c>
      <c r="N167" s="681"/>
      <c r="O167" s="681">
        <v>1585</v>
      </c>
      <c r="P167" s="680">
        <v>0</v>
      </c>
      <c r="Q167" s="682">
        <v>1585</v>
      </c>
      <c r="R167" s="681">
        <v>10415</v>
      </c>
      <c r="S167" s="658"/>
    </row>
    <row r="168" spans="1:19" s="659" customFormat="1" ht="20.100000000000001" customHeight="1">
      <c r="A168" s="657" t="s">
        <v>4986</v>
      </c>
      <c r="B168" s="649" t="s">
        <v>1961</v>
      </c>
      <c r="C168" s="621"/>
      <c r="D168" s="621"/>
      <c r="E168" s="649" t="s">
        <v>1962</v>
      </c>
      <c r="F168" s="622" t="s">
        <v>1964</v>
      </c>
      <c r="G168" s="622" t="s">
        <v>1946</v>
      </c>
      <c r="H168" s="649" t="s">
        <v>1963</v>
      </c>
      <c r="I168" s="652" t="s">
        <v>11</v>
      </c>
      <c r="J168" s="622" t="s">
        <v>7090</v>
      </c>
      <c r="K168" s="680">
        <v>1197</v>
      </c>
      <c r="L168" s="680"/>
      <c r="M168" s="681">
        <v>18000</v>
      </c>
      <c r="N168" s="681"/>
      <c r="O168" s="681">
        <v>18000</v>
      </c>
      <c r="P168" s="680">
        <v>0</v>
      </c>
      <c r="Q168" s="682">
        <v>18000</v>
      </c>
      <c r="R168" s="681">
        <v>0</v>
      </c>
      <c r="S168" s="658"/>
    </row>
    <row r="169" spans="1:19" s="659" customFormat="1" ht="20.100000000000001" customHeight="1">
      <c r="A169" s="657" t="s">
        <v>4986</v>
      </c>
      <c r="B169" s="649" t="s">
        <v>1961</v>
      </c>
      <c r="C169" s="621"/>
      <c r="D169" s="621"/>
      <c r="E169" s="649" t="s">
        <v>1962</v>
      </c>
      <c r="F169" s="622" t="s">
        <v>1964</v>
      </c>
      <c r="G169" s="622" t="s">
        <v>1946</v>
      </c>
      <c r="H169" s="649" t="s">
        <v>1963</v>
      </c>
      <c r="I169" s="652" t="s">
        <v>11</v>
      </c>
      <c r="J169" s="622" t="s">
        <v>7090</v>
      </c>
      <c r="K169" s="680">
        <v>1197</v>
      </c>
      <c r="L169" s="680">
        <v>8799</v>
      </c>
      <c r="M169" s="681">
        <v>0</v>
      </c>
      <c r="N169" s="681"/>
      <c r="O169" s="681">
        <v>8799</v>
      </c>
      <c r="P169" s="680">
        <v>0</v>
      </c>
      <c r="Q169" s="682">
        <v>8799</v>
      </c>
      <c r="R169" s="681">
        <v>0</v>
      </c>
      <c r="S169" s="658"/>
    </row>
    <row r="170" spans="1:19" s="659" customFormat="1" ht="20.100000000000001" customHeight="1">
      <c r="A170" s="657" t="s">
        <v>4986</v>
      </c>
      <c r="B170" s="649" t="s">
        <v>1961</v>
      </c>
      <c r="C170" s="621"/>
      <c r="D170" s="621"/>
      <c r="E170" s="649" t="s">
        <v>1962</v>
      </c>
      <c r="F170" s="622" t="s">
        <v>1964</v>
      </c>
      <c r="G170" s="622" t="s">
        <v>1946</v>
      </c>
      <c r="H170" s="649" t="s">
        <v>1963</v>
      </c>
      <c r="I170" s="652" t="s">
        <v>11</v>
      </c>
      <c r="J170" s="622" t="s">
        <v>7090</v>
      </c>
      <c r="K170" s="680">
        <v>1197</v>
      </c>
      <c r="L170" s="680"/>
      <c r="M170" s="681">
        <v>14994</v>
      </c>
      <c r="N170" s="681"/>
      <c r="O170" s="681">
        <v>8606</v>
      </c>
      <c r="P170" s="680">
        <v>0</v>
      </c>
      <c r="Q170" s="682">
        <v>8606</v>
      </c>
      <c r="R170" s="681">
        <v>6388</v>
      </c>
      <c r="S170" s="658"/>
    </row>
    <row r="171" spans="1:19" s="659" customFormat="1" ht="20.100000000000001" customHeight="1">
      <c r="A171" s="657" t="s">
        <v>4991</v>
      </c>
      <c r="B171" s="649" t="s">
        <v>4993</v>
      </c>
      <c r="C171" s="621"/>
      <c r="D171" s="621"/>
      <c r="E171" s="649" t="s">
        <v>4992</v>
      </c>
      <c r="F171" s="622" t="s">
        <v>1474</v>
      </c>
      <c r="G171" s="622" t="s">
        <v>1475</v>
      </c>
      <c r="H171" s="649" t="s">
        <v>4994</v>
      </c>
      <c r="I171" s="652" t="s">
        <v>628</v>
      </c>
      <c r="J171" s="622" t="s">
        <v>1473</v>
      </c>
      <c r="K171" s="680">
        <v>13860</v>
      </c>
      <c r="L171" s="680">
        <v>76</v>
      </c>
      <c r="M171" s="681">
        <v>0</v>
      </c>
      <c r="N171" s="681"/>
      <c r="O171" s="681">
        <v>76</v>
      </c>
      <c r="P171" s="680">
        <v>6</v>
      </c>
      <c r="Q171" s="682">
        <v>70</v>
      </c>
      <c r="R171" s="681">
        <v>0</v>
      </c>
      <c r="S171" s="658"/>
    </row>
    <row r="172" spans="1:19" s="659" customFormat="1" ht="20.100000000000001" customHeight="1">
      <c r="A172" s="657" t="s">
        <v>4996</v>
      </c>
      <c r="B172" s="649" t="s">
        <v>4998</v>
      </c>
      <c r="C172" s="621"/>
      <c r="D172" s="621"/>
      <c r="E172" s="649" t="s">
        <v>4997</v>
      </c>
      <c r="F172" s="622" t="s">
        <v>7088</v>
      </c>
      <c r="G172" s="622" t="s">
        <v>1946</v>
      </c>
      <c r="H172" s="649" t="s">
        <v>4999</v>
      </c>
      <c r="I172" s="652" t="s">
        <v>11</v>
      </c>
      <c r="J172" s="622" t="s">
        <v>7087</v>
      </c>
      <c r="K172" s="680">
        <v>1785</v>
      </c>
      <c r="L172" s="680"/>
      <c r="M172" s="681">
        <v>3600</v>
      </c>
      <c r="N172" s="681"/>
      <c r="O172" s="681">
        <v>3600</v>
      </c>
      <c r="P172" s="680">
        <v>3600</v>
      </c>
      <c r="Q172" s="682">
        <v>0</v>
      </c>
      <c r="R172" s="681">
        <v>0</v>
      </c>
      <c r="S172" s="658"/>
    </row>
    <row r="173" spans="1:19" s="659" customFormat="1" ht="20.100000000000001" customHeight="1">
      <c r="A173" s="657" t="s">
        <v>4996</v>
      </c>
      <c r="B173" s="649" t="s">
        <v>4998</v>
      </c>
      <c r="C173" s="621"/>
      <c r="D173" s="621"/>
      <c r="E173" s="649" t="s">
        <v>4997</v>
      </c>
      <c r="F173" s="622" t="s">
        <v>7088</v>
      </c>
      <c r="G173" s="622" t="s">
        <v>1946</v>
      </c>
      <c r="H173" s="649" t="s">
        <v>4999</v>
      </c>
      <c r="I173" s="652" t="s">
        <v>11</v>
      </c>
      <c r="J173" s="622" t="s">
        <v>7087</v>
      </c>
      <c r="K173" s="680">
        <v>1785</v>
      </c>
      <c r="L173" s="680"/>
      <c r="M173" s="681">
        <v>19992</v>
      </c>
      <c r="N173" s="681"/>
      <c r="O173" s="681">
        <v>6180</v>
      </c>
      <c r="P173" s="680">
        <v>6180</v>
      </c>
      <c r="Q173" s="682">
        <v>0</v>
      </c>
      <c r="R173" s="681">
        <v>13812</v>
      </c>
      <c r="S173" s="658"/>
    </row>
    <row r="174" spans="1:19" s="659" customFormat="1" ht="20.100000000000001" customHeight="1">
      <c r="A174" s="657" t="s">
        <v>4996</v>
      </c>
      <c r="B174" s="649" t="s">
        <v>4998</v>
      </c>
      <c r="C174" s="621"/>
      <c r="D174" s="621"/>
      <c r="E174" s="649" t="s">
        <v>4997</v>
      </c>
      <c r="F174" s="622" t="s">
        <v>7088</v>
      </c>
      <c r="G174" s="622" t="s">
        <v>1946</v>
      </c>
      <c r="H174" s="649" t="s">
        <v>4999</v>
      </c>
      <c r="I174" s="652" t="s">
        <v>11</v>
      </c>
      <c r="J174" s="622" t="s">
        <v>7087</v>
      </c>
      <c r="K174" s="680">
        <v>1785</v>
      </c>
      <c r="L174" s="680">
        <v>12706</v>
      </c>
      <c r="M174" s="681">
        <v>0</v>
      </c>
      <c r="N174" s="681"/>
      <c r="O174" s="681">
        <v>12706</v>
      </c>
      <c r="P174" s="680">
        <v>2400</v>
      </c>
      <c r="Q174" s="682">
        <v>10306</v>
      </c>
      <c r="R174" s="681">
        <v>0</v>
      </c>
      <c r="S174" s="658"/>
    </row>
    <row r="175" spans="1:19" s="659" customFormat="1" ht="20.100000000000001" customHeight="1">
      <c r="A175" s="657" t="s">
        <v>4996</v>
      </c>
      <c r="B175" s="649" t="s">
        <v>4998</v>
      </c>
      <c r="C175" s="621"/>
      <c r="D175" s="621"/>
      <c r="E175" s="649" t="s">
        <v>4997</v>
      </c>
      <c r="F175" s="622" t="s">
        <v>7088</v>
      </c>
      <c r="G175" s="622" t="s">
        <v>1946</v>
      </c>
      <c r="H175" s="649" t="s">
        <v>4999</v>
      </c>
      <c r="I175" s="652" t="s">
        <v>11</v>
      </c>
      <c r="J175" s="622" t="s">
        <v>7087</v>
      </c>
      <c r="K175" s="680">
        <v>1785</v>
      </c>
      <c r="L175" s="680">
        <v>3192</v>
      </c>
      <c r="M175" s="681">
        <v>0</v>
      </c>
      <c r="N175" s="681"/>
      <c r="O175" s="681">
        <v>3192</v>
      </c>
      <c r="P175" s="680">
        <v>240</v>
      </c>
      <c r="Q175" s="682">
        <v>2952</v>
      </c>
      <c r="R175" s="681">
        <v>0</v>
      </c>
      <c r="S175" s="658"/>
    </row>
    <row r="176" spans="1:19" s="659" customFormat="1" ht="20.100000000000001" customHeight="1">
      <c r="A176" s="657" t="s">
        <v>5816</v>
      </c>
      <c r="B176" s="649" t="s">
        <v>702</v>
      </c>
      <c r="C176" s="621"/>
      <c r="D176" s="621"/>
      <c r="E176" s="649" t="s">
        <v>5817</v>
      </c>
      <c r="F176" s="622" t="s">
        <v>5819</v>
      </c>
      <c r="G176" s="622" t="s">
        <v>458</v>
      </c>
      <c r="H176" s="649" t="s">
        <v>262</v>
      </c>
      <c r="I176" s="652" t="s">
        <v>11</v>
      </c>
      <c r="J176" s="622" t="s">
        <v>5818</v>
      </c>
      <c r="K176" s="680">
        <v>2000</v>
      </c>
      <c r="L176" s="680"/>
      <c r="M176" s="681">
        <v>3000</v>
      </c>
      <c r="N176" s="681"/>
      <c r="O176" s="681">
        <v>215</v>
      </c>
      <c r="P176" s="680">
        <v>0</v>
      </c>
      <c r="Q176" s="682">
        <v>215</v>
      </c>
      <c r="R176" s="681">
        <v>2785</v>
      </c>
      <c r="S176" s="658"/>
    </row>
    <row r="177" spans="1:19" s="659" customFormat="1" ht="20.100000000000001" customHeight="1">
      <c r="A177" s="657" t="s">
        <v>5000</v>
      </c>
      <c r="B177" s="649" t="s">
        <v>4998</v>
      </c>
      <c r="C177" s="621"/>
      <c r="D177" s="621"/>
      <c r="E177" s="649" t="s">
        <v>5001</v>
      </c>
      <c r="F177" s="622" t="s">
        <v>6514</v>
      </c>
      <c r="G177" s="622" t="s">
        <v>6515</v>
      </c>
      <c r="H177" s="649" t="s">
        <v>1959</v>
      </c>
      <c r="I177" s="652" t="s">
        <v>11</v>
      </c>
      <c r="J177" s="622" t="s">
        <v>6513</v>
      </c>
      <c r="K177" s="680">
        <v>3500</v>
      </c>
      <c r="L177" s="680">
        <v>144</v>
      </c>
      <c r="M177" s="681">
        <v>4</v>
      </c>
      <c r="N177" s="681"/>
      <c r="O177" s="681">
        <v>148</v>
      </c>
      <c r="P177" s="680">
        <v>148</v>
      </c>
      <c r="Q177" s="682">
        <v>0</v>
      </c>
      <c r="R177" s="681">
        <v>0</v>
      </c>
      <c r="S177" s="658"/>
    </row>
    <row r="178" spans="1:19" s="659" customFormat="1" ht="20.100000000000001" customHeight="1">
      <c r="A178" s="657" t="s">
        <v>5000</v>
      </c>
      <c r="B178" s="649" t="s">
        <v>4998</v>
      </c>
      <c r="C178" s="621"/>
      <c r="D178" s="621"/>
      <c r="E178" s="649" t="s">
        <v>12468</v>
      </c>
      <c r="F178" s="622" t="s">
        <v>6514</v>
      </c>
      <c r="G178" s="622" t="s">
        <v>6515</v>
      </c>
      <c r="H178" s="649" t="s">
        <v>1959</v>
      </c>
      <c r="I178" s="652" t="s">
        <v>11</v>
      </c>
      <c r="J178" s="622" t="s">
        <v>6513</v>
      </c>
      <c r="K178" s="680">
        <v>3500</v>
      </c>
      <c r="L178" s="680"/>
      <c r="M178" s="681">
        <v>1800</v>
      </c>
      <c r="N178" s="681"/>
      <c r="O178" s="681">
        <v>1800</v>
      </c>
      <c r="P178" s="680">
        <v>600</v>
      </c>
      <c r="Q178" s="682">
        <v>1200</v>
      </c>
      <c r="R178" s="681">
        <v>0</v>
      </c>
      <c r="S178" s="658"/>
    </row>
    <row r="179" spans="1:19" s="659" customFormat="1" ht="20.100000000000001" customHeight="1">
      <c r="A179" s="657" t="s">
        <v>5000</v>
      </c>
      <c r="B179" s="649" t="s">
        <v>4998</v>
      </c>
      <c r="C179" s="621"/>
      <c r="D179" s="621"/>
      <c r="E179" s="649" t="s">
        <v>12468</v>
      </c>
      <c r="F179" s="622" t="s">
        <v>6514</v>
      </c>
      <c r="G179" s="622" t="s">
        <v>6515</v>
      </c>
      <c r="H179" s="649" t="s">
        <v>1959</v>
      </c>
      <c r="I179" s="652" t="s">
        <v>11</v>
      </c>
      <c r="J179" s="622" t="s">
        <v>6513</v>
      </c>
      <c r="K179" s="680">
        <v>3500</v>
      </c>
      <c r="L179" s="680"/>
      <c r="M179" s="681">
        <v>7825</v>
      </c>
      <c r="N179" s="681"/>
      <c r="O179" s="681">
        <v>7477</v>
      </c>
      <c r="P179" s="680">
        <v>5082</v>
      </c>
      <c r="Q179" s="682">
        <v>2395</v>
      </c>
      <c r="R179" s="681">
        <v>348</v>
      </c>
      <c r="S179" s="658"/>
    </row>
    <row r="180" spans="1:19" s="659" customFormat="1" ht="20.100000000000001" customHeight="1">
      <c r="A180" s="657" t="s">
        <v>5000</v>
      </c>
      <c r="B180" s="649" t="s">
        <v>4998</v>
      </c>
      <c r="C180" s="621"/>
      <c r="D180" s="621"/>
      <c r="E180" s="649" t="s">
        <v>12468</v>
      </c>
      <c r="F180" s="622" t="s">
        <v>6514</v>
      </c>
      <c r="G180" s="622" t="s">
        <v>6515</v>
      </c>
      <c r="H180" s="649" t="s">
        <v>1959</v>
      </c>
      <c r="I180" s="652" t="s">
        <v>11</v>
      </c>
      <c r="J180" s="622" t="s">
        <v>6513</v>
      </c>
      <c r="K180" s="680">
        <v>3500</v>
      </c>
      <c r="L180" s="680"/>
      <c r="M180" s="681">
        <v>800</v>
      </c>
      <c r="N180" s="681"/>
      <c r="O180" s="681">
        <v>800</v>
      </c>
      <c r="P180" s="680">
        <v>0</v>
      </c>
      <c r="Q180" s="682">
        <v>800</v>
      </c>
      <c r="R180" s="681">
        <v>0</v>
      </c>
      <c r="S180" s="658"/>
    </row>
    <row r="181" spans="1:19" s="659" customFormat="1" ht="20.100000000000001" customHeight="1">
      <c r="A181" s="657" t="s">
        <v>5000</v>
      </c>
      <c r="B181" s="649" t="s">
        <v>4998</v>
      </c>
      <c r="C181" s="621"/>
      <c r="D181" s="621"/>
      <c r="E181" s="649" t="s">
        <v>12468</v>
      </c>
      <c r="F181" s="622" t="s">
        <v>6514</v>
      </c>
      <c r="G181" s="622" t="s">
        <v>6515</v>
      </c>
      <c r="H181" s="649" t="s">
        <v>1959</v>
      </c>
      <c r="I181" s="652" t="s">
        <v>11</v>
      </c>
      <c r="J181" s="622" t="s">
        <v>6513</v>
      </c>
      <c r="K181" s="680">
        <v>3500</v>
      </c>
      <c r="L181" s="680"/>
      <c r="M181" s="681">
        <v>5400</v>
      </c>
      <c r="N181" s="681"/>
      <c r="O181" s="681">
        <v>1196</v>
      </c>
      <c r="P181" s="680">
        <v>629</v>
      </c>
      <c r="Q181" s="682">
        <v>567</v>
      </c>
      <c r="R181" s="681">
        <v>4204</v>
      </c>
      <c r="S181" s="658"/>
    </row>
    <row r="182" spans="1:19" s="659" customFormat="1" ht="20.100000000000001" customHeight="1">
      <c r="A182" s="657" t="s">
        <v>5000</v>
      </c>
      <c r="B182" s="649" t="s">
        <v>4998</v>
      </c>
      <c r="C182" s="621"/>
      <c r="D182" s="621"/>
      <c r="E182" s="649" t="s">
        <v>12468</v>
      </c>
      <c r="F182" s="622" t="s">
        <v>6514</v>
      </c>
      <c r="G182" s="622" t="s">
        <v>6515</v>
      </c>
      <c r="H182" s="649" t="s">
        <v>1959</v>
      </c>
      <c r="I182" s="652" t="s">
        <v>11</v>
      </c>
      <c r="J182" s="622" t="s">
        <v>6513</v>
      </c>
      <c r="K182" s="680">
        <v>3500</v>
      </c>
      <c r="L182" s="680"/>
      <c r="M182" s="681">
        <v>6000</v>
      </c>
      <c r="N182" s="681"/>
      <c r="O182" s="681">
        <v>0</v>
      </c>
      <c r="P182" s="680">
        <v>0</v>
      </c>
      <c r="Q182" s="682">
        <v>0</v>
      </c>
      <c r="R182" s="681">
        <v>6000</v>
      </c>
      <c r="S182" s="658"/>
    </row>
    <row r="183" spans="1:19" s="659" customFormat="1" ht="20.100000000000001" customHeight="1">
      <c r="A183" s="657" t="s">
        <v>5000</v>
      </c>
      <c r="B183" s="649" t="s">
        <v>4998</v>
      </c>
      <c r="C183" s="621"/>
      <c r="D183" s="621"/>
      <c r="E183" s="649" t="s">
        <v>12468</v>
      </c>
      <c r="F183" s="622" t="s">
        <v>6514</v>
      </c>
      <c r="G183" s="622" t="s">
        <v>6515</v>
      </c>
      <c r="H183" s="649" t="s">
        <v>1959</v>
      </c>
      <c r="I183" s="652" t="s">
        <v>11</v>
      </c>
      <c r="J183" s="622" t="s">
        <v>6513</v>
      </c>
      <c r="K183" s="680">
        <v>3500</v>
      </c>
      <c r="L183" s="680"/>
      <c r="M183" s="681">
        <v>8200</v>
      </c>
      <c r="N183" s="681"/>
      <c r="O183" s="681">
        <v>0</v>
      </c>
      <c r="P183" s="680">
        <v>0</v>
      </c>
      <c r="Q183" s="682">
        <v>0</v>
      </c>
      <c r="R183" s="681">
        <v>8200</v>
      </c>
      <c r="S183" s="658"/>
    </row>
    <row r="184" spans="1:19" s="659" customFormat="1" ht="20.100000000000001" customHeight="1">
      <c r="A184" s="657" t="s">
        <v>5000</v>
      </c>
      <c r="B184" s="649" t="s">
        <v>4998</v>
      </c>
      <c r="C184" s="621"/>
      <c r="D184" s="621"/>
      <c r="E184" s="649" t="s">
        <v>12468</v>
      </c>
      <c r="F184" s="622" t="s">
        <v>6514</v>
      </c>
      <c r="G184" s="622" t="s">
        <v>6515</v>
      </c>
      <c r="H184" s="649" t="s">
        <v>1959</v>
      </c>
      <c r="I184" s="652" t="s">
        <v>11</v>
      </c>
      <c r="J184" s="622" t="s">
        <v>6513</v>
      </c>
      <c r="K184" s="680">
        <v>3500</v>
      </c>
      <c r="L184" s="680"/>
      <c r="M184" s="681">
        <v>11900</v>
      </c>
      <c r="N184" s="681"/>
      <c r="O184" s="681">
        <v>0</v>
      </c>
      <c r="P184" s="680">
        <v>0</v>
      </c>
      <c r="Q184" s="682">
        <v>0</v>
      </c>
      <c r="R184" s="681">
        <v>11900</v>
      </c>
      <c r="S184" s="658"/>
    </row>
    <row r="185" spans="1:19" s="659" customFormat="1" ht="20.100000000000001" customHeight="1">
      <c r="A185" s="657" t="s">
        <v>5000</v>
      </c>
      <c r="B185" s="649" t="s">
        <v>4998</v>
      </c>
      <c r="C185" s="621"/>
      <c r="D185" s="621"/>
      <c r="E185" s="649" t="s">
        <v>12468</v>
      </c>
      <c r="F185" s="622" t="s">
        <v>6514</v>
      </c>
      <c r="G185" s="622" t="s">
        <v>6515</v>
      </c>
      <c r="H185" s="649" t="s">
        <v>1959</v>
      </c>
      <c r="I185" s="652" t="s">
        <v>11</v>
      </c>
      <c r="J185" s="622" t="s">
        <v>6513</v>
      </c>
      <c r="K185" s="680">
        <v>3500</v>
      </c>
      <c r="L185" s="680"/>
      <c r="M185" s="681">
        <v>10000</v>
      </c>
      <c r="N185" s="681"/>
      <c r="O185" s="681">
        <v>0</v>
      </c>
      <c r="P185" s="680">
        <v>0</v>
      </c>
      <c r="Q185" s="682">
        <v>0</v>
      </c>
      <c r="R185" s="681">
        <v>10000</v>
      </c>
      <c r="S185" s="658"/>
    </row>
    <row r="186" spans="1:19" s="659" customFormat="1" ht="20.100000000000001" customHeight="1">
      <c r="A186" s="657" t="s">
        <v>5000</v>
      </c>
      <c r="B186" s="649" t="s">
        <v>4998</v>
      </c>
      <c r="C186" s="621"/>
      <c r="D186" s="621"/>
      <c r="E186" s="649" t="s">
        <v>12468</v>
      </c>
      <c r="F186" s="622" t="s">
        <v>6514</v>
      </c>
      <c r="G186" s="622" t="s">
        <v>6515</v>
      </c>
      <c r="H186" s="649" t="s">
        <v>1959</v>
      </c>
      <c r="I186" s="652" t="s">
        <v>11</v>
      </c>
      <c r="J186" s="622" t="s">
        <v>6513</v>
      </c>
      <c r="K186" s="680">
        <v>3500</v>
      </c>
      <c r="L186" s="680"/>
      <c r="M186" s="681">
        <v>10006</v>
      </c>
      <c r="N186" s="681"/>
      <c r="O186" s="681">
        <v>9996</v>
      </c>
      <c r="P186" s="680">
        <v>3406</v>
      </c>
      <c r="Q186" s="682">
        <v>6590</v>
      </c>
      <c r="R186" s="681">
        <v>10</v>
      </c>
      <c r="S186" s="658"/>
    </row>
    <row r="187" spans="1:19" s="659" customFormat="1" ht="20.100000000000001" customHeight="1">
      <c r="A187" s="657" t="s">
        <v>5003</v>
      </c>
      <c r="B187" s="649" t="s">
        <v>702</v>
      </c>
      <c r="C187" s="621"/>
      <c r="D187" s="621"/>
      <c r="E187" s="649" t="s">
        <v>5004</v>
      </c>
      <c r="F187" s="622" t="s">
        <v>7106</v>
      </c>
      <c r="G187" s="622" t="s">
        <v>7107</v>
      </c>
      <c r="H187" s="649" t="s">
        <v>225</v>
      </c>
      <c r="I187" s="652" t="s">
        <v>11</v>
      </c>
      <c r="J187" s="622" t="s">
        <v>7105</v>
      </c>
      <c r="K187" s="680">
        <v>2150</v>
      </c>
      <c r="L187" s="680">
        <v>1762</v>
      </c>
      <c r="M187" s="681">
        <v>0</v>
      </c>
      <c r="N187" s="681"/>
      <c r="O187" s="681">
        <v>1762</v>
      </c>
      <c r="P187" s="680">
        <v>0</v>
      </c>
      <c r="Q187" s="682">
        <v>1762</v>
      </c>
      <c r="R187" s="681">
        <v>0</v>
      </c>
      <c r="S187" s="658"/>
    </row>
    <row r="188" spans="1:19" s="659" customFormat="1" ht="20.100000000000001" customHeight="1">
      <c r="A188" s="657" t="s">
        <v>5003</v>
      </c>
      <c r="B188" s="649" t="s">
        <v>702</v>
      </c>
      <c r="C188" s="621"/>
      <c r="D188" s="621"/>
      <c r="E188" s="649" t="s">
        <v>5004</v>
      </c>
      <c r="F188" s="622" t="s">
        <v>7106</v>
      </c>
      <c r="G188" s="622" t="s">
        <v>7107</v>
      </c>
      <c r="H188" s="649" t="s">
        <v>225</v>
      </c>
      <c r="I188" s="652" t="s">
        <v>11</v>
      </c>
      <c r="J188" s="622" t="s">
        <v>7105</v>
      </c>
      <c r="K188" s="680">
        <v>2150</v>
      </c>
      <c r="L188" s="680"/>
      <c r="M188" s="681">
        <v>20000</v>
      </c>
      <c r="N188" s="681"/>
      <c r="O188" s="681">
        <v>3804</v>
      </c>
      <c r="P188" s="680">
        <v>0</v>
      </c>
      <c r="Q188" s="682">
        <v>3804</v>
      </c>
      <c r="R188" s="681">
        <v>16196</v>
      </c>
      <c r="S188" s="658"/>
    </row>
    <row r="189" spans="1:19" s="659" customFormat="1" ht="20.100000000000001" customHeight="1">
      <c r="A189" s="657" t="s">
        <v>4621</v>
      </c>
      <c r="B189" s="649" t="s">
        <v>39</v>
      </c>
      <c r="C189" s="621"/>
      <c r="D189" s="621"/>
      <c r="E189" s="649" t="s">
        <v>38</v>
      </c>
      <c r="F189" s="622" t="s">
        <v>2265</v>
      </c>
      <c r="G189" s="622" t="s">
        <v>2253</v>
      </c>
      <c r="H189" s="649" t="s">
        <v>40</v>
      </c>
      <c r="I189" s="652" t="s">
        <v>11</v>
      </c>
      <c r="J189" s="622" t="s">
        <v>8794</v>
      </c>
      <c r="K189" s="680">
        <v>1150</v>
      </c>
      <c r="L189" s="680"/>
      <c r="M189" s="681">
        <v>7000</v>
      </c>
      <c r="N189" s="681"/>
      <c r="O189" s="681">
        <v>5175</v>
      </c>
      <c r="P189" s="680">
        <v>0</v>
      </c>
      <c r="Q189" s="682">
        <v>5175</v>
      </c>
      <c r="R189" s="681">
        <v>1825</v>
      </c>
      <c r="S189" s="658"/>
    </row>
    <row r="190" spans="1:19" s="659" customFormat="1" ht="20.100000000000001" customHeight="1">
      <c r="A190" s="657" t="s">
        <v>4621</v>
      </c>
      <c r="B190" s="649" t="s">
        <v>39</v>
      </c>
      <c r="C190" s="621"/>
      <c r="D190" s="621"/>
      <c r="E190" s="649" t="s">
        <v>38</v>
      </c>
      <c r="F190" s="622" t="s">
        <v>2265</v>
      </c>
      <c r="G190" s="622" t="s">
        <v>2253</v>
      </c>
      <c r="H190" s="649" t="s">
        <v>40</v>
      </c>
      <c r="I190" s="652" t="s">
        <v>11</v>
      </c>
      <c r="J190" s="622" t="s">
        <v>8794</v>
      </c>
      <c r="K190" s="680">
        <v>1150</v>
      </c>
      <c r="L190" s="680">
        <v>3536</v>
      </c>
      <c r="M190" s="681">
        <v>0</v>
      </c>
      <c r="N190" s="681"/>
      <c r="O190" s="681">
        <v>3536</v>
      </c>
      <c r="P190" s="680">
        <v>0</v>
      </c>
      <c r="Q190" s="682">
        <v>3536</v>
      </c>
      <c r="R190" s="681">
        <v>0</v>
      </c>
      <c r="S190" s="658"/>
    </row>
    <row r="191" spans="1:19" s="659" customFormat="1" ht="20.100000000000001" customHeight="1">
      <c r="A191" s="657" t="s">
        <v>4621</v>
      </c>
      <c r="B191" s="649" t="s">
        <v>39</v>
      </c>
      <c r="C191" s="621"/>
      <c r="D191" s="621"/>
      <c r="E191" s="649" t="s">
        <v>38</v>
      </c>
      <c r="F191" s="622" t="s">
        <v>2265</v>
      </c>
      <c r="G191" s="622" t="s">
        <v>2253</v>
      </c>
      <c r="H191" s="649" t="s">
        <v>40</v>
      </c>
      <c r="I191" s="652" t="s">
        <v>11</v>
      </c>
      <c r="J191" s="622" t="s">
        <v>8794</v>
      </c>
      <c r="K191" s="680">
        <v>1150</v>
      </c>
      <c r="L191" s="680"/>
      <c r="M191" s="681">
        <v>7000</v>
      </c>
      <c r="N191" s="681"/>
      <c r="O191" s="681">
        <v>7000</v>
      </c>
      <c r="P191" s="680">
        <v>0</v>
      </c>
      <c r="Q191" s="682">
        <v>7000</v>
      </c>
      <c r="R191" s="681">
        <v>0</v>
      </c>
      <c r="S191" s="658"/>
    </row>
    <row r="192" spans="1:19" s="659" customFormat="1" ht="20.100000000000001" customHeight="1">
      <c r="A192" s="657" t="s">
        <v>3845</v>
      </c>
      <c r="B192" s="649" t="s">
        <v>583</v>
      </c>
      <c r="C192" s="621"/>
      <c r="D192" s="621"/>
      <c r="E192" s="649" t="s">
        <v>6370</v>
      </c>
      <c r="F192" s="622" t="s">
        <v>6371</v>
      </c>
      <c r="G192" s="622" t="s">
        <v>979</v>
      </c>
      <c r="H192" s="649" t="s">
        <v>222</v>
      </c>
      <c r="I192" s="652" t="s">
        <v>11</v>
      </c>
      <c r="J192" s="622" t="s">
        <v>6143</v>
      </c>
      <c r="K192" s="680">
        <v>1677</v>
      </c>
      <c r="L192" s="680"/>
      <c r="M192" s="681">
        <v>21000</v>
      </c>
      <c r="N192" s="681"/>
      <c r="O192" s="681">
        <v>15320</v>
      </c>
      <c r="P192" s="680">
        <v>1500</v>
      </c>
      <c r="Q192" s="682">
        <v>13820</v>
      </c>
      <c r="R192" s="681">
        <v>5680</v>
      </c>
      <c r="S192" s="658"/>
    </row>
    <row r="193" spans="1:19" s="659" customFormat="1" ht="20.100000000000001" customHeight="1">
      <c r="A193" s="657" t="s">
        <v>3846</v>
      </c>
      <c r="B193" s="649" t="s">
        <v>583</v>
      </c>
      <c r="C193" s="621"/>
      <c r="D193" s="621"/>
      <c r="E193" s="649" t="s">
        <v>3847</v>
      </c>
      <c r="F193" s="622" t="s">
        <v>6373</v>
      </c>
      <c r="G193" s="622" t="s">
        <v>979</v>
      </c>
      <c r="H193" s="649" t="s">
        <v>390</v>
      </c>
      <c r="I193" s="652" t="s">
        <v>11</v>
      </c>
      <c r="J193" s="622" t="s">
        <v>6143</v>
      </c>
      <c r="K193" s="680">
        <v>2754</v>
      </c>
      <c r="L193" s="680">
        <v>12000</v>
      </c>
      <c r="M193" s="681">
        <v>0</v>
      </c>
      <c r="N193" s="681"/>
      <c r="O193" s="681">
        <v>11997</v>
      </c>
      <c r="P193" s="680">
        <v>0</v>
      </c>
      <c r="Q193" s="682">
        <v>11997</v>
      </c>
      <c r="R193" s="681">
        <v>3</v>
      </c>
      <c r="S193" s="658"/>
    </row>
    <row r="194" spans="1:19" s="659" customFormat="1" ht="20.100000000000001" customHeight="1">
      <c r="A194" s="657" t="s">
        <v>3846</v>
      </c>
      <c r="B194" s="649" t="s">
        <v>583</v>
      </c>
      <c r="C194" s="621"/>
      <c r="D194" s="621"/>
      <c r="E194" s="649" t="s">
        <v>3847</v>
      </c>
      <c r="F194" s="622" t="s">
        <v>6373</v>
      </c>
      <c r="G194" s="622" t="s">
        <v>979</v>
      </c>
      <c r="H194" s="649" t="s">
        <v>390</v>
      </c>
      <c r="I194" s="652" t="s">
        <v>11</v>
      </c>
      <c r="J194" s="622" t="s">
        <v>6143</v>
      </c>
      <c r="K194" s="680">
        <v>2754</v>
      </c>
      <c r="L194" s="680"/>
      <c r="M194" s="681">
        <v>18000</v>
      </c>
      <c r="N194" s="681"/>
      <c r="O194" s="681">
        <v>0</v>
      </c>
      <c r="P194" s="680">
        <v>0</v>
      </c>
      <c r="Q194" s="682">
        <v>0</v>
      </c>
      <c r="R194" s="681">
        <v>18000</v>
      </c>
      <c r="S194" s="658"/>
    </row>
    <row r="195" spans="1:19" s="659" customFormat="1" ht="20.100000000000001" customHeight="1">
      <c r="A195" s="657" t="s">
        <v>4622</v>
      </c>
      <c r="B195" s="649" t="s">
        <v>52</v>
      </c>
      <c r="C195" s="621"/>
      <c r="D195" s="621"/>
      <c r="E195" s="649" t="s">
        <v>51</v>
      </c>
      <c r="F195" s="622" t="s">
        <v>2238</v>
      </c>
      <c r="G195" s="622" t="s">
        <v>8889</v>
      </c>
      <c r="H195" s="649" t="s">
        <v>53</v>
      </c>
      <c r="I195" s="652" t="s">
        <v>50</v>
      </c>
      <c r="J195" s="622" t="s">
        <v>8887</v>
      </c>
      <c r="K195" s="680">
        <v>60000</v>
      </c>
      <c r="L195" s="680">
        <v>416</v>
      </c>
      <c r="M195" s="681">
        <v>0</v>
      </c>
      <c r="N195" s="681"/>
      <c r="O195" s="681">
        <v>416</v>
      </c>
      <c r="P195" s="680">
        <v>70</v>
      </c>
      <c r="Q195" s="682">
        <v>346</v>
      </c>
      <c r="R195" s="681">
        <v>0</v>
      </c>
      <c r="S195" s="658"/>
    </row>
    <row r="196" spans="1:19" s="659" customFormat="1" ht="20.100000000000001" customHeight="1">
      <c r="A196" s="657" t="s">
        <v>8691</v>
      </c>
      <c r="B196" s="649" t="s">
        <v>12279</v>
      </c>
      <c r="C196" s="621"/>
      <c r="D196" s="621"/>
      <c r="E196" s="649" t="s">
        <v>8694</v>
      </c>
      <c r="F196" s="622" t="s">
        <v>8696</v>
      </c>
      <c r="G196" s="622" t="s">
        <v>8697</v>
      </c>
      <c r="H196" s="649" t="s">
        <v>12280</v>
      </c>
      <c r="I196" s="652" t="s">
        <v>658</v>
      </c>
      <c r="J196" s="622" t="s">
        <v>8695</v>
      </c>
      <c r="K196" s="680">
        <v>68000</v>
      </c>
      <c r="L196" s="680">
        <v>188</v>
      </c>
      <c r="M196" s="681">
        <v>0</v>
      </c>
      <c r="N196" s="681"/>
      <c r="O196" s="681">
        <v>36</v>
      </c>
      <c r="P196" s="680">
        <v>0</v>
      </c>
      <c r="Q196" s="682">
        <v>36</v>
      </c>
      <c r="R196" s="681">
        <v>152</v>
      </c>
      <c r="S196" s="658"/>
    </row>
    <row r="197" spans="1:19" s="659" customFormat="1" ht="20.100000000000001" customHeight="1">
      <c r="A197" s="657" t="s">
        <v>4624</v>
      </c>
      <c r="B197" s="649" t="s">
        <v>4626</v>
      </c>
      <c r="C197" s="621"/>
      <c r="D197" s="621"/>
      <c r="E197" s="649" t="s">
        <v>4625</v>
      </c>
      <c r="F197" s="622" t="s">
        <v>8893</v>
      </c>
      <c r="G197" s="622" t="s">
        <v>8889</v>
      </c>
      <c r="H197" s="649" t="s">
        <v>4627</v>
      </c>
      <c r="I197" s="652" t="s">
        <v>15</v>
      </c>
      <c r="J197" s="622" t="s">
        <v>8887</v>
      </c>
      <c r="K197" s="680">
        <v>55000</v>
      </c>
      <c r="L197" s="680">
        <v>440</v>
      </c>
      <c r="M197" s="681">
        <v>950</v>
      </c>
      <c r="N197" s="681"/>
      <c r="O197" s="681">
        <v>1020</v>
      </c>
      <c r="P197" s="680">
        <v>60</v>
      </c>
      <c r="Q197" s="682">
        <v>960</v>
      </c>
      <c r="R197" s="681">
        <v>370</v>
      </c>
      <c r="S197" s="658"/>
    </row>
    <row r="198" spans="1:19" s="659" customFormat="1" ht="20.100000000000001" customHeight="1">
      <c r="A198" s="657" t="s">
        <v>4623</v>
      </c>
      <c r="B198" s="649" t="s">
        <v>55</v>
      </c>
      <c r="C198" s="621"/>
      <c r="D198" s="621"/>
      <c r="E198" s="649" t="s">
        <v>54</v>
      </c>
      <c r="F198" s="622" t="s">
        <v>2271</v>
      </c>
      <c r="G198" s="622" t="s">
        <v>2253</v>
      </c>
      <c r="H198" s="649" t="s">
        <v>56</v>
      </c>
      <c r="I198" s="652" t="s">
        <v>15</v>
      </c>
      <c r="J198" s="622" t="s">
        <v>8512</v>
      </c>
      <c r="K198" s="680">
        <v>31000</v>
      </c>
      <c r="L198" s="680"/>
      <c r="M198" s="681">
        <v>1500</v>
      </c>
      <c r="N198" s="681"/>
      <c r="O198" s="681">
        <v>70</v>
      </c>
      <c r="P198" s="680">
        <v>0</v>
      </c>
      <c r="Q198" s="682">
        <v>70</v>
      </c>
      <c r="R198" s="681">
        <v>1430</v>
      </c>
      <c r="S198" s="658"/>
    </row>
    <row r="199" spans="1:19" s="659" customFormat="1" ht="20.100000000000001" customHeight="1">
      <c r="A199" s="657" t="s">
        <v>3849</v>
      </c>
      <c r="B199" s="649" t="s">
        <v>3851</v>
      </c>
      <c r="C199" s="621"/>
      <c r="D199" s="621"/>
      <c r="E199" s="649" t="s">
        <v>3850</v>
      </c>
      <c r="F199" s="622" t="s">
        <v>7676</v>
      </c>
      <c r="G199" s="622" t="s">
        <v>1946</v>
      </c>
      <c r="H199" s="649" t="s">
        <v>1967</v>
      </c>
      <c r="I199" s="652" t="s">
        <v>11</v>
      </c>
      <c r="J199" s="622" t="s">
        <v>7498</v>
      </c>
      <c r="K199" s="680">
        <v>599</v>
      </c>
      <c r="L199" s="680">
        <v>405</v>
      </c>
      <c r="M199" s="681">
        <v>7</v>
      </c>
      <c r="N199" s="681"/>
      <c r="O199" s="681">
        <v>412</v>
      </c>
      <c r="P199" s="680">
        <v>411</v>
      </c>
      <c r="Q199" s="682">
        <v>1</v>
      </c>
      <c r="R199" s="681">
        <v>0</v>
      </c>
      <c r="S199" s="658"/>
    </row>
    <row r="200" spans="1:19" s="659" customFormat="1" ht="20.100000000000001" customHeight="1">
      <c r="A200" s="657" t="s">
        <v>3849</v>
      </c>
      <c r="B200" s="649" t="s">
        <v>3851</v>
      </c>
      <c r="C200" s="621"/>
      <c r="D200" s="621"/>
      <c r="E200" s="649" t="s">
        <v>3850</v>
      </c>
      <c r="F200" s="622" t="s">
        <v>7676</v>
      </c>
      <c r="G200" s="622" t="s">
        <v>1946</v>
      </c>
      <c r="H200" s="649" t="s">
        <v>1967</v>
      </c>
      <c r="I200" s="652" t="s">
        <v>11</v>
      </c>
      <c r="J200" s="622" t="s">
        <v>7498</v>
      </c>
      <c r="K200" s="680">
        <v>599</v>
      </c>
      <c r="L200" s="680"/>
      <c r="M200" s="681">
        <v>10001</v>
      </c>
      <c r="N200" s="681"/>
      <c r="O200" s="681">
        <v>2038</v>
      </c>
      <c r="P200" s="680">
        <v>2038</v>
      </c>
      <c r="Q200" s="682">
        <v>0</v>
      </c>
      <c r="R200" s="681">
        <v>7963</v>
      </c>
      <c r="S200" s="658"/>
    </row>
    <row r="201" spans="1:19" s="659" customFormat="1" ht="20.100000000000001" customHeight="1">
      <c r="A201" s="657" t="s">
        <v>3849</v>
      </c>
      <c r="B201" s="649" t="s">
        <v>3851</v>
      </c>
      <c r="C201" s="621"/>
      <c r="D201" s="621"/>
      <c r="E201" s="649" t="s">
        <v>3850</v>
      </c>
      <c r="F201" s="622" t="s">
        <v>7676</v>
      </c>
      <c r="G201" s="622" t="s">
        <v>1946</v>
      </c>
      <c r="H201" s="649" t="s">
        <v>1967</v>
      </c>
      <c r="I201" s="652" t="s">
        <v>11</v>
      </c>
      <c r="J201" s="622" t="s">
        <v>7498</v>
      </c>
      <c r="K201" s="680">
        <v>599</v>
      </c>
      <c r="L201" s="680">
        <v>4900</v>
      </c>
      <c r="M201" s="681">
        <v>9</v>
      </c>
      <c r="N201" s="681"/>
      <c r="O201" s="681">
        <v>4905</v>
      </c>
      <c r="P201" s="680">
        <v>2305</v>
      </c>
      <c r="Q201" s="682">
        <v>2600</v>
      </c>
      <c r="R201" s="681">
        <v>4</v>
      </c>
      <c r="S201" s="658"/>
    </row>
    <row r="202" spans="1:19" s="659" customFormat="1" ht="20.100000000000001" customHeight="1">
      <c r="A202" s="657" t="s">
        <v>3849</v>
      </c>
      <c r="B202" s="649" t="s">
        <v>3851</v>
      </c>
      <c r="C202" s="621"/>
      <c r="D202" s="621"/>
      <c r="E202" s="649" t="s">
        <v>3850</v>
      </c>
      <c r="F202" s="622" t="s">
        <v>7676</v>
      </c>
      <c r="G202" s="622" t="s">
        <v>1946</v>
      </c>
      <c r="H202" s="649" t="s">
        <v>1967</v>
      </c>
      <c r="I202" s="652" t="s">
        <v>11</v>
      </c>
      <c r="J202" s="622" t="s">
        <v>7498</v>
      </c>
      <c r="K202" s="680">
        <v>599</v>
      </c>
      <c r="L202" s="680"/>
      <c r="M202" s="681">
        <v>7500</v>
      </c>
      <c r="N202" s="681"/>
      <c r="O202" s="681">
        <v>6260</v>
      </c>
      <c r="P202" s="680">
        <v>6200</v>
      </c>
      <c r="Q202" s="682">
        <v>60</v>
      </c>
      <c r="R202" s="681">
        <v>1240</v>
      </c>
      <c r="S202" s="658"/>
    </row>
    <row r="203" spans="1:19" s="659" customFormat="1" ht="20.100000000000001" customHeight="1">
      <c r="A203" s="657" t="s">
        <v>4821</v>
      </c>
      <c r="B203" s="649" t="s">
        <v>371</v>
      </c>
      <c r="C203" s="621"/>
      <c r="D203" s="621"/>
      <c r="E203" s="649" t="s">
        <v>371</v>
      </c>
      <c r="F203" s="622" t="s">
        <v>372</v>
      </c>
      <c r="G203" s="622" t="s">
        <v>360</v>
      </c>
      <c r="H203" s="649" t="s">
        <v>248</v>
      </c>
      <c r="I203" s="652" t="s">
        <v>10</v>
      </c>
      <c r="J203" s="622" t="s">
        <v>5103</v>
      </c>
      <c r="K203" s="680">
        <v>76</v>
      </c>
      <c r="L203" s="680">
        <v>100000</v>
      </c>
      <c r="M203" s="681">
        <v>141</v>
      </c>
      <c r="N203" s="681"/>
      <c r="O203" s="681">
        <v>50213</v>
      </c>
      <c r="P203" s="680">
        <v>48903</v>
      </c>
      <c r="Q203" s="682">
        <v>1310</v>
      </c>
      <c r="R203" s="681">
        <v>49928</v>
      </c>
      <c r="S203" s="658"/>
    </row>
    <row r="204" spans="1:19" s="659" customFormat="1" ht="20.100000000000001" customHeight="1">
      <c r="A204" s="657" t="s">
        <v>3853</v>
      </c>
      <c r="B204" s="649" t="s">
        <v>708</v>
      </c>
      <c r="C204" s="621"/>
      <c r="D204" s="621"/>
      <c r="E204" s="649" t="s">
        <v>1601</v>
      </c>
      <c r="F204" s="622" t="s">
        <v>1602</v>
      </c>
      <c r="G204" s="622" t="s">
        <v>463</v>
      </c>
      <c r="H204" s="649" t="s">
        <v>965</v>
      </c>
      <c r="I204" s="652" t="s">
        <v>11</v>
      </c>
      <c r="J204" s="622" t="s">
        <v>6970</v>
      </c>
      <c r="K204" s="680">
        <v>1250</v>
      </c>
      <c r="L204" s="680">
        <v>1</v>
      </c>
      <c r="M204" s="681">
        <v>0</v>
      </c>
      <c r="N204" s="681"/>
      <c r="O204" s="681">
        <v>1</v>
      </c>
      <c r="P204" s="680">
        <v>0</v>
      </c>
      <c r="Q204" s="682">
        <v>1</v>
      </c>
      <c r="R204" s="681">
        <v>0</v>
      </c>
      <c r="S204" s="658"/>
    </row>
    <row r="205" spans="1:19" s="659" customFormat="1" ht="20.100000000000001" customHeight="1">
      <c r="A205" s="657" t="s">
        <v>3853</v>
      </c>
      <c r="B205" s="649" t="s">
        <v>708</v>
      </c>
      <c r="C205" s="621"/>
      <c r="D205" s="621"/>
      <c r="E205" s="649" t="s">
        <v>1601</v>
      </c>
      <c r="F205" s="622" t="s">
        <v>1602</v>
      </c>
      <c r="G205" s="622" t="s">
        <v>463</v>
      </c>
      <c r="H205" s="649" t="s">
        <v>965</v>
      </c>
      <c r="I205" s="652" t="s">
        <v>11</v>
      </c>
      <c r="J205" s="622" t="s">
        <v>6970</v>
      </c>
      <c r="K205" s="680">
        <v>798</v>
      </c>
      <c r="L205" s="680">
        <v>3540</v>
      </c>
      <c r="M205" s="681">
        <v>0</v>
      </c>
      <c r="N205" s="681"/>
      <c r="O205" s="681">
        <v>3138</v>
      </c>
      <c r="P205" s="680">
        <v>0</v>
      </c>
      <c r="Q205" s="682">
        <v>3138</v>
      </c>
      <c r="R205" s="681">
        <v>402</v>
      </c>
      <c r="S205" s="658"/>
    </row>
    <row r="206" spans="1:19" s="659" customFormat="1" ht="20.100000000000001" customHeight="1">
      <c r="A206" s="657" t="s">
        <v>3853</v>
      </c>
      <c r="B206" s="649" t="s">
        <v>708</v>
      </c>
      <c r="C206" s="621"/>
      <c r="D206" s="621"/>
      <c r="E206" s="649" t="s">
        <v>1601</v>
      </c>
      <c r="F206" s="622" t="s">
        <v>1602</v>
      </c>
      <c r="G206" s="622" t="s">
        <v>463</v>
      </c>
      <c r="H206" s="649" t="s">
        <v>965</v>
      </c>
      <c r="I206" s="652" t="s">
        <v>11</v>
      </c>
      <c r="J206" s="622" t="s">
        <v>6970</v>
      </c>
      <c r="K206" s="680">
        <v>798</v>
      </c>
      <c r="L206" s="680">
        <v>6480</v>
      </c>
      <c r="M206" s="681">
        <v>0</v>
      </c>
      <c r="N206" s="681"/>
      <c r="O206" s="681">
        <v>0</v>
      </c>
      <c r="P206" s="680">
        <v>0</v>
      </c>
      <c r="Q206" s="682">
        <v>0</v>
      </c>
      <c r="R206" s="681">
        <v>6480</v>
      </c>
      <c r="S206" s="658"/>
    </row>
    <row r="207" spans="1:19" s="659" customFormat="1" ht="20.100000000000001" customHeight="1">
      <c r="A207" s="657" t="s">
        <v>3855</v>
      </c>
      <c r="B207" s="649" t="s">
        <v>3856</v>
      </c>
      <c r="C207" s="621"/>
      <c r="D207" s="621"/>
      <c r="E207" s="649" t="s">
        <v>1254</v>
      </c>
      <c r="F207" s="622" t="s">
        <v>1256</v>
      </c>
      <c r="G207" s="622" t="s">
        <v>1257</v>
      </c>
      <c r="H207" s="649" t="s">
        <v>1255</v>
      </c>
      <c r="I207" s="652" t="s">
        <v>1258</v>
      </c>
      <c r="J207" s="622" t="s">
        <v>2783</v>
      </c>
      <c r="K207" s="680">
        <v>3550</v>
      </c>
      <c r="L207" s="680">
        <v>1</v>
      </c>
      <c r="M207" s="681">
        <v>0</v>
      </c>
      <c r="N207" s="681"/>
      <c r="O207" s="681">
        <v>1</v>
      </c>
      <c r="P207" s="680">
        <v>1</v>
      </c>
      <c r="Q207" s="682">
        <v>0</v>
      </c>
      <c r="R207" s="681">
        <v>0</v>
      </c>
      <c r="S207" s="658"/>
    </row>
    <row r="208" spans="1:19" s="659" customFormat="1" ht="20.100000000000001" customHeight="1">
      <c r="A208" s="657" t="s">
        <v>3858</v>
      </c>
      <c r="B208" s="649" t="s">
        <v>668</v>
      </c>
      <c r="C208" s="621"/>
      <c r="D208" s="621"/>
      <c r="E208" s="649" t="s">
        <v>671</v>
      </c>
      <c r="F208" s="622" t="s">
        <v>6196</v>
      </c>
      <c r="G208" s="622" t="s">
        <v>245</v>
      </c>
      <c r="H208" s="649" t="s">
        <v>327</v>
      </c>
      <c r="I208" s="652" t="s">
        <v>11</v>
      </c>
      <c r="J208" s="622" t="s">
        <v>6195</v>
      </c>
      <c r="K208" s="680">
        <v>2436</v>
      </c>
      <c r="L208" s="680">
        <v>1297</v>
      </c>
      <c r="M208" s="681">
        <v>0</v>
      </c>
      <c r="N208" s="681"/>
      <c r="O208" s="681">
        <v>1113</v>
      </c>
      <c r="P208" s="680">
        <v>0</v>
      </c>
      <c r="Q208" s="682">
        <v>1113</v>
      </c>
      <c r="R208" s="681">
        <v>184</v>
      </c>
      <c r="S208" s="658"/>
    </row>
    <row r="209" spans="1:19" s="659" customFormat="1" ht="20.100000000000001" customHeight="1">
      <c r="A209" s="657" t="s">
        <v>3858</v>
      </c>
      <c r="B209" s="649" t="s">
        <v>668</v>
      </c>
      <c r="C209" s="621"/>
      <c r="D209" s="621"/>
      <c r="E209" s="649" t="s">
        <v>671</v>
      </c>
      <c r="F209" s="622" t="s">
        <v>6196</v>
      </c>
      <c r="G209" s="622" t="s">
        <v>245</v>
      </c>
      <c r="H209" s="649" t="s">
        <v>327</v>
      </c>
      <c r="I209" s="652" t="s">
        <v>11</v>
      </c>
      <c r="J209" s="622" t="s">
        <v>6195</v>
      </c>
      <c r="K209" s="680">
        <v>2436</v>
      </c>
      <c r="L209" s="680">
        <v>4000</v>
      </c>
      <c r="M209" s="681">
        <v>0</v>
      </c>
      <c r="N209" s="681"/>
      <c r="O209" s="681">
        <v>10</v>
      </c>
      <c r="P209" s="680">
        <v>0</v>
      </c>
      <c r="Q209" s="682">
        <v>10</v>
      </c>
      <c r="R209" s="681">
        <v>3990</v>
      </c>
      <c r="S209" s="658"/>
    </row>
    <row r="210" spans="1:19" s="659" customFormat="1" ht="20.100000000000001" customHeight="1">
      <c r="A210" s="657" t="s">
        <v>3861</v>
      </c>
      <c r="B210" s="649" t="s">
        <v>668</v>
      </c>
      <c r="C210" s="621"/>
      <c r="D210" s="621"/>
      <c r="E210" s="649" t="s">
        <v>669</v>
      </c>
      <c r="F210" s="622" t="s">
        <v>670</v>
      </c>
      <c r="G210" s="622" t="s">
        <v>245</v>
      </c>
      <c r="H210" s="649" t="s">
        <v>238</v>
      </c>
      <c r="I210" s="652" t="s">
        <v>11</v>
      </c>
      <c r="J210" s="622" t="s">
        <v>6192</v>
      </c>
      <c r="K210" s="680">
        <v>4116</v>
      </c>
      <c r="L210" s="680">
        <v>1252</v>
      </c>
      <c r="M210" s="681">
        <v>0</v>
      </c>
      <c r="N210" s="681"/>
      <c r="O210" s="681">
        <v>1252</v>
      </c>
      <c r="P210" s="680">
        <v>0</v>
      </c>
      <c r="Q210" s="682">
        <v>1252</v>
      </c>
      <c r="R210" s="681">
        <v>0</v>
      </c>
      <c r="S210" s="658"/>
    </row>
    <row r="211" spans="1:19" s="659" customFormat="1" ht="20.100000000000001" customHeight="1">
      <c r="A211" s="657" t="s">
        <v>4474</v>
      </c>
      <c r="B211" s="649" t="s">
        <v>802</v>
      </c>
      <c r="C211" s="621"/>
      <c r="D211" s="621"/>
      <c r="E211" s="649" t="s">
        <v>1455</v>
      </c>
      <c r="F211" s="622" t="s">
        <v>1457</v>
      </c>
      <c r="G211" s="622" t="s">
        <v>1449</v>
      </c>
      <c r="H211" s="649" t="s">
        <v>1200</v>
      </c>
      <c r="I211" s="652" t="s">
        <v>12</v>
      </c>
      <c r="J211" s="622" t="s">
        <v>7250</v>
      </c>
      <c r="K211" s="680">
        <v>1186</v>
      </c>
      <c r="L211" s="680"/>
      <c r="M211" s="681">
        <v>1100</v>
      </c>
      <c r="N211" s="681"/>
      <c r="O211" s="681">
        <v>100</v>
      </c>
      <c r="P211" s="680">
        <v>100</v>
      </c>
      <c r="Q211" s="682">
        <v>0</v>
      </c>
      <c r="R211" s="681">
        <v>1000</v>
      </c>
      <c r="S211" s="658"/>
    </row>
    <row r="212" spans="1:19" s="659" customFormat="1" ht="20.100000000000001" customHeight="1">
      <c r="A212" s="657" t="s">
        <v>4472</v>
      </c>
      <c r="B212" s="649" t="s">
        <v>802</v>
      </c>
      <c r="C212" s="621"/>
      <c r="D212" s="621"/>
      <c r="E212" s="649" t="s">
        <v>1455</v>
      </c>
      <c r="F212" s="622" t="s">
        <v>1457</v>
      </c>
      <c r="G212" s="622" t="s">
        <v>1449</v>
      </c>
      <c r="H212" s="649" t="s">
        <v>1200</v>
      </c>
      <c r="I212" s="652" t="s">
        <v>12</v>
      </c>
      <c r="J212" s="622" t="s">
        <v>7250</v>
      </c>
      <c r="K212" s="680">
        <v>1186</v>
      </c>
      <c r="L212" s="680">
        <v>1</v>
      </c>
      <c r="M212" s="681">
        <v>0</v>
      </c>
      <c r="N212" s="681"/>
      <c r="O212" s="681">
        <v>0</v>
      </c>
      <c r="P212" s="680">
        <v>0</v>
      </c>
      <c r="Q212" s="682">
        <v>0</v>
      </c>
      <c r="R212" s="681">
        <v>1</v>
      </c>
      <c r="S212" s="658"/>
    </row>
    <row r="213" spans="1:19" s="659" customFormat="1" ht="20.100000000000001" customHeight="1">
      <c r="A213" s="657" t="s">
        <v>4475</v>
      </c>
      <c r="B213" s="649" t="s">
        <v>802</v>
      </c>
      <c r="C213" s="621"/>
      <c r="D213" s="621"/>
      <c r="E213" s="649" t="s">
        <v>4476</v>
      </c>
      <c r="F213" s="622" t="s">
        <v>7253</v>
      </c>
      <c r="G213" s="622" t="s">
        <v>1449</v>
      </c>
      <c r="H213" s="649" t="s">
        <v>272</v>
      </c>
      <c r="I213" s="652" t="s">
        <v>11</v>
      </c>
      <c r="J213" s="622" t="s">
        <v>7252</v>
      </c>
      <c r="K213" s="680">
        <v>1742</v>
      </c>
      <c r="L213" s="680"/>
      <c r="M213" s="681">
        <v>4000</v>
      </c>
      <c r="N213" s="681"/>
      <c r="O213" s="681">
        <v>0</v>
      </c>
      <c r="P213" s="680">
        <v>0</v>
      </c>
      <c r="Q213" s="682">
        <v>0</v>
      </c>
      <c r="R213" s="681">
        <v>4000</v>
      </c>
      <c r="S213" s="658"/>
    </row>
    <row r="214" spans="1:19" s="659" customFormat="1" ht="20.100000000000001" customHeight="1">
      <c r="A214" s="657" t="s">
        <v>7258</v>
      </c>
      <c r="B214" s="649" t="s">
        <v>847</v>
      </c>
      <c r="C214" s="621"/>
      <c r="D214" s="621"/>
      <c r="E214" s="649" t="s">
        <v>1819</v>
      </c>
      <c r="F214" s="622" t="s">
        <v>7260</v>
      </c>
      <c r="G214" s="622" t="s">
        <v>1449</v>
      </c>
      <c r="H214" s="649" t="s">
        <v>225</v>
      </c>
      <c r="I214" s="652" t="s">
        <v>11</v>
      </c>
      <c r="J214" s="622" t="s">
        <v>7259</v>
      </c>
      <c r="K214" s="680">
        <v>783</v>
      </c>
      <c r="L214" s="680"/>
      <c r="M214" s="681">
        <v>30000</v>
      </c>
      <c r="N214" s="681"/>
      <c r="O214" s="681">
        <v>15000</v>
      </c>
      <c r="P214" s="680">
        <v>15000</v>
      </c>
      <c r="Q214" s="682">
        <v>0</v>
      </c>
      <c r="R214" s="681">
        <v>15000</v>
      </c>
      <c r="S214" s="658"/>
    </row>
    <row r="215" spans="1:19" s="659" customFormat="1" ht="20.100000000000001" customHeight="1">
      <c r="A215" s="657" t="s">
        <v>4479</v>
      </c>
      <c r="B215" s="649" t="s">
        <v>847</v>
      </c>
      <c r="C215" s="621"/>
      <c r="D215" s="621"/>
      <c r="E215" s="649" t="s">
        <v>4480</v>
      </c>
      <c r="F215" s="622" t="s">
        <v>6571</v>
      </c>
      <c r="G215" s="622" t="s">
        <v>463</v>
      </c>
      <c r="H215" s="649" t="s">
        <v>272</v>
      </c>
      <c r="I215" s="652" t="s">
        <v>11</v>
      </c>
      <c r="J215" s="622" t="s">
        <v>6570</v>
      </c>
      <c r="K215" s="680">
        <v>1380</v>
      </c>
      <c r="L215" s="680">
        <v>920</v>
      </c>
      <c r="M215" s="681">
        <v>0</v>
      </c>
      <c r="N215" s="681"/>
      <c r="O215" s="681">
        <v>920</v>
      </c>
      <c r="P215" s="680">
        <v>920</v>
      </c>
      <c r="Q215" s="682">
        <v>0</v>
      </c>
      <c r="R215" s="681">
        <v>0</v>
      </c>
      <c r="S215" s="658"/>
    </row>
    <row r="216" spans="1:19" s="659" customFormat="1" ht="20.100000000000001" customHeight="1">
      <c r="A216" s="657" t="s">
        <v>4479</v>
      </c>
      <c r="B216" s="649" t="s">
        <v>847</v>
      </c>
      <c r="C216" s="621"/>
      <c r="D216" s="621"/>
      <c r="E216" s="649" t="s">
        <v>4480</v>
      </c>
      <c r="F216" s="622" t="s">
        <v>6571</v>
      </c>
      <c r="G216" s="622" t="s">
        <v>463</v>
      </c>
      <c r="H216" s="649" t="s">
        <v>272</v>
      </c>
      <c r="I216" s="652" t="s">
        <v>11</v>
      </c>
      <c r="J216" s="622" t="s">
        <v>6570</v>
      </c>
      <c r="K216" s="680">
        <v>1380</v>
      </c>
      <c r="L216" s="680"/>
      <c r="M216" s="681">
        <v>2500</v>
      </c>
      <c r="N216" s="681"/>
      <c r="O216" s="681">
        <v>2500</v>
      </c>
      <c r="P216" s="680">
        <v>2500</v>
      </c>
      <c r="Q216" s="682">
        <v>0</v>
      </c>
      <c r="R216" s="681">
        <v>0</v>
      </c>
      <c r="S216" s="658"/>
    </row>
    <row r="217" spans="1:19" s="659" customFormat="1" ht="20.100000000000001" customHeight="1">
      <c r="A217" s="657" t="s">
        <v>4479</v>
      </c>
      <c r="B217" s="649" t="s">
        <v>847</v>
      </c>
      <c r="C217" s="621"/>
      <c r="D217" s="621"/>
      <c r="E217" s="649" t="s">
        <v>4480</v>
      </c>
      <c r="F217" s="622" t="s">
        <v>6571</v>
      </c>
      <c r="G217" s="622" t="s">
        <v>463</v>
      </c>
      <c r="H217" s="649" t="s">
        <v>272</v>
      </c>
      <c r="I217" s="652" t="s">
        <v>11</v>
      </c>
      <c r="J217" s="622" t="s">
        <v>6570</v>
      </c>
      <c r="K217" s="680">
        <v>1380</v>
      </c>
      <c r="L217" s="680"/>
      <c r="M217" s="681">
        <v>4000</v>
      </c>
      <c r="N217" s="681"/>
      <c r="O217" s="681">
        <v>4000</v>
      </c>
      <c r="P217" s="680">
        <v>4000</v>
      </c>
      <c r="Q217" s="682">
        <v>0</v>
      </c>
      <c r="R217" s="681">
        <v>0</v>
      </c>
      <c r="S217" s="658"/>
    </row>
    <row r="218" spans="1:19" s="659" customFormat="1" ht="20.100000000000001" customHeight="1">
      <c r="A218" s="657" t="s">
        <v>6573</v>
      </c>
      <c r="B218" s="649" t="s">
        <v>847</v>
      </c>
      <c r="C218" s="621"/>
      <c r="D218" s="621"/>
      <c r="E218" s="649" t="s">
        <v>6574</v>
      </c>
      <c r="F218" s="622" t="s">
        <v>6575</v>
      </c>
      <c r="G218" s="622" t="s">
        <v>463</v>
      </c>
      <c r="H218" s="649" t="s">
        <v>225</v>
      </c>
      <c r="I218" s="652" t="s">
        <v>11</v>
      </c>
      <c r="J218" s="622" t="s">
        <v>6570</v>
      </c>
      <c r="K218" s="680">
        <v>2300</v>
      </c>
      <c r="L218" s="680"/>
      <c r="M218" s="681">
        <v>1000</v>
      </c>
      <c r="N218" s="681"/>
      <c r="O218" s="681">
        <v>1000</v>
      </c>
      <c r="P218" s="680">
        <v>1000</v>
      </c>
      <c r="Q218" s="682">
        <v>0</v>
      </c>
      <c r="R218" s="681">
        <v>0</v>
      </c>
      <c r="S218" s="658"/>
    </row>
    <row r="219" spans="1:19" s="659" customFormat="1" ht="20.100000000000001" customHeight="1">
      <c r="A219" s="657" t="s">
        <v>4822</v>
      </c>
      <c r="B219" s="649" t="s">
        <v>493</v>
      </c>
      <c r="C219" s="621"/>
      <c r="D219" s="621"/>
      <c r="E219" s="649" t="s">
        <v>494</v>
      </c>
      <c r="F219" s="622" t="s">
        <v>495</v>
      </c>
      <c r="G219" s="622" t="s">
        <v>492</v>
      </c>
      <c r="H219" s="649" t="s">
        <v>429</v>
      </c>
      <c r="I219" s="652" t="s">
        <v>14</v>
      </c>
      <c r="J219" s="622" t="s">
        <v>5364</v>
      </c>
      <c r="K219" s="680">
        <v>5838</v>
      </c>
      <c r="L219" s="680">
        <v>413</v>
      </c>
      <c r="M219" s="681">
        <v>4</v>
      </c>
      <c r="N219" s="681"/>
      <c r="O219" s="681">
        <v>413</v>
      </c>
      <c r="P219" s="680">
        <v>413</v>
      </c>
      <c r="Q219" s="682">
        <v>0</v>
      </c>
      <c r="R219" s="681">
        <v>4</v>
      </c>
      <c r="S219" s="658"/>
    </row>
    <row r="220" spans="1:19" s="659" customFormat="1" ht="20.100000000000001" customHeight="1">
      <c r="A220" s="657" t="s">
        <v>6577</v>
      </c>
      <c r="B220" s="649" t="s">
        <v>1235</v>
      </c>
      <c r="C220" s="621"/>
      <c r="D220" s="621"/>
      <c r="E220" s="649" t="s">
        <v>1610</v>
      </c>
      <c r="F220" s="622" t="s">
        <v>1611</v>
      </c>
      <c r="G220" s="622" t="s">
        <v>463</v>
      </c>
      <c r="H220" s="649" t="s">
        <v>900</v>
      </c>
      <c r="I220" s="652" t="s">
        <v>11</v>
      </c>
      <c r="J220" s="622" t="s">
        <v>6578</v>
      </c>
      <c r="K220" s="680">
        <v>8900</v>
      </c>
      <c r="L220" s="680"/>
      <c r="M220" s="681">
        <v>5224</v>
      </c>
      <c r="N220" s="681"/>
      <c r="O220" s="681">
        <v>4662</v>
      </c>
      <c r="P220" s="680">
        <v>1262</v>
      </c>
      <c r="Q220" s="682">
        <v>3400</v>
      </c>
      <c r="R220" s="681">
        <v>562</v>
      </c>
      <c r="S220" s="658"/>
    </row>
    <row r="221" spans="1:19" s="659" customFormat="1" ht="20.100000000000001" customHeight="1">
      <c r="A221" s="657" t="s">
        <v>6577</v>
      </c>
      <c r="B221" s="649" t="s">
        <v>1235</v>
      </c>
      <c r="C221" s="621"/>
      <c r="D221" s="621"/>
      <c r="E221" s="649" t="s">
        <v>1610</v>
      </c>
      <c r="F221" s="622" t="s">
        <v>1611</v>
      </c>
      <c r="G221" s="622" t="s">
        <v>463</v>
      </c>
      <c r="H221" s="649" t="s">
        <v>900</v>
      </c>
      <c r="I221" s="652" t="s">
        <v>11</v>
      </c>
      <c r="J221" s="622" t="s">
        <v>6578</v>
      </c>
      <c r="K221" s="680">
        <v>8900</v>
      </c>
      <c r="L221" s="680"/>
      <c r="M221" s="681">
        <v>5000</v>
      </c>
      <c r="N221" s="681"/>
      <c r="O221" s="681">
        <v>323</v>
      </c>
      <c r="P221" s="680">
        <v>323</v>
      </c>
      <c r="Q221" s="682">
        <v>0</v>
      </c>
      <c r="R221" s="681">
        <v>4677</v>
      </c>
      <c r="S221" s="658"/>
    </row>
    <row r="222" spans="1:19" s="659" customFormat="1" ht="20.100000000000001" customHeight="1">
      <c r="A222" s="657" t="s">
        <v>4482</v>
      </c>
      <c r="B222" s="649" t="s">
        <v>433</v>
      </c>
      <c r="C222" s="621"/>
      <c r="D222" s="621"/>
      <c r="E222" s="649" t="s">
        <v>1463</v>
      </c>
      <c r="F222" s="622" t="s">
        <v>1465</v>
      </c>
      <c r="G222" s="622" t="s">
        <v>1449</v>
      </c>
      <c r="H222" s="649" t="s">
        <v>1200</v>
      </c>
      <c r="I222" s="652" t="s">
        <v>12</v>
      </c>
      <c r="J222" s="622" t="s">
        <v>7322</v>
      </c>
      <c r="K222" s="680">
        <v>1323</v>
      </c>
      <c r="L222" s="680"/>
      <c r="M222" s="681">
        <v>1247</v>
      </c>
      <c r="N222" s="681"/>
      <c r="O222" s="681">
        <v>350</v>
      </c>
      <c r="P222" s="680">
        <v>350</v>
      </c>
      <c r="Q222" s="682">
        <v>0</v>
      </c>
      <c r="R222" s="681">
        <v>897</v>
      </c>
      <c r="S222" s="658"/>
    </row>
    <row r="223" spans="1:19" s="659" customFormat="1" ht="20.100000000000001" customHeight="1">
      <c r="A223" s="657" t="s">
        <v>3863</v>
      </c>
      <c r="B223" s="649" t="s">
        <v>816</v>
      </c>
      <c r="C223" s="621"/>
      <c r="D223" s="621"/>
      <c r="E223" s="649" t="s">
        <v>3864</v>
      </c>
      <c r="F223" s="622" t="s">
        <v>6613</v>
      </c>
      <c r="G223" s="622" t="s">
        <v>1765</v>
      </c>
      <c r="H223" s="649" t="s">
        <v>299</v>
      </c>
      <c r="I223" s="652" t="s">
        <v>11</v>
      </c>
      <c r="J223" s="622" t="s">
        <v>6321</v>
      </c>
      <c r="K223" s="680">
        <v>830</v>
      </c>
      <c r="L223" s="680">
        <v>5760</v>
      </c>
      <c r="M223" s="681">
        <v>0</v>
      </c>
      <c r="N223" s="681"/>
      <c r="O223" s="681">
        <v>5760</v>
      </c>
      <c r="P223" s="680">
        <v>0</v>
      </c>
      <c r="Q223" s="682">
        <v>5760</v>
      </c>
      <c r="R223" s="681">
        <v>0</v>
      </c>
      <c r="S223" s="658"/>
    </row>
    <row r="224" spans="1:19" s="659" customFormat="1" ht="20.100000000000001" customHeight="1">
      <c r="A224" s="657" t="s">
        <v>3863</v>
      </c>
      <c r="B224" s="649" t="s">
        <v>816</v>
      </c>
      <c r="C224" s="621"/>
      <c r="D224" s="621"/>
      <c r="E224" s="649" t="s">
        <v>3864</v>
      </c>
      <c r="F224" s="622" t="s">
        <v>6613</v>
      </c>
      <c r="G224" s="622" t="s">
        <v>1765</v>
      </c>
      <c r="H224" s="649" t="s">
        <v>299</v>
      </c>
      <c r="I224" s="652" t="s">
        <v>11</v>
      </c>
      <c r="J224" s="622" t="s">
        <v>6321</v>
      </c>
      <c r="K224" s="680">
        <v>830</v>
      </c>
      <c r="L224" s="680"/>
      <c r="M224" s="681">
        <v>9990</v>
      </c>
      <c r="N224" s="681"/>
      <c r="O224" s="681">
        <v>0</v>
      </c>
      <c r="P224" s="680">
        <v>0</v>
      </c>
      <c r="Q224" s="682">
        <v>0</v>
      </c>
      <c r="R224" s="681">
        <v>9990</v>
      </c>
      <c r="S224" s="658"/>
    </row>
    <row r="225" spans="1:19" s="659" customFormat="1" ht="20.100000000000001" customHeight="1">
      <c r="A225" s="657" t="s">
        <v>4484</v>
      </c>
      <c r="B225" s="649" t="s">
        <v>809</v>
      </c>
      <c r="C225" s="621"/>
      <c r="D225" s="621"/>
      <c r="E225" s="649" t="s">
        <v>1458</v>
      </c>
      <c r="F225" s="622" t="s">
        <v>7265</v>
      </c>
      <c r="G225" s="622" t="s">
        <v>1449</v>
      </c>
      <c r="H225" s="649" t="s">
        <v>272</v>
      </c>
      <c r="I225" s="652" t="s">
        <v>11</v>
      </c>
      <c r="J225" s="622" t="s">
        <v>7259</v>
      </c>
      <c r="K225" s="680">
        <v>476</v>
      </c>
      <c r="L225" s="680"/>
      <c r="M225" s="681">
        <v>3000</v>
      </c>
      <c r="N225" s="681"/>
      <c r="O225" s="681">
        <v>3000</v>
      </c>
      <c r="P225" s="680">
        <v>3000</v>
      </c>
      <c r="Q225" s="682">
        <v>0</v>
      </c>
      <c r="R225" s="681">
        <v>0</v>
      </c>
      <c r="S225" s="658"/>
    </row>
    <row r="226" spans="1:19" s="659" customFormat="1" ht="20.100000000000001" customHeight="1">
      <c r="A226" s="657" t="s">
        <v>3866</v>
      </c>
      <c r="B226" s="649" t="s">
        <v>784</v>
      </c>
      <c r="C226" s="621"/>
      <c r="D226" s="621"/>
      <c r="E226" s="649" t="s">
        <v>3562</v>
      </c>
      <c r="F226" s="622" t="s">
        <v>9506</v>
      </c>
      <c r="G226" s="660" t="s">
        <v>12653</v>
      </c>
      <c r="H226" s="649" t="s">
        <v>422</v>
      </c>
      <c r="I226" s="652" t="s">
        <v>520</v>
      </c>
      <c r="J226" s="622" t="s">
        <v>3019</v>
      </c>
      <c r="K226" s="680">
        <v>101430</v>
      </c>
      <c r="L226" s="680">
        <v>24</v>
      </c>
      <c r="M226" s="681">
        <v>1</v>
      </c>
      <c r="N226" s="681"/>
      <c r="O226" s="681">
        <v>25</v>
      </c>
      <c r="P226" s="680">
        <v>25</v>
      </c>
      <c r="Q226" s="682">
        <v>0</v>
      </c>
      <c r="R226" s="681">
        <v>0</v>
      </c>
      <c r="S226" s="658"/>
    </row>
    <row r="227" spans="1:19" s="659" customFormat="1" ht="20.100000000000001" customHeight="1">
      <c r="A227" s="657" t="s">
        <v>3868</v>
      </c>
      <c r="B227" s="649" t="s">
        <v>1318</v>
      </c>
      <c r="C227" s="621"/>
      <c r="D227" s="621"/>
      <c r="E227" s="649" t="s">
        <v>2809</v>
      </c>
      <c r="F227" s="622" t="s">
        <v>2810</v>
      </c>
      <c r="G227" s="622" t="s">
        <v>2385</v>
      </c>
      <c r="H227" s="649" t="s">
        <v>238</v>
      </c>
      <c r="I227" s="652" t="s">
        <v>11</v>
      </c>
      <c r="J227" s="622" t="s">
        <v>8093</v>
      </c>
      <c r="K227" s="680">
        <v>51</v>
      </c>
      <c r="L227" s="680">
        <v>100</v>
      </c>
      <c r="M227" s="681">
        <v>0</v>
      </c>
      <c r="N227" s="681"/>
      <c r="O227" s="681">
        <v>100</v>
      </c>
      <c r="P227" s="680">
        <v>50</v>
      </c>
      <c r="Q227" s="682">
        <v>50</v>
      </c>
      <c r="R227" s="681">
        <v>0</v>
      </c>
      <c r="S227" s="658"/>
    </row>
    <row r="228" spans="1:19" s="659" customFormat="1" ht="20.100000000000001" customHeight="1">
      <c r="A228" s="657" t="s">
        <v>3868</v>
      </c>
      <c r="B228" s="649" t="s">
        <v>1318</v>
      </c>
      <c r="C228" s="621"/>
      <c r="D228" s="621"/>
      <c r="E228" s="649" t="s">
        <v>2809</v>
      </c>
      <c r="F228" s="622" t="s">
        <v>2810</v>
      </c>
      <c r="G228" s="622" t="s">
        <v>2385</v>
      </c>
      <c r="H228" s="649" t="s">
        <v>238</v>
      </c>
      <c r="I228" s="652" t="s">
        <v>11</v>
      </c>
      <c r="J228" s="622" t="s">
        <v>8093</v>
      </c>
      <c r="K228" s="680">
        <v>51</v>
      </c>
      <c r="L228" s="680"/>
      <c r="M228" s="681">
        <v>22500</v>
      </c>
      <c r="N228" s="681"/>
      <c r="O228" s="681">
        <v>22500</v>
      </c>
      <c r="P228" s="680">
        <v>22500</v>
      </c>
      <c r="Q228" s="682">
        <v>0</v>
      </c>
      <c r="R228" s="681">
        <v>0</v>
      </c>
      <c r="S228" s="658"/>
    </row>
    <row r="229" spans="1:19" s="659" customFormat="1" ht="20.100000000000001" customHeight="1">
      <c r="A229" s="657" t="s">
        <v>3868</v>
      </c>
      <c r="B229" s="649" t="s">
        <v>1318</v>
      </c>
      <c r="C229" s="621"/>
      <c r="D229" s="621"/>
      <c r="E229" s="649" t="s">
        <v>2809</v>
      </c>
      <c r="F229" s="622" t="s">
        <v>2810</v>
      </c>
      <c r="G229" s="622" t="s">
        <v>2385</v>
      </c>
      <c r="H229" s="649" t="s">
        <v>238</v>
      </c>
      <c r="I229" s="652" t="s">
        <v>11</v>
      </c>
      <c r="J229" s="622" t="s">
        <v>8093</v>
      </c>
      <c r="K229" s="680">
        <v>51</v>
      </c>
      <c r="L229" s="680"/>
      <c r="M229" s="681">
        <v>4000</v>
      </c>
      <c r="N229" s="681"/>
      <c r="O229" s="681">
        <v>4000</v>
      </c>
      <c r="P229" s="680">
        <v>4000</v>
      </c>
      <c r="Q229" s="682">
        <v>0</v>
      </c>
      <c r="R229" s="681">
        <v>0</v>
      </c>
      <c r="S229" s="658"/>
    </row>
    <row r="230" spans="1:19" s="659" customFormat="1" ht="20.100000000000001" customHeight="1">
      <c r="A230" s="657" t="s">
        <v>4824</v>
      </c>
      <c r="B230" s="649" t="s">
        <v>274</v>
      </c>
      <c r="C230" s="621"/>
      <c r="D230" s="621"/>
      <c r="E230" s="649" t="s">
        <v>4825</v>
      </c>
      <c r="F230" s="622" t="s">
        <v>307</v>
      </c>
      <c r="G230" s="622" t="s">
        <v>308</v>
      </c>
      <c r="H230" s="649" t="s">
        <v>305</v>
      </c>
      <c r="I230" s="652" t="s">
        <v>14</v>
      </c>
      <c r="J230" s="622" t="s">
        <v>5187</v>
      </c>
      <c r="K230" s="680">
        <v>69000</v>
      </c>
      <c r="L230" s="680">
        <v>70</v>
      </c>
      <c r="M230" s="681">
        <v>0</v>
      </c>
      <c r="N230" s="681"/>
      <c r="O230" s="681">
        <v>70</v>
      </c>
      <c r="P230" s="680">
        <v>0</v>
      </c>
      <c r="Q230" s="682">
        <v>70</v>
      </c>
      <c r="R230" s="681">
        <v>0</v>
      </c>
      <c r="S230" s="658"/>
    </row>
    <row r="231" spans="1:19" s="659" customFormat="1" ht="20.100000000000001" customHeight="1">
      <c r="A231" s="657" t="s">
        <v>3870</v>
      </c>
      <c r="B231" s="649" t="s">
        <v>1321</v>
      </c>
      <c r="C231" s="621"/>
      <c r="D231" s="621"/>
      <c r="E231" s="649" t="s">
        <v>1321</v>
      </c>
      <c r="F231" s="622" t="s">
        <v>8103</v>
      </c>
      <c r="G231" s="622" t="s">
        <v>7015</v>
      </c>
      <c r="H231" s="649" t="s">
        <v>248</v>
      </c>
      <c r="I231" s="652" t="s">
        <v>11</v>
      </c>
      <c r="J231" s="622" t="s">
        <v>8102</v>
      </c>
      <c r="K231" s="680">
        <v>47</v>
      </c>
      <c r="L231" s="680">
        <v>203</v>
      </c>
      <c r="M231" s="681">
        <v>3</v>
      </c>
      <c r="N231" s="681"/>
      <c r="O231" s="681">
        <v>206</v>
      </c>
      <c r="P231" s="680">
        <v>204</v>
      </c>
      <c r="Q231" s="682">
        <v>2</v>
      </c>
      <c r="R231" s="681">
        <v>0</v>
      </c>
      <c r="S231" s="658"/>
    </row>
    <row r="232" spans="1:19" s="659" customFormat="1" ht="20.100000000000001" customHeight="1">
      <c r="A232" s="657" t="s">
        <v>4828</v>
      </c>
      <c r="B232" s="649" t="s">
        <v>274</v>
      </c>
      <c r="C232" s="621"/>
      <c r="D232" s="621"/>
      <c r="E232" s="649" t="s">
        <v>274</v>
      </c>
      <c r="F232" s="622" t="s">
        <v>373</v>
      </c>
      <c r="G232" s="622" t="s">
        <v>360</v>
      </c>
      <c r="H232" s="649" t="s">
        <v>225</v>
      </c>
      <c r="I232" s="652" t="s">
        <v>10</v>
      </c>
      <c r="J232" s="622" t="s">
        <v>5150</v>
      </c>
      <c r="K232" s="680">
        <v>394</v>
      </c>
      <c r="L232" s="680">
        <v>139</v>
      </c>
      <c r="M232" s="681">
        <v>3</v>
      </c>
      <c r="N232" s="681"/>
      <c r="O232" s="681">
        <v>142</v>
      </c>
      <c r="P232" s="680">
        <v>142</v>
      </c>
      <c r="Q232" s="682">
        <v>0</v>
      </c>
      <c r="R232" s="681">
        <v>0</v>
      </c>
      <c r="S232" s="658"/>
    </row>
    <row r="233" spans="1:19" s="659" customFormat="1" ht="20.100000000000001" customHeight="1">
      <c r="A233" s="657" t="s">
        <v>4828</v>
      </c>
      <c r="B233" s="649" t="s">
        <v>274</v>
      </c>
      <c r="C233" s="621"/>
      <c r="D233" s="621"/>
      <c r="E233" s="649" t="s">
        <v>274</v>
      </c>
      <c r="F233" s="622" t="s">
        <v>373</v>
      </c>
      <c r="G233" s="622" t="s">
        <v>360</v>
      </c>
      <c r="H233" s="649" t="s">
        <v>225</v>
      </c>
      <c r="I233" s="652" t="s">
        <v>10</v>
      </c>
      <c r="J233" s="622" t="s">
        <v>5150</v>
      </c>
      <c r="K233" s="680">
        <v>394</v>
      </c>
      <c r="L233" s="680">
        <v>5000</v>
      </c>
      <c r="M233" s="681">
        <v>0</v>
      </c>
      <c r="N233" s="681"/>
      <c r="O233" s="681">
        <v>5000</v>
      </c>
      <c r="P233" s="680">
        <v>4600</v>
      </c>
      <c r="Q233" s="682">
        <v>400</v>
      </c>
      <c r="R233" s="681">
        <v>0</v>
      </c>
      <c r="S233" s="658"/>
    </row>
    <row r="234" spans="1:19" s="659" customFormat="1" ht="20.100000000000001" customHeight="1">
      <c r="A234" s="657" t="s">
        <v>4828</v>
      </c>
      <c r="B234" s="649" t="s">
        <v>274</v>
      </c>
      <c r="C234" s="621"/>
      <c r="D234" s="621"/>
      <c r="E234" s="649" t="s">
        <v>274</v>
      </c>
      <c r="F234" s="622" t="s">
        <v>373</v>
      </c>
      <c r="G234" s="622" t="s">
        <v>360</v>
      </c>
      <c r="H234" s="649" t="s">
        <v>225</v>
      </c>
      <c r="I234" s="652" t="s">
        <v>10</v>
      </c>
      <c r="J234" s="622" t="s">
        <v>5150</v>
      </c>
      <c r="K234" s="680">
        <v>394</v>
      </c>
      <c r="L234" s="680">
        <v>4796</v>
      </c>
      <c r="M234" s="681">
        <v>61</v>
      </c>
      <c r="N234" s="681"/>
      <c r="O234" s="681">
        <v>4714</v>
      </c>
      <c r="P234" s="680">
        <v>1511</v>
      </c>
      <c r="Q234" s="682">
        <v>3203</v>
      </c>
      <c r="R234" s="681">
        <v>143</v>
      </c>
      <c r="S234" s="658"/>
    </row>
    <row r="235" spans="1:19" s="659" customFormat="1" ht="20.100000000000001" customHeight="1">
      <c r="A235" s="657" t="s">
        <v>4832</v>
      </c>
      <c r="B235" s="649" t="s">
        <v>274</v>
      </c>
      <c r="C235" s="621"/>
      <c r="D235" s="621"/>
      <c r="E235" s="649" t="s">
        <v>4833</v>
      </c>
      <c r="F235" s="622" t="s">
        <v>436</v>
      </c>
      <c r="G235" s="622" t="s">
        <v>437</v>
      </c>
      <c r="H235" s="649" t="s">
        <v>435</v>
      </c>
      <c r="I235" s="652" t="s">
        <v>18</v>
      </c>
      <c r="J235" s="622" t="s">
        <v>5563</v>
      </c>
      <c r="K235" s="680">
        <v>18480</v>
      </c>
      <c r="L235" s="680">
        <v>39</v>
      </c>
      <c r="M235" s="681">
        <v>1</v>
      </c>
      <c r="N235" s="681"/>
      <c r="O235" s="681">
        <v>40</v>
      </c>
      <c r="P235" s="680">
        <v>40</v>
      </c>
      <c r="Q235" s="682">
        <v>0</v>
      </c>
      <c r="R235" s="681">
        <v>0</v>
      </c>
      <c r="S235" s="658"/>
    </row>
    <row r="236" spans="1:19" s="659" customFormat="1" ht="20.100000000000001" customHeight="1">
      <c r="A236" s="657" t="s">
        <v>4832</v>
      </c>
      <c r="B236" s="649" t="s">
        <v>274</v>
      </c>
      <c r="C236" s="621"/>
      <c r="D236" s="621"/>
      <c r="E236" s="649" t="s">
        <v>4833</v>
      </c>
      <c r="F236" s="622" t="s">
        <v>436</v>
      </c>
      <c r="G236" s="622" t="s">
        <v>437</v>
      </c>
      <c r="H236" s="649" t="s">
        <v>435</v>
      </c>
      <c r="I236" s="652" t="s">
        <v>18</v>
      </c>
      <c r="J236" s="622" t="s">
        <v>5563</v>
      </c>
      <c r="K236" s="680">
        <v>18480</v>
      </c>
      <c r="L236" s="680">
        <v>200</v>
      </c>
      <c r="M236" s="681">
        <v>0</v>
      </c>
      <c r="N236" s="681"/>
      <c r="O236" s="681">
        <v>13</v>
      </c>
      <c r="P236" s="680">
        <v>13</v>
      </c>
      <c r="Q236" s="682">
        <v>0</v>
      </c>
      <c r="R236" s="681">
        <v>187</v>
      </c>
      <c r="S236" s="658"/>
    </row>
    <row r="237" spans="1:19" s="659" customFormat="1" ht="20.100000000000001" customHeight="1">
      <c r="A237" s="657" t="s">
        <v>4486</v>
      </c>
      <c r="B237" s="649" t="s">
        <v>411</v>
      </c>
      <c r="C237" s="621"/>
      <c r="D237" s="621"/>
      <c r="E237" s="649" t="s">
        <v>5870</v>
      </c>
      <c r="F237" s="622" t="s">
        <v>5872</v>
      </c>
      <c r="G237" s="622" t="s">
        <v>955</v>
      </c>
      <c r="H237" s="649" t="s">
        <v>272</v>
      </c>
      <c r="I237" s="652" t="s">
        <v>13</v>
      </c>
      <c r="J237" s="622" t="s">
        <v>5871</v>
      </c>
      <c r="K237" s="680">
        <v>5090</v>
      </c>
      <c r="L237" s="680"/>
      <c r="M237" s="681">
        <v>1200</v>
      </c>
      <c r="N237" s="681"/>
      <c r="O237" s="681">
        <v>583</v>
      </c>
      <c r="P237" s="680">
        <v>240</v>
      </c>
      <c r="Q237" s="682">
        <v>343</v>
      </c>
      <c r="R237" s="681">
        <v>617</v>
      </c>
      <c r="S237" s="658"/>
    </row>
    <row r="238" spans="1:19" s="659" customFormat="1" ht="20.100000000000001" customHeight="1">
      <c r="A238" s="657" t="s">
        <v>4253</v>
      </c>
      <c r="B238" s="649" t="s">
        <v>11608</v>
      </c>
      <c r="C238" s="621"/>
      <c r="D238" s="621"/>
      <c r="E238" s="649" t="s">
        <v>7764</v>
      </c>
      <c r="F238" s="622" t="s">
        <v>7766</v>
      </c>
      <c r="G238" s="622" t="s">
        <v>7767</v>
      </c>
      <c r="H238" s="649" t="s">
        <v>1165</v>
      </c>
      <c r="I238" s="652" t="s">
        <v>11</v>
      </c>
      <c r="J238" s="622" t="s">
        <v>7765</v>
      </c>
      <c r="K238" s="680">
        <v>3675</v>
      </c>
      <c r="L238" s="680"/>
      <c r="M238" s="681">
        <v>3270</v>
      </c>
      <c r="N238" s="681"/>
      <c r="O238" s="681">
        <v>0</v>
      </c>
      <c r="P238" s="680">
        <v>0</v>
      </c>
      <c r="Q238" s="682">
        <v>0</v>
      </c>
      <c r="R238" s="681">
        <v>3270</v>
      </c>
      <c r="S238" s="658"/>
    </row>
    <row r="239" spans="1:19" s="659" customFormat="1" ht="20.100000000000001" customHeight="1">
      <c r="A239" s="657" t="s">
        <v>4253</v>
      </c>
      <c r="B239" s="649" t="s">
        <v>11608</v>
      </c>
      <c r="C239" s="621"/>
      <c r="D239" s="621"/>
      <c r="E239" s="649" t="s">
        <v>7764</v>
      </c>
      <c r="F239" s="622" t="s">
        <v>7766</v>
      </c>
      <c r="G239" s="622" t="s">
        <v>7767</v>
      </c>
      <c r="H239" s="649" t="s">
        <v>1165</v>
      </c>
      <c r="I239" s="652" t="s">
        <v>11</v>
      </c>
      <c r="J239" s="622" t="s">
        <v>7765</v>
      </c>
      <c r="K239" s="680">
        <v>3675</v>
      </c>
      <c r="L239" s="680"/>
      <c r="M239" s="681">
        <v>2730</v>
      </c>
      <c r="N239" s="681"/>
      <c r="O239" s="681">
        <v>0</v>
      </c>
      <c r="P239" s="680">
        <v>0</v>
      </c>
      <c r="Q239" s="682">
        <v>0</v>
      </c>
      <c r="R239" s="681">
        <v>2730</v>
      </c>
      <c r="S239" s="658"/>
    </row>
    <row r="240" spans="1:19" s="659" customFormat="1" ht="20.100000000000001" customHeight="1">
      <c r="A240" s="657" t="s">
        <v>3873</v>
      </c>
      <c r="B240" s="649" t="s">
        <v>2466</v>
      </c>
      <c r="C240" s="621"/>
      <c r="D240" s="621"/>
      <c r="E240" s="649" t="s">
        <v>1324</v>
      </c>
      <c r="F240" s="622" t="s">
        <v>8132</v>
      </c>
      <c r="G240" s="622" t="s">
        <v>7001</v>
      </c>
      <c r="H240" s="649" t="s">
        <v>390</v>
      </c>
      <c r="I240" s="652" t="s">
        <v>11</v>
      </c>
      <c r="J240" s="622" t="s">
        <v>7769</v>
      </c>
      <c r="K240" s="680">
        <v>27</v>
      </c>
      <c r="L240" s="680">
        <v>1</v>
      </c>
      <c r="M240" s="681">
        <v>0</v>
      </c>
      <c r="N240" s="681"/>
      <c r="O240" s="681">
        <v>1</v>
      </c>
      <c r="P240" s="680">
        <v>0</v>
      </c>
      <c r="Q240" s="682">
        <v>1</v>
      </c>
      <c r="R240" s="681">
        <v>0</v>
      </c>
      <c r="S240" s="658"/>
    </row>
    <row r="241" spans="1:19" s="659" customFormat="1" ht="20.100000000000001" customHeight="1">
      <c r="A241" s="657" t="s">
        <v>3873</v>
      </c>
      <c r="B241" s="649" t="s">
        <v>2466</v>
      </c>
      <c r="C241" s="621"/>
      <c r="D241" s="621"/>
      <c r="E241" s="649" t="s">
        <v>1324</v>
      </c>
      <c r="F241" s="622" t="s">
        <v>8132</v>
      </c>
      <c r="G241" s="622" t="s">
        <v>7001</v>
      </c>
      <c r="H241" s="649" t="s">
        <v>390</v>
      </c>
      <c r="I241" s="652" t="s">
        <v>11</v>
      </c>
      <c r="J241" s="622" t="s">
        <v>7769</v>
      </c>
      <c r="K241" s="680">
        <v>27</v>
      </c>
      <c r="L241" s="680">
        <v>19895</v>
      </c>
      <c r="M241" s="681">
        <v>0</v>
      </c>
      <c r="N241" s="681"/>
      <c r="O241" s="681">
        <v>18504</v>
      </c>
      <c r="P241" s="680">
        <v>15000</v>
      </c>
      <c r="Q241" s="682">
        <v>3504</v>
      </c>
      <c r="R241" s="681">
        <v>1391</v>
      </c>
      <c r="S241" s="658"/>
    </row>
    <row r="242" spans="1:19" s="659" customFormat="1" ht="20.100000000000001" customHeight="1">
      <c r="A242" s="657" t="s">
        <v>3873</v>
      </c>
      <c r="B242" s="649" t="s">
        <v>2466</v>
      </c>
      <c r="C242" s="621"/>
      <c r="D242" s="621"/>
      <c r="E242" s="649" t="s">
        <v>1324</v>
      </c>
      <c r="F242" s="622" t="s">
        <v>8132</v>
      </c>
      <c r="G242" s="622" t="s">
        <v>7001</v>
      </c>
      <c r="H242" s="649" t="s">
        <v>390</v>
      </c>
      <c r="I242" s="652" t="s">
        <v>11</v>
      </c>
      <c r="J242" s="622" t="s">
        <v>7769</v>
      </c>
      <c r="K242" s="680">
        <v>27</v>
      </c>
      <c r="L242" s="680"/>
      <c r="M242" s="681">
        <v>30168</v>
      </c>
      <c r="N242" s="681"/>
      <c r="O242" s="681">
        <v>13593</v>
      </c>
      <c r="P242" s="680">
        <v>13548</v>
      </c>
      <c r="Q242" s="682">
        <v>45</v>
      </c>
      <c r="R242" s="681">
        <v>16575</v>
      </c>
      <c r="S242" s="658"/>
    </row>
    <row r="243" spans="1:19" s="659" customFormat="1" ht="20.100000000000001" customHeight="1">
      <c r="A243" s="657" t="s">
        <v>3873</v>
      </c>
      <c r="B243" s="649" t="s">
        <v>2466</v>
      </c>
      <c r="C243" s="621"/>
      <c r="D243" s="621"/>
      <c r="E243" s="649" t="s">
        <v>1324</v>
      </c>
      <c r="F243" s="622" t="s">
        <v>8132</v>
      </c>
      <c r="G243" s="622" t="s">
        <v>7001</v>
      </c>
      <c r="H243" s="649" t="s">
        <v>390</v>
      </c>
      <c r="I243" s="652" t="s">
        <v>11</v>
      </c>
      <c r="J243" s="622" t="s">
        <v>7769</v>
      </c>
      <c r="K243" s="680">
        <v>27</v>
      </c>
      <c r="L243" s="680"/>
      <c r="M243" s="681">
        <v>29003</v>
      </c>
      <c r="N243" s="681"/>
      <c r="O243" s="681">
        <v>28935</v>
      </c>
      <c r="P243" s="680">
        <v>28935</v>
      </c>
      <c r="Q243" s="682">
        <v>0</v>
      </c>
      <c r="R243" s="681">
        <v>68</v>
      </c>
      <c r="S243" s="658"/>
    </row>
    <row r="244" spans="1:19" s="659" customFormat="1" ht="20.100000000000001" customHeight="1">
      <c r="A244" s="657" t="s">
        <v>4835</v>
      </c>
      <c r="B244" s="649" t="s">
        <v>260</v>
      </c>
      <c r="C244" s="621"/>
      <c r="D244" s="621"/>
      <c r="E244" s="649" t="s">
        <v>261</v>
      </c>
      <c r="F244" s="622" t="s">
        <v>264</v>
      </c>
      <c r="G244" s="622" t="s">
        <v>255</v>
      </c>
      <c r="H244" s="649" t="s">
        <v>262</v>
      </c>
      <c r="I244" s="652" t="s">
        <v>10</v>
      </c>
      <c r="J244" s="622" t="s">
        <v>2292</v>
      </c>
      <c r="K244" s="680">
        <v>1638</v>
      </c>
      <c r="L244" s="680">
        <v>1000</v>
      </c>
      <c r="M244" s="681">
        <v>0</v>
      </c>
      <c r="N244" s="681"/>
      <c r="O244" s="681">
        <v>358</v>
      </c>
      <c r="P244" s="680">
        <v>61</v>
      </c>
      <c r="Q244" s="682">
        <v>297</v>
      </c>
      <c r="R244" s="681">
        <v>642</v>
      </c>
      <c r="S244" s="658"/>
    </row>
    <row r="245" spans="1:19" s="659" customFormat="1" ht="20.100000000000001" customHeight="1">
      <c r="A245" s="657" t="s">
        <v>4835</v>
      </c>
      <c r="B245" s="649" t="s">
        <v>260</v>
      </c>
      <c r="C245" s="621"/>
      <c r="D245" s="621"/>
      <c r="E245" s="649" t="s">
        <v>261</v>
      </c>
      <c r="F245" s="622" t="s">
        <v>264</v>
      </c>
      <c r="G245" s="622" t="s">
        <v>255</v>
      </c>
      <c r="H245" s="649" t="s">
        <v>262</v>
      </c>
      <c r="I245" s="652" t="s">
        <v>10</v>
      </c>
      <c r="J245" s="622" t="s">
        <v>2292</v>
      </c>
      <c r="K245" s="680">
        <v>1638</v>
      </c>
      <c r="L245" s="680">
        <v>600</v>
      </c>
      <c r="M245" s="681">
        <v>0</v>
      </c>
      <c r="N245" s="681"/>
      <c r="O245" s="681">
        <v>0</v>
      </c>
      <c r="P245" s="680">
        <v>0</v>
      </c>
      <c r="Q245" s="682">
        <v>0</v>
      </c>
      <c r="R245" s="681">
        <v>600</v>
      </c>
      <c r="S245" s="658"/>
    </row>
    <row r="246" spans="1:19" s="659" customFormat="1" ht="20.100000000000001" customHeight="1">
      <c r="A246" s="657" t="s">
        <v>3876</v>
      </c>
      <c r="B246" s="649" t="s">
        <v>544</v>
      </c>
      <c r="C246" s="621"/>
      <c r="D246" s="621"/>
      <c r="E246" s="649" t="s">
        <v>544</v>
      </c>
      <c r="F246" s="622" t="s">
        <v>7813</v>
      </c>
      <c r="G246" s="622" t="s">
        <v>7001</v>
      </c>
      <c r="H246" s="649" t="s">
        <v>546</v>
      </c>
      <c r="I246" s="652" t="s">
        <v>11</v>
      </c>
      <c r="J246" s="622" t="s">
        <v>6709</v>
      </c>
      <c r="K246" s="680">
        <v>252</v>
      </c>
      <c r="L246" s="680">
        <v>1000</v>
      </c>
      <c r="M246" s="681">
        <v>0</v>
      </c>
      <c r="N246" s="681"/>
      <c r="O246" s="681">
        <v>275</v>
      </c>
      <c r="P246" s="680">
        <v>0</v>
      </c>
      <c r="Q246" s="682">
        <v>275</v>
      </c>
      <c r="R246" s="681">
        <v>725</v>
      </c>
      <c r="S246" s="658"/>
    </row>
    <row r="247" spans="1:19" s="659" customFormat="1" ht="20.100000000000001" customHeight="1">
      <c r="A247" s="657" t="s">
        <v>8500</v>
      </c>
      <c r="B247" s="649" t="s">
        <v>2837</v>
      </c>
      <c r="C247" s="621"/>
      <c r="D247" s="621"/>
      <c r="E247" s="649" t="s">
        <v>2838</v>
      </c>
      <c r="F247" s="622" t="s">
        <v>8504</v>
      </c>
      <c r="G247" s="622" t="s">
        <v>2182</v>
      </c>
      <c r="H247" s="649" t="s">
        <v>12285</v>
      </c>
      <c r="I247" s="652" t="s">
        <v>11</v>
      </c>
      <c r="J247" s="622" t="s">
        <v>8503</v>
      </c>
      <c r="K247" s="680">
        <v>2500</v>
      </c>
      <c r="L247" s="680"/>
      <c r="M247" s="681">
        <v>4980</v>
      </c>
      <c r="N247" s="681"/>
      <c r="O247" s="681">
        <v>0</v>
      </c>
      <c r="P247" s="680">
        <v>0</v>
      </c>
      <c r="Q247" s="682">
        <v>0</v>
      </c>
      <c r="R247" s="681">
        <v>4980</v>
      </c>
      <c r="S247" s="658"/>
    </row>
    <row r="248" spans="1:19" s="659" customFormat="1" ht="20.100000000000001" customHeight="1">
      <c r="A248" s="657" t="s">
        <v>3880</v>
      </c>
      <c r="B248" s="649" t="s">
        <v>1488</v>
      </c>
      <c r="C248" s="621"/>
      <c r="D248" s="621"/>
      <c r="E248" s="649" t="s">
        <v>3881</v>
      </c>
      <c r="F248" s="622" t="s">
        <v>6130</v>
      </c>
      <c r="G248" s="622" t="s">
        <v>6131</v>
      </c>
      <c r="H248" s="649" t="s">
        <v>1173</v>
      </c>
      <c r="I248" s="652" t="s">
        <v>11</v>
      </c>
      <c r="J248" s="622" t="s">
        <v>6129</v>
      </c>
      <c r="K248" s="680">
        <v>4053</v>
      </c>
      <c r="L248" s="680">
        <v>142</v>
      </c>
      <c r="M248" s="681">
        <v>0</v>
      </c>
      <c r="N248" s="681"/>
      <c r="O248" s="681">
        <v>142</v>
      </c>
      <c r="P248" s="680">
        <v>132</v>
      </c>
      <c r="Q248" s="682">
        <v>10</v>
      </c>
      <c r="R248" s="681">
        <v>0</v>
      </c>
      <c r="S248" s="658"/>
    </row>
    <row r="249" spans="1:19" s="659" customFormat="1" ht="20.100000000000001" customHeight="1">
      <c r="A249" s="657" t="s">
        <v>3880</v>
      </c>
      <c r="B249" s="649" t="s">
        <v>1488</v>
      </c>
      <c r="C249" s="621"/>
      <c r="D249" s="621"/>
      <c r="E249" s="649" t="s">
        <v>3881</v>
      </c>
      <c r="F249" s="622" t="s">
        <v>6130</v>
      </c>
      <c r="G249" s="622" t="s">
        <v>6131</v>
      </c>
      <c r="H249" s="649" t="s">
        <v>1173</v>
      </c>
      <c r="I249" s="652" t="s">
        <v>11</v>
      </c>
      <c r="J249" s="622" t="s">
        <v>6129</v>
      </c>
      <c r="K249" s="680">
        <v>4053</v>
      </c>
      <c r="L249" s="680">
        <v>3357</v>
      </c>
      <c r="M249" s="681">
        <v>0</v>
      </c>
      <c r="N249" s="681"/>
      <c r="O249" s="681">
        <v>3357</v>
      </c>
      <c r="P249" s="680">
        <v>0</v>
      </c>
      <c r="Q249" s="682">
        <v>3357</v>
      </c>
      <c r="R249" s="681">
        <v>0</v>
      </c>
      <c r="S249" s="658"/>
    </row>
    <row r="250" spans="1:19" s="659" customFormat="1" ht="20.100000000000001" customHeight="1">
      <c r="A250" s="657" t="s">
        <v>3880</v>
      </c>
      <c r="B250" s="649" t="s">
        <v>1488</v>
      </c>
      <c r="C250" s="621"/>
      <c r="D250" s="621"/>
      <c r="E250" s="649" t="s">
        <v>3881</v>
      </c>
      <c r="F250" s="622" t="s">
        <v>6130</v>
      </c>
      <c r="G250" s="622" t="s">
        <v>6131</v>
      </c>
      <c r="H250" s="649" t="s">
        <v>1173</v>
      </c>
      <c r="I250" s="652" t="s">
        <v>11</v>
      </c>
      <c r="J250" s="622" t="s">
        <v>6129</v>
      </c>
      <c r="K250" s="680">
        <v>4053</v>
      </c>
      <c r="L250" s="680"/>
      <c r="M250" s="681">
        <v>25620</v>
      </c>
      <c r="N250" s="681"/>
      <c r="O250" s="681">
        <v>25441</v>
      </c>
      <c r="P250" s="680">
        <v>0</v>
      </c>
      <c r="Q250" s="682">
        <v>25441</v>
      </c>
      <c r="R250" s="681">
        <v>179</v>
      </c>
      <c r="S250" s="658"/>
    </row>
    <row r="251" spans="1:19" s="659" customFormat="1" ht="20.100000000000001" customHeight="1">
      <c r="A251" s="657" t="s">
        <v>3885</v>
      </c>
      <c r="B251" s="649" t="s">
        <v>1976</v>
      </c>
      <c r="C251" s="621"/>
      <c r="D251" s="621"/>
      <c r="E251" s="649" t="s">
        <v>1977</v>
      </c>
      <c r="F251" s="622" t="s">
        <v>8114</v>
      </c>
      <c r="G251" s="622" t="s">
        <v>1946</v>
      </c>
      <c r="H251" s="649" t="s">
        <v>1978</v>
      </c>
      <c r="I251" s="652" t="s">
        <v>11</v>
      </c>
      <c r="J251" s="622" t="s">
        <v>8113</v>
      </c>
      <c r="K251" s="680">
        <v>2499</v>
      </c>
      <c r="L251" s="680">
        <v>189</v>
      </c>
      <c r="M251" s="681">
        <v>0</v>
      </c>
      <c r="N251" s="681"/>
      <c r="O251" s="681">
        <v>28</v>
      </c>
      <c r="P251" s="680">
        <v>28</v>
      </c>
      <c r="Q251" s="682">
        <v>0</v>
      </c>
      <c r="R251" s="681">
        <v>161</v>
      </c>
      <c r="S251" s="658"/>
    </row>
    <row r="252" spans="1:19" s="659" customFormat="1" ht="20.100000000000001" customHeight="1">
      <c r="A252" s="657" t="s">
        <v>3885</v>
      </c>
      <c r="B252" s="649" t="s">
        <v>1976</v>
      </c>
      <c r="C252" s="621"/>
      <c r="D252" s="621"/>
      <c r="E252" s="649" t="s">
        <v>1977</v>
      </c>
      <c r="F252" s="622" t="s">
        <v>8114</v>
      </c>
      <c r="G252" s="622" t="s">
        <v>1946</v>
      </c>
      <c r="H252" s="649" t="s">
        <v>1978</v>
      </c>
      <c r="I252" s="652" t="s">
        <v>11</v>
      </c>
      <c r="J252" s="622" t="s">
        <v>8113</v>
      </c>
      <c r="K252" s="680">
        <v>2499</v>
      </c>
      <c r="L252" s="680">
        <v>40329</v>
      </c>
      <c r="M252" s="681">
        <v>0</v>
      </c>
      <c r="N252" s="681"/>
      <c r="O252" s="681">
        <v>40029</v>
      </c>
      <c r="P252" s="680">
        <v>0</v>
      </c>
      <c r="Q252" s="682">
        <v>40029</v>
      </c>
      <c r="R252" s="681">
        <v>300</v>
      </c>
      <c r="S252" s="658"/>
    </row>
    <row r="253" spans="1:19" s="659" customFormat="1" ht="20.100000000000001" customHeight="1">
      <c r="A253" s="657" t="s">
        <v>3887</v>
      </c>
      <c r="B253" s="649" t="s">
        <v>3888</v>
      </c>
      <c r="C253" s="621"/>
      <c r="D253" s="621"/>
      <c r="E253" s="649" t="s">
        <v>7810</v>
      </c>
      <c r="F253" s="622" t="s">
        <v>1059</v>
      </c>
      <c r="G253" s="622" t="s">
        <v>336</v>
      </c>
      <c r="H253" s="649" t="s">
        <v>7809</v>
      </c>
      <c r="I253" s="652" t="s">
        <v>15</v>
      </c>
      <c r="J253" s="622" t="s">
        <v>7811</v>
      </c>
      <c r="K253" s="680">
        <v>6300</v>
      </c>
      <c r="L253" s="680"/>
      <c r="M253" s="681">
        <v>10</v>
      </c>
      <c r="N253" s="681"/>
      <c r="O253" s="681">
        <v>10</v>
      </c>
      <c r="P253" s="680">
        <v>0</v>
      </c>
      <c r="Q253" s="682">
        <v>10</v>
      </c>
      <c r="R253" s="681">
        <v>0</v>
      </c>
      <c r="S253" s="658"/>
    </row>
    <row r="254" spans="1:19" s="659" customFormat="1" ht="20.100000000000001" customHeight="1">
      <c r="A254" s="657" t="s">
        <v>3889</v>
      </c>
      <c r="B254" s="649" t="s">
        <v>3890</v>
      </c>
      <c r="C254" s="621"/>
      <c r="D254" s="621"/>
      <c r="E254" s="649" t="s">
        <v>3891</v>
      </c>
      <c r="F254" s="622" t="s">
        <v>5648</v>
      </c>
      <c r="G254" s="622" t="s">
        <v>298</v>
      </c>
      <c r="H254" s="649" t="s">
        <v>3892</v>
      </c>
      <c r="I254" s="652" t="s">
        <v>520</v>
      </c>
      <c r="J254" s="622" t="s">
        <v>5647</v>
      </c>
      <c r="K254" s="680">
        <v>30048</v>
      </c>
      <c r="L254" s="680">
        <v>7</v>
      </c>
      <c r="M254" s="681">
        <v>0</v>
      </c>
      <c r="N254" s="681"/>
      <c r="O254" s="681">
        <v>7</v>
      </c>
      <c r="P254" s="680">
        <v>7</v>
      </c>
      <c r="Q254" s="682">
        <v>0</v>
      </c>
      <c r="R254" s="681">
        <v>0</v>
      </c>
      <c r="S254" s="658"/>
    </row>
    <row r="255" spans="1:19" s="659" customFormat="1" ht="20.100000000000001" customHeight="1">
      <c r="A255" s="657" t="s">
        <v>3889</v>
      </c>
      <c r="B255" s="649" t="s">
        <v>3890</v>
      </c>
      <c r="C255" s="621"/>
      <c r="D255" s="621"/>
      <c r="E255" s="649" t="s">
        <v>3891</v>
      </c>
      <c r="F255" s="622" t="s">
        <v>5648</v>
      </c>
      <c r="G255" s="622" t="s">
        <v>298</v>
      </c>
      <c r="H255" s="649" t="s">
        <v>3892</v>
      </c>
      <c r="I255" s="652" t="s">
        <v>520</v>
      </c>
      <c r="J255" s="622" t="s">
        <v>5647</v>
      </c>
      <c r="K255" s="680">
        <v>30048</v>
      </c>
      <c r="L255" s="680"/>
      <c r="M255" s="681">
        <v>30</v>
      </c>
      <c r="N255" s="681"/>
      <c r="O255" s="681">
        <v>12</v>
      </c>
      <c r="P255" s="680">
        <v>12</v>
      </c>
      <c r="Q255" s="682">
        <v>0</v>
      </c>
      <c r="R255" s="681">
        <v>18</v>
      </c>
      <c r="S255" s="658"/>
    </row>
    <row r="256" spans="1:19" s="659" customFormat="1" ht="20.100000000000001" customHeight="1">
      <c r="A256" s="657" t="s">
        <v>3889</v>
      </c>
      <c r="B256" s="649" t="s">
        <v>3890</v>
      </c>
      <c r="C256" s="621"/>
      <c r="D256" s="621"/>
      <c r="E256" s="649" t="s">
        <v>3891</v>
      </c>
      <c r="F256" s="622" t="s">
        <v>5648</v>
      </c>
      <c r="G256" s="622" t="s">
        <v>298</v>
      </c>
      <c r="H256" s="649" t="s">
        <v>3892</v>
      </c>
      <c r="I256" s="652" t="s">
        <v>520</v>
      </c>
      <c r="J256" s="622" t="s">
        <v>5647</v>
      </c>
      <c r="K256" s="680">
        <v>30048</v>
      </c>
      <c r="L256" s="680"/>
      <c r="M256" s="681">
        <v>30</v>
      </c>
      <c r="N256" s="681"/>
      <c r="O256" s="681">
        <v>0</v>
      </c>
      <c r="P256" s="680">
        <v>0</v>
      </c>
      <c r="Q256" s="682">
        <v>0</v>
      </c>
      <c r="R256" s="681">
        <v>30</v>
      </c>
      <c r="S256" s="658"/>
    </row>
    <row r="257" spans="1:19" s="659" customFormat="1" ht="20.100000000000001" customHeight="1">
      <c r="A257" s="657" t="s">
        <v>4836</v>
      </c>
      <c r="B257" s="649" t="s">
        <v>3890</v>
      </c>
      <c r="C257" s="621"/>
      <c r="D257" s="621"/>
      <c r="E257" s="649" t="s">
        <v>4837</v>
      </c>
      <c r="F257" s="622" t="s">
        <v>297</v>
      </c>
      <c r="G257" s="622" t="s">
        <v>298</v>
      </c>
      <c r="H257" s="649" t="s">
        <v>296</v>
      </c>
      <c r="I257" s="652" t="s">
        <v>10</v>
      </c>
      <c r="J257" s="622" t="s">
        <v>5124</v>
      </c>
      <c r="K257" s="680">
        <v>6750</v>
      </c>
      <c r="L257" s="680">
        <v>75</v>
      </c>
      <c r="M257" s="681">
        <v>0</v>
      </c>
      <c r="N257" s="681"/>
      <c r="O257" s="681">
        <v>75</v>
      </c>
      <c r="P257" s="680">
        <v>5</v>
      </c>
      <c r="Q257" s="682">
        <v>70</v>
      </c>
      <c r="R257" s="681">
        <v>0</v>
      </c>
      <c r="S257" s="658"/>
    </row>
    <row r="258" spans="1:19" s="659" customFormat="1" ht="20.100000000000001" customHeight="1">
      <c r="A258" s="657" t="s">
        <v>4487</v>
      </c>
      <c r="B258" s="649" t="s">
        <v>841</v>
      </c>
      <c r="C258" s="621"/>
      <c r="D258" s="621"/>
      <c r="E258" s="649" t="s">
        <v>4488</v>
      </c>
      <c r="F258" s="622" t="s">
        <v>7407</v>
      </c>
      <c r="G258" s="622" t="s">
        <v>1449</v>
      </c>
      <c r="H258" s="649" t="s">
        <v>4489</v>
      </c>
      <c r="I258" s="652" t="s">
        <v>11</v>
      </c>
      <c r="J258" s="622" t="s">
        <v>7406</v>
      </c>
      <c r="K258" s="680">
        <v>215</v>
      </c>
      <c r="L258" s="680"/>
      <c r="M258" s="681">
        <v>800</v>
      </c>
      <c r="N258" s="681"/>
      <c r="O258" s="681">
        <v>800</v>
      </c>
      <c r="P258" s="680">
        <v>800</v>
      </c>
      <c r="Q258" s="682">
        <v>0</v>
      </c>
      <c r="R258" s="681">
        <v>0</v>
      </c>
      <c r="S258" s="658"/>
    </row>
    <row r="259" spans="1:19" s="659" customFormat="1" ht="20.100000000000001" customHeight="1">
      <c r="A259" s="657" t="s">
        <v>3896</v>
      </c>
      <c r="B259" s="649" t="s">
        <v>3898</v>
      </c>
      <c r="C259" s="621"/>
      <c r="D259" s="621"/>
      <c r="E259" s="649" t="s">
        <v>3897</v>
      </c>
      <c r="F259" s="622" t="s">
        <v>1009</v>
      </c>
      <c r="G259" s="622" t="s">
        <v>1010</v>
      </c>
      <c r="H259" s="649" t="s">
        <v>3899</v>
      </c>
      <c r="I259" s="652" t="s">
        <v>11</v>
      </c>
      <c r="J259" s="622" t="s">
        <v>6146</v>
      </c>
      <c r="K259" s="680">
        <v>6589</v>
      </c>
      <c r="L259" s="680">
        <v>2710</v>
      </c>
      <c r="M259" s="681">
        <v>0</v>
      </c>
      <c r="N259" s="681"/>
      <c r="O259" s="681">
        <v>2710</v>
      </c>
      <c r="P259" s="680">
        <v>0</v>
      </c>
      <c r="Q259" s="682">
        <v>2710</v>
      </c>
      <c r="R259" s="681">
        <v>0</v>
      </c>
      <c r="S259" s="658"/>
    </row>
    <row r="260" spans="1:19" s="659" customFormat="1" ht="20.100000000000001" customHeight="1">
      <c r="A260" s="657" t="s">
        <v>3896</v>
      </c>
      <c r="B260" s="649" t="s">
        <v>3898</v>
      </c>
      <c r="C260" s="621"/>
      <c r="D260" s="621"/>
      <c r="E260" s="649" t="s">
        <v>3897</v>
      </c>
      <c r="F260" s="622" t="s">
        <v>1009</v>
      </c>
      <c r="G260" s="622" t="s">
        <v>1010</v>
      </c>
      <c r="H260" s="649" t="s">
        <v>3899</v>
      </c>
      <c r="I260" s="652" t="s">
        <v>11</v>
      </c>
      <c r="J260" s="622" t="s">
        <v>6146</v>
      </c>
      <c r="K260" s="680">
        <v>6589</v>
      </c>
      <c r="L260" s="680"/>
      <c r="M260" s="681">
        <v>3000</v>
      </c>
      <c r="N260" s="681"/>
      <c r="O260" s="681">
        <v>2941</v>
      </c>
      <c r="P260" s="680">
        <v>1</v>
      </c>
      <c r="Q260" s="682">
        <v>2940</v>
      </c>
      <c r="R260" s="681">
        <v>59</v>
      </c>
      <c r="S260" s="658"/>
    </row>
    <row r="261" spans="1:19" s="659" customFormat="1" ht="20.100000000000001" customHeight="1">
      <c r="A261" s="657" t="s">
        <v>3896</v>
      </c>
      <c r="B261" s="649" t="s">
        <v>3898</v>
      </c>
      <c r="C261" s="621"/>
      <c r="D261" s="621"/>
      <c r="E261" s="649" t="s">
        <v>3897</v>
      </c>
      <c r="F261" s="622" t="s">
        <v>1009</v>
      </c>
      <c r="G261" s="622" t="s">
        <v>1010</v>
      </c>
      <c r="H261" s="649" t="s">
        <v>3899</v>
      </c>
      <c r="I261" s="652" t="s">
        <v>11</v>
      </c>
      <c r="J261" s="622" t="s">
        <v>6146</v>
      </c>
      <c r="K261" s="680">
        <v>6589</v>
      </c>
      <c r="L261" s="680"/>
      <c r="M261" s="681">
        <v>6000</v>
      </c>
      <c r="N261" s="681"/>
      <c r="O261" s="681">
        <v>5987</v>
      </c>
      <c r="P261" s="680">
        <v>0</v>
      </c>
      <c r="Q261" s="682">
        <v>5987</v>
      </c>
      <c r="R261" s="681">
        <v>13</v>
      </c>
      <c r="S261" s="658"/>
    </row>
    <row r="262" spans="1:19" s="659" customFormat="1" ht="20.100000000000001" customHeight="1">
      <c r="A262" s="657" t="s">
        <v>3896</v>
      </c>
      <c r="B262" s="649" t="s">
        <v>3898</v>
      </c>
      <c r="C262" s="621"/>
      <c r="D262" s="621"/>
      <c r="E262" s="649" t="s">
        <v>1007</v>
      </c>
      <c r="F262" s="622" t="s">
        <v>1009</v>
      </c>
      <c r="G262" s="622" t="s">
        <v>1010</v>
      </c>
      <c r="H262" s="649" t="s">
        <v>1008</v>
      </c>
      <c r="I262" s="652" t="s">
        <v>10</v>
      </c>
      <c r="J262" s="622" t="s">
        <v>6146</v>
      </c>
      <c r="K262" s="680">
        <v>6589</v>
      </c>
      <c r="L262" s="680">
        <v>58</v>
      </c>
      <c r="M262" s="681">
        <v>0</v>
      </c>
      <c r="N262" s="681"/>
      <c r="O262" s="681">
        <v>58</v>
      </c>
      <c r="P262" s="680">
        <v>0</v>
      </c>
      <c r="Q262" s="682">
        <v>58</v>
      </c>
      <c r="R262" s="681">
        <v>0</v>
      </c>
      <c r="S262" s="658"/>
    </row>
    <row r="263" spans="1:19" s="659" customFormat="1" ht="20.100000000000001" customHeight="1">
      <c r="A263" s="657" t="s">
        <v>3901</v>
      </c>
      <c r="B263" s="649" t="s">
        <v>788</v>
      </c>
      <c r="C263" s="621"/>
      <c r="D263" s="621"/>
      <c r="E263" s="649" t="s">
        <v>1003</v>
      </c>
      <c r="F263" s="622" t="s">
        <v>1005</v>
      </c>
      <c r="G263" s="622" t="s">
        <v>312</v>
      </c>
      <c r="H263" s="649" t="s">
        <v>1004</v>
      </c>
      <c r="I263" s="652" t="s">
        <v>10</v>
      </c>
      <c r="J263" s="622" t="s">
        <v>623</v>
      </c>
      <c r="K263" s="680">
        <v>5650</v>
      </c>
      <c r="L263" s="680">
        <v>50</v>
      </c>
      <c r="M263" s="681">
        <v>0</v>
      </c>
      <c r="N263" s="681"/>
      <c r="O263" s="681">
        <v>50</v>
      </c>
      <c r="P263" s="680">
        <v>5</v>
      </c>
      <c r="Q263" s="682">
        <v>45</v>
      </c>
      <c r="R263" s="681">
        <v>0</v>
      </c>
      <c r="S263" s="658"/>
    </row>
    <row r="264" spans="1:19" s="659" customFormat="1" ht="20.100000000000001" customHeight="1">
      <c r="A264" s="657" t="s">
        <v>3903</v>
      </c>
      <c r="B264" s="649" t="s">
        <v>1245</v>
      </c>
      <c r="C264" s="621"/>
      <c r="D264" s="621"/>
      <c r="E264" s="649" t="s">
        <v>3904</v>
      </c>
      <c r="F264" s="622" t="s">
        <v>2850</v>
      </c>
      <c r="G264" s="622" t="s">
        <v>312</v>
      </c>
      <c r="H264" s="649" t="s">
        <v>3905</v>
      </c>
      <c r="I264" s="652" t="s">
        <v>11</v>
      </c>
      <c r="J264" s="622" t="s">
        <v>6149</v>
      </c>
      <c r="K264" s="680">
        <v>6500</v>
      </c>
      <c r="L264" s="680">
        <v>255</v>
      </c>
      <c r="M264" s="681">
        <v>0</v>
      </c>
      <c r="N264" s="681"/>
      <c r="O264" s="681">
        <v>255</v>
      </c>
      <c r="P264" s="680">
        <v>0</v>
      </c>
      <c r="Q264" s="682">
        <v>255</v>
      </c>
      <c r="R264" s="681">
        <v>0</v>
      </c>
      <c r="S264" s="658"/>
    </row>
    <row r="265" spans="1:19" s="659" customFormat="1" ht="20.100000000000001" customHeight="1">
      <c r="A265" s="657" t="s">
        <v>3903</v>
      </c>
      <c r="B265" s="649" t="s">
        <v>1245</v>
      </c>
      <c r="C265" s="621"/>
      <c r="D265" s="621"/>
      <c r="E265" s="649" t="s">
        <v>3904</v>
      </c>
      <c r="F265" s="622" t="s">
        <v>2850</v>
      </c>
      <c r="G265" s="622" t="s">
        <v>312</v>
      </c>
      <c r="H265" s="649" t="s">
        <v>3905</v>
      </c>
      <c r="I265" s="652" t="s">
        <v>11</v>
      </c>
      <c r="J265" s="622" t="s">
        <v>6149</v>
      </c>
      <c r="K265" s="680">
        <v>6500</v>
      </c>
      <c r="L265" s="680"/>
      <c r="M265" s="681">
        <v>3000</v>
      </c>
      <c r="N265" s="681"/>
      <c r="O265" s="681">
        <v>750</v>
      </c>
      <c r="P265" s="680">
        <v>0</v>
      </c>
      <c r="Q265" s="682">
        <v>750</v>
      </c>
      <c r="R265" s="681">
        <v>2250</v>
      </c>
      <c r="S265" s="658"/>
    </row>
    <row r="266" spans="1:19" s="659" customFormat="1" ht="20.100000000000001" customHeight="1">
      <c r="A266" s="657" t="s">
        <v>3903</v>
      </c>
      <c r="B266" s="649" t="s">
        <v>1245</v>
      </c>
      <c r="C266" s="621"/>
      <c r="D266" s="621"/>
      <c r="E266" s="649" t="s">
        <v>3904</v>
      </c>
      <c r="F266" s="622" t="s">
        <v>2850</v>
      </c>
      <c r="G266" s="622" t="s">
        <v>312</v>
      </c>
      <c r="H266" s="649" t="s">
        <v>3905</v>
      </c>
      <c r="I266" s="652" t="s">
        <v>11</v>
      </c>
      <c r="J266" s="622" t="s">
        <v>6149</v>
      </c>
      <c r="K266" s="680">
        <v>6500</v>
      </c>
      <c r="L266" s="680">
        <v>3000</v>
      </c>
      <c r="M266" s="681">
        <v>3000</v>
      </c>
      <c r="N266" s="681"/>
      <c r="O266" s="681">
        <v>5226</v>
      </c>
      <c r="P266" s="680">
        <v>0</v>
      </c>
      <c r="Q266" s="682">
        <v>5226</v>
      </c>
      <c r="R266" s="681">
        <v>774</v>
      </c>
      <c r="S266" s="658"/>
    </row>
    <row r="267" spans="1:19" s="659" customFormat="1" ht="20.100000000000001" customHeight="1">
      <c r="A267" s="657" t="s">
        <v>4629</v>
      </c>
      <c r="B267" s="649" t="s">
        <v>4631</v>
      </c>
      <c r="C267" s="621"/>
      <c r="D267" s="621"/>
      <c r="E267" s="649" t="s">
        <v>4630</v>
      </c>
      <c r="F267" s="622" t="s">
        <v>8524</v>
      </c>
      <c r="G267" s="622" t="s">
        <v>8525</v>
      </c>
      <c r="H267" s="649" t="s">
        <v>272</v>
      </c>
      <c r="I267" s="652" t="s">
        <v>11</v>
      </c>
      <c r="J267" s="622" t="s">
        <v>8523</v>
      </c>
      <c r="K267" s="680">
        <v>3600</v>
      </c>
      <c r="L267" s="680">
        <v>7687</v>
      </c>
      <c r="M267" s="681">
        <v>0</v>
      </c>
      <c r="N267" s="681"/>
      <c r="O267" s="681">
        <v>7099</v>
      </c>
      <c r="P267" s="680">
        <v>0</v>
      </c>
      <c r="Q267" s="682">
        <v>7099</v>
      </c>
      <c r="R267" s="681">
        <v>588</v>
      </c>
      <c r="S267" s="658"/>
    </row>
    <row r="268" spans="1:19" s="659" customFormat="1" ht="20.100000000000001" customHeight="1">
      <c r="A268" s="657" t="s">
        <v>5881</v>
      </c>
      <c r="B268" s="649" t="s">
        <v>683</v>
      </c>
      <c r="C268" s="621"/>
      <c r="D268" s="621"/>
      <c r="E268" s="649" t="s">
        <v>5883</v>
      </c>
      <c r="F268" s="622" t="s">
        <v>5885</v>
      </c>
      <c r="G268" s="622" t="s">
        <v>2731</v>
      </c>
      <c r="H268" s="649" t="s">
        <v>5882</v>
      </c>
      <c r="I268" s="652" t="s">
        <v>15</v>
      </c>
      <c r="J268" s="622" t="s">
        <v>5884</v>
      </c>
      <c r="K268" s="680">
        <v>83000</v>
      </c>
      <c r="L268" s="680"/>
      <c r="M268" s="681">
        <v>100</v>
      </c>
      <c r="N268" s="681"/>
      <c r="O268" s="681">
        <v>2</v>
      </c>
      <c r="P268" s="680">
        <v>0</v>
      </c>
      <c r="Q268" s="682">
        <v>2</v>
      </c>
      <c r="R268" s="681">
        <v>98</v>
      </c>
      <c r="S268" s="658"/>
    </row>
    <row r="269" spans="1:19" s="659" customFormat="1" ht="20.100000000000001" customHeight="1">
      <c r="A269" s="657" t="s">
        <v>3907</v>
      </c>
      <c r="B269" s="649" t="s">
        <v>1481</v>
      </c>
      <c r="C269" s="621"/>
      <c r="D269" s="621"/>
      <c r="E269" s="649" t="s">
        <v>3908</v>
      </c>
      <c r="F269" s="622" t="s">
        <v>1691</v>
      </c>
      <c r="G269" s="622" t="s">
        <v>854</v>
      </c>
      <c r="H269" s="649" t="s">
        <v>1690</v>
      </c>
      <c r="I269" s="652" t="s">
        <v>11</v>
      </c>
      <c r="J269" s="622" t="s">
        <v>6099</v>
      </c>
      <c r="K269" s="680">
        <v>3450</v>
      </c>
      <c r="L269" s="680">
        <v>7137</v>
      </c>
      <c r="M269" s="681">
        <v>0</v>
      </c>
      <c r="N269" s="681"/>
      <c r="O269" s="681">
        <v>3197</v>
      </c>
      <c r="P269" s="680">
        <v>0</v>
      </c>
      <c r="Q269" s="682">
        <v>3197</v>
      </c>
      <c r="R269" s="681">
        <v>3940</v>
      </c>
      <c r="S269" s="658"/>
    </row>
    <row r="270" spans="1:19" s="659" customFormat="1" ht="20.100000000000001" customHeight="1">
      <c r="A270" s="657" t="s">
        <v>3907</v>
      </c>
      <c r="B270" s="649" t="s">
        <v>1481</v>
      </c>
      <c r="C270" s="621"/>
      <c r="D270" s="621"/>
      <c r="E270" s="649" t="s">
        <v>3908</v>
      </c>
      <c r="F270" s="622" t="s">
        <v>1691</v>
      </c>
      <c r="G270" s="622" t="s">
        <v>854</v>
      </c>
      <c r="H270" s="649" t="s">
        <v>1690</v>
      </c>
      <c r="I270" s="652" t="s">
        <v>11</v>
      </c>
      <c r="J270" s="622" t="s">
        <v>6099</v>
      </c>
      <c r="K270" s="680">
        <v>3450</v>
      </c>
      <c r="L270" s="680">
        <v>4980</v>
      </c>
      <c r="M270" s="681">
        <v>0</v>
      </c>
      <c r="N270" s="681"/>
      <c r="O270" s="681">
        <v>0</v>
      </c>
      <c r="P270" s="680">
        <v>0</v>
      </c>
      <c r="Q270" s="682">
        <v>0</v>
      </c>
      <c r="R270" s="681">
        <v>4980</v>
      </c>
      <c r="S270" s="658"/>
    </row>
    <row r="271" spans="1:19" s="659" customFormat="1" ht="20.100000000000001" customHeight="1">
      <c r="A271" s="657" t="s">
        <v>4633</v>
      </c>
      <c r="B271" s="649" t="s">
        <v>2276</v>
      </c>
      <c r="C271" s="621"/>
      <c r="D271" s="621"/>
      <c r="E271" s="649" t="s">
        <v>4634</v>
      </c>
      <c r="F271" s="622" t="s">
        <v>2279</v>
      </c>
      <c r="G271" s="622" t="s">
        <v>2253</v>
      </c>
      <c r="H271" s="649" t="s">
        <v>4635</v>
      </c>
      <c r="I271" s="652" t="s">
        <v>11</v>
      </c>
      <c r="J271" s="622" t="s">
        <v>8616</v>
      </c>
      <c r="K271" s="680">
        <v>1150</v>
      </c>
      <c r="L271" s="680">
        <v>549</v>
      </c>
      <c r="M271" s="681">
        <v>0</v>
      </c>
      <c r="N271" s="681"/>
      <c r="O271" s="681">
        <v>549</v>
      </c>
      <c r="P271" s="680">
        <v>0</v>
      </c>
      <c r="Q271" s="682">
        <v>549</v>
      </c>
      <c r="R271" s="681">
        <v>0</v>
      </c>
      <c r="S271" s="658"/>
    </row>
    <row r="272" spans="1:19" s="659" customFormat="1" ht="20.100000000000001" customHeight="1">
      <c r="A272" s="657" t="s">
        <v>3910</v>
      </c>
      <c r="B272" s="649" t="s">
        <v>1215</v>
      </c>
      <c r="C272" s="621"/>
      <c r="D272" s="621"/>
      <c r="E272" s="649" t="s">
        <v>1013</v>
      </c>
      <c r="F272" s="622" t="s">
        <v>6325</v>
      </c>
      <c r="G272" s="622" t="s">
        <v>1536</v>
      </c>
      <c r="H272" s="649" t="s">
        <v>1014</v>
      </c>
      <c r="I272" s="652" t="s">
        <v>10</v>
      </c>
      <c r="J272" s="622" t="s">
        <v>6324</v>
      </c>
      <c r="K272" s="680">
        <v>3258</v>
      </c>
      <c r="L272" s="680">
        <v>118</v>
      </c>
      <c r="M272" s="681">
        <v>0</v>
      </c>
      <c r="N272" s="681"/>
      <c r="O272" s="681">
        <v>56</v>
      </c>
      <c r="P272" s="680">
        <v>56</v>
      </c>
      <c r="Q272" s="682">
        <v>0</v>
      </c>
      <c r="R272" s="681">
        <v>62</v>
      </c>
      <c r="S272" s="658"/>
    </row>
    <row r="273" spans="1:19" s="659" customFormat="1" ht="20.100000000000001" customHeight="1">
      <c r="A273" s="657" t="s">
        <v>4637</v>
      </c>
      <c r="B273" s="649" t="s">
        <v>4639</v>
      </c>
      <c r="C273" s="621"/>
      <c r="D273" s="621"/>
      <c r="E273" s="649" t="s">
        <v>4638</v>
      </c>
      <c r="F273" s="622" t="s">
        <v>8865</v>
      </c>
      <c r="G273" s="622" t="s">
        <v>2168</v>
      </c>
      <c r="H273" s="649" t="s">
        <v>4640</v>
      </c>
      <c r="I273" s="652" t="s">
        <v>11</v>
      </c>
      <c r="J273" s="622" t="s">
        <v>8864</v>
      </c>
      <c r="K273" s="680">
        <v>1000</v>
      </c>
      <c r="L273" s="680">
        <v>4090</v>
      </c>
      <c r="M273" s="681">
        <v>0</v>
      </c>
      <c r="N273" s="681"/>
      <c r="O273" s="681">
        <v>4090</v>
      </c>
      <c r="P273" s="680">
        <v>0</v>
      </c>
      <c r="Q273" s="682">
        <v>4090</v>
      </c>
      <c r="R273" s="681">
        <v>0</v>
      </c>
      <c r="S273" s="658"/>
    </row>
    <row r="274" spans="1:19" s="659" customFormat="1" ht="20.100000000000001" customHeight="1">
      <c r="A274" s="657" t="s">
        <v>5006</v>
      </c>
      <c r="B274" s="649" t="s">
        <v>1636</v>
      </c>
      <c r="C274" s="621"/>
      <c r="D274" s="621"/>
      <c r="E274" s="649" t="s">
        <v>1895</v>
      </c>
      <c r="F274" s="622" t="s">
        <v>1898</v>
      </c>
      <c r="G274" s="622" t="s">
        <v>7180</v>
      </c>
      <c r="H274" s="649" t="s">
        <v>5007</v>
      </c>
      <c r="I274" s="652" t="s">
        <v>11</v>
      </c>
      <c r="J274" s="622" t="s">
        <v>7179</v>
      </c>
      <c r="K274" s="680">
        <v>2600</v>
      </c>
      <c r="L274" s="680"/>
      <c r="M274" s="681">
        <v>6110</v>
      </c>
      <c r="N274" s="681"/>
      <c r="O274" s="681">
        <v>0</v>
      </c>
      <c r="P274" s="680">
        <v>0</v>
      </c>
      <c r="Q274" s="682">
        <v>0</v>
      </c>
      <c r="R274" s="681">
        <v>6110</v>
      </c>
      <c r="S274" s="658"/>
    </row>
    <row r="275" spans="1:19" s="659" customFormat="1" ht="20.100000000000001" customHeight="1">
      <c r="A275" s="657" t="s">
        <v>5006</v>
      </c>
      <c r="B275" s="649" t="s">
        <v>1636</v>
      </c>
      <c r="C275" s="621"/>
      <c r="D275" s="621"/>
      <c r="E275" s="649" t="s">
        <v>1895</v>
      </c>
      <c r="F275" s="622" t="s">
        <v>1898</v>
      </c>
      <c r="G275" s="622" t="s">
        <v>7180</v>
      </c>
      <c r="H275" s="649" t="s">
        <v>5007</v>
      </c>
      <c r="I275" s="652" t="s">
        <v>11</v>
      </c>
      <c r="J275" s="622" t="s">
        <v>7179</v>
      </c>
      <c r="K275" s="680">
        <v>2600</v>
      </c>
      <c r="L275" s="680"/>
      <c r="M275" s="681">
        <v>4390</v>
      </c>
      <c r="N275" s="681"/>
      <c r="O275" s="681">
        <v>0</v>
      </c>
      <c r="P275" s="680">
        <v>0</v>
      </c>
      <c r="Q275" s="682">
        <v>0</v>
      </c>
      <c r="R275" s="681">
        <v>4390</v>
      </c>
      <c r="S275" s="658"/>
    </row>
    <row r="276" spans="1:19" s="659" customFormat="1" ht="20.100000000000001" customHeight="1">
      <c r="A276" s="657" t="s">
        <v>4781</v>
      </c>
      <c r="B276" s="649" t="s">
        <v>2469</v>
      </c>
      <c r="C276" s="621"/>
      <c r="D276" s="621"/>
      <c r="E276" s="649" t="s">
        <v>2469</v>
      </c>
      <c r="F276" s="622" t="s">
        <v>8080</v>
      </c>
      <c r="G276" s="622" t="s">
        <v>2385</v>
      </c>
      <c r="H276" s="649" t="s">
        <v>4782</v>
      </c>
      <c r="I276" s="652" t="s">
        <v>11</v>
      </c>
      <c r="J276" s="622" t="s">
        <v>8079</v>
      </c>
      <c r="K276" s="680">
        <v>100</v>
      </c>
      <c r="L276" s="680">
        <v>1000</v>
      </c>
      <c r="M276" s="681">
        <v>0</v>
      </c>
      <c r="N276" s="681"/>
      <c r="O276" s="681">
        <v>1000</v>
      </c>
      <c r="P276" s="680">
        <v>1000</v>
      </c>
      <c r="Q276" s="682">
        <v>0</v>
      </c>
      <c r="R276" s="681">
        <v>0</v>
      </c>
      <c r="S276" s="658"/>
    </row>
    <row r="277" spans="1:19" s="659" customFormat="1" ht="20.100000000000001" customHeight="1">
      <c r="A277" s="657" t="s">
        <v>4490</v>
      </c>
      <c r="B277" s="649" t="s">
        <v>4491</v>
      </c>
      <c r="C277" s="621"/>
      <c r="D277" s="621"/>
      <c r="E277" s="649" t="s">
        <v>2123</v>
      </c>
      <c r="F277" s="622" t="s">
        <v>5914</v>
      </c>
      <c r="G277" s="622" t="s">
        <v>5915</v>
      </c>
      <c r="H277" s="649" t="s">
        <v>4492</v>
      </c>
      <c r="I277" s="652" t="s">
        <v>658</v>
      </c>
      <c r="J277" s="622" t="s">
        <v>5913</v>
      </c>
      <c r="K277" s="680">
        <v>43919</v>
      </c>
      <c r="L277" s="680">
        <v>79</v>
      </c>
      <c r="M277" s="681">
        <v>0</v>
      </c>
      <c r="N277" s="681"/>
      <c r="O277" s="681">
        <v>46</v>
      </c>
      <c r="P277" s="680">
        <v>0</v>
      </c>
      <c r="Q277" s="682">
        <v>46</v>
      </c>
      <c r="R277" s="681">
        <v>33</v>
      </c>
      <c r="S277" s="658"/>
    </row>
    <row r="278" spans="1:19" s="659" customFormat="1" ht="20.100000000000001" customHeight="1">
      <c r="A278" s="657" t="s">
        <v>4490</v>
      </c>
      <c r="B278" s="649" t="s">
        <v>4491</v>
      </c>
      <c r="C278" s="621"/>
      <c r="D278" s="621"/>
      <c r="E278" s="649" t="s">
        <v>2123</v>
      </c>
      <c r="F278" s="622" t="s">
        <v>5914</v>
      </c>
      <c r="G278" s="622" t="s">
        <v>5915</v>
      </c>
      <c r="H278" s="649" t="s">
        <v>4492</v>
      </c>
      <c r="I278" s="652" t="s">
        <v>658</v>
      </c>
      <c r="J278" s="622" t="s">
        <v>5913</v>
      </c>
      <c r="K278" s="680">
        <v>43919</v>
      </c>
      <c r="L278" s="680"/>
      <c r="M278" s="681">
        <v>100</v>
      </c>
      <c r="N278" s="681"/>
      <c r="O278" s="681">
        <v>0</v>
      </c>
      <c r="P278" s="680">
        <v>0</v>
      </c>
      <c r="Q278" s="682">
        <v>0</v>
      </c>
      <c r="R278" s="681">
        <v>100</v>
      </c>
      <c r="S278" s="658"/>
    </row>
    <row r="279" spans="1:19" s="659" customFormat="1" ht="20.100000000000001" customHeight="1">
      <c r="A279" s="657" t="s">
        <v>3914</v>
      </c>
      <c r="B279" s="649" t="s">
        <v>2470</v>
      </c>
      <c r="C279" s="621"/>
      <c r="D279" s="621"/>
      <c r="E279" s="649" t="s">
        <v>6981</v>
      </c>
      <c r="F279" s="622" t="s">
        <v>6983</v>
      </c>
      <c r="G279" s="622" t="s">
        <v>2385</v>
      </c>
      <c r="H279" s="649" t="s">
        <v>384</v>
      </c>
      <c r="I279" s="652" t="s">
        <v>11</v>
      </c>
      <c r="J279" s="622" t="s">
        <v>6982</v>
      </c>
      <c r="K279" s="680">
        <v>129</v>
      </c>
      <c r="L279" s="680"/>
      <c r="M279" s="681">
        <v>20000</v>
      </c>
      <c r="N279" s="681"/>
      <c r="O279" s="681">
        <v>9200</v>
      </c>
      <c r="P279" s="680">
        <v>9200</v>
      </c>
      <c r="Q279" s="682">
        <v>0</v>
      </c>
      <c r="R279" s="681">
        <v>10800</v>
      </c>
      <c r="S279" s="658"/>
    </row>
    <row r="280" spans="1:19" s="659" customFormat="1" ht="20.100000000000001" customHeight="1">
      <c r="A280" s="657" t="s">
        <v>3914</v>
      </c>
      <c r="B280" s="649" t="s">
        <v>2470</v>
      </c>
      <c r="C280" s="621"/>
      <c r="D280" s="621"/>
      <c r="E280" s="649" t="s">
        <v>6981</v>
      </c>
      <c r="F280" s="622" t="s">
        <v>6983</v>
      </c>
      <c r="G280" s="622" t="s">
        <v>2385</v>
      </c>
      <c r="H280" s="649" t="s">
        <v>384</v>
      </c>
      <c r="I280" s="652" t="s">
        <v>11</v>
      </c>
      <c r="J280" s="622" t="s">
        <v>6982</v>
      </c>
      <c r="K280" s="680">
        <v>129</v>
      </c>
      <c r="L280" s="680"/>
      <c r="M280" s="681">
        <v>27000</v>
      </c>
      <c r="N280" s="681"/>
      <c r="O280" s="681">
        <v>26800</v>
      </c>
      <c r="P280" s="680">
        <v>26800</v>
      </c>
      <c r="Q280" s="682">
        <v>0</v>
      </c>
      <c r="R280" s="681">
        <v>200</v>
      </c>
      <c r="S280" s="658"/>
    </row>
    <row r="281" spans="1:19" s="659" customFormat="1" ht="20.100000000000001" customHeight="1">
      <c r="A281" s="657" t="s">
        <v>3914</v>
      </c>
      <c r="B281" s="649" t="s">
        <v>2470</v>
      </c>
      <c r="C281" s="621"/>
      <c r="D281" s="621"/>
      <c r="E281" s="649" t="s">
        <v>1065</v>
      </c>
      <c r="F281" s="622" t="s">
        <v>6983</v>
      </c>
      <c r="G281" s="622" t="s">
        <v>2385</v>
      </c>
      <c r="H281" s="649" t="s">
        <v>384</v>
      </c>
      <c r="I281" s="652" t="s">
        <v>10</v>
      </c>
      <c r="J281" s="622" t="s">
        <v>6982</v>
      </c>
      <c r="K281" s="680">
        <v>120</v>
      </c>
      <c r="L281" s="680">
        <v>1017</v>
      </c>
      <c r="M281" s="681">
        <v>0</v>
      </c>
      <c r="N281" s="681"/>
      <c r="O281" s="681">
        <v>1017</v>
      </c>
      <c r="P281" s="680">
        <v>0</v>
      </c>
      <c r="Q281" s="682">
        <v>1017</v>
      </c>
      <c r="R281" s="681">
        <v>0</v>
      </c>
      <c r="S281" s="658"/>
    </row>
    <row r="282" spans="1:19" s="659" customFormat="1" ht="20.100000000000001" customHeight="1">
      <c r="A282" s="657" t="s">
        <v>3916</v>
      </c>
      <c r="B282" s="649" t="s">
        <v>2470</v>
      </c>
      <c r="C282" s="621"/>
      <c r="D282" s="621"/>
      <c r="E282" s="649" t="s">
        <v>1065</v>
      </c>
      <c r="F282" s="622" t="s">
        <v>1067</v>
      </c>
      <c r="G282" s="622" t="s">
        <v>12654</v>
      </c>
      <c r="H282" s="649" t="s">
        <v>384</v>
      </c>
      <c r="I282" s="652" t="s">
        <v>10</v>
      </c>
      <c r="J282" s="622" t="s">
        <v>1066</v>
      </c>
      <c r="K282" s="680">
        <v>120</v>
      </c>
      <c r="L282" s="680">
        <v>233</v>
      </c>
      <c r="M282" s="681">
        <v>0</v>
      </c>
      <c r="N282" s="681"/>
      <c r="O282" s="681">
        <v>233</v>
      </c>
      <c r="P282" s="680">
        <v>9</v>
      </c>
      <c r="Q282" s="682">
        <v>224</v>
      </c>
      <c r="R282" s="681">
        <v>0</v>
      </c>
      <c r="S282" s="658"/>
    </row>
    <row r="283" spans="1:19" s="659" customFormat="1" ht="20.100000000000001" customHeight="1">
      <c r="A283" s="657" t="s">
        <v>5112</v>
      </c>
      <c r="B283" s="649" t="s">
        <v>309</v>
      </c>
      <c r="C283" s="621"/>
      <c r="D283" s="621"/>
      <c r="E283" s="649" t="s">
        <v>5113</v>
      </c>
      <c r="F283" s="622" t="s">
        <v>5115</v>
      </c>
      <c r="G283" s="622" t="s">
        <v>312</v>
      </c>
      <c r="H283" s="649" t="s">
        <v>310</v>
      </c>
      <c r="I283" s="652" t="s">
        <v>10</v>
      </c>
      <c r="J283" s="622" t="s">
        <v>5114</v>
      </c>
      <c r="K283" s="680">
        <v>2765</v>
      </c>
      <c r="L283" s="680">
        <v>9600</v>
      </c>
      <c r="M283" s="681">
        <v>0</v>
      </c>
      <c r="N283" s="681"/>
      <c r="O283" s="681">
        <v>0</v>
      </c>
      <c r="P283" s="680">
        <v>0</v>
      </c>
      <c r="Q283" s="682">
        <v>0</v>
      </c>
      <c r="R283" s="681">
        <v>9600</v>
      </c>
      <c r="S283" s="658"/>
    </row>
    <row r="284" spans="1:19" s="659" customFormat="1" ht="20.100000000000001" customHeight="1">
      <c r="A284" s="657" t="s">
        <v>5112</v>
      </c>
      <c r="B284" s="649" t="s">
        <v>309</v>
      </c>
      <c r="C284" s="621"/>
      <c r="D284" s="621"/>
      <c r="E284" s="649" t="s">
        <v>5113</v>
      </c>
      <c r="F284" s="622" t="s">
        <v>5115</v>
      </c>
      <c r="G284" s="622" t="s">
        <v>312</v>
      </c>
      <c r="H284" s="649" t="s">
        <v>310</v>
      </c>
      <c r="I284" s="652" t="s">
        <v>10</v>
      </c>
      <c r="J284" s="622" t="s">
        <v>5114</v>
      </c>
      <c r="K284" s="680">
        <v>2765</v>
      </c>
      <c r="L284" s="680">
        <v>4800</v>
      </c>
      <c r="M284" s="681">
        <v>0</v>
      </c>
      <c r="N284" s="681"/>
      <c r="O284" s="681">
        <v>1690</v>
      </c>
      <c r="P284" s="680">
        <v>0</v>
      </c>
      <c r="Q284" s="682">
        <v>1690</v>
      </c>
      <c r="R284" s="681">
        <v>3110</v>
      </c>
      <c r="S284" s="658"/>
    </row>
    <row r="285" spans="1:19" s="659" customFormat="1" ht="20.100000000000001" customHeight="1">
      <c r="A285" s="657" t="s">
        <v>5112</v>
      </c>
      <c r="B285" s="649" t="s">
        <v>309</v>
      </c>
      <c r="C285" s="621"/>
      <c r="D285" s="621"/>
      <c r="E285" s="649" t="s">
        <v>5113</v>
      </c>
      <c r="F285" s="622" t="s">
        <v>5115</v>
      </c>
      <c r="G285" s="622" t="s">
        <v>312</v>
      </c>
      <c r="H285" s="649" t="s">
        <v>310</v>
      </c>
      <c r="I285" s="652" t="s">
        <v>10</v>
      </c>
      <c r="J285" s="622" t="s">
        <v>5114</v>
      </c>
      <c r="K285" s="680">
        <v>2765</v>
      </c>
      <c r="L285" s="680">
        <v>1200</v>
      </c>
      <c r="M285" s="681">
        <v>0</v>
      </c>
      <c r="N285" s="681"/>
      <c r="O285" s="681">
        <v>1200</v>
      </c>
      <c r="P285" s="680">
        <v>0</v>
      </c>
      <c r="Q285" s="682">
        <v>1200</v>
      </c>
      <c r="R285" s="681">
        <v>0</v>
      </c>
      <c r="S285" s="658"/>
    </row>
    <row r="286" spans="1:19" s="659" customFormat="1" ht="20.100000000000001" customHeight="1">
      <c r="A286" s="657" t="s">
        <v>5112</v>
      </c>
      <c r="B286" s="649" t="s">
        <v>309</v>
      </c>
      <c r="C286" s="621"/>
      <c r="D286" s="621"/>
      <c r="E286" s="649" t="s">
        <v>5113</v>
      </c>
      <c r="F286" s="622" t="s">
        <v>5115</v>
      </c>
      <c r="G286" s="622" t="s">
        <v>312</v>
      </c>
      <c r="H286" s="649" t="s">
        <v>310</v>
      </c>
      <c r="I286" s="652" t="s">
        <v>10</v>
      </c>
      <c r="J286" s="622" t="s">
        <v>5114</v>
      </c>
      <c r="K286" s="680">
        <v>2765</v>
      </c>
      <c r="L286" s="680">
        <v>360</v>
      </c>
      <c r="M286" s="681">
        <v>0</v>
      </c>
      <c r="N286" s="681"/>
      <c r="O286" s="681">
        <v>0</v>
      </c>
      <c r="P286" s="680">
        <v>0</v>
      </c>
      <c r="Q286" s="682">
        <v>0</v>
      </c>
      <c r="R286" s="681">
        <v>360</v>
      </c>
      <c r="S286" s="658"/>
    </row>
    <row r="287" spans="1:19" s="659" customFormat="1" ht="20.100000000000001" customHeight="1">
      <c r="A287" s="657" t="s">
        <v>3919</v>
      </c>
      <c r="B287" s="649" t="s">
        <v>583</v>
      </c>
      <c r="C287" s="621"/>
      <c r="D287" s="621"/>
      <c r="E287" s="649" t="s">
        <v>3920</v>
      </c>
      <c r="F287" s="622" t="s">
        <v>8335</v>
      </c>
      <c r="G287" s="622" t="s">
        <v>463</v>
      </c>
      <c r="H287" s="649" t="s">
        <v>390</v>
      </c>
      <c r="I287" s="652" t="s">
        <v>11</v>
      </c>
      <c r="J287" s="622" t="s">
        <v>8334</v>
      </c>
      <c r="K287" s="680">
        <v>1575</v>
      </c>
      <c r="L287" s="680"/>
      <c r="M287" s="681">
        <v>5400</v>
      </c>
      <c r="N287" s="681"/>
      <c r="O287" s="681">
        <v>0</v>
      </c>
      <c r="P287" s="680">
        <v>0</v>
      </c>
      <c r="Q287" s="682">
        <v>0</v>
      </c>
      <c r="R287" s="681">
        <v>5400</v>
      </c>
      <c r="S287" s="658"/>
    </row>
    <row r="288" spans="1:19" s="659" customFormat="1" ht="20.100000000000001" customHeight="1">
      <c r="A288" s="657" t="s">
        <v>3919</v>
      </c>
      <c r="B288" s="649" t="s">
        <v>583</v>
      </c>
      <c r="C288" s="621"/>
      <c r="D288" s="621"/>
      <c r="E288" s="649" t="s">
        <v>3920</v>
      </c>
      <c r="F288" s="622" t="s">
        <v>8335</v>
      </c>
      <c r="G288" s="622" t="s">
        <v>463</v>
      </c>
      <c r="H288" s="649" t="s">
        <v>390</v>
      </c>
      <c r="I288" s="652" t="s">
        <v>11</v>
      </c>
      <c r="J288" s="622" t="s">
        <v>8334</v>
      </c>
      <c r="K288" s="680">
        <v>1575</v>
      </c>
      <c r="L288" s="680">
        <v>4815</v>
      </c>
      <c r="M288" s="681">
        <v>2100</v>
      </c>
      <c r="N288" s="681"/>
      <c r="O288" s="681">
        <v>6915</v>
      </c>
      <c r="P288" s="680">
        <v>0</v>
      </c>
      <c r="Q288" s="682">
        <v>6915</v>
      </c>
      <c r="R288" s="681">
        <v>0</v>
      </c>
      <c r="S288" s="658"/>
    </row>
    <row r="289" spans="1:19" s="659" customFormat="1" ht="20.100000000000001" customHeight="1">
      <c r="A289" s="657" t="s">
        <v>3919</v>
      </c>
      <c r="B289" s="649" t="s">
        <v>583</v>
      </c>
      <c r="C289" s="621"/>
      <c r="D289" s="621"/>
      <c r="E289" s="649" t="s">
        <v>3920</v>
      </c>
      <c r="F289" s="622" t="s">
        <v>8335</v>
      </c>
      <c r="G289" s="622" t="s">
        <v>463</v>
      </c>
      <c r="H289" s="649" t="s">
        <v>390</v>
      </c>
      <c r="I289" s="652" t="s">
        <v>11</v>
      </c>
      <c r="J289" s="622" t="s">
        <v>8334</v>
      </c>
      <c r="K289" s="680">
        <v>1575</v>
      </c>
      <c r="L289" s="680"/>
      <c r="M289" s="681">
        <v>27900</v>
      </c>
      <c r="N289" s="681"/>
      <c r="O289" s="681">
        <v>27870</v>
      </c>
      <c r="P289" s="680">
        <v>0</v>
      </c>
      <c r="Q289" s="682">
        <v>27870</v>
      </c>
      <c r="R289" s="681">
        <v>30</v>
      </c>
      <c r="S289" s="658"/>
    </row>
    <row r="290" spans="1:19" s="659" customFormat="1" ht="20.100000000000001" customHeight="1">
      <c r="A290" s="657" t="s">
        <v>3919</v>
      </c>
      <c r="B290" s="649" t="s">
        <v>583</v>
      </c>
      <c r="C290" s="621"/>
      <c r="D290" s="621"/>
      <c r="E290" s="649" t="s">
        <v>3920</v>
      </c>
      <c r="F290" s="622" t="s">
        <v>8335</v>
      </c>
      <c r="G290" s="622" t="s">
        <v>463</v>
      </c>
      <c r="H290" s="649" t="s">
        <v>390</v>
      </c>
      <c r="I290" s="652" t="s">
        <v>11</v>
      </c>
      <c r="J290" s="622" t="s">
        <v>8334</v>
      </c>
      <c r="K290" s="680">
        <v>1575</v>
      </c>
      <c r="L290" s="680"/>
      <c r="M290" s="681">
        <v>4800</v>
      </c>
      <c r="N290" s="681"/>
      <c r="O290" s="681">
        <v>908</v>
      </c>
      <c r="P290" s="680">
        <v>0</v>
      </c>
      <c r="Q290" s="682">
        <v>908</v>
      </c>
      <c r="R290" s="681">
        <v>3892</v>
      </c>
      <c r="S290" s="658"/>
    </row>
    <row r="291" spans="1:19" s="659" customFormat="1" ht="20.100000000000001" customHeight="1">
      <c r="A291" s="657" t="s">
        <v>3919</v>
      </c>
      <c r="B291" s="649" t="s">
        <v>583</v>
      </c>
      <c r="C291" s="621"/>
      <c r="D291" s="621"/>
      <c r="E291" s="649" t="s">
        <v>3920</v>
      </c>
      <c r="F291" s="622" t="s">
        <v>8335</v>
      </c>
      <c r="G291" s="622" t="s">
        <v>463</v>
      </c>
      <c r="H291" s="649" t="s">
        <v>390</v>
      </c>
      <c r="I291" s="652" t="s">
        <v>11</v>
      </c>
      <c r="J291" s="622" t="s">
        <v>8334</v>
      </c>
      <c r="K291" s="680">
        <v>1575</v>
      </c>
      <c r="L291" s="680"/>
      <c r="M291" s="681">
        <v>9780</v>
      </c>
      <c r="N291" s="681"/>
      <c r="O291" s="681">
        <v>0</v>
      </c>
      <c r="P291" s="680">
        <v>0</v>
      </c>
      <c r="Q291" s="682">
        <v>0</v>
      </c>
      <c r="R291" s="681">
        <v>9780</v>
      </c>
      <c r="S291" s="658"/>
    </row>
    <row r="292" spans="1:19" s="659" customFormat="1" ht="20.100000000000001" customHeight="1">
      <c r="A292" s="657" t="s">
        <v>3919</v>
      </c>
      <c r="B292" s="649" t="s">
        <v>583</v>
      </c>
      <c r="C292" s="621"/>
      <c r="D292" s="621"/>
      <c r="E292" s="649" t="s">
        <v>3920</v>
      </c>
      <c r="F292" s="622" t="s">
        <v>8335</v>
      </c>
      <c r="G292" s="622" t="s">
        <v>463</v>
      </c>
      <c r="H292" s="649" t="s">
        <v>390</v>
      </c>
      <c r="I292" s="652" t="s">
        <v>11</v>
      </c>
      <c r="J292" s="622" t="s">
        <v>8334</v>
      </c>
      <c r="K292" s="680">
        <v>1575</v>
      </c>
      <c r="L292" s="680">
        <v>43</v>
      </c>
      <c r="M292" s="681">
        <v>1</v>
      </c>
      <c r="N292" s="681"/>
      <c r="O292" s="681">
        <v>22</v>
      </c>
      <c r="P292" s="680">
        <v>22</v>
      </c>
      <c r="Q292" s="682">
        <v>0</v>
      </c>
      <c r="R292" s="681">
        <v>22</v>
      </c>
      <c r="S292" s="658"/>
    </row>
    <row r="293" spans="1:19" s="659" customFormat="1" ht="20.100000000000001" customHeight="1">
      <c r="A293" s="657" t="s">
        <v>4961</v>
      </c>
      <c r="B293" s="649" t="s">
        <v>713</v>
      </c>
      <c r="C293" s="621"/>
      <c r="D293" s="621"/>
      <c r="E293" s="649" t="s">
        <v>714</v>
      </c>
      <c r="F293" s="622" t="s">
        <v>717</v>
      </c>
      <c r="G293" s="622" t="s">
        <v>5833</v>
      </c>
      <c r="H293" s="649" t="s">
        <v>1767</v>
      </c>
      <c r="I293" s="652" t="s">
        <v>520</v>
      </c>
      <c r="J293" s="622" t="s">
        <v>5898</v>
      </c>
      <c r="K293" s="680">
        <v>7707</v>
      </c>
      <c r="L293" s="680">
        <v>10</v>
      </c>
      <c r="M293" s="681">
        <v>0</v>
      </c>
      <c r="N293" s="681"/>
      <c r="O293" s="681">
        <v>10</v>
      </c>
      <c r="P293" s="680">
        <v>10</v>
      </c>
      <c r="Q293" s="682">
        <v>0</v>
      </c>
      <c r="R293" s="681">
        <v>0</v>
      </c>
      <c r="S293" s="658"/>
    </row>
    <row r="294" spans="1:19" s="659" customFormat="1" ht="20.100000000000001" customHeight="1">
      <c r="A294" s="657" t="s">
        <v>4961</v>
      </c>
      <c r="B294" s="649" t="s">
        <v>713</v>
      </c>
      <c r="C294" s="621"/>
      <c r="D294" s="621"/>
      <c r="E294" s="649" t="s">
        <v>714</v>
      </c>
      <c r="F294" s="622" t="s">
        <v>717</v>
      </c>
      <c r="G294" s="622" t="s">
        <v>5833</v>
      </c>
      <c r="H294" s="649" t="s">
        <v>1767</v>
      </c>
      <c r="I294" s="652" t="s">
        <v>520</v>
      </c>
      <c r="J294" s="622" t="s">
        <v>5898</v>
      </c>
      <c r="K294" s="680">
        <v>7707</v>
      </c>
      <c r="L294" s="680">
        <v>20</v>
      </c>
      <c r="M294" s="681">
        <v>10</v>
      </c>
      <c r="N294" s="681"/>
      <c r="O294" s="681">
        <v>30</v>
      </c>
      <c r="P294" s="680">
        <v>4</v>
      </c>
      <c r="Q294" s="682">
        <v>26</v>
      </c>
      <c r="R294" s="681">
        <v>0</v>
      </c>
      <c r="S294" s="658"/>
    </row>
    <row r="295" spans="1:19" s="659" customFormat="1" ht="20.100000000000001" customHeight="1">
      <c r="A295" s="657" t="s">
        <v>3922</v>
      </c>
      <c r="B295" s="649" t="s">
        <v>568</v>
      </c>
      <c r="C295" s="621"/>
      <c r="D295" s="621"/>
      <c r="E295" s="649" t="s">
        <v>2600</v>
      </c>
      <c r="F295" s="622" t="s">
        <v>7729</v>
      </c>
      <c r="G295" s="622" t="s">
        <v>867</v>
      </c>
      <c r="H295" s="649" t="s">
        <v>570</v>
      </c>
      <c r="I295" s="652" t="s">
        <v>11</v>
      </c>
      <c r="J295" s="622" t="s">
        <v>7728</v>
      </c>
      <c r="K295" s="680">
        <v>252</v>
      </c>
      <c r="L295" s="680"/>
      <c r="M295" s="681">
        <v>26000</v>
      </c>
      <c r="N295" s="681"/>
      <c r="O295" s="681">
        <v>15120</v>
      </c>
      <c r="P295" s="680">
        <v>15120</v>
      </c>
      <c r="Q295" s="682">
        <v>0</v>
      </c>
      <c r="R295" s="681">
        <v>10880</v>
      </c>
      <c r="S295" s="658"/>
    </row>
    <row r="296" spans="1:19" s="659" customFormat="1" ht="20.100000000000001" customHeight="1">
      <c r="A296" s="657" t="s">
        <v>3922</v>
      </c>
      <c r="B296" s="649" t="s">
        <v>568</v>
      </c>
      <c r="C296" s="621"/>
      <c r="D296" s="621"/>
      <c r="E296" s="649" t="s">
        <v>2600</v>
      </c>
      <c r="F296" s="622" t="s">
        <v>7729</v>
      </c>
      <c r="G296" s="622" t="s">
        <v>867</v>
      </c>
      <c r="H296" s="649" t="s">
        <v>570</v>
      </c>
      <c r="I296" s="652" t="s">
        <v>11</v>
      </c>
      <c r="J296" s="622" t="s">
        <v>7728</v>
      </c>
      <c r="K296" s="680">
        <v>252</v>
      </c>
      <c r="L296" s="680">
        <v>10214</v>
      </c>
      <c r="M296" s="681">
        <v>1000</v>
      </c>
      <c r="N296" s="681"/>
      <c r="O296" s="681">
        <v>10952</v>
      </c>
      <c r="P296" s="680">
        <v>3880</v>
      </c>
      <c r="Q296" s="682">
        <v>7072</v>
      </c>
      <c r="R296" s="681">
        <v>262</v>
      </c>
      <c r="S296" s="658"/>
    </row>
    <row r="297" spans="1:19" s="659" customFormat="1" ht="20.100000000000001" customHeight="1">
      <c r="A297" s="657" t="s">
        <v>3924</v>
      </c>
      <c r="B297" s="649" t="s">
        <v>1330</v>
      </c>
      <c r="C297" s="621"/>
      <c r="D297" s="621"/>
      <c r="E297" s="649" t="s">
        <v>1330</v>
      </c>
      <c r="F297" s="622" t="s">
        <v>1332</v>
      </c>
      <c r="G297" s="622" t="s">
        <v>7001</v>
      </c>
      <c r="H297" s="649" t="s">
        <v>291</v>
      </c>
      <c r="I297" s="652" t="s">
        <v>11</v>
      </c>
      <c r="J297" s="622" t="s">
        <v>7485</v>
      </c>
      <c r="K297" s="680">
        <v>100</v>
      </c>
      <c r="L297" s="680"/>
      <c r="M297" s="681">
        <v>7500</v>
      </c>
      <c r="N297" s="681"/>
      <c r="O297" s="681">
        <v>5500</v>
      </c>
      <c r="P297" s="680">
        <v>5500</v>
      </c>
      <c r="Q297" s="682">
        <v>0</v>
      </c>
      <c r="R297" s="681">
        <v>2000</v>
      </c>
      <c r="S297" s="658"/>
    </row>
    <row r="298" spans="1:19" s="659" customFormat="1" ht="20.100000000000001" customHeight="1">
      <c r="A298" s="657" t="s">
        <v>3924</v>
      </c>
      <c r="B298" s="649" t="s">
        <v>1330</v>
      </c>
      <c r="C298" s="621"/>
      <c r="D298" s="621"/>
      <c r="E298" s="649" t="s">
        <v>1330</v>
      </c>
      <c r="F298" s="622" t="s">
        <v>1332</v>
      </c>
      <c r="G298" s="622" t="s">
        <v>7001</v>
      </c>
      <c r="H298" s="649" t="s">
        <v>291</v>
      </c>
      <c r="I298" s="652" t="s">
        <v>11</v>
      </c>
      <c r="J298" s="622" t="s">
        <v>7485</v>
      </c>
      <c r="K298" s="680">
        <v>100</v>
      </c>
      <c r="L298" s="680"/>
      <c r="M298" s="681">
        <v>51500</v>
      </c>
      <c r="N298" s="681"/>
      <c r="O298" s="681">
        <v>22500</v>
      </c>
      <c r="P298" s="680">
        <v>22500</v>
      </c>
      <c r="Q298" s="682">
        <v>0</v>
      </c>
      <c r="R298" s="681">
        <v>29000</v>
      </c>
      <c r="S298" s="658"/>
    </row>
    <row r="299" spans="1:19" s="659" customFormat="1" ht="20.100000000000001" customHeight="1">
      <c r="A299" s="657" t="s">
        <v>3924</v>
      </c>
      <c r="B299" s="649" t="s">
        <v>1330</v>
      </c>
      <c r="C299" s="621"/>
      <c r="D299" s="621"/>
      <c r="E299" s="649" t="s">
        <v>1330</v>
      </c>
      <c r="F299" s="622" t="s">
        <v>1332</v>
      </c>
      <c r="G299" s="622" t="s">
        <v>7001</v>
      </c>
      <c r="H299" s="649" t="s">
        <v>291</v>
      </c>
      <c r="I299" s="652" t="s">
        <v>11</v>
      </c>
      <c r="J299" s="622" t="s">
        <v>7485</v>
      </c>
      <c r="K299" s="680">
        <v>100</v>
      </c>
      <c r="L299" s="680">
        <v>10000</v>
      </c>
      <c r="M299" s="681">
        <v>12</v>
      </c>
      <c r="N299" s="681"/>
      <c r="O299" s="681">
        <v>9706</v>
      </c>
      <c r="P299" s="680">
        <v>2459</v>
      </c>
      <c r="Q299" s="682">
        <v>7247</v>
      </c>
      <c r="R299" s="681">
        <v>306</v>
      </c>
      <c r="S299" s="658"/>
    </row>
    <row r="300" spans="1:19" s="659" customFormat="1" ht="20.100000000000001" customHeight="1">
      <c r="A300" s="657" t="s">
        <v>3924</v>
      </c>
      <c r="B300" s="649" t="s">
        <v>1330</v>
      </c>
      <c r="C300" s="621"/>
      <c r="D300" s="621"/>
      <c r="E300" s="649" t="s">
        <v>1330</v>
      </c>
      <c r="F300" s="622" t="s">
        <v>1332</v>
      </c>
      <c r="G300" s="622" t="s">
        <v>7001</v>
      </c>
      <c r="H300" s="649" t="s">
        <v>291</v>
      </c>
      <c r="I300" s="652" t="s">
        <v>11</v>
      </c>
      <c r="J300" s="622" t="s">
        <v>7485</v>
      </c>
      <c r="K300" s="680">
        <v>100</v>
      </c>
      <c r="L300" s="680">
        <v>500</v>
      </c>
      <c r="M300" s="681">
        <v>0</v>
      </c>
      <c r="N300" s="681"/>
      <c r="O300" s="681">
        <v>500</v>
      </c>
      <c r="P300" s="680">
        <v>0</v>
      </c>
      <c r="Q300" s="682">
        <v>500</v>
      </c>
      <c r="R300" s="681">
        <v>0</v>
      </c>
      <c r="S300" s="658"/>
    </row>
    <row r="301" spans="1:19" s="659" customFormat="1" ht="20.100000000000001" customHeight="1">
      <c r="A301" s="657" t="s">
        <v>3924</v>
      </c>
      <c r="B301" s="649" t="s">
        <v>1330</v>
      </c>
      <c r="C301" s="621"/>
      <c r="D301" s="621"/>
      <c r="E301" s="649" t="s">
        <v>1330</v>
      </c>
      <c r="F301" s="622" t="s">
        <v>1332</v>
      </c>
      <c r="G301" s="622" t="s">
        <v>7001</v>
      </c>
      <c r="H301" s="649" t="s">
        <v>291</v>
      </c>
      <c r="I301" s="652" t="s">
        <v>11</v>
      </c>
      <c r="J301" s="622" t="s">
        <v>7485</v>
      </c>
      <c r="K301" s="680">
        <v>100</v>
      </c>
      <c r="L301" s="680">
        <v>401</v>
      </c>
      <c r="M301" s="681">
        <v>3</v>
      </c>
      <c r="N301" s="681"/>
      <c r="O301" s="681">
        <v>404</v>
      </c>
      <c r="P301" s="680">
        <v>404</v>
      </c>
      <c r="Q301" s="682">
        <v>0</v>
      </c>
      <c r="R301" s="681">
        <v>0</v>
      </c>
      <c r="S301" s="658"/>
    </row>
    <row r="302" spans="1:19" s="659" customFormat="1" ht="20.100000000000001" customHeight="1">
      <c r="A302" s="657" t="s">
        <v>3928</v>
      </c>
      <c r="B302" s="649" t="s">
        <v>1330</v>
      </c>
      <c r="C302" s="621"/>
      <c r="D302" s="621"/>
      <c r="E302" s="649" t="s">
        <v>3929</v>
      </c>
      <c r="F302" s="622" t="s">
        <v>7488</v>
      </c>
      <c r="G302" s="622" t="s">
        <v>2385</v>
      </c>
      <c r="H302" s="649" t="s">
        <v>1580</v>
      </c>
      <c r="I302" s="652" t="s">
        <v>11</v>
      </c>
      <c r="J302" s="622" t="s">
        <v>7487</v>
      </c>
      <c r="K302" s="680">
        <v>140</v>
      </c>
      <c r="L302" s="680"/>
      <c r="M302" s="681">
        <v>30000</v>
      </c>
      <c r="N302" s="681"/>
      <c r="O302" s="681">
        <v>0</v>
      </c>
      <c r="P302" s="680">
        <v>0</v>
      </c>
      <c r="Q302" s="682">
        <v>0</v>
      </c>
      <c r="R302" s="681">
        <v>30000</v>
      </c>
      <c r="S302" s="658"/>
    </row>
    <row r="303" spans="1:19" s="659" customFormat="1" ht="20.100000000000001" customHeight="1">
      <c r="A303" s="657" t="s">
        <v>3928</v>
      </c>
      <c r="B303" s="649" t="s">
        <v>1330</v>
      </c>
      <c r="C303" s="621"/>
      <c r="D303" s="621"/>
      <c r="E303" s="649" t="s">
        <v>3929</v>
      </c>
      <c r="F303" s="622" t="s">
        <v>7488</v>
      </c>
      <c r="G303" s="622" t="s">
        <v>2385</v>
      </c>
      <c r="H303" s="649" t="s">
        <v>1580</v>
      </c>
      <c r="I303" s="652" t="s">
        <v>11</v>
      </c>
      <c r="J303" s="622" t="s">
        <v>7487</v>
      </c>
      <c r="K303" s="680">
        <v>140</v>
      </c>
      <c r="L303" s="680">
        <v>400</v>
      </c>
      <c r="M303" s="681">
        <v>0</v>
      </c>
      <c r="N303" s="681"/>
      <c r="O303" s="681">
        <v>400</v>
      </c>
      <c r="P303" s="680">
        <v>400</v>
      </c>
      <c r="Q303" s="682">
        <v>0</v>
      </c>
      <c r="R303" s="681">
        <v>0</v>
      </c>
      <c r="S303" s="658"/>
    </row>
    <row r="304" spans="1:19" s="659" customFormat="1" ht="20.100000000000001" customHeight="1">
      <c r="A304" s="657" t="s">
        <v>3928</v>
      </c>
      <c r="B304" s="649" t="s">
        <v>1330</v>
      </c>
      <c r="C304" s="621"/>
      <c r="D304" s="621"/>
      <c r="E304" s="649" t="s">
        <v>3929</v>
      </c>
      <c r="F304" s="622" t="s">
        <v>7488</v>
      </c>
      <c r="G304" s="622" t="s">
        <v>2385</v>
      </c>
      <c r="H304" s="649" t="s">
        <v>1580</v>
      </c>
      <c r="I304" s="652" t="s">
        <v>11</v>
      </c>
      <c r="J304" s="622" t="s">
        <v>7487</v>
      </c>
      <c r="K304" s="680">
        <v>140</v>
      </c>
      <c r="L304" s="680">
        <v>1000</v>
      </c>
      <c r="M304" s="681">
        <v>0</v>
      </c>
      <c r="N304" s="681"/>
      <c r="O304" s="681">
        <v>1000</v>
      </c>
      <c r="P304" s="680">
        <v>1000</v>
      </c>
      <c r="Q304" s="682">
        <v>0</v>
      </c>
      <c r="R304" s="681">
        <v>0</v>
      </c>
      <c r="S304" s="658"/>
    </row>
    <row r="305" spans="1:19" s="659" customFormat="1" ht="20.100000000000001" customHeight="1">
      <c r="A305" s="657" t="s">
        <v>4642</v>
      </c>
      <c r="B305" s="649" t="s">
        <v>68</v>
      </c>
      <c r="C305" s="621"/>
      <c r="D305" s="621"/>
      <c r="E305" s="649" t="s">
        <v>68</v>
      </c>
      <c r="F305" s="622" t="s">
        <v>8752</v>
      </c>
      <c r="G305" s="622" t="s">
        <v>867</v>
      </c>
      <c r="H305" s="649" t="s">
        <v>69</v>
      </c>
      <c r="I305" s="652" t="s">
        <v>11</v>
      </c>
      <c r="J305" s="622" t="s">
        <v>8751</v>
      </c>
      <c r="K305" s="680">
        <v>294</v>
      </c>
      <c r="L305" s="680">
        <v>4862</v>
      </c>
      <c r="M305" s="681">
        <v>0</v>
      </c>
      <c r="N305" s="681"/>
      <c r="O305" s="681">
        <v>4862</v>
      </c>
      <c r="P305" s="680">
        <v>900</v>
      </c>
      <c r="Q305" s="682">
        <v>3962</v>
      </c>
      <c r="R305" s="681">
        <v>0</v>
      </c>
      <c r="S305" s="658"/>
    </row>
    <row r="306" spans="1:19" s="659" customFormat="1" ht="20.100000000000001" customHeight="1">
      <c r="A306" s="657" t="s">
        <v>8750</v>
      </c>
      <c r="B306" s="649" t="s">
        <v>68</v>
      </c>
      <c r="C306" s="621"/>
      <c r="D306" s="621"/>
      <c r="E306" s="649" t="s">
        <v>68</v>
      </c>
      <c r="F306" s="622" t="s">
        <v>8752</v>
      </c>
      <c r="G306" s="622" t="s">
        <v>2168</v>
      </c>
      <c r="H306" s="649" t="s">
        <v>429</v>
      </c>
      <c r="I306" s="652" t="s">
        <v>11</v>
      </c>
      <c r="J306" s="622" t="s">
        <v>8751</v>
      </c>
      <c r="K306" s="680">
        <v>300</v>
      </c>
      <c r="L306" s="680"/>
      <c r="M306" s="681">
        <v>5000</v>
      </c>
      <c r="N306" s="681"/>
      <c r="O306" s="681">
        <v>0</v>
      </c>
      <c r="P306" s="680">
        <v>0</v>
      </c>
      <c r="Q306" s="682">
        <v>0</v>
      </c>
      <c r="R306" s="681">
        <v>5000</v>
      </c>
      <c r="S306" s="658"/>
    </row>
    <row r="307" spans="1:19" s="659" customFormat="1" ht="20.100000000000001" customHeight="1">
      <c r="A307" s="657" t="s">
        <v>8753</v>
      </c>
      <c r="B307" s="649" t="s">
        <v>68</v>
      </c>
      <c r="C307" s="621"/>
      <c r="D307" s="621"/>
      <c r="E307" s="649" t="s">
        <v>8755</v>
      </c>
      <c r="F307" s="622" t="s">
        <v>8756</v>
      </c>
      <c r="G307" s="622" t="s">
        <v>2397</v>
      </c>
      <c r="H307" s="649" t="s">
        <v>10395</v>
      </c>
      <c r="I307" s="652" t="s">
        <v>11</v>
      </c>
      <c r="J307" s="622" t="s">
        <v>8660</v>
      </c>
      <c r="K307" s="680">
        <v>370</v>
      </c>
      <c r="L307" s="680"/>
      <c r="M307" s="681">
        <v>1500</v>
      </c>
      <c r="N307" s="681"/>
      <c r="O307" s="681">
        <v>1500</v>
      </c>
      <c r="P307" s="680">
        <v>1500</v>
      </c>
      <c r="Q307" s="682">
        <v>0</v>
      </c>
      <c r="R307" s="681">
        <v>0</v>
      </c>
      <c r="S307" s="658"/>
    </row>
    <row r="308" spans="1:19" s="659" customFormat="1" ht="20.100000000000001" customHeight="1">
      <c r="A308" s="657" t="s">
        <v>8856</v>
      </c>
      <c r="B308" s="649" t="s">
        <v>12292</v>
      </c>
      <c r="C308" s="621"/>
      <c r="D308" s="621"/>
      <c r="E308" s="649" t="s">
        <v>8859</v>
      </c>
      <c r="F308" s="622" t="s">
        <v>8861</v>
      </c>
      <c r="G308" s="622" t="s">
        <v>8559</v>
      </c>
      <c r="H308" s="649" t="s">
        <v>12293</v>
      </c>
      <c r="I308" s="652" t="s">
        <v>13</v>
      </c>
      <c r="J308" s="622" t="s">
        <v>8860</v>
      </c>
      <c r="K308" s="680">
        <v>6800</v>
      </c>
      <c r="L308" s="680"/>
      <c r="M308" s="681">
        <v>1000</v>
      </c>
      <c r="N308" s="681"/>
      <c r="O308" s="681">
        <v>1000</v>
      </c>
      <c r="P308" s="680">
        <v>0</v>
      </c>
      <c r="Q308" s="682">
        <v>1000</v>
      </c>
      <c r="R308" s="681">
        <v>0</v>
      </c>
      <c r="S308" s="658"/>
    </row>
    <row r="309" spans="1:19" s="659" customFormat="1" ht="20.100000000000001" customHeight="1">
      <c r="A309" s="657" t="s">
        <v>8856</v>
      </c>
      <c r="B309" s="649" t="s">
        <v>12292</v>
      </c>
      <c r="C309" s="621"/>
      <c r="D309" s="621"/>
      <c r="E309" s="649" t="s">
        <v>8859</v>
      </c>
      <c r="F309" s="622" t="s">
        <v>8861</v>
      </c>
      <c r="G309" s="622" t="s">
        <v>8559</v>
      </c>
      <c r="H309" s="649" t="s">
        <v>12293</v>
      </c>
      <c r="I309" s="652" t="s">
        <v>13</v>
      </c>
      <c r="J309" s="622" t="s">
        <v>8860</v>
      </c>
      <c r="K309" s="680">
        <v>6800</v>
      </c>
      <c r="L309" s="680"/>
      <c r="M309" s="681">
        <v>5000</v>
      </c>
      <c r="N309" s="681"/>
      <c r="O309" s="681">
        <v>1507</v>
      </c>
      <c r="P309" s="680">
        <v>0</v>
      </c>
      <c r="Q309" s="682">
        <v>1507</v>
      </c>
      <c r="R309" s="681">
        <v>3493</v>
      </c>
      <c r="S309" s="658"/>
    </row>
    <row r="310" spans="1:19" s="659" customFormat="1" ht="20.100000000000001" customHeight="1">
      <c r="A310" s="657" t="s">
        <v>8060</v>
      </c>
      <c r="B310" s="649" t="s">
        <v>1215</v>
      </c>
      <c r="C310" s="621"/>
      <c r="D310" s="621"/>
      <c r="E310" s="649" t="s">
        <v>1216</v>
      </c>
      <c r="F310" s="622" t="s">
        <v>1219</v>
      </c>
      <c r="G310" s="622" t="s">
        <v>6536</v>
      </c>
      <c r="H310" s="649" t="s">
        <v>1217</v>
      </c>
      <c r="I310" s="652" t="s">
        <v>11</v>
      </c>
      <c r="J310" s="622" t="s">
        <v>8061</v>
      </c>
      <c r="K310" s="680">
        <v>720</v>
      </c>
      <c r="L310" s="680"/>
      <c r="M310" s="681">
        <v>600</v>
      </c>
      <c r="N310" s="681"/>
      <c r="O310" s="681">
        <v>600</v>
      </c>
      <c r="P310" s="680">
        <v>600</v>
      </c>
      <c r="Q310" s="682">
        <v>0</v>
      </c>
      <c r="R310" s="681">
        <v>0</v>
      </c>
      <c r="S310" s="658"/>
    </row>
    <row r="311" spans="1:19" s="659" customFormat="1" ht="20.100000000000001" customHeight="1">
      <c r="A311" s="657" t="s">
        <v>8060</v>
      </c>
      <c r="B311" s="649" t="s">
        <v>1215</v>
      </c>
      <c r="C311" s="621"/>
      <c r="D311" s="621"/>
      <c r="E311" s="649" t="s">
        <v>1216</v>
      </c>
      <c r="F311" s="622" t="s">
        <v>1219</v>
      </c>
      <c r="G311" s="622" t="s">
        <v>6536</v>
      </c>
      <c r="H311" s="649" t="s">
        <v>1217</v>
      </c>
      <c r="I311" s="652" t="s">
        <v>11</v>
      </c>
      <c r="J311" s="622" t="s">
        <v>8061</v>
      </c>
      <c r="K311" s="680">
        <v>720</v>
      </c>
      <c r="L311" s="680">
        <v>3000</v>
      </c>
      <c r="M311" s="681">
        <v>0</v>
      </c>
      <c r="N311" s="681"/>
      <c r="O311" s="681">
        <v>3000</v>
      </c>
      <c r="P311" s="680">
        <v>0</v>
      </c>
      <c r="Q311" s="682">
        <v>3000</v>
      </c>
      <c r="R311" s="681">
        <v>0</v>
      </c>
      <c r="S311" s="658"/>
    </row>
    <row r="312" spans="1:19" s="659" customFormat="1" ht="20.100000000000001" customHeight="1">
      <c r="A312" s="657" t="s">
        <v>6664</v>
      </c>
      <c r="B312" s="649" t="s">
        <v>6665</v>
      </c>
      <c r="C312" s="621"/>
      <c r="D312" s="621"/>
      <c r="E312" s="649" t="s">
        <v>6666</v>
      </c>
      <c r="F312" s="622" t="s">
        <v>6667</v>
      </c>
      <c r="G312" s="622" t="s">
        <v>6102</v>
      </c>
      <c r="H312" s="649" t="s">
        <v>869</v>
      </c>
      <c r="I312" s="652" t="s">
        <v>11</v>
      </c>
      <c r="J312" s="622" t="s">
        <v>6143</v>
      </c>
      <c r="K312" s="680">
        <v>1200</v>
      </c>
      <c r="L312" s="680"/>
      <c r="M312" s="681">
        <v>1980</v>
      </c>
      <c r="N312" s="681"/>
      <c r="O312" s="681">
        <v>147</v>
      </c>
      <c r="P312" s="680">
        <v>0</v>
      </c>
      <c r="Q312" s="682">
        <v>147</v>
      </c>
      <c r="R312" s="681">
        <v>1833</v>
      </c>
      <c r="S312" s="658"/>
    </row>
    <row r="313" spans="1:19" s="659" customFormat="1" ht="20.100000000000001" customHeight="1">
      <c r="A313" s="657" t="s">
        <v>8164</v>
      </c>
      <c r="B313" s="649" t="s">
        <v>8165</v>
      </c>
      <c r="C313" s="621"/>
      <c r="D313" s="621"/>
      <c r="E313" s="649" t="s">
        <v>2471</v>
      </c>
      <c r="F313" s="622" t="s">
        <v>8167</v>
      </c>
      <c r="G313" s="622" t="s">
        <v>7015</v>
      </c>
      <c r="H313" s="649" t="s">
        <v>8166</v>
      </c>
      <c r="I313" s="652" t="s">
        <v>520</v>
      </c>
      <c r="J313" s="622" t="s">
        <v>7204</v>
      </c>
      <c r="K313" s="680">
        <v>567</v>
      </c>
      <c r="L313" s="680"/>
      <c r="M313" s="681">
        <v>100</v>
      </c>
      <c r="N313" s="681"/>
      <c r="O313" s="681">
        <v>90</v>
      </c>
      <c r="P313" s="680">
        <v>0</v>
      </c>
      <c r="Q313" s="682">
        <v>90</v>
      </c>
      <c r="R313" s="681">
        <v>10</v>
      </c>
      <c r="S313" s="658"/>
    </row>
    <row r="314" spans="1:19" s="659" customFormat="1" ht="20.100000000000001" customHeight="1">
      <c r="A314" s="657" t="s">
        <v>3932</v>
      </c>
      <c r="B314" s="649" t="s">
        <v>2472</v>
      </c>
      <c r="C314" s="621"/>
      <c r="D314" s="621"/>
      <c r="E314" s="649" t="s">
        <v>2471</v>
      </c>
      <c r="F314" s="622" t="s">
        <v>8167</v>
      </c>
      <c r="G314" s="622" t="s">
        <v>530</v>
      </c>
      <c r="H314" s="649" t="s">
        <v>1016</v>
      </c>
      <c r="I314" s="652" t="s">
        <v>628</v>
      </c>
      <c r="J314" s="622" t="s">
        <v>7204</v>
      </c>
      <c r="K314" s="680">
        <v>630</v>
      </c>
      <c r="L314" s="680">
        <v>270</v>
      </c>
      <c r="M314" s="681">
        <v>0</v>
      </c>
      <c r="N314" s="681"/>
      <c r="O314" s="681">
        <v>255</v>
      </c>
      <c r="P314" s="680">
        <v>1</v>
      </c>
      <c r="Q314" s="682">
        <v>254</v>
      </c>
      <c r="R314" s="681">
        <v>15</v>
      </c>
      <c r="S314" s="658"/>
    </row>
    <row r="315" spans="1:19" s="659" customFormat="1" ht="20.100000000000001" customHeight="1">
      <c r="A315" s="657" t="s">
        <v>4644</v>
      </c>
      <c r="B315" s="649" t="s">
        <v>71</v>
      </c>
      <c r="C315" s="621"/>
      <c r="D315" s="621"/>
      <c r="E315" s="649" t="s">
        <v>70</v>
      </c>
      <c r="F315" s="622" t="s">
        <v>2890</v>
      </c>
      <c r="G315" s="622" t="s">
        <v>2217</v>
      </c>
      <c r="H315" s="649" t="s">
        <v>72</v>
      </c>
      <c r="I315" s="652" t="s">
        <v>11</v>
      </c>
      <c r="J315" s="622" t="s">
        <v>9711</v>
      </c>
      <c r="K315" s="680">
        <v>1490</v>
      </c>
      <c r="L315" s="680">
        <v>3984</v>
      </c>
      <c r="M315" s="681">
        <v>0</v>
      </c>
      <c r="N315" s="681"/>
      <c r="O315" s="681">
        <v>3984</v>
      </c>
      <c r="P315" s="680">
        <v>0</v>
      </c>
      <c r="Q315" s="682">
        <v>3984</v>
      </c>
      <c r="R315" s="681">
        <v>0</v>
      </c>
      <c r="S315" s="658"/>
    </row>
    <row r="316" spans="1:19" s="659" customFormat="1" ht="20.100000000000001" customHeight="1">
      <c r="A316" s="657" t="s">
        <v>3934</v>
      </c>
      <c r="B316" s="649" t="s">
        <v>3936</v>
      </c>
      <c r="C316" s="621"/>
      <c r="D316" s="621"/>
      <c r="E316" s="649" t="s">
        <v>3935</v>
      </c>
      <c r="F316" s="622" t="s">
        <v>6825</v>
      </c>
      <c r="G316" s="622" t="s">
        <v>1890</v>
      </c>
      <c r="H316" s="649" t="s">
        <v>3937</v>
      </c>
      <c r="I316" s="652" t="s">
        <v>16</v>
      </c>
      <c r="J316" s="622" t="s">
        <v>6824</v>
      </c>
      <c r="K316" s="680">
        <v>5950</v>
      </c>
      <c r="L316" s="680">
        <v>3600</v>
      </c>
      <c r="M316" s="681">
        <v>0</v>
      </c>
      <c r="N316" s="681"/>
      <c r="O316" s="681">
        <v>2008</v>
      </c>
      <c r="P316" s="680">
        <v>0</v>
      </c>
      <c r="Q316" s="682">
        <v>2008</v>
      </c>
      <c r="R316" s="681">
        <v>1592</v>
      </c>
      <c r="S316" s="658"/>
    </row>
    <row r="317" spans="1:19" s="659" customFormat="1" ht="20.100000000000001" customHeight="1">
      <c r="A317" s="657" t="s">
        <v>3939</v>
      </c>
      <c r="B317" s="649" t="s">
        <v>560</v>
      </c>
      <c r="C317" s="621"/>
      <c r="D317" s="621"/>
      <c r="E317" s="649" t="s">
        <v>1148</v>
      </c>
      <c r="F317" s="622" t="s">
        <v>1150</v>
      </c>
      <c r="G317" s="622" t="s">
        <v>6907</v>
      </c>
      <c r="H317" s="649" t="s">
        <v>1149</v>
      </c>
      <c r="I317" s="652" t="s">
        <v>520</v>
      </c>
      <c r="J317" s="622" t="s">
        <v>6992</v>
      </c>
      <c r="K317" s="680">
        <v>3675</v>
      </c>
      <c r="L317" s="680"/>
      <c r="M317" s="681">
        <v>5253</v>
      </c>
      <c r="N317" s="681"/>
      <c r="O317" s="681">
        <v>1751</v>
      </c>
      <c r="P317" s="680">
        <v>200</v>
      </c>
      <c r="Q317" s="682">
        <v>1551</v>
      </c>
      <c r="R317" s="681">
        <v>3502</v>
      </c>
      <c r="S317" s="658"/>
    </row>
    <row r="318" spans="1:19" s="659" customFormat="1" ht="20.100000000000001" customHeight="1">
      <c r="A318" s="657" t="s">
        <v>3939</v>
      </c>
      <c r="B318" s="649" t="s">
        <v>560</v>
      </c>
      <c r="C318" s="621"/>
      <c r="D318" s="621"/>
      <c r="E318" s="649" t="s">
        <v>1148</v>
      </c>
      <c r="F318" s="622" t="s">
        <v>1150</v>
      </c>
      <c r="G318" s="622" t="s">
        <v>6907</v>
      </c>
      <c r="H318" s="649" t="s">
        <v>1149</v>
      </c>
      <c r="I318" s="652" t="s">
        <v>520</v>
      </c>
      <c r="J318" s="622" t="s">
        <v>6992</v>
      </c>
      <c r="K318" s="680">
        <v>3675</v>
      </c>
      <c r="L318" s="680"/>
      <c r="M318" s="681">
        <v>5200</v>
      </c>
      <c r="N318" s="681"/>
      <c r="O318" s="681">
        <v>4473</v>
      </c>
      <c r="P318" s="680">
        <v>0</v>
      </c>
      <c r="Q318" s="682">
        <v>4473</v>
      </c>
      <c r="R318" s="681">
        <v>727</v>
      </c>
      <c r="S318" s="658"/>
    </row>
    <row r="319" spans="1:19" s="659" customFormat="1" ht="20.100000000000001" customHeight="1">
      <c r="A319" s="657" t="s">
        <v>4646</v>
      </c>
      <c r="B319" s="649" t="s">
        <v>4647</v>
      </c>
      <c r="C319" s="621"/>
      <c r="D319" s="621"/>
      <c r="E319" s="649" t="s">
        <v>2283</v>
      </c>
      <c r="F319" s="622" t="s">
        <v>8811</v>
      </c>
      <c r="G319" s="622" t="s">
        <v>2253</v>
      </c>
      <c r="H319" s="649" t="s">
        <v>4648</v>
      </c>
      <c r="I319" s="652" t="s">
        <v>11</v>
      </c>
      <c r="J319" s="622" t="s">
        <v>8616</v>
      </c>
      <c r="K319" s="680">
        <v>750</v>
      </c>
      <c r="L319" s="680"/>
      <c r="M319" s="681">
        <v>42000</v>
      </c>
      <c r="N319" s="681"/>
      <c r="O319" s="681">
        <v>42000</v>
      </c>
      <c r="P319" s="680">
        <v>2000</v>
      </c>
      <c r="Q319" s="682">
        <v>40000</v>
      </c>
      <c r="R319" s="681">
        <v>0</v>
      </c>
      <c r="S319" s="658"/>
    </row>
    <row r="320" spans="1:19" s="659" customFormat="1" ht="20.100000000000001" customHeight="1">
      <c r="A320" s="657" t="s">
        <v>4646</v>
      </c>
      <c r="B320" s="649" t="s">
        <v>4647</v>
      </c>
      <c r="C320" s="621"/>
      <c r="D320" s="621"/>
      <c r="E320" s="649" t="s">
        <v>2283</v>
      </c>
      <c r="F320" s="622" t="s">
        <v>8811</v>
      </c>
      <c r="G320" s="622" t="s">
        <v>2253</v>
      </c>
      <c r="H320" s="649" t="s">
        <v>4648</v>
      </c>
      <c r="I320" s="652" t="s">
        <v>11</v>
      </c>
      <c r="J320" s="622" t="s">
        <v>8616</v>
      </c>
      <c r="K320" s="680">
        <v>750</v>
      </c>
      <c r="L320" s="680">
        <v>29665</v>
      </c>
      <c r="M320" s="681">
        <v>0</v>
      </c>
      <c r="N320" s="681"/>
      <c r="O320" s="681">
        <v>29665</v>
      </c>
      <c r="P320" s="680">
        <v>2000</v>
      </c>
      <c r="Q320" s="682">
        <v>27665</v>
      </c>
      <c r="R320" s="681">
        <v>0</v>
      </c>
      <c r="S320" s="658"/>
    </row>
    <row r="321" spans="1:19" s="659" customFormat="1" ht="20.100000000000001" customHeight="1">
      <c r="A321" s="657" t="s">
        <v>4646</v>
      </c>
      <c r="B321" s="649" t="s">
        <v>4647</v>
      </c>
      <c r="C321" s="621"/>
      <c r="D321" s="621"/>
      <c r="E321" s="649" t="s">
        <v>2283</v>
      </c>
      <c r="F321" s="622" t="s">
        <v>8811</v>
      </c>
      <c r="G321" s="622" t="s">
        <v>2253</v>
      </c>
      <c r="H321" s="649" t="s">
        <v>4648</v>
      </c>
      <c r="I321" s="652" t="s">
        <v>11</v>
      </c>
      <c r="J321" s="622" t="s">
        <v>8616</v>
      </c>
      <c r="K321" s="680">
        <v>750</v>
      </c>
      <c r="L321" s="680"/>
      <c r="M321" s="681">
        <v>25000</v>
      </c>
      <c r="N321" s="681"/>
      <c r="O321" s="681">
        <v>0</v>
      </c>
      <c r="P321" s="680">
        <v>0</v>
      </c>
      <c r="Q321" s="682">
        <v>0</v>
      </c>
      <c r="R321" s="681">
        <v>25000</v>
      </c>
      <c r="S321" s="658"/>
    </row>
    <row r="322" spans="1:19" s="659" customFormat="1" ht="20.100000000000001" customHeight="1">
      <c r="A322" s="657" t="s">
        <v>3941</v>
      </c>
      <c r="B322" s="649" t="s">
        <v>1397</v>
      </c>
      <c r="C322" s="621"/>
      <c r="D322" s="621"/>
      <c r="E322" s="649" t="s">
        <v>1398</v>
      </c>
      <c r="F322" s="622" t="s">
        <v>1399</v>
      </c>
      <c r="G322" s="622" t="s">
        <v>7001</v>
      </c>
      <c r="H322" s="649" t="s">
        <v>291</v>
      </c>
      <c r="I322" s="652" t="s">
        <v>11</v>
      </c>
      <c r="J322" s="622" t="s">
        <v>7142</v>
      </c>
      <c r="K322" s="680">
        <v>120</v>
      </c>
      <c r="L322" s="680">
        <v>6219</v>
      </c>
      <c r="M322" s="681">
        <v>4</v>
      </c>
      <c r="N322" s="681"/>
      <c r="O322" s="681">
        <v>5531</v>
      </c>
      <c r="P322" s="680">
        <v>129</v>
      </c>
      <c r="Q322" s="682">
        <v>5402</v>
      </c>
      <c r="R322" s="681">
        <v>692</v>
      </c>
      <c r="S322" s="658"/>
    </row>
    <row r="323" spans="1:19" s="659" customFormat="1" ht="20.100000000000001" customHeight="1">
      <c r="A323" s="657" t="s">
        <v>3941</v>
      </c>
      <c r="B323" s="649" t="s">
        <v>1397</v>
      </c>
      <c r="C323" s="621"/>
      <c r="D323" s="621"/>
      <c r="E323" s="649" t="s">
        <v>1398</v>
      </c>
      <c r="F323" s="622" t="s">
        <v>1399</v>
      </c>
      <c r="G323" s="622" t="s">
        <v>7001</v>
      </c>
      <c r="H323" s="649" t="s">
        <v>291</v>
      </c>
      <c r="I323" s="652" t="s">
        <v>11</v>
      </c>
      <c r="J323" s="622" t="s">
        <v>7142</v>
      </c>
      <c r="K323" s="680">
        <v>120</v>
      </c>
      <c r="L323" s="680">
        <v>6000</v>
      </c>
      <c r="M323" s="681">
        <v>0</v>
      </c>
      <c r="N323" s="681"/>
      <c r="O323" s="681">
        <v>0</v>
      </c>
      <c r="P323" s="680">
        <v>0</v>
      </c>
      <c r="Q323" s="682">
        <v>0</v>
      </c>
      <c r="R323" s="681">
        <v>6000</v>
      </c>
      <c r="S323" s="658"/>
    </row>
    <row r="324" spans="1:19" s="659" customFormat="1" ht="20.100000000000001" customHeight="1">
      <c r="A324" s="657" t="s">
        <v>3947</v>
      </c>
      <c r="B324" s="649" t="s">
        <v>1333</v>
      </c>
      <c r="C324" s="621"/>
      <c r="D324" s="621"/>
      <c r="E324" s="649" t="s">
        <v>3945</v>
      </c>
      <c r="F324" s="622" t="s">
        <v>7961</v>
      </c>
      <c r="G324" s="622" t="s">
        <v>2385</v>
      </c>
      <c r="H324" s="649" t="s">
        <v>238</v>
      </c>
      <c r="I324" s="652" t="s">
        <v>11</v>
      </c>
      <c r="J324" s="622" t="s">
        <v>7960</v>
      </c>
      <c r="K324" s="680">
        <v>53</v>
      </c>
      <c r="L324" s="680"/>
      <c r="M324" s="681">
        <v>500</v>
      </c>
      <c r="N324" s="681"/>
      <c r="O324" s="681">
        <v>500</v>
      </c>
      <c r="P324" s="680">
        <v>500</v>
      </c>
      <c r="Q324" s="682">
        <v>0</v>
      </c>
      <c r="R324" s="681">
        <v>0</v>
      </c>
      <c r="S324" s="658"/>
    </row>
    <row r="325" spans="1:19" s="659" customFormat="1" ht="20.100000000000001" customHeight="1">
      <c r="A325" s="657" t="s">
        <v>3944</v>
      </c>
      <c r="B325" s="649" t="s">
        <v>1333</v>
      </c>
      <c r="C325" s="621"/>
      <c r="D325" s="621"/>
      <c r="E325" s="649" t="s">
        <v>3945</v>
      </c>
      <c r="F325" s="622" t="s">
        <v>7961</v>
      </c>
      <c r="G325" s="622" t="s">
        <v>2385</v>
      </c>
      <c r="H325" s="649" t="s">
        <v>238</v>
      </c>
      <c r="I325" s="652" t="s">
        <v>11</v>
      </c>
      <c r="J325" s="622" t="s">
        <v>7960</v>
      </c>
      <c r="K325" s="680">
        <v>53</v>
      </c>
      <c r="L325" s="680">
        <v>1993</v>
      </c>
      <c r="M325" s="681">
        <v>0</v>
      </c>
      <c r="N325" s="681"/>
      <c r="O325" s="681">
        <v>1733</v>
      </c>
      <c r="P325" s="680">
        <v>0</v>
      </c>
      <c r="Q325" s="682">
        <v>1733</v>
      </c>
      <c r="R325" s="681">
        <v>260</v>
      </c>
      <c r="S325" s="658"/>
    </row>
    <row r="326" spans="1:19" s="659" customFormat="1" ht="20.100000000000001" customHeight="1">
      <c r="A326" s="657" t="s">
        <v>3948</v>
      </c>
      <c r="B326" s="649" t="s">
        <v>1333</v>
      </c>
      <c r="C326" s="621"/>
      <c r="D326" s="621"/>
      <c r="E326" s="649" t="s">
        <v>1538</v>
      </c>
      <c r="F326" s="622" t="s">
        <v>1539</v>
      </c>
      <c r="G326" s="622" t="s">
        <v>458</v>
      </c>
      <c r="H326" s="649" t="s">
        <v>238</v>
      </c>
      <c r="I326" s="652" t="s">
        <v>11</v>
      </c>
      <c r="J326" s="622" t="s">
        <v>5957</v>
      </c>
      <c r="K326" s="680">
        <v>980</v>
      </c>
      <c r="L326" s="680">
        <v>9000</v>
      </c>
      <c r="M326" s="681">
        <v>0</v>
      </c>
      <c r="N326" s="681"/>
      <c r="O326" s="681">
        <v>3000</v>
      </c>
      <c r="P326" s="680">
        <v>3000</v>
      </c>
      <c r="Q326" s="682">
        <v>0</v>
      </c>
      <c r="R326" s="681">
        <v>6000</v>
      </c>
      <c r="S326" s="658"/>
    </row>
    <row r="327" spans="1:19" s="659" customFormat="1" ht="20.100000000000001" customHeight="1">
      <c r="A327" s="657" t="s">
        <v>3948</v>
      </c>
      <c r="B327" s="649" t="s">
        <v>1333</v>
      </c>
      <c r="C327" s="621"/>
      <c r="D327" s="621"/>
      <c r="E327" s="649" t="s">
        <v>1538</v>
      </c>
      <c r="F327" s="622" t="s">
        <v>1539</v>
      </c>
      <c r="G327" s="622" t="s">
        <v>458</v>
      </c>
      <c r="H327" s="649" t="s">
        <v>238</v>
      </c>
      <c r="I327" s="652" t="s">
        <v>11</v>
      </c>
      <c r="J327" s="622" t="s">
        <v>5957</v>
      </c>
      <c r="K327" s="680">
        <v>980</v>
      </c>
      <c r="L327" s="680"/>
      <c r="M327" s="681">
        <v>1000</v>
      </c>
      <c r="N327" s="681"/>
      <c r="O327" s="681">
        <v>0</v>
      </c>
      <c r="P327" s="680">
        <v>0</v>
      </c>
      <c r="Q327" s="682">
        <v>0</v>
      </c>
      <c r="R327" s="681">
        <v>1000</v>
      </c>
      <c r="S327" s="658"/>
    </row>
    <row r="328" spans="1:19" s="659" customFormat="1" ht="20.100000000000001" customHeight="1">
      <c r="A328" s="657" t="s">
        <v>3948</v>
      </c>
      <c r="B328" s="649" t="s">
        <v>1333</v>
      </c>
      <c r="C328" s="621"/>
      <c r="D328" s="621"/>
      <c r="E328" s="649" t="s">
        <v>1538</v>
      </c>
      <c r="F328" s="622" t="s">
        <v>1539</v>
      </c>
      <c r="G328" s="622" t="s">
        <v>458</v>
      </c>
      <c r="H328" s="649" t="s">
        <v>238</v>
      </c>
      <c r="I328" s="652" t="s">
        <v>10</v>
      </c>
      <c r="J328" s="622" t="s">
        <v>5957</v>
      </c>
      <c r="K328" s="680">
        <v>980</v>
      </c>
      <c r="L328" s="680">
        <v>300</v>
      </c>
      <c r="M328" s="681">
        <v>3</v>
      </c>
      <c r="N328" s="681"/>
      <c r="O328" s="681">
        <v>24</v>
      </c>
      <c r="P328" s="680">
        <v>24</v>
      </c>
      <c r="Q328" s="682">
        <v>0</v>
      </c>
      <c r="R328" s="681">
        <v>279</v>
      </c>
      <c r="S328" s="658"/>
    </row>
    <row r="329" spans="1:19" s="659" customFormat="1" ht="20.100000000000001" customHeight="1">
      <c r="A329" s="657" t="s">
        <v>3951</v>
      </c>
      <c r="B329" s="649" t="s">
        <v>3953</v>
      </c>
      <c r="C329" s="621"/>
      <c r="D329" s="621"/>
      <c r="E329" s="649" t="s">
        <v>3952</v>
      </c>
      <c r="F329" s="622" t="s">
        <v>8007</v>
      </c>
      <c r="G329" s="622" t="s">
        <v>1151</v>
      </c>
      <c r="H329" s="649" t="s">
        <v>3954</v>
      </c>
      <c r="I329" s="652" t="s">
        <v>520</v>
      </c>
      <c r="J329" s="622" t="s">
        <v>8006</v>
      </c>
      <c r="K329" s="680">
        <v>5500</v>
      </c>
      <c r="L329" s="680"/>
      <c r="M329" s="681">
        <v>22000</v>
      </c>
      <c r="N329" s="681"/>
      <c r="O329" s="681">
        <v>0</v>
      </c>
      <c r="P329" s="680">
        <v>0</v>
      </c>
      <c r="Q329" s="682">
        <v>0</v>
      </c>
      <c r="R329" s="681">
        <v>22000</v>
      </c>
      <c r="S329" s="658"/>
    </row>
    <row r="330" spans="1:19" s="659" customFormat="1" ht="20.100000000000001" customHeight="1">
      <c r="A330" s="657" t="s">
        <v>3951</v>
      </c>
      <c r="B330" s="649" t="s">
        <v>3953</v>
      </c>
      <c r="C330" s="621"/>
      <c r="D330" s="621"/>
      <c r="E330" s="649" t="s">
        <v>3952</v>
      </c>
      <c r="F330" s="622" t="s">
        <v>8007</v>
      </c>
      <c r="G330" s="622" t="s">
        <v>1151</v>
      </c>
      <c r="H330" s="649" t="s">
        <v>3954</v>
      </c>
      <c r="I330" s="652" t="s">
        <v>520</v>
      </c>
      <c r="J330" s="622" t="s">
        <v>8006</v>
      </c>
      <c r="K330" s="680">
        <v>5500</v>
      </c>
      <c r="L330" s="680">
        <v>932</v>
      </c>
      <c r="M330" s="681">
        <v>0</v>
      </c>
      <c r="N330" s="681"/>
      <c r="O330" s="681">
        <v>932</v>
      </c>
      <c r="P330" s="680">
        <v>0</v>
      </c>
      <c r="Q330" s="682">
        <v>932</v>
      </c>
      <c r="R330" s="681">
        <v>0</v>
      </c>
      <c r="S330" s="658"/>
    </row>
    <row r="331" spans="1:19" s="659" customFormat="1" ht="20.100000000000001" customHeight="1">
      <c r="A331" s="657" t="s">
        <v>3951</v>
      </c>
      <c r="B331" s="649" t="s">
        <v>3953</v>
      </c>
      <c r="C331" s="621"/>
      <c r="D331" s="621"/>
      <c r="E331" s="649" t="s">
        <v>3952</v>
      </c>
      <c r="F331" s="622" t="s">
        <v>8007</v>
      </c>
      <c r="G331" s="622" t="s">
        <v>1151</v>
      </c>
      <c r="H331" s="649" t="s">
        <v>3954</v>
      </c>
      <c r="I331" s="652" t="s">
        <v>520</v>
      </c>
      <c r="J331" s="622" t="s">
        <v>8006</v>
      </c>
      <c r="K331" s="680">
        <v>5500</v>
      </c>
      <c r="L331" s="680"/>
      <c r="M331" s="681">
        <v>3600</v>
      </c>
      <c r="N331" s="681"/>
      <c r="O331" s="681">
        <v>3000</v>
      </c>
      <c r="P331" s="680">
        <v>0</v>
      </c>
      <c r="Q331" s="682">
        <v>3000</v>
      </c>
      <c r="R331" s="681">
        <v>600</v>
      </c>
      <c r="S331" s="658"/>
    </row>
    <row r="332" spans="1:19" s="659" customFormat="1" ht="20.100000000000001" customHeight="1">
      <c r="A332" s="657" t="s">
        <v>6582</v>
      </c>
      <c r="B332" s="649" t="s">
        <v>6583</v>
      </c>
      <c r="C332" s="621"/>
      <c r="D332" s="621"/>
      <c r="E332" s="649" t="s">
        <v>6585</v>
      </c>
      <c r="F332" s="622" t="s">
        <v>6587</v>
      </c>
      <c r="G332" s="622" t="s">
        <v>463</v>
      </c>
      <c r="H332" s="649" t="s">
        <v>6584</v>
      </c>
      <c r="I332" s="652" t="s">
        <v>11</v>
      </c>
      <c r="J332" s="622" t="s">
        <v>6586</v>
      </c>
      <c r="K332" s="680">
        <v>2500</v>
      </c>
      <c r="L332" s="680"/>
      <c r="M332" s="681">
        <v>5010</v>
      </c>
      <c r="N332" s="681"/>
      <c r="O332" s="681">
        <v>0</v>
      </c>
      <c r="P332" s="680">
        <v>0</v>
      </c>
      <c r="Q332" s="682">
        <v>0</v>
      </c>
      <c r="R332" s="681">
        <v>5010</v>
      </c>
      <c r="S332" s="658"/>
    </row>
    <row r="333" spans="1:19" s="659" customFormat="1" ht="20.100000000000001" customHeight="1">
      <c r="A333" s="657" t="s">
        <v>3956</v>
      </c>
      <c r="B333" s="649" t="s">
        <v>2605</v>
      </c>
      <c r="C333" s="621"/>
      <c r="D333" s="621"/>
      <c r="E333" s="649" t="s">
        <v>2604</v>
      </c>
      <c r="F333" s="622" t="s">
        <v>6164</v>
      </c>
      <c r="G333" s="622" t="s">
        <v>5837</v>
      </c>
      <c r="H333" s="649" t="s">
        <v>3957</v>
      </c>
      <c r="I333" s="652" t="s">
        <v>520</v>
      </c>
      <c r="J333" s="622" t="s">
        <v>6163</v>
      </c>
      <c r="K333" s="680">
        <v>23940</v>
      </c>
      <c r="L333" s="680">
        <v>20</v>
      </c>
      <c r="M333" s="681">
        <v>0</v>
      </c>
      <c r="N333" s="681"/>
      <c r="O333" s="681">
        <v>20</v>
      </c>
      <c r="P333" s="680">
        <v>0</v>
      </c>
      <c r="Q333" s="682">
        <v>20</v>
      </c>
      <c r="R333" s="681">
        <v>0</v>
      </c>
      <c r="S333" s="658"/>
    </row>
    <row r="334" spans="1:19" s="659" customFormat="1" ht="20.100000000000001" customHeight="1">
      <c r="A334" s="657" t="s">
        <v>3959</v>
      </c>
      <c r="B334" s="649" t="s">
        <v>3961</v>
      </c>
      <c r="C334" s="621"/>
      <c r="D334" s="621"/>
      <c r="E334" s="649" t="s">
        <v>3960</v>
      </c>
      <c r="F334" s="622" t="s">
        <v>8052</v>
      </c>
      <c r="G334" s="622" t="s">
        <v>8053</v>
      </c>
      <c r="H334" s="649" t="s">
        <v>3962</v>
      </c>
      <c r="I334" s="652" t="s">
        <v>11</v>
      </c>
      <c r="J334" s="622" t="s">
        <v>8051</v>
      </c>
      <c r="K334" s="680">
        <v>3129</v>
      </c>
      <c r="L334" s="680">
        <v>4770</v>
      </c>
      <c r="M334" s="681">
        <v>0</v>
      </c>
      <c r="N334" s="681"/>
      <c r="O334" s="681">
        <v>3108</v>
      </c>
      <c r="P334" s="680">
        <v>0</v>
      </c>
      <c r="Q334" s="682">
        <v>3108</v>
      </c>
      <c r="R334" s="681">
        <v>1662</v>
      </c>
      <c r="S334" s="658"/>
    </row>
    <row r="335" spans="1:19" s="659" customFormat="1" ht="20.100000000000001" customHeight="1">
      <c r="A335" s="657" t="s">
        <v>3964</v>
      </c>
      <c r="B335" s="649" t="s">
        <v>3965</v>
      </c>
      <c r="C335" s="621"/>
      <c r="D335" s="621"/>
      <c r="E335" s="649" t="s">
        <v>1052</v>
      </c>
      <c r="F335" s="622" t="s">
        <v>6973</v>
      </c>
      <c r="G335" s="622" t="s">
        <v>324</v>
      </c>
      <c r="H335" s="649" t="s">
        <v>2005</v>
      </c>
      <c r="I335" s="652" t="s">
        <v>11</v>
      </c>
      <c r="J335" s="622" t="s">
        <v>6972</v>
      </c>
      <c r="K335" s="680">
        <v>1743</v>
      </c>
      <c r="L335" s="680">
        <v>7380</v>
      </c>
      <c r="M335" s="681">
        <v>0</v>
      </c>
      <c r="N335" s="681"/>
      <c r="O335" s="681">
        <v>7380</v>
      </c>
      <c r="P335" s="680">
        <v>0</v>
      </c>
      <c r="Q335" s="682">
        <v>7380</v>
      </c>
      <c r="R335" s="681">
        <v>0</v>
      </c>
      <c r="S335" s="658"/>
    </row>
    <row r="336" spans="1:19" s="659" customFormat="1" ht="20.100000000000001" customHeight="1">
      <c r="A336" s="657" t="s">
        <v>3964</v>
      </c>
      <c r="B336" s="649" t="s">
        <v>3965</v>
      </c>
      <c r="C336" s="621"/>
      <c r="D336" s="621"/>
      <c r="E336" s="649" t="s">
        <v>1052</v>
      </c>
      <c r="F336" s="622" t="s">
        <v>6973</v>
      </c>
      <c r="G336" s="622" t="s">
        <v>324</v>
      </c>
      <c r="H336" s="649" t="s">
        <v>2005</v>
      </c>
      <c r="I336" s="652" t="s">
        <v>11</v>
      </c>
      <c r="J336" s="622" t="s">
        <v>6972</v>
      </c>
      <c r="K336" s="680">
        <v>1743</v>
      </c>
      <c r="L336" s="680">
        <v>10000</v>
      </c>
      <c r="M336" s="681">
        <v>0</v>
      </c>
      <c r="N336" s="681"/>
      <c r="O336" s="681">
        <v>10000</v>
      </c>
      <c r="P336" s="680">
        <v>0</v>
      </c>
      <c r="Q336" s="682">
        <v>10000</v>
      </c>
      <c r="R336" s="681">
        <v>0</v>
      </c>
      <c r="S336" s="658"/>
    </row>
    <row r="337" spans="1:19" s="659" customFormat="1" ht="20.100000000000001" customHeight="1">
      <c r="A337" s="657" t="s">
        <v>3964</v>
      </c>
      <c r="B337" s="649" t="s">
        <v>3965</v>
      </c>
      <c r="C337" s="621"/>
      <c r="D337" s="621"/>
      <c r="E337" s="649" t="s">
        <v>1052</v>
      </c>
      <c r="F337" s="622" t="s">
        <v>6973</v>
      </c>
      <c r="G337" s="622" t="s">
        <v>324</v>
      </c>
      <c r="H337" s="649" t="s">
        <v>2005</v>
      </c>
      <c r="I337" s="652" t="s">
        <v>11</v>
      </c>
      <c r="J337" s="622" t="s">
        <v>6972</v>
      </c>
      <c r="K337" s="680">
        <v>1743</v>
      </c>
      <c r="L337" s="680"/>
      <c r="M337" s="681">
        <v>7540</v>
      </c>
      <c r="N337" s="681"/>
      <c r="O337" s="681">
        <v>2800</v>
      </c>
      <c r="P337" s="680">
        <v>0</v>
      </c>
      <c r="Q337" s="682">
        <v>2800</v>
      </c>
      <c r="R337" s="681">
        <v>4740</v>
      </c>
      <c r="S337" s="658"/>
    </row>
    <row r="338" spans="1:19" s="659" customFormat="1" ht="20.100000000000001" customHeight="1">
      <c r="A338" s="657" t="s">
        <v>3964</v>
      </c>
      <c r="B338" s="649" t="s">
        <v>3965</v>
      </c>
      <c r="C338" s="621"/>
      <c r="D338" s="621"/>
      <c r="E338" s="649" t="s">
        <v>1052</v>
      </c>
      <c r="F338" s="622" t="s">
        <v>6973</v>
      </c>
      <c r="G338" s="622" t="s">
        <v>324</v>
      </c>
      <c r="H338" s="649" t="s">
        <v>2005</v>
      </c>
      <c r="I338" s="652" t="s">
        <v>11</v>
      </c>
      <c r="J338" s="622" t="s">
        <v>6972</v>
      </c>
      <c r="K338" s="680">
        <v>1743</v>
      </c>
      <c r="L338" s="680"/>
      <c r="M338" s="681">
        <v>19360</v>
      </c>
      <c r="N338" s="681"/>
      <c r="O338" s="681">
        <v>2400</v>
      </c>
      <c r="P338" s="680">
        <v>0</v>
      </c>
      <c r="Q338" s="682">
        <v>2400</v>
      </c>
      <c r="R338" s="681">
        <v>16960</v>
      </c>
      <c r="S338" s="658"/>
    </row>
    <row r="339" spans="1:19" s="659" customFormat="1" ht="20.100000000000001" customHeight="1">
      <c r="A339" s="657" t="s">
        <v>3964</v>
      </c>
      <c r="B339" s="649" t="s">
        <v>3965</v>
      </c>
      <c r="C339" s="621"/>
      <c r="D339" s="621"/>
      <c r="E339" s="649" t="s">
        <v>1052</v>
      </c>
      <c r="F339" s="622" t="s">
        <v>6973</v>
      </c>
      <c r="G339" s="622" t="s">
        <v>324</v>
      </c>
      <c r="H339" s="649" t="s">
        <v>2005</v>
      </c>
      <c r="I339" s="652" t="s">
        <v>11</v>
      </c>
      <c r="J339" s="622" t="s">
        <v>6972</v>
      </c>
      <c r="K339" s="680">
        <v>1743</v>
      </c>
      <c r="L339" s="680"/>
      <c r="M339" s="681">
        <v>10540</v>
      </c>
      <c r="N339" s="681"/>
      <c r="O339" s="681">
        <v>8242</v>
      </c>
      <c r="P339" s="680">
        <v>1306</v>
      </c>
      <c r="Q339" s="682">
        <v>6936</v>
      </c>
      <c r="R339" s="681">
        <v>2298</v>
      </c>
      <c r="S339" s="658"/>
    </row>
    <row r="340" spans="1:19" s="659" customFormat="1" ht="20.100000000000001" customHeight="1">
      <c r="A340" s="657" t="s">
        <v>3964</v>
      </c>
      <c r="B340" s="649" t="s">
        <v>3965</v>
      </c>
      <c r="C340" s="621"/>
      <c r="D340" s="621"/>
      <c r="E340" s="649" t="s">
        <v>1052</v>
      </c>
      <c r="F340" s="622" t="s">
        <v>6973</v>
      </c>
      <c r="G340" s="622" t="s">
        <v>324</v>
      </c>
      <c r="H340" s="649" t="s">
        <v>2005</v>
      </c>
      <c r="I340" s="652" t="s">
        <v>11</v>
      </c>
      <c r="J340" s="622" t="s">
        <v>6972</v>
      </c>
      <c r="K340" s="680">
        <v>1743</v>
      </c>
      <c r="L340" s="680"/>
      <c r="M340" s="681">
        <v>33100</v>
      </c>
      <c r="N340" s="681"/>
      <c r="O340" s="681">
        <v>0</v>
      </c>
      <c r="P340" s="680">
        <v>0</v>
      </c>
      <c r="Q340" s="682">
        <v>0</v>
      </c>
      <c r="R340" s="681">
        <v>33100</v>
      </c>
      <c r="S340" s="658"/>
    </row>
    <row r="341" spans="1:19" s="659" customFormat="1" ht="20.100000000000001" customHeight="1">
      <c r="A341" s="657" t="s">
        <v>3970</v>
      </c>
      <c r="B341" s="649" t="s">
        <v>1480</v>
      </c>
      <c r="C341" s="621"/>
      <c r="D341" s="621"/>
      <c r="E341" s="649" t="s">
        <v>3971</v>
      </c>
      <c r="F341" s="622" t="s">
        <v>6928</v>
      </c>
      <c r="G341" s="622" t="s">
        <v>6929</v>
      </c>
      <c r="H341" s="649" t="s">
        <v>1512</v>
      </c>
      <c r="I341" s="652" t="s">
        <v>520</v>
      </c>
      <c r="J341" s="622" t="s">
        <v>6927</v>
      </c>
      <c r="K341" s="680">
        <v>3350</v>
      </c>
      <c r="L341" s="680"/>
      <c r="M341" s="681">
        <v>1900</v>
      </c>
      <c r="N341" s="681"/>
      <c r="O341" s="681">
        <v>0</v>
      </c>
      <c r="P341" s="680">
        <v>0</v>
      </c>
      <c r="Q341" s="682">
        <v>0</v>
      </c>
      <c r="R341" s="681">
        <v>1900</v>
      </c>
      <c r="S341" s="658"/>
    </row>
    <row r="342" spans="1:19" s="659" customFormat="1" ht="20.100000000000001" customHeight="1">
      <c r="A342" s="657" t="s">
        <v>3970</v>
      </c>
      <c r="B342" s="649" t="s">
        <v>1480</v>
      </c>
      <c r="C342" s="621"/>
      <c r="D342" s="621"/>
      <c r="E342" s="649" t="s">
        <v>3971</v>
      </c>
      <c r="F342" s="622" t="s">
        <v>6928</v>
      </c>
      <c r="G342" s="622" t="s">
        <v>6929</v>
      </c>
      <c r="H342" s="649" t="s">
        <v>1512</v>
      </c>
      <c r="I342" s="652" t="s">
        <v>520</v>
      </c>
      <c r="J342" s="622" t="s">
        <v>6927</v>
      </c>
      <c r="K342" s="680">
        <v>3350</v>
      </c>
      <c r="L342" s="680">
        <v>2000</v>
      </c>
      <c r="M342" s="681">
        <v>0</v>
      </c>
      <c r="N342" s="681"/>
      <c r="O342" s="681">
        <v>1991</v>
      </c>
      <c r="P342" s="680">
        <v>600</v>
      </c>
      <c r="Q342" s="682">
        <v>1391</v>
      </c>
      <c r="R342" s="681">
        <v>9</v>
      </c>
      <c r="S342" s="658"/>
    </row>
    <row r="343" spans="1:19" s="659" customFormat="1" ht="20.100000000000001" customHeight="1">
      <c r="A343" s="657" t="s">
        <v>3972</v>
      </c>
      <c r="B343" s="649" t="s">
        <v>3974</v>
      </c>
      <c r="C343" s="621"/>
      <c r="D343" s="621"/>
      <c r="E343" s="649" t="s">
        <v>3973</v>
      </c>
      <c r="F343" s="622" t="s">
        <v>8320</v>
      </c>
      <c r="G343" s="622" t="s">
        <v>7649</v>
      </c>
      <c r="H343" s="649" t="s">
        <v>229</v>
      </c>
      <c r="I343" s="652" t="s">
        <v>11</v>
      </c>
      <c r="J343" s="622" t="s">
        <v>8319</v>
      </c>
      <c r="K343" s="680">
        <v>1050</v>
      </c>
      <c r="L343" s="680"/>
      <c r="M343" s="681">
        <v>2018</v>
      </c>
      <c r="N343" s="681"/>
      <c r="O343" s="681">
        <v>150</v>
      </c>
      <c r="P343" s="680">
        <v>150</v>
      </c>
      <c r="Q343" s="682">
        <v>0</v>
      </c>
      <c r="R343" s="681">
        <v>1868</v>
      </c>
      <c r="S343" s="658"/>
    </row>
    <row r="344" spans="1:19" s="659" customFormat="1" ht="20.100000000000001" customHeight="1">
      <c r="A344" s="657" t="s">
        <v>3972</v>
      </c>
      <c r="B344" s="649" t="s">
        <v>3974</v>
      </c>
      <c r="C344" s="621"/>
      <c r="D344" s="621"/>
      <c r="E344" s="649" t="s">
        <v>3973</v>
      </c>
      <c r="F344" s="622" t="s">
        <v>8320</v>
      </c>
      <c r="G344" s="622" t="s">
        <v>7649</v>
      </c>
      <c r="H344" s="649" t="s">
        <v>229</v>
      </c>
      <c r="I344" s="652" t="s">
        <v>11</v>
      </c>
      <c r="J344" s="622" t="s">
        <v>8319</v>
      </c>
      <c r="K344" s="680">
        <v>1050</v>
      </c>
      <c r="L344" s="680">
        <v>3020</v>
      </c>
      <c r="M344" s="681">
        <v>17</v>
      </c>
      <c r="N344" s="681"/>
      <c r="O344" s="681">
        <v>2761</v>
      </c>
      <c r="P344" s="680">
        <v>792</v>
      </c>
      <c r="Q344" s="682">
        <v>1969</v>
      </c>
      <c r="R344" s="681">
        <v>276</v>
      </c>
      <c r="S344" s="658"/>
    </row>
    <row r="345" spans="1:19" s="659" customFormat="1" ht="20.100000000000001" customHeight="1">
      <c r="A345" s="657" t="s">
        <v>4650</v>
      </c>
      <c r="B345" s="649" t="s">
        <v>78</v>
      </c>
      <c r="C345" s="621"/>
      <c r="D345" s="621"/>
      <c r="E345" s="649" t="s">
        <v>4651</v>
      </c>
      <c r="F345" s="622" t="s">
        <v>8797</v>
      </c>
      <c r="G345" s="622" t="s">
        <v>8535</v>
      </c>
      <c r="H345" s="649" t="s">
        <v>79</v>
      </c>
      <c r="I345" s="652" t="s">
        <v>4652</v>
      </c>
      <c r="J345" s="622" t="s">
        <v>8796</v>
      </c>
      <c r="K345" s="680">
        <v>3500</v>
      </c>
      <c r="L345" s="680"/>
      <c r="M345" s="681">
        <v>11522</v>
      </c>
      <c r="N345" s="681"/>
      <c r="O345" s="681">
        <v>11520</v>
      </c>
      <c r="P345" s="680">
        <v>4500</v>
      </c>
      <c r="Q345" s="682">
        <v>7020</v>
      </c>
      <c r="R345" s="681">
        <v>2</v>
      </c>
      <c r="S345" s="658"/>
    </row>
    <row r="346" spans="1:19" s="659" customFormat="1" ht="20.100000000000001" customHeight="1">
      <c r="A346" s="657" t="s">
        <v>4650</v>
      </c>
      <c r="B346" s="649" t="s">
        <v>78</v>
      </c>
      <c r="C346" s="621"/>
      <c r="D346" s="621"/>
      <c r="E346" s="649" t="s">
        <v>4651</v>
      </c>
      <c r="F346" s="622" t="s">
        <v>8797</v>
      </c>
      <c r="G346" s="622" t="s">
        <v>8535</v>
      </c>
      <c r="H346" s="649" t="s">
        <v>79</v>
      </c>
      <c r="I346" s="652" t="s">
        <v>4652</v>
      </c>
      <c r="J346" s="622" t="s">
        <v>8796</v>
      </c>
      <c r="K346" s="680">
        <v>3500</v>
      </c>
      <c r="L346" s="680">
        <v>3541</v>
      </c>
      <c r="M346" s="681">
        <v>478</v>
      </c>
      <c r="N346" s="681"/>
      <c r="O346" s="681">
        <v>4019</v>
      </c>
      <c r="P346" s="680">
        <v>0</v>
      </c>
      <c r="Q346" s="682">
        <v>4019</v>
      </c>
      <c r="R346" s="681">
        <v>0</v>
      </c>
      <c r="S346" s="658"/>
    </row>
    <row r="347" spans="1:19" s="659" customFormat="1" ht="20.100000000000001" customHeight="1">
      <c r="A347" s="657" t="s">
        <v>4650</v>
      </c>
      <c r="B347" s="649" t="s">
        <v>78</v>
      </c>
      <c r="C347" s="621"/>
      <c r="D347" s="621"/>
      <c r="E347" s="649" t="s">
        <v>4651</v>
      </c>
      <c r="F347" s="622" t="s">
        <v>8797</v>
      </c>
      <c r="G347" s="622" t="s">
        <v>8535</v>
      </c>
      <c r="H347" s="649" t="s">
        <v>79</v>
      </c>
      <c r="I347" s="652" t="s">
        <v>4652</v>
      </c>
      <c r="J347" s="622" t="s">
        <v>8796</v>
      </c>
      <c r="K347" s="680">
        <v>3500</v>
      </c>
      <c r="L347" s="680"/>
      <c r="M347" s="681">
        <v>9000</v>
      </c>
      <c r="N347" s="681"/>
      <c r="O347" s="681">
        <v>0</v>
      </c>
      <c r="P347" s="680">
        <v>0</v>
      </c>
      <c r="Q347" s="682">
        <v>0</v>
      </c>
      <c r="R347" s="681">
        <v>9000</v>
      </c>
      <c r="S347" s="658"/>
    </row>
    <row r="348" spans="1:19" s="659" customFormat="1" ht="20.100000000000001" customHeight="1">
      <c r="A348" s="657" t="s">
        <v>4650</v>
      </c>
      <c r="B348" s="649" t="s">
        <v>78</v>
      </c>
      <c r="C348" s="621"/>
      <c r="D348" s="621"/>
      <c r="E348" s="649" t="s">
        <v>4651</v>
      </c>
      <c r="F348" s="622" t="s">
        <v>8797</v>
      </c>
      <c r="G348" s="622" t="s">
        <v>8535</v>
      </c>
      <c r="H348" s="649" t="s">
        <v>79</v>
      </c>
      <c r="I348" s="652" t="s">
        <v>4652</v>
      </c>
      <c r="J348" s="622" t="s">
        <v>8796</v>
      </c>
      <c r="K348" s="680">
        <v>3500</v>
      </c>
      <c r="L348" s="680">
        <v>2000</v>
      </c>
      <c r="M348" s="681">
        <v>0</v>
      </c>
      <c r="N348" s="681"/>
      <c r="O348" s="681">
        <v>2000</v>
      </c>
      <c r="P348" s="680">
        <v>0</v>
      </c>
      <c r="Q348" s="682">
        <v>2000</v>
      </c>
      <c r="R348" s="681">
        <v>0</v>
      </c>
      <c r="S348" s="658"/>
    </row>
    <row r="349" spans="1:19" s="659" customFormat="1" ht="20.100000000000001" customHeight="1">
      <c r="A349" s="657" t="s">
        <v>4650</v>
      </c>
      <c r="B349" s="649" t="s">
        <v>78</v>
      </c>
      <c r="C349" s="621"/>
      <c r="D349" s="621"/>
      <c r="E349" s="649" t="s">
        <v>4651</v>
      </c>
      <c r="F349" s="622" t="s">
        <v>8797</v>
      </c>
      <c r="G349" s="622" t="s">
        <v>8535</v>
      </c>
      <c r="H349" s="649" t="s">
        <v>79</v>
      </c>
      <c r="I349" s="652" t="s">
        <v>4652</v>
      </c>
      <c r="J349" s="622" t="s">
        <v>8796</v>
      </c>
      <c r="K349" s="680">
        <v>3500</v>
      </c>
      <c r="L349" s="680"/>
      <c r="M349" s="681">
        <v>10400</v>
      </c>
      <c r="N349" s="681"/>
      <c r="O349" s="681">
        <v>10400</v>
      </c>
      <c r="P349" s="680">
        <v>1500</v>
      </c>
      <c r="Q349" s="682">
        <v>8900</v>
      </c>
      <c r="R349" s="681">
        <v>0</v>
      </c>
      <c r="S349" s="658"/>
    </row>
    <row r="350" spans="1:19" s="659" customFormat="1" ht="20.100000000000001" customHeight="1">
      <c r="A350" s="657" t="s">
        <v>4654</v>
      </c>
      <c r="B350" s="649" t="s">
        <v>4655</v>
      </c>
      <c r="C350" s="621"/>
      <c r="D350" s="621"/>
      <c r="E350" s="649" t="s">
        <v>85</v>
      </c>
      <c r="F350" s="622" t="s">
        <v>8572</v>
      </c>
      <c r="G350" s="622" t="s">
        <v>2182</v>
      </c>
      <c r="H350" s="649" t="s">
        <v>4656</v>
      </c>
      <c r="I350" s="652" t="s">
        <v>11</v>
      </c>
      <c r="J350" s="622" t="s">
        <v>6644</v>
      </c>
      <c r="K350" s="680">
        <v>1260</v>
      </c>
      <c r="L350" s="680"/>
      <c r="M350" s="681">
        <v>19980</v>
      </c>
      <c r="N350" s="681"/>
      <c r="O350" s="681">
        <v>0</v>
      </c>
      <c r="P350" s="680">
        <v>0</v>
      </c>
      <c r="Q350" s="682">
        <v>0</v>
      </c>
      <c r="R350" s="681">
        <v>19980</v>
      </c>
      <c r="S350" s="658"/>
    </row>
    <row r="351" spans="1:19" s="659" customFormat="1" ht="20.100000000000001" customHeight="1">
      <c r="A351" s="657" t="s">
        <v>4654</v>
      </c>
      <c r="B351" s="649" t="s">
        <v>4655</v>
      </c>
      <c r="C351" s="621"/>
      <c r="D351" s="621"/>
      <c r="E351" s="649" t="s">
        <v>85</v>
      </c>
      <c r="F351" s="622" t="s">
        <v>8572</v>
      </c>
      <c r="G351" s="622" t="s">
        <v>2182</v>
      </c>
      <c r="H351" s="649" t="s">
        <v>4656</v>
      </c>
      <c r="I351" s="652" t="s">
        <v>11</v>
      </c>
      <c r="J351" s="622" t="s">
        <v>6644</v>
      </c>
      <c r="K351" s="680">
        <v>1260</v>
      </c>
      <c r="L351" s="680"/>
      <c r="M351" s="681">
        <v>9990</v>
      </c>
      <c r="N351" s="681"/>
      <c r="O351" s="681">
        <v>9990</v>
      </c>
      <c r="P351" s="680">
        <v>300</v>
      </c>
      <c r="Q351" s="682">
        <v>9690</v>
      </c>
      <c r="R351" s="681">
        <v>0</v>
      </c>
      <c r="S351" s="658"/>
    </row>
    <row r="352" spans="1:19" s="659" customFormat="1" ht="20.100000000000001" customHeight="1">
      <c r="A352" s="657" t="s">
        <v>4654</v>
      </c>
      <c r="B352" s="649" t="s">
        <v>4655</v>
      </c>
      <c r="C352" s="621"/>
      <c r="D352" s="621"/>
      <c r="E352" s="649" t="s">
        <v>85</v>
      </c>
      <c r="F352" s="622" t="s">
        <v>8572</v>
      </c>
      <c r="G352" s="622" t="s">
        <v>2182</v>
      </c>
      <c r="H352" s="649" t="s">
        <v>4656</v>
      </c>
      <c r="I352" s="652" t="s">
        <v>11</v>
      </c>
      <c r="J352" s="622" t="s">
        <v>6644</v>
      </c>
      <c r="K352" s="680">
        <v>1260</v>
      </c>
      <c r="L352" s="680">
        <v>3</v>
      </c>
      <c r="M352" s="681">
        <v>0</v>
      </c>
      <c r="N352" s="681"/>
      <c r="O352" s="681">
        <v>3</v>
      </c>
      <c r="P352" s="680">
        <v>0</v>
      </c>
      <c r="Q352" s="682">
        <v>3</v>
      </c>
      <c r="R352" s="681">
        <v>0</v>
      </c>
      <c r="S352" s="658"/>
    </row>
    <row r="353" spans="1:19" s="659" customFormat="1" ht="20.100000000000001" customHeight="1">
      <c r="A353" s="657" t="s">
        <v>4654</v>
      </c>
      <c r="B353" s="649" t="s">
        <v>4655</v>
      </c>
      <c r="C353" s="621"/>
      <c r="D353" s="621"/>
      <c r="E353" s="649" t="s">
        <v>85</v>
      </c>
      <c r="F353" s="622" t="s">
        <v>8572</v>
      </c>
      <c r="G353" s="622" t="s">
        <v>2182</v>
      </c>
      <c r="H353" s="649" t="s">
        <v>4656</v>
      </c>
      <c r="I353" s="652" t="s">
        <v>11</v>
      </c>
      <c r="J353" s="622" t="s">
        <v>6644</v>
      </c>
      <c r="K353" s="680">
        <v>1260</v>
      </c>
      <c r="L353" s="680"/>
      <c r="M353" s="681">
        <v>15990</v>
      </c>
      <c r="N353" s="681"/>
      <c r="O353" s="681">
        <v>15981</v>
      </c>
      <c r="P353" s="680">
        <v>3090</v>
      </c>
      <c r="Q353" s="682">
        <v>12891</v>
      </c>
      <c r="R353" s="681">
        <v>9</v>
      </c>
      <c r="S353" s="658"/>
    </row>
    <row r="354" spans="1:19" s="659" customFormat="1" ht="20.100000000000001" customHeight="1">
      <c r="A354" s="657" t="s">
        <v>3979</v>
      </c>
      <c r="B354" s="649" t="s">
        <v>3980</v>
      </c>
      <c r="C354" s="621"/>
      <c r="D354" s="621"/>
      <c r="E354" s="649" t="s">
        <v>1278</v>
      </c>
      <c r="F354" s="622" t="s">
        <v>1280</v>
      </c>
      <c r="G354" s="622" t="s">
        <v>357</v>
      </c>
      <c r="H354" s="649" t="s">
        <v>3981</v>
      </c>
      <c r="I354" s="652" t="s">
        <v>11</v>
      </c>
      <c r="J354" s="622" t="s">
        <v>6704</v>
      </c>
      <c r="K354" s="680">
        <v>3485</v>
      </c>
      <c r="L354" s="680"/>
      <c r="M354" s="681">
        <v>15000</v>
      </c>
      <c r="N354" s="681"/>
      <c r="O354" s="681">
        <v>15000</v>
      </c>
      <c r="P354" s="680">
        <v>2000</v>
      </c>
      <c r="Q354" s="682">
        <v>13000</v>
      </c>
      <c r="R354" s="681">
        <v>0</v>
      </c>
      <c r="S354" s="658"/>
    </row>
    <row r="355" spans="1:19" s="659" customFormat="1" ht="20.100000000000001" customHeight="1">
      <c r="A355" s="657" t="s">
        <v>3979</v>
      </c>
      <c r="B355" s="649" t="s">
        <v>3980</v>
      </c>
      <c r="C355" s="621"/>
      <c r="D355" s="621"/>
      <c r="E355" s="649" t="s">
        <v>1278</v>
      </c>
      <c r="F355" s="622" t="s">
        <v>1280</v>
      </c>
      <c r="G355" s="622" t="s">
        <v>357</v>
      </c>
      <c r="H355" s="649" t="s">
        <v>3981</v>
      </c>
      <c r="I355" s="652" t="s">
        <v>11</v>
      </c>
      <c r="J355" s="622" t="s">
        <v>6704</v>
      </c>
      <c r="K355" s="680">
        <v>3485</v>
      </c>
      <c r="L355" s="680">
        <v>15</v>
      </c>
      <c r="M355" s="681">
        <v>0</v>
      </c>
      <c r="N355" s="681"/>
      <c r="O355" s="681">
        <v>15</v>
      </c>
      <c r="P355" s="680">
        <v>0</v>
      </c>
      <c r="Q355" s="682">
        <v>15</v>
      </c>
      <c r="R355" s="681">
        <v>0</v>
      </c>
      <c r="S355" s="658"/>
    </row>
    <row r="356" spans="1:19" s="659" customFormat="1" ht="20.100000000000001" customHeight="1">
      <c r="A356" s="657" t="s">
        <v>3977</v>
      </c>
      <c r="B356" s="649" t="s">
        <v>3980</v>
      </c>
      <c r="C356" s="621"/>
      <c r="D356" s="621"/>
      <c r="E356" s="649" t="s">
        <v>1278</v>
      </c>
      <c r="F356" s="622" t="s">
        <v>1280</v>
      </c>
      <c r="G356" s="622" t="s">
        <v>357</v>
      </c>
      <c r="H356" s="649" t="s">
        <v>3981</v>
      </c>
      <c r="I356" s="652" t="s">
        <v>11</v>
      </c>
      <c r="J356" s="622" t="s">
        <v>6704</v>
      </c>
      <c r="K356" s="680">
        <v>3485</v>
      </c>
      <c r="L356" s="680">
        <v>2874</v>
      </c>
      <c r="M356" s="681">
        <v>0</v>
      </c>
      <c r="N356" s="681"/>
      <c r="O356" s="681">
        <v>2874</v>
      </c>
      <c r="P356" s="680">
        <v>0</v>
      </c>
      <c r="Q356" s="682">
        <v>2874</v>
      </c>
      <c r="R356" s="681">
        <v>0</v>
      </c>
      <c r="S356" s="658"/>
    </row>
    <row r="357" spans="1:19" s="659" customFormat="1" ht="20.100000000000001" customHeight="1">
      <c r="A357" s="657" t="s">
        <v>3977</v>
      </c>
      <c r="B357" s="649" t="s">
        <v>3980</v>
      </c>
      <c r="C357" s="621"/>
      <c r="D357" s="621"/>
      <c r="E357" s="649" t="s">
        <v>1278</v>
      </c>
      <c r="F357" s="622" t="s">
        <v>1280</v>
      </c>
      <c r="G357" s="622" t="s">
        <v>357</v>
      </c>
      <c r="H357" s="649" t="s">
        <v>3981</v>
      </c>
      <c r="I357" s="652" t="s">
        <v>11</v>
      </c>
      <c r="J357" s="622" t="s">
        <v>6704</v>
      </c>
      <c r="K357" s="680">
        <v>3485</v>
      </c>
      <c r="L357" s="680"/>
      <c r="M357" s="681">
        <v>15000</v>
      </c>
      <c r="N357" s="681"/>
      <c r="O357" s="681">
        <v>11946</v>
      </c>
      <c r="P357" s="680">
        <v>4000</v>
      </c>
      <c r="Q357" s="682">
        <v>7946</v>
      </c>
      <c r="R357" s="681">
        <v>3054</v>
      </c>
      <c r="S357" s="658"/>
    </row>
    <row r="358" spans="1:19" s="659" customFormat="1" ht="20.100000000000001" customHeight="1">
      <c r="A358" s="657" t="s">
        <v>4842</v>
      </c>
      <c r="B358" s="649" t="s">
        <v>227</v>
      </c>
      <c r="C358" s="621"/>
      <c r="D358" s="621"/>
      <c r="E358" s="649" t="s">
        <v>4843</v>
      </c>
      <c r="F358" s="622" t="s">
        <v>5511</v>
      </c>
      <c r="G358" s="622" t="s">
        <v>5512</v>
      </c>
      <c r="H358" s="649" t="s">
        <v>225</v>
      </c>
      <c r="I358" s="652" t="s">
        <v>410</v>
      </c>
      <c r="J358" s="622" t="s">
        <v>5510</v>
      </c>
      <c r="K358" s="680">
        <v>790</v>
      </c>
      <c r="L358" s="680">
        <v>1307</v>
      </c>
      <c r="M358" s="681">
        <v>0</v>
      </c>
      <c r="N358" s="681"/>
      <c r="O358" s="681">
        <v>1307</v>
      </c>
      <c r="P358" s="680">
        <v>0</v>
      </c>
      <c r="Q358" s="682">
        <v>1307</v>
      </c>
      <c r="R358" s="681">
        <v>0</v>
      </c>
      <c r="S358" s="658"/>
    </row>
    <row r="359" spans="1:19" s="659" customFormat="1" ht="20.100000000000001" customHeight="1">
      <c r="A359" s="657" t="s">
        <v>4842</v>
      </c>
      <c r="B359" s="649" t="s">
        <v>227</v>
      </c>
      <c r="C359" s="621"/>
      <c r="D359" s="621"/>
      <c r="E359" s="649" t="s">
        <v>4843</v>
      </c>
      <c r="F359" s="622" t="s">
        <v>5511</v>
      </c>
      <c r="G359" s="622" t="s">
        <v>5512</v>
      </c>
      <c r="H359" s="649" t="s">
        <v>225</v>
      </c>
      <c r="I359" s="652" t="s">
        <v>410</v>
      </c>
      <c r="J359" s="622" t="s">
        <v>5510</v>
      </c>
      <c r="K359" s="680">
        <v>790</v>
      </c>
      <c r="L359" s="680">
        <v>4608</v>
      </c>
      <c r="M359" s="681">
        <v>0</v>
      </c>
      <c r="N359" s="681"/>
      <c r="O359" s="681">
        <v>4608</v>
      </c>
      <c r="P359" s="680">
        <v>0</v>
      </c>
      <c r="Q359" s="682">
        <v>4608</v>
      </c>
      <c r="R359" s="681">
        <v>0</v>
      </c>
      <c r="S359" s="658"/>
    </row>
    <row r="360" spans="1:19" s="659" customFormat="1" ht="20.100000000000001" customHeight="1">
      <c r="A360" s="657" t="s">
        <v>4842</v>
      </c>
      <c r="B360" s="649" t="s">
        <v>227</v>
      </c>
      <c r="C360" s="621"/>
      <c r="D360" s="621"/>
      <c r="E360" s="649" t="s">
        <v>4843</v>
      </c>
      <c r="F360" s="622" t="s">
        <v>5511</v>
      </c>
      <c r="G360" s="622" t="s">
        <v>5512</v>
      </c>
      <c r="H360" s="649" t="s">
        <v>225</v>
      </c>
      <c r="I360" s="652" t="s">
        <v>410</v>
      </c>
      <c r="J360" s="622" t="s">
        <v>5510</v>
      </c>
      <c r="K360" s="680">
        <v>790</v>
      </c>
      <c r="L360" s="680">
        <v>23616</v>
      </c>
      <c r="M360" s="681">
        <v>0</v>
      </c>
      <c r="N360" s="681"/>
      <c r="O360" s="681">
        <v>6800</v>
      </c>
      <c r="P360" s="680">
        <v>480</v>
      </c>
      <c r="Q360" s="682">
        <v>6320</v>
      </c>
      <c r="R360" s="681">
        <v>16816</v>
      </c>
      <c r="S360" s="658"/>
    </row>
    <row r="361" spans="1:19" s="659" customFormat="1" ht="20.100000000000001" customHeight="1">
      <c r="A361" s="657" t="s">
        <v>4842</v>
      </c>
      <c r="B361" s="649" t="s">
        <v>227</v>
      </c>
      <c r="C361" s="621"/>
      <c r="D361" s="621"/>
      <c r="E361" s="649" t="s">
        <v>4843</v>
      </c>
      <c r="F361" s="622" t="s">
        <v>5511</v>
      </c>
      <c r="G361" s="622" t="s">
        <v>5512</v>
      </c>
      <c r="H361" s="649" t="s">
        <v>225</v>
      </c>
      <c r="I361" s="652" t="s">
        <v>410</v>
      </c>
      <c r="J361" s="622" t="s">
        <v>5510</v>
      </c>
      <c r="K361" s="680">
        <v>790</v>
      </c>
      <c r="L361" s="680">
        <v>26384</v>
      </c>
      <c r="M361" s="681">
        <v>0</v>
      </c>
      <c r="N361" s="681"/>
      <c r="O361" s="681">
        <v>0</v>
      </c>
      <c r="P361" s="680">
        <v>0</v>
      </c>
      <c r="Q361" s="682">
        <v>0</v>
      </c>
      <c r="R361" s="681">
        <v>26384</v>
      </c>
      <c r="S361" s="658"/>
    </row>
    <row r="362" spans="1:19" s="659" customFormat="1" ht="20.100000000000001" customHeight="1">
      <c r="A362" s="657" t="s">
        <v>3983</v>
      </c>
      <c r="B362" s="649" t="s">
        <v>560</v>
      </c>
      <c r="C362" s="621"/>
      <c r="D362" s="621"/>
      <c r="E362" s="649" t="s">
        <v>1944</v>
      </c>
      <c r="F362" s="622" t="s">
        <v>1945</v>
      </c>
      <c r="G362" s="622" t="s">
        <v>1946</v>
      </c>
      <c r="H362" s="649" t="s">
        <v>258</v>
      </c>
      <c r="I362" s="652" t="s">
        <v>11</v>
      </c>
      <c r="J362" s="622" t="s">
        <v>7003</v>
      </c>
      <c r="K362" s="680">
        <v>1092</v>
      </c>
      <c r="L362" s="680"/>
      <c r="M362" s="681">
        <v>2000</v>
      </c>
      <c r="N362" s="681"/>
      <c r="O362" s="681">
        <v>0</v>
      </c>
      <c r="P362" s="680">
        <v>0</v>
      </c>
      <c r="Q362" s="682">
        <v>0</v>
      </c>
      <c r="R362" s="681">
        <v>2000</v>
      </c>
      <c r="S362" s="658"/>
    </row>
    <row r="363" spans="1:19" s="659" customFormat="1" ht="20.100000000000001" customHeight="1">
      <c r="A363" s="657" t="s">
        <v>3983</v>
      </c>
      <c r="B363" s="649" t="s">
        <v>560</v>
      </c>
      <c r="C363" s="621"/>
      <c r="D363" s="621"/>
      <c r="E363" s="649" t="s">
        <v>1944</v>
      </c>
      <c r="F363" s="622" t="s">
        <v>1945</v>
      </c>
      <c r="G363" s="622" t="s">
        <v>1946</v>
      </c>
      <c r="H363" s="649" t="s">
        <v>258</v>
      </c>
      <c r="I363" s="652" t="s">
        <v>11</v>
      </c>
      <c r="J363" s="622" t="s">
        <v>7003</v>
      </c>
      <c r="K363" s="680">
        <v>1092</v>
      </c>
      <c r="L363" s="680">
        <v>2274</v>
      </c>
      <c r="M363" s="681">
        <v>0</v>
      </c>
      <c r="N363" s="681"/>
      <c r="O363" s="681">
        <v>2274</v>
      </c>
      <c r="P363" s="680">
        <v>1000</v>
      </c>
      <c r="Q363" s="682">
        <v>1274</v>
      </c>
      <c r="R363" s="681">
        <v>0</v>
      </c>
      <c r="S363" s="658"/>
    </row>
    <row r="364" spans="1:19" s="659" customFormat="1" ht="20.100000000000001" customHeight="1">
      <c r="A364" s="657" t="s">
        <v>3983</v>
      </c>
      <c r="B364" s="649" t="s">
        <v>560</v>
      </c>
      <c r="C364" s="621"/>
      <c r="D364" s="621"/>
      <c r="E364" s="649" t="s">
        <v>1944</v>
      </c>
      <c r="F364" s="622" t="s">
        <v>1945</v>
      </c>
      <c r="G364" s="622" t="s">
        <v>1946</v>
      </c>
      <c r="H364" s="649" t="s">
        <v>258</v>
      </c>
      <c r="I364" s="652" t="s">
        <v>11</v>
      </c>
      <c r="J364" s="622" t="s">
        <v>7003</v>
      </c>
      <c r="K364" s="680">
        <v>1092</v>
      </c>
      <c r="L364" s="680">
        <v>200</v>
      </c>
      <c r="M364" s="681">
        <v>0</v>
      </c>
      <c r="N364" s="681"/>
      <c r="O364" s="681">
        <v>200</v>
      </c>
      <c r="P364" s="680">
        <v>0</v>
      </c>
      <c r="Q364" s="682">
        <v>200</v>
      </c>
      <c r="R364" s="681">
        <v>0</v>
      </c>
      <c r="S364" s="658"/>
    </row>
    <row r="365" spans="1:19" s="659" customFormat="1" ht="20.100000000000001" customHeight="1">
      <c r="A365" s="657" t="s">
        <v>7678</v>
      </c>
      <c r="B365" s="649" t="s">
        <v>836</v>
      </c>
      <c r="C365" s="621"/>
      <c r="D365" s="621"/>
      <c r="E365" s="649" t="s">
        <v>7680</v>
      </c>
      <c r="F365" s="622" t="s">
        <v>7682</v>
      </c>
      <c r="G365" s="622" t="s">
        <v>7683</v>
      </c>
      <c r="H365" s="649" t="s">
        <v>7679</v>
      </c>
      <c r="I365" s="652" t="s">
        <v>7684</v>
      </c>
      <c r="J365" s="622" t="s">
        <v>7681</v>
      </c>
      <c r="K365" s="680">
        <v>1850</v>
      </c>
      <c r="L365" s="680"/>
      <c r="M365" s="681">
        <v>500</v>
      </c>
      <c r="N365" s="681"/>
      <c r="O365" s="681">
        <v>500</v>
      </c>
      <c r="P365" s="680">
        <v>0</v>
      </c>
      <c r="Q365" s="682">
        <v>500</v>
      </c>
      <c r="R365" s="681">
        <v>0</v>
      </c>
      <c r="S365" s="658"/>
    </row>
    <row r="366" spans="1:19" s="659" customFormat="1" ht="20.100000000000001" customHeight="1">
      <c r="A366" s="657" t="s">
        <v>7678</v>
      </c>
      <c r="B366" s="649" t="s">
        <v>836</v>
      </c>
      <c r="C366" s="621"/>
      <c r="D366" s="621"/>
      <c r="E366" s="649" t="s">
        <v>7680</v>
      </c>
      <c r="F366" s="622" t="s">
        <v>7682</v>
      </c>
      <c r="G366" s="622" t="s">
        <v>7683</v>
      </c>
      <c r="H366" s="649" t="s">
        <v>7679</v>
      </c>
      <c r="I366" s="652" t="s">
        <v>7684</v>
      </c>
      <c r="J366" s="622" t="s">
        <v>7681</v>
      </c>
      <c r="K366" s="680">
        <v>1850</v>
      </c>
      <c r="L366" s="680">
        <v>200</v>
      </c>
      <c r="M366" s="681">
        <v>0</v>
      </c>
      <c r="N366" s="681"/>
      <c r="O366" s="681">
        <v>200</v>
      </c>
      <c r="P366" s="680">
        <v>0</v>
      </c>
      <c r="Q366" s="682">
        <v>200</v>
      </c>
      <c r="R366" s="681">
        <v>0</v>
      </c>
      <c r="S366" s="658"/>
    </row>
    <row r="367" spans="1:19" s="659" customFormat="1" ht="20.100000000000001" customHeight="1">
      <c r="A367" s="657" t="s">
        <v>3986</v>
      </c>
      <c r="B367" s="649" t="s">
        <v>750</v>
      </c>
      <c r="C367" s="621"/>
      <c r="D367" s="621"/>
      <c r="E367" s="649" t="s">
        <v>3987</v>
      </c>
      <c r="F367" s="622" t="s">
        <v>6062</v>
      </c>
      <c r="G367" s="622" t="s">
        <v>6063</v>
      </c>
      <c r="H367" s="649" t="s">
        <v>232</v>
      </c>
      <c r="I367" s="652" t="s">
        <v>11</v>
      </c>
      <c r="J367" s="622" t="s">
        <v>6061</v>
      </c>
      <c r="K367" s="680">
        <v>2258</v>
      </c>
      <c r="L367" s="680">
        <v>100</v>
      </c>
      <c r="M367" s="681">
        <v>0</v>
      </c>
      <c r="N367" s="681"/>
      <c r="O367" s="681">
        <v>100</v>
      </c>
      <c r="P367" s="680">
        <v>90</v>
      </c>
      <c r="Q367" s="682">
        <v>10</v>
      </c>
      <c r="R367" s="681">
        <v>0</v>
      </c>
      <c r="S367" s="658"/>
    </row>
    <row r="368" spans="1:19" s="659" customFormat="1" ht="20.100000000000001" customHeight="1">
      <c r="A368" s="657" t="s">
        <v>3986</v>
      </c>
      <c r="B368" s="649" t="s">
        <v>750</v>
      </c>
      <c r="C368" s="621"/>
      <c r="D368" s="621"/>
      <c r="E368" s="649" t="s">
        <v>3987</v>
      </c>
      <c r="F368" s="622" t="s">
        <v>6062</v>
      </c>
      <c r="G368" s="622" t="s">
        <v>6063</v>
      </c>
      <c r="H368" s="649" t="s">
        <v>232</v>
      </c>
      <c r="I368" s="652" t="s">
        <v>11</v>
      </c>
      <c r="J368" s="622" t="s">
        <v>6061</v>
      </c>
      <c r="K368" s="680">
        <v>2258</v>
      </c>
      <c r="L368" s="680">
        <v>60</v>
      </c>
      <c r="M368" s="681">
        <v>0</v>
      </c>
      <c r="N368" s="681"/>
      <c r="O368" s="681">
        <v>36</v>
      </c>
      <c r="P368" s="680">
        <v>16</v>
      </c>
      <c r="Q368" s="682">
        <v>20</v>
      </c>
      <c r="R368" s="681">
        <v>24</v>
      </c>
      <c r="S368" s="658"/>
    </row>
    <row r="369" spans="1:19" s="659" customFormat="1" ht="20.100000000000001" customHeight="1">
      <c r="A369" s="657" t="s">
        <v>3986</v>
      </c>
      <c r="B369" s="649" t="s">
        <v>750</v>
      </c>
      <c r="C369" s="621"/>
      <c r="D369" s="621"/>
      <c r="E369" s="649" t="s">
        <v>3987</v>
      </c>
      <c r="F369" s="622" t="s">
        <v>6062</v>
      </c>
      <c r="G369" s="622" t="s">
        <v>6063</v>
      </c>
      <c r="H369" s="649" t="s">
        <v>232</v>
      </c>
      <c r="I369" s="652" t="s">
        <v>11</v>
      </c>
      <c r="J369" s="622" t="s">
        <v>6061</v>
      </c>
      <c r="K369" s="680">
        <v>2258</v>
      </c>
      <c r="L369" s="680"/>
      <c r="M369" s="681">
        <v>100</v>
      </c>
      <c r="N369" s="681"/>
      <c r="O369" s="681">
        <v>100</v>
      </c>
      <c r="P369" s="680">
        <v>100</v>
      </c>
      <c r="Q369" s="682">
        <v>0</v>
      </c>
      <c r="R369" s="681">
        <v>0</v>
      </c>
      <c r="S369" s="658"/>
    </row>
    <row r="370" spans="1:19" s="659" customFormat="1" ht="20.100000000000001" customHeight="1">
      <c r="A370" s="657" t="s">
        <v>3986</v>
      </c>
      <c r="B370" s="649" t="s">
        <v>750</v>
      </c>
      <c r="C370" s="621"/>
      <c r="D370" s="621"/>
      <c r="E370" s="649" t="s">
        <v>3987</v>
      </c>
      <c r="F370" s="622" t="s">
        <v>6062</v>
      </c>
      <c r="G370" s="622" t="s">
        <v>6063</v>
      </c>
      <c r="H370" s="649" t="s">
        <v>232</v>
      </c>
      <c r="I370" s="652" t="s">
        <v>11</v>
      </c>
      <c r="J370" s="622" t="s">
        <v>6061</v>
      </c>
      <c r="K370" s="680">
        <v>2258</v>
      </c>
      <c r="L370" s="680"/>
      <c r="M370" s="681">
        <v>300</v>
      </c>
      <c r="N370" s="681"/>
      <c r="O370" s="681">
        <v>30</v>
      </c>
      <c r="P370" s="680">
        <v>0</v>
      </c>
      <c r="Q370" s="682">
        <v>30</v>
      </c>
      <c r="R370" s="681">
        <v>270</v>
      </c>
      <c r="S370" s="658"/>
    </row>
    <row r="371" spans="1:19" s="659" customFormat="1" ht="20.100000000000001" customHeight="1">
      <c r="A371" s="657" t="s">
        <v>3990</v>
      </c>
      <c r="B371" s="649" t="s">
        <v>1330</v>
      </c>
      <c r="C371" s="621"/>
      <c r="D371" s="621"/>
      <c r="E371" s="649" t="s">
        <v>2481</v>
      </c>
      <c r="F371" s="622" t="s">
        <v>6002</v>
      </c>
      <c r="G371" s="622" t="s">
        <v>6003</v>
      </c>
      <c r="H371" s="649" t="s">
        <v>1580</v>
      </c>
      <c r="I371" s="652" t="s">
        <v>520</v>
      </c>
      <c r="J371" s="622" t="s">
        <v>6001</v>
      </c>
      <c r="K371" s="680">
        <v>8900</v>
      </c>
      <c r="L371" s="680">
        <v>100</v>
      </c>
      <c r="M371" s="681">
        <v>3</v>
      </c>
      <c r="N371" s="681"/>
      <c r="O371" s="681">
        <v>103</v>
      </c>
      <c r="P371" s="680">
        <v>103</v>
      </c>
      <c r="Q371" s="682">
        <v>0</v>
      </c>
      <c r="R371" s="681">
        <v>0</v>
      </c>
      <c r="S371" s="658"/>
    </row>
    <row r="372" spans="1:19" s="659" customFormat="1" ht="20.100000000000001" customHeight="1">
      <c r="A372" s="657" t="s">
        <v>3990</v>
      </c>
      <c r="B372" s="649" t="s">
        <v>1330</v>
      </c>
      <c r="C372" s="621"/>
      <c r="D372" s="621"/>
      <c r="E372" s="649" t="s">
        <v>2481</v>
      </c>
      <c r="F372" s="622" t="s">
        <v>6002</v>
      </c>
      <c r="G372" s="622" t="s">
        <v>6003</v>
      </c>
      <c r="H372" s="649" t="s">
        <v>1580</v>
      </c>
      <c r="I372" s="652" t="s">
        <v>520</v>
      </c>
      <c r="J372" s="622" t="s">
        <v>6001</v>
      </c>
      <c r="K372" s="680">
        <v>8900</v>
      </c>
      <c r="L372" s="680"/>
      <c r="M372" s="681">
        <v>500</v>
      </c>
      <c r="N372" s="681"/>
      <c r="O372" s="681">
        <v>44</v>
      </c>
      <c r="P372" s="680">
        <v>39</v>
      </c>
      <c r="Q372" s="682">
        <v>5</v>
      </c>
      <c r="R372" s="681">
        <v>456</v>
      </c>
      <c r="S372" s="658"/>
    </row>
    <row r="373" spans="1:19" s="659" customFormat="1" ht="20.100000000000001" customHeight="1">
      <c r="A373" s="657" t="s">
        <v>3990</v>
      </c>
      <c r="B373" s="649" t="s">
        <v>1330</v>
      </c>
      <c r="C373" s="621"/>
      <c r="D373" s="621"/>
      <c r="E373" s="649" t="s">
        <v>2481</v>
      </c>
      <c r="F373" s="622" t="s">
        <v>6002</v>
      </c>
      <c r="G373" s="622" t="s">
        <v>6003</v>
      </c>
      <c r="H373" s="649" t="s">
        <v>1580</v>
      </c>
      <c r="I373" s="652" t="s">
        <v>520</v>
      </c>
      <c r="J373" s="622" t="s">
        <v>6001</v>
      </c>
      <c r="K373" s="680">
        <v>8900</v>
      </c>
      <c r="L373" s="680">
        <v>171</v>
      </c>
      <c r="M373" s="681">
        <v>0</v>
      </c>
      <c r="N373" s="681"/>
      <c r="O373" s="681">
        <v>171</v>
      </c>
      <c r="P373" s="680">
        <v>171</v>
      </c>
      <c r="Q373" s="682">
        <v>0</v>
      </c>
      <c r="R373" s="681">
        <v>0</v>
      </c>
      <c r="S373" s="658"/>
    </row>
    <row r="374" spans="1:19" s="659" customFormat="1" ht="20.100000000000001" customHeight="1">
      <c r="A374" s="657" t="s">
        <v>3990</v>
      </c>
      <c r="B374" s="649" t="s">
        <v>1330</v>
      </c>
      <c r="C374" s="621"/>
      <c r="D374" s="621"/>
      <c r="E374" s="649" t="s">
        <v>2481</v>
      </c>
      <c r="F374" s="622" t="s">
        <v>6002</v>
      </c>
      <c r="G374" s="622" t="s">
        <v>6003</v>
      </c>
      <c r="H374" s="649" t="s">
        <v>1580</v>
      </c>
      <c r="I374" s="652" t="s">
        <v>520</v>
      </c>
      <c r="J374" s="622" t="s">
        <v>6001</v>
      </c>
      <c r="K374" s="680">
        <v>8900</v>
      </c>
      <c r="L374" s="680">
        <v>64</v>
      </c>
      <c r="M374" s="681">
        <v>0</v>
      </c>
      <c r="N374" s="681"/>
      <c r="O374" s="681">
        <v>63</v>
      </c>
      <c r="P374" s="680">
        <v>63</v>
      </c>
      <c r="Q374" s="682">
        <v>0</v>
      </c>
      <c r="R374" s="681">
        <v>1</v>
      </c>
      <c r="S374" s="658"/>
    </row>
    <row r="375" spans="1:19" s="659" customFormat="1" ht="20.100000000000001" customHeight="1">
      <c r="A375" s="657" t="s">
        <v>4846</v>
      </c>
      <c r="B375" s="649" t="s">
        <v>236</v>
      </c>
      <c r="C375" s="621"/>
      <c r="D375" s="621"/>
      <c r="E375" s="649" t="s">
        <v>236</v>
      </c>
      <c r="F375" s="622" t="s">
        <v>375</v>
      </c>
      <c r="G375" s="622" t="s">
        <v>360</v>
      </c>
      <c r="H375" s="649" t="s">
        <v>327</v>
      </c>
      <c r="I375" s="652" t="s">
        <v>10</v>
      </c>
      <c r="J375" s="622" t="s">
        <v>5103</v>
      </c>
      <c r="K375" s="680">
        <v>77</v>
      </c>
      <c r="L375" s="680">
        <v>12813</v>
      </c>
      <c r="M375" s="681">
        <v>0</v>
      </c>
      <c r="N375" s="681"/>
      <c r="O375" s="681">
        <v>12813</v>
      </c>
      <c r="P375" s="680">
        <v>1100</v>
      </c>
      <c r="Q375" s="682">
        <v>11713</v>
      </c>
      <c r="R375" s="681">
        <v>0</v>
      </c>
      <c r="S375" s="658"/>
    </row>
    <row r="376" spans="1:19" s="659" customFormat="1" ht="20.100000000000001" customHeight="1">
      <c r="A376" s="657" t="s">
        <v>4847</v>
      </c>
      <c r="B376" s="649" t="s">
        <v>236</v>
      </c>
      <c r="C376" s="621"/>
      <c r="D376" s="621"/>
      <c r="E376" s="649" t="s">
        <v>236</v>
      </c>
      <c r="F376" s="622" t="s">
        <v>375</v>
      </c>
      <c r="G376" s="622" t="s">
        <v>360</v>
      </c>
      <c r="H376" s="649" t="s">
        <v>327</v>
      </c>
      <c r="I376" s="652" t="s">
        <v>10</v>
      </c>
      <c r="J376" s="622" t="s">
        <v>5103</v>
      </c>
      <c r="K376" s="680">
        <v>77</v>
      </c>
      <c r="L376" s="680">
        <v>100000</v>
      </c>
      <c r="M376" s="681">
        <v>0</v>
      </c>
      <c r="N376" s="681"/>
      <c r="O376" s="681">
        <v>48425</v>
      </c>
      <c r="P376" s="680">
        <v>39940</v>
      </c>
      <c r="Q376" s="682">
        <v>8485</v>
      </c>
      <c r="R376" s="681">
        <v>51575</v>
      </c>
      <c r="S376" s="658"/>
    </row>
    <row r="377" spans="1:19" s="659" customFormat="1" ht="20.100000000000001" customHeight="1">
      <c r="A377" s="657" t="s">
        <v>8009</v>
      </c>
      <c r="B377" s="649" t="s">
        <v>2482</v>
      </c>
      <c r="C377" s="621"/>
      <c r="D377" s="621"/>
      <c r="E377" s="649" t="s">
        <v>2950</v>
      </c>
      <c r="F377" s="622" t="s">
        <v>2951</v>
      </c>
      <c r="G377" s="622" t="s">
        <v>8012</v>
      </c>
      <c r="H377" s="649" t="s">
        <v>2483</v>
      </c>
      <c r="I377" s="652" t="s">
        <v>13</v>
      </c>
      <c r="J377" s="622" t="s">
        <v>8011</v>
      </c>
      <c r="K377" s="680">
        <v>5460</v>
      </c>
      <c r="L377" s="680"/>
      <c r="M377" s="681">
        <v>11250</v>
      </c>
      <c r="N377" s="681"/>
      <c r="O377" s="681">
        <v>550</v>
      </c>
      <c r="P377" s="680">
        <v>550</v>
      </c>
      <c r="Q377" s="682">
        <v>0</v>
      </c>
      <c r="R377" s="681">
        <v>10700</v>
      </c>
      <c r="S377" s="658"/>
    </row>
    <row r="378" spans="1:19" s="659" customFormat="1" ht="20.100000000000001" customHeight="1">
      <c r="A378" s="657" t="s">
        <v>11698</v>
      </c>
      <c r="B378" s="649" t="s">
        <v>9825</v>
      </c>
      <c r="C378" s="621"/>
      <c r="D378" s="621"/>
      <c r="E378" s="649" t="s">
        <v>1152</v>
      </c>
      <c r="F378" s="661" t="s">
        <v>1154</v>
      </c>
      <c r="G378" s="622" t="s">
        <v>12655</v>
      </c>
      <c r="H378" s="649" t="s">
        <v>9828</v>
      </c>
      <c r="I378" s="652" t="s">
        <v>11</v>
      </c>
      <c r="J378" s="622" t="s">
        <v>12660</v>
      </c>
      <c r="K378" s="680">
        <v>1600</v>
      </c>
      <c r="L378" s="680">
        <v>1713</v>
      </c>
      <c r="M378" s="681">
        <v>0</v>
      </c>
      <c r="N378" s="681"/>
      <c r="O378" s="681">
        <v>1712</v>
      </c>
      <c r="P378" s="680">
        <v>0</v>
      </c>
      <c r="Q378" s="682">
        <v>1712</v>
      </c>
      <c r="R378" s="681">
        <v>1</v>
      </c>
      <c r="S378" s="658"/>
    </row>
    <row r="379" spans="1:19" s="659" customFormat="1" ht="20.100000000000001" customHeight="1">
      <c r="A379" s="657" t="s">
        <v>11698</v>
      </c>
      <c r="B379" s="649" t="s">
        <v>9825</v>
      </c>
      <c r="C379" s="621"/>
      <c r="D379" s="621"/>
      <c r="E379" s="649" t="s">
        <v>1152</v>
      </c>
      <c r="F379" s="661" t="s">
        <v>1154</v>
      </c>
      <c r="G379" s="622" t="s">
        <v>12655</v>
      </c>
      <c r="H379" s="649" t="s">
        <v>9828</v>
      </c>
      <c r="I379" s="652" t="s">
        <v>11</v>
      </c>
      <c r="J379" s="622" t="s">
        <v>12660</v>
      </c>
      <c r="K379" s="680">
        <v>1600</v>
      </c>
      <c r="L379" s="680">
        <v>204</v>
      </c>
      <c r="M379" s="681">
        <v>0</v>
      </c>
      <c r="N379" s="681"/>
      <c r="O379" s="681">
        <v>204</v>
      </c>
      <c r="P379" s="680">
        <v>0</v>
      </c>
      <c r="Q379" s="682">
        <v>204</v>
      </c>
      <c r="R379" s="681">
        <v>0</v>
      </c>
      <c r="S379" s="658"/>
    </row>
    <row r="380" spans="1:19" s="659" customFormat="1" ht="20.100000000000001" customHeight="1">
      <c r="A380" s="657" t="s">
        <v>3994</v>
      </c>
      <c r="B380" s="649" t="s">
        <v>634</v>
      </c>
      <c r="C380" s="621"/>
      <c r="D380" s="621"/>
      <c r="E380" s="649" t="s">
        <v>3995</v>
      </c>
      <c r="F380" s="622" t="s">
        <v>6785</v>
      </c>
      <c r="G380" s="622" t="s">
        <v>6719</v>
      </c>
      <c r="H380" s="649" t="s">
        <v>235</v>
      </c>
      <c r="I380" s="652" t="s">
        <v>11</v>
      </c>
      <c r="J380" s="622" t="s">
        <v>6784</v>
      </c>
      <c r="K380" s="680">
        <v>1590</v>
      </c>
      <c r="L380" s="680">
        <v>2043</v>
      </c>
      <c r="M380" s="681">
        <v>23</v>
      </c>
      <c r="N380" s="681"/>
      <c r="O380" s="681">
        <v>2065</v>
      </c>
      <c r="P380" s="680">
        <v>1365</v>
      </c>
      <c r="Q380" s="682">
        <v>700</v>
      </c>
      <c r="R380" s="681">
        <v>1</v>
      </c>
      <c r="S380" s="658"/>
    </row>
    <row r="381" spans="1:19" s="659" customFormat="1" ht="20.100000000000001" customHeight="1">
      <c r="A381" s="657" t="s">
        <v>3994</v>
      </c>
      <c r="B381" s="649" t="s">
        <v>634</v>
      </c>
      <c r="C381" s="621"/>
      <c r="D381" s="621"/>
      <c r="E381" s="649" t="s">
        <v>3995</v>
      </c>
      <c r="F381" s="622" t="s">
        <v>6785</v>
      </c>
      <c r="G381" s="622" t="s">
        <v>6719</v>
      </c>
      <c r="H381" s="649" t="s">
        <v>235</v>
      </c>
      <c r="I381" s="652" t="s">
        <v>11</v>
      </c>
      <c r="J381" s="622" t="s">
        <v>6784</v>
      </c>
      <c r="K381" s="680">
        <v>1590</v>
      </c>
      <c r="L381" s="680"/>
      <c r="M381" s="681">
        <v>6010</v>
      </c>
      <c r="N381" s="681"/>
      <c r="O381" s="681">
        <v>6008</v>
      </c>
      <c r="P381" s="680">
        <v>6008</v>
      </c>
      <c r="Q381" s="682">
        <v>0</v>
      </c>
      <c r="R381" s="681">
        <v>2</v>
      </c>
      <c r="S381" s="658"/>
    </row>
    <row r="382" spans="1:19" s="659" customFormat="1" ht="20.100000000000001" customHeight="1">
      <c r="A382" s="657" t="s">
        <v>3994</v>
      </c>
      <c r="B382" s="649" t="s">
        <v>634</v>
      </c>
      <c r="C382" s="621"/>
      <c r="D382" s="621"/>
      <c r="E382" s="649" t="s">
        <v>3995</v>
      </c>
      <c r="F382" s="622" t="s">
        <v>6785</v>
      </c>
      <c r="G382" s="622" t="s">
        <v>6719</v>
      </c>
      <c r="H382" s="649" t="s">
        <v>235</v>
      </c>
      <c r="I382" s="652" t="s">
        <v>11</v>
      </c>
      <c r="J382" s="622" t="s">
        <v>6784</v>
      </c>
      <c r="K382" s="680">
        <v>1590</v>
      </c>
      <c r="L382" s="680"/>
      <c r="M382" s="681">
        <v>8001</v>
      </c>
      <c r="N382" s="681"/>
      <c r="O382" s="681">
        <v>503</v>
      </c>
      <c r="P382" s="680">
        <v>494</v>
      </c>
      <c r="Q382" s="682">
        <v>9</v>
      </c>
      <c r="R382" s="681">
        <v>7498</v>
      </c>
      <c r="S382" s="658"/>
    </row>
    <row r="383" spans="1:19" s="659" customFormat="1" ht="20.100000000000001" customHeight="1">
      <c r="A383" s="657"/>
      <c r="B383" s="649" t="s">
        <v>1335</v>
      </c>
      <c r="C383" s="621"/>
      <c r="D383" s="621"/>
      <c r="E383" s="649" t="s">
        <v>1335</v>
      </c>
      <c r="F383" s="622" t="s">
        <v>7367</v>
      </c>
      <c r="G383" s="622" t="s">
        <v>7001</v>
      </c>
      <c r="H383" s="649" t="s">
        <v>225</v>
      </c>
      <c r="I383" s="652" t="s">
        <v>11</v>
      </c>
      <c r="J383" s="622" t="s">
        <v>7196</v>
      </c>
      <c r="K383" s="680">
        <v>1185</v>
      </c>
      <c r="L383" s="680">
        <v>2</v>
      </c>
      <c r="M383" s="681">
        <v>0</v>
      </c>
      <c r="N383" s="681"/>
      <c r="O383" s="681">
        <v>2</v>
      </c>
      <c r="P383" s="680">
        <v>0</v>
      </c>
      <c r="Q383" s="682">
        <v>2</v>
      </c>
      <c r="R383" s="681">
        <v>0</v>
      </c>
      <c r="S383" s="658"/>
    </row>
    <row r="384" spans="1:19" s="659" customFormat="1" ht="20.100000000000001" customHeight="1">
      <c r="A384" s="657" t="s">
        <v>4493</v>
      </c>
      <c r="B384" s="649" t="s">
        <v>1335</v>
      </c>
      <c r="C384" s="621"/>
      <c r="D384" s="621"/>
      <c r="E384" s="649" t="s">
        <v>1335</v>
      </c>
      <c r="F384" s="622" t="s">
        <v>7367</v>
      </c>
      <c r="G384" s="622" t="s">
        <v>7001</v>
      </c>
      <c r="H384" s="649" t="s">
        <v>225</v>
      </c>
      <c r="I384" s="652" t="s">
        <v>11</v>
      </c>
      <c r="J384" s="622" t="s">
        <v>7196</v>
      </c>
      <c r="K384" s="680">
        <v>1153</v>
      </c>
      <c r="L384" s="680"/>
      <c r="M384" s="681">
        <v>3000</v>
      </c>
      <c r="N384" s="681"/>
      <c r="O384" s="681">
        <v>3000</v>
      </c>
      <c r="P384" s="680">
        <v>3000</v>
      </c>
      <c r="Q384" s="682">
        <v>0</v>
      </c>
      <c r="R384" s="681">
        <v>0</v>
      </c>
      <c r="S384" s="658"/>
    </row>
    <row r="385" spans="1:19" s="659" customFormat="1" ht="20.100000000000001" customHeight="1">
      <c r="A385" s="657" t="s">
        <v>4493</v>
      </c>
      <c r="B385" s="649" t="s">
        <v>1335</v>
      </c>
      <c r="C385" s="621"/>
      <c r="D385" s="621"/>
      <c r="E385" s="649" t="s">
        <v>1335</v>
      </c>
      <c r="F385" s="622" t="s">
        <v>7367</v>
      </c>
      <c r="G385" s="622" t="s">
        <v>7001</v>
      </c>
      <c r="H385" s="649" t="s">
        <v>225</v>
      </c>
      <c r="I385" s="652" t="s">
        <v>11</v>
      </c>
      <c r="J385" s="622" t="s">
        <v>7196</v>
      </c>
      <c r="K385" s="680">
        <v>1153</v>
      </c>
      <c r="L385" s="680"/>
      <c r="M385" s="681">
        <v>3000</v>
      </c>
      <c r="N385" s="681"/>
      <c r="O385" s="681">
        <v>3000</v>
      </c>
      <c r="P385" s="680">
        <v>3000</v>
      </c>
      <c r="Q385" s="682">
        <v>0</v>
      </c>
      <c r="R385" s="681">
        <v>0</v>
      </c>
      <c r="S385" s="658"/>
    </row>
    <row r="386" spans="1:19" s="659" customFormat="1" ht="20.100000000000001" customHeight="1">
      <c r="A386" s="657" t="s">
        <v>3997</v>
      </c>
      <c r="B386" s="649" t="s">
        <v>634</v>
      </c>
      <c r="C386" s="621"/>
      <c r="D386" s="621"/>
      <c r="E386" s="649" t="s">
        <v>3998</v>
      </c>
      <c r="F386" s="622" t="s">
        <v>2960</v>
      </c>
      <c r="G386" s="622" t="s">
        <v>7940</v>
      </c>
      <c r="H386" s="649" t="s">
        <v>235</v>
      </c>
      <c r="I386" s="652" t="s">
        <v>11</v>
      </c>
      <c r="J386" s="622" t="s">
        <v>7939</v>
      </c>
      <c r="K386" s="680">
        <v>315</v>
      </c>
      <c r="L386" s="680"/>
      <c r="M386" s="681">
        <v>6800</v>
      </c>
      <c r="N386" s="681"/>
      <c r="O386" s="681">
        <v>6800</v>
      </c>
      <c r="P386" s="680">
        <v>6800</v>
      </c>
      <c r="Q386" s="682">
        <v>0</v>
      </c>
      <c r="R386" s="681">
        <v>0</v>
      </c>
      <c r="S386" s="658"/>
    </row>
    <row r="387" spans="1:19" s="659" customFormat="1" ht="20.100000000000001" customHeight="1">
      <c r="A387" s="657" t="s">
        <v>3999</v>
      </c>
      <c r="B387" s="649" t="s">
        <v>1780</v>
      </c>
      <c r="C387" s="621"/>
      <c r="D387" s="621"/>
      <c r="E387" s="649" t="s">
        <v>4000</v>
      </c>
      <c r="F387" s="622" t="s">
        <v>1027</v>
      </c>
      <c r="G387" s="622" t="s">
        <v>1028</v>
      </c>
      <c r="H387" s="649" t="s">
        <v>267</v>
      </c>
      <c r="I387" s="652" t="s">
        <v>11</v>
      </c>
      <c r="J387" s="622" t="s">
        <v>6337</v>
      </c>
      <c r="K387" s="680">
        <v>838</v>
      </c>
      <c r="L387" s="680">
        <v>409</v>
      </c>
      <c r="M387" s="681">
        <v>6</v>
      </c>
      <c r="N387" s="681"/>
      <c r="O387" s="681">
        <v>415</v>
      </c>
      <c r="P387" s="680">
        <v>415</v>
      </c>
      <c r="Q387" s="682">
        <v>0</v>
      </c>
      <c r="R387" s="681">
        <v>0</v>
      </c>
      <c r="S387" s="658"/>
    </row>
    <row r="388" spans="1:19" s="659" customFormat="1" ht="20.100000000000001" customHeight="1">
      <c r="A388" s="657" t="s">
        <v>3999</v>
      </c>
      <c r="B388" s="649" t="s">
        <v>1780</v>
      </c>
      <c r="C388" s="621"/>
      <c r="D388" s="621"/>
      <c r="E388" s="649" t="s">
        <v>1025</v>
      </c>
      <c r="F388" s="622" t="s">
        <v>1027</v>
      </c>
      <c r="G388" s="622" t="s">
        <v>1028</v>
      </c>
      <c r="H388" s="649" t="s">
        <v>267</v>
      </c>
      <c r="I388" s="652" t="s">
        <v>10</v>
      </c>
      <c r="J388" s="622" t="s">
        <v>6337</v>
      </c>
      <c r="K388" s="680">
        <v>838</v>
      </c>
      <c r="L388" s="680">
        <v>2657</v>
      </c>
      <c r="M388" s="681">
        <v>0</v>
      </c>
      <c r="N388" s="681"/>
      <c r="O388" s="681">
        <v>2657</v>
      </c>
      <c r="P388" s="680">
        <v>0</v>
      </c>
      <c r="Q388" s="682">
        <v>2657</v>
      </c>
      <c r="R388" s="681">
        <v>0</v>
      </c>
      <c r="S388" s="658"/>
    </row>
    <row r="389" spans="1:19" s="659" customFormat="1" ht="20.100000000000001" customHeight="1">
      <c r="A389" s="657" t="s">
        <v>4003</v>
      </c>
      <c r="B389" s="649" t="s">
        <v>1780</v>
      </c>
      <c r="C389" s="621"/>
      <c r="D389" s="621"/>
      <c r="E389" s="649" t="s">
        <v>1020</v>
      </c>
      <c r="F389" s="622" t="s">
        <v>6335</v>
      </c>
      <c r="G389" s="622" t="s">
        <v>5696</v>
      </c>
      <c r="H389" s="649" t="s">
        <v>1021</v>
      </c>
      <c r="I389" s="652" t="s">
        <v>18</v>
      </c>
      <c r="J389" s="622" t="s">
        <v>6334</v>
      </c>
      <c r="K389" s="680">
        <v>53300</v>
      </c>
      <c r="L389" s="680">
        <v>578</v>
      </c>
      <c r="M389" s="681">
        <v>0</v>
      </c>
      <c r="N389" s="681"/>
      <c r="O389" s="681">
        <v>578</v>
      </c>
      <c r="P389" s="680">
        <v>192</v>
      </c>
      <c r="Q389" s="682">
        <v>386</v>
      </c>
      <c r="R389" s="681">
        <v>0</v>
      </c>
      <c r="S389" s="658"/>
    </row>
    <row r="390" spans="1:19" s="659" customFormat="1" ht="20.100000000000001" customHeight="1">
      <c r="A390" s="657" t="s">
        <v>4497</v>
      </c>
      <c r="B390" s="649" t="s">
        <v>1510</v>
      </c>
      <c r="C390" s="621"/>
      <c r="D390" s="621"/>
      <c r="E390" s="649" t="s">
        <v>4498</v>
      </c>
      <c r="F390" s="622" t="s">
        <v>5909</v>
      </c>
      <c r="G390" s="622" t="s">
        <v>5910</v>
      </c>
      <c r="H390" s="649" t="s">
        <v>4499</v>
      </c>
      <c r="I390" s="652" t="s">
        <v>658</v>
      </c>
      <c r="J390" s="622" t="s">
        <v>5908</v>
      </c>
      <c r="K390" s="680">
        <v>38493</v>
      </c>
      <c r="L390" s="680">
        <v>66</v>
      </c>
      <c r="M390" s="681">
        <v>0</v>
      </c>
      <c r="N390" s="681"/>
      <c r="O390" s="681">
        <v>20</v>
      </c>
      <c r="P390" s="680">
        <v>0</v>
      </c>
      <c r="Q390" s="682">
        <v>20</v>
      </c>
      <c r="R390" s="681">
        <v>46</v>
      </c>
      <c r="S390" s="658"/>
    </row>
    <row r="391" spans="1:19" s="659" customFormat="1" ht="20.100000000000001" customHeight="1">
      <c r="A391" s="657" t="s">
        <v>4009</v>
      </c>
      <c r="B391" s="649" t="s">
        <v>4011</v>
      </c>
      <c r="C391" s="621"/>
      <c r="D391" s="621"/>
      <c r="E391" s="649" t="s">
        <v>4010</v>
      </c>
      <c r="F391" s="622" t="s">
        <v>6015</v>
      </c>
      <c r="G391" s="622" t="s">
        <v>6016</v>
      </c>
      <c r="H391" s="649" t="s">
        <v>4012</v>
      </c>
      <c r="I391" s="652" t="s">
        <v>3670</v>
      </c>
      <c r="J391" s="622" t="s">
        <v>6014</v>
      </c>
      <c r="K391" s="680">
        <v>47500</v>
      </c>
      <c r="L391" s="680"/>
      <c r="M391" s="681">
        <v>200</v>
      </c>
      <c r="N391" s="681"/>
      <c r="O391" s="681">
        <v>24</v>
      </c>
      <c r="P391" s="680">
        <v>0</v>
      </c>
      <c r="Q391" s="682">
        <v>24</v>
      </c>
      <c r="R391" s="681">
        <v>176</v>
      </c>
      <c r="S391" s="658"/>
    </row>
    <row r="392" spans="1:19" s="659" customFormat="1" ht="20.100000000000001" customHeight="1">
      <c r="A392" s="657" t="s">
        <v>5011</v>
      </c>
      <c r="B392" s="649" t="s">
        <v>5013</v>
      </c>
      <c r="C392" s="621"/>
      <c r="D392" s="621"/>
      <c r="E392" s="649" t="s">
        <v>5012</v>
      </c>
      <c r="F392" s="622" t="s">
        <v>5823</v>
      </c>
      <c r="G392" s="622" t="s">
        <v>2097</v>
      </c>
      <c r="H392" s="649" t="s">
        <v>5014</v>
      </c>
      <c r="I392" s="652" t="s">
        <v>520</v>
      </c>
      <c r="J392" s="622" t="s">
        <v>5822</v>
      </c>
      <c r="K392" s="680">
        <v>5163</v>
      </c>
      <c r="L392" s="680">
        <v>4278</v>
      </c>
      <c r="M392" s="681">
        <v>0</v>
      </c>
      <c r="N392" s="681"/>
      <c r="O392" s="681">
        <v>4278</v>
      </c>
      <c r="P392" s="680">
        <v>0</v>
      </c>
      <c r="Q392" s="682">
        <v>4278</v>
      </c>
      <c r="R392" s="681">
        <v>0</v>
      </c>
      <c r="S392" s="658"/>
    </row>
    <row r="393" spans="1:19" s="659" customFormat="1" ht="20.100000000000001" customHeight="1">
      <c r="A393" s="657" t="s">
        <v>5011</v>
      </c>
      <c r="B393" s="649" t="s">
        <v>5013</v>
      </c>
      <c r="C393" s="621"/>
      <c r="D393" s="621"/>
      <c r="E393" s="649" t="s">
        <v>5012</v>
      </c>
      <c r="F393" s="622" t="s">
        <v>5823</v>
      </c>
      <c r="G393" s="622" t="s">
        <v>2097</v>
      </c>
      <c r="H393" s="649" t="s">
        <v>5014</v>
      </c>
      <c r="I393" s="652" t="s">
        <v>520</v>
      </c>
      <c r="J393" s="622" t="s">
        <v>5822</v>
      </c>
      <c r="K393" s="680">
        <v>5163</v>
      </c>
      <c r="L393" s="680"/>
      <c r="M393" s="681">
        <v>10000</v>
      </c>
      <c r="N393" s="681"/>
      <c r="O393" s="681">
        <v>900</v>
      </c>
      <c r="P393" s="680">
        <v>0</v>
      </c>
      <c r="Q393" s="682">
        <v>900</v>
      </c>
      <c r="R393" s="681">
        <v>9100</v>
      </c>
      <c r="S393" s="658"/>
    </row>
    <row r="394" spans="1:19" s="659" customFormat="1" ht="20.100000000000001" customHeight="1">
      <c r="A394" s="657" t="s">
        <v>4013</v>
      </c>
      <c r="B394" s="649" t="s">
        <v>868</v>
      </c>
      <c r="C394" s="621"/>
      <c r="D394" s="621"/>
      <c r="E394" s="649" t="s">
        <v>1338</v>
      </c>
      <c r="F394" s="622" t="s">
        <v>8177</v>
      </c>
      <c r="G394" s="622" t="s">
        <v>7001</v>
      </c>
      <c r="H394" s="649" t="s">
        <v>869</v>
      </c>
      <c r="I394" s="652" t="s">
        <v>11</v>
      </c>
      <c r="J394" s="622" t="s">
        <v>6767</v>
      </c>
      <c r="K394" s="680">
        <v>263</v>
      </c>
      <c r="L394" s="680">
        <v>13700</v>
      </c>
      <c r="M394" s="681">
        <v>0</v>
      </c>
      <c r="N394" s="681"/>
      <c r="O394" s="681">
        <v>13611</v>
      </c>
      <c r="P394" s="680">
        <v>16</v>
      </c>
      <c r="Q394" s="682">
        <v>13595</v>
      </c>
      <c r="R394" s="681">
        <v>89</v>
      </c>
      <c r="S394" s="658"/>
    </row>
    <row r="395" spans="1:19" s="659" customFormat="1" ht="20.100000000000001" customHeight="1">
      <c r="A395" s="657" t="s">
        <v>8353</v>
      </c>
      <c r="B395" s="649" t="s">
        <v>868</v>
      </c>
      <c r="C395" s="621"/>
      <c r="D395" s="621"/>
      <c r="E395" s="649" t="s">
        <v>8354</v>
      </c>
      <c r="F395" s="622" t="s">
        <v>8356</v>
      </c>
      <c r="G395" s="622" t="s">
        <v>463</v>
      </c>
      <c r="H395" s="649" t="s">
        <v>1343</v>
      </c>
      <c r="I395" s="652" t="s">
        <v>11</v>
      </c>
      <c r="J395" s="622" t="s">
        <v>8355</v>
      </c>
      <c r="K395" s="680">
        <v>4900</v>
      </c>
      <c r="L395" s="680"/>
      <c r="M395" s="681">
        <v>5000</v>
      </c>
      <c r="N395" s="681"/>
      <c r="O395" s="681">
        <v>0</v>
      </c>
      <c r="P395" s="680">
        <v>0</v>
      </c>
      <c r="Q395" s="682">
        <v>0</v>
      </c>
      <c r="R395" s="681">
        <v>5000</v>
      </c>
      <c r="S395" s="658"/>
    </row>
    <row r="396" spans="1:19" s="659" customFormat="1" ht="20.100000000000001" customHeight="1">
      <c r="A396" s="657" t="s">
        <v>4015</v>
      </c>
      <c r="B396" s="649" t="s">
        <v>4017</v>
      </c>
      <c r="C396" s="621"/>
      <c r="D396" s="621"/>
      <c r="E396" s="649" t="s">
        <v>4016</v>
      </c>
      <c r="F396" s="622" t="s">
        <v>1753</v>
      </c>
      <c r="G396" s="622" t="s">
        <v>6102</v>
      </c>
      <c r="H396" s="649" t="s">
        <v>327</v>
      </c>
      <c r="I396" s="652" t="s">
        <v>11</v>
      </c>
      <c r="J396" s="622" t="s">
        <v>6101</v>
      </c>
      <c r="K396" s="680">
        <v>1400</v>
      </c>
      <c r="L396" s="680"/>
      <c r="M396" s="681">
        <v>3000</v>
      </c>
      <c r="N396" s="681"/>
      <c r="O396" s="681">
        <v>0</v>
      </c>
      <c r="P396" s="680">
        <v>0</v>
      </c>
      <c r="Q396" s="682">
        <v>0</v>
      </c>
      <c r="R396" s="681">
        <v>3000</v>
      </c>
      <c r="S396" s="658"/>
    </row>
    <row r="397" spans="1:19" s="659" customFormat="1" ht="20.100000000000001" customHeight="1">
      <c r="A397" s="657" t="s">
        <v>4015</v>
      </c>
      <c r="B397" s="649" t="s">
        <v>4017</v>
      </c>
      <c r="C397" s="621"/>
      <c r="D397" s="621"/>
      <c r="E397" s="649" t="s">
        <v>4016</v>
      </c>
      <c r="F397" s="622" t="s">
        <v>1753</v>
      </c>
      <c r="G397" s="622" t="s">
        <v>6102</v>
      </c>
      <c r="H397" s="649" t="s">
        <v>327</v>
      </c>
      <c r="I397" s="652" t="s">
        <v>11</v>
      </c>
      <c r="J397" s="622" t="s">
        <v>6101</v>
      </c>
      <c r="K397" s="680">
        <v>1400</v>
      </c>
      <c r="L397" s="680">
        <v>5000</v>
      </c>
      <c r="M397" s="681">
        <v>0</v>
      </c>
      <c r="N397" s="681"/>
      <c r="O397" s="681">
        <v>5000</v>
      </c>
      <c r="P397" s="680">
        <v>0</v>
      </c>
      <c r="Q397" s="682">
        <v>5000</v>
      </c>
      <c r="R397" s="681">
        <v>0</v>
      </c>
      <c r="S397" s="658"/>
    </row>
    <row r="398" spans="1:19" s="659" customFormat="1" ht="20.100000000000001" customHeight="1">
      <c r="A398" s="657" t="s">
        <v>3878</v>
      </c>
      <c r="B398" s="649" t="s">
        <v>376</v>
      </c>
      <c r="C398" s="621"/>
      <c r="D398" s="621"/>
      <c r="E398" s="649" t="s">
        <v>6760</v>
      </c>
      <c r="F398" s="622" t="s">
        <v>6761</v>
      </c>
      <c r="G398" s="622" t="s">
        <v>6102</v>
      </c>
      <c r="H398" s="649" t="s">
        <v>550</v>
      </c>
      <c r="I398" s="652" t="s">
        <v>11</v>
      </c>
      <c r="J398" s="622" t="s">
        <v>6009</v>
      </c>
      <c r="K398" s="680">
        <v>2000</v>
      </c>
      <c r="L398" s="680"/>
      <c r="M398" s="681">
        <v>19980</v>
      </c>
      <c r="N398" s="681"/>
      <c r="O398" s="681">
        <v>0</v>
      </c>
      <c r="P398" s="680">
        <v>0</v>
      </c>
      <c r="Q398" s="682">
        <v>0</v>
      </c>
      <c r="R398" s="681">
        <v>19980</v>
      </c>
      <c r="S398" s="658"/>
    </row>
    <row r="399" spans="1:19" s="659" customFormat="1" ht="20.100000000000001" customHeight="1">
      <c r="A399" s="657" t="s">
        <v>4020</v>
      </c>
      <c r="B399" s="649" t="s">
        <v>868</v>
      </c>
      <c r="C399" s="621"/>
      <c r="D399" s="621"/>
      <c r="E399" s="649" t="s">
        <v>1654</v>
      </c>
      <c r="F399" s="622" t="s">
        <v>1655</v>
      </c>
      <c r="G399" s="622" t="s">
        <v>6552</v>
      </c>
      <c r="H399" s="649" t="s">
        <v>1340</v>
      </c>
      <c r="I399" s="652" t="s">
        <v>11</v>
      </c>
      <c r="J399" s="622" t="s">
        <v>6550</v>
      </c>
      <c r="K399" s="680">
        <v>875</v>
      </c>
      <c r="L399" s="680"/>
      <c r="M399" s="681">
        <v>10169</v>
      </c>
      <c r="N399" s="681"/>
      <c r="O399" s="681">
        <v>745</v>
      </c>
      <c r="P399" s="680">
        <v>318</v>
      </c>
      <c r="Q399" s="682">
        <v>427</v>
      </c>
      <c r="R399" s="681">
        <v>9424</v>
      </c>
      <c r="S399" s="658"/>
    </row>
    <row r="400" spans="1:19" s="659" customFormat="1" ht="20.100000000000001" customHeight="1">
      <c r="A400" s="657" t="s">
        <v>4020</v>
      </c>
      <c r="B400" s="649" t="s">
        <v>1650</v>
      </c>
      <c r="C400" s="621"/>
      <c r="D400" s="621"/>
      <c r="E400" s="649" t="s">
        <v>1654</v>
      </c>
      <c r="F400" s="622" t="s">
        <v>1655</v>
      </c>
      <c r="G400" s="622" t="s">
        <v>6552</v>
      </c>
      <c r="H400" s="649" t="s">
        <v>1340</v>
      </c>
      <c r="I400" s="652" t="s">
        <v>10</v>
      </c>
      <c r="J400" s="622" t="s">
        <v>6550</v>
      </c>
      <c r="K400" s="680">
        <v>1400</v>
      </c>
      <c r="L400" s="680">
        <v>536</v>
      </c>
      <c r="M400" s="681">
        <v>2</v>
      </c>
      <c r="N400" s="681"/>
      <c r="O400" s="681">
        <v>538</v>
      </c>
      <c r="P400" s="680">
        <v>86</v>
      </c>
      <c r="Q400" s="682">
        <v>452</v>
      </c>
      <c r="R400" s="681">
        <v>0</v>
      </c>
      <c r="S400" s="658"/>
    </row>
    <row r="401" spans="1:19" s="659" customFormat="1" ht="20.100000000000001" customHeight="1">
      <c r="A401" s="657" t="s">
        <v>4020</v>
      </c>
      <c r="B401" s="649" t="s">
        <v>1650</v>
      </c>
      <c r="C401" s="621"/>
      <c r="D401" s="621"/>
      <c r="E401" s="649" t="s">
        <v>1654</v>
      </c>
      <c r="F401" s="622" t="s">
        <v>1655</v>
      </c>
      <c r="G401" s="622" t="s">
        <v>6552</v>
      </c>
      <c r="H401" s="649" t="s">
        <v>1340</v>
      </c>
      <c r="I401" s="652" t="s">
        <v>10</v>
      </c>
      <c r="J401" s="622" t="s">
        <v>6550</v>
      </c>
      <c r="K401" s="680">
        <v>1400</v>
      </c>
      <c r="L401" s="680">
        <v>3949</v>
      </c>
      <c r="M401" s="681">
        <v>0</v>
      </c>
      <c r="N401" s="681"/>
      <c r="O401" s="681">
        <v>3949</v>
      </c>
      <c r="P401" s="680">
        <v>0</v>
      </c>
      <c r="Q401" s="682">
        <v>3949</v>
      </c>
      <c r="R401" s="681">
        <v>0</v>
      </c>
      <c r="S401" s="658"/>
    </row>
    <row r="402" spans="1:19" s="659" customFormat="1" ht="20.100000000000001" customHeight="1">
      <c r="A402" s="657" t="s">
        <v>4023</v>
      </c>
      <c r="B402" s="649" t="s">
        <v>1650</v>
      </c>
      <c r="C402" s="621"/>
      <c r="D402" s="621"/>
      <c r="E402" s="649" t="s">
        <v>1656</v>
      </c>
      <c r="F402" s="622" t="s">
        <v>1655</v>
      </c>
      <c r="G402" s="622" t="s">
        <v>479</v>
      </c>
      <c r="H402" s="649" t="s">
        <v>1343</v>
      </c>
      <c r="I402" s="652" t="s">
        <v>10</v>
      </c>
      <c r="J402" s="622" t="s">
        <v>6550</v>
      </c>
      <c r="K402" s="680">
        <v>2690</v>
      </c>
      <c r="L402" s="680">
        <v>134</v>
      </c>
      <c r="M402" s="681">
        <v>0</v>
      </c>
      <c r="N402" s="681"/>
      <c r="O402" s="681">
        <v>134</v>
      </c>
      <c r="P402" s="680">
        <v>0</v>
      </c>
      <c r="Q402" s="682">
        <v>134</v>
      </c>
      <c r="R402" s="681">
        <v>0</v>
      </c>
      <c r="S402" s="658"/>
    </row>
    <row r="403" spans="1:19" s="659" customFormat="1" ht="20.100000000000001" customHeight="1">
      <c r="A403" s="657" t="s">
        <v>4023</v>
      </c>
      <c r="B403" s="649" t="s">
        <v>1650</v>
      </c>
      <c r="C403" s="621"/>
      <c r="D403" s="621"/>
      <c r="E403" s="649" t="s">
        <v>1656</v>
      </c>
      <c r="F403" s="622" t="s">
        <v>1655</v>
      </c>
      <c r="G403" s="622" t="s">
        <v>479</v>
      </c>
      <c r="H403" s="649" t="s">
        <v>1343</v>
      </c>
      <c r="I403" s="652" t="s">
        <v>10</v>
      </c>
      <c r="J403" s="622" t="s">
        <v>6550</v>
      </c>
      <c r="K403" s="680">
        <v>2690</v>
      </c>
      <c r="L403" s="680">
        <v>5850</v>
      </c>
      <c r="M403" s="681">
        <v>0</v>
      </c>
      <c r="N403" s="681"/>
      <c r="O403" s="681">
        <v>5850</v>
      </c>
      <c r="P403" s="680">
        <v>0</v>
      </c>
      <c r="Q403" s="682">
        <v>5850</v>
      </c>
      <c r="R403" s="681">
        <v>0</v>
      </c>
      <c r="S403" s="658"/>
    </row>
    <row r="404" spans="1:19" s="659" customFormat="1" ht="20.100000000000001" customHeight="1">
      <c r="A404" s="657" t="s">
        <v>4657</v>
      </c>
      <c r="B404" s="649" t="s">
        <v>4659</v>
      </c>
      <c r="C404" s="621"/>
      <c r="D404" s="621"/>
      <c r="E404" s="649" t="s">
        <v>4658</v>
      </c>
      <c r="F404" s="622" t="s">
        <v>8513</v>
      </c>
      <c r="G404" s="622" t="s">
        <v>2253</v>
      </c>
      <c r="H404" s="649" t="s">
        <v>4660</v>
      </c>
      <c r="I404" s="652" t="s">
        <v>15</v>
      </c>
      <c r="J404" s="622" t="s">
        <v>8512</v>
      </c>
      <c r="K404" s="680">
        <v>34000</v>
      </c>
      <c r="L404" s="680">
        <v>120</v>
      </c>
      <c r="M404" s="681">
        <v>0</v>
      </c>
      <c r="N404" s="681"/>
      <c r="O404" s="681">
        <v>120</v>
      </c>
      <c r="P404" s="680">
        <v>0</v>
      </c>
      <c r="Q404" s="682">
        <v>120</v>
      </c>
      <c r="R404" s="681">
        <v>0</v>
      </c>
      <c r="S404" s="658"/>
    </row>
    <row r="405" spans="1:19" s="659" customFormat="1" ht="20.100000000000001" customHeight="1">
      <c r="A405" s="657" t="s">
        <v>4657</v>
      </c>
      <c r="B405" s="649" t="s">
        <v>4659</v>
      </c>
      <c r="C405" s="621"/>
      <c r="D405" s="621"/>
      <c r="E405" s="649" t="s">
        <v>4658</v>
      </c>
      <c r="F405" s="622" t="s">
        <v>8513</v>
      </c>
      <c r="G405" s="622" t="s">
        <v>2253</v>
      </c>
      <c r="H405" s="649" t="s">
        <v>4660</v>
      </c>
      <c r="I405" s="652" t="s">
        <v>15</v>
      </c>
      <c r="J405" s="622" t="s">
        <v>8512</v>
      </c>
      <c r="K405" s="680">
        <v>34000</v>
      </c>
      <c r="L405" s="680"/>
      <c r="M405" s="681">
        <v>300</v>
      </c>
      <c r="N405" s="681"/>
      <c r="O405" s="681">
        <v>26</v>
      </c>
      <c r="P405" s="680">
        <v>0</v>
      </c>
      <c r="Q405" s="682">
        <v>26</v>
      </c>
      <c r="R405" s="681">
        <v>274</v>
      </c>
      <c r="S405" s="658"/>
    </row>
    <row r="406" spans="1:19" s="659" customFormat="1" ht="20.100000000000001" customHeight="1">
      <c r="A406" s="657" t="s">
        <v>4661</v>
      </c>
      <c r="B406" s="649" t="s">
        <v>4662</v>
      </c>
      <c r="C406" s="621"/>
      <c r="D406" s="621"/>
      <c r="E406" s="649" t="s">
        <v>90</v>
      </c>
      <c r="F406" s="622" t="s">
        <v>2288</v>
      </c>
      <c r="G406" s="622" t="s">
        <v>2253</v>
      </c>
      <c r="H406" s="649" t="s">
        <v>4663</v>
      </c>
      <c r="I406" s="652" t="s">
        <v>11</v>
      </c>
      <c r="J406" s="622" t="s">
        <v>8616</v>
      </c>
      <c r="K406" s="680">
        <v>1200</v>
      </c>
      <c r="L406" s="680">
        <v>200</v>
      </c>
      <c r="M406" s="681">
        <v>0</v>
      </c>
      <c r="N406" s="681"/>
      <c r="O406" s="681">
        <v>200</v>
      </c>
      <c r="P406" s="680">
        <v>0</v>
      </c>
      <c r="Q406" s="682">
        <v>200</v>
      </c>
      <c r="R406" s="681">
        <v>0</v>
      </c>
      <c r="S406" s="658"/>
    </row>
    <row r="407" spans="1:19" s="659" customFormat="1" ht="20.100000000000001" customHeight="1">
      <c r="A407" s="657" t="s">
        <v>4661</v>
      </c>
      <c r="B407" s="649" t="s">
        <v>4662</v>
      </c>
      <c r="C407" s="621"/>
      <c r="D407" s="621"/>
      <c r="E407" s="649" t="s">
        <v>90</v>
      </c>
      <c r="F407" s="622" t="s">
        <v>2288</v>
      </c>
      <c r="G407" s="622" t="s">
        <v>2253</v>
      </c>
      <c r="H407" s="649" t="s">
        <v>4663</v>
      </c>
      <c r="I407" s="652" t="s">
        <v>11</v>
      </c>
      <c r="J407" s="622" t="s">
        <v>8616</v>
      </c>
      <c r="K407" s="680">
        <v>1200</v>
      </c>
      <c r="L407" s="680"/>
      <c r="M407" s="681">
        <v>5000</v>
      </c>
      <c r="N407" s="681"/>
      <c r="O407" s="681">
        <v>5000</v>
      </c>
      <c r="P407" s="680">
        <v>0</v>
      </c>
      <c r="Q407" s="682">
        <v>5000</v>
      </c>
      <c r="R407" s="681">
        <v>0</v>
      </c>
      <c r="S407" s="658"/>
    </row>
    <row r="408" spans="1:19" s="659" customFormat="1" ht="20.100000000000001" customHeight="1">
      <c r="A408" s="657" t="s">
        <v>4661</v>
      </c>
      <c r="B408" s="649" t="s">
        <v>4662</v>
      </c>
      <c r="C408" s="621"/>
      <c r="D408" s="621"/>
      <c r="E408" s="649" t="s">
        <v>90</v>
      </c>
      <c r="F408" s="622" t="s">
        <v>2288</v>
      </c>
      <c r="G408" s="622" t="s">
        <v>2253</v>
      </c>
      <c r="H408" s="649" t="s">
        <v>4663</v>
      </c>
      <c r="I408" s="652" t="s">
        <v>11</v>
      </c>
      <c r="J408" s="622" t="s">
        <v>8616</v>
      </c>
      <c r="K408" s="680">
        <v>1200</v>
      </c>
      <c r="L408" s="680"/>
      <c r="M408" s="681">
        <v>10000</v>
      </c>
      <c r="N408" s="681"/>
      <c r="O408" s="681">
        <v>370</v>
      </c>
      <c r="P408" s="680">
        <v>0</v>
      </c>
      <c r="Q408" s="682">
        <v>370</v>
      </c>
      <c r="R408" s="681">
        <v>9630</v>
      </c>
      <c r="S408" s="658"/>
    </row>
    <row r="409" spans="1:19" s="659" customFormat="1" ht="20.100000000000001" customHeight="1">
      <c r="A409" s="657" t="s">
        <v>4664</v>
      </c>
      <c r="B409" s="649" t="s">
        <v>94</v>
      </c>
      <c r="C409" s="621"/>
      <c r="D409" s="621"/>
      <c r="E409" s="649" t="s">
        <v>93</v>
      </c>
      <c r="F409" s="622" t="s">
        <v>2293</v>
      </c>
      <c r="G409" s="622" t="s">
        <v>2253</v>
      </c>
      <c r="H409" s="649" t="s">
        <v>95</v>
      </c>
      <c r="I409" s="652" t="s">
        <v>11</v>
      </c>
      <c r="J409" s="622" t="s">
        <v>8615</v>
      </c>
      <c r="K409" s="680">
        <v>4200</v>
      </c>
      <c r="L409" s="680"/>
      <c r="M409" s="681">
        <v>5000</v>
      </c>
      <c r="N409" s="681"/>
      <c r="O409" s="681">
        <v>5000</v>
      </c>
      <c r="P409" s="680">
        <v>0</v>
      </c>
      <c r="Q409" s="682">
        <v>5000</v>
      </c>
      <c r="R409" s="681">
        <v>0</v>
      </c>
      <c r="S409" s="658"/>
    </row>
    <row r="410" spans="1:19" s="659" customFormat="1" ht="20.100000000000001" customHeight="1">
      <c r="A410" s="657" t="s">
        <v>4664</v>
      </c>
      <c r="B410" s="649" t="s">
        <v>94</v>
      </c>
      <c r="C410" s="621"/>
      <c r="D410" s="621"/>
      <c r="E410" s="649" t="s">
        <v>93</v>
      </c>
      <c r="F410" s="622" t="s">
        <v>2293</v>
      </c>
      <c r="G410" s="622" t="s">
        <v>2253</v>
      </c>
      <c r="H410" s="649" t="s">
        <v>95</v>
      </c>
      <c r="I410" s="652" t="s">
        <v>11</v>
      </c>
      <c r="J410" s="622" t="s">
        <v>8615</v>
      </c>
      <c r="K410" s="680">
        <v>4200</v>
      </c>
      <c r="L410" s="680">
        <v>8809</v>
      </c>
      <c r="M410" s="681">
        <v>0</v>
      </c>
      <c r="N410" s="681"/>
      <c r="O410" s="681">
        <v>8809</v>
      </c>
      <c r="P410" s="680">
        <v>0</v>
      </c>
      <c r="Q410" s="682">
        <v>8809</v>
      </c>
      <c r="R410" s="681">
        <v>0</v>
      </c>
      <c r="S410" s="658"/>
    </row>
    <row r="411" spans="1:19" s="659" customFormat="1" ht="20.100000000000001" customHeight="1">
      <c r="A411" s="657" t="s">
        <v>4664</v>
      </c>
      <c r="B411" s="649" t="s">
        <v>94</v>
      </c>
      <c r="C411" s="621"/>
      <c r="D411" s="621"/>
      <c r="E411" s="649" t="s">
        <v>93</v>
      </c>
      <c r="F411" s="622" t="s">
        <v>2293</v>
      </c>
      <c r="G411" s="622" t="s">
        <v>2253</v>
      </c>
      <c r="H411" s="649" t="s">
        <v>95</v>
      </c>
      <c r="I411" s="652" t="s">
        <v>11</v>
      </c>
      <c r="J411" s="622" t="s">
        <v>8615</v>
      </c>
      <c r="K411" s="680">
        <v>4200</v>
      </c>
      <c r="L411" s="680"/>
      <c r="M411" s="681">
        <v>4000</v>
      </c>
      <c r="N411" s="681"/>
      <c r="O411" s="681">
        <v>4000</v>
      </c>
      <c r="P411" s="680">
        <v>0</v>
      </c>
      <c r="Q411" s="682">
        <v>4000</v>
      </c>
      <c r="R411" s="681">
        <v>0</v>
      </c>
      <c r="S411" s="658"/>
    </row>
    <row r="412" spans="1:19" s="659" customFormat="1" ht="20.100000000000001" customHeight="1">
      <c r="A412" s="657" t="s">
        <v>4666</v>
      </c>
      <c r="B412" s="649" t="s">
        <v>4668</v>
      </c>
      <c r="C412" s="621"/>
      <c r="D412" s="621"/>
      <c r="E412" s="649" t="s">
        <v>4667</v>
      </c>
      <c r="F412" s="622" t="s">
        <v>8714</v>
      </c>
      <c r="G412" s="622" t="s">
        <v>2253</v>
      </c>
      <c r="H412" s="649" t="s">
        <v>4669</v>
      </c>
      <c r="I412" s="652" t="s">
        <v>11</v>
      </c>
      <c r="J412" s="622" t="s">
        <v>8616</v>
      </c>
      <c r="K412" s="680">
        <v>1150</v>
      </c>
      <c r="L412" s="680">
        <v>9600</v>
      </c>
      <c r="M412" s="681">
        <v>0</v>
      </c>
      <c r="N412" s="681"/>
      <c r="O412" s="681">
        <v>7543</v>
      </c>
      <c r="P412" s="680">
        <v>0</v>
      </c>
      <c r="Q412" s="682">
        <v>7543</v>
      </c>
      <c r="R412" s="681">
        <v>2057</v>
      </c>
      <c r="S412" s="658"/>
    </row>
    <row r="413" spans="1:19" s="659" customFormat="1" ht="20.100000000000001" customHeight="1">
      <c r="A413" s="657" t="s">
        <v>4026</v>
      </c>
      <c r="B413" s="649" t="s">
        <v>1780</v>
      </c>
      <c r="C413" s="621"/>
      <c r="D413" s="621"/>
      <c r="E413" s="649" t="s">
        <v>4027</v>
      </c>
      <c r="F413" s="622" t="s">
        <v>8478</v>
      </c>
      <c r="G413" s="622" t="s">
        <v>8479</v>
      </c>
      <c r="H413" s="649" t="s">
        <v>1782</v>
      </c>
      <c r="I413" s="652" t="s">
        <v>15</v>
      </c>
      <c r="J413" s="622" t="s">
        <v>8477</v>
      </c>
      <c r="K413" s="680">
        <v>13650</v>
      </c>
      <c r="L413" s="680">
        <v>80</v>
      </c>
      <c r="M413" s="681">
        <v>0</v>
      </c>
      <c r="N413" s="681"/>
      <c r="O413" s="681">
        <v>28</v>
      </c>
      <c r="P413" s="680">
        <v>0</v>
      </c>
      <c r="Q413" s="682">
        <v>28</v>
      </c>
      <c r="R413" s="681">
        <v>52</v>
      </c>
      <c r="S413" s="658"/>
    </row>
    <row r="414" spans="1:19" s="659" customFormat="1" ht="20.100000000000001" customHeight="1">
      <c r="A414" s="657" t="s">
        <v>7503</v>
      </c>
      <c r="B414" s="649" t="s">
        <v>1702</v>
      </c>
      <c r="C414" s="621"/>
      <c r="D414" s="621"/>
      <c r="E414" s="649" t="s">
        <v>7504</v>
      </c>
      <c r="F414" s="622" t="s">
        <v>7505</v>
      </c>
      <c r="G414" s="622" t="s">
        <v>6979</v>
      </c>
      <c r="H414" s="649" t="s">
        <v>327</v>
      </c>
      <c r="I414" s="652" t="s">
        <v>16</v>
      </c>
      <c r="J414" s="622" t="s">
        <v>6321</v>
      </c>
      <c r="K414" s="680">
        <v>248</v>
      </c>
      <c r="L414" s="680"/>
      <c r="M414" s="681">
        <v>3000</v>
      </c>
      <c r="N414" s="681"/>
      <c r="O414" s="681">
        <v>3000</v>
      </c>
      <c r="P414" s="680">
        <v>0</v>
      </c>
      <c r="Q414" s="682">
        <v>3000</v>
      </c>
      <c r="R414" s="681">
        <v>0</v>
      </c>
      <c r="S414" s="658"/>
    </row>
    <row r="415" spans="1:19" s="659" customFormat="1" ht="20.100000000000001" customHeight="1">
      <c r="A415" s="657" t="s">
        <v>7503</v>
      </c>
      <c r="B415" s="649" t="s">
        <v>1702</v>
      </c>
      <c r="C415" s="621"/>
      <c r="D415" s="621"/>
      <c r="E415" s="649" t="s">
        <v>7504</v>
      </c>
      <c r="F415" s="622" t="s">
        <v>7505</v>
      </c>
      <c r="G415" s="622" t="s">
        <v>6979</v>
      </c>
      <c r="H415" s="649" t="s">
        <v>327</v>
      </c>
      <c r="I415" s="652" t="s">
        <v>16</v>
      </c>
      <c r="J415" s="622" t="s">
        <v>6321</v>
      </c>
      <c r="K415" s="680">
        <v>248</v>
      </c>
      <c r="L415" s="680"/>
      <c r="M415" s="681">
        <v>9600</v>
      </c>
      <c r="N415" s="681"/>
      <c r="O415" s="681">
        <v>9600</v>
      </c>
      <c r="P415" s="680">
        <v>3300</v>
      </c>
      <c r="Q415" s="682">
        <v>6300</v>
      </c>
      <c r="R415" s="681">
        <v>0</v>
      </c>
      <c r="S415" s="658"/>
    </row>
    <row r="416" spans="1:19" s="659" customFormat="1" ht="20.100000000000001" customHeight="1">
      <c r="A416" s="657" t="s">
        <v>7503</v>
      </c>
      <c r="B416" s="649" t="s">
        <v>1702</v>
      </c>
      <c r="C416" s="621"/>
      <c r="D416" s="621"/>
      <c r="E416" s="649" t="s">
        <v>7504</v>
      </c>
      <c r="F416" s="622" t="s">
        <v>7505</v>
      </c>
      <c r="G416" s="622" t="s">
        <v>6979</v>
      </c>
      <c r="H416" s="649" t="s">
        <v>327</v>
      </c>
      <c r="I416" s="652" t="s">
        <v>16</v>
      </c>
      <c r="J416" s="622" t="s">
        <v>6321</v>
      </c>
      <c r="K416" s="680">
        <v>248</v>
      </c>
      <c r="L416" s="680"/>
      <c r="M416" s="681">
        <v>17402</v>
      </c>
      <c r="N416" s="681"/>
      <c r="O416" s="681">
        <v>12669</v>
      </c>
      <c r="P416" s="680">
        <v>4999</v>
      </c>
      <c r="Q416" s="682">
        <v>7670</v>
      </c>
      <c r="R416" s="681">
        <v>4733</v>
      </c>
      <c r="S416" s="658"/>
    </row>
    <row r="417" spans="1:19" s="659" customFormat="1" ht="20.100000000000001" customHeight="1">
      <c r="A417" s="657" t="s">
        <v>4029</v>
      </c>
      <c r="B417" s="649" t="s">
        <v>1702</v>
      </c>
      <c r="C417" s="621"/>
      <c r="D417" s="621"/>
      <c r="E417" s="649" t="s">
        <v>1759</v>
      </c>
      <c r="F417" s="622" t="s">
        <v>1760</v>
      </c>
      <c r="G417" s="622" t="s">
        <v>6102</v>
      </c>
      <c r="H417" s="649" t="s">
        <v>327</v>
      </c>
      <c r="I417" s="652" t="s">
        <v>11</v>
      </c>
      <c r="J417" s="622" t="s">
        <v>6637</v>
      </c>
      <c r="K417" s="680">
        <v>1500</v>
      </c>
      <c r="L417" s="680">
        <v>13971</v>
      </c>
      <c r="M417" s="681">
        <v>0</v>
      </c>
      <c r="N417" s="681"/>
      <c r="O417" s="681">
        <v>13971</v>
      </c>
      <c r="P417" s="680">
        <v>0</v>
      </c>
      <c r="Q417" s="682">
        <v>13971</v>
      </c>
      <c r="R417" s="681">
        <v>0</v>
      </c>
      <c r="S417" s="658"/>
    </row>
    <row r="418" spans="1:19" s="659" customFormat="1" ht="20.100000000000001" customHeight="1">
      <c r="A418" s="657" t="s">
        <v>4029</v>
      </c>
      <c r="B418" s="649" t="s">
        <v>1702</v>
      </c>
      <c r="C418" s="621"/>
      <c r="D418" s="621"/>
      <c r="E418" s="649" t="s">
        <v>6636</v>
      </c>
      <c r="F418" s="622" t="s">
        <v>1760</v>
      </c>
      <c r="G418" s="622" t="s">
        <v>6102</v>
      </c>
      <c r="H418" s="649" t="s">
        <v>327</v>
      </c>
      <c r="I418" s="652" t="s">
        <v>11</v>
      </c>
      <c r="J418" s="622" t="s">
        <v>6637</v>
      </c>
      <c r="K418" s="680">
        <v>1100</v>
      </c>
      <c r="L418" s="680"/>
      <c r="M418" s="681">
        <v>13016</v>
      </c>
      <c r="N418" s="681"/>
      <c r="O418" s="681">
        <v>4920</v>
      </c>
      <c r="P418" s="680">
        <v>0</v>
      </c>
      <c r="Q418" s="682">
        <v>4920</v>
      </c>
      <c r="R418" s="681">
        <v>8096</v>
      </c>
      <c r="S418" s="658"/>
    </row>
    <row r="419" spans="1:19" s="659" customFormat="1" ht="20.100000000000001" customHeight="1">
      <c r="A419" s="657" t="s">
        <v>4035</v>
      </c>
      <c r="B419" s="649" t="s">
        <v>4036</v>
      </c>
      <c r="C419" s="621"/>
      <c r="D419" s="621"/>
      <c r="E419" s="649" t="s">
        <v>989</v>
      </c>
      <c r="F419" s="622" t="s">
        <v>6303</v>
      </c>
      <c r="G419" s="622" t="s">
        <v>948</v>
      </c>
      <c r="H419" s="649" t="s">
        <v>6301</v>
      </c>
      <c r="I419" s="652" t="s">
        <v>12</v>
      </c>
      <c r="J419" s="622" t="s">
        <v>6302</v>
      </c>
      <c r="K419" s="680">
        <v>4275</v>
      </c>
      <c r="L419" s="680"/>
      <c r="M419" s="681">
        <v>1000</v>
      </c>
      <c r="N419" s="681"/>
      <c r="O419" s="681">
        <v>0</v>
      </c>
      <c r="P419" s="680">
        <v>0</v>
      </c>
      <c r="Q419" s="682">
        <v>0</v>
      </c>
      <c r="R419" s="681">
        <v>1000</v>
      </c>
      <c r="S419" s="658"/>
    </row>
    <row r="420" spans="1:19" s="659" customFormat="1" ht="20.100000000000001" customHeight="1">
      <c r="A420" s="657" t="s">
        <v>4670</v>
      </c>
      <c r="B420" s="649" t="s">
        <v>100</v>
      </c>
      <c r="C420" s="621"/>
      <c r="D420" s="621"/>
      <c r="E420" s="649" t="s">
        <v>99</v>
      </c>
      <c r="F420" s="622" t="s">
        <v>2167</v>
      </c>
      <c r="G420" s="622" t="s">
        <v>2168</v>
      </c>
      <c r="H420" s="649" t="s">
        <v>101</v>
      </c>
      <c r="I420" s="652" t="s">
        <v>10</v>
      </c>
      <c r="J420" s="622" t="s">
        <v>2166</v>
      </c>
      <c r="K420" s="680">
        <v>840</v>
      </c>
      <c r="L420" s="680">
        <v>79</v>
      </c>
      <c r="M420" s="681">
        <v>0</v>
      </c>
      <c r="N420" s="681"/>
      <c r="O420" s="681">
        <v>79</v>
      </c>
      <c r="P420" s="680">
        <v>0</v>
      </c>
      <c r="Q420" s="682">
        <v>79</v>
      </c>
      <c r="R420" s="681">
        <v>0</v>
      </c>
      <c r="S420" s="658"/>
    </row>
    <row r="421" spans="1:19" s="659" customFormat="1" ht="20.100000000000001" customHeight="1">
      <c r="A421" s="657" t="s">
        <v>7907</v>
      </c>
      <c r="B421" s="649" t="s">
        <v>736</v>
      </c>
      <c r="C421" s="621"/>
      <c r="D421" s="621"/>
      <c r="E421" s="649" t="s">
        <v>7909</v>
      </c>
      <c r="F421" s="622" t="s">
        <v>7911</v>
      </c>
      <c r="G421" s="622" t="s">
        <v>7180</v>
      </c>
      <c r="H421" s="649" t="s">
        <v>7908</v>
      </c>
      <c r="I421" s="652" t="s">
        <v>12</v>
      </c>
      <c r="J421" s="622" t="s">
        <v>7910</v>
      </c>
      <c r="K421" s="680">
        <v>2540</v>
      </c>
      <c r="L421" s="680"/>
      <c r="M421" s="681">
        <v>2490</v>
      </c>
      <c r="N421" s="681"/>
      <c r="O421" s="681">
        <v>2490</v>
      </c>
      <c r="P421" s="680">
        <v>2490</v>
      </c>
      <c r="Q421" s="682">
        <v>0</v>
      </c>
      <c r="R421" s="681">
        <v>0</v>
      </c>
      <c r="S421" s="658"/>
    </row>
    <row r="422" spans="1:19" s="659" customFormat="1" ht="20.100000000000001" customHeight="1">
      <c r="A422" s="657" t="s">
        <v>6431</v>
      </c>
      <c r="B422" s="649" t="s">
        <v>611</v>
      </c>
      <c r="C422" s="621"/>
      <c r="D422" s="621"/>
      <c r="E422" s="649" t="s">
        <v>6432</v>
      </c>
      <c r="F422" s="622" t="s">
        <v>6434</v>
      </c>
      <c r="G422" s="622" t="s">
        <v>6435</v>
      </c>
      <c r="H422" s="649" t="s">
        <v>291</v>
      </c>
      <c r="I422" s="652" t="s">
        <v>11</v>
      </c>
      <c r="J422" s="622" t="s">
        <v>6433</v>
      </c>
      <c r="K422" s="680">
        <v>8225</v>
      </c>
      <c r="L422" s="680"/>
      <c r="M422" s="681">
        <v>2996</v>
      </c>
      <c r="N422" s="681"/>
      <c r="O422" s="681">
        <v>2916</v>
      </c>
      <c r="P422" s="680">
        <v>31</v>
      </c>
      <c r="Q422" s="682">
        <v>2885</v>
      </c>
      <c r="R422" s="681">
        <v>80</v>
      </c>
      <c r="S422" s="658"/>
    </row>
    <row r="423" spans="1:19" s="659" customFormat="1" ht="20.100000000000001" customHeight="1">
      <c r="A423" s="657" t="s">
        <v>4849</v>
      </c>
      <c r="B423" s="649" t="s">
        <v>506</v>
      </c>
      <c r="C423" s="621"/>
      <c r="D423" s="621"/>
      <c r="E423" s="649" t="s">
        <v>4850</v>
      </c>
      <c r="F423" s="622" t="s">
        <v>508</v>
      </c>
      <c r="G423" s="622" t="s">
        <v>509</v>
      </c>
      <c r="H423" s="649" t="s">
        <v>258</v>
      </c>
      <c r="I423" s="652" t="s">
        <v>14</v>
      </c>
      <c r="J423" s="622" t="s">
        <v>5364</v>
      </c>
      <c r="K423" s="680">
        <v>7849</v>
      </c>
      <c r="L423" s="680">
        <v>6</v>
      </c>
      <c r="M423" s="681">
        <v>0</v>
      </c>
      <c r="N423" s="681"/>
      <c r="O423" s="681">
        <v>6</v>
      </c>
      <c r="P423" s="680">
        <v>6</v>
      </c>
      <c r="Q423" s="682">
        <v>0</v>
      </c>
      <c r="R423" s="681">
        <v>0</v>
      </c>
      <c r="S423" s="658"/>
    </row>
    <row r="424" spans="1:19" s="659" customFormat="1" ht="20.100000000000001" customHeight="1">
      <c r="A424" s="657" t="s">
        <v>4038</v>
      </c>
      <c r="B424" s="649" t="s">
        <v>1109</v>
      </c>
      <c r="C424" s="621"/>
      <c r="D424" s="621"/>
      <c r="E424" s="649" t="s">
        <v>1486</v>
      </c>
      <c r="F424" s="622" t="s">
        <v>1487</v>
      </c>
      <c r="G424" s="622" t="s">
        <v>6233</v>
      </c>
      <c r="H424" s="649" t="s">
        <v>310</v>
      </c>
      <c r="I424" s="652" t="s">
        <v>10</v>
      </c>
      <c r="J424" s="622" t="s">
        <v>6232</v>
      </c>
      <c r="K424" s="680">
        <v>9000</v>
      </c>
      <c r="L424" s="680">
        <v>6</v>
      </c>
      <c r="M424" s="681">
        <v>0</v>
      </c>
      <c r="N424" s="681"/>
      <c r="O424" s="681">
        <v>6</v>
      </c>
      <c r="P424" s="680">
        <v>0</v>
      </c>
      <c r="Q424" s="682">
        <v>6</v>
      </c>
      <c r="R424" s="681">
        <v>0</v>
      </c>
      <c r="S424" s="658"/>
    </row>
    <row r="425" spans="1:19" s="659" customFormat="1" ht="20.100000000000001" customHeight="1">
      <c r="A425" s="657" t="s">
        <v>4038</v>
      </c>
      <c r="B425" s="649" t="s">
        <v>1109</v>
      </c>
      <c r="C425" s="621"/>
      <c r="D425" s="621"/>
      <c r="E425" s="649" t="s">
        <v>1486</v>
      </c>
      <c r="F425" s="622" t="s">
        <v>1487</v>
      </c>
      <c r="G425" s="622" t="s">
        <v>6233</v>
      </c>
      <c r="H425" s="649" t="s">
        <v>4040</v>
      </c>
      <c r="I425" s="652" t="s">
        <v>11</v>
      </c>
      <c r="J425" s="622" t="s">
        <v>6232</v>
      </c>
      <c r="K425" s="680">
        <v>9500</v>
      </c>
      <c r="L425" s="680">
        <v>134</v>
      </c>
      <c r="M425" s="681">
        <v>0</v>
      </c>
      <c r="N425" s="681"/>
      <c r="O425" s="681">
        <v>16</v>
      </c>
      <c r="P425" s="680">
        <v>1</v>
      </c>
      <c r="Q425" s="682">
        <v>15</v>
      </c>
      <c r="R425" s="681">
        <v>118</v>
      </c>
      <c r="S425" s="658"/>
    </row>
    <row r="426" spans="1:19" s="659" customFormat="1" ht="20.100000000000001" customHeight="1">
      <c r="A426" s="657" t="s">
        <v>4038</v>
      </c>
      <c r="B426" s="649" t="s">
        <v>1109</v>
      </c>
      <c r="C426" s="621"/>
      <c r="D426" s="621"/>
      <c r="E426" s="649" t="s">
        <v>1486</v>
      </c>
      <c r="F426" s="622" t="s">
        <v>1487</v>
      </c>
      <c r="G426" s="622" t="s">
        <v>6233</v>
      </c>
      <c r="H426" s="649" t="s">
        <v>4040</v>
      </c>
      <c r="I426" s="652" t="s">
        <v>11</v>
      </c>
      <c r="J426" s="622" t="s">
        <v>6232</v>
      </c>
      <c r="K426" s="680">
        <v>9500</v>
      </c>
      <c r="L426" s="680"/>
      <c r="M426" s="681">
        <v>7588</v>
      </c>
      <c r="N426" s="681"/>
      <c r="O426" s="681">
        <v>3456</v>
      </c>
      <c r="P426" s="680">
        <v>0</v>
      </c>
      <c r="Q426" s="682">
        <v>3456</v>
      </c>
      <c r="R426" s="681">
        <v>4132</v>
      </c>
      <c r="S426" s="658"/>
    </row>
    <row r="427" spans="1:19" s="659" customFormat="1" ht="20.100000000000001" customHeight="1">
      <c r="A427" s="657" t="s">
        <v>4042</v>
      </c>
      <c r="B427" s="649" t="s">
        <v>4043</v>
      </c>
      <c r="C427" s="621"/>
      <c r="D427" s="621"/>
      <c r="E427" s="649" t="s">
        <v>961</v>
      </c>
      <c r="F427" s="622" t="s">
        <v>963</v>
      </c>
      <c r="G427" s="622" t="s">
        <v>948</v>
      </c>
      <c r="H427" s="649" t="s">
        <v>962</v>
      </c>
      <c r="I427" s="652" t="s">
        <v>12</v>
      </c>
      <c r="J427" s="622" t="s">
        <v>946</v>
      </c>
      <c r="K427" s="680">
        <v>3053</v>
      </c>
      <c r="L427" s="680">
        <v>1033</v>
      </c>
      <c r="M427" s="681">
        <v>0</v>
      </c>
      <c r="N427" s="681"/>
      <c r="O427" s="681">
        <v>1033</v>
      </c>
      <c r="P427" s="680">
        <v>0</v>
      </c>
      <c r="Q427" s="682">
        <v>1033</v>
      </c>
      <c r="R427" s="681">
        <v>0</v>
      </c>
      <c r="S427" s="658"/>
    </row>
    <row r="428" spans="1:19" s="659" customFormat="1" ht="20.100000000000001" customHeight="1">
      <c r="A428" s="657" t="s">
        <v>4045</v>
      </c>
      <c r="B428" s="649" t="s">
        <v>1982</v>
      </c>
      <c r="C428" s="621"/>
      <c r="D428" s="621"/>
      <c r="E428" s="649" t="s">
        <v>1983</v>
      </c>
      <c r="F428" s="622" t="s">
        <v>7879</v>
      </c>
      <c r="G428" s="622" t="s">
        <v>1953</v>
      </c>
      <c r="H428" s="649" t="s">
        <v>1984</v>
      </c>
      <c r="I428" s="652" t="s">
        <v>12</v>
      </c>
      <c r="J428" s="622" t="s">
        <v>7878</v>
      </c>
      <c r="K428" s="680">
        <v>2394</v>
      </c>
      <c r="L428" s="680"/>
      <c r="M428" s="681">
        <v>10307</v>
      </c>
      <c r="N428" s="681"/>
      <c r="O428" s="681">
        <v>7399</v>
      </c>
      <c r="P428" s="680">
        <v>6679</v>
      </c>
      <c r="Q428" s="682">
        <v>720</v>
      </c>
      <c r="R428" s="681">
        <v>2908</v>
      </c>
      <c r="S428" s="658"/>
    </row>
    <row r="429" spans="1:19" s="659" customFormat="1" ht="20.100000000000001" customHeight="1">
      <c r="A429" s="657" t="s">
        <v>4046</v>
      </c>
      <c r="B429" s="649" t="s">
        <v>736</v>
      </c>
      <c r="C429" s="621"/>
      <c r="D429" s="621"/>
      <c r="E429" s="649" t="s">
        <v>4047</v>
      </c>
      <c r="F429" s="622" t="s">
        <v>1986</v>
      </c>
      <c r="G429" s="622" t="s">
        <v>1953</v>
      </c>
      <c r="H429" s="649" t="s">
        <v>4048</v>
      </c>
      <c r="I429" s="652" t="s">
        <v>12</v>
      </c>
      <c r="J429" s="622" t="s">
        <v>10151</v>
      </c>
      <c r="K429" s="680">
        <v>2900</v>
      </c>
      <c r="L429" s="680">
        <v>4726</v>
      </c>
      <c r="M429" s="681">
        <v>26</v>
      </c>
      <c r="N429" s="681"/>
      <c r="O429" s="681">
        <v>4749</v>
      </c>
      <c r="P429" s="680">
        <v>3603</v>
      </c>
      <c r="Q429" s="682">
        <v>1146</v>
      </c>
      <c r="R429" s="681">
        <v>3</v>
      </c>
      <c r="S429" s="658"/>
    </row>
    <row r="430" spans="1:19" s="659" customFormat="1" ht="20.100000000000001" customHeight="1">
      <c r="A430" s="657" t="s">
        <v>4050</v>
      </c>
      <c r="B430" s="649" t="s">
        <v>2513</v>
      </c>
      <c r="C430" s="621"/>
      <c r="D430" s="621"/>
      <c r="E430" s="649" t="s">
        <v>4051</v>
      </c>
      <c r="F430" s="622" t="s">
        <v>6025</v>
      </c>
      <c r="G430" s="622" t="s">
        <v>5814</v>
      </c>
      <c r="H430" s="649" t="s">
        <v>4052</v>
      </c>
      <c r="I430" s="652" t="s">
        <v>891</v>
      </c>
      <c r="J430" s="622" t="s">
        <v>6024</v>
      </c>
      <c r="K430" s="680">
        <v>94999</v>
      </c>
      <c r="L430" s="680">
        <v>11</v>
      </c>
      <c r="M430" s="681">
        <v>0</v>
      </c>
      <c r="N430" s="681"/>
      <c r="O430" s="681">
        <v>11</v>
      </c>
      <c r="P430" s="680">
        <v>11</v>
      </c>
      <c r="Q430" s="682">
        <v>0</v>
      </c>
      <c r="R430" s="681">
        <v>0</v>
      </c>
      <c r="S430" s="658"/>
    </row>
    <row r="431" spans="1:19" s="659" customFormat="1" ht="20.100000000000001" customHeight="1">
      <c r="A431" s="657" t="s">
        <v>4050</v>
      </c>
      <c r="B431" s="649" t="s">
        <v>2513</v>
      </c>
      <c r="C431" s="621"/>
      <c r="D431" s="621"/>
      <c r="E431" s="649" t="s">
        <v>4051</v>
      </c>
      <c r="F431" s="622" t="s">
        <v>6025</v>
      </c>
      <c r="G431" s="622" t="s">
        <v>5814</v>
      </c>
      <c r="H431" s="649" t="s">
        <v>4052</v>
      </c>
      <c r="I431" s="652" t="s">
        <v>891</v>
      </c>
      <c r="J431" s="622" t="s">
        <v>6024</v>
      </c>
      <c r="K431" s="680">
        <v>94999</v>
      </c>
      <c r="L431" s="680"/>
      <c r="M431" s="681">
        <v>12</v>
      </c>
      <c r="N431" s="681"/>
      <c r="O431" s="681">
        <v>12</v>
      </c>
      <c r="P431" s="680">
        <v>12</v>
      </c>
      <c r="Q431" s="682">
        <v>0</v>
      </c>
      <c r="R431" s="681">
        <v>0</v>
      </c>
      <c r="S431" s="658"/>
    </row>
    <row r="432" spans="1:19" s="659" customFormat="1" ht="20.100000000000001" customHeight="1">
      <c r="A432" s="657" t="s">
        <v>4671</v>
      </c>
      <c r="B432" s="649" t="s">
        <v>105</v>
      </c>
      <c r="C432" s="621"/>
      <c r="D432" s="621"/>
      <c r="E432" s="649" t="s">
        <v>104</v>
      </c>
      <c r="F432" s="622" t="s">
        <v>8793</v>
      </c>
      <c r="G432" s="622" t="s">
        <v>2413</v>
      </c>
      <c r="H432" s="649" t="s">
        <v>106</v>
      </c>
      <c r="I432" s="652" t="s">
        <v>10</v>
      </c>
      <c r="J432" s="622" t="s">
        <v>8792</v>
      </c>
      <c r="K432" s="680">
        <v>2783</v>
      </c>
      <c r="L432" s="680">
        <v>3</v>
      </c>
      <c r="M432" s="681">
        <v>0</v>
      </c>
      <c r="N432" s="681"/>
      <c r="O432" s="681">
        <v>3</v>
      </c>
      <c r="P432" s="680">
        <v>0</v>
      </c>
      <c r="Q432" s="682">
        <v>3</v>
      </c>
      <c r="R432" s="681">
        <v>0</v>
      </c>
      <c r="S432" s="658"/>
    </row>
    <row r="433" spans="1:19" s="659" customFormat="1" ht="20.100000000000001" customHeight="1">
      <c r="A433" s="657" t="s">
        <v>8790</v>
      </c>
      <c r="B433" s="649" t="s">
        <v>105</v>
      </c>
      <c r="C433" s="621"/>
      <c r="D433" s="621"/>
      <c r="E433" s="649" t="s">
        <v>104</v>
      </c>
      <c r="F433" s="622" t="s">
        <v>8793</v>
      </c>
      <c r="G433" s="622" t="s">
        <v>2413</v>
      </c>
      <c r="H433" s="649" t="s">
        <v>12310</v>
      </c>
      <c r="I433" s="652" t="s">
        <v>11</v>
      </c>
      <c r="J433" s="622" t="s">
        <v>8792</v>
      </c>
      <c r="K433" s="680">
        <v>2780</v>
      </c>
      <c r="L433" s="680"/>
      <c r="M433" s="681">
        <v>5000</v>
      </c>
      <c r="N433" s="681"/>
      <c r="O433" s="681">
        <v>0</v>
      </c>
      <c r="P433" s="680">
        <v>0</v>
      </c>
      <c r="Q433" s="682">
        <v>0</v>
      </c>
      <c r="R433" s="681">
        <v>5000</v>
      </c>
      <c r="S433" s="658"/>
    </row>
    <row r="434" spans="1:19" s="659" customFormat="1" ht="20.100000000000001" customHeight="1">
      <c r="A434" s="657" t="s">
        <v>8790</v>
      </c>
      <c r="B434" s="649" t="s">
        <v>105</v>
      </c>
      <c r="C434" s="621"/>
      <c r="D434" s="621"/>
      <c r="E434" s="649" t="s">
        <v>104</v>
      </c>
      <c r="F434" s="622" t="s">
        <v>8793</v>
      </c>
      <c r="G434" s="622" t="s">
        <v>2413</v>
      </c>
      <c r="H434" s="649" t="s">
        <v>12310</v>
      </c>
      <c r="I434" s="652" t="s">
        <v>11</v>
      </c>
      <c r="J434" s="622" t="s">
        <v>8792</v>
      </c>
      <c r="K434" s="680">
        <v>2780</v>
      </c>
      <c r="L434" s="680"/>
      <c r="M434" s="681">
        <v>5000</v>
      </c>
      <c r="N434" s="681"/>
      <c r="O434" s="681">
        <v>5000</v>
      </c>
      <c r="P434" s="680">
        <v>0</v>
      </c>
      <c r="Q434" s="682">
        <v>5000</v>
      </c>
      <c r="R434" s="681">
        <v>0</v>
      </c>
      <c r="S434" s="658"/>
    </row>
    <row r="435" spans="1:19" s="659" customFormat="1" ht="20.100000000000001" customHeight="1">
      <c r="A435" s="657" t="s">
        <v>4056</v>
      </c>
      <c r="B435" s="649" t="s">
        <v>3961</v>
      </c>
      <c r="C435" s="621"/>
      <c r="D435" s="621"/>
      <c r="E435" s="649" t="s">
        <v>4057</v>
      </c>
      <c r="F435" s="622" t="s">
        <v>6322</v>
      </c>
      <c r="G435" s="622" t="s">
        <v>948</v>
      </c>
      <c r="H435" s="649" t="s">
        <v>3962</v>
      </c>
      <c r="I435" s="652" t="s">
        <v>11</v>
      </c>
      <c r="J435" s="622" t="s">
        <v>6321</v>
      </c>
      <c r="K435" s="680">
        <v>3238</v>
      </c>
      <c r="L435" s="680">
        <v>8</v>
      </c>
      <c r="M435" s="681">
        <v>0</v>
      </c>
      <c r="N435" s="681"/>
      <c r="O435" s="681">
        <v>8</v>
      </c>
      <c r="P435" s="680">
        <v>0</v>
      </c>
      <c r="Q435" s="682">
        <v>8</v>
      </c>
      <c r="R435" s="681">
        <v>0</v>
      </c>
      <c r="S435" s="658"/>
    </row>
    <row r="436" spans="1:19" s="659" customFormat="1" ht="20.100000000000001" customHeight="1">
      <c r="A436" s="657" t="s">
        <v>4056</v>
      </c>
      <c r="B436" s="649" t="s">
        <v>3961</v>
      </c>
      <c r="C436" s="621"/>
      <c r="D436" s="621"/>
      <c r="E436" s="649" t="s">
        <v>4057</v>
      </c>
      <c r="F436" s="622" t="s">
        <v>6322</v>
      </c>
      <c r="G436" s="622" t="s">
        <v>948</v>
      </c>
      <c r="H436" s="649" t="s">
        <v>3962</v>
      </c>
      <c r="I436" s="652" t="s">
        <v>11</v>
      </c>
      <c r="J436" s="622" t="s">
        <v>6321</v>
      </c>
      <c r="K436" s="680">
        <v>3238</v>
      </c>
      <c r="L436" s="680"/>
      <c r="M436" s="681">
        <v>1980</v>
      </c>
      <c r="N436" s="681"/>
      <c r="O436" s="681">
        <v>152</v>
      </c>
      <c r="P436" s="680">
        <v>0</v>
      </c>
      <c r="Q436" s="682">
        <v>152</v>
      </c>
      <c r="R436" s="681">
        <v>1828</v>
      </c>
      <c r="S436" s="658"/>
    </row>
    <row r="437" spans="1:19" s="659" customFormat="1" ht="20.100000000000001" customHeight="1">
      <c r="A437" s="657" t="s">
        <v>4054</v>
      </c>
      <c r="B437" s="649" t="s">
        <v>1220</v>
      </c>
      <c r="C437" s="621"/>
      <c r="D437" s="621"/>
      <c r="E437" s="649" t="s">
        <v>4059</v>
      </c>
      <c r="F437" s="622" t="s">
        <v>6764</v>
      </c>
      <c r="G437" s="622" t="s">
        <v>6765</v>
      </c>
      <c r="H437" s="649" t="s">
        <v>267</v>
      </c>
      <c r="I437" s="652" t="s">
        <v>16</v>
      </c>
      <c r="J437" s="622" t="s">
        <v>6763</v>
      </c>
      <c r="K437" s="680">
        <v>2600</v>
      </c>
      <c r="L437" s="680">
        <v>6000</v>
      </c>
      <c r="M437" s="681">
        <v>0</v>
      </c>
      <c r="N437" s="681"/>
      <c r="O437" s="681">
        <v>1694</v>
      </c>
      <c r="P437" s="680">
        <v>44</v>
      </c>
      <c r="Q437" s="682">
        <v>1650</v>
      </c>
      <c r="R437" s="681">
        <v>4306</v>
      </c>
      <c r="S437" s="658"/>
    </row>
    <row r="438" spans="1:19" s="659" customFormat="1" ht="20.100000000000001" customHeight="1">
      <c r="A438" s="657" t="s">
        <v>4063</v>
      </c>
      <c r="B438" s="649" t="s">
        <v>583</v>
      </c>
      <c r="C438" s="621"/>
      <c r="D438" s="621"/>
      <c r="E438" s="649" t="s">
        <v>4064</v>
      </c>
      <c r="F438" s="622" t="s">
        <v>8105</v>
      </c>
      <c r="G438" s="622" t="s">
        <v>7211</v>
      </c>
      <c r="H438" s="649" t="s">
        <v>222</v>
      </c>
      <c r="I438" s="652" t="s">
        <v>11</v>
      </c>
      <c r="J438" s="622" t="s">
        <v>7712</v>
      </c>
      <c r="K438" s="680">
        <v>245</v>
      </c>
      <c r="L438" s="680">
        <v>7594</v>
      </c>
      <c r="M438" s="681">
        <v>0</v>
      </c>
      <c r="N438" s="681"/>
      <c r="O438" s="681">
        <v>7536</v>
      </c>
      <c r="P438" s="680">
        <v>0</v>
      </c>
      <c r="Q438" s="682">
        <v>7536</v>
      </c>
      <c r="R438" s="681">
        <v>58</v>
      </c>
      <c r="S438" s="658"/>
    </row>
    <row r="439" spans="1:19" s="659" customFormat="1" ht="20.100000000000001" customHeight="1">
      <c r="A439" s="657" t="s">
        <v>8339</v>
      </c>
      <c r="B439" s="649" t="s">
        <v>1240</v>
      </c>
      <c r="C439" s="621"/>
      <c r="D439" s="621"/>
      <c r="E439" s="649" t="s">
        <v>8340</v>
      </c>
      <c r="F439" s="622" t="s">
        <v>8342</v>
      </c>
      <c r="G439" s="622" t="s">
        <v>8343</v>
      </c>
      <c r="H439" s="649" t="s">
        <v>1988</v>
      </c>
      <c r="I439" s="652" t="s">
        <v>11</v>
      </c>
      <c r="J439" s="622" t="s">
        <v>8341</v>
      </c>
      <c r="K439" s="680">
        <v>2500</v>
      </c>
      <c r="L439" s="680"/>
      <c r="M439" s="681">
        <v>49980</v>
      </c>
      <c r="N439" s="681"/>
      <c r="O439" s="681">
        <v>2644</v>
      </c>
      <c r="P439" s="680">
        <v>0</v>
      </c>
      <c r="Q439" s="682">
        <v>2644</v>
      </c>
      <c r="R439" s="681">
        <v>47336</v>
      </c>
      <c r="S439" s="658"/>
    </row>
    <row r="440" spans="1:19" s="659" customFormat="1" ht="20.100000000000001" customHeight="1">
      <c r="A440" s="657" t="s">
        <v>8339</v>
      </c>
      <c r="B440" s="649" t="s">
        <v>1240</v>
      </c>
      <c r="C440" s="621"/>
      <c r="D440" s="621"/>
      <c r="E440" s="649" t="s">
        <v>8340</v>
      </c>
      <c r="F440" s="622" t="s">
        <v>8342</v>
      </c>
      <c r="G440" s="622" t="s">
        <v>8343</v>
      </c>
      <c r="H440" s="649" t="s">
        <v>1988</v>
      </c>
      <c r="I440" s="652" t="s">
        <v>11</v>
      </c>
      <c r="J440" s="622" t="s">
        <v>8341</v>
      </c>
      <c r="K440" s="680">
        <v>2500</v>
      </c>
      <c r="L440" s="680">
        <v>1228</v>
      </c>
      <c r="M440" s="681">
        <v>0</v>
      </c>
      <c r="N440" s="681"/>
      <c r="O440" s="681">
        <v>1228</v>
      </c>
      <c r="P440" s="680">
        <v>0</v>
      </c>
      <c r="Q440" s="682">
        <v>1228</v>
      </c>
      <c r="R440" s="681">
        <v>0</v>
      </c>
      <c r="S440" s="658"/>
    </row>
    <row r="441" spans="1:19" s="659" customFormat="1" ht="20.100000000000001" customHeight="1">
      <c r="A441" s="657" t="s">
        <v>8339</v>
      </c>
      <c r="B441" s="649" t="s">
        <v>1240</v>
      </c>
      <c r="C441" s="621"/>
      <c r="D441" s="621"/>
      <c r="E441" s="649" t="s">
        <v>8340</v>
      </c>
      <c r="F441" s="622" t="s">
        <v>8342</v>
      </c>
      <c r="G441" s="622" t="s">
        <v>8343</v>
      </c>
      <c r="H441" s="649" t="s">
        <v>1988</v>
      </c>
      <c r="I441" s="652" t="s">
        <v>11</v>
      </c>
      <c r="J441" s="622" t="s">
        <v>8341</v>
      </c>
      <c r="K441" s="680">
        <v>2500</v>
      </c>
      <c r="L441" s="680">
        <v>6480</v>
      </c>
      <c r="M441" s="681">
        <v>0</v>
      </c>
      <c r="N441" s="681"/>
      <c r="O441" s="681">
        <v>6480</v>
      </c>
      <c r="P441" s="680">
        <v>0</v>
      </c>
      <c r="Q441" s="682">
        <v>6480</v>
      </c>
      <c r="R441" s="681">
        <v>0</v>
      </c>
      <c r="S441" s="658"/>
    </row>
    <row r="442" spans="1:19" s="659" customFormat="1" ht="20.100000000000001" customHeight="1">
      <c r="A442" s="657" t="s">
        <v>4066</v>
      </c>
      <c r="B442" s="649" t="s">
        <v>1240</v>
      </c>
      <c r="C442" s="621"/>
      <c r="D442" s="621"/>
      <c r="E442" s="649" t="s">
        <v>4067</v>
      </c>
      <c r="F442" s="622" t="s">
        <v>8345</v>
      </c>
      <c r="G442" s="622" t="s">
        <v>8346</v>
      </c>
      <c r="H442" s="649" t="s">
        <v>4068</v>
      </c>
      <c r="I442" s="652" t="s">
        <v>11</v>
      </c>
      <c r="J442" s="622" t="s">
        <v>6009</v>
      </c>
      <c r="K442" s="680">
        <v>2690</v>
      </c>
      <c r="L442" s="680">
        <v>30000</v>
      </c>
      <c r="M442" s="681">
        <v>0</v>
      </c>
      <c r="N442" s="681"/>
      <c r="O442" s="681">
        <v>30000</v>
      </c>
      <c r="P442" s="680">
        <v>0</v>
      </c>
      <c r="Q442" s="682">
        <v>30000</v>
      </c>
      <c r="R442" s="681">
        <v>0</v>
      </c>
      <c r="S442" s="658"/>
    </row>
    <row r="443" spans="1:19" s="659" customFormat="1" ht="20.100000000000001" customHeight="1">
      <c r="A443" s="657" t="s">
        <v>4066</v>
      </c>
      <c r="B443" s="649" t="s">
        <v>1240</v>
      </c>
      <c r="C443" s="621"/>
      <c r="D443" s="621"/>
      <c r="E443" s="649" t="s">
        <v>4067</v>
      </c>
      <c r="F443" s="622" t="s">
        <v>8345</v>
      </c>
      <c r="G443" s="622" t="s">
        <v>8346</v>
      </c>
      <c r="H443" s="649" t="s">
        <v>4068</v>
      </c>
      <c r="I443" s="652" t="s">
        <v>11</v>
      </c>
      <c r="J443" s="622" t="s">
        <v>6009</v>
      </c>
      <c r="K443" s="680">
        <v>2690</v>
      </c>
      <c r="L443" s="680"/>
      <c r="M443" s="681">
        <v>20214</v>
      </c>
      <c r="N443" s="681"/>
      <c r="O443" s="681">
        <v>11045</v>
      </c>
      <c r="P443" s="680">
        <v>302</v>
      </c>
      <c r="Q443" s="682">
        <v>10743</v>
      </c>
      <c r="R443" s="681">
        <v>9169</v>
      </c>
      <c r="S443" s="658"/>
    </row>
    <row r="444" spans="1:19" s="659" customFormat="1" ht="20.100000000000001" customHeight="1">
      <c r="A444" s="657" t="s">
        <v>4066</v>
      </c>
      <c r="B444" s="649" t="s">
        <v>1240</v>
      </c>
      <c r="C444" s="621"/>
      <c r="D444" s="621"/>
      <c r="E444" s="649" t="s">
        <v>4067</v>
      </c>
      <c r="F444" s="622" t="s">
        <v>8345</v>
      </c>
      <c r="G444" s="622" t="s">
        <v>8346</v>
      </c>
      <c r="H444" s="649" t="s">
        <v>4068</v>
      </c>
      <c r="I444" s="652" t="s">
        <v>11</v>
      </c>
      <c r="J444" s="622" t="s">
        <v>6009</v>
      </c>
      <c r="K444" s="680">
        <v>2690</v>
      </c>
      <c r="L444" s="680">
        <v>8121</v>
      </c>
      <c r="M444" s="681">
        <v>14</v>
      </c>
      <c r="N444" s="681"/>
      <c r="O444" s="681">
        <v>8125</v>
      </c>
      <c r="P444" s="680">
        <v>362</v>
      </c>
      <c r="Q444" s="682">
        <v>7763</v>
      </c>
      <c r="R444" s="681">
        <v>10</v>
      </c>
      <c r="S444" s="658"/>
    </row>
    <row r="445" spans="1:19" s="659" customFormat="1" ht="20.100000000000001" customHeight="1">
      <c r="A445" s="657" t="s">
        <v>4069</v>
      </c>
      <c r="B445" s="649" t="s">
        <v>1618</v>
      </c>
      <c r="C445" s="621"/>
      <c r="D445" s="621"/>
      <c r="E445" s="649" t="s">
        <v>4070</v>
      </c>
      <c r="F445" s="622" t="s">
        <v>8130</v>
      </c>
      <c r="G445" s="622" t="s">
        <v>7783</v>
      </c>
      <c r="H445" s="649" t="s">
        <v>225</v>
      </c>
      <c r="I445" s="652" t="s">
        <v>11</v>
      </c>
      <c r="J445" s="622" t="s">
        <v>8129</v>
      </c>
      <c r="K445" s="680">
        <v>154</v>
      </c>
      <c r="L445" s="680">
        <v>12899</v>
      </c>
      <c r="M445" s="681">
        <v>4</v>
      </c>
      <c r="N445" s="681"/>
      <c r="O445" s="681">
        <v>12850</v>
      </c>
      <c r="P445" s="680">
        <v>28</v>
      </c>
      <c r="Q445" s="682">
        <v>12822</v>
      </c>
      <c r="R445" s="681">
        <v>53</v>
      </c>
      <c r="S445" s="658"/>
    </row>
    <row r="446" spans="1:19" s="659" customFormat="1" ht="20.100000000000001" customHeight="1">
      <c r="A446" s="657" t="s">
        <v>4069</v>
      </c>
      <c r="B446" s="649" t="s">
        <v>1618</v>
      </c>
      <c r="C446" s="621"/>
      <c r="D446" s="621"/>
      <c r="E446" s="649" t="s">
        <v>4070</v>
      </c>
      <c r="F446" s="622" t="s">
        <v>8130</v>
      </c>
      <c r="G446" s="622" t="s">
        <v>7783</v>
      </c>
      <c r="H446" s="649" t="s">
        <v>225</v>
      </c>
      <c r="I446" s="652" t="s">
        <v>11</v>
      </c>
      <c r="J446" s="622" t="s">
        <v>8129</v>
      </c>
      <c r="K446" s="680">
        <v>154</v>
      </c>
      <c r="L446" s="680"/>
      <c r="M446" s="681">
        <v>30000</v>
      </c>
      <c r="N446" s="681"/>
      <c r="O446" s="681">
        <v>30000</v>
      </c>
      <c r="P446" s="680">
        <v>0</v>
      </c>
      <c r="Q446" s="682">
        <v>30000</v>
      </c>
      <c r="R446" s="681">
        <v>0</v>
      </c>
      <c r="S446" s="658"/>
    </row>
    <row r="447" spans="1:19" s="659" customFormat="1" ht="20.100000000000001" customHeight="1">
      <c r="A447" s="657" t="s">
        <v>8486</v>
      </c>
      <c r="B447" s="649" t="s">
        <v>1618</v>
      </c>
      <c r="C447" s="621"/>
      <c r="D447" s="621"/>
      <c r="E447" s="649" t="s">
        <v>4070</v>
      </c>
      <c r="F447" s="622" t="s">
        <v>8130</v>
      </c>
      <c r="G447" s="622" t="s">
        <v>7783</v>
      </c>
      <c r="H447" s="649" t="s">
        <v>225</v>
      </c>
      <c r="I447" s="652" t="s">
        <v>11</v>
      </c>
      <c r="J447" s="622" t="s">
        <v>8129</v>
      </c>
      <c r="K447" s="680">
        <v>154</v>
      </c>
      <c r="L447" s="680"/>
      <c r="M447" s="681">
        <v>19980</v>
      </c>
      <c r="N447" s="681"/>
      <c r="O447" s="681">
        <v>19980</v>
      </c>
      <c r="P447" s="680">
        <v>0</v>
      </c>
      <c r="Q447" s="682">
        <v>19980</v>
      </c>
      <c r="R447" s="681">
        <v>0</v>
      </c>
      <c r="S447" s="658"/>
    </row>
    <row r="448" spans="1:19" s="659" customFormat="1" ht="20.100000000000001" customHeight="1">
      <c r="A448" s="657" t="s">
        <v>4072</v>
      </c>
      <c r="B448" s="649" t="s">
        <v>1618</v>
      </c>
      <c r="C448" s="621"/>
      <c r="D448" s="621"/>
      <c r="E448" s="649" t="s">
        <v>4073</v>
      </c>
      <c r="F448" s="622" t="s">
        <v>8484</v>
      </c>
      <c r="G448" s="622" t="s">
        <v>7783</v>
      </c>
      <c r="H448" s="649" t="s">
        <v>994</v>
      </c>
      <c r="I448" s="652" t="s">
        <v>11</v>
      </c>
      <c r="J448" s="622" t="s">
        <v>8129</v>
      </c>
      <c r="K448" s="680">
        <v>204</v>
      </c>
      <c r="L448" s="680">
        <v>40845</v>
      </c>
      <c r="M448" s="681">
        <v>0</v>
      </c>
      <c r="N448" s="681"/>
      <c r="O448" s="681">
        <v>40845</v>
      </c>
      <c r="P448" s="680">
        <v>55</v>
      </c>
      <c r="Q448" s="682">
        <v>40790</v>
      </c>
      <c r="R448" s="681">
        <v>0</v>
      </c>
      <c r="S448" s="658"/>
    </row>
    <row r="449" spans="1:19" s="659" customFormat="1" ht="20.100000000000001" customHeight="1">
      <c r="A449" s="657" t="s">
        <v>4072</v>
      </c>
      <c r="B449" s="649" t="s">
        <v>1618</v>
      </c>
      <c r="C449" s="621"/>
      <c r="D449" s="621"/>
      <c r="E449" s="649" t="s">
        <v>4073</v>
      </c>
      <c r="F449" s="622" t="s">
        <v>8484</v>
      </c>
      <c r="G449" s="622" t="s">
        <v>7783</v>
      </c>
      <c r="H449" s="649" t="s">
        <v>994</v>
      </c>
      <c r="I449" s="652" t="s">
        <v>11</v>
      </c>
      <c r="J449" s="622" t="s">
        <v>8129</v>
      </c>
      <c r="K449" s="680">
        <v>204</v>
      </c>
      <c r="L449" s="680"/>
      <c r="M449" s="681">
        <v>19984</v>
      </c>
      <c r="N449" s="681"/>
      <c r="O449" s="681">
        <v>19941</v>
      </c>
      <c r="P449" s="680">
        <v>21</v>
      </c>
      <c r="Q449" s="682">
        <v>19920</v>
      </c>
      <c r="R449" s="681">
        <v>43</v>
      </c>
      <c r="S449" s="658"/>
    </row>
    <row r="450" spans="1:19" s="659" customFormat="1" ht="20.100000000000001" customHeight="1">
      <c r="A450" s="657" t="s">
        <v>4076</v>
      </c>
      <c r="B450" s="649" t="s">
        <v>513</v>
      </c>
      <c r="C450" s="621"/>
      <c r="D450" s="621"/>
      <c r="E450" s="649" t="s">
        <v>4077</v>
      </c>
      <c r="F450" s="622" t="s">
        <v>7014</v>
      </c>
      <c r="G450" s="622" t="s">
        <v>7015</v>
      </c>
      <c r="H450" s="649" t="s">
        <v>4078</v>
      </c>
      <c r="I450" s="652" t="s">
        <v>520</v>
      </c>
      <c r="J450" s="622" t="s">
        <v>7013</v>
      </c>
      <c r="K450" s="680">
        <v>966</v>
      </c>
      <c r="L450" s="680">
        <v>1400</v>
      </c>
      <c r="M450" s="681">
        <v>0</v>
      </c>
      <c r="N450" s="681"/>
      <c r="O450" s="681">
        <v>559</v>
      </c>
      <c r="P450" s="680">
        <v>494</v>
      </c>
      <c r="Q450" s="682">
        <v>65</v>
      </c>
      <c r="R450" s="681">
        <v>841</v>
      </c>
      <c r="S450" s="658"/>
    </row>
    <row r="451" spans="1:19" s="659" customFormat="1" ht="20.100000000000001" customHeight="1">
      <c r="A451" s="657" t="s">
        <v>4076</v>
      </c>
      <c r="B451" s="649" t="s">
        <v>513</v>
      </c>
      <c r="C451" s="621"/>
      <c r="D451" s="621"/>
      <c r="E451" s="649" t="s">
        <v>4077</v>
      </c>
      <c r="F451" s="622" t="s">
        <v>7014</v>
      </c>
      <c r="G451" s="622" t="s">
        <v>7015</v>
      </c>
      <c r="H451" s="649" t="s">
        <v>4078</v>
      </c>
      <c r="I451" s="652" t="s">
        <v>520</v>
      </c>
      <c r="J451" s="622" t="s">
        <v>7013</v>
      </c>
      <c r="K451" s="680">
        <v>966</v>
      </c>
      <c r="L451" s="680">
        <v>32</v>
      </c>
      <c r="M451" s="681">
        <v>0</v>
      </c>
      <c r="N451" s="681"/>
      <c r="O451" s="681">
        <v>32</v>
      </c>
      <c r="P451" s="680">
        <v>32</v>
      </c>
      <c r="Q451" s="682">
        <v>0</v>
      </c>
      <c r="R451" s="681">
        <v>0</v>
      </c>
      <c r="S451" s="658"/>
    </row>
    <row r="452" spans="1:19" s="659" customFormat="1" ht="20.100000000000001" customHeight="1">
      <c r="A452" s="657" t="s">
        <v>7036</v>
      </c>
      <c r="B452" s="649" t="s">
        <v>513</v>
      </c>
      <c r="C452" s="621"/>
      <c r="D452" s="621"/>
      <c r="E452" s="649" t="s">
        <v>2565</v>
      </c>
      <c r="F452" s="622" t="s">
        <v>7039</v>
      </c>
      <c r="G452" s="622" t="s">
        <v>6510</v>
      </c>
      <c r="H452" s="649" t="s">
        <v>7037</v>
      </c>
      <c r="I452" s="652" t="s">
        <v>15</v>
      </c>
      <c r="J452" s="622" t="s">
        <v>7038</v>
      </c>
      <c r="K452" s="680">
        <v>8190</v>
      </c>
      <c r="L452" s="680"/>
      <c r="M452" s="681">
        <v>300</v>
      </c>
      <c r="N452" s="681"/>
      <c r="O452" s="681">
        <v>0</v>
      </c>
      <c r="P452" s="680">
        <v>0</v>
      </c>
      <c r="Q452" s="682">
        <v>0</v>
      </c>
      <c r="R452" s="681">
        <v>300</v>
      </c>
      <c r="S452" s="658"/>
    </row>
    <row r="453" spans="1:19" s="659" customFormat="1" ht="20.100000000000001" customHeight="1">
      <c r="A453" s="657" t="s">
        <v>4444</v>
      </c>
      <c r="B453" s="649" t="s">
        <v>513</v>
      </c>
      <c r="C453" s="621"/>
      <c r="D453" s="621"/>
      <c r="E453" s="649" t="s">
        <v>3604</v>
      </c>
      <c r="F453" s="622" t="s">
        <v>5435</v>
      </c>
      <c r="G453" s="622" t="s">
        <v>514</v>
      </c>
      <c r="H453" s="649" t="s">
        <v>4445</v>
      </c>
      <c r="I453" s="652" t="s">
        <v>18</v>
      </c>
      <c r="J453" s="622" t="s">
        <v>5434</v>
      </c>
      <c r="K453" s="680">
        <v>8715</v>
      </c>
      <c r="L453" s="680">
        <v>200</v>
      </c>
      <c r="M453" s="681">
        <v>1</v>
      </c>
      <c r="N453" s="681"/>
      <c r="O453" s="681">
        <v>196</v>
      </c>
      <c r="P453" s="680">
        <v>201</v>
      </c>
      <c r="Q453" s="682">
        <v>-5</v>
      </c>
      <c r="R453" s="681">
        <v>5</v>
      </c>
      <c r="S453" s="658"/>
    </row>
    <row r="454" spans="1:19" s="659" customFormat="1" ht="20.100000000000001" customHeight="1">
      <c r="A454" s="657" t="s">
        <v>4444</v>
      </c>
      <c r="B454" s="649" t="s">
        <v>513</v>
      </c>
      <c r="C454" s="621"/>
      <c r="D454" s="621"/>
      <c r="E454" s="649" t="s">
        <v>3604</v>
      </c>
      <c r="F454" s="622" t="s">
        <v>5435</v>
      </c>
      <c r="G454" s="622" t="s">
        <v>514</v>
      </c>
      <c r="H454" s="649" t="s">
        <v>4445</v>
      </c>
      <c r="I454" s="652" t="s">
        <v>18</v>
      </c>
      <c r="J454" s="622" t="s">
        <v>5434</v>
      </c>
      <c r="K454" s="680">
        <v>8715</v>
      </c>
      <c r="L454" s="680">
        <v>440</v>
      </c>
      <c r="M454" s="681">
        <v>5</v>
      </c>
      <c r="N454" s="681"/>
      <c r="O454" s="681">
        <v>252</v>
      </c>
      <c r="P454" s="680">
        <v>187</v>
      </c>
      <c r="Q454" s="682">
        <v>65</v>
      </c>
      <c r="R454" s="681">
        <v>193</v>
      </c>
      <c r="S454" s="658"/>
    </row>
    <row r="455" spans="1:19" s="659" customFormat="1" ht="20.100000000000001" customHeight="1">
      <c r="A455" s="657" t="s">
        <v>4082</v>
      </c>
      <c r="B455" s="649" t="s">
        <v>1618</v>
      </c>
      <c r="C455" s="621"/>
      <c r="D455" s="621"/>
      <c r="E455" s="649" t="s">
        <v>2494</v>
      </c>
      <c r="F455" s="622" t="s">
        <v>3031</v>
      </c>
      <c r="G455" s="622" t="s">
        <v>7362</v>
      </c>
      <c r="H455" s="649" t="s">
        <v>994</v>
      </c>
      <c r="I455" s="652" t="s">
        <v>11</v>
      </c>
      <c r="J455" s="622" t="s">
        <v>6792</v>
      </c>
      <c r="K455" s="680">
        <v>204</v>
      </c>
      <c r="L455" s="680"/>
      <c r="M455" s="681">
        <v>36000</v>
      </c>
      <c r="N455" s="681"/>
      <c r="O455" s="681">
        <v>10400</v>
      </c>
      <c r="P455" s="680">
        <v>0</v>
      </c>
      <c r="Q455" s="682">
        <v>10400</v>
      </c>
      <c r="R455" s="681">
        <v>25600</v>
      </c>
      <c r="S455" s="658"/>
    </row>
    <row r="456" spans="1:19" s="659" customFormat="1" ht="20.100000000000001" customHeight="1">
      <c r="A456" s="657" t="s">
        <v>4083</v>
      </c>
      <c r="B456" s="649" t="s">
        <v>4084</v>
      </c>
      <c r="C456" s="621"/>
      <c r="D456" s="621"/>
      <c r="E456" s="649" t="s">
        <v>1892</v>
      </c>
      <c r="F456" s="622" t="s">
        <v>8118</v>
      </c>
      <c r="G456" s="622" t="s">
        <v>6532</v>
      </c>
      <c r="H456" s="649" t="s">
        <v>327</v>
      </c>
      <c r="I456" s="652" t="s">
        <v>10</v>
      </c>
      <c r="J456" s="622" t="s">
        <v>5690</v>
      </c>
      <c r="K456" s="680">
        <v>5500</v>
      </c>
      <c r="L456" s="680">
        <v>5</v>
      </c>
      <c r="M456" s="681">
        <v>0</v>
      </c>
      <c r="N456" s="681"/>
      <c r="O456" s="681">
        <v>5</v>
      </c>
      <c r="P456" s="680">
        <v>0</v>
      </c>
      <c r="Q456" s="682">
        <v>5</v>
      </c>
      <c r="R456" s="681">
        <v>0</v>
      </c>
      <c r="S456" s="658"/>
    </row>
    <row r="457" spans="1:19" s="659" customFormat="1" ht="20.100000000000001" customHeight="1">
      <c r="A457" s="657" t="s">
        <v>4086</v>
      </c>
      <c r="B457" s="649" t="s">
        <v>731</v>
      </c>
      <c r="C457" s="621"/>
      <c r="D457" s="621"/>
      <c r="E457" s="649" t="s">
        <v>732</v>
      </c>
      <c r="F457" s="622" t="s">
        <v>735</v>
      </c>
      <c r="G457" s="622" t="s">
        <v>5833</v>
      </c>
      <c r="H457" s="649" t="s">
        <v>733</v>
      </c>
      <c r="I457" s="652" t="s">
        <v>628</v>
      </c>
      <c r="J457" s="622" t="s">
        <v>6046</v>
      </c>
      <c r="K457" s="680">
        <v>72975</v>
      </c>
      <c r="L457" s="680">
        <v>10</v>
      </c>
      <c r="M457" s="681">
        <v>0</v>
      </c>
      <c r="N457" s="681"/>
      <c r="O457" s="681">
        <v>10</v>
      </c>
      <c r="P457" s="680">
        <v>0</v>
      </c>
      <c r="Q457" s="682">
        <v>10</v>
      </c>
      <c r="R457" s="681">
        <v>0</v>
      </c>
      <c r="S457" s="658"/>
    </row>
    <row r="458" spans="1:19" s="659" customFormat="1" ht="20.100000000000001" customHeight="1">
      <c r="A458" s="657" t="s">
        <v>4088</v>
      </c>
      <c r="B458" s="649" t="s">
        <v>731</v>
      </c>
      <c r="C458" s="621"/>
      <c r="D458" s="621"/>
      <c r="E458" s="649" t="s">
        <v>732</v>
      </c>
      <c r="F458" s="622" t="s">
        <v>735</v>
      </c>
      <c r="G458" s="622" t="s">
        <v>718</v>
      </c>
      <c r="H458" s="649" t="s">
        <v>733</v>
      </c>
      <c r="I458" s="652" t="s">
        <v>628</v>
      </c>
      <c r="J458" s="622" t="s">
        <v>6046</v>
      </c>
      <c r="K458" s="680">
        <v>72975</v>
      </c>
      <c r="L458" s="680">
        <v>10</v>
      </c>
      <c r="M458" s="681">
        <v>0</v>
      </c>
      <c r="N458" s="681"/>
      <c r="O458" s="681">
        <v>10</v>
      </c>
      <c r="P458" s="680">
        <v>0</v>
      </c>
      <c r="Q458" s="682">
        <v>10</v>
      </c>
      <c r="R458" s="681">
        <v>0</v>
      </c>
      <c r="S458" s="658"/>
    </row>
    <row r="459" spans="1:19" s="659" customFormat="1" ht="20.100000000000001" customHeight="1">
      <c r="A459" s="657" t="s">
        <v>4086</v>
      </c>
      <c r="B459" s="649" t="s">
        <v>11756</v>
      </c>
      <c r="C459" s="621"/>
      <c r="D459" s="621"/>
      <c r="E459" s="649" t="s">
        <v>732</v>
      </c>
      <c r="F459" s="622" t="s">
        <v>735</v>
      </c>
      <c r="G459" s="622" t="s">
        <v>5833</v>
      </c>
      <c r="H459" s="649" t="s">
        <v>6045</v>
      </c>
      <c r="I459" s="652" t="s">
        <v>520</v>
      </c>
      <c r="J459" s="622" t="s">
        <v>6046</v>
      </c>
      <c r="K459" s="680">
        <v>80283</v>
      </c>
      <c r="L459" s="680"/>
      <c r="M459" s="681">
        <v>10</v>
      </c>
      <c r="N459" s="681"/>
      <c r="O459" s="681">
        <v>0</v>
      </c>
      <c r="P459" s="680">
        <v>0</v>
      </c>
      <c r="Q459" s="682">
        <v>0</v>
      </c>
      <c r="R459" s="681">
        <v>10</v>
      </c>
      <c r="S459" s="658"/>
    </row>
    <row r="460" spans="1:19" s="659" customFormat="1" ht="20.100000000000001" customHeight="1">
      <c r="A460" s="657" t="s">
        <v>4090</v>
      </c>
      <c r="B460" s="649" t="s">
        <v>309</v>
      </c>
      <c r="C460" s="621"/>
      <c r="D460" s="621"/>
      <c r="E460" s="649" t="s">
        <v>4091</v>
      </c>
      <c r="F460" s="622" t="s">
        <v>8323</v>
      </c>
      <c r="G460" s="622" t="s">
        <v>8324</v>
      </c>
      <c r="H460" s="649" t="s">
        <v>229</v>
      </c>
      <c r="I460" s="652" t="s">
        <v>11</v>
      </c>
      <c r="J460" s="622" t="s">
        <v>8322</v>
      </c>
      <c r="K460" s="680">
        <v>2880</v>
      </c>
      <c r="L460" s="680">
        <v>21830</v>
      </c>
      <c r="M460" s="681">
        <v>0</v>
      </c>
      <c r="N460" s="681"/>
      <c r="O460" s="681">
        <v>7148</v>
      </c>
      <c r="P460" s="680">
        <v>4</v>
      </c>
      <c r="Q460" s="682">
        <v>7144</v>
      </c>
      <c r="R460" s="681">
        <v>14682</v>
      </c>
      <c r="S460" s="658"/>
    </row>
    <row r="461" spans="1:19" s="659" customFormat="1" ht="20.100000000000001" customHeight="1">
      <c r="A461" s="657" t="s">
        <v>3876</v>
      </c>
      <c r="B461" s="649" t="s">
        <v>544</v>
      </c>
      <c r="C461" s="621"/>
      <c r="D461" s="621"/>
      <c r="E461" s="649" t="s">
        <v>545</v>
      </c>
      <c r="F461" s="622" t="s">
        <v>7813</v>
      </c>
      <c r="G461" s="622" t="s">
        <v>7001</v>
      </c>
      <c r="H461" s="649" t="s">
        <v>546</v>
      </c>
      <c r="I461" s="652" t="s">
        <v>11</v>
      </c>
      <c r="J461" s="622" t="s">
        <v>6709</v>
      </c>
      <c r="K461" s="680">
        <v>210</v>
      </c>
      <c r="L461" s="680">
        <v>406</v>
      </c>
      <c r="M461" s="681">
        <v>0</v>
      </c>
      <c r="N461" s="681"/>
      <c r="O461" s="681">
        <v>406</v>
      </c>
      <c r="P461" s="680">
        <v>0</v>
      </c>
      <c r="Q461" s="682">
        <v>406</v>
      </c>
      <c r="R461" s="681">
        <v>0</v>
      </c>
      <c r="S461" s="658"/>
    </row>
    <row r="462" spans="1:19" s="659" customFormat="1" ht="20.100000000000001" customHeight="1">
      <c r="A462" s="657" t="s">
        <v>4094</v>
      </c>
      <c r="B462" s="649" t="s">
        <v>1585</v>
      </c>
      <c r="C462" s="621"/>
      <c r="D462" s="621"/>
      <c r="E462" s="649" t="s">
        <v>1586</v>
      </c>
      <c r="F462" s="622" t="s">
        <v>1589</v>
      </c>
      <c r="G462" s="622" t="s">
        <v>772</v>
      </c>
      <c r="H462" s="649" t="s">
        <v>1587</v>
      </c>
      <c r="I462" s="652" t="s">
        <v>13</v>
      </c>
      <c r="J462" s="622" t="s">
        <v>6814</v>
      </c>
      <c r="K462" s="680">
        <v>7900</v>
      </c>
      <c r="L462" s="680">
        <v>2539</v>
      </c>
      <c r="M462" s="681">
        <v>300</v>
      </c>
      <c r="N462" s="681"/>
      <c r="O462" s="681">
        <v>2838</v>
      </c>
      <c r="P462" s="680">
        <v>1036</v>
      </c>
      <c r="Q462" s="682">
        <v>1802</v>
      </c>
      <c r="R462" s="681">
        <v>1</v>
      </c>
      <c r="S462" s="658"/>
    </row>
    <row r="463" spans="1:19" s="659" customFormat="1" ht="20.100000000000001" customHeight="1">
      <c r="A463" s="657" t="s">
        <v>4094</v>
      </c>
      <c r="B463" s="649" t="s">
        <v>1585</v>
      </c>
      <c r="C463" s="621"/>
      <c r="D463" s="621"/>
      <c r="E463" s="649" t="s">
        <v>1586</v>
      </c>
      <c r="F463" s="622" t="s">
        <v>1589</v>
      </c>
      <c r="G463" s="622" t="s">
        <v>772</v>
      </c>
      <c r="H463" s="649" t="s">
        <v>1587</v>
      </c>
      <c r="I463" s="652" t="s">
        <v>13</v>
      </c>
      <c r="J463" s="622" t="s">
        <v>6814</v>
      </c>
      <c r="K463" s="680">
        <v>7750</v>
      </c>
      <c r="L463" s="680"/>
      <c r="M463" s="681">
        <v>1000</v>
      </c>
      <c r="N463" s="681"/>
      <c r="O463" s="681">
        <v>0</v>
      </c>
      <c r="P463" s="680">
        <v>0</v>
      </c>
      <c r="Q463" s="682">
        <v>0</v>
      </c>
      <c r="R463" s="681">
        <v>1000</v>
      </c>
      <c r="S463" s="658"/>
    </row>
    <row r="464" spans="1:19" s="659" customFormat="1" ht="20.100000000000001" customHeight="1">
      <c r="A464" s="657" t="s">
        <v>4501</v>
      </c>
      <c r="B464" s="649" t="s">
        <v>1439</v>
      </c>
      <c r="C464" s="621"/>
      <c r="D464" s="621"/>
      <c r="E464" s="649" t="s">
        <v>1440</v>
      </c>
      <c r="F464" s="622" t="s">
        <v>1442</v>
      </c>
      <c r="G464" s="622" t="s">
        <v>1429</v>
      </c>
      <c r="H464" s="649" t="s">
        <v>4502</v>
      </c>
      <c r="I464" s="652" t="s">
        <v>1144</v>
      </c>
      <c r="J464" s="622" t="s">
        <v>1441</v>
      </c>
      <c r="K464" s="680">
        <v>7320</v>
      </c>
      <c r="L464" s="680">
        <v>3</v>
      </c>
      <c r="M464" s="681">
        <v>0</v>
      </c>
      <c r="N464" s="681"/>
      <c r="O464" s="681">
        <v>3</v>
      </c>
      <c r="P464" s="680">
        <v>0</v>
      </c>
      <c r="Q464" s="682">
        <v>3</v>
      </c>
      <c r="R464" s="681">
        <v>0</v>
      </c>
      <c r="S464" s="658"/>
    </row>
    <row r="465" spans="1:19" s="659" customFormat="1" ht="20.100000000000001" customHeight="1">
      <c r="A465" s="657" t="s">
        <v>4504</v>
      </c>
      <c r="B465" s="649" t="s">
        <v>1439</v>
      </c>
      <c r="C465" s="621"/>
      <c r="D465" s="621"/>
      <c r="E465" s="649" t="s">
        <v>1923</v>
      </c>
      <c r="F465" s="622" t="s">
        <v>1924</v>
      </c>
      <c r="G465" s="622" t="s">
        <v>1913</v>
      </c>
      <c r="H465" s="649" t="s">
        <v>225</v>
      </c>
      <c r="I465" s="652" t="s">
        <v>11</v>
      </c>
      <c r="J465" s="622" t="s">
        <v>6935</v>
      </c>
      <c r="K465" s="680">
        <v>1197</v>
      </c>
      <c r="L465" s="680">
        <v>266</v>
      </c>
      <c r="M465" s="681">
        <v>0</v>
      </c>
      <c r="N465" s="681"/>
      <c r="O465" s="681">
        <v>266</v>
      </c>
      <c r="P465" s="680">
        <v>0</v>
      </c>
      <c r="Q465" s="682">
        <v>266</v>
      </c>
      <c r="R465" s="681">
        <v>0</v>
      </c>
      <c r="S465" s="658"/>
    </row>
    <row r="466" spans="1:19" s="659" customFormat="1" ht="20.100000000000001" customHeight="1">
      <c r="A466" s="657" t="s">
        <v>4504</v>
      </c>
      <c r="B466" s="649" t="s">
        <v>1439</v>
      </c>
      <c r="C466" s="621"/>
      <c r="D466" s="621"/>
      <c r="E466" s="649" t="s">
        <v>1923</v>
      </c>
      <c r="F466" s="622" t="s">
        <v>1924</v>
      </c>
      <c r="G466" s="622" t="s">
        <v>1913</v>
      </c>
      <c r="H466" s="649" t="s">
        <v>225</v>
      </c>
      <c r="I466" s="652" t="s">
        <v>11</v>
      </c>
      <c r="J466" s="622" t="s">
        <v>6935</v>
      </c>
      <c r="K466" s="680">
        <v>1208</v>
      </c>
      <c r="L466" s="680">
        <v>400</v>
      </c>
      <c r="M466" s="681">
        <v>0</v>
      </c>
      <c r="N466" s="681"/>
      <c r="O466" s="681">
        <v>400</v>
      </c>
      <c r="P466" s="680">
        <v>100</v>
      </c>
      <c r="Q466" s="682">
        <v>300</v>
      </c>
      <c r="R466" s="681">
        <v>0</v>
      </c>
      <c r="S466" s="658"/>
    </row>
    <row r="467" spans="1:19" s="659" customFormat="1" ht="20.100000000000001" customHeight="1">
      <c r="A467" s="657" t="s">
        <v>8358</v>
      </c>
      <c r="B467" s="649" t="s">
        <v>4993</v>
      </c>
      <c r="C467" s="621"/>
      <c r="D467" s="621"/>
      <c r="E467" s="649" t="s">
        <v>1471</v>
      </c>
      <c r="F467" s="622" t="s">
        <v>6484</v>
      </c>
      <c r="G467" s="622" t="s">
        <v>357</v>
      </c>
      <c r="H467" s="649" t="s">
        <v>1472</v>
      </c>
      <c r="I467" s="652" t="s">
        <v>520</v>
      </c>
      <c r="J467" s="622" t="s">
        <v>6483</v>
      </c>
      <c r="K467" s="680">
        <v>13300</v>
      </c>
      <c r="L467" s="680"/>
      <c r="M467" s="681">
        <v>100</v>
      </c>
      <c r="N467" s="681"/>
      <c r="O467" s="681">
        <v>100</v>
      </c>
      <c r="P467" s="680">
        <v>10</v>
      </c>
      <c r="Q467" s="682">
        <v>90</v>
      </c>
      <c r="R467" s="681">
        <v>0</v>
      </c>
      <c r="S467" s="658"/>
    </row>
    <row r="468" spans="1:19" s="659" customFormat="1" ht="20.100000000000001" customHeight="1">
      <c r="A468" s="657" t="s">
        <v>4507</v>
      </c>
      <c r="B468" s="649" t="s">
        <v>4509</v>
      </c>
      <c r="C468" s="621"/>
      <c r="D468" s="621"/>
      <c r="E468" s="649" t="s">
        <v>4508</v>
      </c>
      <c r="F468" s="622" t="s">
        <v>6610</v>
      </c>
      <c r="G468" s="622" t="s">
        <v>6611</v>
      </c>
      <c r="H468" s="649" t="s">
        <v>232</v>
      </c>
      <c r="I468" s="652" t="s">
        <v>10</v>
      </c>
      <c r="J468" s="622" t="s">
        <v>6609</v>
      </c>
      <c r="K468" s="680">
        <v>34350</v>
      </c>
      <c r="L468" s="680">
        <v>145</v>
      </c>
      <c r="M468" s="681">
        <v>0</v>
      </c>
      <c r="N468" s="681"/>
      <c r="O468" s="681">
        <v>145</v>
      </c>
      <c r="P468" s="680">
        <v>0</v>
      </c>
      <c r="Q468" s="682">
        <v>145</v>
      </c>
      <c r="R468" s="681">
        <v>0</v>
      </c>
      <c r="S468" s="658"/>
    </row>
    <row r="469" spans="1:19" s="659" customFormat="1" ht="20.100000000000001" customHeight="1">
      <c r="A469" s="657" t="s">
        <v>4101</v>
      </c>
      <c r="B469" s="649" t="s">
        <v>376</v>
      </c>
      <c r="C469" s="621"/>
      <c r="D469" s="621"/>
      <c r="E469" s="649" t="s">
        <v>4102</v>
      </c>
      <c r="F469" s="622" t="s">
        <v>7778</v>
      </c>
      <c r="G469" s="622" t="s">
        <v>1946</v>
      </c>
      <c r="H469" s="649" t="s">
        <v>4103</v>
      </c>
      <c r="I469" s="652" t="s">
        <v>11</v>
      </c>
      <c r="J469" s="622" t="s">
        <v>7777</v>
      </c>
      <c r="K469" s="680">
        <v>3150</v>
      </c>
      <c r="L469" s="680">
        <v>1915</v>
      </c>
      <c r="M469" s="681">
        <v>1</v>
      </c>
      <c r="N469" s="681"/>
      <c r="O469" s="681">
        <v>1898</v>
      </c>
      <c r="P469" s="680">
        <v>32</v>
      </c>
      <c r="Q469" s="682">
        <v>1866</v>
      </c>
      <c r="R469" s="681">
        <v>18</v>
      </c>
      <c r="S469" s="658"/>
    </row>
    <row r="470" spans="1:19" s="659" customFormat="1" ht="20.100000000000001" customHeight="1">
      <c r="A470" s="657" t="s">
        <v>4101</v>
      </c>
      <c r="B470" s="649" t="s">
        <v>376</v>
      </c>
      <c r="C470" s="621"/>
      <c r="D470" s="621"/>
      <c r="E470" s="649" t="s">
        <v>4102</v>
      </c>
      <c r="F470" s="622" t="s">
        <v>7778</v>
      </c>
      <c r="G470" s="622" t="s">
        <v>1946</v>
      </c>
      <c r="H470" s="649" t="s">
        <v>4103</v>
      </c>
      <c r="I470" s="652" t="s">
        <v>11</v>
      </c>
      <c r="J470" s="622" t="s">
        <v>7777</v>
      </c>
      <c r="K470" s="680">
        <v>3150</v>
      </c>
      <c r="L470" s="680"/>
      <c r="M470" s="681">
        <v>9000</v>
      </c>
      <c r="N470" s="681"/>
      <c r="O470" s="681">
        <v>7094</v>
      </c>
      <c r="P470" s="680">
        <v>0</v>
      </c>
      <c r="Q470" s="682">
        <v>7094</v>
      </c>
      <c r="R470" s="681">
        <v>1906</v>
      </c>
      <c r="S470" s="658"/>
    </row>
    <row r="471" spans="1:19" s="659" customFormat="1" ht="20.100000000000001" customHeight="1">
      <c r="A471" s="657" t="s">
        <v>4101</v>
      </c>
      <c r="B471" s="649" t="s">
        <v>376</v>
      </c>
      <c r="C471" s="621"/>
      <c r="D471" s="621"/>
      <c r="E471" s="649" t="s">
        <v>4102</v>
      </c>
      <c r="F471" s="622" t="s">
        <v>7778</v>
      </c>
      <c r="G471" s="622" t="s">
        <v>1946</v>
      </c>
      <c r="H471" s="649" t="s">
        <v>4103</v>
      </c>
      <c r="I471" s="652" t="s">
        <v>11</v>
      </c>
      <c r="J471" s="622" t="s">
        <v>7777</v>
      </c>
      <c r="K471" s="680">
        <v>3150</v>
      </c>
      <c r="L471" s="680">
        <v>3000</v>
      </c>
      <c r="M471" s="681">
        <v>0</v>
      </c>
      <c r="N471" s="681"/>
      <c r="O471" s="681">
        <v>3000</v>
      </c>
      <c r="P471" s="680">
        <v>0</v>
      </c>
      <c r="Q471" s="682">
        <v>3000</v>
      </c>
      <c r="R471" s="681">
        <v>0</v>
      </c>
      <c r="S471" s="658"/>
    </row>
    <row r="472" spans="1:19" s="659" customFormat="1" ht="20.100000000000001" customHeight="1">
      <c r="A472" s="657" t="s">
        <v>4101</v>
      </c>
      <c r="B472" s="649" t="s">
        <v>376</v>
      </c>
      <c r="C472" s="621"/>
      <c r="D472" s="621"/>
      <c r="E472" s="649" t="s">
        <v>4102</v>
      </c>
      <c r="F472" s="622" t="s">
        <v>7778</v>
      </c>
      <c r="G472" s="622" t="s">
        <v>1946</v>
      </c>
      <c r="H472" s="649" t="s">
        <v>4103</v>
      </c>
      <c r="I472" s="652" t="s">
        <v>11</v>
      </c>
      <c r="J472" s="622" t="s">
        <v>7777</v>
      </c>
      <c r="K472" s="680">
        <v>3150</v>
      </c>
      <c r="L472" s="680"/>
      <c r="M472" s="681">
        <v>29970</v>
      </c>
      <c r="N472" s="681"/>
      <c r="O472" s="681">
        <v>29914</v>
      </c>
      <c r="P472" s="680">
        <v>0</v>
      </c>
      <c r="Q472" s="682">
        <v>29914</v>
      </c>
      <c r="R472" s="681">
        <v>56</v>
      </c>
      <c r="S472" s="658"/>
    </row>
    <row r="473" spans="1:19" s="659" customFormat="1" ht="20.100000000000001" customHeight="1">
      <c r="A473" s="657" t="s">
        <v>4511</v>
      </c>
      <c r="B473" s="649" t="s">
        <v>411</v>
      </c>
      <c r="C473" s="621"/>
      <c r="D473" s="621"/>
      <c r="E473" s="649" t="s">
        <v>1192</v>
      </c>
      <c r="F473" s="622" t="s">
        <v>1194</v>
      </c>
      <c r="G473" s="622" t="s">
        <v>6536</v>
      </c>
      <c r="H473" s="649" t="s">
        <v>272</v>
      </c>
      <c r="I473" s="652" t="s">
        <v>13</v>
      </c>
      <c r="J473" s="622" t="s">
        <v>7233</v>
      </c>
      <c r="K473" s="680">
        <v>536</v>
      </c>
      <c r="L473" s="680"/>
      <c r="M473" s="681">
        <v>3120</v>
      </c>
      <c r="N473" s="681"/>
      <c r="O473" s="681">
        <v>3120</v>
      </c>
      <c r="P473" s="680">
        <v>3120</v>
      </c>
      <c r="Q473" s="682">
        <v>0</v>
      </c>
      <c r="R473" s="681">
        <v>0</v>
      </c>
      <c r="S473" s="658"/>
    </row>
    <row r="474" spans="1:19" s="659" customFormat="1" ht="20.100000000000001" customHeight="1">
      <c r="A474" s="657" t="s">
        <v>4511</v>
      </c>
      <c r="B474" s="649" t="s">
        <v>411</v>
      </c>
      <c r="C474" s="621"/>
      <c r="D474" s="621"/>
      <c r="E474" s="649" t="s">
        <v>1192</v>
      </c>
      <c r="F474" s="622" t="s">
        <v>1194</v>
      </c>
      <c r="G474" s="622" t="s">
        <v>6536</v>
      </c>
      <c r="H474" s="649" t="s">
        <v>272</v>
      </c>
      <c r="I474" s="652" t="s">
        <v>13</v>
      </c>
      <c r="J474" s="622" t="s">
        <v>7233</v>
      </c>
      <c r="K474" s="680">
        <v>536</v>
      </c>
      <c r="L474" s="680"/>
      <c r="M474" s="681">
        <v>3960</v>
      </c>
      <c r="N474" s="681"/>
      <c r="O474" s="681">
        <v>3120</v>
      </c>
      <c r="P474" s="680">
        <v>3120</v>
      </c>
      <c r="Q474" s="682">
        <v>0</v>
      </c>
      <c r="R474" s="681">
        <v>840</v>
      </c>
      <c r="S474" s="658"/>
    </row>
    <row r="475" spans="1:19" s="659" customFormat="1" ht="20.100000000000001" customHeight="1">
      <c r="A475" s="657" t="s">
        <v>4511</v>
      </c>
      <c r="B475" s="649" t="s">
        <v>411</v>
      </c>
      <c r="C475" s="621"/>
      <c r="D475" s="621"/>
      <c r="E475" s="649" t="s">
        <v>1192</v>
      </c>
      <c r="F475" s="622" t="s">
        <v>1194</v>
      </c>
      <c r="G475" s="622" t="s">
        <v>6536</v>
      </c>
      <c r="H475" s="649" t="s">
        <v>272</v>
      </c>
      <c r="I475" s="652" t="s">
        <v>13</v>
      </c>
      <c r="J475" s="622" t="s">
        <v>7233</v>
      </c>
      <c r="K475" s="680">
        <v>536</v>
      </c>
      <c r="L475" s="680">
        <v>3360</v>
      </c>
      <c r="M475" s="681">
        <v>0</v>
      </c>
      <c r="N475" s="681"/>
      <c r="O475" s="681">
        <v>3119</v>
      </c>
      <c r="P475" s="680">
        <v>2640</v>
      </c>
      <c r="Q475" s="682">
        <v>479</v>
      </c>
      <c r="R475" s="681">
        <v>241</v>
      </c>
      <c r="S475" s="658"/>
    </row>
    <row r="476" spans="1:19" s="659" customFormat="1" ht="20.100000000000001" customHeight="1">
      <c r="A476" s="657" t="s">
        <v>5769</v>
      </c>
      <c r="B476" s="649" t="s">
        <v>1480</v>
      </c>
      <c r="C476" s="621"/>
      <c r="D476" s="621"/>
      <c r="E476" s="649" t="s">
        <v>5770</v>
      </c>
      <c r="F476" s="622" t="s">
        <v>5772</v>
      </c>
      <c r="G476" s="622" t="s">
        <v>1812</v>
      </c>
      <c r="H476" s="649" t="s">
        <v>310</v>
      </c>
      <c r="I476" s="652" t="s">
        <v>11</v>
      </c>
      <c r="J476" s="622" t="s">
        <v>5771</v>
      </c>
      <c r="K476" s="680">
        <v>1100</v>
      </c>
      <c r="L476" s="680"/>
      <c r="M476" s="681">
        <v>14900</v>
      </c>
      <c r="N476" s="681"/>
      <c r="O476" s="681">
        <v>8100</v>
      </c>
      <c r="P476" s="680">
        <v>8100</v>
      </c>
      <c r="Q476" s="682">
        <v>0</v>
      </c>
      <c r="R476" s="681">
        <v>6800</v>
      </c>
      <c r="S476" s="658"/>
    </row>
    <row r="477" spans="1:19" s="659" customFormat="1" ht="20.100000000000001" customHeight="1">
      <c r="A477" s="657" t="s">
        <v>5769</v>
      </c>
      <c r="B477" s="649" t="s">
        <v>1480</v>
      </c>
      <c r="C477" s="621"/>
      <c r="D477" s="621"/>
      <c r="E477" s="649" t="s">
        <v>5770</v>
      </c>
      <c r="F477" s="622" t="s">
        <v>5772</v>
      </c>
      <c r="G477" s="622" t="s">
        <v>1812</v>
      </c>
      <c r="H477" s="649" t="s">
        <v>310</v>
      </c>
      <c r="I477" s="652" t="s">
        <v>11</v>
      </c>
      <c r="J477" s="622" t="s">
        <v>5771</v>
      </c>
      <c r="K477" s="680">
        <v>1100</v>
      </c>
      <c r="L477" s="680">
        <v>2000</v>
      </c>
      <c r="M477" s="681">
        <v>0</v>
      </c>
      <c r="N477" s="681"/>
      <c r="O477" s="681">
        <v>2000</v>
      </c>
      <c r="P477" s="680">
        <v>0</v>
      </c>
      <c r="Q477" s="682">
        <v>2000</v>
      </c>
      <c r="R477" s="681">
        <v>0</v>
      </c>
      <c r="S477" s="658"/>
    </row>
    <row r="478" spans="1:19" s="659" customFormat="1" ht="20.100000000000001" customHeight="1">
      <c r="A478" s="657" t="s">
        <v>5769</v>
      </c>
      <c r="B478" s="649" t="s">
        <v>1480</v>
      </c>
      <c r="C478" s="621"/>
      <c r="D478" s="621"/>
      <c r="E478" s="649" t="s">
        <v>5770</v>
      </c>
      <c r="F478" s="622" t="s">
        <v>5772</v>
      </c>
      <c r="G478" s="622" t="s">
        <v>1812</v>
      </c>
      <c r="H478" s="649" t="s">
        <v>310</v>
      </c>
      <c r="I478" s="652" t="s">
        <v>11</v>
      </c>
      <c r="J478" s="622" t="s">
        <v>5771</v>
      </c>
      <c r="K478" s="680">
        <v>1100</v>
      </c>
      <c r="L478" s="680"/>
      <c r="M478" s="681">
        <v>6200</v>
      </c>
      <c r="N478" s="681"/>
      <c r="O478" s="681">
        <v>0</v>
      </c>
      <c r="P478" s="680">
        <v>0</v>
      </c>
      <c r="Q478" s="682">
        <v>0</v>
      </c>
      <c r="R478" s="681">
        <v>6200</v>
      </c>
      <c r="S478" s="658"/>
    </row>
    <row r="479" spans="1:19" s="659" customFormat="1" ht="20.100000000000001" customHeight="1">
      <c r="A479" s="657" t="s">
        <v>5769</v>
      </c>
      <c r="B479" s="649" t="s">
        <v>1480</v>
      </c>
      <c r="C479" s="621"/>
      <c r="D479" s="621"/>
      <c r="E479" s="649" t="s">
        <v>5770</v>
      </c>
      <c r="F479" s="622" t="s">
        <v>5772</v>
      </c>
      <c r="G479" s="622" t="s">
        <v>1812</v>
      </c>
      <c r="H479" s="649" t="s">
        <v>310</v>
      </c>
      <c r="I479" s="652" t="s">
        <v>11</v>
      </c>
      <c r="J479" s="622" t="s">
        <v>5771</v>
      </c>
      <c r="K479" s="680">
        <v>1100</v>
      </c>
      <c r="L479" s="680">
        <v>899</v>
      </c>
      <c r="M479" s="681">
        <v>0</v>
      </c>
      <c r="N479" s="681"/>
      <c r="O479" s="681">
        <v>899</v>
      </c>
      <c r="P479" s="680">
        <v>0</v>
      </c>
      <c r="Q479" s="682">
        <v>899</v>
      </c>
      <c r="R479" s="681">
        <v>0</v>
      </c>
      <c r="S479" s="658"/>
    </row>
    <row r="480" spans="1:19" s="659" customFormat="1" ht="20.100000000000001" customHeight="1">
      <c r="A480" s="657" t="s">
        <v>7886</v>
      </c>
      <c r="B480" s="649" t="s">
        <v>736</v>
      </c>
      <c r="C480" s="621"/>
      <c r="D480" s="621"/>
      <c r="E480" s="649" t="s">
        <v>7888</v>
      </c>
      <c r="F480" s="622" t="s">
        <v>7890</v>
      </c>
      <c r="G480" s="622" t="s">
        <v>1953</v>
      </c>
      <c r="H480" s="649" t="s">
        <v>7887</v>
      </c>
      <c r="I480" s="652" t="s">
        <v>1258</v>
      </c>
      <c r="J480" s="622" t="s">
        <v>7889</v>
      </c>
      <c r="K480" s="680">
        <v>3486</v>
      </c>
      <c r="L480" s="680"/>
      <c r="M480" s="681">
        <v>4980</v>
      </c>
      <c r="N480" s="681"/>
      <c r="O480" s="681">
        <v>4050</v>
      </c>
      <c r="P480" s="680">
        <v>4050</v>
      </c>
      <c r="Q480" s="682">
        <v>0</v>
      </c>
      <c r="R480" s="681">
        <v>930</v>
      </c>
      <c r="S480" s="658"/>
    </row>
    <row r="481" spans="1:19" s="659" customFormat="1" ht="20.100000000000001" customHeight="1">
      <c r="A481" s="657" t="s">
        <v>4672</v>
      </c>
      <c r="B481" s="649" t="s">
        <v>108</v>
      </c>
      <c r="C481" s="621"/>
      <c r="D481" s="621"/>
      <c r="E481" s="649" t="s">
        <v>107</v>
      </c>
      <c r="F481" s="622" t="s">
        <v>8661</v>
      </c>
      <c r="G481" s="622" t="s">
        <v>2397</v>
      </c>
      <c r="H481" s="649" t="s">
        <v>4673</v>
      </c>
      <c r="I481" s="652" t="s">
        <v>11</v>
      </c>
      <c r="J481" s="622" t="s">
        <v>8660</v>
      </c>
      <c r="K481" s="680">
        <v>830</v>
      </c>
      <c r="L481" s="680">
        <v>4</v>
      </c>
      <c r="M481" s="681">
        <v>0</v>
      </c>
      <c r="N481" s="681"/>
      <c r="O481" s="681">
        <v>4</v>
      </c>
      <c r="P481" s="680">
        <v>0</v>
      </c>
      <c r="Q481" s="682">
        <v>4</v>
      </c>
      <c r="R481" s="681">
        <v>0</v>
      </c>
      <c r="S481" s="658"/>
    </row>
    <row r="482" spans="1:19" s="659" customFormat="1" ht="20.100000000000001" customHeight="1">
      <c r="A482" s="657" t="s">
        <v>4672</v>
      </c>
      <c r="B482" s="649" t="s">
        <v>108</v>
      </c>
      <c r="C482" s="621"/>
      <c r="D482" s="621"/>
      <c r="E482" s="649" t="s">
        <v>107</v>
      </c>
      <c r="F482" s="622" t="s">
        <v>8661</v>
      </c>
      <c r="G482" s="622" t="s">
        <v>2397</v>
      </c>
      <c r="H482" s="649" t="s">
        <v>4673</v>
      </c>
      <c r="I482" s="652" t="s">
        <v>11</v>
      </c>
      <c r="J482" s="622" t="s">
        <v>8660</v>
      </c>
      <c r="K482" s="680">
        <v>830</v>
      </c>
      <c r="L482" s="680">
        <v>10000</v>
      </c>
      <c r="M482" s="681">
        <v>0</v>
      </c>
      <c r="N482" s="681"/>
      <c r="O482" s="681">
        <v>10000</v>
      </c>
      <c r="P482" s="680">
        <v>0</v>
      </c>
      <c r="Q482" s="682">
        <v>10000</v>
      </c>
      <c r="R482" s="681">
        <v>0</v>
      </c>
      <c r="S482" s="658"/>
    </row>
    <row r="483" spans="1:19" s="659" customFormat="1" ht="20.100000000000001" customHeight="1">
      <c r="A483" s="657" t="s">
        <v>4672</v>
      </c>
      <c r="B483" s="649" t="s">
        <v>108</v>
      </c>
      <c r="C483" s="621"/>
      <c r="D483" s="621"/>
      <c r="E483" s="649" t="s">
        <v>107</v>
      </c>
      <c r="F483" s="622" t="s">
        <v>8661</v>
      </c>
      <c r="G483" s="622" t="s">
        <v>2397</v>
      </c>
      <c r="H483" s="649" t="s">
        <v>4673</v>
      </c>
      <c r="I483" s="652" t="s">
        <v>11</v>
      </c>
      <c r="J483" s="622" t="s">
        <v>8660</v>
      </c>
      <c r="K483" s="680">
        <v>830</v>
      </c>
      <c r="L483" s="680"/>
      <c r="M483" s="681">
        <v>10000</v>
      </c>
      <c r="N483" s="681"/>
      <c r="O483" s="681">
        <v>9996</v>
      </c>
      <c r="P483" s="680">
        <v>0</v>
      </c>
      <c r="Q483" s="682">
        <v>9996</v>
      </c>
      <c r="R483" s="681">
        <v>4</v>
      </c>
      <c r="S483" s="658"/>
    </row>
    <row r="484" spans="1:19" s="659" customFormat="1" ht="20.100000000000001" customHeight="1">
      <c r="A484" s="657" t="s">
        <v>4096</v>
      </c>
      <c r="B484" s="649" t="s">
        <v>1562</v>
      </c>
      <c r="C484" s="621"/>
      <c r="D484" s="621"/>
      <c r="E484" s="649" t="s">
        <v>3042</v>
      </c>
      <c r="F484" s="622" t="s">
        <v>7665</v>
      </c>
      <c r="G484" s="622" t="s">
        <v>6536</v>
      </c>
      <c r="H484" s="649" t="s">
        <v>7663</v>
      </c>
      <c r="I484" s="652" t="s">
        <v>13</v>
      </c>
      <c r="J484" s="622" t="s">
        <v>7664</v>
      </c>
      <c r="K484" s="680">
        <v>1050</v>
      </c>
      <c r="L484" s="680">
        <v>3960</v>
      </c>
      <c r="M484" s="681">
        <v>0</v>
      </c>
      <c r="N484" s="681"/>
      <c r="O484" s="681">
        <v>3729</v>
      </c>
      <c r="P484" s="680">
        <v>3729</v>
      </c>
      <c r="Q484" s="682">
        <v>0</v>
      </c>
      <c r="R484" s="681">
        <v>231</v>
      </c>
      <c r="S484" s="658"/>
    </row>
    <row r="485" spans="1:19" s="659" customFormat="1" ht="20.100000000000001" customHeight="1">
      <c r="A485" s="657" t="s">
        <v>4096</v>
      </c>
      <c r="B485" s="649" t="s">
        <v>1562</v>
      </c>
      <c r="C485" s="621"/>
      <c r="D485" s="621"/>
      <c r="E485" s="649" t="s">
        <v>3042</v>
      </c>
      <c r="F485" s="622" t="s">
        <v>7665</v>
      </c>
      <c r="G485" s="622" t="s">
        <v>6536</v>
      </c>
      <c r="H485" s="649" t="s">
        <v>7663</v>
      </c>
      <c r="I485" s="652" t="s">
        <v>13</v>
      </c>
      <c r="J485" s="622" t="s">
        <v>7664</v>
      </c>
      <c r="K485" s="680">
        <v>1050</v>
      </c>
      <c r="L485" s="680"/>
      <c r="M485" s="681">
        <v>3960</v>
      </c>
      <c r="N485" s="681"/>
      <c r="O485" s="681">
        <v>3960</v>
      </c>
      <c r="P485" s="680">
        <v>3960</v>
      </c>
      <c r="Q485" s="682">
        <v>0</v>
      </c>
      <c r="R485" s="681">
        <v>0</v>
      </c>
      <c r="S485" s="658"/>
    </row>
    <row r="486" spans="1:19" s="659" customFormat="1" ht="20.100000000000001" customHeight="1">
      <c r="A486" s="657" t="s">
        <v>4096</v>
      </c>
      <c r="B486" s="649" t="s">
        <v>1562</v>
      </c>
      <c r="C486" s="621"/>
      <c r="D486" s="621"/>
      <c r="E486" s="649" t="s">
        <v>3042</v>
      </c>
      <c r="F486" s="622" t="s">
        <v>7665</v>
      </c>
      <c r="G486" s="622" t="s">
        <v>6536</v>
      </c>
      <c r="H486" s="649" t="s">
        <v>7663</v>
      </c>
      <c r="I486" s="652" t="s">
        <v>13</v>
      </c>
      <c r="J486" s="622" t="s">
        <v>7664</v>
      </c>
      <c r="K486" s="680">
        <v>1050</v>
      </c>
      <c r="L486" s="680"/>
      <c r="M486" s="681">
        <v>8472</v>
      </c>
      <c r="N486" s="681"/>
      <c r="O486" s="681">
        <v>4702</v>
      </c>
      <c r="P486" s="680">
        <v>912</v>
      </c>
      <c r="Q486" s="682">
        <v>3790</v>
      </c>
      <c r="R486" s="681">
        <v>3770</v>
      </c>
      <c r="S486" s="658"/>
    </row>
    <row r="487" spans="1:19" s="659" customFormat="1" ht="20.100000000000001" customHeight="1">
      <c r="A487" s="657" t="s">
        <v>7262</v>
      </c>
      <c r="B487" s="649" t="s">
        <v>809</v>
      </c>
      <c r="C487" s="621"/>
      <c r="D487" s="621"/>
      <c r="E487" s="649" t="s">
        <v>1210</v>
      </c>
      <c r="F487" s="622" t="s">
        <v>1211</v>
      </c>
      <c r="G487" s="622" t="s">
        <v>6536</v>
      </c>
      <c r="H487" s="649" t="s">
        <v>272</v>
      </c>
      <c r="I487" s="652" t="s">
        <v>13</v>
      </c>
      <c r="J487" s="622" t="s">
        <v>7263</v>
      </c>
      <c r="K487" s="680">
        <v>689</v>
      </c>
      <c r="L487" s="680"/>
      <c r="M487" s="681">
        <v>720</v>
      </c>
      <c r="N487" s="681"/>
      <c r="O487" s="681">
        <v>720</v>
      </c>
      <c r="P487" s="680">
        <v>720</v>
      </c>
      <c r="Q487" s="682">
        <v>0</v>
      </c>
      <c r="R487" s="681">
        <v>0</v>
      </c>
      <c r="S487" s="658"/>
    </row>
    <row r="488" spans="1:19" s="659" customFormat="1" ht="20.100000000000001" customHeight="1">
      <c r="A488" s="657" t="s">
        <v>7262</v>
      </c>
      <c r="B488" s="649" t="s">
        <v>809</v>
      </c>
      <c r="C488" s="621"/>
      <c r="D488" s="621"/>
      <c r="E488" s="649" t="s">
        <v>1210</v>
      </c>
      <c r="F488" s="622" t="s">
        <v>1211</v>
      </c>
      <c r="G488" s="622" t="s">
        <v>6536</v>
      </c>
      <c r="H488" s="649" t="s">
        <v>272</v>
      </c>
      <c r="I488" s="652" t="s">
        <v>13</v>
      </c>
      <c r="J488" s="622" t="s">
        <v>7263</v>
      </c>
      <c r="K488" s="680">
        <v>689</v>
      </c>
      <c r="L488" s="680">
        <v>960</v>
      </c>
      <c r="M488" s="681">
        <v>0</v>
      </c>
      <c r="N488" s="681"/>
      <c r="O488" s="681">
        <v>960</v>
      </c>
      <c r="P488" s="680">
        <v>960</v>
      </c>
      <c r="Q488" s="682">
        <v>0</v>
      </c>
      <c r="R488" s="681">
        <v>0</v>
      </c>
      <c r="S488" s="658"/>
    </row>
    <row r="489" spans="1:19" s="659" customFormat="1" ht="20.100000000000001" customHeight="1">
      <c r="A489" s="657" t="s">
        <v>7267</v>
      </c>
      <c r="B489" s="649" t="s">
        <v>809</v>
      </c>
      <c r="C489" s="621"/>
      <c r="D489" s="621"/>
      <c r="E489" s="649" t="s">
        <v>7268</v>
      </c>
      <c r="F489" s="622" t="s">
        <v>7270</v>
      </c>
      <c r="G489" s="622" t="s">
        <v>6536</v>
      </c>
      <c r="H489" s="649" t="s">
        <v>225</v>
      </c>
      <c r="I489" s="652" t="s">
        <v>11</v>
      </c>
      <c r="J489" s="622" t="s">
        <v>7269</v>
      </c>
      <c r="K489" s="680">
        <v>670</v>
      </c>
      <c r="L489" s="680"/>
      <c r="M489" s="681">
        <v>2100</v>
      </c>
      <c r="N489" s="681"/>
      <c r="O489" s="681">
        <v>2100</v>
      </c>
      <c r="P489" s="680">
        <v>2100</v>
      </c>
      <c r="Q489" s="682">
        <v>0</v>
      </c>
      <c r="R489" s="681">
        <v>0</v>
      </c>
      <c r="S489" s="658"/>
    </row>
    <row r="490" spans="1:19" s="659" customFormat="1" ht="20.100000000000001" customHeight="1">
      <c r="A490" s="657" t="s">
        <v>7267</v>
      </c>
      <c r="B490" s="649" t="s">
        <v>809</v>
      </c>
      <c r="C490" s="621"/>
      <c r="D490" s="621"/>
      <c r="E490" s="649" t="s">
        <v>7268</v>
      </c>
      <c r="F490" s="622" t="s">
        <v>7270</v>
      </c>
      <c r="G490" s="622" t="s">
        <v>6536</v>
      </c>
      <c r="H490" s="649" t="s">
        <v>225</v>
      </c>
      <c r="I490" s="652" t="s">
        <v>11</v>
      </c>
      <c r="J490" s="622" t="s">
        <v>7269</v>
      </c>
      <c r="K490" s="680">
        <v>670</v>
      </c>
      <c r="L490" s="680">
        <v>4000</v>
      </c>
      <c r="M490" s="681">
        <v>0</v>
      </c>
      <c r="N490" s="681"/>
      <c r="O490" s="681">
        <v>4000</v>
      </c>
      <c r="P490" s="680">
        <v>4000</v>
      </c>
      <c r="Q490" s="682">
        <v>0</v>
      </c>
      <c r="R490" s="681">
        <v>0</v>
      </c>
      <c r="S490" s="658"/>
    </row>
    <row r="491" spans="1:19" s="659" customFormat="1" ht="20.100000000000001" customHeight="1">
      <c r="A491" s="657" t="s">
        <v>7267</v>
      </c>
      <c r="B491" s="649" t="s">
        <v>809</v>
      </c>
      <c r="C491" s="621"/>
      <c r="D491" s="621"/>
      <c r="E491" s="649" t="s">
        <v>7268</v>
      </c>
      <c r="F491" s="622" t="s">
        <v>7270</v>
      </c>
      <c r="G491" s="622" t="s">
        <v>6536</v>
      </c>
      <c r="H491" s="649" t="s">
        <v>225</v>
      </c>
      <c r="I491" s="652" t="s">
        <v>11</v>
      </c>
      <c r="J491" s="622" t="s">
        <v>7269</v>
      </c>
      <c r="K491" s="680">
        <v>670</v>
      </c>
      <c r="L491" s="680"/>
      <c r="M491" s="681">
        <v>28000</v>
      </c>
      <c r="N491" s="681"/>
      <c r="O491" s="681">
        <v>28000</v>
      </c>
      <c r="P491" s="680">
        <v>28000</v>
      </c>
      <c r="Q491" s="682">
        <v>0</v>
      </c>
      <c r="R491" s="681">
        <v>0</v>
      </c>
      <c r="S491" s="658"/>
    </row>
    <row r="492" spans="1:19" s="659" customFormat="1" ht="20.100000000000001" customHeight="1">
      <c r="A492" s="657" t="s">
        <v>4853</v>
      </c>
      <c r="B492" s="649" t="s">
        <v>289</v>
      </c>
      <c r="C492" s="621"/>
      <c r="D492" s="621"/>
      <c r="E492" s="649" t="s">
        <v>500</v>
      </c>
      <c r="F492" s="622" t="s">
        <v>501</v>
      </c>
      <c r="G492" s="622" t="s">
        <v>5343</v>
      </c>
      <c r="H492" s="649" t="s">
        <v>291</v>
      </c>
      <c r="I492" s="652" t="s">
        <v>10</v>
      </c>
      <c r="J492" s="622" t="s">
        <v>5342</v>
      </c>
      <c r="K492" s="680">
        <v>798</v>
      </c>
      <c r="L492" s="680">
        <v>175</v>
      </c>
      <c r="M492" s="681">
        <v>10</v>
      </c>
      <c r="N492" s="681"/>
      <c r="O492" s="681">
        <v>117</v>
      </c>
      <c r="P492" s="680">
        <v>117</v>
      </c>
      <c r="Q492" s="682">
        <v>0</v>
      </c>
      <c r="R492" s="681">
        <v>68</v>
      </c>
      <c r="S492" s="658"/>
    </row>
    <row r="493" spans="1:19" s="659" customFormat="1" ht="20.100000000000001" customHeight="1">
      <c r="A493" s="657" t="s">
        <v>4853</v>
      </c>
      <c r="B493" s="649" t="s">
        <v>289</v>
      </c>
      <c r="C493" s="621"/>
      <c r="D493" s="621"/>
      <c r="E493" s="649" t="s">
        <v>500</v>
      </c>
      <c r="F493" s="622" t="s">
        <v>501</v>
      </c>
      <c r="G493" s="622" t="s">
        <v>5343</v>
      </c>
      <c r="H493" s="649" t="s">
        <v>291</v>
      </c>
      <c r="I493" s="652" t="s">
        <v>10</v>
      </c>
      <c r="J493" s="622" t="s">
        <v>5342</v>
      </c>
      <c r="K493" s="680">
        <v>798</v>
      </c>
      <c r="L493" s="680">
        <v>12423</v>
      </c>
      <c r="M493" s="681">
        <v>0</v>
      </c>
      <c r="N493" s="681"/>
      <c r="O493" s="681">
        <v>11923</v>
      </c>
      <c r="P493" s="680">
        <v>0</v>
      </c>
      <c r="Q493" s="682">
        <v>11923</v>
      </c>
      <c r="R493" s="681">
        <v>500</v>
      </c>
      <c r="S493" s="658"/>
    </row>
    <row r="494" spans="1:19" s="659" customFormat="1" ht="20.100000000000001" customHeight="1">
      <c r="A494" s="657" t="s">
        <v>4106</v>
      </c>
      <c r="B494" s="649" t="s">
        <v>592</v>
      </c>
      <c r="C494" s="621"/>
      <c r="D494" s="621"/>
      <c r="E494" s="649" t="s">
        <v>1400</v>
      </c>
      <c r="F494" s="622" t="s">
        <v>7602</v>
      </c>
      <c r="G494" s="622" t="s">
        <v>7001</v>
      </c>
      <c r="H494" s="649" t="s">
        <v>235</v>
      </c>
      <c r="I494" s="652" t="s">
        <v>11</v>
      </c>
      <c r="J494" s="622" t="s">
        <v>7601</v>
      </c>
      <c r="K494" s="680">
        <v>95</v>
      </c>
      <c r="L494" s="680">
        <v>13110</v>
      </c>
      <c r="M494" s="681">
        <v>0</v>
      </c>
      <c r="N494" s="681"/>
      <c r="O494" s="681">
        <v>12622</v>
      </c>
      <c r="P494" s="680">
        <v>112</v>
      </c>
      <c r="Q494" s="682">
        <v>12510</v>
      </c>
      <c r="R494" s="681">
        <v>488</v>
      </c>
      <c r="S494" s="658"/>
    </row>
    <row r="495" spans="1:19" s="659" customFormat="1" ht="20.100000000000001" customHeight="1">
      <c r="A495" s="657" t="s">
        <v>4106</v>
      </c>
      <c r="B495" s="649" t="s">
        <v>592</v>
      </c>
      <c r="C495" s="621"/>
      <c r="D495" s="621"/>
      <c r="E495" s="649" t="s">
        <v>1400</v>
      </c>
      <c r="F495" s="622" t="s">
        <v>7602</v>
      </c>
      <c r="G495" s="622" t="s">
        <v>7001</v>
      </c>
      <c r="H495" s="649" t="s">
        <v>235</v>
      </c>
      <c r="I495" s="652" t="s">
        <v>11</v>
      </c>
      <c r="J495" s="622" t="s">
        <v>7601</v>
      </c>
      <c r="K495" s="680">
        <v>95</v>
      </c>
      <c r="L495" s="680"/>
      <c r="M495" s="681">
        <v>51600</v>
      </c>
      <c r="N495" s="681"/>
      <c r="O495" s="681">
        <v>50799</v>
      </c>
      <c r="P495" s="680">
        <v>14000</v>
      </c>
      <c r="Q495" s="682">
        <v>36799</v>
      </c>
      <c r="R495" s="681">
        <v>801</v>
      </c>
      <c r="S495" s="658"/>
    </row>
    <row r="496" spans="1:19" s="659" customFormat="1" ht="20.100000000000001" customHeight="1">
      <c r="A496" s="657" t="s">
        <v>4106</v>
      </c>
      <c r="B496" s="649" t="s">
        <v>592</v>
      </c>
      <c r="C496" s="621"/>
      <c r="D496" s="621"/>
      <c r="E496" s="649" t="s">
        <v>1400</v>
      </c>
      <c r="F496" s="622" t="s">
        <v>7602</v>
      </c>
      <c r="G496" s="622" t="s">
        <v>7001</v>
      </c>
      <c r="H496" s="649" t="s">
        <v>235</v>
      </c>
      <c r="I496" s="652" t="s">
        <v>11</v>
      </c>
      <c r="J496" s="622" t="s">
        <v>7601</v>
      </c>
      <c r="K496" s="680">
        <v>95</v>
      </c>
      <c r="L496" s="680">
        <v>38420</v>
      </c>
      <c r="M496" s="681">
        <v>0</v>
      </c>
      <c r="N496" s="681"/>
      <c r="O496" s="681">
        <v>38420</v>
      </c>
      <c r="P496" s="680">
        <v>4000</v>
      </c>
      <c r="Q496" s="682">
        <v>34420</v>
      </c>
      <c r="R496" s="681">
        <v>0</v>
      </c>
      <c r="S496" s="658"/>
    </row>
    <row r="497" spans="1:19" s="659" customFormat="1" ht="20.100000000000001" customHeight="1">
      <c r="A497" s="657" t="s">
        <v>4106</v>
      </c>
      <c r="B497" s="649" t="s">
        <v>592</v>
      </c>
      <c r="C497" s="621"/>
      <c r="D497" s="621"/>
      <c r="E497" s="649" t="s">
        <v>1400</v>
      </c>
      <c r="F497" s="622" t="s">
        <v>7602</v>
      </c>
      <c r="G497" s="622" t="s">
        <v>7001</v>
      </c>
      <c r="H497" s="649" t="s">
        <v>235</v>
      </c>
      <c r="I497" s="652" t="s">
        <v>11</v>
      </c>
      <c r="J497" s="622" t="s">
        <v>7601</v>
      </c>
      <c r="K497" s="680">
        <v>95</v>
      </c>
      <c r="L497" s="680"/>
      <c r="M497" s="681">
        <v>20800</v>
      </c>
      <c r="N497" s="681"/>
      <c r="O497" s="681">
        <v>20800</v>
      </c>
      <c r="P497" s="680">
        <v>10800</v>
      </c>
      <c r="Q497" s="682">
        <v>10000</v>
      </c>
      <c r="R497" s="681">
        <v>0</v>
      </c>
      <c r="S497" s="658"/>
    </row>
    <row r="498" spans="1:19" s="659" customFormat="1" ht="20.100000000000001" customHeight="1">
      <c r="A498" s="657" t="s">
        <v>4674</v>
      </c>
      <c r="B498" s="649" t="s">
        <v>111</v>
      </c>
      <c r="C498" s="621"/>
      <c r="D498" s="621"/>
      <c r="E498" s="649" t="s">
        <v>4675</v>
      </c>
      <c r="F498" s="622" t="s">
        <v>2193</v>
      </c>
      <c r="G498" s="622" t="s">
        <v>8881</v>
      </c>
      <c r="H498" s="649" t="s">
        <v>4676</v>
      </c>
      <c r="I498" s="652" t="s">
        <v>13</v>
      </c>
      <c r="J498" s="622" t="s">
        <v>8880</v>
      </c>
      <c r="K498" s="680">
        <v>12000</v>
      </c>
      <c r="L498" s="680"/>
      <c r="M498" s="681">
        <v>4550</v>
      </c>
      <c r="N498" s="681"/>
      <c r="O498" s="681">
        <v>442</v>
      </c>
      <c r="P498" s="680">
        <v>0</v>
      </c>
      <c r="Q498" s="682">
        <v>442</v>
      </c>
      <c r="R498" s="681">
        <v>4108</v>
      </c>
      <c r="S498" s="658"/>
    </row>
    <row r="499" spans="1:19" s="659" customFormat="1" ht="20.100000000000001" customHeight="1">
      <c r="A499" s="657" t="s">
        <v>4674</v>
      </c>
      <c r="B499" s="649" t="s">
        <v>111</v>
      </c>
      <c r="C499" s="621"/>
      <c r="D499" s="621"/>
      <c r="E499" s="649" t="s">
        <v>4675</v>
      </c>
      <c r="F499" s="622" t="s">
        <v>2193</v>
      </c>
      <c r="G499" s="622" t="s">
        <v>8881</v>
      </c>
      <c r="H499" s="649" t="s">
        <v>4676</v>
      </c>
      <c r="I499" s="652" t="s">
        <v>13</v>
      </c>
      <c r="J499" s="622" t="s">
        <v>8880</v>
      </c>
      <c r="K499" s="680">
        <v>12000</v>
      </c>
      <c r="L499" s="680"/>
      <c r="M499" s="681">
        <v>2000</v>
      </c>
      <c r="N499" s="681"/>
      <c r="O499" s="681">
        <v>0</v>
      </c>
      <c r="P499" s="680">
        <v>0</v>
      </c>
      <c r="Q499" s="682">
        <v>0</v>
      </c>
      <c r="R499" s="681">
        <v>2000</v>
      </c>
      <c r="S499" s="658"/>
    </row>
    <row r="500" spans="1:19" s="659" customFormat="1" ht="20.100000000000001" customHeight="1">
      <c r="A500" s="657" t="s">
        <v>4674</v>
      </c>
      <c r="B500" s="649" t="s">
        <v>111</v>
      </c>
      <c r="C500" s="621"/>
      <c r="D500" s="621"/>
      <c r="E500" s="649" t="s">
        <v>4675</v>
      </c>
      <c r="F500" s="622" t="s">
        <v>2193</v>
      </c>
      <c r="G500" s="622" t="s">
        <v>8881</v>
      </c>
      <c r="H500" s="649" t="s">
        <v>4676</v>
      </c>
      <c r="I500" s="652" t="s">
        <v>13</v>
      </c>
      <c r="J500" s="622" t="s">
        <v>8880</v>
      </c>
      <c r="K500" s="680">
        <v>12000</v>
      </c>
      <c r="L500" s="680">
        <v>1815</v>
      </c>
      <c r="M500" s="681">
        <v>0</v>
      </c>
      <c r="N500" s="681"/>
      <c r="O500" s="681">
        <v>1815</v>
      </c>
      <c r="P500" s="680">
        <v>0</v>
      </c>
      <c r="Q500" s="682">
        <v>1815</v>
      </c>
      <c r="R500" s="681">
        <v>0</v>
      </c>
      <c r="S500" s="658"/>
    </row>
    <row r="501" spans="1:19" s="659" customFormat="1" ht="20.100000000000001" customHeight="1">
      <c r="A501" s="657" t="s">
        <v>4674</v>
      </c>
      <c r="B501" s="649" t="s">
        <v>111</v>
      </c>
      <c r="C501" s="621"/>
      <c r="D501" s="621"/>
      <c r="E501" s="649" t="s">
        <v>4675</v>
      </c>
      <c r="F501" s="622" t="s">
        <v>2193</v>
      </c>
      <c r="G501" s="622" t="s">
        <v>8881</v>
      </c>
      <c r="H501" s="649" t="s">
        <v>4676</v>
      </c>
      <c r="I501" s="652" t="s">
        <v>13</v>
      </c>
      <c r="J501" s="622" t="s">
        <v>8880</v>
      </c>
      <c r="K501" s="680">
        <v>12000</v>
      </c>
      <c r="L501" s="680"/>
      <c r="M501" s="681">
        <v>2000</v>
      </c>
      <c r="N501" s="681"/>
      <c r="O501" s="681">
        <v>2000</v>
      </c>
      <c r="P501" s="680">
        <v>0</v>
      </c>
      <c r="Q501" s="682">
        <v>2000</v>
      </c>
      <c r="R501" s="681">
        <v>0</v>
      </c>
      <c r="S501" s="658"/>
    </row>
    <row r="502" spans="1:19" s="659" customFormat="1" ht="20.100000000000001" customHeight="1">
      <c r="A502" s="657" t="s">
        <v>4674</v>
      </c>
      <c r="B502" s="649" t="s">
        <v>111</v>
      </c>
      <c r="C502" s="621"/>
      <c r="D502" s="621"/>
      <c r="E502" s="649" t="s">
        <v>4675</v>
      </c>
      <c r="F502" s="622" t="s">
        <v>2193</v>
      </c>
      <c r="G502" s="622" t="s">
        <v>8881</v>
      </c>
      <c r="H502" s="649" t="s">
        <v>4676</v>
      </c>
      <c r="I502" s="652" t="s">
        <v>13</v>
      </c>
      <c r="J502" s="622" t="s">
        <v>8880</v>
      </c>
      <c r="K502" s="680">
        <v>12000</v>
      </c>
      <c r="L502" s="680"/>
      <c r="M502" s="681">
        <v>1450</v>
      </c>
      <c r="N502" s="681"/>
      <c r="O502" s="681">
        <v>1450</v>
      </c>
      <c r="P502" s="680">
        <v>0</v>
      </c>
      <c r="Q502" s="682">
        <v>1450</v>
      </c>
      <c r="R502" s="681">
        <v>0</v>
      </c>
      <c r="S502" s="658"/>
    </row>
    <row r="503" spans="1:19" s="659" customFormat="1" ht="20.100000000000001" customHeight="1">
      <c r="A503" s="657" t="s">
        <v>4677</v>
      </c>
      <c r="B503" s="649" t="s">
        <v>119</v>
      </c>
      <c r="C503" s="621"/>
      <c r="D503" s="621"/>
      <c r="E503" s="649" t="s">
        <v>4678</v>
      </c>
      <c r="F503" s="622" t="s">
        <v>8682</v>
      </c>
      <c r="G503" s="622" t="s">
        <v>8598</v>
      </c>
      <c r="H503" s="649" t="s">
        <v>4679</v>
      </c>
      <c r="I503" s="652" t="s">
        <v>11</v>
      </c>
      <c r="J503" s="622" t="s">
        <v>8681</v>
      </c>
      <c r="K503" s="680">
        <v>175</v>
      </c>
      <c r="L503" s="680">
        <v>47800</v>
      </c>
      <c r="M503" s="681">
        <v>0</v>
      </c>
      <c r="N503" s="681"/>
      <c r="O503" s="681">
        <v>30480</v>
      </c>
      <c r="P503" s="680">
        <v>0</v>
      </c>
      <c r="Q503" s="682">
        <v>30480</v>
      </c>
      <c r="R503" s="681">
        <v>17320</v>
      </c>
      <c r="S503" s="658"/>
    </row>
    <row r="504" spans="1:19" s="659" customFormat="1" ht="20.100000000000001" customHeight="1">
      <c r="A504" s="657" t="s">
        <v>8683</v>
      </c>
      <c r="B504" s="649" t="s">
        <v>119</v>
      </c>
      <c r="C504" s="621"/>
      <c r="D504" s="621"/>
      <c r="E504" s="649" t="s">
        <v>12323</v>
      </c>
      <c r="F504" s="622" t="s">
        <v>8688</v>
      </c>
      <c r="G504" s="622" t="s">
        <v>8535</v>
      </c>
      <c r="H504" s="649" t="s">
        <v>8685</v>
      </c>
      <c r="I504" s="652" t="s">
        <v>11</v>
      </c>
      <c r="J504" s="622" t="s">
        <v>8687</v>
      </c>
      <c r="K504" s="680">
        <v>4000</v>
      </c>
      <c r="L504" s="680"/>
      <c r="M504" s="681">
        <v>6000</v>
      </c>
      <c r="N504" s="681"/>
      <c r="O504" s="681">
        <v>0</v>
      </c>
      <c r="P504" s="680">
        <v>0</v>
      </c>
      <c r="Q504" s="682">
        <v>0</v>
      </c>
      <c r="R504" s="681">
        <v>6000</v>
      </c>
      <c r="S504" s="658"/>
    </row>
    <row r="505" spans="1:19" s="659" customFormat="1" ht="20.100000000000001" customHeight="1">
      <c r="A505" s="657" t="s">
        <v>4680</v>
      </c>
      <c r="B505" s="649" t="s">
        <v>124</v>
      </c>
      <c r="C505" s="621"/>
      <c r="D505" s="621"/>
      <c r="E505" s="649" t="s">
        <v>4681</v>
      </c>
      <c r="F505" s="622" t="s">
        <v>2354</v>
      </c>
      <c r="G505" s="622" t="s">
        <v>8598</v>
      </c>
      <c r="H505" s="649" t="s">
        <v>4682</v>
      </c>
      <c r="I505" s="652" t="s">
        <v>15</v>
      </c>
      <c r="J505" s="622" t="s">
        <v>8597</v>
      </c>
      <c r="K505" s="680">
        <v>33075</v>
      </c>
      <c r="L505" s="680">
        <v>106</v>
      </c>
      <c r="M505" s="681">
        <v>0</v>
      </c>
      <c r="N505" s="681"/>
      <c r="O505" s="681">
        <v>106</v>
      </c>
      <c r="P505" s="680">
        <v>34</v>
      </c>
      <c r="Q505" s="682">
        <v>72</v>
      </c>
      <c r="R505" s="681">
        <v>0</v>
      </c>
      <c r="S505" s="658"/>
    </row>
    <row r="506" spans="1:19" s="659" customFormat="1" ht="20.100000000000001" customHeight="1">
      <c r="A506" s="657" t="s">
        <v>4680</v>
      </c>
      <c r="B506" s="649" t="s">
        <v>124</v>
      </c>
      <c r="C506" s="621"/>
      <c r="D506" s="621"/>
      <c r="E506" s="649" t="s">
        <v>4681</v>
      </c>
      <c r="F506" s="622" t="s">
        <v>2354</v>
      </c>
      <c r="G506" s="622" t="s">
        <v>8598</v>
      </c>
      <c r="H506" s="649" t="s">
        <v>4682</v>
      </c>
      <c r="I506" s="652" t="s">
        <v>15</v>
      </c>
      <c r="J506" s="622" t="s">
        <v>8597</v>
      </c>
      <c r="K506" s="680">
        <v>33075</v>
      </c>
      <c r="L506" s="680">
        <v>380</v>
      </c>
      <c r="M506" s="681">
        <v>0</v>
      </c>
      <c r="N506" s="681"/>
      <c r="O506" s="681">
        <v>343</v>
      </c>
      <c r="P506" s="680">
        <v>123</v>
      </c>
      <c r="Q506" s="682">
        <v>220</v>
      </c>
      <c r="R506" s="681">
        <v>37</v>
      </c>
      <c r="S506" s="658"/>
    </row>
    <row r="507" spans="1:19" s="659" customFormat="1" ht="20.100000000000001" customHeight="1">
      <c r="A507" s="657" t="s">
        <v>4680</v>
      </c>
      <c r="B507" s="649" t="s">
        <v>124</v>
      </c>
      <c r="C507" s="621"/>
      <c r="D507" s="621"/>
      <c r="E507" s="649" t="s">
        <v>4681</v>
      </c>
      <c r="F507" s="622" t="s">
        <v>2354</v>
      </c>
      <c r="G507" s="622" t="s">
        <v>8598</v>
      </c>
      <c r="H507" s="649" t="s">
        <v>4682</v>
      </c>
      <c r="I507" s="652" t="s">
        <v>15</v>
      </c>
      <c r="J507" s="622" t="s">
        <v>8597</v>
      </c>
      <c r="K507" s="680">
        <v>33075</v>
      </c>
      <c r="L507" s="680"/>
      <c r="M507" s="681">
        <v>800</v>
      </c>
      <c r="N507" s="681"/>
      <c r="O507" s="681">
        <v>800</v>
      </c>
      <c r="P507" s="680">
        <v>480</v>
      </c>
      <c r="Q507" s="682">
        <v>320</v>
      </c>
      <c r="R507" s="681">
        <v>0</v>
      </c>
      <c r="S507" s="658"/>
    </row>
    <row r="508" spans="1:19" s="659" customFormat="1" ht="20.100000000000001" customHeight="1">
      <c r="A508" s="657" t="s">
        <v>4680</v>
      </c>
      <c r="B508" s="649" t="s">
        <v>124</v>
      </c>
      <c r="C508" s="621"/>
      <c r="D508" s="621"/>
      <c r="E508" s="649" t="s">
        <v>4681</v>
      </c>
      <c r="F508" s="622" t="s">
        <v>2354</v>
      </c>
      <c r="G508" s="622" t="s">
        <v>8598</v>
      </c>
      <c r="H508" s="649" t="s">
        <v>4682</v>
      </c>
      <c r="I508" s="652" t="s">
        <v>15</v>
      </c>
      <c r="J508" s="622" t="s">
        <v>8597</v>
      </c>
      <c r="K508" s="680">
        <v>33075</v>
      </c>
      <c r="L508" s="680"/>
      <c r="M508" s="681">
        <v>400</v>
      </c>
      <c r="N508" s="681"/>
      <c r="O508" s="681">
        <v>400</v>
      </c>
      <c r="P508" s="680">
        <v>400</v>
      </c>
      <c r="Q508" s="682">
        <v>0</v>
      </c>
      <c r="R508" s="681">
        <v>0</v>
      </c>
      <c r="S508" s="658"/>
    </row>
    <row r="509" spans="1:19" s="659" customFormat="1" ht="20.100000000000001" customHeight="1">
      <c r="A509" s="657" t="s">
        <v>4680</v>
      </c>
      <c r="B509" s="649" t="s">
        <v>124</v>
      </c>
      <c r="C509" s="621"/>
      <c r="D509" s="621"/>
      <c r="E509" s="649" t="s">
        <v>4681</v>
      </c>
      <c r="F509" s="622" t="s">
        <v>2354</v>
      </c>
      <c r="G509" s="622" t="s">
        <v>8598</v>
      </c>
      <c r="H509" s="649" t="s">
        <v>4682</v>
      </c>
      <c r="I509" s="652" t="s">
        <v>15</v>
      </c>
      <c r="J509" s="622" t="s">
        <v>8597</v>
      </c>
      <c r="K509" s="680">
        <v>33075</v>
      </c>
      <c r="L509" s="680"/>
      <c r="M509" s="681">
        <v>511</v>
      </c>
      <c r="N509" s="681"/>
      <c r="O509" s="681">
        <v>63</v>
      </c>
      <c r="P509" s="680">
        <v>55</v>
      </c>
      <c r="Q509" s="682">
        <v>8</v>
      </c>
      <c r="R509" s="681">
        <v>448</v>
      </c>
      <c r="S509" s="658"/>
    </row>
    <row r="510" spans="1:19" s="659" customFormat="1" ht="20.100000000000001" customHeight="1">
      <c r="A510" s="657" t="s">
        <v>4680</v>
      </c>
      <c r="B510" s="649" t="s">
        <v>124</v>
      </c>
      <c r="C510" s="621"/>
      <c r="D510" s="621"/>
      <c r="E510" s="649" t="s">
        <v>4681</v>
      </c>
      <c r="F510" s="622" t="s">
        <v>2354</v>
      </c>
      <c r="G510" s="622" t="s">
        <v>8598</v>
      </c>
      <c r="H510" s="649" t="s">
        <v>4682</v>
      </c>
      <c r="I510" s="652" t="s">
        <v>15</v>
      </c>
      <c r="J510" s="622" t="s">
        <v>8597</v>
      </c>
      <c r="K510" s="680">
        <v>33075</v>
      </c>
      <c r="L510" s="680"/>
      <c r="M510" s="681">
        <v>1000</v>
      </c>
      <c r="N510" s="681"/>
      <c r="O510" s="681">
        <v>0</v>
      </c>
      <c r="P510" s="680">
        <v>0</v>
      </c>
      <c r="Q510" s="682">
        <v>0</v>
      </c>
      <c r="R510" s="681">
        <v>1000</v>
      </c>
      <c r="S510" s="658"/>
    </row>
    <row r="511" spans="1:19" s="659" customFormat="1" ht="20.100000000000001" customHeight="1">
      <c r="A511" s="657" t="s">
        <v>4684</v>
      </c>
      <c r="B511" s="649" t="s">
        <v>127</v>
      </c>
      <c r="C511" s="621"/>
      <c r="D511" s="621"/>
      <c r="E511" s="649" t="s">
        <v>4685</v>
      </c>
      <c r="F511" s="622" t="s">
        <v>8547</v>
      </c>
      <c r="G511" s="622" t="s">
        <v>2253</v>
      </c>
      <c r="H511" s="649" t="s">
        <v>4686</v>
      </c>
      <c r="I511" s="652" t="s">
        <v>11</v>
      </c>
      <c r="J511" s="622" t="s">
        <v>8546</v>
      </c>
      <c r="K511" s="680">
        <v>580</v>
      </c>
      <c r="L511" s="680">
        <v>7486</v>
      </c>
      <c r="M511" s="681">
        <v>0</v>
      </c>
      <c r="N511" s="681"/>
      <c r="O511" s="681">
        <v>7486</v>
      </c>
      <c r="P511" s="680">
        <v>0</v>
      </c>
      <c r="Q511" s="682">
        <v>7486</v>
      </c>
      <c r="R511" s="681">
        <v>0</v>
      </c>
      <c r="S511" s="658"/>
    </row>
    <row r="512" spans="1:19" s="659" customFormat="1" ht="20.100000000000001" customHeight="1">
      <c r="A512" s="657" t="s">
        <v>4684</v>
      </c>
      <c r="B512" s="649" t="s">
        <v>127</v>
      </c>
      <c r="C512" s="621"/>
      <c r="D512" s="621"/>
      <c r="E512" s="649" t="s">
        <v>4685</v>
      </c>
      <c r="F512" s="622" t="s">
        <v>8547</v>
      </c>
      <c r="G512" s="622" t="s">
        <v>2253</v>
      </c>
      <c r="H512" s="649" t="s">
        <v>4686</v>
      </c>
      <c r="I512" s="652" t="s">
        <v>11</v>
      </c>
      <c r="J512" s="622" t="s">
        <v>8546</v>
      </c>
      <c r="K512" s="680">
        <v>580</v>
      </c>
      <c r="L512" s="680">
        <v>14000</v>
      </c>
      <c r="M512" s="681">
        <v>0</v>
      </c>
      <c r="N512" s="681"/>
      <c r="O512" s="681">
        <v>14000</v>
      </c>
      <c r="P512" s="680">
        <v>0</v>
      </c>
      <c r="Q512" s="682">
        <v>14000</v>
      </c>
      <c r="R512" s="681">
        <v>0</v>
      </c>
      <c r="S512" s="658"/>
    </row>
    <row r="513" spans="1:19" s="659" customFormat="1" ht="20.100000000000001" customHeight="1">
      <c r="A513" s="657" t="s">
        <v>4687</v>
      </c>
      <c r="B513" s="649" t="s">
        <v>127</v>
      </c>
      <c r="C513" s="621"/>
      <c r="D513" s="621"/>
      <c r="E513" s="649" t="s">
        <v>4688</v>
      </c>
      <c r="F513" s="622" t="s">
        <v>8540</v>
      </c>
      <c r="G513" s="622" t="s">
        <v>8541</v>
      </c>
      <c r="H513" s="649" t="s">
        <v>4689</v>
      </c>
      <c r="I513" s="652" t="s">
        <v>11</v>
      </c>
      <c r="J513" s="622" t="s">
        <v>8539</v>
      </c>
      <c r="K513" s="680">
        <v>315</v>
      </c>
      <c r="L513" s="680"/>
      <c r="M513" s="681">
        <v>2200</v>
      </c>
      <c r="N513" s="681"/>
      <c r="O513" s="681">
        <v>2200</v>
      </c>
      <c r="P513" s="680">
        <v>2200</v>
      </c>
      <c r="Q513" s="682">
        <v>0</v>
      </c>
      <c r="R513" s="681">
        <v>0</v>
      </c>
      <c r="S513" s="658"/>
    </row>
    <row r="514" spans="1:19" s="659" customFormat="1" ht="20.100000000000001" customHeight="1">
      <c r="A514" s="657" t="s">
        <v>4687</v>
      </c>
      <c r="B514" s="649" t="s">
        <v>127</v>
      </c>
      <c r="C514" s="621"/>
      <c r="D514" s="621"/>
      <c r="E514" s="649" t="s">
        <v>4688</v>
      </c>
      <c r="F514" s="622" t="s">
        <v>8540</v>
      </c>
      <c r="G514" s="622" t="s">
        <v>8541</v>
      </c>
      <c r="H514" s="649" t="s">
        <v>4689</v>
      </c>
      <c r="I514" s="652" t="s">
        <v>11</v>
      </c>
      <c r="J514" s="622" t="s">
        <v>8539</v>
      </c>
      <c r="K514" s="680">
        <v>315</v>
      </c>
      <c r="L514" s="680"/>
      <c r="M514" s="681">
        <v>7800</v>
      </c>
      <c r="N514" s="681"/>
      <c r="O514" s="681">
        <v>7800</v>
      </c>
      <c r="P514" s="680">
        <v>7800</v>
      </c>
      <c r="Q514" s="682">
        <v>0</v>
      </c>
      <c r="R514" s="681">
        <v>0</v>
      </c>
      <c r="S514" s="658"/>
    </row>
    <row r="515" spans="1:19" s="659" customFormat="1" ht="20.100000000000001" customHeight="1">
      <c r="A515" s="657" t="s">
        <v>4687</v>
      </c>
      <c r="B515" s="649" t="s">
        <v>127</v>
      </c>
      <c r="C515" s="621"/>
      <c r="D515" s="621"/>
      <c r="E515" s="649" t="s">
        <v>4688</v>
      </c>
      <c r="F515" s="622" t="s">
        <v>8540</v>
      </c>
      <c r="G515" s="622" t="s">
        <v>8541</v>
      </c>
      <c r="H515" s="649" t="s">
        <v>4689</v>
      </c>
      <c r="I515" s="652" t="s">
        <v>11</v>
      </c>
      <c r="J515" s="622" t="s">
        <v>8539</v>
      </c>
      <c r="K515" s="680">
        <v>315</v>
      </c>
      <c r="L515" s="680"/>
      <c r="M515" s="681">
        <v>15000</v>
      </c>
      <c r="N515" s="681"/>
      <c r="O515" s="681">
        <v>15000</v>
      </c>
      <c r="P515" s="680">
        <v>10000</v>
      </c>
      <c r="Q515" s="682">
        <v>5000</v>
      </c>
      <c r="R515" s="681">
        <v>0</v>
      </c>
      <c r="S515" s="658"/>
    </row>
    <row r="516" spans="1:19" s="659" customFormat="1" ht="20.100000000000001" customHeight="1">
      <c r="A516" s="657" t="s">
        <v>4687</v>
      </c>
      <c r="B516" s="649" t="s">
        <v>127</v>
      </c>
      <c r="C516" s="621"/>
      <c r="D516" s="621"/>
      <c r="E516" s="649" t="s">
        <v>4688</v>
      </c>
      <c r="F516" s="622" t="s">
        <v>8540</v>
      </c>
      <c r="G516" s="622" t="s">
        <v>8541</v>
      </c>
      <c r="H516" s="649" t="s">
        <v>4689</v>
      </c>
      <c r="I516" s="652" t="s">
        <v>11</v>
      </c>
      <c r="J516" s="622" t="s">
        <v>8539</v>
      </c>
      <c r="K516" s="680">
        <v>315</v>
      </c>
      <c r="L516" s="680">
        <v>19700</v>
      </c>
      <c r="M516" s="681">
        <v>0</v>
      </c>
      <c r="N516" s="681"/>
      <c r="O516" s="681">
        <v>19700</v>
      </c>
      <c r="P516" s="680">
        <v>9000</v>
      </c>
      <c r="Q516" s="682">
        <v>10700</v>
      </c>
      <c r="R516" s="681">
        <v>0</v>
      </c>
      <c r="S516" s="658"/>
    </row>
    <row r="517" spans="1:19" s="659" customFormat="1" ht="20.100000000000001" customHeight="1">
      <c r="A517" s="657" t="s">
        <v>8548</v>
      </c>
      <c r="B517" s="649" t="s">
        <v>127</v>
      </c>
      <c r="C517" s="621"/>
      <c r="D517" s="621"/>
      <c r="E517" s="649" t="s">
        <v>8551</v>
      </c>
      <c r="F517" s="622" t="s">
        <v>8553</v>
      </c>
      <c r="G517" s="622" t="s">
        <v>2168</v>
      </c>
      <c r="H517" s="649" t="s">
        <v>12337</v>
      </c>
      <c r="I517" s="652" t="s">
        <v>11</v>
      </c>
      <c r="J517" s="622" t="s">
        <v>8552</v>
      </c>
      <c r="K517" s="680">
        <v>720</v>
      </c>
      <c r="L517" s="680"/>
      <c r="M517" s="681">
        <v>18000</v>
      </c>
      <c r="N517" s="681"/>
      <c r="O517" s="681">
        <v>18000</v>
      </c>
      <c r="P517" s="680">
        <v>0</v>
      </c>
      <c r="Q517" s="682">
        <v>18000</v>
      </c>
      <c r="R517" s="681">
        <v>0</v>
      </c>
      <c r="S517" s="658"/>
    </row>
    <row r="518" spans="1:19" s="659" customFormat="1" ht="20.100000000000001" customHeight="1">
      <c r="A518" s="657" t="s">
        <v>8548</v>
      </c>
      <c r="B518" s="649" t="s">
        <v>127</v>
      </c>
      <c r="C518" s="621"/>
      <c r="D518" s="621"/>
      <c r="E518" s="649" t="s">
        <v>8551</v>
      </c>
      <c r="F518" s="622" t="s">
        <v>8553</v>
      </c>
      <c r="G518" s="622" t="s">
        <v>2168</v>
      </c>
      <c r="H518" s="649" t="s">
        <v>12337</v>
      </c>
      <c r="I518" s="652" t="s">
        <v>11</v>
      </c>
      <c r="J518" s="622" t="s">
        <v>8552</v>
      </c>
      <c r="K518" s="680">
        <v>720</v>
      </c>
      <c r="L518" s="680"/>
      <c r="M518" s="681">
        <v>2000</v>
      </c>
      <c r="N518" s="681"/>
      <c r="O518" s="681">
        <v>2000</v>
      </c>
      <c r="P518" s="680">
        <v>0</v>
      </c>
      <c r="Q518" s="682">
        <v>2000</v>
      </c>
      <c r="R518" s="681">
        <v>0</v>
      </c>
      <c r="S518" s="658"/>
    </row>
    <row r="519" spans="1:19" s="659" customFormat="1" ht="20.100000000000001" customHeight="1">
      <c r="A519" s="657" t="s">
        <v>8554</v>
      </c>
      <c r="B519" s="649" t="s">
        <v>12341</v>
      </c>
      <c r="C519" s="621"/>
      <c r="D519" s="621"/>
      <c r="E519" s="649" t="s">
        <v>12340</v>
      </c>
      <c r="F519" s="622" t="s">
        <v>8558</v>
      </c>
      <c r="G519" s="622" t="s">
        <v>8559</v>
      </c>
      <c r="H519" s="649" t="s">
        <v>12342</v>
      </c>
      <c r="I519" s="652" t="s">
        <v>11</v>
      </c>
      <c r="J519" s="622" t="s">
        <v>8523</v>
      </c>
      <c r="K519" s="680">
        <v>6000</v>
      </c>
      <c r="L519" s="680"/>
      <c r="M519" s="681">
        <v>270</v>
      </c>
      <c r="N519" s="681"/>
      <c r="O519" s="681">
        <v>0</v>
      </c>
      <c r="P519" s="680">
        <v>0</v>
      </c>
      <c r="Q519" s="682">
        <v>0</v>
      </c>
      <c r="R519" s="681">
        <v>270</v>
      </c>
      <c r="S519" s="658"/>
    </row>
    <row r="520" spans="1:19" s="659" customFormat="1" ht="20.100000000000001" customHeight="1">
      <c r="A520" s="657" t="s">
        <v>8554</v>
      </c>
      <c r="B520" s="649" t="s">
        <v>12341</v>
      </c>
      <c r="C520" s="621"/>
      <c r="D520" s="621"/>
      <c r="E520" s="649" t="s">
        <v>12340</v>
      </c>
      <c r="F520" s="622" t="s">
        <v>8558</v>
      </c>
      <c r="G520" s="622" t="s">
        <v>8559</v>
      </c>
      <c r="H520" s="649" t="s">
        <v>12342</v>
      </c>
      <c r="I520" s="652" t="s">
        <v>11</v>
      </c>
      <c r="J520" s="622" t="s">
        <v>8523</v>
      </c>
      <c r="K520" s="680">
        <v>6000</v>
      </c>
      <c r="L520" s="680"/>
      <c r="M520" s="681">
        <v>9720</v>
      </c>
      <c r="N520" s="681"/>
      <c r="O520" s="681">
        <v>0</v>
      </c>
      <c r="P520" s="680">
        <v>0</v>
      </c>
      <c r="Q520" s="682">
        <v>0</v>
      </c>
      <c r="R520" s="681">
        <v>9720</v>
      </c>
      <c r="S520" s="658"/>
    </row>
    <row r="521" spans="1:19" s="659" customFormat="1" ht="20.100000000000001" customHeight="1">
      <c r="A521" s="657" t="s">
        <v>8554</v>
      </c>
      <c r="B521" s="649" t="s">
        <v>12341</v>
      </c>
      <c r="C521" s="621"/>
      <c r="D521" s="621"/>
      <c r="E521" s="649" t="s">
        <v>12340</v>
      </c>
      <c r="F521" s="622" t="s">
        <v>8558</v>
      </c>
      <c r="G521" s="622" t="s">
        <v>8559</v>
      </c>
      <c r="H521" s="649" t="s">
        <v>12342</v>
      </c>
      <c r="I521" s="652" t="s">
        <v>11</v>
      </c>
      <c r="J521" s="622" t="s">
        <v>8523</v>
      </c>
      <c r="K521" s="680">
        <v>6000</v>
      </c>
      <c r="L521" s="680"/>
      <c r="M521" s="681">
        <v>6000</v>
      </c>
      <c r="N521" s="681"/>
      <c r="O521" s="681">
        <v>6000</v>
      </c>
      <c r="P521" s="680">
        <v>0</v>
      </c>
      <c r="Q521" s="682">
        <v>6000</v>
      </c>
      <c r="R521" s="681">
        <v>0</v>
      </c>
      <c r="S521" s="658"/>
    </row>
    <row r="522" spans="1:19" s="659" customFormat="1" ht="20.100000000000001" customHeight="1">
      <c r="A522" s="657" t="s">
        <v>8554</v>
      </c>
      <c r="B522" s="649" t="s">
        <v>12341</v>
      </c>
      <c r="C522" s="621"/>
      <c r="D522" s="621"/>
      <c r="E522" s="649" t="s">
        <v>12340</v>
      </c>
      <c r="F522" s="622" t="s">
        <v>8558</v>
      </c>
      <c r="G522" s="622" t="s">
        <v>8559</v>
      </c>
      <c r="H522" s="649" t="s">
        <v>12342</v>
      </c>
      <c r="I522" s="652" t="s">
        <v>11</v>
      </c>
      <c r="J522" s="622" t="s">
        <v>8523</v>
      </c>
      <c r="K522" s="680">
        <v>6000</v>
      </c>
      <c r="L522" s="680"/>
      <c r="M522" s="681">
        <v>4980</v>
      </c>
      <c r="N522" s="681"/>
      <c r="O522" s="681">
        <v>4980</v>
      </c>
      <c r="P522" s="680">
        <v>0</v>
      </c>
      <c r="Q522" s="682">
        <v>4980</v>
      </c>
      <c r="R522" s="681">
        <v>0</v>
      </c>
      <c r="S522" s="658"/>
    </row>
    <row r="523" spans="1:19" s="659" customFormat="1" ht="20.100000000000001" customHeight="1">
      <c r="A523" s="657" t="s">
        <v>4690</v>
      </c>
      <c r="B523" s="649" t="s">
        <v>130</v>
      </c>
      <c r="C523" s="621"/>
      <c r="D523" s="621"/>
      <c r="E523" s="649" t="s">
        <v>129</v>
      </c>
      <c r="F523" s="622" t="s">
        <v>8650</v>
      </c>
      <c r="G523" s="622" t="s">
        <v>8651</v>
      </c>
      <c r="H523" s="649" t="s">
        <v>4691</v>
      </c>
      <c r="I523" s="652" t="s">
        <v>15</v>
      </c>
      <c r="J523" s="622" t="s">
        <v>8649</v>
      </c>
      <c r="K523" s="680">
        <v>44000</v>
      </c>
      <c r="L523" s="680">
        <v>162</v>
      </c>
      <c r="M523" s="681">
        <v>0</v>
      </c>
      <c r="N523" s="681"/>
      <c r="O523" s="681">
        <v>162</v>
      </c>
      <c r="P523" s="680">
        <v>0</v>
      </c>
      <c r="Q523" s="682">
        <v>162</v>
      </c>
      <c r="R523" s="681">
        <v>0</v>
      </c>
      <c r="S523" s="658"/>
    </row>
    <row r="524" spans="1:19" s="659" customFormat="1" ht="20.100000000000001" customHeight="1">
      <c r="A524" s="657" t="s">
        <v>4690</v>
      </c>
      <c r="B524" s="649" t="s">
        <v>130</v>
      </c>
      <c r="C524" s="621"/>
      <c r="D524" s="621"/>
      <c r="E524" s="649" t="s">
        <v>129</v>
      </c>
      <c r="F524" s="622" t="s">
        <v>8650</v>
      </c>
      <c r="G524" s="622" t="s">
        <v>8651</v>
      </c>
      <c r="H524" s="649" t="s">
        <v>4691</v>
      </c>
      <c r="I524" s="652" t="s">
        <v>15</v>
      </c>
      <c r="J524" s="622" t="s">
        <v>8649</v>
      </c>
      <c r="K524" s="680">
        <v>44000</v>
      </c>
      <c r="L524" s="680">
        <v>50</v>
      </c>
      <c r="M524" s="681">
        <v>0</v>
      </c>
      <c r="N524" s="681"/>
      <c r="O524" s="681">
        <v>39</v>
      </c>
      <c r="P524" s="680">
        <v>0</v>
      </c>
      <c r="Q524" s="682">
        <v>39</v>
      </c>
      <c r="R524" s="681">
        <v>11</v>
      </c>
      <c r="S524" s="658"/>
    </row>
    <row r="525" spans="1:19" s="659" customFormat="1" ht="20.100000000000001" customHeight="1">
      <c r="A525" s="657" t="s">
        <v>5019</v>
      </c>
      <c r="B525" s="649" t="s">
        <v>1550</v>
      </c>
      <c r="C525" s="621"/>
      <c r="D525" s="621"/>
      <c r="E525" s="649" t="s">
        <v>5020</v>
      </c>
      <c r="F525" s="622" t="s">
        <v>7528</v>
      </c>
      <c r="G525" s="622" t="s">
        <v>7161</v>
      </c>
      <c r="H525" s="649" t="s">
        <v>5021</v>
      </c>
      <c r="I525" s="652" t="s">
        <v>11</v>
      </c>
      <c r="J525" s="622" t="s">
        <v>7527</v>
      </c>
      <c r="K525" s="680">
        <v>470</v>
      </c>
      <c r="L525" s="680"/>
      <c r="M525" s="681">
        <v>1200</v>
      </c>
      <c r="N525" s="681"/>
      <c r="O525" s="681">
        <v>1200</v>
      </c>
      <c r="P525" s="680">
        <v>1200</v>
      </c>
      <c r="Q525" s="682">
        <v>0</v>
      </c>
      <c r="R525" s="681">
        <v>0</v>
      </c>
      <c r="S525" s="658"/>
    </row>
    <row r="526" spans="1:19" s="659" customFormat="1" ht="20.100000000000001" customHeight="1">
      <c r="A526" s="657" t="s">
        <v>4109</v>
      </c>
      <c r="B526" s="649" t="s">
        <v>4110</v>
      </c>
      <c r="C526" s="621"/>
      <c r="D526" s="621"/>
      <c r="E526" s="649" t="s">
        <v>403</v>
      </c>
      <c r="F526" s="622" t="s">
        <v>8082</v>
      </c>
      <c r="G526" s="622" t="s">
        <v>7001</v>
      </c>
      <c r="H526" s="649" t="s">
        <v>327</v>
      </c>
      <c r="I526" s="652" t="s">
        <v>11</v>
      </c>
      <c r="J526" s="622" t="s">
        <v>7769</v>
      </c>
      <c r="K526" s="680">
        <v>102</v>
      </c>
      <c r="L526" s="680">
        <v>430</v>
      </c>
      <c r="M526" s="681">
        <v>0</v>
      </c>
      <c r="N526" s="681"/>
      <c r="O526" s="681">
        <v>19</v>
      </c>
      <c r="P526" s="680">
        <v>19</v>
      </c>
      <c r="Q526" s="682">
        <v>0</v>
      </c>
      <c r="R526" s="681">
        <v>411</v>
      </c>
      <c r="S526" s="658"/>
    </row>
    <row r="527" spans="1:19" s="659" customFormat="1" ht="20.100000000000001" customHeight="1">
      <c r="A527" s="657" t="s">
        <v>4109</v>
      </c>
      <c r="B527" s="649" t="s">
        <v>4110</v>
      </c>
      <c r="C527" s="621"/>
      <c r="D527" s="621"/>
      <c r="E527" s="649" t="s">
        <v>403</v>
      </c>
      <c r="F527" s="622" t="s">
        <v>8082</v>
      </c>
      <c r="G527" s="622" t="s">
        <v>7001</v>
      </c>
      <c r="H527" s="649" t="s">
        <v>327</v>
      </c>
      <c r="I527" s="652" t="s">
        <v>11</v>
      </c>
      <c r="J527" s="622" t="s">
        <v>7769</v>
      </c>
      <c r="K527" s="680">
        <v>102</v>
      </c>
      <c r="L527" s="680"/>
      <c r="M527" s="681">
        <v>21000</v>
      </c>
      <c r="N527" s="681"/>
      <c r="O527" s="681">
        <v>19500</v>
      </c>
      <c r="P527" s="680">
        <v>19500</v>
      </c>
      <c r="Q527" s="682">
        <v>0</v>
      </c>
      <c r="R527" s="681">
        <v>1500</v>
      </c>
      <c r="S527" s="658"/>
    </row>
    <row r="528" spans="1:19" s="659" customFormat="1" ht="20.100000000000001" customHeight="1">
      <c r="A528" s="657" t="s">
        <v>4109</v>
      </c>
      <c r="B528" s="649" t="s">
        <v>4110</v>
      </c>
      <c r="C528" s="621"/>
      <c r="D528" s="621"/>
      <c r="E528" s="649" t="s">
        <v>403</v>
      </c>
      <c r="F528" s="622" t="s">
        <v>8082</v>
      </c>
      <c r="G528" s="622" t="s">
        <v>7001</v>
      </c>
      <c r="H528" s="649" t="s">
        <v>327</v>
      </c>
      <c r="I528" s="652" t="s">
        <v>11</v>
      </c>
      <c r="J528" s="622" t="s">
        <v>7769</v>
      </c>
      <c r="K528" s="680">
        <v>102</v>
      </c>
      <c r="L528" s="680"/>
      <c r="M528" s="681">
        <v>17000</v>
      </c>
      <c r="N528" s="681"/>
      <c r="O528" s="681">
        <v>17000</v>
      </c>
      <c r="P528" s="680">
        <v>17000</v>
      </c>
      <c r="Q528" s="682">
        <v>0</v>
      </c>
      <c r="R528" s="681">
        <v>0</v>
      </c>
      <c r="S528" s="658"/>
    </row>
    <row r="529" spans="1:19" s="659" customFormat="1" ht="20.100000000000001" customHeight="1">
      <c r="A529" s="657" t="s">
        <v>4855</v>
      </c>
      <c r="B529" s="649" t="s">
        <v>4110</v>
      </c>
      <c r="C529" s="621"/>
      <c r="D529" s="621"/>
      <c r="E529" s="649" t="s">
        <v>403</v>
      </c>
      <c r="F529" s="622" t="s">
        <v>404</v>
      </c>
      <c r="G529" s="622" t="s">
        <v>360</v>
      </c>
      <c r="H529" s="649" t="s">
        <v>327</v>
      </c>
      <c r="I529" s="652" t="s">
        <v>10</v>
      </c>
      <c r="J529" s="622" t="s">
        <v>5517</v>
      </c>
      <c r="K529" s="680">
        <v>95</v>
      </c>
      <c r="L529" s="680">
        <v>50000</v>
      </c>
      <c r="M529" s="681">
        <v>0</v>
      </c>
      <c r="N529" s="681"/>
      <c r="O529" s="681">
        <v>0</v>
      </c>
      <c r="P529" s="680">
        <v>0</v>
      </c>
      <c r="Q529" s="682">
        <v>0</v>
      </c>
      <c r="R529" s="681">
        <v>50000</v>
      </c>
      <c r="S529" s="658"/>
    </row>
    <row r="530" spans="1:19" s="659" customFormat="1" ht="20.100000000000001" customHeight="1">
      <c r="A530" s="657" t="s">
        <v>4855</v>
      </c>
      <c r="B530" s="649" t="s">
        <v>4110</v>
      </c>
      <c r="C530" s="621"/>
      <c r="D530" s="621"/>
      <c r="E530" s="649" t="s">
        <v>403</v>
      </c>
      <c r="F530" s="622" t="s">
        <v>404</v>
      </c>
      <c r="G530" s="622" t="s">
        <v>360</v>
      </c>
      <c r="H530" s="649" t="s">
        <v>327</v>
      </c>
      <c r="I530" s="652" t="s">
        <v>10</v>
      </c>
      <c r="J530" s="622" t="s">
        <v>5517</v>
      </c>
      <c r="K530" s="680">
        <v>95</v>
      </c>
      <c r="L530" s="680">
        <v>28000</v>
      </c>
      <c r="M530" s="681">
        <v>0</v>
      </c>
      <c r="N530" s="681"/>
      <c r="O530" s="681">
        <v>19578</v>
      </c>
      <c r="P530" s="680">
        <v>15000</v>
      </c>
      <c r="Q530" s="682">
        <v>4578</v>
      </c>
      <c r="R530" s="681">
        <v>8422</v>
      </c>
      <c r="S530" s="658"/>
    </row>
    <row r="531" spans="1:19" s="659" customFormat="1" ht="20.100000000000001" customHeight="1">
      <c r="A531" s="657" t="s">
        <v>4855</v>
      </c>
      <c r="B531" s="649" t="s">
        <v>4110</v>
      </c>
      <c r="C531" s="621"/>
      <c r="D531" s="621"/>
      <c r="E531" s="649" t="s">
        <v>403</v>
      </c>
      <c r="F531" s="622" t="s">
        <v>404</v>
      </c>
      <c r="G531" s="622" t="s">
        <v>360</v>
      </c>
      <c r="H531" s="649" t="s">
        <v>327</v>
      </c>
      <c r="I531" s="652" t="s">
        <v>10</v>
      </c>
      <c r="J531" s="622" t="s">
        <v>5517</v>
      </c>
      <c r="K531" s="680">
        <v>95</v>
      </c>
      <c r="L531" s="680">
        <v>1422</v>
      </c>
      <c r="M531" s="681">
        <v>0</v>
      </c>
      <c r="N531" s="681"/>
      <c r="O531" s="681">
        <v>1422</v>
      </c>
      <c r="P531" s="680">
        <v>0</v>
      </c>
      <c r="Q531" s="682">
        <v>1422</v>
      </c>
      <c r="R531" s="681">
        <v>0</v>
      </c>
      <c r="S531" s="658"/>
    </row>
    <row r="532" spans="1:19" s="659" customFormat="1" ht="20.100000000000001" customHeight="1">
      <c r="A532" s="657" t="s">
        <v>8575</v>
      </c>
      <c r="B532" s="649" t="s">
        <v>12349</v>
      </c>
      <c r="C532" s="621"/>
      <c r="D532" s="621"/>
      <c r="E532" s="649" t="s">
        <v>8578</v>
      </c>
      <c r="F532" s="622" t="s">
        <v>8580</v>
      </c>
      <c r="G532" s="622" t="s">
        <v>8581</v>
      </c>
      <c r="H532" s="649" t="s">
        <v>12350</v>
      </c>
      <c r="I532" s="652" t="s">
        <v>11</v>
      </c>
      <c r="J532" s="622" t="s">
        <v>8579</v>
      </c>
      <c r="K532" s="680">
        <v>2750</v>
      </c>
      <c r="L532" s="680"/>
      <c r="M532" s="681">
        <v>5000</v>
      </c>
      <c r="N532" s="681"/>
      <c r="O532" s="681">
        <v>5000</v>
      </c>
      <c r="P532" s="680">
        <v>0</v>
      </c>
      <c r="Q532" s="682">
        <v>5000</v>
      </c>
      <c r="R532" s="681">
        <v>0</v>
      </c>
      <c r="S532" s="658"/>
    </row>
    <row r="533" spans="1:19" s="659" customFormat="1" ht="20.100000000000001" customHeight="1">
      <c r="A533" s="657" t="s">
        <v>4857</v>
      </c>
      <c r="B533" s="649" t="s">
        <v>378</v>
      </c>
      <c r="C533" s="621"/>
      <c r="D533" s="621"/>
      <c r="E533" s="649" t="s">
        <v>378</v>
      </c>
      <c r="F533" s="622" t="s">
        <v>379</v>
      </c>
      <c r="G533" s="622" t="s">
        <v>360</v>
      </c>
      <c r="H533" s="649" t="s">
        <v>334</v>
      </c>
      <c r="I533" s="652" t="s">
        <v>10</v>
      </c>
      <c r="J533" s="622" t="s">
        <v>5150</v>
      </c>
      <c r="K533" s="680">
        <v>234</v>
      </c>
      <c r="L533" s="680">
        <v>2248</v>
      </c>
      <c r="M533" s="681">
        <v>0</v>
      </c>
      <c r="N533" s="681"/>
      <c r="O533" s="681">
        <v>2248</v>
      </c>
      <c r="P533" s="680">
        <v>0</v>
      </c>
      <c r="Q533" s="682">
        <v>2248</v>
      </c>
      <c r="R533" s="681">
        <v>0</v>
      </c>
      <c r="S533" s="658"/>
    </row>
    <row r="534" spans="1:19" s="659" customFormat="1" ht="20.100000000000001" customHeight="1">
      <c r="A534" s="657" t="s">
        <v>4857</v>
      </c>
      <c r="B534" s="649" t="s">
        <v>378</v>
      </c>
      <c r="C534" s="621"/>
      <c r="D534" s="621"/>
      <c r="E534" s="649" t="s">
        <v>378</v>
      </c>
      <c r="F534" s="622" t="s">
        <v>379</v>
      </c>
      <c r="G534" s="622" t="s">
        <v>360</v>
      </c>
      <c r="H534" s="649" t="s">
        <v>334</v>
      </c>
      <c r="I534" s="652" t="s">
        <v>10</v>
      </c>
      <c r="J534" s="622" t="s">
        <v>5150</v>
      </c>
      <c r="K534" s="680">
        <v>234</v>
      </c>
      <c r="L534" s="680">
        <v>143</v>
      </c>
      <c r="M534" s="681">
        <v>0</v>
      </c>
      <c r="N534" s="681"/>
      <c r="O534" s="681">
        <v>143</v>
      </c>
      <c r="P534" s="680">
        <v>0</v>
      </c>
      <c r="Q534" s="682">
        <v>143</v>
      </c>
      <c r="R534" s="681">
        <v>0</v>
      </c>
      <c r="S534" s="658"/>
    </row>
    <row r="535" spans="1:19" s="659" customFormat="1" ht="20.100000000000001" customHeight="1">
      <c r="A535" s="657" t="s">
        <v>4860</v>
      </c>
      <c r="B535" s="649" t="s">
        <v>378</v>
      </c>
      <c r="C535" s="621"/>
      <c r="D535" s="621"/>
      <c r="E535" s="649" t="s">
        <v>378</v>
      </c>
      <c r="F535" s="622" t="s">
        <v>379</v>
      </c>
      <c r="G535" s="622" t="s">
        <v>360</v>
      </c>
      <c r="H535" s="649" t="s">
        <v>334</v>
      </c>
      <c r="I535" s="652" t="s">
        <v>10</v>
      </c>
      <c r="J535" s="622" t="s">
        <v>5150</v>
      </c>
      <c r="K535" s="680">
        <v>234</v>
      </c>
      <c r="L535" s="680">
        <v>9500</v>
      </c>
      <c r="M535" s="681">
        <v>0</v>
      </c>
      <c r="N535" s="681"/>
      <c r="O535" s="681">
        <v>5925</v>
      </c>
      <c r="P535" s="680">
        <v>4208</v>
      </c>
      <c r="Q535" s="682">
        <v>1717</v>
      </c>
      <c r="R535" s="681">
        <v>3575</v>
      </c>
      <c r="S535" s="658"/>
    </row>
    <row r="536" spans="1:19" s="659" customFormat="1" ht="20.100000000000001" customHeight="1">
      <c r="A536" s="657" t="s">
        <v>4860</v>
      </c>
      <c r="B536" s="649" t="s">
        <v>378</v>
      </c>
      <c r="C536" s="621"/>
      <c r="D536" s="621"/>
      <c r="E536" s="649" t="s">
        <v>378</v>
      </c>
      <c r="F536" s="622" t="s">
        <v>379</v>
      </c>
      <c r="G536" s="622" t="s">
        <v>360</v>
      </c>
      <c r="H536" s="649" t="s">
        <v>334</v>
      </c>
      <c r="I536" s="652" t="s">
        <v>10</v>
      </c>
      <c r="J536" s="622" t="s">
        <v>5150</v>
      </c>
      <c r="K536" s="680">
        <v>234</v>
      </c>
      <c r="L536" s="680">
        <v>40000</v>
      </c>
      <c r="M536" s="681">
        <v>0</v>
      </c>
      <c r="N536" s="681"/>
      <c r="O536" s="681">
        <v>1300</v>
      </c>
      <c r="P536" s="680">
        <v>1300</v>
      </c>
      <c r="Q536" s="682">
        <v>0</v>
      </c>
      <c r="R536" s="681">
        <v>38700</v>
      </c>
      <c r="S536" s="658"/>
    </row>
    <row r="537" spans="1:19" s="659" customFormat="1" ht="20.100000000000001" customHeight="1">
      <c r="A537" s="657" t="s">
        <v>4111</v>
      </c>
      <c r="B537" s="649" t="s">
        <v>2501</v>
      </c>
      <c r="C537" s="621"/>
      <c r="D537" s="621"/>
      <c r="E537" s="649" t="s">
        <v>4112</v>
      </c>
      <c r="F537" s="622" t="s">
        <v>3068</v>
      </c>
      <c r="G537" s="622" t="s">
        <v>712</v>
      </c>
      <c r="H537" s="649" t="s">
        <v>299</v>
      </c>
      <c r="I537" s="652" t="s">
        <v>11</v>
      </c>
      <c r="J537" s="622" t="s">
        <v>7507</v>
      </c>
      <c r="K537" s="680">
        <v>3150</v>
      </c>
      <c r="L537" s="680">
        <v>2576</v>
      </c>
      <c r="M537" s="681">
        <v>0</v>
      </c>
      <c r="N537" s="681"/>
      <c r="O537" s="681">
        <v>2576</v>
      </c>
      <c r="P537" s="680">
        <v>400</v>
      </c>
      <c r="Q537" s="682">
        <v>2176</v>
      </c>
      <c r="R537" s="681">
        <v>0</v>
      </c>
      <c r="S537" s="658"/>
    </row>
    <row r="538" spans="1:19" s="659" customFormat="1" ht="20.100000000000001" customHeight="1">
      <c r="A538" s="657" t="s">
        <v>4111</v>
      </c>
      <c r="B538" s="649" t="s">
        <v>2501</v>
      </c>
      <c r="C538" s="621"/>
      <c r="D538" s="621"/>
      <c r="E538" s="649" t="s">
        <v>4112</v>
      </c>
      <c r="F538" s="622" t="s">
        <v>3068</v>
      </c>
      <c r="G538" s="622" t="s">
        <v>712</v>
      </c>
      <c r="H538" s="649" t="s">
        <v>299</v>
      </c>
      <c r="I538" s="652" t="s">
        <v>11</v>
      </c>
      <c r="J538" s="622" t="s">
        <v>7507</v>
      </c>
      <c r="K538" s="680">
        <v>3150</v>
      </c>
      <c r="L538" s="680"/>
      <c r="M538" s="681">
        <v>10000</v>
      </c>
      <c r="N538" s="681"/>
      <c r="O538" s="681">
        <v>3407</v>
      </c>
      <c r="P538" s="680">
        <v>1800</v>
      </c>
      <c r="Q538" s="682">
        <v>1607</v>
      </c>
      <c r="R538" s="681">
        <v>6593</v>
      </c>
      <c r="S538" s="658"/>
    </row>
    <row r="539" spans="1:19" s="659" customFormat="1" ht="20.100000000000001" customHeight="1">
      <c r="A539" s="657" t="s">
        <v>4111</v>
      </c>
      <c r="B539" s="649" t="s">
        <v>2501</v>
      </c>
      <c r="C539" s="621"/>
      <c r="D539" s="621"/>
      <c r="E539" s="649" t="s">
        <v>4112</v>
      </c>
      <c r="F539" s="622" t="s">
        <v>3068</v>
      </c>
      <c r="G539" s="622" t="s">
        <v>712</v>
      </c>
      <c r="H539" s="649" t="s">
        <v>299</v>
      </c>
      <c r="I539" s="652" t="s">
        <v>11</v>
      </c>
      <c r="J539" s="622" t="s">
        <v>7507</v>
      </c>
      <c r="K539" s="680">
        <v>3150</v>
      </c>
      <c r="L539" s="680">
        <v>6000</v>
      </c>
      <c r="M539" s="681">
        <v>0</v>
      </c>
      <c r="N539" s="681"/>
      <c r="O539" s="681">
        <v>6000</v>
      </c>
      <c r="P539" s="680">
        <v>2000</v>
      </c>
      <c r="Q539" s="682">
        <v>4000</v>
      </c>
      <c r="R539" s="681">
        <v>0</v>
      </c>
      <c r="S539" s="658"/>
    </row>
    <row r="540" spans="1:19" s="659" customFormat="1" ht="20.100000000000001" customHeight="1">
      <c r="A540" s="657" t="s">
        <v>4115</v>
      </c>
      <c r="B540" s="649" t="s">
        <v>2503</v>
      </c>
      <c r="C540" s="621"/>
      <c r="D540" s="621"/>
      <c r="E540" s="649" t="s">
        <v>2504</v>
      </c>
      <c r="F540" s="622" t="s">
        <v>3072</v>
      </c>
      <c r="G540" s="622" t="s">
        <v>7783</v>
      </c>
      <c r="H540" s="649" t="s">
        <v>327</v>
      </c>
      <c r="I540" s="652" t="s">
        <v>11</v>
      </c>
      <c r="J540" s="622" t="s">
        <v>5690</v>
      </c>
      <c r="K540" s="680">
        <v>3500</v>
      </c>
      <c r="L540" s="680">
        <v>2916</v>
      </c>
      <c r="M540" s="681">
        <v>0</v>
      </c>
      <c r="N540" s="681"/>
      <c r="O540" s="681">
        <v>399</v>
      </c>
      <c r="P540" s="680">
        <v>0</v>
      </c>
      <c r="Q540" s="682">
        <v>399</v>
      </c>
      <c r="R540" s="681">
        <v>2517</v>
      </c>
      <c r="S540" s="658"/>
    </row>
    <row r="541" spans="1:19" s="659" customFormat="1" ht="20.100000000000001" customHeight="1">
      <c r="A541" s="657" t="s">
        <v>4115</v>
      </c>
      <c r="B541" s="649" t="s">
        <v>2503</v>
      </c>
      <c r="C541" s="621"/>
      <c r="D541" s="621"/>
      <c r="E541" s="649" t="s">
        <v>2504</v>
      </c>
      <c r="F541" s="622" t="s">
        <v>3072</v>
      </c>
      <c r="G541" s="622" t="s">
        <v>7783</v>
      </c>
      <c r="H541" s="649" t="s">
        <v>327</v>
      </c>
      <c r="I541" s="652" t="s">
        <v>11</v>
      </c>
      <c r="J541" s="622" t="s">
        <v>5690</v>
      </c>
      <c r="K541" s="680">
        <v>3500</v>
      </c>
      <c r="L541" s="680">
        <v>1980</v>
      </c>
      <c r="M541" s="681">
        <v>0</v>
      </c>
      <c r="N541" s="681"/>
      <c r="O541" s="681">
        <v>0</v>
      </c>
      <c r="P541" s="680">
        <v>0</v>
      </c>
      <c r="Q541" s="682">
        <v>0</v>
      </c>
      <c r="R541" s="681">
        <v>1980</v>
      </c>
      <c r="S541" s="658"/>
    </row>
    <row r="542" spans="1:19" s="659" customFormat="1" ht="20.100000000000001" customHeight="1">
      <c r="A542" s="657" t="s">
        <v>4554</v>
      </c>
      <c r="B542" s="649" t="s">
        <v>847</v>
      </c>
      <c r="C542" s="621"/>
      <c r="D542" s="621"/>
      <c r="E542" s="649" t="s">
        <v>12185</v>
      </c>
      <c r="F542" s="622" t="s">
        <v>1875</v>
      </c>
      <c r="G542" s="622" t="s">
        <v>8258</v>
      </c>
      <c r="H542" s="649" t="s">
        <v>225</v>
      </c>
      <c r="I542" s="652" t="s">
        <v>10</v>
      </c>
      <c r="J542" s="622" t="s">
        <v>8257</v>
      </c>
      <c r="K542" s="680">
        <v>2510</v>
      </c>
      <c r="L542" s="680">
        <v>4992</v>
      </c>
      <c r="M542" s="681">
        <v>0</v>
      </c>
      <c r="N542" s="681"/>
      <c r="O542" s="681">
        <v>4992</v>
      </c>
      <c r="P542" s="680">
        <v>1740</v>
      </c>
      <c r="Q542" s="682">
        <v>3252</v>
      </c>
      <c r="R542" s="681">
        <v>0</v>
      </c>
      <c r="S542" s="658"/>
    </row>
    <row r="543" spans="1:19" s="659" customFormat="1" ht="20.100000000000001" customHeight="1">
      <c r="A543" s="657" t="s">
        <v>4554</v>
      </c>
      <c r="B543" s="649" t="s">
        <v>847</v>
      </c>
      <c r="C543" s="621"/>
      <c r="D543" s="621"/>
      <c r="E543" s="649" t="s">
        <v>12185</v>
      </c>
      <c r="F543" s="622" t="s">
        <v>1875</v>
      </c>
      <c r="G543" s="622" t="s">
        <v>8258</v>
      </c>
      <c r="H543" s="649" t="s">
        <v>225</v>
      </c>
      <c r="I543" s="652" t="s">
        <v>10</v>
      </c>
      <c r="J543" s="622" t="s">
        <v>8257</v>
      </c>
      <c r="K543" s="680">
        <v>2510</v>
      </c>
      <c r="L543" s="680"/>
      <c r="M543" s="681">
        <v>600</v>
      </c>
      <c r="N543" s="681"/>
      <c r="O543" s="681">
        <v>600</v>
      </c>
      <c r="P543" s="680">
        <v>0</v>
      </c>
      <c r="Q543" s="682">
        <v>600</v>
      </c>
      <c r="R543" s="681">
        <v>0</v>
      </c>
      <c r="S543" s="658"/>
    </row>
    <row r="544" spans="1:19" s="659" customFormat="1" ht="20.100000000000001" customHeight="1">
      <c r="A544" s="657" t="s">
        <v>4554</v>
      </c>
      <c r="B544" s="649" t="s">
        <v>847</v>
      </c>
      <c r="C544" s="621"/>
      <c r="D544" s="621"/>
      <c r="E544" s="649" t="s">
        <v>12185</v>
      </c>
      <c r="F544" s="622" t="s">
        <v>1875</v>
      </c>
      <c r="G544" s="622" t="s">
        <v>8258</v>
      </c>
      <c r="H544" s="649" t="s">
        <v>225</v>
      </c>
      <c r="I544" s="652" t="s">
        <v>10</v>
      </c>
      <c r="J544" s="622" t="s">
        <v>8257</v>
      </c>
      <c r="K544" s="680">
        <v>2510</v>
      </c>
      <c r="L544" s="680"/>
      <c r="M544" s="681">
        <v>4992</v>
      </c>
      <c r="N544" s="681"/>
      <c r="O544" s="681">
        <v>4992</v>
      </c>
      <c r="P544" s="680">
        <v>3684</v>
      </c>
      <c r="Q544" s="682">
        <v>1308</v>
      </c>
      <c r="R544" s="681">
        <v>0</v>
      </c>
      <c r="S544" s="658"/>
    </row>
    <row r="545" spans="1:19" s="659" customFormat="1" ht="20.100000000000001" customHeight="1">
      <c r="A545" s="657" t="s">
        <v>5022</v>
      </c>
      <c r="B545" s="649" t="s">
        <v>702</v>
      </c>
      <c r="C545" s="621"/>
      <c r="D545" s="621"/>
      <c r="E545" s="649" t="s">
        <v>5023</v>
      </c>
      <c r="F545" s="622" t="s">
        <v>7097</v>
      </c>
      <c r="G545" s="622" t="s">
        <v>7098</v>
      </c>
      <c r="H545" s="649" t="s">
        <v>232</v>
      </c>
      <c r="I545" s="652" t="s">
        <v>11</v>
      </c>
      <c r="J545" s="622" t="s">
        <v>7096</v>
      </c>
      <c r="K545" s="680">
        <v>650</v>
      </c>
      <c r="L545" s="680"/>
      <c r="M545" s="681">
        <v>3000</v>
      </c>
      <c r="N545" s="681"/>
      <c r="O545" s="681">
        <v>3000</v>
      </c>
      <c r="P545" s="680">
        <v>3000</v>
      </c>
      <c r="Q545" s="682">
        <v>0</v>
      </c>
      <c r="R545" s="681">
        <v>0</v>
      </c>
      <c r="S545" s="658"/>
    </row>
    <row r="546" spans="1:19" s="659" customFormat="1" ht="20.100000000000001" customHeight="1">
      <c r="A546" s="657" t="s">
        <v>6841</v>
      </c>
      <c r="B546" s="649" t="s">
        <v>1618</v>
      </c>
      <c r="C546" s="621"/>
      <c r="D546" s="621"/>
      <c r="E546" s="649" t="s">
        <v>6842</v>
      </c>
      <c r="F546" s="622" t="s">
        <v>6844</v>
      </c>
      <c r="G546" s="622" t="s">
        <v>1147</v>
      </c>
      <c r="H546" s="649" t="s">
        <v>994</v>
      </c>
      <c r="I546" s="652" t="s">
        <v>11</v>
      </c>
      <c r="J546" s="622" t="s">
        <v>6843</v>
      </c>
      <c r="K546" s="680">
        <v>450</v>
      </c>
      <c r="L546" s="680"/>
      <c r="M546" s="681">
        <v>26880</v>
      </c>
      <c r="N546" s="681"/>
      <c r="O546" s="681">
        <v>6879</v>
      </c>
      <c r="P546" s="680">
        <v>57</v>
      </c>
      <c r="Q546" s="682">
        <v>6822</v>
      </c>
      <c r="R546" s="681">
        <v>20001</v>
      </c>
      <c r="S546" s="658"/>
    </row>
    <row r="547" spans="1:19" s="659" customFormat="1" ht="20.100000000000001" customHeight="1">
      <c r="A547" s="657" t="s">
        <v>6841</v>
      </c>
      <c r="B547" s="649" t="s">
        <v>1618</v>
      </c>
      <c r="C547" s="621"/>
      <c r="D547" s="621"/>
      <c r="E547" s="649" t="s">
        <v>6842</v>
      </c>
      <c r="F547" s="622" t="s">
        <v>6844</v>
      </c>
      <c r="G547" s="622" t="s">
        <v>1147</v>
      </c>
      <c r="H547" s="649" t="s">
        <v>994</v>
      </c>
      <c r="I547" s="652" t="s">
        <v>11</v>
      </c>
      <c r="J547" s="622" t="s">
        <v>6843</v>
      </c>
      <c r="K547" s="680">
        <v>450</v>
      </c>
      <c r="L547" s="680"/>
      <c r="M547" s="681">
        <v>23072</v>
      </c>
      <c r="N547" s="681"/>
      <c r="O547" s="681">
        <v>0</v>
      </c>
      <c r="P547" s="680">
        <v>0</v>
      </c>
      <c r="Q547" s="682">
        <v>0</v>
      </c>
      <c r="R547" s="681">
        <v>23072</v>
      </c>
      <c r="S547" s="658"/>
    </row>
    <row r="548" spans="1:19" s="659" customFormat="1" ht="20.100000000000001" customHeight="1">
      <c r="A548" s="657" t="s">
        <v>7317</v>
      </c>
      <c r="B548" s="649" t="s">
        <v>813</v>
      </c>
      <c r="C548" s="621"/>
      <c r="D548" s="621"/>
      <c r="E548" s="649" t="s">
        <v>7318</v>
      </c>
      <c r="F548" s="622" t="s">
        <v>7320</v>
      </c>
      <c r="G548" s="622" t="s">
        <v>2785</v>
      </c>
      <c r="H548" s="649" t="s">
        <v>299</v>
      </c>
      <c r="I548" s="652" t="s">
        <v>11</v>
      </c>
      <c r="J548" s="622" t="s">
        <v>7319</v>
      </c>
      <c r="K548" s="680">
        <v>10500</v>
      </c>
      <c r="L548" s="680"/>
      <c r="M548" s="681">
        <v>6000</v>
      </c>
      <c r="N548" s="681"/>
      <c r="O548" s="681">
        <v>3390</v>
      </c>
      <c r="P548" s="680">
        <v>0</v>
      </c>
      <c r="Q548" s="682">
        <v>3390</v>
      </c>
      <c r="R548" s="681">
        <v>2610</v>
      </c>
      <c r="S548" s="658"/>
    </row>
    <row r="549" spans="1:19" s="659" customFormat="1" ht="20.100000000000001" customHeight="1">
      <c r="A549" s="657" t="s">
        <v>8287</v>
      </c>
      <c r="B549" s="649" t="s">
        <v>555</v>
      </c>
      <c r="C549" s="621"/>
      <c r="D549" s="621"/>
      <c r="E549" s="649" t="s">
        <v>8288</v>
      </c>
      <c r="F549" s="622" t="s">
        <v>8289</v>
      </c>
      <c r="G549" s="622" t="s">
        <v>8290</v>
      </c>
      <c r="H549" s="649" t="s">
        <v>232</v>
      </c>
      <c r="I549" s="652" t="s">
        <v>11</v>
      </c>
      <c r="J549" s="622" t="s">
        <v>5690</v>
      </c>
      <c r="K549" s="680">
        <v>3300</v>
      </c>
      <c r="L549" s="680"/>
      <c r="M549" s="681">
        <v>11000</v>
      </c>
      <c r="N549" s="681"/>
      <c r="O549" s="681">
        <v>607</v>
      </c>
      <c r="P549" s="680">
        <v>0</v>
      </c>
      <c r="Q549" s="682">
        <v>607</v>
      </c>
      <c r="R549" s="681">
        <v>10393</v>
      </c>
      <c r="S549" s="658"/>
    </row>
    <row r="550" spans="1:19" s="659" customFormat="1" ht="20.100000000000001" customHeight="1">
      <c r="A550" s="657" t="s">
        <v>8287</v>
      </c>
      <c r="B550" s="649" t="s">
        <v>555</v>
      </c>
      <c r="C550" s="621"/>
      <c r="D550" s="621"/>
      <c r="E550" s="649" t="s">
        <v>8288</v>
      </c>
      <c r="F550" s="622" t="s">
        <v>8289</v>
      </c>
      <c r="G550" s="622" t="s">
        <v>8290</v>
      </c>
      <c r="H550" s="649" t="s">
        <v>232</v>
      </c>
      <c r="I550" s="652" t="s">
        <v>11</v>
      </c>
      <c r="J550" s="622" t="s">
        <v>5690</v>
      </c>
      <c r="K550" s="680">
        <v>3300</v>
      </c>
      <c r="L550" s="680"/>
      <c r="M550" s="681">
        <v>6990</v>
      </c>
      <c r="N550" s="681"/>
      <c r="O550" s="681">
        <v>6990</v>
      </c>
      <c r="P550" s="680">
        <v>990</v>
      </c>
      <c r="Q550" s="682">
        <v>6000</v>
      </c>
      <c r="R550" s="681">
        <v>0</v>
      </c>
      <c r="S550" s="658"/>
    </row>
    <row r="551" spans="1:19" s="659" customFormat="1" ht="20.100000000000001" customHeight="1">
      <c r="A551" s="657" t="s">
        <v>4120</v>
      </c>
      <c r="B551" s="649" t="s">
        <v>1668</v>
      </c>
      <c r="C551" s="621"/>
      <c r="D551" s="621"/>
      <c r="E551" s="649" t="s">
        <v>4121</v>
      </c>
      <c r="F551" s="622" t="s">
        <v>6019</v>
      </c>
      <c r="G551" s="622" t="s">
        <v>6020</v>
      </c>
      <c r="H551" s="649" t="s">
        <v>869</v>
      </c>
      <c r="I551" s="652" t="s">
        <v>11</v>
      </c>
      <c r="J551" s="622" t="s">
        <v>6018</v>
      </c>
      <c r="K551" s="680">
        <v>4620</v>
      </c>
      <c r="L551" s="680"/>
      <c r="M551" s="681">
        <v>10000</v>
      </c>
      <c r="N551" s="681"/>
      <c r="O551" s="681">
        <v>568</v>
      </c>
      <c r="P551" s="680">
        <v>0</v>
      </c>
      <c r="Q551" s="682">
        <v>568</v>
      </c>
      <c r="R551" s="681">
        <v>9432</v>
      </c>
      <c r="S551" s="658"/>
    </row>
    <row r="552" spans="1:19" s="659" customFormat="1" ht="20.100000000000001" customHeight="1">
      <c r="A552" s="657" t="s">
        <v>4122</v>
      </c>
      <c r="B552" s="649" t="s">
        <v>855</v>
      </c>
      <c r="C552" s="621"/>
      <c r="D552" s="621"/>
      <c r="E552" s="649" t="s">
        <v>1374</v>
      </c>
      <c r="F552" s="622" t="s">
        <v>7800</v>
      </c>
      <c r="G552" s="622" t="s">
        <v>7001</v>
      </c>
      <c r="H552" s="649" t="s">
        <v>641</v>
      </c>
      <c r="I552" s="652" t="s">
        <v>11</v>
      </c>
      <c r="J552" s="622" t="s">
        <v>6767</v>
      </c>
      <c r="K552" s="680">
        <v>309</v>
      </c>
      <c r="L552" s="680">
        <v>6920</v>
      </c>
      <c r="M552" s="681">
        <v>12</v>
      </c>
      <c r="N552" s="681"/>
      <c r="O552" s="681">
        <v>5644</v>
      </c>
      <c r="P552" s="680">
        <v>644</v>
      </c>
      <c r="Q552" s="682">
        <v>5000</v>
      </c>
      <c r="R552" s="681">
        <v>1288</v>
      </c>
      <c r="S552" s="658"/>
    </row>
    <row r="553" spans="1:19" s="659" customFormat="1" ht="20.100000000000001" customHeight="1">
      <c r="A553" s="657" t="s">
        <v>4122</v>
      </c>
      <c r="B553" s="649" t="s">
        <v>855</v>
      </c>
      <c r="C553" s="621"/>
      <c r="D553" s="621"/>
      <c r="E553" s="649" t="s">
        <v>1374</v>
      </c>
      <c r="F553" s="622" t="s">
        <v>7800</v>
      </c>
      <c r="G553" s="622" t="s">
        <v>7001</v>
      </c>
      <c r="H553" s="649" t="s">
        <v>641</v>
      </c>
      <c r="I553" s="652" t="s">
        <v>11</v>
      </c>
      <c r="J553" s="622" t="s">
        <v>6767</v>
      </c>
      <c r="K553" s="680">
        <v>309</v>
      </c>
      <c r="L553" s="680"/>
      <c r="M553" s="681">
        <v>8000</v>
      </c>
      <c r="N553" s="681"/>
      <c r="O553" s="681">
        <v>8000</v>
      </c>
      <c r="P553" s="680">
        <v>8000</v>
      </c>
      <c r="Q553" s="682">
        <v>0</v>
      </c>
      <c r="R553" s="681">
        <v>0</v>
      </c>
      <c r="S553" s="658"/>
    </row>
    <row r="554" spans="1:19" s="659" customFormat="1" ht="20.100000000000001" customHeight="1">
      <c r="A554" s="657" t="s">
        <v>4122</v>
      </c>
      <c r="B554" s="649" t="s">
        <v>855</v>
      </c>
      <c r="C554" s="621"/>
      <c r="D554" s="621"/>
      <c r="E554" s="649" t="s">
        <v>1374</v>
      </c>
      <c r="F554" s="622" t="s">
        <v>7800</v>
      </c>
      <c r="G554" s="622" t="s">
        <v>7001</v>
      </c>
      <c r="H554" s="649" t="s">
        <v>641</v>
      </c>
      <c r="I554" s="652" t="s">
        <v>11</v>
      </c>
      <c r="J554" s="622" t="s">
        <v>6767</v>
      </c>
      <c r="K554" s="680">
        <v>309</v>
      </c>
      <c r="L554" s="680"/>
      <c r="M554" s="681">
        <v>20041</v>
      </c>
      <c r="N554" s="681"/>
      <c r="O554" s="681">
        <v>17774</v>
      </c>
      <c r="P554" s="680">
        <v>6906</v>
      </c>
      <c r="Q554" s="682">
        <v>10868</v>
      </c>
      <c r="R554" s="681">
        <v>2267</v>
      </c>
      <c r="S554" s="658"/>
    </row>
    <row r="555" spans="1:19" s="659" customFormat="1" ht="20.100000000000001" customHeight="1">
      <c r="A555" s="657" t="s">
        <v>4122</v>
      </c>
      <c r="B555" s="649" t="s">
        <v>855</v>
      </c>
      <c r="C555" s="621"/>
      <c r="D555" s="621"/>
      <c r="E555" s="649" t="s">
        <v>1374</v>
      </c>
      <c r="F555" s="622" t="s">
        <v>7800</v>
      </c>
      <c r="G555" s="622" t="s">
        <v>7001</v>
      </c>
      <c r="H555" s="649" t="s">
        <v>641</v>
      </c>
      <c r="I555" s="652" t="s">
        <v>11</v>
      </c>
      <c r="J555" s="622" t="s">
        <v>6767</v>
      </c>
      <c r="K555" s="680">
        <v>309</v>
      </c>
      <c r="L555" s="680"/>
      <c r="M555" s="681">
        <v>13000</v>
      </c>
      <c r="N555" s="681"/>
      <c r="O555" s="681">
        <v>13000</v>
      </c>
      <c r="P555" s="680">
        <v>8000</v>
      </c>
      <c r="Q555" s="682">
        <v>5000</v>
      </c>
      <c r="R555" s="681">
        <v>0</v>
      </c>
      <c r="S555" s="658"/>
    </row>
    <row r="556" spans="1:19" s="659" customFormat="1" ht="20.100000000000001" customHeight="1">
      <c r="A556" s="657" t="s">
        <v>4122</v>
      </c>
      <c r="B556" s="649" t="s">
        <v>855</v>
      </c>
      <c r="C556" s="621"/>
      <c r="D556" s="621"/>
      <c r="E556" s="649" t="s">
        <v>1374</v>
      </c>
      <c r="F556" s="622" t="s">
        <v>7800</v>
      </c>
      <c r="G556" s="622" t="s">
        <v>7001</v>
      </c>
      <c r="H556" s="649" t="s">
        <v>641</v>
      </c>
      <c r="I556" s="652" t="s">
        <v>11</v>
      </c>
      <c r="J556" s="622" t="s">
        <v>6767</v>
      </c>
      <c r="K556" s="680">
        <v>309</v>
      </c>
      <c r="L556" s="680">
        <v>423</v>
      </c>
      <c r="M556" s="681">
        <v>3</v>
      </c>
      <c r="N556" s="681"/>
      <c r="O556" s="681">
        <v>426</v>
      </c>
      <c r="P556" s="680">
        <v>426</v>
      </c>
      <c r="Q556" s="682">
        <v>0</v>
      </c>
      <c r="R556" s="681">
        <v>0</v>
      </c>
      <c r="S556" s="658"/>
    </row>
    <row r="557" spans="1:19" s="659" customFormat="1" ht="20.100000000000001" customHeight="1">
      <c r="A557" s="657" t="s">
        <v>4861</v>
      </c>
      <c r="B557" s="649" t="s">
        <v>392</v>
      </c>
      <c r="C557" s="621"/>
      <c r="D557" s="621"/>
      <c r="E557" s="649" t="s">
        <v>393</v>
      </c>
      <c r="F557" s="622" t="s">
        <v>394</v>
      </c>
      <c r="G557" s="622" t="s">
        <v>360</v>
      </c>
      <c r="H557" s="649" t="s">
        <v>235</v>
      </c>
      <c r="I557" s="652" t="s">
        <v>10</v>
      </c>
      <c r="J557" s="622" t="s">
        <v>5362</v>
      </c>
      <c r="K557" s="680">
        <v>131</v>
      </c>
      <c r="L557" s="680">
        <v>1</v>
      </c>
      <c r="M557" s="681">
        <v>0</v>
      </c>
      <c r="N557" s="681"/>
      <c r="O557" s="681">
        <v>1</v>
      </c>
      <c r="P557" s="680">
        <v>1</v>
      </c>
      <c r="Q557" s="682">
        <v>0</v>
      </c>
      <c r="R557" s="681">
        <v>0</v>
      </c>
      <c r="S557" s="658"/>
    </row>
    <row r="558" spans="1:19" s="659" customFormat="1" ht="20.100000000000001" customHeight="1">
      <c r="A558" s="657" t="s">
        <v>4861</v>
      </c>
      <c r="B558" s="649" t="s">
        <v>392</v>
      </c>
      <c r="C558" s="621"/>
      <c r="D558" s="621"/>
      <c r="E558" s="649" t="s">
        <v>393</v>
      </c>
      <c r="F558" s="622" t="s">
        <v>394</v>
      </c>
      <c r="G558" s="622" t="s">
        <v>360</v>
      </c>
      <c r="H558" s="649" t="s">
        <v>235</v>
      </c>
      <c r="I558" s="652" t="s">
        <v>10</v>
      </c>
      <c r="J558" s="622" t="s">
        <v>5362</v>
      </c>
      <c r="K558" s="680">
        <v>131</v>
      </c>
      <c r="L558" s="680">
        <v>5000</v>
      </c>
      <c r="M558" s="681">
        <v>0</v>
      </c>
      <c r="N558" s="681"/>
      <c r="O558" s="681">
        <v>5000</v>
      </c>
      <c r="P558" s="680">
        <v>2900</v>
      </c>
      <c r="Q558" s="682">
        <v>2100</v>
      </c>
      <c r="R558" s="681">
        <v>0</v>
      </c>
      <c r="S558" s="658"/>
    </row>
    <row r="559" spans="1:19" s="659" customFormat="1" ht="20.100000000000001" customHeight="1">
      <c r="A559" s="657" t="s">
        <v>4861</v>
      </c>
      <c r="B559" s="649" t="s">
        <v>392</v>
      </c>
      <c r="C559" s="621"/>
      <c r="D559" s="621"/>
      <c r="E559" s="649" t="s">
        <v>393</v>
      </c>
      <c r="F559" s="622" t="s">
        <v>394</v>
      </c>
      <c r="G559" s="622" t="s">
        <v>360</v>
      </c>
      <c r="H559" s="649" t="s">
        <v>235</v>
      </c>
      <c r="I559" s="652" t="s">
        <v>10</v>
      </c>
      <c r="J559" s="622" t="s">
        <v>5362</v>
      </c>
      <c r="K559" s="680">
        <v>131</v>
      </c>
      <c r="L559" s="680">
        <v>3900</v>
      </c>
      <c r="M559" s="681">
        <v>25</v>
      </c>
      <c r="N559" s="681"/>
      <c r="O559" s="681">
        <v>3876</v>
      </c>
      <c r="P559" s="680">
        <v>976</v>
      </c>
      <c r="Q559" s="682">
        <v>2900</v>
      </c>
      <c r="R559" s="681">
        <v>49</v>
      </c>
      <c r="S559" s="658"/>
    </row>
    <row r="560" spans="1:19" s="659" customFormat="1" ht="20.100000000000001" customHeight="1">
      <c r="A560" s="657" t="s">
        <v>4861</v>
      </c>
      <c r="B560" s="649" t="s">
        <v>392</v>
      </c>
      <c r="C560" s="621"/>
      <c r="D560" s="621"/>
      <c r="E560" s="649" t="s">
        <v>393</v>
      </c>
      <c r="F560" s="622" t="s">
        <v>394</v>
      </c>
      <c r="G560" s="622" t="s">
        <v>360</v>
      </c>
      <c r="H560" s="649" t="s">
        <v>235</v>
      </c>
      <c r="I560" s="652" t="s">
        <v>10</v>
      </c>
      <c r="J560" s="622" t="s">
        <v>5362</v>
      </c>
      <c r="K560" s="680">
        <v>131</v>
      </c>
      <c r="L560" s="680">
        <v>50000</v>
      </c>
      <c r="M560" s="681">
        <v>234</v>
      </c>
      <c r="N560" s="681"/>
      <c r="O560" s="681">
        <v>34066</v>
      </c>
      <c r="P560" s="680">
        <v>14819</v>
      </c>
      <c r="Q560" s="682">
        <v>19247</v>
      </c>
      <c r="R560" s="681">
        <v>16168</v>
      </c>
      <c r="S560" s="658"/>
    </row>
    <row r="561" spans="1:19" s="659" customFormat="1" ht="20.100000000000001" customHeight="1">
      <c r="A561" s="657" t="s">
        <v>4864</v>
      </c>
      <c r="B561" s="649" t="s">
        <v>353</v>
      </c>
      <c r="C561" s="621"/>
      <c r="D561" s="621"/>
      <c r="E561" s="649" t="s">
        <v>383</v>
      </c>
      <c r="F561" s="622" t="s">
        <v>385</v>
      </c>
      <c r="G561" s="622" t="s">
        <v>360</v>
      </c>
      <c r="H561" s="649" t="s">
        <v>384</v>
      </c>
      <c r="I561" s="652" t="s">
        <v>10</v>
      </c>
      <c r="J561" s="622" t="s">
        <v>5103</v>
      </c>
      <c r="K561" s="680">
        <v>120</v>
      </c>
      <c r="L561" s="680">
        <v>13000</v>
      </c>
      <c r="M561" s="681">
        <v>0</v>
      </c>
      <c r="N561" s="681"/>
      <c r="O561" s="681">
        <v>527</v>
      </c>
      <c r="P561" s="680">
        <v>500</v>
      </c>
      <c r="Q561" s="682">
        <v>27</v>
      </c>
      <c r="R561" s="681">
        <v>12473</v>
      </c>
      <c r="S561" s="658"/>
    </row>
    <row r="562" spans="1:19" s="659" customFormat="1" ht="20.100000000000001" customHeight="1">
      <c r="A562" s="657" t="s">
        <v>4512</v>
      </c>
      <c r="B562" s="649" t="s">
        <v>1390</v>
      </c>
      <c r="C562" s="621"/>
      <c r="D562" s="621"/>
      <c r="E562" s="649" t="s">
        <v>1394</v>
      </c>
      <c r="F562" s="622" t="s">
        <v>1396</v>
      </c>
      <c r="G562" s="622" t="s">
        <v>7001</v>
      </c>
      <c r="H562" s="649" t="s">
        <v>1395</v>
      </c>
      <c r="I562" s="652" t="s">
        <v>11</v>
      </c>
      <c r="J562" s="622" t="s">
        <v>6767</v>
      </c>
      <c r="K562" s="680">
        <v>1740</v>
      </c>
      <c r="L562" s="680">
        <v>1</v>
      </c>
      <c r="M562" s="681">
        <v>0</v>
      </c>
      <c r="N562" s="681"/>
      <c r="O562" s="681">
        <v>1</v>
      </c>
      <c r="P562" s="680">
        <v>0</v>
      </c>
      <c r="Q562" s="682">
        <v>1</v>
      </c>
      <c r="R562" s="681">
        <v>0</v>
      </c>
      <c r="S562" s="658"/>
    </row>
    <row r="563" spans="1:19" s="659" customFormat="1" ht="20.100000000000001" customHeight="1">
      <c r="A563" s="657" t="s">
        <v>4512</v>
      </c>
      <c r="B563" s="649" t="s">
        <v>1390</v>
      </c>
      <c r="C563" s="621"/>
      <c r="D563" s="621"/>
      <c r="E563" s="649" t="s">
        <v>1394</v>
      </c>
      <c r="F563" s="622" t="s">
        <v>1396</v>
      </c>
      <c r="G563" s="622" t="s">
        <v>7001</v>
      </c>
      <c r="H563" s="649" t="s">
        <v>2916</v>
      </c>
      <c r="I563" s="652" t="s">
        <v>11</v>
      </c>
      <c r="J563" s="622" t="s">
        <v>6767</v>
      </c>
      <c r="K563" s="680">
        <v>1690</v>
      </c>
      <c r="L563" s="680">
        <v>3000</v>
      </c>
      <c r="M563" s="681">
        <v>0</v>
      </c>
      <c r="N563" s="681"/>
      <c r="O563" s="681">
        <v>3000</v>
      </c>
      <c r="P563" s="680">
        <v>3000</v>
      </c>
      <c r="Q563" s="682">
        <v>0</v>
      </c>
      <c r="R563" s="681">
        <v>0</v>
      </c>
      <c r="S563" s="658"/>
    </row>
    <row r="564" spans="1:19" s="659" customFormat="1" ht="20.100000000000001" customHeight="1">
      <c r="A564" s="657" t="s">
        <v>4512</v>
      </c>
      <c r="B564" s="649" t="s">
        <v>1390</v>
      </c>
      <c r="C564" s="621"/>
      <c r="D564" s="621"/>
      <c r="E564" s="649" t="s">
        <v>1394</v>
      </c>
      <c r="F564" s="622" t="s">
        <v>1396</v>
      </c>
      <c r="G564" s="622" t="s">
        <v>7001</v>
      </c>
      <c r="H564" s="649" t="s">
        <v>2916</v>
      </c>
      <c r="I564" s="652" t="s">
        <v>11</v>
      </c>
      <c r="J564" s="622" t="s">
        <v>6767</v>
      </c>
      <c r="K564" s="680">
        <v>1690</v>
      </c>
      <c r="L564" s="680"/>
      <c r="M564" s="681">
        <v>5100</v>
      </c>
      <c r="N564" s="681"/>
      <c r="O564" s="681">
        <v>1000</v>
      </c>
      <c r="P564" s="680">
        <v>1000</v>
      </c>
      <c r="Q564" s="682">
        <v>0</v>
      </c>
      <c r="R564" s="681">
        <v>4100</v>
      </c>
      <c r="S564" s="658"/>
    </row>
    <row r="565" spans="1:19" s="659" customFormat="1" ht="20.100000000000001" customHeight="1">
      <c r="A565" s="657" t="s">
        <v>4512</v>
      </c>
      <c r="B565" s="649" t="s">
        <v>1390</v>
      </c>
      <c r="C565" s="621"/>
      <c r="D565" s="621"/>
      <c r="E565" s="649" t="s">
        <v>1394</v>
      </c>
      <c r="F565" s="622" t="s">
        <v>1396</v>
      </c>
      <c r="G565" s="622" t="s">
        <v>7001</v>
      </c>
      <c r="H565" s="649" t="s">
        <v>2916</v>
      </c>
      <c r="I565" s="652" t="s">
        <v>11</v>
      </c>
      <c r="J565" s="622" t="s">
        <v>6767</v>
      </c>
      <c r="K565" s="680">
        <v>1690</v>
      </c>
      <c r="L565" s="680">
        <v>500</v>
      </c>
      <c r="M565" s="681">
        <v>0</v>
      </c>
      <c r="N565" s="681"/>
      <c r="O565" s="681">
        <v>500</v>
      </c>
      <c r="P565" s="680">
        <v>500</v>
      </c>
      <c r="Q565" s="682">
        <v>0</v>
      </c>
      <c r="R565" s="681">
        <v>0</v>
      </c>
      <c r="S565" s="658"/>
    </row>
    <row r="566" spans="1:19" s="659" customFormat="1" ht="20.100000000000001" customHeight="1">
      <c r="A566" s="657" t="s">
        <v>4512</v>
      </c>
      <c r="B566" s="649" t="s">
        <v>1390</v>
      </c>
      <c r="C566" s="621"/>
      <c r="D566" s="621"/>
      <c r="E566" s="649" t="s">
        <v>1394</v>
      </c>
      <c r="F566" s="622" t="s">
        <v>1396</v>
      </c>
      <c r="G566" s="622" t="s">
        <v>7001</v>
      </c>
      <c r="H566" s="649" t="s">
        <v>2916</v>
      </c>
      <c r="I566" s="652" t="s">
        <v>11</v>
      </c>
      <c r="J566" s="622" t="s">
        <v>6767</v>
      </c>
      <c r="K566" s="680">
        <v>1690</v>
      </c>
      <c r="L566" s="680">
        <v>500</v>
      </c>
      <c r="M566" s="681">
        <v>0</v>
      </c>
      <c r="N566" s="681"/>
      <c r="O566" s="681">
        <v>500</v>
      </c>
      <c r="P566" s="680">
        <v>500</v>
      </c>
      <c r="Q566" s="682">
        <v>0</v>
      </c>
      <c r="R566" s="681">
        <v>0</v>
      </c>
      <c r="S566" s="658"/>
    </row>
    <row r="567" spans="1:19" s="659" customFormat="1" ht="20.100000000000001" customHeight="1">
      <c r="A567" s="657" t="s">
        <v>4512</v>
      </c>
      <c r="B567" s="649" t="s">
        <v>1390</v>
      </c>
      <c r="C567" s="621"/>
      <c r="D567" s="621"/>
      <c r="E567" s="649" t="s">
        <v>1394</v>
      </c>
      <c r="F567" s="622" t="s">
        <v>1396</v>
      </c>
      <c r="G567" s="622" t="s">
        <v>7001</v>
      </c>
      <c r="H567" s="649" t="s">
        <v>2916</v>
      </c>
      <c r="I567" s="652" t="s">
        <v>11</v>
      </c>
      <c r="J567" s="622" t="s">
        <v>6767</v>
      </c>
      <c r="K567" s="680">
        <v>1690</v>
      </c>
      <c r="L567" s="680"/>
      <c r="M567" s="681">
        <v>7300</v>
      </c>
      <c r="N567" s="681"/>
      <c r="O567" s="681">
        <v>4970</v>
      </c>
      <c r="P567" s="680">
        <v>4300</v>
      </c>
      <c r="Q567" s="682">
        <v>670</v>
      </c>
      <c r="R567" s="681">
        <v>2330</v>
      </c>
      <c r="S567" s="658"/>
    </row>
    <row r="568" spans="1:19" s="659" customFormat="1" ht="20.100000000000001" customHeight="1">
      <c r="A568" s="657" t="s">
        <v>4124</v>
      </c>
      <c r="B568" s="649" t="s">
        <v>1356</v>
      </c>
      <c r="C568" s="621"/>
      <c r="D568" s="621"/>
      <c r="E568" s="649" t="s">
        <v>1357</v>
      </c>
      <c r="F568" s="622" t="s">
        <v>7972</v>
      </c>
      <c r="G568" s="622" t="s">
        <v>7001</v>
      </c>
      <c r="H568" s="649" t="s">
        <v>238</v>
      </c>
      <c r="I568" s="652" t="s">
        <v>11</v>
      </c>
      <c r="J568" s="622" t="s">
        <v>7971</v>
      </c>
      <c r="K568" s="680">
        <v>98</v>
      </c>
      <c r="L568" s="680">
        <v>200</v>
      </c>
      <c r="M568" s="681">
        <v>0</v>
      </c>
      <c r="N568" s="681"/>
      <c r="O568" s="681">
        <v>40</v>
      </c>
      <c r="P568" s="680">
        <v>0</v>
      </c>
      <c r="Q568" s="682">
        <v>40</v>
      </c>
      <c r="R568" s="681">
        <v>160</v>
      </c>
      <c r="S568" s="658"/>
    </row>
    <row r="569" spans="1:19" s="659" customFormat="1" ht="20.100000000000001" customHeight="1">
      <c r="A569" s="657" t="s">
        <v>4124</v>
      </c>
      <c r="B569" s="649" t="s">
        <v>1356</v>
      </c>
      <c r="C569" s="621"/>
      <c r="D569" s="621"/>
      <c r="E569" s="649" t="s">
        <v>1357</v>
      </c>
      <c r="F569" s="622" t="s">
        <v>7972</v>
      </c>
      <c r="G569" s="622" t="s">
        <v>7001</v>
      </c>
      <c r="H569" s="649" t="s">
        <v>238</v>
      </c>
      <c r="I569" s="652" t="s">
        <v>11</v>
      </c>
      <c r="J569" s="622" t="s">
        <v>7971</v>
      </c>
      <c r="K569" s="680">
        <v>98</v>
      </c>
      <c r="L569" s="680">
        <v>800</v>
      </c>
      <c r="M569" s="681">
        <v>0</v>
      </c>
      <c r="N569" s="681"/>
      <c r="O569" s="681">
        <v>220</v>
      </c>
      <c r="P569" s="680">
        <v>200</v>
      </c>
      <c r="Q569" s="682">
        <v>20</v>
      </c>
      <c r="R569" s="681">
        <v>580</v>
      </c>
      <c r="S569" s="658"/>
    </row>
    <row r="570" spans="1:19" s="659" customFormat="1" ht="20.100000000000001" customHeight="1">
      <c r="A570" s="657" t="s">
        <v>4124</v>
      </c>
      <c r="B570" s="649" t="s">
        <v>1356</v>
      </c>
      <c r="C570" s="621"/>
      <c r="D570" s="621"/>
      <c r="E570" s="649" t="s">
        <v>1357</v>
      </c>
      <c r="F570" s="622" t="s">
        <v>7972</v>
      </c>
      <c r="G570" s="622" t="s">
        <v>7001</v>
      </c>
      <c r="H570" s="649" t="s">
        <v>238</v>
      </c>
      <c r="I570" s="652" t="s">
        <v>11</v>
      </c>
      <c r="J570" s="622" t="s">
        <v>7971</v>
      </c>
      <c r="K570" s="680">
        <v>98</v>
      </c>
      <c r="L570" s="680">
        <v>40</v>
      </c>
      <c r="M570" s="681">
        <v>0</v>
      </c>
      <c r="N570" s="681"/>
      <c r="O570" s="681">
        <v>40</v>
      </c>
      <c r="P570" s="680">
        <v>0</v>
      </c>
      <c r="Q570" s="682">
        <v>40</v>
      </c>
      <c r="R570" s="681">
        <v>0</v>
      </c>
      <c r="S570" s="658"/>
    </row>
    <row r="571" spans="1:19" s="659" customFormat="1" ht="20.100000000000001" customHeight="1">
      <c r="A571" s="657" t="s">
        <v>4124</v>
      </c>
      <c r="B571" s="649" t="s">
        <v>1356</v>
      </c>
      <c r="C571" s="621"/>
      <c r="D571" s="621"/>
      <c r="E571" s="649" t="s">
        <v>1357</v>
      </c>
      <c r="F571" s="622" t="s">
        <v>7972</v>
      </c>
      <c r="G571" s="622" t="s">
        <v>7001</v>
      </c>
      <c r="H571" s="649" t="s">
        <v>238</v>
      </c>
      <c r="I571" s="652" t="s">
        <v>11</v>
      </c>
      <c r="J571" s="622" t="s">
        <v>7971</v>
      </c>
      <c r="K571" s="680">
        <v>98</v>
      </c>
      <c r="L571" s="680"/>
      <c r="M571" s="681">
        <v>400</v>
      </c>
      <c r="N571" s="681"/>
      <c r="O571" s="681">
        <v>400</v>
      </c>
      <c r="P571" s="680">
        <v>0</v>
      </c>
      <c r="Q571" s="682">
        <v>400</v>
      </c>
      <c r="R571" s="681">
        <v>0</v>
      </c>
      <c r="S571" s="658"/>
    </row>
    <row r="572" spans="1:19" s="659" customFormat="1" ht="20.100000000000001" customHeight="1">
      <c r="A572" s="657" t="s">
        <v>4128</v>
      </c>
      <c r="B572" s="649" t="s">
        <v>1311</v>
      </c>
      <c r="C572" s="621"/>
      <c r="D572" s="621"/>
      <c r="E572" s="649" t="s">
        <v>1312</v>
      </c>
      <c r="F572" s="622" t="s">
        <v>7926</v>
      </c>
      <c r="G572" s="622" t="s">
        <v>7001</v>
      </c>
      <c r="H572" s="649" t="s">
        <v>1313</v>
      </c>
      <c r="I572" s="652" t="s">
        <v>11</v>
      </c>
      <c r="J572" s="622" t="s">
        <v>7925</v>
      </c>
      <c r="K572" s="680">
        <v>118</v>
      </c>
      <c r="L572" s="680"/>
      <c r="M572" s="681">
        <v>7800</v>
      </c>
      <c r="N572" s="681"/>
      <c r="O572" s="681">
        <v>7800</v>
      </c>
      <c r="P572" s="680">
        <v>7800</v>
      </c>
      <c r="Q572" s="682">
        <v>0</v>
      </c>
      <c r="R572" s="681">
        <v>0</v>
      </c>
      <c r="S572" s="658"/>
    </row>
    <row r="573" spans="1:19" s="659" customFormat="1" ht="20.100000000000001" customHeight="1">
      <c r="A573" s="657" t="s">
        <v>4128</v>
      </c>
      <c r="B573" s="649" t="s">
        <v>1311</v>
      </c>
      <c r="C573" s="621"/>
      <c r="D573" s="621"/>
      <c r="E573" s="649" t="s">
        <v>1312</v>
      </c>
      <c r="F573" s="622" t="s">
        <v>7926</v>
      </c>
      <c r="G573" s="622" t="s">
        <v>7001</v>
      </c>
      <c r="H573" s="649" t="s">
        <v>1313</v>
      </c>
      <c r="I573" s="652" t="s">
        <v>11</v>
      </c>
      <c r="J573" s="622" t="s">
        <v>7925</v>
      </c>
      <c r="K573" s="680">
        <v>118</v>
      </c>
      <c r="L573" s="680"/>
      <c r="M573" s="681">
        <v>11250</v>
      </c>
      <c r="N573" s="681"/>
      <c r="O573" s="681">
        <v>11250</v>
      </c>
      <c r="P573" s="680">
        <v>11250</v>
      </c>
      <c r="Q573" s="682">
        <v>0</v>
      </c>
      <c r="R573" s="681">
        <v>0</v>
      </c>
      <c r="S573" s="658"/>
    </row>
    <row r="574" spans="1:19" s="659" customFormat="1" ht="20.100000000000001" customHeight="1">
      <c r="A574" s="657" t="s">
        <v>7633</v>
      </c>
      <c r="B574" s="649" t="s">
        <v>347</v>
      </c>
      <c r="C574" s="621"/>
      <c r="D574" s="621"/>
      <c r="E574" s="649" t="s">
        <v>858</v>
      </c>
      <c r="F574" s="622" t="s">
        <v>860</v>
      </c>
      <c r="G574" s="622" t="s">
        <v>7635</v>
      </c>
      <c r="H574" s="649" t="s">
        <v>238</v>
      </c>
      <c r="I574" s="652" t="s">
        <v>11</v>
      </c>
      <c r="J574" s="622" t="s">
        <v>7634</v>
      </c>
      <c r="K574" s="680">
        <v>335</v>
      </c>
      <c r="L574" s="680"/>
      <c r="M574" s="681">
        <v>9000</v>
      </c>
      <c r="N574" s="681"/>
      <c r="O574" s="681">
        <v>9000</v>
      </c>
      <c r="P574" s="680">
        <v>9000</v>
      </c>
      <c r="Q574" s="682">
        <v>0</v>
      </c>
      <c r="R574" s="681">
        <v>0</v>
      </c>
      <c r="S574" s="658"/>
    </row>
    <row r="575" spans="1:19" s="659" customFormat="1" ht="20.100000000000001" customHeight="1">
      <c r="A575" s="657" t="s">
        <v>7633</v>
      </c>
      <c r="B575" s="649" t="s">
        <v>347</v>
      </c>
      <c r="C575" s="621"/>
      <c r="D575" s="621"/>
      <c r="E575" s="649" t="s">
        <v>858</v>
      </c>
      <c r="F575" s="622" t="s">
        <v>860</v>
      </c>
      <c r="G575" s="622" t="s">
        <v>7635</v>
      </c>
      <c r="H575" s="649" t="s">
        <v>238</v>
      </c>
      <c r="I575" s="652" t="s">
        <v>11</v>
      </c>
      <c r="J575" s="622" t="s">
        <v>7634</v>
      </c>
      <c r="K575" s="680">
        <v>335</v>
      </c>
      <c r="L575" s="680"/>
      <c r="M575" s="681">
        <v>5000</v>
      </c>
      <c r="N575" s="681"/>
      <c r="O575" s="681">
        <v>2884</v>
      </c>
      <c r="P575" s="680">
        <v>2000</v>
      </c>
      <c r="Q575" s="682">
        <v>884</v>
      </c>
      <c r="R575" s="681">
        <v>2116</v>
      </c>
      <c r="S575" s="658"/>
    </row>
    <row r="576" spans="1:19" s="659" customFormat="1" ht="20.100000000000001" customHeight="1">
      <c r="A576" s="657" t="s">
        <v>4866</v>
      </c>
      <c r="B576" s="649" t="s">
        <v>347</v>
      </c>
      <c r="C576" s="621"/>
      <c r="D576" s="621"/>
      <c r="E576" s="649" t="s">
        <v>361</v>
      </c>
      <c r="F576" s="622" t="s">
        <v>362</v>
      </c>
      <c r="G576" s="622" t="s">
        <v>360</v>
      </c>
      <c r="H576" s="649" t="s">
        <v>327</v>
      </c>
      <c r="I576" s="652" t="s">
        <v>10</v>
      </c>
      <c r="J576" s="622" t="s">
        <v>5103</v>
      </c>
      <c r="K576" s="680">
        <v>81</v>
      </c>
      <c r="L576" s="680">
        <v>120000</v>
      </c>
      <c r="M576" s="681">
        <v>444</v>
      </c>
      <c r="N576" s="681"/>
      <c r="O576" s="681">
        <v>106156</v>
      </c>
      <c r="P576" s="680">
        <v>45210</v>
      </c>
      <c r="Q576" s="682">
        <v>60946</v>
      </c>
      <c r="R576" s="681">
        <v>14288</v>
      </c>
      <c r="S576" s="658"/>
    </row>
    <row r="577" spans="1:19" s="659" customFormat="1" ht="20.100000000000001" customHeight="1">
      <c r="A577" s="657" t="s">
        <v>4866</v>
      </c>
      <c r="B577" s="649" t="s">
        <v>347</v>
      </c>
      <c r="C577" s="621"/>
      <c r="D577" s="621"/>
      <c r="E577" s="649" t="s">
        <v>361</v>
      </c>
      <c r="F577" s="622" t="s">
        <v>362</v>
      </c>
      <c r="G577" s="622" t="s">
        <v>360</v>
      </c>
      <c r="H577" s="649" t="s">
        <v>327</v>
      </c>
      <c r="I577" s="652" t="s">
        <v>10</v>
      </c>
      <c r="J577" s="622" t="s">
        <v>5103</v>
      </c>
      <c r="K577" s="680">
        <v>81</v>
      </c>
      <c r="L577" s="680">
        <v>30000</v>
      </c>
      <c r="M577" s="681">
        <v>0</v>
      </c>
      <c r="N577" s="681"/>
      <c r="O577" s="681">
        <v>30000</v>
      </c>
      <c r="P577" s="680">
        <v>4000</v>
      </c>
      <c r="Q577" s="682">
        <v>26000</v>
      </c>
      <c r="R577" s="681">
        <v>0</v>
      </c>
      <c r="S577" s="658"/>
    </row>
    <row r="578" spans="1:19" s="659" customFormat="1" ht="20.100000000000001" customHeight="1">
      <c r="A578" s="657" t="s">
        <v>4866</v>
      </c>
      <c r="B578" s="649" t="s">
        <v>347</v>
      </c>
      <c r="C578" s="621"/>
      <c r="D578" s="621"/>
      <c r="E578" s="649" t="s">
        <v>361</v>
      </c>
      <c r="F578" s="622" t="s">
        <v>362</v>
      </c>
      <c r="G578" s="622" t="s">
        <v>360</v>
      </c>
      <c r="H578" s="649" t="s">
        <v>327</v>
      </c>
      <c r="I578" s="652" t="s">
        <v>10</v>
      </c>
      <c r="J578" s="622" t="s">
        <v>5103</v>
      </c>
      <c r="K578" s="680">
        <v>81</v>
      </c>
      <c r="L578" s="680">
        <v>50000</v>
      </c>
      <c r="M578" s="681">
        <v>0</v>
      </c>
      <c r="N578" s="681"/>
      <c r="O578" s="681">
        <v>50000</v>
      </c>
      <c r="P578" s="680">
        <v>23000</v>
      </c>
      <c r="Q578" s="682">
        <v>27000</v>
      </c>
      <c r="R578" s="681">
        <v>0</v>
      </c>
      <c r="S578" s="658"/>
    </row>
    <row r="579" spans="1:19" s="659" customFormat="1" ht="20.100000000000001" customHeight="1">
      <c r="A579" s="657" t="s">
        <v>4516</v>
      </c>
      <c r="B579" s="649" t="s">
        <v>639</v>
      </c>
      <c r="C579" s="621"/>
      <c r="D579" s="621"/>
      <c r="E579" s="649" t="s">
        <v>673</v>
      </c>
      <c r="F579" s="622" t="s">
        <v>675</v>
      </c>
      <c r="G579" s="622" t="s">
        <v>676</v>
      </c>
      <c r="H579" s="649" t="s">
        <v>641</v>
      </c>
      <c r="I579" s="652" t="s">
        <v>10</v>
      </c>
      <c r="J579" s="622" t="s">
        <v>842</v>
      </c>
      <c r="K579" s="680">
        <v>12850</v>
      </c>
      <c r="L579" s="680">
        <v>628</v>
      </c>
      <c r="M579" s="681">
        <v>0</v>
      </c>
      <c r="N579" s="681"/>
      <c r="O579" s="681">
        <v>628</v>
      </c>
      <c r="P579" s="680">
        <v>38</v>
      </c>
      <c r="Q579" s="682">
        <v>590</v>
      </c>
      <c r="R579" s="681">
        <v>0</v>
      </c>
      <c r="S579" s="658"/>
    </row>
    <row r="580" spans="1:19" s="659" customFormat="1" ht="20.100000000000001" customHeight="1">
      <c r="A580" s="657" t="s">
        <v>4692</v>
      </c>
      <c r="B580" s="649" t="s">
        <v>133</v>
      </c>
      <c r="C580" s="621"/>
      <c r="D580" s="621"/>
      <c r="E580" s="649" t="s">
        <v>132</v>
      </c>
      <c r="F580" s="622" t="s">
        <v>2330</v>
      </c>
      <c r="G580" s="622" t="s">
        <v>8736</v>
      </c>
      <c r="H580" s="649" t="s">
        <v>134</v>
      </c>
      <c r="I580" s="652" t="s">
        <v>11</v>
      </c>
      <c r="J580" s="622" t="s">
        <v>8735</v>
      </c>
      <c r="K580" s="680">
        <v>1407</v>
      </c>
      <c r="L580" s="680">
        <v>5580</v>
      </c>
      <c r="M580" s="681">
        <v>0</v>
      </c>
      <c r="N580" s="681"/>
      <c r="O580" s="681">
        <v>5580</v>
      </c>
      <c r="P580" s="680">
        <v>0</v>
      </c>
      <c r="Q580" s="682">
        <v>5580</v>
      </c>
      <c r="R580" s="681">
        <v>0</v>
      </c>
      <c r="S580" s="658"/>
    </row>
    <row r="581" spans="1:19" s="659" customFormat="1" ht="20.100000000000001" customHeight="1">
      <c r="A581" s="657" t="s">
        <v>4692</v>
      </c>
      <c r="B581" s="649" t="s">
        <v>133</v>
      </c>
      <c r="C581" s="621"/>
      <c r="D581" s="621"/>
      <c r="E581" s="649" t="s">
        <v>132</v>
      </c>
      <c r="F581" s="622" t="s">
        <v>2330</v>
      </c>
      <c r="G581" s="622" t="s">
        <v>8736</v>
      </c>
      <c r="H581" s="649" t="s">
        <v>134</v>
      </c>
      <c r="I581" s="652" t="s">
        <v>11</v>
      </c>
      <c r="J581" s="622" t="s">
        <v>8735</v>
      </c>
      <c r="K581" s="680">
        <v>1407</v>
      </c>
      <c r="L581" s="680"/>
      <c r="M581" s="681">
        <v>18000</v>
      </c>
      <c r="N581" s="681"/>
      <c r="O581" s="681">
        <v>16627</v>
      </c>
      <c r="P581" s="680">
        <v>0</v>
      </c>
      <c r="Q581" s="682">
        <v>16627</v>
      </c>
      <c r="R581" s="681">
        <v>1373</v>
      </c>
      <c r="S581" s="658"/>
    </row>
    <row r="582" spans="1:19" s="659" customFormat="1" ht="20.100000000000001" customHeight="1">
      <c r="A582" s="657" t="s">
        <v>4692</v>
      </c>
      <c r="B582" s="649" t="s">
        <v>133</v>
      </c>
      <c r="C582" s="621"/>
      <c r="D582" s="621"/>
      <c r="E582" s="649" t="s">
        <v>132</v>
      </c>
      <c r="F582" s="622" t="s">
        <v>2330</v>
      </c>
      <c r="G582" s="622" t="s">
        <v>8736</v>
      </c>
      <c r="H582" s="649" t="s">
        <v>134</v>
      </c>
      <c r="I582" s="652" t="s">
        <v>11</v>
      </c>
      <c r="J582" s="622" t="s">
        <v>8735</v>
      </c>
      <c r="K582" s="680">
        <v>1407</v>
      </c>
      <c r="L582" s="680"/>
      <c r="M582" s="681">
        <v>30000</v>
      </c>
      <c r="N582" s="681"/>
      <c r="O582" s="681">
        <v>0</v>
      </c>
      <c r="P582" s="680">
        <v>0</v>
      </c>
      <c r="Q582" s="682">
        <v>0</v>
      </c>
      <c r="R582" s="681">
        <v>30000</v>
      </c>
      <c r="S582" s="658"/>
    </row>
    <row r="583" spans="1:19" s="659" customFormat="1" ht="20.100000000000001" customHeight="1">
      <c r="A583" s="657" t="s">
        <v>4518</v>
      </c>
      <c r="B583" s="649" t="s">
        <v>1140</v>
      </c>
      <c r="C583" s="621"/>
      <c r="D583" s="621"/>
      <c r="E583" s="649" t="s">
        <v>4519</v>
      </c>
      <c r="F583" s="622" t="s">
        <v>7456</v>
      </c>
      <c r="G583" s="622" t="s">
        <v>7413</v>
      </c>
      <c r="H583" s="649" t="s">
        <v>4520</v>
      </c>
      <c r="I583" s="652" t="s">
        <v>4240</v>
      </c>
      <c r="J583" s="622" t="s">
        <v>7455</v>
      </c>
      <c r="K583" s="680">
        <v>6500</v>
      </c>
      <c r="L583" s="680">
        <v>3</v>
      </c>
      <c r="M583" s="681">
        <v>0</v>
      </c>
      <c r="N583" s="681"/>
      <c r="O583" s="681">
        <v>3</v>
      </c>
      <c r="P583" s="680">
        <v>0</v>
      </c>
      <c r="Q583" s="682">
        <v>3</v>
      </c>
      <c r="R583" s="681">
        <v>0</v>
      </c>
      <c r="S583" s="658"/>
    </row>
    <row r="584" spans="1:19" s="659" customFormat="1" ht="20.100000000000001" customHeight="1">
      <c r="A584" s="657" t="s">
        <v>4518</v>
      </c>
      <c r="B584" s="649" t="s">
        <v>1140</v>
      </c>
      <c r="C584" s="621"/>
      <c r="D584" s="621"/>
      <c r="E584" s="649" t="s">
        <v>4519</v>
      </c>
      <c r="F584" s="622" t="s">
        <v>7456</v>
      </c>
      <c r="G584" s="622" t="s">
        <v>7413</v>
      </c>
      <c r="H584" s="649" t="s">
        <v>4520</v>
      </c>
      <c r="I584" s="652" t="s">
        <v>4240</v>
      </c>
      <c r="J584" s="622" t="s">
        <v>7455</v>
      </c>
      <c r="K584" s="680">
        <v>6500</v>
      </c>
      <c r="L584" s="680">
        <v>20</v>
      </c>
      <c r="M584" s="681">
        <v>0</v>
      </c>
      <c r="N584" s="681"/>
      <c r="O584" s="681">
        <v>20</v>
      </c>
      <c r="P584" s="680">
        <v>0</v>
      </c>
      <c r="Q584" s="682">
        <v>20</v>
      </c>
      <c r="R584" s="681">
        <v>0</v>
      </c>
      <c r="S584" s="658"/>
    </row>
    <row r="585" spans="1:19" s="659" customFormat="1" ht="20.100000000000001" customHeight="1">
      <c r="A585" s="657" t="s">
        <v>4518</v>
      </c>
      <c r="B585" s="649" t="s">
        <v>1140</v>
      </c>
      <c r="C585" s="621"/>
      <c r="D585" s="621"/>
      <c r="E585" s="649" t="s">
        <v>4519</v>
      </c>
      <c r="F585" s="622" t="s">
        <v>7456</v>
      </c>
      <c r="G585" s="622" t="s">
        <v>7413</v>
      </c>
      <c r="H585" s="649" t="s">
        <v>4520</v>
      </c>
      <c r="I585" s="652" t="s">
        <v>4240</v>
      </c>
      <c r="J585" s="622" t="s">
        <v>7455</v>
      </c>
      <c r="K585" s="680">
        <v>6500</v>
      </c>
      <c r="L585" s="680">
        <v>10</v>
      </c>
      <c r="M585" s="681">
        <v>0</v>
      </c>
      <c r="N585" s="681"/>
      <c r="O585" s="681">
        <v>10</v>
      </c>
      <c r="P585" s="680">
        <v>10</v>
      </c>
      <c r="Q585" s="682">
        <v>0</v>
      </c>
      <c r="R585" s="681">
        <v>0</v>
      </c>
      <c r="S585" s="658"/>
    </row>
    <row r="586" spans="1:19" s="659" customFormat="1" ht="20.100000000000001" customHeight="1">
      <c r="A586" s="657" t="s">
        <v>4694</v>
      </c>
      <c r="B586" s="649" t="s">
        <v>136</v>
      </c>
      <c r="C586" s="621"/>
      <c r="D586" s="621"/>
      <c r="E586" s="649" t="s">
        <v>4695</v>
      </c>
      <c r="F586" s="622" t="s">
        <v>2309</v>
      </c>
      <c r="G586" s="622" t="s">
        <v>2310</v>
      </c>
      <c r="H586" s="649" t="s">
        <v>4696</v>
      </c>
      <c r="I586" s="652" t="s">
        <v>11</v>
      </c>
      <c r="J586" s="622" t="s">
        <v>8732</v>
      </c>
      <c r="K586" s="680">
        <v>2047</v>
      </c>
      <c r="L586" s="680">
        <v>1932</v>
      </c>
      <c r="M586" s="681">
        <v>0</v>
      </c>
      <c r="N586" s="681"/>
      <c r="O586" s="681">
        <v>1932</v>
      </c>
      <c r="P586" s="680">
        <v>0</v>
      </c>
      <c r="Q586" s="682">
        <v>1932</v>
      </c>
      <c r="R586" s="681">
        <v>0</v>
      </c>
      <c r="S586" s="658"/>
    </row>
    <row r="587" spans="1:19" s="659" customFormat="1" ht="20.100000000000001" customHeight="1">
      <c r="A587" s="657" t="s">
        <v>4694</v>
      </c>
      <c r="B587" s="649" t="s">
        <v>136</v>
      </c>
      <c r="C587" s="621"/>
      <c r="D587" s="621"/>
      <c r="E587" s="649" t="s">
        <v>4695</v>
      </c>
      <c r="F587" s="622" t="s">
        <v>2309</v>
      </c>
      <c r="G587" s="622" t="s">
        <v>2310</v>
      </c>
      <c r="H587" s="649" t="s">
        <v>4696</v>
      </c>
      <c r="I587" s="652" t="s">
        <v>11</v>
      </c>
      <c r="J587" s="622" t="s">
        <v>8732</v>
      </c>
      <c r="K587" s="680">
        <v>2047</v>
      </c>
      <c r="L587" s="680">
        <v>100</v>
      </c>
      <c r="M587" s="681">
        <v>0</v>
      </c>
      <c r="N587" s="681"/>
      <c r="O587" s="681">
        <v>100</v>
      </c>
      <c r="P587" s="680">
        <v>0</v>
      </c>
      <c r="Q587" s="682">
        <v>100</v>
      </c>
      <c r="R587" s="681">
        <v>0</v>
      </c>
      <c r="S587" s="658"/>
    </row>
    <row r="588" spans="1:19" s="659" customFormat="1" ht="20.100000000000001" customHeight="1">
      <c r="A588" s="657" t="s">
        <v>4694</v>
      </c>
      <c r="B588" s="649" t="s">
        <v>136</v>
      </c>
      <c r="C588" s="621"/>
      <c r="D588" s="621"/>
      <c r="E588" s="649" t="s">
        <v>4695</v>
      </c>
      <c r="F588" s="622" t="s">
        <v>2309</v>
      </c>
      <c r="G588" s="622" t="s">
        <v>2310</v>
      </c>
      <c r="H588" s="649" t="s">
        <v>4696</v>
      </c>
      <c r="I588" s="652" t="s">
        <v>11</v>
      </c>
      <c r="J588" s="622" t="s">
        <v>8732</v>
      </c>
      <c r="K588" s="680">
        <v>2047</v>
      </c>
      <c r="L588" s="680"/>
      <c r="M588" s="681">
        <v>4000</v>
      </c>
      <c r="N588" s="681"/>
      <c r="O588" s="681">
        <v>4000</v>
      </c>
      <c r="P588" s="680">
        <v>0</v>
      </c>
      <c r="Q588" s="682">
        <v>4000</v>
      </c>
      <c r="R588" s="681">
        <v>0</v>
      </c>
      <c r="S588" s="658"/>
    </row>
    <row r="589" spans="1:19" s="659" customFormat="1" ht="20.100000000000001" customHeight="1">
      <c r="A589" s="657" t="s">
        <v>4694</v>
      </c>
      <c r="B589" s="649" t="s">
        <v>136</v>
      </c>
      <c r="C589" s="621"/>
      <c r="D589" s="621"/>
      <c r="E589" s="649" t="s">
        <v>4695</v>
      </c>
      <c r="F589" s="622" t="s">
        <v>2309</v>
      </c>
      <c r="G589" s="622" t="s">
        <v>2310</v>
      </c>
      <c r="H589" s="649" t="s">
        <v>4696</v>
      </c>
      <c r="I589" s="652" t="s">
        <v>11</v>
      </c>
      <c r="J589" s="622" t="s">
        <v>8732</v>
      </c>
      <c r="K589" s="680">
        <v>2047</v>
      </c>
      <c r="L589" s="680"/>
      <c r="M589" s="681">
        <v>10000</v>
      </c>
      <c r="N589" s="681"/>
      <c r="O589" s="681">
        <v>10000</v>
      </c>
      <c r="P589" s="680">
        <v>0</v>
      </c>
      <c r="Q589" s="682">
        <v>10000</v>
      </c>
      <c r="R589" s="681">
        <v>0</v>
      </c>
      <c r="S589" s="658"/>
    </row>
    <row r="590" spans="1:19" s="659" customFormat="1" ht="20.100000000000001" customHeight="1">
      <c r="A590" s="657" t="s">
        <v>4694</v>
      </c>
      <c r="B590" s="649" t="s">
        <v>136</v>
      </c>
      <c r="C590" s="621"/>
      <c r="D590" s="621"/>
      <c r="E590" s="649" t="s">
        <v>4695</v>
      </c>
      <c r="F590" s="622" t="s">
        <v>2309</v>
      </c>
      <c r="G590" s="622" t="s">
        <v>2310</v>
      </c>
      <c r="H590" s="649" t="s">
        <v>4696</v>
      </c>
      <c r="I590" s="652" t="s">
        <v>11</v>
      </c>
      <c r="J590" s="622" t="s">
        <v>8732</v>
      </c>
      <c r="K590" s="680">
        <v>2047</v>
      </c>
      <c r="L590" s="680"/>
      <c r="M590" s="681">
        <v>10900</v>
      </c>
      <c r="N590" s="681"/>
      <c r="O590" s="681">
        <v>10885</v>
      </c>
      <c r="P590" s="680">
        <v>0</v>
      </c>
      <c r="Q590" s="682">
        <v>10885</v>
      </c>
      <c r="R590" s="681">
        <v>15</v>
      </c>
      <c r="S590" s="658"/>
    </row>
    <row r="591" spans="1:19" s="659" customFormat="1" ht="20.100000000000001" customHeight="1">
      <c r="A591" s="657" t="s">
        <v>4697</v>
      </c>
      <c r="B591" s="649" t="s">
        <v>192</v>
      </c>
      <c r="C591" s="621"/>
      <c r="D591" s="621"/>
      <c r="E591" s="649" t="s">
        <v>4698</v>
      </c>
      <c r="F591" s="622" t="s">
        <v>8733</v>
      </c>
      <c r="G591" s="622" t="s">
        <v>2310</v>
      </c>
      <c r="H591" s="649" t="s">
        <v>4699</v>
      </c>
      <c r="I591" s="652" t="s">
        <v>11</v>
      </c>
      <c r="J591" s="622" t="s">
        <v>8732</v>
      </c>
      <c r="K591" s="680">
        <v>2280</v>
      </c>
      <c r="L591" s="680">
        <v>770</v>
      </c>
      <c r="M591" s="681">
        <v>0</v>
      </c>
      <c r="N591" s="681"/>
      <c r="O591" s="681">
        <v>770</v>
      </c>
      <c r="P591" s="680">
        <v>0</v>
      </c>
      <c r="Q591" s="682">
        <v>770</v>
      </c>
      <c r="R591" s="681">
        <v>0</v>
      </c>
      <c r="S591" s="658"/>
    </row>
    <row r="592" spans="1:19" s="659" customFormat="1" ht="20.100000000000001" customHeight="1">
      <c r="A592" s="657" t="s">
        <v>4697</v>
      </c>
      <c r="B592" s="649" t="s">
        <v>192</v>
      </c>
      <c r="C592" s="621"/>
      <c r="D592" s="621"/>
      <c r="E592" s="649" t="s">
        <v>4698</v>
      </c>
      <c r="F592" s="622" t="s">
        <v>8733</v>
      </c>
      <c r="G592" s="622" t="s">
        <v>2310</v>
      </c>
      <c r="H592" s="649" t="s">
        <v>4699</v>
      </c>
      <c r="I592" s="652" t="s">
        <v>11</v>
      </c>
      <c r="J592" s="622" t="s">
        <v>8732</v>
      </c>
      <c r="K592" s="680">
        <v>2280</v>
      </c>
      <c r="L592" s="680"/>
      <c r="M592" s="681">
        <v>20000</v>
      </c>
      <c r="N592" s="681"/>
      <c r="O592" s="681">
        <v>2360</v>
      </c>
      <c r="P592" s="680">
        <v>0</v>
      </c>
      <c r="Q592" s="682">
        <v>2360</v>
      </c>
      <c r="R592" s="681">
        <v>17640</v>
      </c>
      <c r="S592" s="658"/>
    </row>
    <row r="593" spans="1:19" s="659" customFormat="1" ht="20.100000000000001" customHeight="1">
      <c r="A593" s="657" t="s">
        <v>4700</v>
      </c>
      <c r="B593" s="649" t="s">
        <v>141</v>
      </c>
      <c r="C593" s="621"/>
      <c r="D593" s="621"/>
      <c r="E593" s="649" t="s">
        <v>12364</v>
      </c>
      <c r="F593" s="622" t="s">
        <v>2312</v>
      </c>
      <c r="G593" s="622" t="s">
        <v>2310</v>
      </c>
      <c r="H593" s="649" t="s">
        <v>3091</v>
      </c>
      <c r="I593" s="652" t="s">
        <v>11</v>
      </c>
      <c r="J593" s="622" t="s">
        <v>8732</v>
      </c>
      <c r="K593" s="680">
        <v>1490</v>
      </c>
      <c r="L593" s="680"/>
      <c r="M593" s="681">
        <v>20000</v>
      </c>
      <c r="N593" s="681"/>
      <c r="O593" s="681">
        <v>0</v>
      </c>
      <c r="P593" s="680">
        <v>0</v>
      </c>
      <c r="Q593" s="682">
        <v>0</v>
      </c>
      <c r="R593" s="681">
        <v>20000</v>
      </c>
      <c r="S593" s="658"/>
    </row>
    <row r="594" spans="1:19" s="659" customFormat="1" ht="20.100000000000001" customHeight="1">
      <c r="A594" s="657" t="s">
        <v>4701</v>
      </c>
      <c r="B594" s="649" t="s">
        <v>8785</v>
      </c>
      <c r="C594" s="621"/>
      <c r="D594" s="621"/>
      <c r="E594" s="649" t="s">
        <v>3090</v>
      </c>
      <c r="F594" s="622" t="s">
        <v>2395</v>
      </c>
      <c r="G594" s="622" t="s">
        <v>8651</v>
      </c>
      <c r="H594" s="649" t="s">
        <v>12367</v>
      </c>
      <c r="I594" s="652" t="s">
        <v>11</v>
      </c>
      <c r="J594" s="622" t="s">
        <v>8787</v>
      </c>
      <c r="K594" s="680">
        <v>350</v>
      </c>
      <c r="L594" s="680"/>
      <c r="M594" s="681">
        <v>4500</v>
      </c>
      <c r="N594" s="681"/>
      <c r="O594" s="681">
        <v>4485</v>
      </c>
      <c r="P594" s="680">
        <v>0</v>
      </c>
      <c r="Q594" s="682">
        <v>4485</v>
      </c>
      <c r="R594" s="681">
        <v>15</v>
      </c>
      <c r="S594" s="658"/>
    </row>
    <row r="595" spans="1:19" s="659" customFormat="1" ht="20.100000000000001" customHeight="1">
      <c r="A595" s="657" t="s">
        <v>8779</v>
      </c>
      <c r="B595" s="649" t="s">
        <v>3090</v>
      </c>
      <c r="C595" s="621"/>
      <c r="D595" s="621"/>
      <c r="E595" s="649" t="s">
        <v>3090</v>
      </c>
      <c r="F595" s="622" t="s">
        <v>8781</v>
      </c>
      <c r="G595" s="622" t="s">
        <v>2397</v>
      </c>
      <c r="H595" s="649" t="s">
        <v>12370</v>
      </c>
      <c r="I595" s="652" t="s">
        <v>11</v>
      </c>
      <c r="J595" s="622" t="s">
        <v>8660</v>
      </c>
      <c r="K595" s="680">
        <v>410</v>
      </c>
      <c r="L595" s="680"/>
      <c r="M595" s="681">
        <v>10000</v>
      </c>
      <c r="N595" s="681"/>
      <c r="O595" s="681">
        <v>7403</v>
      </c>
      <c r="P595" s="680">
        <v>4500</v>
      </c>
      <c r="Q595" s="682">
        <v>2903</v>
      </c>
      <c r="R595" s="681">
        <v>2597</v>
      </c>
      <c r="S595" s="658"/>
    </row>
    <row r="596" spans="1:19" s="659" customFormat="1" ht="20.100000000000001" customHeight="1">
      <c r="A596" s="657" t="s">
        <v>8779</v>
      </c>
      <c r="B596" s="649" t="s">
        <v>3090</v>
      </c>
      <c r="C596" s="621"/>
      <c r="D596" s="621"/>
      <c r="E596" s="649" t="s">
        <v>3090</v>
      </c>
      <c r="F596" s="622" t="s">
        <v>8781</v>
      </c>
      <c r="G596" s="622" t="s">
        <v>2397</v>
      </c>
      <c r="H596" s="649" t="s">
        <v>12370</v>
      </c>
      <c r="I596" s="652" t="s">
        <v>11</v>
      </c>
      <c r="J596" s="622" t="s">
        <v>8660</v>
      </c>
      <c r="K596" s="680">
        <v>410</v>
      </c>
      <c r="L596" s="680"/>
      <c r="M596" s="681">
        <v>10000</v>
      </c>
      <c r="N596" s="681"/>
      <c r="O596" s="681">
        <v>0</v>
      </c>
      <c r="P596" s="680">
        <v>0</v>
      </c>
      <c r="Q596" s="682">
        <v>0</v>
      </c>
      <c r="R596" s="681">
        <v>10000</v>
      </c>
      <c r="S596" s="658"/>
    </row>
    <row r="597" spans="1:19" s="659" customFormat="1" ht="20.100000000000001" customHeight="1">
      <c r="A597" s="657" t="s">
        <v>4701</v>
      </c>
      <c r="B597" s="649" t="s">
        <v>143</v>
      </c>
      <c r="C597" s="621"/>
      <c r="D597" s="621"/>
      <c r="E597" s="649" t="s">
        <v>140</v>
      </c>
      <c r="F597" s="622" t="s">
        <v>2395</v>
      </c>
      <c r="G597" s="622" t="s">
        <v>8651</v>
      </c>
      <c r="H597" s="649" t="s">
        <v>144</v>
      </c>
      <c r="I597" s="652" t="s">
        <v>10</v>
      </c>
      <c r="J597" s="622" t="s">
        <v>8787</v>
      </c>
      <c r="K597" s="680">
        <v>635</v>
      </c>
      <c r="L597" s="680">
        <v>27927</v>
      </c>
      <c r="M597" s="681">
        <v>0</v>
      </c>
      <c r="N597" s="681"/>
      <c r="O597" s="681">
        <v>27927</v>
      </c>
      <c r="P597" s="680">
        <v>0</v>
      </c>
      <c r="Q597" s="682">
        <v>27927</v>
      </c>
      <c r="R597" s="681">
        <v>0</v>
      </c>
      <c r="S597" s="658"/>
    </row>
    <row r="598" spans="1:19" s="659" customFormat="1" ht="20.100000000000001" customHeight="1">
      <c r="A598" s="657" t="s">
        <v>4700</v>
      </c>
      <c r="B598" s="649" t="s">
        <v>141</v>
      </c>
      <c r="C598" s="621"/>
      <c r="D598" s="621"/>
      <c r="E598" s="649" t="s">
        <v>140</v>
      </c>
      <c r="F598" s="622" t="s">
        <v>2312</v>
      </c>
      <c r="G598" s="622" t="s">
        <v>2310</v>
      </c>
      <c r="H598" s="649" t="s">
        <v>142</v>
      </c>
      <c r="I598" s="652" t="s">
        <v>10</v>
      </c>
      <c r="J598" s="622" t="s">
        <v>8732</v>
      </c>
      <c r="K598" s="680">
        <v>1490</v>
      </c>
      <c r="L598" s="680">
        <v>-200</v>
      </c>
      <c r="M598" s="681">
        <v>0</v>
      </c>
      <c r="N598" s="681"/>
      <c r="O598" s="681">
        <v>0</v>
      </c>
      <c r="P598" s="680">
        <v>0</v>
      </c>
      <c r="Q598" s="682">
        <v>0</v>
      </c>
      <c r="R598" s="681">
        <v>-200</v>
      </c>
      <c r="S598" s="658"/>
    </row>
    <row r="599" spans="1:19" s="659" customFormat="1" ht="20.100000000000001" customHeight="1">
      <c r="A599" s="657" t="s">
        <v>4702</v>
      </c>
      <c r="B599" s="649" t="s">
        <v>4704</v>
      </c>
      <c r="C599" s="621"/>
      <c r="D599" s="621"/>
      <c r="E599" s="649" t="s">
        <v>4703</v>
      </c>
      <c r="F599" s="622" t="s">
        <v>8712</v>
      </c>
      <c r="G599" s="622" t="s">
        <v>2310</v>
      </c>
      <c r="H599" s="649" t="s">
        <v>4705</v>
      </c>
      <c r="I599" s="652" t="s">
        <v>13</v>
      </c>
      <c r="J599" s="622" t="s">
        <v>8711</v>
      </c>
      <c r="K599" s="680">
        <v>7000</v>
      </c>
      <c r="L599" s="680">
        <v>1600</v>
      </c>
      <c r="M599" s="681">
        <v>600</v>
      </c>
      <c r="N599" s="681"/>
      <c r="O599" s="681">
        <v>696</v>
      </c>
      <c r="P599" s="680">
        <v>0</v>
      </c>
      <c r="Q599" s="682">
        <v>696</v>
      </c>
      <c r="R599" s="681">
        <v>1504</v>
      </c>
      <c r="S599" s="658"/>
    </row>
    <row r="600" spans="1:19" s="659" customFormat="1" ht="20.100000000000001" customHeight="1">
      <c r="A600" s="657" t="s">
        <v>8370</v>
      </c>
      <c r="B600" s="649" t="s">
        <v>2485</v>
      </c>
      <c r="C600" s="621"/>
      <c r="D600" s="621"/>
      <c r="E600" s="649" t="s">
        <v>8371</v>
      </c>
      <c r="F600" s="622" t="s">
        <v>8373</v>
      </c>
      <c r="G600" s="622" t="s">
        <v>8374</v>
      </c>
      <c r="H600" s="649" t="s">
        <v>2486</v>
      </c>
      <c r="I600" s="652" t="s">
        <v>11</v>
      </c>
      <c r="J600" s="622" t="s">
        <v>8372</v>
      </c>
      <c r="K600" s="680">
        <v>1400</v>
      </c>
      <c r="L600" s="680"/>
      <c r="M600" s="681">
        <v>2500</v>
      </c>
      <c r="N600" s="681"/>
      <c r="O600" s="681">
        <v>2500</v>
      </c>
      <c r="P600" s="680">
        <v>2500</v>
      </c>
      <c r="Q600" s="682">
        <v>0</v>
      </c>
      <c r="R600" s="681">
        <v>0</v>
      </c>
      <c r="S600" s="658"/>
    </row>
    <row r="601" spans="1:19" s="659" customFormat="1" ht="20.100000000000001" customHeight="1">
      <c r="A601" s="657" t="s">
        <v>8370</v>
      </c>
      <c r="B601" s="649" t="s">
        <v>2485</v>
      </c>
      <c r="C601" s="621"/>
      <c r="D601" s="621"/>
      <c r="E601" s="649" t="s">
        <v>8371</v>
      </c>
      <c r="F601" s="622" t="s">
        <v>8373</v>
      </c>
      <c r="G601" s="622" t="s">
        <v>8374</v>
      </c>
      <c r="H601" s="649" t="s">
        <v>2486</v>
      </c>
      <c r="I601" s="652" t="s">
        <v>11</v>
      </c>
      <c r="J601" s="622" t="s">
        <v>8372</v>
      </c>
      <c r="K601" s="680">
        <v>1400</v>
      </c>
      <c r="L601" s="680"/>
      <c r="M601" s="681">
        <v>9500</v>
      </c>
      <c r="N601" s="681"/>
      <c r="O601" s="681">
        <v>7000</v>
      </c>
      <c r="P601" s="680">
        <v>7000</v>
      </c>
      <c r="Q601" s="682">
        <v>0</v>
      </c>
      <c r="R601" s="681">
        <v>2500</v>
      </c>
      <c r="S601" s="658"/>
    </row>
    <row r="602" spans="1:19" s="659" customFormat="1" ht="20.100000000000001" customHeight="1">
      <c r="A602" s="657" t="s">
        <v>4129</v>
      </c>
      <c r="B602" s="649" t="s">
        <v>4131</v>
      </c>
      <c r="C602" s="621"/>
      <c r="D602" s="621"/>
      <c r="E602" s="649" t="s">
        <v>4130</v>
      </c>
      <c r="F602" s="622" t="s">
        <v>6675</v>
      </c>
      <c r="G602" s="622" t="s">
        <v>6676</v>
      </c>
      <c r="H602" s="649" t="s">
        <v>753</v>
      </c>
      <c r="I602" s="652" t="s">
        <v>11</v>
      </c>
      <c r="J602" s="622" t="s">
        <v>6674</v>
      </c>
      <c r="K602" s="680">
        <v>4200</v>
      </c>
      <c r="L602" s="680">
        <v>4613</v>
      </c>
      <c r="M602" s="681">
        <v>20</v>
      </c>
      <c r="N602" s="681"/>
      <c r="O602" s="681">
        <v>4251</v>
      </c>
      <c r="P602" s="680">
        <v>648</v>
      </c>
      <c r="Q602" s="682">
        <v>3603</v>
      </c>
      <c r="R602" s="681">
        <v>382</v>
      </c>
      <c r="S602" s="658"/>
    </row>
    <row r="603" spans="1:19" s="659" customFormat="1" ht="20.100000000000001" customHeight="1">
      <c r="A603" s="657" t="s">
        <v>4129</v>
      </c>
      <c r="B603" s="649" t="s">
        <v>4131</v>
      </c>
      <c r="C603" s="621"/>
      <c r="D603" s="621"/>
      <c r="E603" s="649" t="s">
        <v>4130</v>
      </c>
      <c r="F603" s="622" t="s">
        <v>6675</v>
      </c>
      <c r="G603" s="622" t="s">
        <v>6676</v>
      </c>
      <c r="H603" s="649" t="s">
        <v>753</v>
      </c>
      <c r="I603" s="652" t="s">
        <v>11</v>
      </c>
      <c r="J603" s="622" t="s">
        <v>6674</v>
      </c>
      <c r="K603" s="680">
        <v>4200</v>
      </c>
      <c r="L603" s="680"/>
      <c r="M603" s="681">
        <v>10000</v>
      </c>
      <c r="N603" s="681"/>
      <c r="O603" s="681">
        <v>6751</v>
      </c>
      <c r="P603" s="680">
        <v>0</v>
      </c>
      <c r="Q603" s="682">
        <v>6751</v>
      </c>
      <c r="R603" s="681">
        <v>3249</v>
      </c>
      <c r="S603" s="658"/>
    </row>
    <row r="604" spans="1:19" s="659" customFormat="1" ht="20.100000000000001" customHeight="1">
      <c r="A604" s="657" t="s">
        <v>3993</v>
      </c>
      <c r="B604" s="649" t="s">
        <v>3793</v>
      </c>
      <c r="C604" s="621"/>
      <c r="D604" s="621"/>
      <c r="E604" s="649" t="s">
        <v>4133</v>
      </c>
      <c r="F604" s="622" t="s">
        <v>8038</v>
      </c>
      <c r="G604" s="622" t="s">
        <v>7011</v>
      </c>
      <c r="H604" s="649" t="s">
        <v>4134</v>
      </c>
      <c r="I604" s="652" t="s">
        <v>12</v>
      </c>
      <c r="J604" s="622" t="s">
        <v>8037</v>
      </c>
      <c r="K604" s="680">
        <v>720</v>
      </c>
      <c r="L604" s="680"/>
      <c r="M604" s="681">
        <v>3500</v>
      </c>
      <c r="N604" s="681"/>
      <c r="O604" s="681">
        <v>3500</v>
      </c>
      <c r="P604" s="680">
        <v>3500</v>
      </c>
      <c r="Q604" s="682">
        <v>0</v>
      </c>
      <c r="R604" s="681">
        <v>0</v>
      </c>
      <c r="S604" s="658"/>
    </row>
    <row r="605" spans="1:19" s="659" customFormat="1" ht="20.100000000000001" customHeight="1">
      <c r="A605" s="657" t="s">
        <v>3993</v>
      </c>
      <c r="B605" s="649" t="s">
        <v>3793</v>
      </c>
      <c r="C605" s="621"/>
      <c r="D605" s="621"/>
      <c r="E605" s="649" t="s">
        <v>4133</v>
      </c>
      <c r="F605" s="622" t="s">
        <v>8038</v>
      </c>
      <c r="G605" s="622" t="s">
        <v>7011</v>
      </c>
      <c r="H605" s="649" t="s">
        <v>4134</v>
      </c>
      <c r="I605" s="652" t="s">
        <v>12</v>
      </c>
      <c r="J605" s="622" t="s">
        <v>8037</v>
      </c>
      <c r="K605" s="680">
        <v>720</v>
      </c>
      <c r="L605" s="680"/>
      <c r="M605" s="681">
        <v>2000</v>
      </c>
      <c r="N605" s="681"/>
      <c r="O605" s="681">
        <v>2000</v>
      </c>
      <c r="P605" s="680">
        <v>2000</v>
      </c>
      <c r="Q605" s="682">
        <v>0</v>
      </c>
      <c r="R605" s="681">
        <v>0</v>
      </c>
      <c r="S605" s="658"/>
    </row>
    <row r="606" spans="1:19" s="659" customFormat="1" ht="20.100000000000001" customHeight="1">
      <c r="A606" s="657" t="s">
        <v>3976</v>
      </c>
      <c r="B606" s="649" t="s">
        <v>2083</v>
      </c>
      <c r="C606" s="621"/>
      <c r="D606" s="621"/>
      <c r="E606" s="649" t="s">
        <v>6296</v>
      </c>
      <c r="F606" s="622" t="s">
        <v>6298</v>
      </c>
      <c r="G606" s="622" t="s">
        <v>5806</v>
      </c>
      <c r="H606" s="649" t="s">
        <v>6295</v>
      </c>
      <c r="I606" s="652" t="s">
        <v>12</v>
      </c>
      <c r="J606" s="622" t="s">
        <v>6297</v>
      </c>
      <c r="K606" s="680">
        <v>2688</v>
      </c>
      <c r="L606" s="680"/>
      <c r="M606" s="681">
        <v>1000</v>
      </c>
      <c r="N606" s="681"/>
      <c r="O606" s="681">
        <v>449</v>
      </c>
      <c r="P606" s="680">
        <v>0</v>
      </c>
      <c r="Q606" s="682">
        <v>449</v>
      </c>
      <c r="R606" s="681">
        <v>551</v>
      </c>
      <c r="S606" s="658"/>
    </row>
    <row r="607" spans="1:19" s="659" customFormat="1" ht="20.100000000000001" customHeight="1">
      <c r="A607" s="657" t="s">
        <v>4135</v>
      </c>
      <c r="B607" s="649" t="s">
        <v>4137</v>
      </c>
      <c r="C607" s="621"/>
      <c r="D607" s="621"/>
      <c r="E607" s="649" t="s">
        <v>4136</v>
      </c>
      <c r="F607" s="622" t="s">
        <v>896</v>
      </c>
      <c r="G607" s="622" t="s">
        <v>6414</v>
      </c>
      <c r="H607" s="649" t="s">
        <v>4138</v>
      </c>
      <c r="I607" s="652" t="s">
        <v>4139</v>
      </c>
      <c r="J607" s="622" t="s">
        <v>6413</v>
      </c>
      <c r="K607" s="680">
        <v>276500</v>
      </c>
      <c r="L607" s="680">
        <v>539</v>
      </c>
      <c r="M607" s="681">
        <v>0</v>
      </c>
      <c r="N607" s="681"/>
      <c r="O607" s="681">
        <v>527</v>
      </c>
      <c r="P607" s="680">
        <v>5</v>
      </c>
      <c r="Q607" s="682">
        <v>522</v>
      </c>
      <c r="R607" s="681">
        <v>12</v>
      </c>
      <c r="S607" s="658"/>
    </row>
    <row r="608" spans="1:19" s="659" customFormat="1" ht="20.100000000000001" customHeight="1">
      <c r="A608" s="657" t="s">
        <v>4141</v>
      </c>
      <c r="B608" s="649" t="s">
        <v>1352</v>
      </c>
      <c r="C608" s="621"/>
      <c r="D608" s="621"/>
      <c r="E608" s="649" t="s">
        <v>1798</v>
      </c>
      <c r="F608" s="622" t="s">
        <v>6475</v>
      </c>
      <c r="G608" s="622" t="s">
        <v>6011</v>
      </c>
      <c r="H608" s="649" t="s">
        <v>327</v>
      </c>
      <c r="I608" s="652" t="s">
        <v>11</v>
      </c>
      <c r="J608" s="622" t="s">
        <v>6009</v>
      </c>
      <c r="K608" s="680">
        <v>6279</v>
      </c>
      <c r="L608" s="680"/>
      <c r="M608" s="681">
        <v>900</v>
      </c>
      <c r="N608" s="681"/>
      <c r="O608" s="681">
        <v>0</v>
      </c>
      <c r="P608" s="680">
        <v>0</v>
      </c>
      <c r="Q608" s="682">
        <v>0</v>
      </c>
      <c r="R608" s="681">
        <v>900</v>
      </c>
      <c r="S608" s="658"/>
    </row>
    <row r="609" spans="1:19" s="659" customFormat="1" ht="20.100000000000001" customHeight="1">
      <c r="A609" s="657" t="s">
        <v>4141</v>
      </c>
      <c r="B609" s="649" t="s">
        <v>1352</v>
      </c>
      <c r="C609" s="621"/>
      <c r="D609" s="621"/>
      <c r="E609" s="649" t="s">
        <v>1798</v>
      </c>
      <c r="F609" s="622" t="s">
        <v>6475</v>
      </c>
      <c r="G609" s="622" t="s">
        <v>6011</v>
      </c>
      <c r="H609" s="649" t="s">
        <v>327</v>
      </c>
      <c r="I609" s="652" t="s">
        <v>11</v>
      </c>
      <c r="J609" s="622" t="s">
        <v>6009</v>
      </c>
      <c r="K609" s="680">
        <v>5985</v>
      </c>
      <c r="L609" s="680">
        <v>1</v>
      </c>
      <c r="M609" s="681">
        <v>0</v>
      </c>
      <c r="N609" s="681"/>
      <c r="O609" s="681">
        <v>1</v>
      </c>
      <c r="P609" s="680">
        <v>0</v>
      </c>
      <c r="Q609" s="682">
        <v>1</v>
      </c>
      <c r="R609" s="681">
        <v>0</v>
      </c>
      <c r="S609" s="658"/>
    </row>
    <row r="610" spans="1:19" s="659" customFormat="1" ht="20.100000000000001" customHeight="1">
      <c r="A610" s="657" t="s">
        <v>4867</v>
      </c>
      <c r="B610" s="649" t="s">
        <v>2509</v>
      </c>
      <c r="C610" s="621"/>
      <c r="D610" s="621"/>
      <c r="E610" s="649" t="s">
        <v>3621</v>
      </c>
      <c r="F610" s="622" t="s">
        <v>420</v>
      </c>
      <c r="G610" s="622" t="s">
        <v>414</v>
      </c>
      <c r="H610" s="649" t="s">
        <v>4868</v>
      </c>
      <c r="I610" s="652" t="s">
        <v>628</v>
      </c>
      <c r="J610" s="622" t="s">
        <v>5455</v>
      </c>
      <c r="K610" s="680">
        <v>438</v>
      </c>
      <c r="L610" s="680">
        <v>2000</v>
      </c>
      <c r="M610" s="681">
        <v>0</v>
      </c>
      <c r="N610" s="681"/>
      <c r="O610" s="681">
        <v>1098</v>
      </c>
      <c r="P610" s="680">
        <v>369</v>
      </c>
      <c r="Q610" s="682">
        <v>729</v>
      </c>
      <c r="R610" s="681">
        <v>902</v>
      </c>
      <c r="S610" s="658"/>
    </row>
    <row r="611" spans="1:19" s="659" customFormat="1" ht="20.100000000000001" customHeight="1">
      <c r="A611" s="657" t="s">
        <v>4867</v>
      </c>
      <c r="B611" s="649" t="s">
        <v>2509</v>
      </c>
      <c r="C611" s="621"/>
      <c r="D611" s="621"/>
      <c r="E611" s="649" t="s">
        <v>3621</v>
      </c>
      <c r="F611" s="622" t="s">
        <v>420</v>
      </c>
      <c r="G611" s="622" t="s">
        <v>414</v>
      </c>
      <c r="H611" s="649" t="s">
        <v>4868</v>
      </c>
      <c r="I611" s="652" t="s">
        <v>628</v>
      </c>
      <c r="J611" s="622" t="s">
        <v>5455</v>
      </c>
      <c r="K611" s="680">
        <v>438</v>
      </c>
      <c r="L611" s="680">
        <v>398</v>
      </c>
      <c r="M611" s="681">
        <v>0</v>
      </c>
      <c r="N611" s="681"/>
      <c r="O611" s="681">
        <v>397</v>
      </c>
      <c r="P611" s="680">
        <v>377</v>
      </c>
      <c r="Q611" s="682">
        <v>20</v>
      </c>
      <c r="R611" s="681">
        <v>1</v>
      </c>
      <c r="S611" s="658"/>
    </row>
    <row r="612" spans="1:19" s="659" customFormat="1" ht="20.100000000000001" customHeight="1">
      <c r="A612" s="657" t="s">
        <v>4867</v>
      </c>
      <c r="B612" s="649" t="s">
        <v>2509</v>
      </c>
      <c r="C612" s="621"/>
      <c r="D612" s="621"/>
      <c r="E612" s="649" t="s">
        <v>3621</v>
      </c>
      <c r="F612" s="622" t="s">
        <v>420</v>
      </c>
      <c r="G612" s="622" t="s">
        <v>414</v>
      </c>
      <c r="H612" s="649" t="s">
        <v>4868</v>
      </c>
      <c r="I612" s="652" t="s">
        <v>628</v>
      </c>
      <c r="J612" s="622" t="s">
        <v>5455</v>
      </c>
      <c r="K612" s="680">
        <v>438</v>
      </c>
      <c r="L612" s="680">
        <v>10</v>
      </c>
      <c r="M612" s="681">
        <v>0</v>
      </c>
      <c r="N612" s="681"/>
      <c r="O612" s="681">
        <v>1</v>
      </c>
      <c r="P612" s="680">
        <v>0</v>
      </c>
      <c r="Q612" s="682">
        <v>1</v>
      </c>
      <c r="R612" s="681">
        <v>9</v>
      </c>
      <c r="S612" s="658"/>
    </row>
    <row r="613" spans="1:19" s="659" customFormat="1" ht="20.100000000000001" customHeight="1">
      <c r="A613" s="657" t="s">
        <v>4707</v>
      </c>
      <c r="B613" s="649" t="s">
        <v>146</v>
      </c>
      <c r="C613" s="621"/>
      <c r="D613" s="621"/>
      <c r="E613" s="649" t="s">
        <v>145</v>
      </c>
      <c r="F613" s="622" t="s">
        <v>2295</v>
      </c>
      <c r="G613" s="622" t="s">
        <v>2253</v>
      </c>
      <c r="H613" s="649" t="s">
        <v>147</v>
      </c>
      <c r="I613" s="652" t="s">
        <v>11</v>
      </c>
      <c r="J613" s="622" t="s">
        <v>8616</v>
      </c>
      <c r="K613" s="680">
        <v>1200</v>
      </c>
      <c r="L613" s="680"/>
      <c r="M613" s="681">
        <v>800</v>
      </c>
      <c r="N613" s="681"/>
      <c r="O613" s="681">
        <v>800</v>
      </c>
      <c r="P613" s="680">
        <v>0</v>
      </c>
      <c r="Q613" s="682">
        <v>800</v>
      </c>
      <c r="R613" s="681">
        <v>0</v>
      </c>
      <c r="S613" s="658"/>
    </row>
    <row r="614" spans="1:19" s="659" customFormat="1" ht="20.100000000000001" customHeight="1">
      <c r="A614" s="657" t="s">
        <v>4707</v>
      </c>
      <c r="B614" s="649" t="s">
        <v>146</v>
      </c>
      <c r="C614" s="621"/>
      <c r="D614" s="621"/>
      <c r="E614" s="649" t="s">
        <v>145</v>
      </c>
      <c r="F614" s="622" t="s">
        <v>2295</v>
      </c>
      <c r="G614" s="622" t="s">
        <v>2253</v>
      </c>
      <c r="H614" s="649" t="s">
        <v>147</v>
      </c>
      <c r="I614" s="652" t="s">
        <v>11</v>
      </c>
      <c r="J614" s="622" t="s">
        <v>8616</v>
      </c>
      <c r="K614" s="680">
        <v>1200</v>
      </c>
      <c r="L614" s="680">
        <v>2395</v>
      </c>
      <c r="M614" s="681">
        <v>0</v>
      </c>
      <c r="N614" s="681"/>
      <c r="O614" s="681">
        <v>2395</v>
      </c>
      <c r="P614" s="680">
        <v>0</v>
      </c>
      <c r="Q614" s="682">
        <v>2395</v>
      </c>
      <c r="R614" s="681">
        <v>0</v>
      </c>
      <c r="S614" s="658"/>
    </row>
    <row r="615" spans="1:19" s="659" customFormat="1" ht="20.100000000000001" customHeight="1">
      <c r="A615" s="657" t="s">
        <v>8625</v>
      </c>
      <c r="B615" s="649" t="s">
        <v>8626</v>
      </c>
      <c r="C615" s="621"/>
      <c r="D615" s="621"/>
      <c r="E615" s="649" t="s">
        <v>12374</v>
      </c>
      <c r="F615" s="622" t="s">
        <v>8630</v>
      </c>
      <c r="G615" s="622" t="s">
        <v>8290</v>
      </c>
      <c r="H615" s="649" t="s">
        <v>12375</v>
      </c>
      <c r="I615" s="652" t="s">
        <v>11</v>
      </c>
      <c r="J615" s="622" t="s">
        <v>8629</v>
      </c>
      <c r="K615" s="680">
        <v>2700</v>
      </c>
      <c r="L615" s="680"/>
      <c r="M615" s="681">
        <v>19980</v>
      </c>
      <c r="N615" s="681"/>
      <c r="O615" s="681">
        <v>0</v>
      </c>
      <c r="P615" s="680">
        <v>0</v>
      </c>
      <c r="Q615" s="682">
        <v>0</v>
      </c>
      <c r="R615" s="681">
        <v>19980</v>
      </c>
      <c r="S615" s="658"/>
    </row>
    <row r="616" spans="1:19" s="659" customFormat="1" ht="20.100000000000001" customHeight="1">
      <c r="A616" s="657" t="s">
        <v>8625</v>
      </c>
      <c r="B616" s="649" t="s">
        <v>8626</v>
      </c>
      <c r="C616" s="621"/>
      <c r="D616" s="621"/>
      <c r="E616" s="649" t="s">
        <v>12374</v>
      </c>
      <c r="F616" s="622" t="s">
        <v>8630</v>
      </c>
      <c r="G616" s="622" t="s">
        <v>8290</v>
      </c>
      <c r="H616" s="649" t="s">
        <v>12375</v>
      </c>
      <c r="I616" s="652" t="s">
        <v>11</v>
      </c>
      <c r="J616" s="622" t="s">
        <v>8629</v>
      </c>
      <c r="K616" s="680">
        <v>2700</v>
      </c>
      <c r="L616" s="680"/>
      <c r="M616" s="681">
        <v>3660</v>
      </c>
      <c r="N616" s="681"/>
      <c r="O616" s="681">
        <v>3660</v>
      </c>
      <c r="P616" s="680">
        <v>0</v>
      </c>
      <c r="Q616" s="682">
        <v>3660</v>
      </c>
      <c r="R616" s="681">
        <v>0</v>
      </c>
      <c r="S616" s="658"/>
    </row>
    <row r="617" spans="1:19" s="659" customFormat="1" ht="20.100000000000001" customHeight="1">
      <c r="A617" s="657" t="s">
        <v>8625</v>
      </c>
      <c r="B617" s="649" t="s">
        <v>8626</v>
      </c>
      <c r="C617" s="621"/>
      <c r="D617" s="621"/>
      <c r="E617" s="649" t="s">
        <v>12374</v>
      </c>
      <c r="F617" s="622" t="s">
        <v>8630</v>
      </c>
      <c r="G617" s="622" t="s">
        <v>8290</v>
      </c>
      <c r="H617" s="649" t="s">
        <v>12375</v>
      </c>
      <c r="I617" s="652" t="s">
        <v>11</v>
      </c>
      <c r="J617" s="622" t="s">
        <v>8629</v>
      </c>
      <c r="K617" s="680">
        <v>2700</v>
      </c>
      <c r="L617" s="680"/>
      <c r="M617" s="681">
        <v>11340</v>
      </c>
      <c r="N617" s="681"/>
      <c r="O617" s="681">
        <v>11340</v>
      </c>
      <c r="P617" s="680">
        <v>0</v>
      </c>
      <c r="Q617" s="682">
        <v>11340</v>
      </c>
      <c r="R617" s="681">
        <v>0</v>
      </c>
      <c r="S617" s="658"/>
    </row>
    <row r="618" spans="1:19" s="659" customFormat="1" ht="20.100000000000001" customHeight="1">
      <c r="A618" s="657" t="s">
        <v>6119</v>
      </c>
      <c r="B618" s="649" t="s">
        <v>556</v>
      </c>
      <c r="C618" s="621"/>
      <c r="D618" s="621"/>
      <c r="E618" s="649" t="s">
        <v>6120</v>
      </c>
      <c r="F618" s="622" t="s">
        <v>6122</v>
      </c>
      <c r="G618" s="622" t="s">
        <v>6123</v>
      </c>
      <c r="H618" s="649" t="s">
        <v>327</v>
      </c>
      <c r="I618" s="652" t="s">
        <v>11</v>
      </c>
      <c r="J618" s="622" t="s">
        <v>6121</v>
      </c>
      <c r="K618" s="680">
        <v>3360</v>
      </c>
      <c r="L618" s="680"/>
      <c r="M618" s="681">
        <v>14980</v>
      </c>
      <c r="N618" s="681"/>
      <c r="O618" s="681">
        <v>14975</v>
      </c>
      <c r="P618" s="680">
        <v>0</v>
      </c>
      <c r="Q618" s="682">
        <v>14975</v>
      </c>
      <c r="R618" s="681">
        <v>5</v>
      </c>
      <c r="S618" s="658"/>
    </row>
    <row r="619" spans="1:19" s="659" customFormat="1" ht="20.100000000000001" customHeight="1">
      <c r="A619" s="657" t="s">
        <v>6112</v>
      </c>
      <c r="B619" s="649" t="s">
        <v>556</v>
      </c>
      <c r="C619" s="621"/>
      <c r="D619" s="621"/>
      <c r="E619" s="649" t="s">
        <v>12480</v>
      </c>
      <c r="F619" s="622" t="s">
        <v>6114</v>
      </c>
      <c r="G619" s="622" t="s">
        <v>6115</v>
      </c>
      <c r="H619" s="649" t="s">
        <v>238</v>
      </c>
      <c r="I619" s="652" t="s">
        <v>11</v>
      </c>
      <c r="J619" s="622" t="s">
        <v>6113</v>
      </c>
      <c r="K619" s="680">
        <v>1990</v>
      </c>
      <c r="L619" s="680"/>
      <c r="M619" s="681">
        <v>10000</v>
      </c>
      <c r="N619" s="681"/>
      <c r="O619" s="681">
        <v>0</v>
      </c>
      <c r="P619" s="680">
        <v>0</v>
      </c>
      <c r="Q619" s="682">
        <v>0</v>
      </c>
      <c r="R619" s="681">
        <v>10000</v>
      </c>
      <c r="S619" s="658"/>
    </row>
    <row r="620" spans="1:19" s="659" customFormat="1" ht="20.100000000000001" customHeight="1">
      <c r="A620" s="657" t="s">
        <v>4146</v>
      </c>
      <c r="B620" s="649" t="s">
        <v>649</v>
      </c>
      <c r="C620" s="621"/>
      <c r="D620" s="621"/>
      <c r="E620" s="649" t="s">
        <v>650</v>
      </c>
      <c r="F620" s="622" t="s">
        <v>6075</v>
      </c>
      <c r="G620" s="622" t="s">
        <v>245</v>
      </c>
      <c r="H620" s="649" t="s">
        <v>651</v>
      </c>
      <c r="I620" s="652" t="s">
        <v>11</v>
      </c>
      <c r="J620" s="622" t="s">
        <v>6074</v>
      </c>
      <c r="K620" s="680">
        <v>4725</v>
      </c>
      <c r="L620" s="680">
        <v>3028</v>
      </c>
      <c r="M620" s="681">
        <v>0</v>
      </c>
      <c r="N620" s="681"/>
      <c r="O620" s="681">
        <v>3028</v>
      </c>
      <c r="P620" s="680">
        <v>0</v>
      </c>
      <c r="Q620" s="682">
        <v>3028</v>
      </c>
      <c r="R620" s="681">
        <v>0</v>
      </c>
      <c r="S620" s="658"/>
    </row>
    <row r="621" spans="1:19" s="659" customFormat="1" ht="20.100000000000001" customHeight="1">
      <c r="A621" s="657" t="s">
        <v>4146</v>
      </c>
      <c r="B621" s="649" t="s">
        <v>649</v>
      </c>
      <c r="C621" s="621"/>
      <c r="D621" s="621"/>
      <c r="E621" s="649" t="s">
        <v>650</v>
      </c>
      <c r="F621" s="622" t="s">
        <v>6075</v>
      </c>
      <c r="G621" s="622" t="s">
        <v>245</v>
      </c>
      <c r="H621" s="649" t="s">
        <v>651</v>
      </c>
      <c r="I621" s="652" t="s">
        <v>11</v>
      </c>
      <c r="J621" s="622" t="s">
        <v>6074</v>
      </c>
      <c r="K621" s="680">
        <v>4725</v>
      </c>
      <c r="L621" s="680">
        <v>1374</v>
      </c>
      <c r="M621" s="681">
        <v>0</v>
      </c>
      <c r="N621" s="681"/>
      <c r="O621" s="681">
        <v>1374</v>
      </c>
      <c r="P621" s="680">
        <v>0</v>
      </c>
      <c r="Q621" s="682">
        <v>1374</v>
      </c>
      <c r="R621" s="681">
        <v>0</v>
      </c>
      <c r="S621" s="658"/>
    </row>
    <row r="622" spans="1:19" s="659" customFormat="1" ht="20.100000000000001" customHeight="1">
      <c r="A622" s="657" t="s">
        <v>4146</v>
      </c>
      <c r="B622" s="649" t="s">
        <v>649</v>
      </c>
      <c r="C622" s="621"/>
      <c r="D622" s="621"/>
      <c r="E622" s="649" t="s">
        <v>650</v>
      </c>
      <c r="F622" s="622" t="s">
        <v>6075</v>
      </c>
      <c r="G622" s="622" t="s">
        <v>245</v>
      </c>
      <c r="H622" s="649" t="s">
        <v>651</v>
      </c>
      <c r="I622" s="652" t="s">
        <v>11</v>
      </c>
      <c r="J622" s="622" t="s">
        <v>6074</v>
      </c>
      <c r="K622" s="680">
        <v>4725</v>
      </c>
      <c r="L622" s="680"/>
      <c r="M622" s="681">
        <v>6000</v>
      </c>
      <c r="N622" s="681"/>
      <c r="O622" s="681">
        <v>6000</v>
      </c>
      <c r="P622" s="680">
        <v>0</v>
      </c>
      <c r="Q622" s="682">
        <v>6000</v>
      </c>
      <c r="R622" s="681">
        <v>0</v>
      </c>
      <c r="S622" s="658"/>
    </row>
    <row r="623" spans="1:19" s="659" customFormat="1" ht="20.100000000000001" customHeight="1">
      <c r="A623" s="657" t="s">
        <v>4146</v>
      </c>
      <c r="B623" s="649" t="s">
        <v>649</v>
      </c>
      <c r="C623" s="621"/>
      <c r="D623" s="621"/>
      <c r="E623" s="649" t="s">
        <v>650</v>
      </c>
      <c r="F623" s="622" t="s">
        <v>6075</v>
      </c>
      <c r="G623" s="622" t="s">
        <v>245</v>
      </c>
      <c r="H623" s="649" t="s">
        <v>651</v>
      </c>
      <c r="I623" s="652" t="s">
        <v>11</v>
      </c>
      <c r="J623" s="622" t="s">
        <v>6074</v>
      </c>
      <c r="K623" s="680">
        <v>4725</v>
      </c>
      <c r="L623" s="680"/>
      <c r="M623" s="681">
        <v>6000</v>
      </c>
      <c r="N623" s="681"/>
      <c r="O623" s="681">
        <v>4338</v>
      </c>
      <c r="P623" s="680">
        <v>0</v>
      </c>
      <c r="Q623" s="682">
        <v>4338</v>
      </c>
      <c r="R623" s="681">
        <v>1662</v>
      </c>
      <c r="S623" s="658"/>
    </row>
    <row r="624" spans="1:19" s="659" customFormat="1" ht="20.100000000000001" customHeight="1">
      <c r="A624" s="657" t="s">
        <v>4146</v>
      </c>
      <c r="B624" s="649" t="s">
        <v>649</v>
      </c>
      <c r="C624" s="621"/>
      <c r="D624" s="621"/>
      <c r="E624" s="649" t="s">
        <v>650</v>
      </c>
      <c r="F624" s="622" t="s">
        <v>6075</v>
      </c>
      <c r="G624" s="622" t="s">
        <v>245</v>
      </c>
      <c r="H624" s="649" t="s">
        <v>651</v>
      </c>
      <c r="I624" s="652" t="s">
        <v>11</v>
      </c>
      <c r="J624" s="622" t="s">
        <v>6074</v>
      </c>
      <c r="K624" s="680">
        <v>4725</v>
      </c>
      <c r="L624" s="680"/>
      <c r="M624" s="681">
        <v>3000</v>
      </c>
      <c r="N624" s="681"/>
      <c r="O624" s="681">
        <v>0</v>
      </c>
      <c r="P624" s="680">
        <v>0</v>
      </c>
      <c r="Q624" s="682">
        <v>0</v>
      </c>
      <c r="R624" s="681">
        <v>3000</v>
      </c>
      <c r="S624" s="658"/>
    </row>
    <row r="625" spans="1:19" s="659" customFormat="1" ht="20.100000000000001" customHeight="1">
      <c r="A625" s="657"/>
      <c r="B625" s="649" t="s">
        <v>221</v>
      </c>
      <c r="C625" s="621"/>
      <c r="D625" s="621"/>
      <c r="E625" s="649" t="s">
        <v>221</v>
      </c>
      <c r="F625" s="622" t="s">
        <v>223</v>
      </c>
      <c r="G625" s="622" t="s">
        <v>215</v>
      </c>
      <c r="H625" s="649" t="s">
        <v>222</v>
      </c>
      <c r="I625" s="652" t="s">
        <v>10</v>
      </c>
      <c r="J625" s="622" t="s">
        <v>5457</v>
      </c>
      <c r="K625" s="680">
        <v>123</v>
      </c>
      <c r="L625" s="680">
        <v>5000</v>
      </c>
      <c r="M625" s="681">
        <v>0</v>
      </c>
      <c r="N625" s="681"/>
      <c r="O625" s="681">
        <v>1029</v>
      </c>
      <c r="P625" s="680">
        <v>1000</v>
      </c>
      <c r="Q625" s="682">
        <v>29</v>
      </c>
      <c r="R625" s="681">
        <v>3971</v>
      </c>
      <c r="S625" s="658"/>
    </row>
    <row r="626" spans="1:19" s="659" customFormat="1" ht="20.100000000000001" customHeight="1">
      <c r="A626" s="657"/>
      <c r="B626" s="649" t="s">
        <v>221</v>
      </c>
      <c r="C626" s="621"/>
      <c r="D626" s="621"/>
      <c r="E626" s="649" t="s">
        <v>221</v>
      </c>
      <c r="F626" s="622" t="s">
        <v>223</v>
      </c>
      <c r="G626" s="622" t="s">
        <v>215</v>
      </c>
      <c r="H626" s="649" t="s">
        <v>222</v>
      </c>
      <c r="I626" s="652" t="s">
        <v>10</v>
      </c>
      <c r="J626" s="622" t="s">
        <v>5457</v>
      </c>
      <c r="K626" s="680">
        <v>123</v>
      </c>
      <c r="L626" s="680">
        <v>577</v>
      </c>
      <c r="M626" s="681">
        <v>400</v>
      </c>
      <c r="N626" s="681"/>
      <c r="O626" s="681">
        <v>977</v>
      </c>
      <c r="P626" s="680">
        <v>0</v>
      </c>
      <c r="Q626" s="682">
        <v>977</v>
      </c>
      <c r="R626" s="681">
        <v>0</v>
      </c>
      <c r="S626" s="658"/>
    </row>
    <row r="627" spans="1:19" s="659" customFormat="1" ht="20.100000000000001" customHeight="1">
      <c r="A627" s="657"/>
      <c r="B627" s="649" t="s">
        <v>221</v>
      </c>
      <c r="C627" s="621"/>
      <c r="D627" s="621"/>
      <c r="E627" s="649" t="s">
        <v>221</v>
      </c>
      <c r="F627" s="622" t="s">
        <v>223</v>
      </c>
      <c r="G627" s="622" t="s">
        <v>215</v>
      </c>
      <c r="H627" s="649" t="s">
        <v>222</v>
      </c>
      <c r="I627" s="652" t="s">
        <v>10</v>
      </c>
      <c r="J627" s="622" t="s">
        <v>5457</v>
      </c>
      <c r="K627" s="680">
        <v>123</v>
      </c>
      <c r="L627" s="680">
        <v>100</v>
      </c>
      <c r="M627" s="681">
        <v>0</v>
      </c>
      <c r="N627" s="681"/>
      <c r="O627" s="681">
        <v>100</v>
      </c>
      <c r="P627" s="680">
        <v>0</v>
      </c>
      <c r="Q627" s="682">
        <v>100</v>
      </c>
      <c r="R627" s="681">
        <v>0</v>
      </c>
      <c r="S627" s="658"/>
    </row>
    <row r="628" spans="1:19" s="659" customFormat="1" ht="20.100000000000001" customHeight="1">
      <c r="A628" s="657" t="s">
        <v>4872</v>
      </c>
      <c r="B628" s="649" t="s">
        <v>221</v>
      </c>
      <c r="C628" s="621"/>
      <c r="D628" s="621"/>
      <c r="E628" s="649" t="s">
        <v>4873</v>
      </c>
      <c r="F628" s="622" t="s">
        <v>223</v>
      </c>
      <c r="G628" s="622" t="s">
        <v>215</v>
      </c>
      <c r="H628" s="649" t="s">
        <v>222</v>
      </c>
      <c r="I628" s="652" t="s">
        <v>10</v>
      </c>
      <c r="J628" s="622" t="s">
        <v>5457</v>
      </c>
      <c r="K628" s="680">
        <v>115</v>
      </c>
      <c r="L628" s="680">
        <v>800</v>
      </c>
      <c r="M628" s="681">
        <v>200</v>
      </c>
      <c r="N628" s="681"/>
      <c r="O628" s="681">
        <v>586</v>
      </c>
      <c r="P628" s="680">
        <v>219</v>
      </c>
      <c r="Q628" s="682">
        <v>367</v>
      </c>
      <c r="R628" s="681">
        <v>414</v>
      </c>
      <c r="S628" s="658"/>
    </row>
    <row r="629" spans="1:19" s="659" customFormat="1" ht="20.100000000000001" customHeight="1">
      <c r="A629" s="657" t="s">
        <v>4147</v>
      </c>
      <c r="B629" s="649" t="s">
        <v>645</v>
      </c>
      <c r="C629" s="621"/>
      <c r="D629" s="621"/>
      <c r="E629" s="649" t="s">
        <v>646</v>
      </c>
      <c r="F629" s="622" t="s">
        <v>7718</v>
      </c>
      <c r="G629" s="622" t="s">
        <v>2385</v>
      </c>
      <c r="H629" s="649" t="s">
        <v>248</v>
      </c>
      <c r="I629" s="652" t="s">
        <v>10</v>
      </c>
      <c r="J629" s="622" t="s">
        <v>7717</v>
      </c>
      <c r="K629" s="680">
        <v>225</v>
      </c>
      <c r="L629" s="680">
        <v>28</v>
      </c>
      <c r="M629" s="681">
        <v>0</v>
      </c>
      <c r="N629" s="681"/>
      <c r="O629" s="681">
        <v>28</v>
      </c>
      <c r="P629" s="680">
        <v>0</v>
      </c>
      <c r="Q629" s="682">
        <v>28</v>
      </c>
      <c r="R629" s="681">
        <v>0</v>
      </c>
      <c r="S629" s="658"/>
    </row>
    <row r="630" spans="1:19" s="659" customFormat="1" ht="20.100000000000001" customHeight="1">
      <c r="A630" s="657" t="s">
        <v>4147</v>
      </c>
      <c r="B630" s="649" t="s">
        <v>645</v>
      </c>
      <c r="C630" s="621"/>
      <c r="D630" s="621"/>
      <c r="E630" s="649" t="s">
        <v>646</v>
      </c>
      <c r="F630" s="622" t="s">
        <v>7718</v>
      </c>
      <c r="G630" s="622" t="s">
        <v>2385</v>
      </c>
      <c r="H630" s="649" t="s">
        <v>248</v>
      </c>
      <c r="I630" s="652" t="s">
        <v>11</v>
      </c>
      <c r="J630" s="622" t="s">
        <v>7717</v>
      </c>
      <c r="K630" s="680">
        <v>198</v>
      </c>
      <c r="L630" s="680"/>
      <c r="M630" s="681">
        <v>3450</v>
      </c>
      <c r="N630" s="681"/>
      <c r="O630" s="681">
        <v>1680</v>
      </c>
      <c r="P630" s="680">
        <v>1680</v>
      </c>
      <c r="Q630" s="682">
        <v>0</v>
      </c>
      <c r="R630" s="681">
        <v>1770</v>
      </c>
      <c r="S630" s="658"/>
    </row>
    <row r="631" spans="1:19" s="659" customFormat="1" ht="20.100000000000001" customHeight="1">
      <c r="A631" s="657" t="s">
        <v>6730</v>
      </c>
      <c r="B631" s="649" t="s">
        <v>1488</v>
      </c>
      <c r="C631" s="621"/>
      <c r="D631" s="621"/>
      <c r="E631" s="649" t="s">
        <v>6731</v>
      </c>
      <c r="F631" s="622" t="s">
        <v>6732</v>
      </c>
      <c r="G631" s="622" t="s">
        <v>6102</v>
      </c>
      <c r="H631" s="649" t="s">
        <v>1173</v>
      </c>
      <c r="I631" s="652" t="s">
        <v>11</v>
      </c>
      <c r="J631" s="622" t="s">
        <v>6009</v>
      </c>
      <c r="K631" s="680">
        <v>880</v>
      </c>
      <c r="L631" s="680"/>
      <c r="M631" s="681">
        <v>19980</v>
      </c>
      <c r="N631" s="681"/>
      <c r="O631" s="681">
        <v>1000</v>
      </c>
      <c r="P631" s="680">
        <v>1000</v>
      </c>
      <c r="Q631" s="682">
        <v>0</v>
      </c>
      <c r="R631" s="681">
        <v>18980</v>
      </c>
      <c r="S631" s="658"/>
    </row>
    <row r="632" spans="1:19" s="659" customFormat="1" ht="20.100000000000001" customHeight="1">
      <c r="A632" s="657" t="s">
        <v>6730</v>
      </c>
      <c r="B632" s="649" t="s">
        <v>1488</v>
      </c>
      <c r="C632" s="621"/>
      <c r="D632" s="621"/>
      <c r="E632" s="649" t="s">
        <v>6731</v>
      </c>
      <c r="F632" s="622" t="s">
        <v>6732</v>
      </c>
      <c r="G632" s="622" t="s">
        <v>6102</v>
      </c>
      <c r="H632" s="649" t="s">
        <v>1173</v>
      </c>
      <c r="I632" s="652" t="s">
        <v>11</v>
      </c>
      <c r="J632" s="622" t="s">
        <v>6009</v>
      </c>
      <c r="K632" s="680">
        <v>880</v>
      </c>
      <c r="L632" s="680"/>
      <c r="M632" s="681">
        <v>1980</v>
      </c>
      <c r="N632" s="681"/>
      <c r="O632" s="681">
        <v>1980</v>
      </c>
      <c r="P632" s="680">
        <v>1980</v>
      </c>
      <c r="Q632" s="682">
        <v>0</v>
      </c>
      <c r="R632" s="681">
        <v>0</v>
      </c>
      <c r="S632" s="658"/>
    </row>
    <row r="633" spans="1:19" s="659" customFormat="1" ht="20.100000000000001" customHeight="1">
      <c r="A633" s="657" t="s">
        <v>6125</v>
      </c>
      <c r="B633" s="649" t="s">
        <v>645</v>
      </c>
      <c r="C633" s="621"/>
      <c r="D633" s="621"/>
      <c r="E633" s="649" t="s">
        <v>6126</v>
      </c>
      <c r="F633" s="622" t="s">
        <v>6127</v>
      </c>
      <c r="G633" s="622" t="s">
        <v>6102</v>
      </c>
      <c r="H633" s="649" t="s">
        <v>291</v>
      </c>
      <c r="I633" s="652" t="s">
        <v>11</v>
      </c>
      <c r="J633" s="622" t="s">
        <v>6009</v>
      </c>
      <c r="K633" s="680">
        <v>1300</v>
      </c>
      <c r="L633" s="680"/>
      <c r="M633" s="681">
        <v>9120</v>
      </c>
      <c r="N633" s="681"/>
      <c r="O633" s="681">
        <v>8160</v>
      </c>
      <c r="P633" s="680">
        <v>2128</v>
      </c>
      <c r="Q633" s="682">
        <v>6032</v>
      </c>
      <c r="R633" s="681">
        <v>960</v>
      </c>
      <c r="S633" s="658"/>
    </row>
    <row r="634" spans="1:19" s="659" customFormat="1" ht="20.100000000000001" customHeight="1">
      <c r="A634" s="657" t="s">
        <v>4523</v>
      </c>
      <c r="B634" s="649" t="s">
        <v>256</v>
      </c>
      <c r="C634" s="621"/>
      <c r="D634" s="621"/>
      <c r="E634" s="649" t="s">
        <v>1274</v>
      </c>
      <c r="F634" s="622" t="s">
        <v>1275</v>
      </c>
      <c r="G634" s="622" t="s">
        <v>7288</v>
      </c>
      <c r="H634" s="649" t="s">
        <v>296</v>
      </c>
      <c r="I634" s="652" t="s">
        <v>12</v>
      </c>
      <c r="J634" s="622" t="s">
        <v>8260</v>
      </c>
      <c r="K634" s="680">
        <v>6800</v>
      </c>
      <c r="L634" s="680"/>
      <c r="M634" s="681">
        <v>327</v>
      </c>
      <c r="N634" s="681"/>
      <c r="O634" s="681">
        <v>327</v>
      </c>
      <c r="P634" s="680">
        <v>0</v>
      </c>
      <c r="Q634" s="682">
        <v>327</v>
      </c>
      <c r="R634" s="681">
        <v>0</v>
      </c>
      <c r="S634" s="658"/>
    </row>
    <row r="635" spans="1:19" s="659" customFormat="1" ht="20.100000000000001" customHeight="1">
      <c r="A635" s="657" t="s">
        <v>4523</v>
      </c>
      <c r="B635" s="649" t="s">
        <v>256</v>
      </c>
      <c r="C635" s="621"/>
      <c r="D635" s="621"/>
      <c r="E635" s="649" t="s">
        <v>1274</v>
      </c>
      <c r="F635" s="622" t="s">
        <v>1275</v>
      </c>
      <c r="G635" s="622" t="s">
        <v>7288</v>
      </c>
      <c r="H635" s="649" t="s">
        <v>296</v>
      </c>
      <c r="I635" s="652" t="s">
        <v>12</v>
      </c>
      <c r="J635" s="622" t="s">
        <v>8260</v>
      </c>
      <c r="K635" s="680">
        <v>6800</v>
      </c>
      <c r="L635" s="680">
        <v>3811</v>
      </c>
      <c r="M635" s="681">
        <v>254</v>
      </c>
      <c r="N635" s="681"/>
      <c r="O635" s="681">
        <v>4063</v>
      </c>
      <c r="P635" s="680">
        <v>96</v>
      </c>
      <c r="Q635" s="682">
        <v>3967</v>
      </c>
      <c r="R635" s="681">
        <v>2</v>
      </c>
      <c r="S635" s="658"/>
    </row>
    <row r="636" spans="1:19" s="659" customFormat="1" ht="20.100000000000001" customHeight="1">
      <c r="A636" s="657" t="s">
        <v>8426</v>
      </c>
      <c r="B636" s="649" t="s">
        <v>1668</v>
      </c>
      <c r="C636" s="621"/>
      <c r="D636" s="621"/>
      <c r="E636" s="649" t="s">
        <v>4151</v>
      </c>
      <c r="F636" s="622" t="s">
        <v>7516</v>
      </c>
      <c r="G636" s="622" t="s">
        <v>1449</v>
      </c>
      <c r="H636" s="649" t="s">
        <v>869</v>
      </c>
      <c r="I636" s="652" t="s">
        <v>11</v>
      </c>
      <c r="J636" s="622" t="s">
        <v>7515</v>
      </c>
      <c r="K636" s="680">
        <v>542</v>
      </c>
      <c r="L636" s="680"/>
      <c r="M636" s="681">
        <v>6200</v>
      </c>
      <c r="N636" s="681"/>
      <c r="O636" s="681">
        <v>0</v>
      </c>
      <c r="P636" s="680">
        <v>0</v>
      </c>
      <c r="Q636" s="682">
        <v>0</v>
      </c>
      <c r="R636" s="681">
        <v>6200</v>
      </c>
      <c r="S636" s="658"/>
    </row>
    <row r="637" spans="1:19" s="659" customFormat="1" ht="20.100000000000001" customHeight="1">
      <c r="A637" s="657" t="s">
        <v>7125</v>
      </c>
      <c r="B637" s="649" t="s">
        <v>1697</v>
      </c>
      <c r="C637" s="621"/>
      <c r="D637" s="621"/>
      <c r="E637" s="649" t="s">
        <v>7127</v>
      </c>
      <c r="F637" s="622" t="s">
        <v>7129</v>
      </c>
      <c r="G637" s="622" t="s">
        <v>485</v>
      </c>
      <c r="H637" s="649" t="s">
        <v>7126</v>
      </c>
      <c r="I637" s="652" t="s">
        <v>11</v>
      </c>
      <c r="J637" s="622" t="s">
        <v>7128</v>
      </c>
      <c r="K637" s="680">
        <v>2850</v>
      </c>
      <c r="L637" s="680"/>
      <c r="M637" s="681">
        <v>5000</v>
      </c>
      <c r="N637" s="681"/>
      <c r="O637" s="681">
        <v>1282</v>
      </c>
      <c r="P637" s="680">
        <v>0</v>
      </c>
      <c r="Q637" s="682">
        <v>1282</v>
      </c>
      <c r="R637" s="681">
        <v>3718</v>
      </c>
      <c r="S637" s="658"/>
    </row>
    <row r="638" spans="1:19" s="659" customFormat="1" ht="20.100000000000001" customHeight="1">
      <c r="A638" s="657" t="s">
        <v>4153</v>
      </c>
      <c r="B638" s="649" t="s">
        <v>4155</v>
      </c>
      <c r="C638" s="621"/>
      <c r="D638" s="621"/>
      <c r="E638" s="649" t="s">
        <v>4154</v>
      </c>
      <c r="F638" s="622" t="s">
        <v>7049</v>
      </c>
      <c r="G638" s="622" t="s">
        <v>6510</v>
      </c>
      <c r="H638" s="649" t="s">
        <v>4156</v>
      </c>
      <c r="I638" s="652" t="s">
        <v>520</v>
      </c>
      <c r="J638" s="622" t="s">
        <v>7048</v>
      </c>
      <c r="K638" s="680">
        <v>2415</v>
      </c>
      <c r="L638" s="680">
        <v>24</v>
      </c>
      <c r="M638" s="681">
        <v>10</v>
      </c>
      <c r="N638" s="681"/>
      <c r="O638" s="681">
        <v>10</v>
      </c>
      <c r="P638" s="680">
        <v>10</v>
      </c>
      <c r="Q638" s="682">
        <v>0</v>
      </c>
      <c r="R638" s="681">
        <v>24</v>
      </c>
      <c r="S638" s="658"/>
    </row>
    <row r="639" spans="1:19" s="659" customFormat="1" ht="20.100000000000001" customHeight="1">
      <c r="A639" s="657" t="s">
        <v>4153</v>
      </c>
      <c r="B639" s="649" t="s">
        <v>4155</v>
      </c>
      <c r="C639" s="621"/>
      <c r="D639" s="621"/>
      <c r="E639" s="649" t="s">
        <v>4154</v>
      </c>
      <c r="F639" s="622" t="s">
        <v>7049</v>
      </c>
      <c r="G639" s="622" t="s">
        <v>6510</v>
      </c>
      <c r="H639" s="649" t="s">
        <v>4156</v>
      </c>
      <c r="I639" s="652" t="s">
        <v>520</v>
      </c>
      <c r="J639" s="622" t="s">
        <v>7048</v>
      </c>
      <c r="K639" s="680">
        <v>2415</v>
      </c>
      <c r="L639" s="680">
        <v>90</v>
      </c>
      <c r="M639" s="681">
        <v>0</v>
      </c>
      <c r="N639" s="681"/>
      <c r="O639" s="681">
        <v>34</v>
      </c>
      <c r="P639" s="680">
        <v>0</v>
      </c>
      <c r="Q639" s="682">
        <v>34</v>
      </c>
      <c r="R639" s="681">
        <v>56</v>
      </c>
      <c r="S639" s="658"/>
    </row>
    <row r="640" spans="1:19" s="659" customFormat="1" ht="20.100000000000001" customHeight="1">
      <c r="A640" s="657" t="s">
        <v>4153</v>
      </c>
      <c r="B640" s="649" t="s">
        <v>4155</v>
      </c>
      <c r="C640" s="621"/>
      <c r="D640" s="621"/>
      <c r="E640" s="649" t="s">
        <v>4154</v>
      </c>
      <c r="F640" s="622" t="s">
        <v>7049</v>
      </c>
      <c r="G640" s="622" t="s">
        <v>6510</v>
      </c>
      <c r="H640" s="649" t="s">
        <v>4156</v>
      </c>
      <c r="I640" s="652" t="s">
        <v>520</v>
      </c>
      <c r="J640" s="622" t="s">
        <v>7048</v>
      </c>
      <c r="K640" s="680">
        <v>2415</v>
      </c>
      <c r="L640" s="680">
        <v>100</v>
      </c>
      <c r="M640" s="681">
        <v>0</v>
      </c>
      <c r="N640" s="681"/>
      <c r="O640" s="681">
        <v>0</v>
      </c>
      <c r="P640" s="680">
        <v>0</v>
      </c>
      <c r="Q640" s="682">
        <v>0</v>
      </c>
      <c r="R640" s="681">
        <v>100</v>
      </c>
      <c r="S640" s="658"/>
    </row>
    <row r="641" spans="1:19" s="659" customFormat="1" ht="20.100000000000001" customHeight="1">
      <c r="A641" s="657" t="s">
        <v>5024</v>
      </c>
      <c r="B641" s="649" t="s">
        <v>1636</v>
      </c>
      <c r="C641" s="621"/>
      <c r="D641" s="621"/>
      <c r="E641" s="649" t="s">
        <v>5025</v>
      </c>
      <c r="F641" s="622" t="s">
        <v>7173</v>
      </c>
      <c r="G641" s="622" t="s">
        <v>7174</v>
      </c>
      <c r="H641" s="649" t="s">
        <v>5026</v>
      </c>
      <c r="I641" s="652" t="s">
        <v>11</v>
      </c>
      <c r="J641" s="622" t="s">
        <v>6767</v>
      </c>
      <c r="K641" s="680">
        <v>125</v>
      </c>
      <c r="L641" s="680">
        <v>1100</v>
      </c>
      <c r="M641" s="681">
        <v>18</v>
      </c>
      <c r="N641" s="681"/>
      <c r="O641" s="681">
        <v>1118</v>
      </c>
      <c r="P641" s="680">
        <v>1018</v>
      </c>
      <c r="Q641" s="682">
        <v>100</v>
      </c>
      <c r="R641" s="681">
        <v>0</v>
      </c>
      <c r="S641" s="658"/>
    </row>
    <row r="642" spans="1:19" s="659" customFormat="1" ht="20.100000000000001" customHeight="1">
      <c r="A642" s="657" t="s">
        <v>5024</v>
      </c>
      <c r="B642" s="649" t="s">
        <v>1636</v>
      </c>
      <c r="C642" s="621"/>
      <c r="D642" s="621"/>
      <c r="E642" s="649" t="s">
        <v>5025</v>
      </c>
      <c r="F642" s="622" t="s">
        <v>7173</v>
      </c>
      <c r="G642" s="622" t="s">
        <v>7174</v>
      </c>
      <c r="H642" s="649" t="s">
        <v>5026</v>
      </c>
      <c r="I642" s="652" t="s">
        <v>11</v>
      </c>
      <c r="J642" s="622" t="s">
        <v>6767</v>
      </c>
      <c r="K642" s="680">
        <v>125</v>
      </c>
      <c r="L642" s="680"/>
      <c r="M642" s="681">
        <v>82921</v>
      </c>
      <c r="N642" s="681"/>
      <c r="O642" s="681">
        <v>57475</v>
      </c>
      <c r="P642" s="680">
        <v>44266</v>
      </c>
      <c r="Q642" s="682">
        <v>13209</v>
      </c>
      <c r="R642" s="681">
        <v>25446</v>
      </c>
      <c r="S642" s="658"/>
    </row>
    <row r="643" spans="1:19" s="659" customFormat="1" ht="20.100000000000001" customHeight="1">
      <c r="A643" s="657" t="s">
        <v>5024</v>
      </c>
      <c r="B643" s="649" t="s">
        <v>1636</v>
      </c>
      <c r="C643" s="621"/>
      <c r="D643" s="621"/>
      <c r="E643" s="649" t="s">
        <v>5025</v>
      </c>
      <c r="F643" s="622" t="s">
        <v>7173</v>
      </c>
      <c r="G643" s="622" t="s">
        <v>7174</v>
      </c>
      <c r="H643" s="649" t="s">
        <v>5026</v>
      </c>
      <c r="I643" s="652" t="s">
        <v>11</v>
      </c>
      <c r="J643" s="622" t="s">
        <v>6767</v>
      </c>
      <c r="K643" s="680">
        <v>125</v>
      </c>
      <c r="L643" s="680">
        <v>3488</v>
      </c>
      <c r="M643" s="681">
        <v>5</v>
      </c>
      <c r="N643" s="681"/>
      <c r="O643" s="681">
        <v>3493</v>
      </c>
      <c r="P643" s="680">
        <v>460</v>
      </c>
      <c r="Q643" s="682">
        <v>3033</v>
      </c>
      <c r="R643" s="681">
        <v>0</v>
      </c>
      <c r="S643" s="658"/>
    </row>
    <row r="644" spans="1:19" s="659" customFormat="1" ht="20.100000000000001" customHeight="1">
      <c r="A644" s="657" t="s">
        <v>4446</v>
      </c>
      <c r="B644" s="649" t="s">
        <v>2516</v>
      </c>
      <c r="C644" s="621"/>
      <c r="D644" s="621"/>
      <c r="E644" s="649" t="s">
        <v>2515</v>
      </c>
      <c r="F644" s="622" t="s">
        <v>3132</v>
      </c>
      <c r="G644" s="622" t="s">
        <v>6510</v>
      </c>
      <c r="H644" s="649" t="s">
        <v>4447</v>
      </c>
      <c r="I644" s="652" t="s">
        <v>15</v>
      </c>
      <c r="J644" s="622" t="s">
        <v>7051</v>
      </c>
      <c r="K644" s="680">
        <v>18900</v>
      </c>
      <c r="L644" s="680">
        <v>38</v>
      </c>
      <c r="M644" s="681">
        <v>0</v>
      </c>
      <c r="N644" s="681"/>
      <c r="O644" s="681">
        <v>7</v>
      </c>
      <c r="P644" s="680">
        <v>2</v>
      </c>
      <c r="Q644" s="682">
        <v>5</v>
      </c>
      <c r="R644" s="681">
        <v>31</v>
      </c>
      <c r="S644" s="658"/>
    </row>
    <row r="645" spans="1:19" s="659" customFormat="1" ht="20.100000000000001" customHeight="1">
      <c r="A645" s="657" t="s">
        <v>3792</v>
      </c>
      <c r="B645" s="649" t="s">
        <v>3793</v>
      </c>
      <c r="C645" s="621"/>
      <c r="D645" s="621"/>
      <c r="E645" s="649" t="s">
        <v>4158</v>
      </c>
      <c r="F645" s="622" t="s">
        <v>8034</v>
      </c>
      <c r="G645" s="622" t="s">
        <v>1953</v>
      </c>
      <c r="H645" s="649" t="s">
        <v>4159</v>
      </c>
      <c r="I645" s="652" t="s">
        <v>13</v>
      </c>
      <c r="J645" s="622" t="s">
        <v>8033</v>
      </c>
      <c r="K645" s="680">
        <v>1932</v>
      </c>
      <c r="L645" s="680">
        <v>8753</v>
      </c>
      <c r="M645" s="681">
        <v>10038</v>
      </c>
      <c r="N645" s="681"/>
      <c r="O645" s="681">
        <v>18772</v>
      </c>
      <c r="P645" s="680">
        <v>6095</v>
      </c>
      <c r="Q645" s="682">
        <v>12677</v>
      </c>
      <c r="R645" s="681">
        <v>19</v>
      </c>
      <c r="S645" s="658"/>
    </row>
    <row r="646" spans="1:19" s="659" customFormat="1" ht="20.100000000000001" customHeight="1">
      <c r="A646" s="657" t="s">
        <v>3792</v>
      </c>
      <c r="B646" s="649" t="s">
        <v>3793</v>
      </c>
      <c r="C646" s="621"/>
      <c r="D646" s="621"/>
      <c r="E646" s="649" t="s">
        <v>4158</v>
      </c>
      <c r="F646" s="622" t="s">
        <v>8034</v>
      </c>
      <c r="G646" s="622" t="s">
        <v>1953</v>
      </c>
      <c r="H646" s="649" t="s">
        <v>4159</v>
      </c>
      <c r="I646" s="652" t="s">
        <v>13</v>
      </c>
      <c r="J646" s="622" t="s">
        <v>8033</v>
      </c>
      <c r="K646" s="680">
        <v>1932</v>
      </c>
      <c r="L646" s="680"/>
      <c r="M646" s="681">
        <v>4500</v>
      </c>
      <c r="N646" s="681"/>
      <c r="O646" s="681">
        <v>3218</v>
      </c>
      <c r="P646" s="680">
        <v>0</v>
      </c>
      <c r="Q646" s="682">
        <v>3218</v>
      </c>
      <c r="R646" s="681">
        <v>1282</v>
      </c>
      <c r="S646" s="658"/>
    </row>
    <row r="647" spans="1:19" s="659" customFormat="1" ht="20.100000000000001" customHeight="1">
      <c r="A647" s="657" t="s">
        <v>3792</v>
      </c>
      <c r="B647" s="649" t="s">
        <v>3793</v>
      </c>
      <c r="C647" s="621"/>
      <c r="D647" s="621"/>
      <c r="E647" s="649" t="s">
        <v>4158</v>
      </c>
      <c r="F647" s="622" t="s">
        <v>8034</v>
      </c>
      <c r="G647" s="622" t="s">
        <v>1953</v>
      </c>
      <c r="H647" s="649" t="s">
        <v>4159</v>
      </c>
      <c r="I647" s="652" t="s">
        <v>13</v>
      </c>
      <c r="J647" s="622" t="s">
        <v>8033</v>
      </c>
      <c r="K647" s="680">
        <v>1932</v>
      </c>
      <c r="L647" s="680"/>
      <c r="M647" s="681">
        <v>9028</v>
      </c>
      <c r="N647" s="681"/>
      <c r="O647" s="681">
        <v>3831</v>
      </c>
      <c r="P647" s="680">
        <v>3111</v>
      </c>
      <c r="Q647" s="682">
        <v>720</v>
      </c>
      <c r="R647" s="681">
        <v>5197</v>
      </c>
      <c r="S647" s="658"/>
    </row>
    <row r="648" spans="1:19" s="659" customFormat="1" ht="20.100000000000001" customHeight="1">
      <c r="A648" s="657" t="s">
        <v>4709</v>
      </c>
      <c r="B648" s="649" t="s">
        <v>4711</v>
      </c>
      <c r="C648" s="621"/>
      <c r="D648" s="621"/>
      <c r="E648" s="649" t="s">
        <v>4710</v>
      </c>
      <c r="F648" s="622" t="s">
        <v>8602</v>
      </c>
      <c r="G648" s="622" t="s">
        <v>8603</v>
      </c>
      <c r="H648" s="649" t="s">
        <v>4712</v>
      </c>
      <c r="I648" s="652" t="s">
        <v>658</v>
      </c>
      <c r="J648" s="622" t="s">
        <v>8601</v>
      </c>
      <c r="K648" s="680">
        <v>25850</v>
      </c>
      <c r="L648" s="680">
        <v>299</v>
      </c>
      <c r="M648" s="681">
        <v>0</v>
      </c>
      <c r="N648" s="681"/>
      <c r="O648" s="681">
        <v>136</v>
      </c>
      <c r="P648" s="680">
        <v>0</v>
      </c>
      <c r="Q648" s="682">
        <v>136</v>
      </c>
      <c r="R648" s="681">
        <v>163</v>
      </c>
      <c r="S648" s="658"/>
    </row>
    <row r="649" spans="1:19" s="659" customFormat="1" ht="20.100000000000001" customHeight="1">
      <c r="A649" s="657" t="s">
        <v>4709</v>
      </c>
      <c r="B649" s="649" t="s">
        <v>4711</v>
      </c>
      <c r="C649" s="621"/>
      <c r="D649" s="621"/>
      <c r="E649" s="649" t="s">
        <v>4710</v>
      </c>
      <c r="F649" s="622" t="s">
        <v>8602</v>
      </c>
      <c r="G649" s="622" t="s">
        <v>8603</v>
      </c>
      <c r="H649" s="649" t="s">
        <v>4712</v>
      </c>
      <c r="I649" s="652" t="s">
        <v>658</v>
      </c>
      <c r="J649" s="622" t="s">
        <v>8601</v>
      </c>
      <c r="K649" s="680">
        <v>25850</v>
      </c>
      <c r="L649" s="680"/>
      <c r="M649" s="681">
        <v>300</v>
      </c>
      <c r="N649" s="681"/>
      <c r="O649" s="681">
        <v>0</v>
      </c>
      <c r="P649" s="680">
        <v>0</v>
      </c>
      <c r="Q649" s="682">
        <v>0</v>
      </c>
      <c r="R649" s="681">
        <v>300</v>
      </c>
      <c r="S649" s="658"/>
    </row>
    <row r="650" spans="1:19" s="659" customFormat="1" ht="20.100000000000001" customHeight="1">
      <c r="A650" s="657" t="s">
        <v>4709</v>
      </c>
      <c r="B650" s="649" t="s">
        <v>4711</v>
      </c>
      <c r="C650" s="621"/>
      <c r="D650" s="621"/>
      <c r="E650" s="649" t="s">
        <v>4710</v>
      </c>
      <c r="F650" s="622" t="s">
        <v>8602</v>
      </c>
      <c r="G650" s="622" t="s">
        <v>8603</v>
      </c>
      <c r="H650" s="649" t="s">
        <v>4712</v>
      </c>
      <c r="I650" s="652" t="s">
        <v>658</v>
      </c>
      <c r="J650" s="622" t="s">
        <v>8601</v>
      </c>
      <c r="K650" s="680">
        <v>25850</v>
      </c>
      <c r="L650" s="680">
        <v>201</v>
      </c>
      <c r="M650" s="681">
        <v>0</v>
      </c>
      <c r="N650" s="681"/>
      <c r="O650" s="681">
        <v>0</v>
      </c>
      <c r="P650" s="680">
        <v>0</v>
      </c>
      <c r="Q650" s="682">
        <v>0</v>
      </c>
      <c r="R650" s="681">
        <v>201</v>
      </c>
      <c r="S650" s="658"/>
    </row>
    <row r="651" spans="1:19" s="659" customFormat="1" ht="20.100000000000001" customHeight="1">
      <c r="A651" s="657" t="s">
        <v>4709</v>
      </c>
      <c r="B651" s="649" t="s">
        <v>4711</v>
      </c>
      <c r="C651" s="621"/>
      <c r="D651" s="621"/>
      <c r="E651" s="649" t="s">
        <v>4710</v>
      </c>
      <c r="F651" s="622" t="s">
        <v>8602</v>
      </c>
      <c r="G651" s="622" t="s">
        <v>8603</v>
      </c>
      <c r="H651" s="649" t="s">
        <v>4712</v>
      </c>
      <c r="I651" s="652" t="s">
        <v>658</v>
      </c>
      <c r="J651" s="622" t="s">
        <v>8601</v>
      </c>
      <c r="K651" s="680">
        <v>25850</v>
      </c>
      <c r="L651" s="680">
        <v>110</v>
      </c>
      <c r="M651" s="681">
        <v>0</v>
      </c>
      <c r="N651" s="681"/>
      <c r="O651" s="681">
        <v>110</v>
      </c>
      <c r="P651" s="680">
        <v>0</v>
      </c>
      <c r="Q651" s="682">
        <v>110</v>
      </c>
      <c r="R651" s="681">
        <v>0</v>
      </c>
      <c r="S651" s="658"/>
    </row>
    <row r="652" spans="1:19" s="659" customFormat="1" ht="20.100000000000001" customHeight="1">
      <c r="A652" s="657" t="s">
        <v>4622</v>
      </c>
      <c r="B652" s="649" t="s">
        <v>52</v>
      </c>
      <c r="C652" s="621"/>
      <c r="D652" s="621"/>
      <c r="E652" s="649" t="s">
        <v>12384</v>
      </c>
      <c r="F652" s="622" t="s">
        <v>2238</v>
      </c>
      <c r="G652" s="622" t="s">
        <v>8889</v>
      </c>
      <c r="H652" s="649" t="s">
        <v>12385</v>
      </c>
      <c r="I652" s="652" t="s">
        <v>15</v>
      </c>
      <c r="J652" s="622" t="s">
        <v>8887</v>
      </c>
      <c r="K652" s="680">
        <v>70000</v>
      </c>
      <c r="L652" s="680"/>
      <c r="M652" s="681">
        <v>60</v>
      </c>
      <c r="N652" s="681"/>
      <c r="O652" s="681">
        <v>60</v>
      </c>
      <c r="P652" s="680">
        <v>60</v>
      </c>
      <c r="Q652" s="682">
        <v>0</v>
      </c>
      <c r="R652" s="681">
        <v>0</v>
      </c>
      <c r="S652" s="658"/>
    </row>
    <row r="653" spans="1:19" s="659" customFormat="1" ht="20.100000000000001" customHeight="1">
      <c r="A653" s="657" t="s">
        <v>5010</v>
      </c>
      <c r="B653" s="649" t="s">
        <v>1289</v>
      </c>
      <c r="C653" s="621"/>
      <c r="D653" s="621"/>
      <c r="E653" s="649" t="s">
        <v>8377</v>
      </c>
      <c r="F653" s="622" t="s">
        <v>8378</v>
      </c>
      <c r="G653" s="622" t="s">
        <v>8379</v>
      </c>
      <c r="H653" s="649" t="s">
        <v>8376</v>
      </c>
      <c r="I653" s="652" t="s">
        <v>11</v>
      </c>
      <c r="J653" s="622" t="s">
        <v>8341</v>
      </c>
      <c r="K653" s="680">
        <v>3400</v>
      </c>
      <c r="L653" s="680"/>
      <c r="M653" s="681">
        <v>4980</v>
      </c>
      <c r="N653" s="681"/>
      <c r="O653" s="681">
        <v>225</v>
      </c>
      <c r="P653" s="680">
        <v>0</v>
      </c>
      <c r="Q653" s="682">
        <v>225</v>
      </c>
      <c r="R653" s="681">
        <v>4755</v>
      </c>
      <c r="S653" s="658"/>
    </row>
    <row r="654" spans="1:19" s="659" customFormat="1" ht="20.100000000000001" customHeight="1">
      <c r="A654" s="657" t="s">
        <v>4875</v>
      </c>
      <c r="B654" s="649" t="s">
        <v>224</v>
      </c>
      <c r="C654" s="621"/>
      <c r="D654" s="621"/>
      <c r="E654" s="649" t="s">
        <v>4876</v>
      </c>
      <c r="F654" s="622" t="s">
        <v>226</v>
      </c>
      <c r="G654" s="622" t="s">
        <v>215</v>
      </c>
      <c r="H654" s="649" t="s">
        <v>225</v>
      </c>
      <c r="I654" s="652" t="s">
        <v>10</v>
      </c>
      <c r="J654" s="622" t="s">
        <v>5463</v>
      </c>
      <c r="K654" s="680">
        <v>1450</v>
      </c>
      <c r="L654" s="680">
        <v>320</v>
      </c>
      <c r="M654" s="681">
        <v>0</v>
      </c>
      <c r="N654" s="681"/>
      <c r="O654" s="681">
        <v>228</v>
      </c>
      <c r="P654" s="680">
        <v>80</v>
      </c>
      <c r="Q654" s="682">
        <v>148</v>
      </c>
      <c r="R654" s="681">
        <v>92</v>
      </c>
      <c r="S654" s="658"/>
    </row>
    <row r="655" spans="1:19" s="659" customFormat="1" ht="20.100000000000001" customHeight="1">
      <c r="A655" s="657" t="s">
        <v>4875</v>
      </c>
      <c r="B655" s="649" t="s">
        <v>224</v>
      </c>
      <c r="C655" s="621"/>
      <c r="D655" s="621"/>
      <c r="E655" s="649" t="s">
        <v>4876</v>
      </c>
      <c r="F655" s="622" t="s">
        <v>226</v>
      </c>
      <c r="G655" s="622" t="s">
        <v>215</v>
      </c>
      <c r="H655" s="649" t="s">
        <v>225</v>
      </c>
      <c r="I655" s="652" t="s">
        <v>10</v>
      </c>
      <c r="J655" s="622" t="s">
        <v>5463</v>
      </c>
      <c r="K655" s="680">
        <v>1450</v>
      </c>
      <c r="L655" s="680"/>
      <c r="M655" s="681">
        <v>200</v>
      </c>
      <c r="N655" s="681"/>
      <c r="O655" s="681">
        <v>0</v>
      </c>
      <c r="P655" s="680">
        <v>0</v>
      </c>
      <c r="Q655" s="682">
        <v>0</v>
      </c>
      <c r="R655" s="681">
        <v>200</v>
      </c>
      <c r="S655" s="658"/>
    </row>
    <row r="656" spans="1:19" s="659" customFormat="1" ht="20.100000000000001" customHeight="1">
      <c r="A656" s="657" t="s">
        <v>4875</v>
      </c>
      <c r="B656" s="649" t="s">
        <v>224</v>
      </c>
      <c r="C656" s="621"/>
      <c r="D656" s="621"/>
      <c r="E656" s="649" t="s">
        <v>4876</v>
      </c>
      <c r="F656" s="622" t="s">
        <v>226</v>
      </c>
      <c r="G656" s="622" t="s">
        <v>215</v>
      </c>
      <c r="H656" s="649" t="s">
        <v>225</v>
      </c>
      <c r="I656" s="652" t="s">
        <v>10</v>
      </c>
      <c r="J656" s="622" t="s">
        <v>5463</v>
      </c>
      <c r="K656" s="680">
        <v>1450</v>
      </c>
      <c r="L656" s="680">
        <v>10</v>
      </c>
      <c r="M656" s="681">
        <v>0</v>
      </c>
      <c r="N656" s="681"/>
      <c r="O656" s="681">
        <v>10</v>
      </c>
      <c r="P656" s="680">
        <v>0</v>
      </c>
      <c r="Q656" s="682">
        <v>10</v>
      </c>
      <c r="R656" s="681">
        <v>0</v>
      </c>
      <c r="S656" s="658"/>
    </row>
    <row r="657" spans="1:19" s="659" customFormat="1" ht="20.100000000000001" customHeight="1">
      <c r="A657" s="657" t="s">
        <v>4877</v>
      </c>
      <c r="B657" s="649" t="s">
        <v>224</v>
      </c>
      <c r="C657" s="621"/>
      <c r="D657" s="621"/>
      <c r="E657" s="649" t="s">
        <v>4876</v>
      </c>
      <c r="F657" s="622" t="s">
        <v>226</v>
      </c>
      <c r="G657" s="622" t="s">
        <v>215</v>
      </c>
      <c r="H657" s="649" t="s">
        <v>225</v>
      </c>
      <c r="I657" s="652" t="s">
        <v>10</v>
      </c>
      <c r="J657" s="622" t="s">
        <v>5463</v>
      </c>
      <c r="K657" s="680">
        <v>1450</v>
      </c>
      <c r="L657" s="680">
        <v>75</v>
      </c>
      <c r="M657" s="681">
        <v>0</v>
      </c>
      <c r="N657" s="681"/>
      <c r="O657" s="681">
        <v>75</v>
      </c>
      <c r="P657" s="680">
        <v>0</v>
      </c>
      <c r="Q657" s="682">
        <v>75</v>
      </c>
      <c r="R657" s="681">
        <v>0</v>
      </c>
      <c r="S657" s="658"/>
    </row>
    <row r="658" spans="1:19" s="659" customFormat="1" ht="20.100000000000001" customHeight="1">
      <c r="A658" s="657" t="s">
        <v>4162</v>
      </c>
      <c r="B658" s="649" t="s">
        <v>1119</v>
      </c>
      <c r="C658" s="621"/>
      <c r="D658" s="621"/>
      <c r="E658" s="649" t="s">
        <v>1120</v>
      </c>
      <c r="F658" s="622" t="s">
        <v>1121</v>
      </c>
      <c r="G658" s="622" t="s">
        <v>1122</v>
      </c>
      <c r="H658" s="649" t="s">
        <v>17</v>
      </c>
      <c r="I658" s="652" t="s">
        <v>11</v>
      </c>
      <c r="J658" s="622" t="s">
        <v>814</v>
      </c>
      <c r="K658" s="680">
        <v>6750</v>
      </c>
      <c r="L658" s="680">
        <v>9420</v>
      </c>
      <c r="M658" s="681">
        <v>0</v>
      </c>
      <c r="N658" s="681"/>
      <c r="O658" s="681">
        <v>9420</v>
      </c>
      <c r="P658" s="680">
        <v>0</v>
      </c>
      <c r="Q658" s="682">
        <v>9420</v>
      </c>
      <c r="R658" s="681">
        <v>0</v>
      </c>
      <c r="S658" s="658"/>
    </row>
    <row r="659" spans="1:19" s="659" customFormat="1" ht="20.100000000000001" customHeight="1">
      <c r="A659" s="657" t="s">
        <v>8631</v>
      </c>
      <c r="B659" s="649" t="s">
        <v>12387</v>
      </c>
      <c r="C659" s="621"/>
      <c r="D659" s="621"/>
      <c r="E659" s="649" t="s">
        <v>8634</v>
      </c>
      <c r="F659" s="622" t="s">
        <v>8636</v>
      </c>
      <c r="G659" s="622" t="s">
        <v>8603</v>
      </c>
      <c r="H659" s="649" t="s">
        <v>272</v>
      </c>
      <c r="I659" s="652" t="s">
        <v>11</v>
      </c>
      <c r="J659" s="622" t="s">
        <v>8635</v>
      </c>
      <c r="K659" s="680">
        <v>1900</v>
      </c>
      <c r="L659" s="680"/>
      <c r="M659" s="681">
        <v>5000</v>
      </c>
      <c r="N659" s="681"/>
      <c r="O659" s="681">
        <v>2143</v>
      </c>
      <c r="P659" s="680">
        <v>0</v>
      </c>
      <c r="Q659" s="682">
        <v>2143</v>
      </c>
      <c r="R659" s="681">
        <v>2857</v>
      </c>
      <c r="S659" s="658"/>
    </row>
    <row r="660" spans="1:19" s="659" customFormat="1" ht="20.100000000000001" customHeight="1">
      <c r="A660" s="657" t="s">
        <v>4164</v>
      </c>
      <c r="B660" s="649" t="s">
        <v>765</v>
      </c>
      <c r="C660" s="621"/>
      <c r="D660" s="621"/>
      <c r="E660" s="649" t="s">
        <v>4165</v>
      </c>
      <c r="F660" s="622" t="s">
        <v>7565</v>
      </c>
      <c r="G660" s="622" t="s">
        <v>7566</v>
      </c>
      <c r="H660" s="649" t="s">
        <v>272</v>
      </c>
      <c r="I660" s="652" t="s">
        <v>11</v>
      </c>
      <c r="J660" s="622" t="s">
        <v>7564</v>
      </c>
      <c r="K660" s="680">
        <v>1620</v>
      </c>
      <c r="L660" s="680">
        <v>156</v>
      </c>
      <c r="M660" s="681">
        <v>0</v>
      </c>
      <c r="N660" s="681"/>
      <c r="O660" s="681">
        <v>41</v>
      </c>
      <c r="P660" s="680">
        <v>31</v>
      </c>
      <c r="Q660" s="682">
        <v>10</v>
      </c>
      <c r="R660" s="681">
        <v>115</v>
      </c>
      <c r="S660" s="658"/>
    </row>
    <row r="661" spans="1:19" s="659" customFormat="1" ht="20.100000000000001" customHeight="1">
      <c r="A661" s="657" t="s">
        <v>4164</v>
      </c>
      <c r="B661" s="649" t="s">
        <v>765</v>
      </c>
      <c r="C661" s="621"/>
      <c r="D661" s="621"/>
      <c r="E661" s="649" t="s">
        <v>4165</v>
      </c>
      <c r="F661" s="622" t="s">
        <v>7565</v>
      </c>
      <c r="G661" s="622" t="s">
        <v>7566</v>
      </c>
      <c r="H661" s="649" t="s">
        <v>272</v>
      </c>
      <c r="I661" s="652" t="s">
        <v>11</v>
      </c>
      <c r="J661" s="622" t="s">
        <v>7564</v>
      </c>
      <c r="K661" s="680">
        <v>1620</v>
      </c>
      <c r="L661" s="680">
        <v>2000</v>
      </c>
      <c r="M661" s="681">
        <v>0</v>
      </c>
      <c r="N661" s="681"/>
      <c r="O661" s="681">
        <v>0</v>
      </c>
      <c r="P661" s="680">
        <v>0</v>
      </c>
      <c r="Q661" s="682">
        <v>0</v>
      </c>
      <c r="R661" s="681">
        <v>2000</v>
      </c>
      <c r="S661" s="658"/>
    </row>
    <row r="662" spans="1:19" s="659" customFormat="1" ht="20.100000000000001" customHeight="1">
      <c r="A662" s="657" t="s">
        <v>4167</v>
      </c>
      <c r="B662" s="649" t="s">
        <v>765</v>
      </c>
      <c r="C662" s="621"/>
      <c r="D662" s="621"/>
      <c r="E662" s="649" t="s">
        <v>766</v>
      </c>
      <c r="F662" s="622" t="s">
        <v>6028</v>
      </c>
      <c r="G662" s="622" t="s">
        <v>6029</v>
      </c>
      <c r="H662" s="649" t="s">
        <v>767</v>
      </c>
      <c r="I662" s="652" t="s">
        <v>520</v>
      </c>
      <c r="J662" s="622" t="s">
        <v>6027</v>
      </c>
      <c r="K662" s="680">
        <v>9430</v>
      </c>
      <c r="L662" s="680">
        <v>74</v>
      </c>
      <c r="M662" s="681">
        <v>0</v>
      </c>
      <c r="N662" s="681"/>
      <c r="O662" s="681">
        <v>27</v>
      </c>
      <c r="P662" s="680">
        <v>32</v>
      </c>
      <c r="Q662" s="682">
        <v>-5</v>
      </c>
      <c r="R662" s="681">
        <v>47</v>
      </c>
      <c r="S662" s="658"/>
    </row>
    <row r="663" spans="1:19" s="659" customFormat="1" ht="20.100000000000001" customHeight="1">
      <c r="A663" s="657" t="s">
        <v>7421</v>
      </c>
      <c r="B663" s="649" t="s">
        <v>639</v>
      </c>
      <c r="C663" s="621"/>
      <c r="D663" s="621"/>
      <c r="E663" s="649" t="s">
        <v>7422</v>
      </c>
      <c r="F663" s="622" t="s">
        <v>7423</v>
      </c>
      <c r="G663" s="622" t="s">
        <v>6536</v>
      </c>
      <c r="H663" s="649" t="s">
        <v>641</v>
      </c>
      <c r="I663" s="652" t="s">
        <v>11</v>
      </c>
      <c r="J663" s="622" t="s">
        <v>6893</v>
      </c>
      <c r="K663" s="680">
        <v>3600</v>
      </c>
      <c r="L663" s="680"/>
      <c r="M663" s="681">
        <v>386</v>
      </c>
      <c r="N663" s="681"/>
      <c r="O663" s="681">
        <v>386</v>
      </c>
      <c r="P663" s="680">
        <v>0</v>
      </c>
      <c r="Q663" s="682">
        <v>386</v>
      </c>
      <c r="R663" s="681">
        <v>0</v>
      </c>
      <c r="S663" s="658"/>
    </row>
    <row r="664" spans="1:19" s="659" customFormat="1" ht="20.100000000000001" customHeight="1">
      <c r="A664" s="657" t="s">
        <v>7421</v>
      </c>
      <c r="B664" s="649" t="s">
        <v>639</v>
      </c>
      <c r="C664" s="621"/>
      <c r="D664" s="621"/>
      <c r="E664" s="649" t="s">
        <v>7422</v>
      </c>
      <c r="F664" s="622" t="s">
        <v>7423</v>
      </c>
      <c r="G664" s="622" t="s">
        <v>6536</v>
      </c>
      <c r="H664" s="649" t="s">
        <v>641</v>
      </c>
      <c r="I664" s="652" t="s">
        <v>11</v>
      </c>
      <c r="J664" s="622" t="s">
        <v>6893</v>
      </c>
      <c r="K664" s="680">
        <v>3600</v>
      </c>
      <c r="L664" s="680"/>
      <c r="M664" s="681">
        <v>2010</v>
      </c>
      <c r="N664" s="681"/>
      <c r="O664" s="681">
        <v>250</v>
      </c>
      <c r="P664" s="680">
        <v>20</v>
      </c>
      <c r="Q664" s="682">
        <v>230</v>
      </c>
      <c r="R664" s="681">
        <v>1760</v>
      </c>
      <c r="S664" s="658"/>
    </row>
    <row r="665" spans="1:19" s="659" customFormat="1" ht="20.100000000000001" customHeight="1">
      <c r="A665" s="657" t="s">
        <v>8326</v>
      </c>
      <c r="B665" s="649" t="s">
        <v>11847</v>
      </c>
      <c r="C665" s="621"/>
      <c r="D665" s="621"/>
      <c r="E665" s="649" t="s">
        <v>8327</v>
      </c>
      <c r="F665" s="622" t="s">
        <v>8328</v>
      </c>
      <c r="G665" s="622" t="s">
        <v>8329</v>
      </c>
      <c r="H665" s="649" t="s">
        <v>1680</v>
      </c>
      <c r="I665" s="652" t="s">
        <v>11</v>
      </c>
      <c r="J665" s="622" t="s">
        <v>6478</v>
      </c>
      <c r="K665" s="680">
        <v>3748</v>
      </c>
      <c r="L665" s="680"/>
      <c r="M665" s="681">
        <v>30200</v>
      </c>
      <c r="N665" s="681"/>
      <c r="O665" s="681">
        <v>4373</v>
      </c>
      <c r="P665" s="680">
        <v>2263</v>
      </c>
      <c r="Q665" s="682">
        <v>2110</v>
      </c>
      <c r="R665" s="681">
        <v>25827</v>
      </c>
      <c r="S665" s="658"/>
    </row>
    <row r="666" spans="1:19" s="659" customFormat="1" ht="20.100000000000001" customHeight="1">
      <c r="A666" s="657" t="s">
        <v>4879</v>
      </c>
      <c r="B666" s="649" t="s">
        <v>353</v>
      </c>
      <c r="C666" s="621"/>
      <c r="D666" s="621"/>
      <c r="E666" s="649" t="s">
        <v>461</v>
      </c>
      <c r="F666" s="622" t="s">
        <v>462</v>
      </c>
      <c r="G666" s="622" t="s">
        <v>458</v>
      </c>
      <c r="H666" s="649" t="s">
        <v>381</v>
      </c>
      <c r="I666" s="652" t="s">
        <v>10</v>
      </c>
      <c r="J666" s="622" t="s">
        <v>5221</v>
      </c>
      <c r="K666" s="680">
        <v>1410</v>
      </c>
      <c r="L666" s="680">
        <v>7227</v>
      </c>
      <c r="M666" s="681">
        <v>0</v>
      </c>
      <c r="N666" s="681"/>
      <c r="O666" s="681">
        <v>7227</v>
      </c>
      <c r="P666" s="680">
        <v>600</v>
      </c>
      <c r="Q666" s="682">
        <v>6627</v>
      </c>
      <c r="R666" s="681">
        <v>0</v>
      </c>
      <c r="S666" s="658"/>
    </row>
    <row r="667" spans="1:19" s="659" customFormat="1" ht="20.100000000000001" customHeight="1">
      <c r="A667" s="657" t="s">
        <v>4879</v>
      </c>
      <c r="B667" s="649" t="s">
        <v>353</v>
      </c>
      <c r="C667" s="621"/>
      <c r="D667" s="621"/>
      <c r="E667" s="649" t="s">
        <v>461</v>
      </c>
      <c r="F667" s="622" t="s">
        <v>462</v>
      </c>
      <c r="G667" s="622" t="s">
        <v>458</v>
      </c>
      <c r="H667" s="649" t="s">
        <v>381</v>
      </c>
      <c r="I667" s="652" t="s">
        <v>10</v>
      </c>
      <c r="J667" s="622" t="s">
        <v>5221</v>
      </c>
      <c r="K667" s="680">
        <v>1410</v>
      </c>
      <c r="L667" s="680">
        <v>318</v>
      </c>
      <c r="M667" s="681">
        <v>2</v>
      </c>
      <c r="N667" s="681"/>
      <c r="O667" s="681">
        <v>320</v>
      </c>
      <c r="P667" s="680">
        <v>320</v>
      </c>
      <c r="Q667" s="682">
        <v>0</v>
      </c>
      <c r="R667" s="681">
        <v>0</v>
      </c>
      <c r="S667" s="658"/>
    </row>
    <row r="668" spans="1:19" s="659" customFormat="1" ht="20.100000000000001" customHeight="1">
      <c r="A668" s="657"/>
      <c r="B668" s="649" t="s">
        <v>353</v>
      </c>
      <c r="C668" s="621"/>
      <c r="D668" s="621"/>
      <c r="E668" s="649" t="s">
        <v>353</v>
      </c>
      <c r="F668" s="622" t="s">
        <v>382</v>
      </c>
      <c r="G668" s="622" t="s">
        <v>360</v>
      </c>
      <c r="H668" s="649" t="s">
        <v>381</v>
      </c>
      <c r="I668" s="652" t="s">
        <v>10</v>
      </c>
      <c r="J668" s="622" t="s">
        <v>5103</v>
      </c>
      <c r="K668" s="680">
        <v>53</v>
      </c>
      <c r="L668" s="680">
        <v>1500</v>
      </c>
      <c r="M668" s="681">
        <v>0</v>
      </c>
      <c r="N668" s="681"/>
      <c r="O668" s="681">
        <v>1500</v>
      </c>
      <c r="P668" s="680">
        <v>0</v>
      </c>
      <c r="Q668" s="682">
        <v>1500</v>
      </c>
      <c r="R668" s="681">
        <v>0</v>
      </c>
      <c r="S668" s="658"/>
    </row>
    <row r="669" spans="1:19" s="659" customFormat="1" ht="20.100000000000001" customHeight="1">
      <c r="A669" s="657"/>
      <c r="B669" s="649" t="s">
        <v>353</v>
      </c>
      <c r="C669" s="621"/>
      <c r="D669" s="621"/>
      <c r="E669" s="649" t="s">
        <v>353</v>
      </c>
      <c r="F669" s="622" t="s">
        <v>382</v>
      </c>
      <c r="G669" s="622" t="s">
        <v>360</v>
      </c>
      <c r="H669" s="649" t="s">
        <v>381</v>
      </c>
      <c r="I669" s="652" t="s">
        <v>10</v>
      </c>
      <c r="J669" s="622" t="s">
        <v>5103</v>
      </c>
      <c r="K669" s="680">
        <v>53</v>
      </c>
      <c r="L669" s="680">
        <v>15000</v>
      </c>
      <c r="M669" s="681">
        <v>0</v>
      </c>
      <c r="N669" s="681"/>
      <c r="O669" s="681">
        <v>14996</v>
      </c>
      <c r="P669" s="680">
        <v>11110</v>
      </c>
      <c r="Q669" s="682">
        <v>3886</v>
      </c>
      <c r="R669" s="681">
        <v>4</v>
      </c>
      <c r="S669" s="658"/>
    </row>
    <row r="670" spans="1:19" s="659" customFormat="1" ht="20.100000000000001" customHeight="1">
      <c r="A670" s="657"/>
      <c r="B670" s="649" t="s">
        <v>265</v>
      </c>
      <c r="C670" s="621"/>
      <c r="D670" s="621"/>
      <c r="E670" s="649" t="s">
        <v>4882</v>
      </c>
      <c r="F670" s="622" t="s">
        <v>470</v>
      </c>
      <c r="G670" s="622" t="s">
        <v>463</v>
      </c>
      <c r="H670" s="649" t="s">
        <v>390</v>
      </c>
      <c r="I670" s="652" t="s">
        <v>10</v>
      </c>
      <c r="J670" s="622" t="s">
        <v>5542</v>
      </c>
      <c r="K670" s="680">
        <v>900</v>
      </c>
      <c r="L670" s="680">
        <v>190</v>
      </c>
      <c r="M670" s="681">
        <v>0</v>
      </c>
      <c r="N670" s="681"/>
      <c r="O670" s="681">
        <v>190</v>
      </c>
      <c r="P670" s="680">
        <v>8</v>
      </c>
      <c r="Q670" s="682">
        <v>182</v>
      </c>
      <c r="R670" s="681">
        <v>0</v>
      </c>
      <c r="S670" s="658"/>
    </row>
    <row r="671" spans="1:19" s="659" customFormat="1" ht="20.100000000000001" customHeight="1">
      <c r="A671" s="657"/>
      <c r="B671" s="649" t="s">
        <v>265</v>
      </c>
      <c r="C671" s="621"/>
      <c r="D671" s="621"/>
      <c r="E671" s="649" t="s">
        <v>4882</v>
      </c>
      <c r="F671" s="622" t="s">
        <v>470</v>
      </c>
      <c r="G671" s="622" t="s">
        <v>463</v>
      </c>
      <c r="H671" s="649" t="s">
        <v>390</v>
      </c>
      <c r="I671" s="652" t="s">
        <v>10</v>
      </c>
      <c r="J671" s="622" t="s">
        <v>5542</v>
      </c>
      <c r="K671" s="680">
        <v>900</v>
      </c>
      <c r="L671" s="680">
        <v>6010</v>
      </c>
      <c r="M671" s="681">
        <v>0</v>
      </c>
      <c r="N671" s="681"/>
      <c r="O671" s="681">
        <v>310</v>
      </c>
      <c r="P671" s="680">
        <v>3</v>
      </c>
      <c r="Q671" s="682">
        <v>307</v>
      </c>
      <c r="R671" s="681">
        <v>5700</v>
      </c>
      <c r="S671" s="658"/>
    </row>
    <row r="672" spans="1:19" s="659" customFormat="1" ht="20.100000000000001" customHeight="1">
      <c r="A672" s="657"/>
      <c r="B672" s="649" t="s">
        <v>265</v>
      </c>
      <c r="C672" s="621"/>
      <c r="D672" s="621"/>
      <c r="E672" s="649" t="s">
        <v>4882</v>
      </c>
      <c r="F672" s="622" t="s">
        <v>470</v>
      </c>
      <c r="G672" s="622" t="s">
        <v>463</v>
      </c>
      <c r="H672" s="649" t="s">
        <v>390</v>
      </c>
      <c r="I672" s="652" t="s">
        <v>10</v>
      </c>
      <c r="J672" s="622" t="s">
        <v>5542</v>
      </c>
      <c r="K672" s="680">
        <v>900</v>
      </c>
      <c r="L672" s="680">
        <v>20</v>
      </c>
      <c r="M672" s="681">
        <v>0</v>
      </c>
      <c r="N672" s="681"/>
      <c r="O672" s="681">
        <v>20</v>
      </c>
      <c r="P672" s="680">
        <v>0</v>
      </c>
      <c r="Q672" s="682">
        <v>20</v>
      </c>
      <c r="R672" s="681">
        <v>0</v>
      </c>
      <c r="S672" s="658"/>
    </row>
    <row r="673" spans="1:19" s="659" customFormat="1" ht="20.100000000000001" customHeight="1">
      <c r="A673" s="657" t="s">
        <v>4527</v>
      </c>
      <c r="B673" s="649" t="s">
        <v>4528</v>
      </c>
      <c r="C673" s="621"/>
      <c r="D673" s="621"/>
      <c r="E673" s="649" t="s">
        <v>1594</v>
      </c>
      <c r="F673" s="622" t="s">
        <v>1597</v>
      </c>
      <c r="G673" s="622" t="s">
        <v>7335</v>
      </c>
      <c r="H673" s="649" t="s">
        <v>4529</v>
      </c>
      <c r="I673" s="652" t="s">
        <v>658</v>
      </c>
      <c r="J673" s="622" t="s">
        <v>7334</v>
      </c>
      <c r="K673" s="680">
        <v>37000</v>
      </c>
      <c r="L673" s="680"/>
      <c r="M673" s="681">
        <v>220</v>
      </c>
      <c r="N673" s="681"/>
      <c r="O673" s="681">
        <v>0</v>
      </c>
      <c r="P673" s="680">
        <v>0</v>
      </c>
      <c r="Q673" s="682">
        <v>0</v>
      </c>
      <c r="R673" s="681">
        <v>220</v>
      </c>
      <c r="S673" s="658"/>
    </row>
    <row r="674" spans="1:19" s="659" customFormat="1" ht="20.100000000000001" customHeight="1">
      <c r="A674" s="657" t="s">
        <v>4527</v>
      </c>
      <c r="B674" s="649" t="s">
        <v>4528</v>
      </c>
      <c r="C674" s="621"/>
      <c r="D674" s="621"/>
      <c r="E674" s="649" t="s">
        <v>1594</v>
      </c>
      <c r="F674" s="622" t="s">
        <v>1597</v>
      </c>
      <c r="G674" s="622" t="s">
        <v>7335</v>
      </c>
      <c r="H674" s="649" t="s">
        <v>4529</v>
      </c>
      <c r="I674" s="652" t="s">
        <v>658</v>
      </c>
      <c r="J674" s="622" t="s">
        <v>7334</v>
      </c>
      <c r="K674" s="680">
        <v>37000</v>
      </c>
      <c r="L674" s="680"/>
      <c r="M674" s="681">
        <v>200</v>
      </c>
      <c r="N674" s="681"/>
      <c r="O674" s="681">
        <v>132</v>
      </c>
      <c r="P674" s="680">
        <v>41</v>
      </c>
      <c r="Q674" s="682">
        <v>91</v>
      </c>
      <c r="R674" s="681">
        <v>68</v>
      </c>
      <c r="S674" s="658"/>
    </row>
    <row r="675" spans="1:19" s="659" customFormat="1" ht="20.100000000000001" customHeight="1">
      <c r="A675" s="657" t="s">
        <v>4527</v>
      </c>
      <c r="B675" s="649" t="s">
        <v>4528</v>
      </c>
      <c r="C675" s="621"/>
      <c r="D675" s="621"/>
      <c r="E675" s="649" t="s">
        <v>1594</v>
      </c>
      <c r="F675" s="622" t="s">
        <v>1597</v>
      </c>
      <c r="G675" s="622" t="s">
        <v>7335</v>
      </c>
      <c r="H675" s="649" t="s">
        <v>4529</v>
      </c>
      <c r="I675" s="652" t="s">
        <v>658</v>
      </c>
      <c r="J675" s="622" t="s">
        <v>7334</v>
      </c>
      <c r="K675" s="680">
        <v>37000</v>
      </c>
      <c r="L675" s="680">
        <v>71</v>
      </c>
      <c r="M675" s="681">
        <v>0</v>
      </c>
      <c r="N675" s="681"/>
      <c r="O675" s="681">
        <v>71</v>
      </c>
      <c r="P675" s="680">
        <v>0</v>
      </c>
      <c r="Q675" s="682">
        <v>71</v>
      </c>
      <c r="R675" s="681">
        <v>0</v>
      </c>
      <c r="S675" s="658"/>
    </row>
    <row r="676" spans="1:19" s="659" customFormat="1" ht="20.100000000000001" customHeight="1">
      <c r="A676" s="657" t="s">
        <v>6425</v>
      </c>
      <c r="B676" s="649" t="s">
        <v>1618</v>
      </c>
      <c r="C676" s="621"/>
      <c r="D676" s="621"/>
      <c r="E676" s="649" t="s">
        <v>11850</v>
      </c>
      <c r="F676" s="622" t="s">
        <v>6428</v>
      </c>
      <c r="G676" s="622" t="s">
        <v>6429</v>
      </c>
      <c r="H676" s="649" t="s">
        <v>225</v>
      </c>
      <c r="I676" s="652" t="s">
        <v>11</v>
      </c>
      <c r="J676" s="622" t="s">
        <v>6427</v>
      </c>
      <c r="K676" s="680">
        <v>589</v>
      </c>
      <c r="L676" s="680"/>
      <c r="M676" s="681">
        <v>49980</v>
      </c>
      <c r="N676" s="681"/>
      <c r="O676" s="681">
        <v>33478</v>
      </c>
      <c r="P676" s="680">
        <v>3134</v>
      </c>
      <c r="Q676" s="682">
        <v>30344</v>
      </c>
      <c r="R676" s="681">
        <v>16502</v>
      </c>
      <c r="S676" s="658"/>
    </row>
    <row r="677" spans="1:19" s="659" customFormat="1" ht="20.100000000000001" customHeight="1">
      <c r="A677" s="657" t="s">
        <v>4884</v>
      </c>
      <c r="B677" s="649" t="s">
        <v>265</v>
      </c>
      <c r="C677" s="621"/>
      <c r="D677" s="621"/>
      <c r="E677" s="649" t="s">
        <v>386</v>
      </c>
      <c r="F677" s="622" t="s">
        <v>388</v>
      </c>
      <c r="G677" s="622" t="s">
        <v>360</v>
      </c>
      <c r="H677" s="649" t="s">
        <v>387</v>
      </c>
      <c r="I677" s="652" t="s">
        <v>10</v>
      </c>
      <c r="J677" s="622" t="s">
        <v>5103</v>
      </c>
      <c r="K677" s="680">
        <v>677</v>
      </c>
      <c r="L677" s="680">
        <v>5000</v>
      </c>
      <c r="M677" s="681">
        <v>335</v>
      </c>
      <c r="N677" s="681"/>
      <c r="O677" s="681">
        <v>2106</v>
      </c>
      <c r="P677" s="680">
        <v>878</v>
      </c>
      <c r="Q677" s="682">
        <v>1228</v>
      </c>
      <c r="R677" s="681">
        <v>3229</v>
      </c>
      <c r="S677" s="658"/>
    </row>
    <row r="678" spans="1:19" s="659" customFormat="1" ht="20.100000000000001" customHeight="1">
      <c r="A678" s="657" t="s">
        <v>4885</v>
      </c>
      <c r="B678" s="649" t="s">
        <v>265</v>
      </c>
      <c r="C678" s="621"/>
      <c r="D678" s="621"/>
      <c r="E678" s="649" t="s">
        <v>389</v>
      </c>
      <c r="F678" s="622" t="s">
        <v>391</v>
      </c>
      <c r="G678" s="622" t="s">
        <v>360</v>
      </c>
      <c r="H678" s="649" t="s">
        <v>390</v>
      </c>
      <c r="I678" s="652" t="s">
        <v>10</v>
      </c>
      <c r="J678" s="622" t="s">
        <v>5103</v>
      </c>
      <c r="K678" s="680">
        <v>230</v>
      </c>
      <c r="L678" s="680">
        <v>7500</v>
      </c>
      <c r="M678" s="681">
        <v>0</v>
      </c>
      <c r="N678" s="681"/>
      <c r="O678" s="681">
        <v>0</v>
      </c>
      <c r="P678" s="680">
        <v>0</v>
      </c>
      <c r="Q678" s="682">
        <v>0</v>
      </c>
      <c r="R678" s="681">
        <v>7500</v>
      </c>
      <c r="S678" s="658"/>
    </row>
    <row r="679" spans="1:19" s="659" customFormat="1" ht="20.100000000000001" customHeight="1">
      <c r="A679" s="657" t="s">
        <v>4885</v>
      </c>
      <c r="B679" s="649" t="s">
        <v>265</v>
      </c>
      <c r="C679" s="621"/>
      <c r="D679" s="621"/>
      <c r="E679" s="649" t="s">
        <v>389</v>
      </c>
      <c r="F679" s="622" t="s">
        <v>391</v>
      </c>
      <c r="G679" s="622" t="s">
        <v>360</v>
      </c>
      <c r="H679" s="649" t="s">
        <v>390</v>
      </c>
      <c r="I679" s="652" t="s">
        <v>10</v>
      </c>
      <c r="J679" s="622" t="s">
        <v>5103</v>
      </c>
      <c r="K679" s="680">
        <v>230</v>
      </c>
      <c r="L679" s="680">
        <v>3000</v>
      </c>
      <c r="M679" s="681">
        <v>0</v>
      </c>
      <c r="N679" s="681"/>
      <c r="O679" s="681">
        <v>1360</v>
      </c>
      <c r="P679" s="680">
        <v>1200</v>
      </c>
      <c r="Q679" s="682">
        <v>160</v>
      </c>
      <c r="R679" s="681">
        <v>1640</v>
      </c>
      <c r="S679" s="658"/>
    </row>
    <row r="680" spans="1:19" s="659" customFormat="1" ht="20.100000000000001" customHeight="1">
      <c r="A680" s="657" t="s">
        <v>4885</v>
      </c>
      <c r="B680" s="649" t="s">
        <v>265</v>
      </c>
      <c r="C680" s="621"/>
      <c r="D680" s="621"/>
      <c r="E680" s="649" t="s">
        <v>389</v>
      </c>
      <c r="F680" s="622" t="s">
        <v>391</v>
      </c>
      <c r="G680" s="622" t="s">
        <v>360</v>
      </c>
      <c r="H680" s="649" t="s">
        <v>390</v>
      </c>
      <c r="I680" s="652" t="s">
        <v>10</v>
      </c>
      <c r="J680" s="622" t="s">
        <v>5103</v>
      </c>
      <c r="K680" s="680">
        <v>230</v>
      </c>
      <c r="L680" s="680">
        <v>2689</v>
      </c>
      <c r="M680" s="681">
        <v>0</v>
      </c>
      <c r="N680" s="681"/>
      <c r="O680" s="681">
        <v>2351</v>
      </c>
      <c r="P680" s="680">
        <v>800</v>
      </c>
      <c r="Q680" s="682">
        <v>1551</v>
      </c>
      <c r="R680" s="681">
        <v>338</v>
      </c>
      <c r="S680" s="658"/>
    </row>
    <row r="681" spans="1:19" s="659" customFormat="1" ht="20.100000000000001" customHeight="1">
      <c r="A681" s="657" t="s">
        <v>4885</v>
      </c>
      <c r="B681" s="649" t="s">
        <v>265</v>
      </c>
      <c r="C681" s="621"/>
      <c r="D681" s="621"/>
      <c r="E681" s="649" t="s">
        <v>389</v>
      </c>
      <c r="F681" s="622" t="s">
        <v>391</v>
      </c>
      <c r="G681" s="622" t="s">
        <v>360</v>
      </c>
      <c r="H681" s="649" t="s">
        <v>390</v>
      </c>
      <c r="I681" s="652" t="s">
        <v>10</v>
      </c>
      <c r="J681" s="622" t="s">
        <v>5103</v>
      </c>
      <c r="K681" s="680">
        <v>230</v>
      </c>
      <c r="L681" s="680">
        <v>25000</v>
      </c>
      <c r="M681" s="681">
        <v>0</v>
      </c>
      <c r="N681" s="681"/>
      <c r="O681" s="681">
        <v>0</v>
      </c>
      <c r="P681" s="680">
        <v>0</v>
      </c>
      <c r="Q681" s="682">
        <v>0</v>
      </c>
      <c r="R681" s="681">
        <v>25000</v>
      </c>
      <c r="S681" s="658"/>
    </row>
    <row r="682" spans="1:19" s="659" customFormat="1" ht="20.100000000000001" customHeight="1">
      <c r="A682" s="657" t="s">
        <v>4888</v>
      </c>
      <c r="B682" s="649" t="s">
        <v>442</v>
      </c>
      <c r="C682" s="621"/>
      <c r="D682" s="621"/>
      <c r="E682" s="649" t="s">
        <v>442</v>
      </c>
      <c r="F682" s="622" t="s">
        <v>5475</v>
      </c>
      <c r="G682" s="622" t="s">
        <v>530</v>
      </c>
      <c r="H682" s="649" t="s">
        <v>272</v>
      </c>
      <c r="I682" s="652" t="s">
        <v>10</v>
      </c>
      <c r="J682" s="622" t="s">
        <v>5474</v>
      </c>
      <c r="K682" s="680">
        <v>92</v>
      </c>
      <c r="L682" s="680">
        <v>600</v>
      </c>
      <c r="M682" s="681">
        <v>0</v>
      </c>
      <c r="N682" s="681"/>
      <c r="O682" s="681">
        <v>600</v>
      </c>
      <c r="P682" s="680">
        <v>0</v>
      </c>
      <c r="Q682" s="682">
        <v>600</v>
      </c>
      <c r="R682" s="681">
        <v>0</v>
      </c>
      <c r="S682" s="658"/>
    </row>
    <row r="683" spans="1:19" s="659" customFormat="1" ht="20.100000000000001" customHeight="1">
      <c r="A683" s="657" t="s">
        <v>4888</v>
      </c>
      <c r="B683" s="649" t="s">
        <v>442</v>
      </c>
      <c r="C683" s="621"/>
      <c r="D683" s="621"/>
      <c r="E683" s="649" t="s">
        <v>442</v>
      </c>
      <c r="F683" s="622" t="s">
        <v>5475</v>
      </c>
      <c r="G683" s="622" t="s">
        <v>530</v>
      </c>
      <c r="H683" s="649" t="s">
        <v>272</v>
      </c>
      <c r="I683" s="652" t="s">
        <v>10</v>
      </c>
      <c r="J683" s="622" t="s">
        <v>5474</v>
      </c>
      <c r="K683" s="680">
        <v>92</v>
      </c>
      <c r="L683" s="680">
        <v>3500</v>
      </c>
      <c r="M683" s="681">
        <v>0</v>
      </c>
      <c r="N683" s="681"/>
      <c r="O683" s="681">
        <v>1755</v>
      </c>
      <c r="P683" s="680">
        <v>0</v>
      </c>
      <c r="Q683" s="682">
        <v>1755</v>
      </c>
      <c r="R683" s="681">
        <v>1745</v>
      </c>
      <c r="S683" s="658"/>
    </row>
    <row r="684" spans="1:19" s="659" customFormat="1" ht="20.100000000000001" customHeight="1">
      <c r="A684" s="657" t="s">
        <v>4888</v>
      </c>
      <c r="B684" s="649" t="s">
        <v>442</v>
      </c>
      <c r="C684" s="621"/>
      <c r="D684" s="621"/>
      <c r="E684" s="649" t="s">
        <v>442</v>
      </c>
      <c r="F684" s="622" t="s">
        <v>5475</v>
      </c>
      <c r="G684" s="622" t="s">
        <v>530</v>
      </c>
      <c r="H684" s="649" t="s">
        <v>272</v>
      </c>
      <c r="I684" s="652" t="s">
        <v>10</v>
      </c>
      <c r="J684" s="622" t="s">
        <v>5474</v>
      </c>
      <c r="K684" s="680">
        <v>92</v>
      </c>
      <c r="L684" s="680">
        <v>189</v>
      </c>
      <c r="M684" s="681">
        <v>0</v>
      </c>
      <c r="N684" s="681"/>
      <c r="O684" s="681">
        <v>129</v>
      </c>
      <c r="P684" s="680">
        <v>0</v>
      </c>
      <c r="Q684" s="682">
        <v>129</v>
      </c>
      <c r="R684" s="681">
        <v>60</v>
      </c>
      <c r="S684" s="658"/>
    </row>
    <row r="685" spans="1:19" s="659" customFormat="1" ht="20.100000000000001" customHeight="1">
      <c r="A685" s="657" t="s">
        <v>4890</v>
      </c>
      <c r="B685" s="649" t="s">
        <v>442</v>
      </c>
      <c r="C685" s="621"/>
      <c r="D685" s="621"/>
      <c r="E685" s="649" t="s">
        <v>4891</v>
      </c>
      <c r="F685" s="622" t="s">
        <v>446</v>
      </c>
      <c r="G685" s="622" t="s">
        <v>437</v>
      </c>
      <c r="H685" s="649" t="s">
        <v>444</v>
      </c>
      <c r="I685" s="652" t="s">
        <v>18</v>
      </c>
      <c r="J685" s="622" t="s">
        <v>5472</v>
      </c>
      <c r="K685" s="680">
        <v>8820</v>
      </c>
      <c r="L685" s="680">
        <v>50</v>
      </c>
      <c r="M685" s="681">
        <v>0</v>
      </c>
      <c r="N685" s="681"/>
      <c r="O685" s="681">
        <v>0</v>
      </c>
      <c r="P685" s="680">
        <v>0</v>
      </c>
      <c r="Q685" s="682">
        <v>0</v>
      </c>
      <c r="R685" s="681">
        <v>50</v>
      </c>
      <c r="S685" s="658"/>
    </row>
    <row r="686" spans="1:19" s="659" customFormat="1" ht="20.100000000000001" customHeight="1">
      <c r="A686" s="657" t="s">
        <v>4890</v>
      </c>
      <c r="B686" s="649" t="s">
        <v>442</v>
      </c>
      <c r="C686" s="621"/>
      <c r="D686" s="621"/>
      <c r="E686" s="649" t="s">
        <v>4891</v>
      </c>
      <c r="F686" s="622" t="s">
        <v>446</v>
      </c>
      <c r="G686" s="622" t="s">
        <v>437</v>
      </c>
      <c r="H686" s="649" t="s">
        <v>444</v>
      </c>
      <c r="I686" s="652" t="s">
        <v>18</v>
      </c>
      <c r="J686" s="622" t="s">
        <v>5472</v>
      </c>
      <c r="K686" s="680">
        <v>8820</v>
      </c>
      <c r="L686" s="680">
        <v>80</v>
      </c>
      <c r="M686" s="681">
        <v>0</v>
      </c>
      <c r="N686" s="681"/>
      <c r="O686" s="681">
        <v>80</v>
      </c>
      <c r="P686" s="680">
        <v>10</v>
      </c>
      <c r="Q686" s="682">
        <v>70</v>
      </c>
      <c r="R686" s="681">
        <v>0</v>
      </c>
      <c r="S686" s="658"/>
    </row>
    <row r="687" spans="1:19" s="659" customFormat="1" ht="20.100000000000001" customHeight="1">
      <c r="A687" s="657" t="s">
        <v>4169</v>
      </c>
      <c r="B687" s="649" t="s">
        <v>4171</v>
      </c>
      <c r="C687" s="621"/>
      <c r="D687" s="621"/>
      <c r="E687" s="649" t="s">
        <v>4170</v>
      </c>
      <c r="F687" s="622" t="s">
        <v>8151</v>
      </c>
      <c r="G687" s="622" t="s">
        <v>8152</v>
      </c>
      <c r="H687" s="649" t="s">
        <v>291</v>
      </c>
      <c r="I687" s="652" t="s">
        <v>11</v>
      </c>
      <c r="J687" s="622" t="s">
        <v>8150</v>
      </c>
      <c r="K687" s="680">
        <v>264</v>
      </c>
      <c r="L687" s="680"/>
      <c r="M687" s="681">
        <v>4000</v>
      </c>
      <c r="N687" s="681"/>
      <c r="O687" s="681">
        <v>4000</v>
      </c>
      <c r="P687" s="680">
        <v>4000</v>
      </c>
      <c r="Q687" s="682">
        <v>0</v>
      </c>
      <c r="R687" s="681">
        <v>0</v>
      </c>
      <c r="S687" s="658"/>
    </row>
    <row r="688" spans="1:19" s="659" customFormat="1" ht="20.100000000000001" customHeight="1">
      <c r="A688" s="657" t="s">
        <v>4893</v>
      </c>
      <c r="B688" s="649" t="s">
        <v>236</v>
      </c>
      <c r="C688" s="621"/>
      <c r="D688" s="621"/>
      <c r="E688" s="649" t="s">
        <v>4894</v>
      </c>
      <c r="F688" s="622" t="s">
        <v>239</v>
      </c>
      <c r="G688" s="622" t="s">
        <v>240</v>
      </c>
      <c r="H688" s="649" t="s">
        <v>238</v>
      </c>
      <c r="I688" s="652" t="s">
        <v>10</v>
      </c>
      <c r="J688" s="622" t="s">
        <v>5103</v>
      </c>
      <c r="K688" s="680">
        <v>136</v>
      </c>
      <c r="L688" s="680">
        <v>10000</v>
      </c>
      <c r="M688" s="681">
        <v>0</v>
      </c>
      <c r="N688" s="681"/>
      <c r="O688" s="681">
        <v>7000</v>
      </c>
      <c r="P688" s="680">
        <v>7000</v>
      </c>
      <c r="Q688" s="682">
        <v>0</v>
      </c>
      <c r="R688" s="681">
        <v>3000</v>
      </c>
      <c r="S688" s="658"/>
    </row>
    <row r="689" spans="1:19" s="659" customFormat="1" ht="20.100000000000001" customHeight="1">
      <c r="A689" s="657" t="s">
        <v>5029</v>
      </c>
      <c r="B689" s="649" t="s">
        <v>1550</v>
      </c>
      <c r="C689" s="621"/>
      <c r="D689" s="621"/>
      <c r="E689" s="649" t="s">
        <v>5030</v>
      </c>
      <c r="F689" s="622" t="s">
        <v>7531</v>
      </c>
      <c r="G689" s="622" t="s">
        <v>1268</v>
      </c>
      <c r="H689" s="649" t="s">
        <v>5031</v>
      </c>
      <c r="I689" s="652" t="s">
        <v>11</v>
      </c>
      <c r="J689" s="622" t="s">
        <v>7530</v>
      </c>
      <c r="K689" s="680">
        <v>630</v>
      </c>
      <c r="L689" s="680">
        <v>471</v>
      </c>
      <c r="M689" s="681">
        <v>0</v>
      </c>
      <c r="N689" s="681"/>
      <c r="O689" s="681">
        <v>471</v>
      </c>
      <c r="P689" s="680">
        <v>0</v>
      </c>
      <c r="Q689" s="682">
        <v>471</v>
      </c>
      <c r="R689" s="681">
        <v>0</v>
      </c>
      <c r="S689" s="658"/>
    </row>
    <row r="690" spans="1:19" s="659" customFormat="1" ht="20.100000000000001" customHeight="1">
      <c r="A690" s="657" t="s">
        <v>5029</v>
      </c>
      <c r="B690" s="649" t="s">
        <v>1550</v>
      </c>
      <c r="C690" s="621"/>
      <c r="D690" s="621"/>
      <c r="E690" s="649" t="s">
        <v>5030</v>
      </c>
      <c r="F690" s="622" t="s">
        <v>7531</v>
      </c>
      <c r="G690" s="622" t="s">
        <v>1268</v>
      </c>
      <c r="H690" s="649" t="s">
        <v>5031</v>
      </c>
      <c r="I690" s="652" t="s">
        <v>11</v>
      </c>
      <c r="J690" s="622" t="s">
        <v>7530</v>
      </c>
      <c r="K690" s="680">
        <v>630</v>
      </c>
      <c r="L690" s="680"/>
      <c r="M690" s="681">
        <v>4200</v>
      </c>
      <c r="N690" s="681"/>
      <c r="O690" s="681">
        <v>4198</v>
      </c>
      <c r="P690" s="680">
        <v>198</v>
      </c>
      <c r="Q690" s="682">
        <v>4000</v>
      </c>
      <c r="R690" s="681">
        <v>2</v>
      </c>
      <c r="S690" s="658"/>
    </row>
    <row r="691" spans="1:19" s="659" customFormat="1" ht="20.100000000000001" customHeight="1">
      <c r="A691" s="657" t="s">
        <v>5029</v>
      </c>
      <c r="B691" s="649" t="s">
        <v>1550</v>
      </c>
      <c r="C691" s="621"/>
      <c r="D691" s="621"/>
      <c r="E691" s="649" t="s">
        <v>5030</v>
      </c>
      <c r="F691" s="622" t="s">
        <v>7531</v>
      </c>
      <c r="G691" s="622" t="s">
        <v>1268</v>
      </c>
      <c r="H691" s="649" t="s">
        <v>5031</v>
      </c>
      <c r="I691" s="652" t="s">
        <v>11</v>
      </c>
      <c r="J691" s="622" t="s">
        <v>7530</v>
      </c>
      <c r="K691" s="680">
        <v>630</v>
      </c>
      <c r="L691" s="680">
        <v>232</v>
      </c>
      <c r="M691" s="681">
        <v>0</v>
      </c>
      <c r="N691" s="681"/>
      <c r="O691" s="681">
        <v>232</v>
      </c>
      <c r="P691" s="680">
        <v>232</v>
      </c>
      <c r="Q691" s="682">
        <v>0</v>
      </c>
      <c r="R691" s="681">
        <v>0</v>
      </c>
      <c r="S691" s="658"/>
    </row>
    <row r="692" spans="1:19" s="659" customFormat="1" ht="20.100000000000001" customHeight="1">
      <c r="A692" s="657" t="s">
        <v>5029</v>
      </c>
      <c r="B692" s="649" t="s">
        <v>1550</v>
      </c>
      <c r="C692" s="621"/>
      <c r="D692" s="621"/>
      <c r="E692" s="649" t="s">
        <v>5030</v>
      </c>
      <c r="F692" s="622" t="s">
        <v>7531</v>
      </c>
      <c r="G692" s="622" t="s">
        <v>1268</v>
      </c>
      <c r="H692" s="649" t="s">
        <v>5031</v>
      </c>
      <c r="I692" s="652" t="s">
        <v>11</v>
      </c>
      <c r="J692" s="622" t="s">
        <v>7530</v>
      </c>
      <c r="K692" s="680">
        <v>630</v>
      </c>
      <c r="L692" s="680"/>
      <c r="M692" s="681">
        <v>16080</v>
      </c>
      <c r="N692" s="681"/>
      <c r="O692" s="681">
        <v>9128</v>
      </c>
      <c r="P692" s="680">
        <v>861</v>
      </c>
      <c r="Q692" s="682">
        <v>8267</v>
      </c>
      <c r="R692" s="681">
        <v>6952</v>
      </c>
      <c r="S692" s="658"/>
    </row>
    <row r="693" spans="1:19" s="659" customFormat="1" ht="20.100000000000001" customHeight="1">
      <c r="A693" s="657" t="s">
        <v>8281</v>
      </c>
      <c r="B693" s="649" t="s">
        <v>1750</v>
      </c>
      <c r="C693" s="621"/>
      <c r="D693" s="621"/>
      <c r="E693" s="649" t="s">
        <v>8282</v>
      </c>
      <c r="F693" s="622" t="s">
        <v>8284</v>
      </c>
      <c r="G693" s="622" t="s">
        <v>1953</v>
      </c>
      <c r="H693" s="649" t="s">
        <v>327</v>
      </c>
      <c r="I693" s="652" t="s">
        <v>11</v>
      </c>
      <c r="J693" s="622" t="s">
        <v>8283</v>
      </c>
      <c r="K693" s="680">
        <v>2037</v>
      </c>
      <c r="L693" s="680"/>
      <c r="M693" s="681">
        <v>3000</v>
      </c>
      <c r="N693" s="681"/>
      <c r="O693" s="681">
        <v>3000</v>
      </c>
      <c r="P693" s="680">
        <v>0</v>
      </c>
      <c r="Q693" s="682">
        <v>3000</v>
      </c>
      <c r="R693" s="681">
        <v>0</v>
      </c>
      <c r="S693" s="658"/>
    </row>
    <row r="694" spans="1:19" s="659" customFormat="1" ht="20.100000000000001" customHeight="1">
      <c r="A694" s="657" t="s">
        <v>8281</v>
      </c>
      <c r="B694" s="649" t="s">
        <v>1750</v>
      </c>
      <c r="C694" s="621"/>
      <c r="D694" s="621"/>
      <c r="E694" s="649" t="s">
        <v>8282</v>
      </c>
      <c r="F694" s="622" t="s">
        <v>8284</v>
      </c>
      <c r="G694" s="622" t="s">
        <v>1953</v>
      </c>
      <c r="H694" s="649" t="s">
        <v>327</v>
      </c>
      <c r="I694" s="652" t="s">
        <v>11</v>
      </c>
      <c r="J694" s="622" t="s">
        <v>8283</v>
      </c>
      <c r="K694" s="680">
        <v>2037</v>
      </c>
      <c r="L694" s="680"/>
      <c r="M694" s="681">
        <v>36990</v>
      </c>
      <c r="N694" s="681"/>
      <c r="O694" s="681">
        <v>6182</v>
      </c>
      <c r="P694" s="680">
        <v>0</v>
      </c>
      <c r="Q694" s="682">
        <v>6182</v>
      </c>
      <c r="R694" s="681">
        <v>30808</v>
      </c>
      <c r="S694" s="658"/>
    </row>
    <row r="695" spans="1:19" s="659" customFormat="1" ht="20.100000000000001" customHeight="1">
      <c r="A695" s="657" t="s">
        <v>4173</v>
      </c>
      <c r="B695" s="649" t="s">
        <v>588</v>
      </c>
      <c r="C695" s="621"/>
      <c r="D695" s="621"/>
      <c r="E695" s="649" t="s">
        <v>4174</v>
      </c>
      <c r="F695" s="622" t="s">
        <v>3184</v>
      </c>
      <c r="G695" s="622" t="s">
        <v>5705</v>
      </c>
      <c r="H695" s="649" t="s">
        <v>267</v>
      </c>
      <c r="I695" s="652" t="s">
        <v>10</v>
      </c>
      <c r="J695" s="622" t="s">
        <v>5704</v>
      </c>
      <c r="K695" s="680">
        <v>9832</v>
      </c>
      <c r="L695" s="680">
        <v>5590</v>
      </c>
      <c r="M695" s="681">
        <v>0</v>
      </c>
      <c r="N695" s="681"/>
      <c r="O695" s="681">
        <v>5202</v>
      </c>
      <c r="P695" s="680">
        <v>0</v>
      </c>
      <c r="Q695" s="682">
        <v>5202</v>
      </c>
      <c r="R695" s="681">
        <v>388</v>
      </c>
      <c r="S695" s="658"/>
    </row>
    <row r="696" spans="1:19" s="659" customFormat="1" ht="20.100000000000001" customHeight="1">
      <c r="A696" s="657" t="s">
        <v>4531</v>
      </c>
      <c r="B696" s="649" t="s">
        <v>683</v>
      </c>
      <c r="C696" s="621"/>
      <c r="D696" s="621"/>
      <c r="E696" s="649" t="s">
        <v>4532</v>
      </c>
      <c r="F696" s="622" t="s">
        <v>7244</v>
      </c>
      <c r="G696" s="622" t="s">
        <v>1449</v>
      </c>
      <c r="H696" s="649" t="s">
        <v>4533</v>
      </c>
      <c r="I696" s="652" t="s">
        <v>12</v>
      </c>
      <c r="J696" s="622" t="s">
        <v>7243</v>
      </c>
      <c r="K696" s="680">
        <v>1717</v>
      </c>
      <c r="L696" s="680">
        <v>182</v>
      </c>
      <c r="M696" s="681">
        <v>6</v>
      </c>
      <c r="N696" s="681"/>
      <c r="O696" s="681">
        <v>188</v>
      </c>
      <c r="P696" s="680">
        <v>188</v>
      </c>
      <c r="Q696" s="682">
        <v>0</v>
      </c>
      <c r="R696" s="681">
        <v>0</v>
      </c>
      <c r="S696" s="658"/>
    </row>
    <row r="697" spans="1:19" s="659" customFormat="1" ht="20.100000000000001" customHeight="1">
      <c r="A697" s="657" t="s">
        <v>4531</v>
      </c>
      <c r="B697" s="649" t="s">
        <v>683</v>
      </c>
      <c r="C697" s="621"/>
      <c r="D697" s="621"/>
      <c r="E697" s="649" t="s">
        <v>4532</v>
      </c>
      <c r="F697" s="622" t="s">
        <v>7244</v>
      </c>
      <c r="G697" s="622" t="s">
        <v>1449</v>
      </c>
      <c r="H697" s="649" t="s">
        <v>4533</v>
      </c>
      <c r="I697" s="652" t="s">
        <v>12</v>
      </c>
      <c r="J697" s="622" t="s">
        <v>7243</v>
      </c>
      <c r="K697" s="680">
        <v>1717</v>
      </c>
      <c r="L697" s="680"/>
      <c r="M697" s="681">
        <v>3516</v>
      </c>
      <c r="N697" s="681"/>
      <c r="O697" s="681">
        <v>804</v>
      </c>
      <c r="P697" s="680">
        <v>240</v>
      </c>
      <c r="Q697" s="682">
        <v>564</v>
      </c>
      <c r="R697" s="681">
        <v>2712</v>
      </c>
      <c r="S697" s="658"/>
    </row>
    <row r="698" spans="1:19" s="659" customFormat="1" ht="20.100000000000001" customHeight="1">
      <c r="A698" s="657" t="s">
        <v>12199</v>
      </c>
      <c r="B698" s="649" t="s">
        <v>493</v>
      </c>
      <c r="C698" s="621"/>
      <c r="D698" s="621"/>
      <c r="E698" s="649" t="s">
        <v>12200</v>
      </c>
      <c r="F698" s="662" t="s">
        <v>12658</v>
      </c>
      <c r="G698" s="663" t="s">
        <v>1449</v>
      </c>
      <c r="H698" s="649" t="s">
        <v>774</v>
      </c>
      <c r="I698" s="652" t="s">
        <v>658</v>
      </c>
      <c r="J698" s="622" t="s">
        <v>11033</v>
      </c>
      <c r="K698" s="680">
        <v>11109</v>
      </c>
      <c r="L698" s="680"/>
      <c r="M698" s="681">
        <v>200</v>
      </c>
      <c r="N698" s="681"/>
      <c r="O698" s="681">
        <v>13</v>
      </c>
      <c r="P698" s="680">
        <v>13</v>
      </c>
      <c r="Q698" s="682">
        <v>0</v>
      </c>
      <c r="R698" s="681">
        <v>187</v>
      </c>
      <c r="S698" s="658"/>
    </row>
    <row r="699" spans="1:19" s="659" customFormat="1" ht="20.100000000000001" customHeight="1">
      <c r="A699" s="657" t="s">
        <v>4175</v>
      </c>
      <c r="B699" s="649" t="s">
        <v>1247</v>
      </c>
      <c r="C699" s="621"/>
      <c r="D699" s="621"/>
      <c r="E699" s="649" t="s">
        <v>4176</v>
      </c>
      <c r="F699" s="622" t="s">
        <v>7760</v>
      </c>
      <c r="G699" s="622" t="s">
        <v>7761</v>
      </c>
      <c r="H699" s="649" t="s">
        <v>1249</v>
      </c>
      <c r="I699" s="652" t="s">
        <v>11</v>
      </c>
      <c r="J699" s="622" t="s">
        <v>7759</v>
      </c>
      <c r="K699" s="680">
        <v>6800</v>
      </c>
      <c r="L699" s="680">
        <v>5475</v>
      </c>
      <c r="M699" s="681">
        <v>0</v>
      </c>
      <c r="N699" s="681"/>
      <c r="O699" s="681">
        <v>5475</v>
      </c>
      <c r="P699" s="680">
        <v>0</v>
      </c>
      <c r="Q699" s="682">
        <v>5475</v>
      </c>
      <c r="R699" s="681">
        <v>0</v>
      </c>
      <c r="S699" s="658"/>
    </row>
    <row r="700" spans="1:19" s="659" customFormat="1" ht="20.100000000000001" customHeight="1">
      <c r="A700" s="657" t="s">
        <v>7497</v>
      </c>
      <c r="B700" s="649" t="s">
        <v>1970</v>
      </c>
      <c r="C700" s="621"/>
      <c r="D700" s="621"/>
      <c r="E700" s="649" t="s">
        <v>1971</v>
      </c>
      <c r="F700" s="622" t="s">
        <v>1973</v>
      </c>
      <c r="G700" s="622" t="s">
        <v>1953</v>
      </c>
      <c r="H700" s="649" t="s">
        <v>1972</v>
      </c>
      <c r="I700" s="652" t="s">
        <v>11</v>
      </c>
      <c r="J700" s="622" t="s">
        <v>7498</v>
      </c>
      <c r="K700" s="680">
        <v>1785</v>
      </c>
      <c r="L700" s="680"/>
      <c r="M700" s="681">
        <v>3000</v>
      </c>
      <c r="N700" s="681"/>
      <c r="O700" s="681">
        <v>61</v>
      </c>
      <c r="P700" s="680">
        <v>0</v>
      </c>
      <c r="Q700" s="682">
        <v>61</v>
      </c>
      <c r="R700" s="681">
        <v>2939</v>
      </c>
      <c r="S700" s="658"/>
    </row>
    <row r="701" spans="1:19" s="659" customFormat="1" ht="20.100000000000001" customHeight="1">
      <c r="A701" s="657" t="s">
        <v>4536</v>
      </c>
      <c r="B701" s="649" t="s">
        <v>256</v>
      </c>
      <c r="C701" s="621"/>
      <c r="D701" s="621"/>
      <c r="E701" s="649" t="s">
        <v>3639</v>
      </c>
      <c r="F701" s="622" t="s">
        <v>1614</v>
      </c>
      <c r="G701" s="622" t="s">
        <v>463</v>
      </c>
      <c r="H701" s="649" t="s">
        <v>334</v>
      </c>
      <c r="I701" s="652" t="s">
        <v>11</v>
      </c>
      <c r="J701" s="622" t="s">
        <v>6580</v>
      </c>
      <c r="K701" s="680">
        <v>12600</v>
      </c>
      <c r="L701" s="680"/>
      <c r="M701" s="681">
        <v>2000</v>
      </c>
      <c r="N701" s="681"/>
      <c r="O701" s="681">
        <v>0</v>
      </c>
      <c r="P701" s="680">
        <v>0</v>
      </c>
      <c r="Q701" s="682">
        <v>0</v>
      </c>
      <c r="R701" s="681">
        <v>2000</v>
      </c>
      <c r="S701" s="658"/>
    </row>
    <row r="702" spans="1:19" s="659" customFormat="1" ht="20.100000000000001" customHeight="1">
      <c r="A702" s="657" t="s">
        <v>6538</v>
      </c>
      <c r="B702" s="649" t="s">
        <v>659</v>
      </c>
      <c r="C702" s="621"/>
      <c r="D702" s="621"/>
      <c r="E702" s="649" t="s">
        <v>6539</v>
      </c>
      <c r="F702" s="622" t="s">
        <v>6541</v>
      </c>
      <c r="G702" s="622" t="s">
        <v>6526</v>
      </c>
      <c r="H702" s="649" t="s">
        <v>334</v>
      </c>
      <c r="I702" s="652" t="s">
        <v>11</v>
      </c>
      <c r="J702" s="622" t="s">
        <v>6540</v>
      </c>
      <c r="K702" s="680">
        <v>6400</v>
      </c>
      <c r="L702" s="680"/>
      <c r="M702" s="681">
        <v>2006</v>
      </c>
      <c r="N702" s="681"/>
      <c r="O702" s="681">
        <v>1989</v>
      </c>
      <c r="P702" s="680">
        <v>569</v>
      </c>
      <c r="Q702" s="682">
        <v>1420</v>
      </c>
      <c r="R702" s="681">
        <v>17</v>
      </c>
      <c r="S702" s="658"/>
    </row>
    <row r="703" spans="1:19" s="659" customFormat="1" ht="20.100000000000001" customHeight="1">
      <c r="A703" s="657" t="s">
        <v>8223</v>
      </c>
      <c r="B703" s="649" t="s">
        <v>8224</v>
      </c>
      <c r="C703" s="621"/>
      <c r="D703" s="621"/>
      <c r="E703" s="649" t="s">
        <v>8224</v>
      </c>
      <c r="F703" s="622" t="s">
        <v>8227</v>
      </c>
      <c r="G703" s="622" t="s">
        <v>8228</v>
      </c>
      <c r="H703" s="649" t="s">
        <v>8225</v>
      </c>
      <c r="I703" s="652" t="s">
        <v>11</v>
      </c>
      <c r="J703" s="622" t="s">
        <v>8226</v>
      </c>
      <c r="K703" s="680">
        <v>3420</v>
      </c>
      <c r="L703" s="680"/>
      <c r="M703" s="681">
        <v>100</v>
      </c>
      <c r="N703" s="681"/>
      <c r="O703" s="681">
        <v>0</v>
      </c>
      <c r="P703" s="680">
        <v>0</v>
      </c>
      <c r="Q703" s="682">
        <v>0</v>
      </c>
      <c r="R703" s="681">
        <v>100</v>
      </c>
      <c r="S703" s="658"/>
    </row>
    <row r="704" spans="1:19" s="659" customFormat="1" ht="20.100000000000001" customHeight="1">
      <c r="A704" s="657" t="s">
        <v>4061</v>
      </c>
      <c r="B704" s="649" t="s">
        <v>1241</v>
      </c>
      <c r="C704" s="621"/>
      <c r="D704" s="621"/>
      <c r="E704" s="649" t="s">
        <v>6491</v>
      </c>
      <c r="F704" s="622" t="s">
        <v>6492</v>
      </c>
      <c r="G704" s="622" t="s">
        <v>6493</v>
      </c>
      <c r="H704" s="649" t="s">
        <v>327</v>
      </c>
      <c r="I704" s="652" t="s">
        <v>11</v>
      </c>
      <c r="J704" s="622" t="s">
        <v>6488</v>
      </c>
      <c r="K704" s="680">
        <v>1500</v>
      </c>
      <c r="L704" s="680"/>
      <c r="M704" s="681">
        <v>2700</v>
      </c>
      <c r="N704" s="681"/>
      <c r="O704" s="681">
        <v>2697</v>
      </c>
      <c r="P704" s="680">
        <v>0</v>
      </c>
      <c r="Q704" s="682">
        <v>2697</v>
      </c>
      <c r="R704" s="681">
        <v>3</v>
      </c>
      <c r="S704" s="658"/>
    </row>
    <row r="705" spans="1:19" s="659" customFormat="1" ht="20.100000000000001" customHeight="1">
      <c r="A705" s="657" t="s">
        <v>7541</v>
      </c>
      <c r="B705" s="649" t="s">
        <v>4958</v>
      </c>
      <c r="C705" s="621"/>
      <c r="D705" s="621"/>
      <c r="E705" s="649" t="s">
        <v>7542</v>
      </c>
      <c r="F705" s="622" t="s">
        <v>7544</v>
      </c>
      <c r="G705" s="622" t="s">
        <v>7545</v>
      </c>
      <c r="H705" s="649" t="s">
        <v>1016</v>
      </c>
      <c r="I705" s="652" t="s">
        <v>520</v>
      </c>
      <c r="J705" s="622" t="s">
        <v>7543</v>
      </c>
      <c r="K705" s="680">
        <v>4410</v>
      </c>
      <c r="L705" s="680"/>
      <c r="M705" s="681">
        <v>500</v>
      </c>
      <c r="N705" s="681"/>
      <c r="O705" s="681">
        <v>336</v>
      </c>
      <c r="P705" s="680">
        <v>0</v>
      </c>
      <c r="Q705" s="682">
        <v>336</v>
      </c>
      <c r="R705" s="681">
        <v>164</v>
      </c>
      <c r="S705" s="658"/>
    </row>
    <row r="706" spans="1:19" s="659" customFormat="1" ht="20.100000000000001" customHeight="1">
      <c r="A706" s="657" t="s">
        <v>5034</v>
      </c>
      <c r="B706" s="649" t="s">
        <v>702</v>
      </c>
      <c r="C706" s="621"/>
      <c r="D706" s="621"/>
      <c r="E706" s="649" t="s">
        <v>703</v>
      </c>
      <c r="F706" s="622" t="s">
        <v>705</v>
      </c>
      <c r="G706" s="622" t="s">
        <v>700</v>
      </c>
      <c r="H706" s="649" t="s">
        <v>704</v>
      </c>
      <c r="I706" s="652" t="s">
        <v>701</v>
      </c>
      <c r="J706" s="622" t="s">
        <v>698</v>
      </c>
      <c r="K706" s="680">
        <v>3500</v>
      </c>
      <c r="L706" s="680">
        <v>43</v>
      </c>
      <c r="M706" s="681">
        <v>0</v>
      </c>
      <c r="N706" s="681"/>
      <c r="O706" s="681">
        <v>43</v>
      </c>
      <c r="P706" s="680">
        <v>0</v>
      </c>
      <c r="Q706" s="682">
        <v>43</v>
      </c>
      <c r="R706" s="681">
        <v>0</v>
      </c>
      <c r="S706" s="658"/>
    </row>
    <row r="707" spans="1:19" s="659" customFormat="1" ht="20.100000000000001" customHeight="1">
      <c r="A707" s="657" t="s">
        <v>5034</v>
      </c>
      <c r="B707" s="649" t="s">
        <v>702</v>
      </c>
      <c r="C707" s="621"/>
      <c r="D707" s="621"/>
      <c r="E707" s="649" t="s">
        <v>703</v>
      </c>
      <c r="F707" s="622" t="s">
        <v>705</v>
      </c>
      <c r="G707" s="622" t="s">
        <v>700</v>
      </c>
      <c r="H707" s="649" t="s">
        <v>704</v>
      </c>
      <c r="I707" s="652" t="s">
        <v>701</v>
      </c>
      <c r="J707" s="622" t="s">
        <v>698</v>
      </c>
      <c r="K707" s="680">
        <v>3500</v>
      </c>
      <c r="L707" s="680">
        <v>28</v>
      </c>
      <c r="M707" s="681">
        <v>0</v>
      </c>
      <c r="N707" s="681"/>
      <c r="O707" s="681">
        <v>28</v>
      </c>
      <c r="P707" s="680">
        <v>0</v>
      </c>
      <c r="Q707" s="682">
        <v>28</v>
      </c>
      <c r="R707" s="681">
        <v>0</v>
      </c>
      <c r="S707" s="658"/>
    </row>
    <row r="708" spans="1:19" s="659" customFormat="1" ht="20.100000000000001" customHeight="1">
      <c r="A708" s="657" t="s">
        <v>4180</v>
      </c>
      <c r="B708" s="649" t="s">
        <v>659</v>
      </c>
      <c r="C708" s="621"/>
      <c r="D708" s="621"/>
      <c r="E708" s="649" t="s">
        <v>4181</v>
      </c>
      <c r="F708" s="622" t="s">
        <v>7216</v>
      </c>
      <c r="G708" s="622" t="s">
        <v>7217</v>
      </c>
      <c r="H708" s="649" t="s">
        <v>334</v>
      </c>
      <c r="I708" s="652" t="s">
        <v>11</v>
      </c>
      <c r="J708" s="622" t="s">
        <v>7215</v>
      </c>
      <c r="K708" s="680">
        <v>2890</v>
      </c>
      <c r="L708" s="680">
        <v>605</v>
      </c>
      <c r="M708" s="681">
        <v>0</v>
      </c>
      <c r="N708" s="681"/>
      <c r="O708" s="681">
        <v>605</v>
      </c>
      <c r="P708" s="680">
        <v>56</v>
      </c>
      <c r="Q708" s="682">
        <v>549</v>
      </c>
      <c r="R708" s="681">
        <v>0</v>
      </c>
      <c r="S708" s="658"/>
    </row>
    <row r="709" spans="1:19" s="659" customFormat="1" ht="20.100000000000001" customHeight="1">
      <c r="A709" s="657" t="s">
        <v>4180</v>
      </c>
      <c r="B709" s="649" t="s">
        <v>659</v>
      </c>
      <c r="C709" s="621"/>
      <c r="D709" s="621"/>
      <c r="E709" s="649" t="s">
        <v>4181</v>
      </c>
      <c r="F709" s="622" t="s">
        <v>7216</v>
      </c>
      <c r="G709" s="622" t="s">
        <v>7217</v>
      </c>
      <c r="H709" s="649" t="s">
        <v>334</v>
      </c>
      <c r="I709" s="652" t="s">
        <v>11</v>
      </c>
      <c r="J709" s="622" t="s">
        <v>7215</v>
      </c>
      <c r="K709" s="680">
        <v>2890</v>
      </c>
      <c r="L709" s="680"/>
      <c r="M709" s="681">
        <v>4980</v>
      </c>
      <c r="N709" s="681"/>
      <c r="O709" s="681">
        <v>1080</v>
      </c>
      <c r="P709" s="680">
        <v>0</v>
      </c>
      <c r="Q709" s="682">
        <v>1080</v>
      </c>
      <c r="R709" s="681">
        <v>3900</v>
      </c>
      <c r="S709" s="658"/>
    </row>
    <row r="710" spans="1:19" s="659" customFormat="1" ht="20.100000000000001" customHeight="1">
      <c r="A710" s="657" t="s">
        <v>4183</v>
      </c>
      <c r="B710" s="649" t="s">
        <v>1522</v>
      </c>
      <c r="C710" s="621"/>
      <c r="D710" s="621"/>
      <c r="E710" s="649" t="s">
        <v>4184</v>
      </c>
      <c r="F710" s="622" t="s">
        <v>6822</v>
      </c>
      <c r="G710" s="622" t="s">
        <v>1859</v>
      </c>
      <c r="H710" s="649" t="s">
        <v>225</v>
      </c>
      <c r="I710" s="652" t="s">
        <v>11</v>
      </c>
      <c r="J710" s="622" t="s">
        <v>6821</v>
      </c>
      <c r="K710" s="680">
        <v>1890</v>
      </c>
      <c r="L710" s="680">
        <v>4007</v>
      </c>
      <c r="M710" s="681">
        <v>6</v>
      </c>
      <c r="N710" s="681"/>
      <c r="O710" s="681">
        <v>4012</v>
      </c>
      <c r="P710" s="680">
        <v>533</v>
      </c>
      <c r="Q710" s="682">
        <v>3479</v>
      </c>
      <c r="R710" s="681">
        <v>1</v>
      </c>
      <c r="S710" s="658"/>
    </row>
    <row r="711" spans="1:19" s="659" customFormat="1" ht="20.100000000000001" customHeight="1">
      <c r="A711" s="657" t="s">
        <v>4183</v>
      </c>
      <c r="B711" s="649" t="s">
        <v>1522</v>
      </c>
      <c r="C711" s="621"/>
      <c r="D711" s="621"/>
      <c r="E711" s="649" t="s">
        <v>4184</v>
      </c>
      <c r="F711" s="622" t="s">
        <v>6822</v>
      </c>
      <c r="G711" s="622" t="s">
        <v>1859</v>
      </c>
      <c r="H711" s="649" t="s">
        <v>225</v>
      </c>
      <c r="I711" s="652" t="s">
        <v>11</v>
      </c>
      <c r="J711" s="622" t="s">
        <v>6821</v>
      </c>
      <c r="K711" s="680">
        <v>1890</v>
      </c>
      <c r="L711" s="680">
        <v>30000</v>
      </c>
      <c r="M711" s="681">
        <v>3</v>
      </c>
      <c r="N711" s="681"/>
      <c r="O711" s="681">
        <v>30003</v>
      </c>
      <c r="P711" s="680">
        <v>703</v>
      </c>
      <c r="Q711" s="682">
        <v>29300</v>
      </c>
      <c r="R711" s="681">
        <v>0</v>
      </c>
      <c r="S711" s="658"/>
    </row>
    <row r="712" spans="1:19" s="659" customFormat="1" ht="20.100000000000001" customHeight="1">
      <c r="A712" s="657" t="s">
        <v>4183</v>
      </c>
      <c r="B712" s="649" t="s">
        <v>1522</v>
      </c>
      <c r="C712" s="621"/>
      <c r="D712" s="621"/>
      <c r="E712" s="649" t="s">
        <v>4184</v>
      </c>
      <c r="F712" s="622" t="s">
        <v>6822</v>
      </c>
      <c r="G712" s="622" t="s">
        <v>1859</v>
      </c>
      <c r="H712" s="649" t="s">
        <v>225</v>
      </c>
      <c r="I712" s="652" t="s">
        <v>11</v>
      </c>
      <c r="J712" s="622" t="s">
        <v>6821</v>
      </c>
      <c r="K712" s="680">
        <v>1890</v>
      </c>
      <c r="L712" s="680"/>
      <c r="M712" s="681">
        <v>30000</v>
      </c>
      <c r="N712" s="681"/>
      <c r="O712" s="681">
        <v>7261</v>
      </c>
      <c r="P712" s="680">
        <v>57</v>
      </c>
      <c r="Q712" s="682">
        <v>7204</v>
      </c>
      <c r="R712" s="681">
        <v>22739</v>
      </c>
      <c r="S712" s="658"/>
    </row>
    <row r="713" spans="1:19" s="659" customFormat="1" ht="20.100000000000001" customHeight="1">
      <c r="A713" s="657" t="s">
        <v>7616</v>
      </c>
      <c r="B713" s="649" t="s">
        <v>11871</v>
      </c>
      <c r="C713" s="621"/>
      <c r="D713" s="621"/>
      <c r="E713" s="649" t="s">
        <v>7619</v>
      </c>
      <c r="F713" s="622" t="s">
        <v>7621</v>
      </c>
      <c r="G713" s="622" t="s">
        <v>7353</v>
      </c>
      <c r="H713" s="649" t="s">
        <v>7618</v>
      </c>
      <c r="I713" s="652" t="s">
        <v>11</v>
      </c>
      <c r="J713" s="622" t="s">
        <v>7620</v>
      </c>
      <c r="K713" s="680">
        <v>2500</v>
      </c>
      <c r="L713" s="680"/>
      <c r="M713" s="681">
        <v>2496</v>
      </c>
      <c r="N713" s="681"/>
      <c r="O713" s="681">
        <v>1617</v>
      </c>
      <c r="P713" s="680">
        <v>0</v>
      </c>
      <c r="Q713" s="682">
        <v>1617</v>
      </c>
      <c r="R713" s="681">
        <v>879</v>
      </c>
      <c r="S713" s="658"/>
    </row>
    <row r="714" spans="1:19" s="659" customFormat="1" ht="20.100000000000001" customHeight="1">
      <c r="A714" s="657" t="s">
        <v>7616</v>
      </c>
      <c r="B714" s="649" t="s">
        <v>11871</v>
      </c>
      <c r="C714" s="621"/>
      <c r="D714" s="621"/>
      <c r="E714" s="649" t="s">
        <v>7619</v>
      </c>
      <c r="F714" s="622" t="s">
        <v>7621</v>
      </c>
      <c r="G714" s="622" t="s">
        <v>7353</v>
      </c>
      <c r="H714" s="649" t="s">
        <v>7618</v>
      </c>
      <c r="I714" s="652" t="s">
        <v>11</v>
      </c>
      <c r="J714" s="622" t="s">
        <v>7620</v>
      </c>
      <c r="K714" s="680">
        <v>2500</v>
      </c>
      <c r="L714" s="680"/>
      <c r="M714" s="681">
        <v>2496</v>
      </c>
      <c r="N714" s="681"/>
      <c r="O714" s="681">
        <v>0</v>
      </c>
      <c r="P714" s="680">
        <v>0</v>
      </c>
      <c r="Q714" s="682">
        <v>0</v>
      </c>
      <c r="R714" s="681">
        <v>2496</v>
      </c>
      <c r="S714" s="658"/>
    </row>
    <row r="715" spans="1:19" s="659" customFormat="1" ht="20.100000000000001" customHeight="1">
      <c r="A715" s="657" t="s">
        <v>4186</v>
      </c>
      <c r="B715" s="649" t="s">
        <v>742</v>
      </c>
      <c r="C715" s="621"/>
      <c r="D715" s="621"/>
      <c r="E715" s="649" t="s">
        <v>743</v>
      </c>
      <c r="F715" s="622" t="s">
        <v>5832</v>
      </c>
      <c r="G715" s="622" t="s">
        <v>5833</v>
      </c>
      <c r="H715" s="649" t="s">
        <v>4187</v>
      </c>
      <c r="I715" s="652" t="s">
        <v>520</v>
      </c>
      <c r="J715" s="622" t="s">
        <v>5316</v>
      </c>
      <c r="K715" s="680">
        <v>43995</v>
      </c>
      <c r="L715" s="680">
        <v>10</v>
      </c>
      <c r="M715" s="681">
        <v>0</v>
      </c>
      <c r="N715" s="681"/>
      <c r="O715" s="681">
        <v>10</v>
      </c>
      <c r="P715" s="680">
        <v>0</v>
      </c>
      <c r="Q715" s="682">
        <v>10</v>
      </c>
      <c r="R715" s="681">
        <v>0</v>
      </c>
      <c r="S715" s="658"/>
    </row>
    <row r="716" spans="1:19" s="659" customFormat="1" ht="20.100000000000001" customHeight="1">
      <c r="A716" s="657" t="s">
        <v>4189</v>
      </c>
      <c r="B716" s="649" t="s">
        <v>747</v>
      </c>
      <c r="C716" s="621"/>
      <c r="D716" s="621"/>
      <c r="E716" s="649" t="s">
        <v>4190</v>
      </c>
      <c r="F716" s="622" t="s">
        <v>8187</v>
      </c>
      <c r="G716" s="622" t="s">
        <v>8188</v>
      </c>
      <c r="H716" s="649" t="s">
        <v>4191</v>
      </c>
      <c r="I716" s="652" t="s">
        <v>15</v>
      </c>
      <c r="J716" s="622" t="s">
        <v>8186</v>
      </c>
      <c r="K716" s="680">
        <v>23400</v>
      </c>
      <c r="L716" s="680">
        <v>310</v>
      </c>
      <c r="M716" s="681">
        <v>0</v>
      </c>
      <c r="N716" s="681"/>
      <c r="O716" s="681">
        <v>206</v>
      </c>
      <c r="P716" s="680">
        <v>0</v>
      </c>
      <c r="Q716" s="682">
        <v>206</v>
      </c>
      <c r="R716" s="681">
        <v>104</v>
      </c>
      <c r="S716" s="658"/>
    </row>
    <row r="717" spans="1:19" s="659" customFormat="1" ht="20.100000000000001" customHeight="1">
      <c r="A717" s="657" t="s">
        <v>3989</v>
      </c>
      <c r="B717" s="649" t="s">
        <v>747</v>
      </c>
      <c r="C717" s="621"/>
      <c r="D717" s="621"/>
      <c r="E717" s="649" t="s">
        <v>1068</v>
      </c>
      <c r="F717" s="622" t="s">
        <v>3221</v>
      </c>
      <c r="G717" s="622" t="s">
        <v>1449</v>
      </c>
      <c r="H717" s="649" t="s">
        <v>4193</v>
      </c>
      <c r="I717" s="652" t="s">
        <v>658</v>
      </c>
      <c r="J717" s="622" t="s">
        <v>8184</v>
      </c>
      <c r="K717" s="680">
        <v>1320</v>
      </c>
      <c r="L717" s="680"/>
      <c r="M717" s="681">
        <v>960</v>
      </c>
      <c r="N717" s="681"/>
      <c r="O717" s="681">
        <v>172</v>
      </c>
      <c r="P717" s="680">
        <v>130</v>
      </c>
      <c r="Q717" s="682">
        <v>42</v>
      </c>
      <c r="R717" s="681">
        <v>788</v>
      </c>
      <c r="S717" s="658"/>
    </row>
    <row r="718" spans="1:19" s="659" customFormat="1" ht="20.100000000000001" customHeight="1">
      <c r="A718" s="657" t="s">
        <v>3989</v>
      </c>
      <c r="B718" s="649" t="s">
        <v>747</v>
      </c>
      <c r="C718" s="621"/>
      <c r="D718" s="621"/>
      <c r="E718" s="649" t="s">
        <v>1068</v>
      </c>
      <c r="F718" s="622" t="s">
        <v>3221</v>
      </c>
      <c r="G718" s="622" t="s">
        <v>1449</v>
      </c>
      <c r="H718" s="649" t="s">
        <v>4193</v>
      </c>
      <c r="I718" s="652" t="s">
        <v>658</v>
      </c>
      <c r="J718" s="622" t="s">
        <v>8184</v>
      </c>
      <c r="K718" s="680">
        <v>1320</v>
      </c>
      <c r="L718" s="680">
        <v>15</v>
      </c>
      <c r="M718" s="681">
        <v>7</v>
      </c>
      <c r="N718" s="681"/>
      <c r="O718" s="681">
        <v>15</v>
      </c>
      <c r="P718" s="680">
        <v>15</v>
      </c>
      <c r="Q718" s="682">
        <v>0</v>
      </c>
      <c r="R718" s="681">
        <v>7</v>
      </c>
      <c r="S718" s="658"/>
    </row>
    <row r="719" spans="1:19" s="659" customFormat="1" ht="20.100000000000001" customHeight="1">
      <c r="A719" s="657" t="s">
        <v>4195</v>
      </c>
      <c r="B719" s="649" t="s">
        <v>747</v>
      </c>
      <c r="C719" s="621"/>
      <c r="D719" s="621"/>
      <c r="E719" s="649" t="s">
        <v>1068</v>
      </c>
      <c r="F719" s="622" t="s">
        <v>6509</v>
      </c>
      <c r="G719" s="622" t="s">
        <v>255</v>
      </c>
      <c r="H719" s="649" t="s">
        <v>2525</v>
      </c>
      <c r="I719" s="652" t="s">
        <v>18</v>
      </c>
      <c r="J719" s="622" t="s">
        <v>6508</v>
      </c>
      <c r="K719" s="680">
        <v>11886</v>
      </c>
      <c r="L719" s="680">
        <v>4</v>
      </c>
      <c r="M719" s="681">
        <v>0</v>
      </c>
      <c r="N719" s="681"/>
      <c r="O719" s="681">
        <v>0</v>
      </c>
      <c r="P719" s="680">
        <v>0</v>
      </c>
      <c r="Q719" s="682">
        <v>0</v>
      </c>
      <c r="R719" s="681">
        <v>4</v>
      </c>
      <c r="S719" s="658"/>
    </row>
    <row r="720" spans="1:19" s="659" customFormat="1" ht="20.100000000000001" customHeight="1">
      <c r="A720" s="657" t="s">
        <v>4442</v>
      </c>
      <c r="B720" s="649" t="s">
        <v>747</v>
      </c>
      <c r="C720" s="621"/>
      <c r="D720" s="621"/>
      <c r="E720" s="649" t="s">
        <v>1068</v>
      </c>
      <c r="F720" s="622" t="s">
        <v>6509</v>
      </c>
      <c r="G720" s="622" t="s">
        <v>6510</v>
      </c>
      <c r="H720" s="649" t="s">
        <v>4449</v>
      </c>
      <c r="I720" s="652" t="s">
        <v>15</v>
      </c>
      <c r="J720" s="622" t="s">
        <v>6508</v>
      </c>
      <c r="K720" s="680">
        <v>8820</v>
      </c>
      <c r="L720" s="680"/>
      <c r="M720" s="681">
        <v>602</v>
      </c>
      <c r="N720" s="681"/>
      <c r="O720" s="681">
        <v>600</v>
      </c>
      <c r="P720" s="680">
        <v>600</v>
      </c>
      <c r="Q720" s="682">
        <v>0</v>
      </c>
      <c r="R720" s="681">
        <v>2</v>
      </c>
      <c r="S720" s="658"/>
    </row>
    <row r="721" spans="1:19" s="659" customFormat="1" ht="20.100000000000001" customHeight="1">
      <c r="A721" s="657" t="s">
        <v>4442</v>
      </c>
      <c r="B721" s="649" t="s">
        <v>747</v>
      </c>
      <c r="C721" s="621"/>
      <c r="D721" s="621"/>
      <c r="E721" s="649" t="s">
        <v>1068</v>
      </c>
      <c r="F721" s="622" t="s">
        <v>6509</v>
      </c>
      <c r="G721" s="622" t="s">
        <v>6510</v>
      </c>
      <c r="H721" s="649" t="s">
        <v>4449</v>
      </c>
      <c r="I721" s="652" t="s">
        <v>15</v>
      </c>
      <c r="J721" s="622" t="s">
        <v>6508</v>
      </c>
      <c r="K721" s="680">
        <v>8820</v>
      </c>
      <c r="L721" s="680"/>
      <c r="M721" s="681">
        <v>984</v>
      </c>
      <c r="N721" s="681"/>
      <c r="O721" s="681">
        <v>735</v>
      </c>
      <c r="P721" s="680">
        <v>409</v>
      </c>
      <c r="Q721" s="682">
        <v>326</v>
      </c>
      <c r="R721" s="681">
        <v>249</v>
      </c>
      <c r="S721" s="658"/>
    </row>
    <row r="722" spans="1:19" s="659" customFormat="1" ht="20.100000000000001" customHeight="1">
      <c r="A722" s="657" t="s">
        <v>4442</v>
      </c>
      <c r="B722" s="649" t="s">
        <v>747</v>
      </c>
      <c r="C722" s="621"/>
      <c r="D722" s="621"/>
      <c r="E722" s="649" t="s">
        <v>1068</v>
      </c>
      <c r="F722" s="622" t="s">
        <v>6509</v>
      </c>
      <c r="G722" s="622" t="s">
        <v>6510</v>
      </c>
      <c r="H722" s="649" t="s">
        <v>4449</v>
      </c>
      <c r="I722" s="652" t="s">
        <v>15</v>
      </c>
      <c r="J722" s="622" t="s">
        <v>6508</v>
      </c>
      <c r="K722" s="680">
        <v>8820</v>
      </c>
      <c r="L722" s="680"/>
      <c r="M722" s="681">
        <v>1000</v>
      </c>
      <c r="N722" s="681"/>
      <c r="O722" s="681">
        <v>0</v>
      </c>
      <c r="P722" s="680">
        <v>0</v>
      </c>
      <c r="Q722" s="682">
        <v>0</v>
      </c>
      <c r="R722" s="681">
        <v>1000</v>
      </c>
      <c r="S722" s="658"/>
    </row>
    <row r="723" spans="1:19" s="659" customFormat="1" ht="20.100000000000001" customHeight="1">
      <c r="A723" s="657" t="s">
        <v>4442</v>
      </c>
      <c r="B723" s="649" t="s">
        <v>747</v>
      </c>
      <c r="C723" s="621"/>
      <c r="D723" s="621"/>
      <c r="E723" s="649" t="s">
        <v>1068</v>
      </c>
      <c r="F723" s="622" t="s">
        <v>6509</v>
      </c>
      <c r="G723" s="622" t="s">
        <v>6510</v>
      </c>
      <c r="H723" s="649" t="s">
        <v>4449</v>
      </c>
      <c r="I723" s="652" t="s">
        <v>15</v>
      </c>
      <c r="J723" s="622" t="s">
        <v>6508</v>
      </c>
      <c r="K723" s="680">
        <v>8820</v>
      </c>
      <c r="L723" s="680"/>
      <c r="M723" s="681">
        <v>1000</v>
      </c>
      <c r="N723" s="681"/>
      <c r="O723" s="681">
        <v>0</v>
      </c>
      <c r="P723" s="680">
        <v>0</v>
      </c>
      <c r="Q723" s="682">
        <v>0</v>
      </c>
      <c r="R723" s="681">
        <v>1000</v>
      </c>
      <c r="S723" s="658"/>
    </row>
    <row r="724" spans="1:19" s="659" customFormat="1" ht="20.100000000000001" customHeight="1">
      <c r="A724" s="657" t="s">
        <v>7068</v>
      </c>
      <c r="B724" s="649" t="s">
        <v>747</v>
      </c>
      <c r="C724" s="621"/>
      <c r="D724" s="621"/>
      <c r="E724" s="649" t="s">
        <v>1068</v>
      </c>
      <c r="F724" s="622" t="s">
        <v>6509</v>
      </c>
      <c r="G724" s="622" t="s">
        <v>6510</v>
      </c>
      <c r="H724" s="649" t="s">
        <v>4449</v>
      </c>
      <c r="I724" s="652" t="s">
        <v>15</v>
      </c>
      <c r="J724" s="622" t="s">
        <v>6508</v>
      </c>
      <c r="K724" s="680">
        <v>8820</v>
      </c>
      <c r="L724" s="680">
        <v>815</v>
      </c>
      <c r="M724" s="681">
        <v>1</v>
      </c>
      <c r="N724" s="681"/>
      <c r="O724" s="681">
        <v>816</v>
      </c>
      <c r="P724" s="680">
        <v>816</v>
      </c>
      <c r="Q724" s="682">
        <v>0</v>
      </c>
      <c r="R724" s="681">
        <v>0</v>
      </c>
      <c r="S724" s="658"/>
    </row>
    <row r="725" spans="1:19" s="659" customFormat="1" ht="20.100000000000001" customHeight="1">
      <c r="A725" s="657" t="s">
        <v>7068</v>
      </c>
      <c r="B725" s="649" t="s">
        <v>747</v>
      </c>
      <c r="C725" s="621"/>
      <c r="D725" s="621"/>
      <c r="E725" s="649" t="s">
        <v>1068</v>
      </c>
      <c r="F725" s="622" t="s">
        <v>6509</v>
      </c>
      <c r="G725" s="622" t="s">
        <v>6510</v>
      </c>
      <c r="H725" s="649" t="s">
        <v>4449</v>
      </c>
      <c r="I725" s="652" t="s">
        <v>15</v>
      </c>
      <c r="J725" s="622" t="s">
        <v>6508</v>
      </c>
      <c r="K725" s="680">
        <v>8820</v>
      </c>
      <c r="L725" s="680">
        <v>40</v>
      </c>
      <c r="M725" s="681">
        <v>0</v>
      </c>
      <c r="N725" s="681"/>
      <c r="O725" s="681">
        <v>40</v>
      </c>
      <c r="P725" s="680">
        <v>30</v>
      </c>
      <c r="Q725" s="682">
        <v>10</v>
      </c>
      <c r="R725" s="681">
        <v>0</v>
      </c>
      <c r="S725" s="658"/>
    </row>
    <row r="726" spans="1:19" s="659" customFormat="1" ht="20.100000000000001" customHeight="1">
      <c r="A726" s="657" t="s">
        <v>7068</v>
      </c>
      <c r="B726" s="649" t="s">
        <v>747</v>
      </c>
      <c r="C726" s="621"/>
      <c r="D726" s="621"/>
      <c r="E726" s="649" t="s">
        <v>1068</v>
      </c>
      <c r="F726" s="622" t="s">
        <v>6509</v>
      </c>
      <c r="G726" s="622" t="s">
        <v>6510</v>
      </c>
      <c r="H726" s="649" t="s">
        <v>4449</v>
      </c>
      <c r="I726" s="652" t="s">
        <v>15</v>
      </c>
      <c r="J726" s="622" t="s">
        <v>6508</v>
      </c>
      <c r="K726" s="680">
        <v>8820</v>
      </c>
      <c r="L726" s="680"/>
      <c r="M726" s="681">
        <v>427</v>
      </c>
      <c r="N726" s="681"/>
      <c r="O726" s="681">
        <v>420</v>
      </c>
      <c r="P726" s="680">
        <v>365</v>
      </c>
      <c r="Q726" s="682">
        <v>55</v>
      </c>
      <c r="R726" s="681">
        <v>7</v>
      </c>
      <c r="S726" s="658"/>
    </row>
    <row r="727" spans="1:19" s="659" customFormat="1" ht="20.100000000000001" customHeight="1">
      <c r="A727" s="657" t="s">
        <v>4197</v>
      </c>
      <c r="B727" s="649" t="s">
        <v>4199</v>
      </c>
      <c r="C727" s="621"/>
      <c r="D727" s="621"/>
      <c r="E727" s="649" t="s">
        <v>4198</v>
      </c>
      <c r="F727" s="622" t="s">
        <v>1000</v>
      </c>
      <c r="G727" s="622" t="s">
        <v>5696</v>
      </c>
      <c r="H727" s="649" t="s">
        <v>327</v>
      </c>
      <c r="I727" s="652" t="s">
        <v>10</v>
      </c>
      <c r="J727" s="622" t="s">
        <v>5695</v>
      </c>
      <c r="K727" s="680">
        <v>7600</v>
      </c>
      <c r="L727" s="680">
        <v>4238</v>
      </c>
      <c r="M727" s="681">
        <v>0</v>
      </c>
      <c r="N727" s="681"/>
      <c r="O727" s="681">
        <v>4238</v>
      </c>
      <c r="P727" s="680">
        <v>0</v>
      </c>
      <c r="Q727" s="682">
        <v>4238</v>
      </c>
      <c r="R727" s="681">
        <v>0</v>
      </c>
      <c r="S727" s="658"/>
    </row>
    <row r="728" spans="1:19" s="659" customFormat="1" ht="20.100000000000001" customHeight="1">
      <c r="A728" s="657" t="s">
        <v>4197</v>
      </c>
      <c r="B728" s="649" t="s">
        <v>4199</v>
      </c>
      <c r="C728" s="621"/>
      <c r="D728" s="621"/>
      <c r="E728" s="649" t="s">
        <v>4198</v>
      </c>
      <c r="F728" s="622" t="s">
        <v>1000</v>
      </c>
      <c r="G728" s="622" t="s">
        <v>5696</v>
      </c>
      <c r="H728" s="649" t="s">
        <v>327</v>
      </c>
      <c r="I728" s="652" t="s">
        <v>10</v>
      </c>
      <c r="J728" s="622" t="s">
        <v>5695</v>
      </c>
      <c r="K728" s="680">
        <v>7600</v>
      </c>
      <c r="L728" s="680">
        <v>47</v>
      </c>
      <c r="M728" s="681">
        <v>0</v>
      </c>
      <c r="N728" s="681"/>
      <c r="O728" s="681">
        <v>31</v>
      </c>
      <c r="P728" s="680">
        <v>0</v>
      </c>
      <c r="Q728" s="682">
        <v>31</v>
      </c>
      <c r="R728" s="681">
        <v>16</v>
      </c>
      <c r="S728" s="658"/>
    </row>
    <row r="729" spans="1:19" s="659" customFormat="1" ht="20.100000000000001" customHeight="1">
      <c r="A729" s="657"/>
      <c r="B729" s="649" t="s">
        <v>433</v>
      </c>
      <c r="C729" s="621"/>
      <c r="D729" s="621"/>
      <c r="E729" s="649" t="s">
        <v>4537</v>
      </c>
      <c r="F729" s="622" t="s">
        <v>465</v>
      </c>
      <c r="G729" s="622" t="s">
        <v>463</v>
      </c>
      <c r="H729" s="649" t="s">
        <v>225</v>
      </c>
      <c r="I729" s="652" t="s">
        <v>10</v>
      </c>
      <c r="J729" s="622" t="s">
        <v>5278</v>
      </c>
      <c r="K729" s="680">
        <v>9600</v>
      </c>
      <c r="L729" s="680">
        <v>23910</v>
      </c>
      <c r="M729" s="681">
        <v>15</v>
      </c>
      <c r="N729" s="681"/>
      <c r="O729" s="681">
        <v>23920</v>
      </c>
      <c r="P729" s="680">
        <v>502</v>
      </c>
      <c r="Q729" s="682">
        <v>23418</v>
      </c>
      <c r="R729" s="681">
        <v>5</v>
      </c>
      <c r="S729" s="658"/>
    </row>
    <row r="730" spans="1:19" s="659" customFormat="1" ht="20.100000000000001" customHeight="1">
      <c r="A730" s="657" t="s">
        <v>4539</v>
      </c>
      <c r="B730" s="649" t="s">
        <v>4540</v>
      </c>
      <c r="C730" s="621"/>
      <c r="D730" s="621"/>
      <c r="E730" s="649" t="s">
        <v>3229</v>
      </c>
      <c r="F730" s="622" t="s">
        <v>7331</v>
      </c>
      <c r="G730" s="622" t="s">
        <v>7332</v>
      </c>
      <c r="H730" s="649" t="s">
        <v>4541</v>
      </c>
      <c r="I730" s="652" t="s">
        <v>15</v>
      </c>
      <c r="J730" s="622" t="s">
        <v>7330</v>
      </c>
      <c r="K730" s="680">
        <v>2982</v>
      </c>
      <c r="L730" s="680">
        <v>28</v>
      </c>
      <c r="M730" s="681">
        <v>0</v>
      </c>
      <c r="N730" s="681"/>
      <c r="O730" s="681">
        <v>3</v>
      </c>
      <c r="P730" s="680">
        <v>0</v>
      </c>
      <c r="Q730" s="682">
        <v>3</v>
      </c>
      <c r="R730" s="681">
        <v>25</v>
      </c>
      <c r="S730" s="658"/>
    </row>
    <row r="731" spans="1:19" s="659" customFormat="1" ht="20.100000000000001" customHeight="1">
      <c r="A731" s="657" t="s">
        <v>4539</v>
      </c>
      <c r="B731" s="649" t="s">
        <v>4540</v>
      </c>
      <c r="C731" s="621"/>
      <c r="D731" s="621"/>
      <c r="E731" s="649" t="s">
        <v>3229</v>
      </c>
      <c r="F731" s="622" t="s">
        <v>7331</v>
      </c>
      <c r="G731" s="622" t="s">
        <v>7332</v>
      </c>
      <c r="H731" s="649" t="s">
        <v>4541</v>
      </c>
      <c r="I731" s="652" t="s">
        <v>15</v>
      </c>
      <c r="J731" s="622" t="s">
        <v>7330</v>
      </c>
      <c r="K731" s="680">
        <v>2982</v>
      </c>
      <c r="L731" s="680"/>
      <c r="M731" s="681">
        <v>70</v>
      </c>
      <c r="N731" s="681"/>
      <c r="O731" s="681">
        <v>70</v>
      </c>
      <c r="P731" s="680">
        <v>70</v>
      </c>
      <c r="Q731" s="682">
        <v>0</v>
      </c>
      <c r="R731" s="681">
        <v>0</v>
      </c>
      <c r="S731" s="658"/>
    </row>
    <row r="732" spans="1:19" s="659" customFormat="1" ht="20.100000000000001" customHeight="1">
      <c r="A732" s="657" t="s">
        <v>4539</v>
      </c>
      <c r="B732" s="649" t="s">
        <v>4540</v>
      </c>
      <c r="C732" s="621"/>
      <c r="D732" s="621"/>
      <c r="E732" s="649" t="s">
        <v>3229</v>
      </c>
      <c r="F732" s="622" t="s">
        <v>7331</v>
      </c>
      <c r="G732" s="622" t="s">
        <v>7332</v>
      </c>
      <c r="H732" s="649" t="s">
        <v>4541</v>
      </c>
      <c r="I732" s="652" t="s">
        <v>15</v>
      </c>
      <c r="J732" s="622" t="s">
        <v>7330</v>
      </c>
      <c r="K732" s="680">
        <v>2982</v>
      </c>
      <c r="L732" s="680"/>
      <c r="M732" s="681">
        <v>80</v>
      </c>
      <c r="N732" s="681"/>
      <c r="O732" s="681">
        <v>30</v>
      </c>
      <c r="P732" s="680">
        <v>30</v>
      </c>
      <c r="Q732" s="682">
        <v>0</v>
      </c>
      <c r="R732" s="681">
        <v>50</v>
      </c>
      <c r="S732" s="658"/>
    </row>
    <row r="733" spans="1:19" s="659" customFormat="1" ht="20.100000000000001" customHeight="1">
      <c r="A733" s="657" t="s">
        <v>4202</v>
      </c>
      <c r="B733" s="649" t="s">
        <v>3965</v>
      </c>
      <c r="C733" s="621"/>
      <c r="D733" s="621"/>
      <c r="E733" s="649" t="s">
        <v>2004</v>
      </c>
      <c r="F733" s="622" t="s">
        <v>2006</v>
      </c>
      <c r="G733" s="622" t="s">
        <v>5775</v>
      </c>
      <c r="H733" s="649" t="s">
        <v>2005</v>
      </c>
      <c r="I733" s="652" t="s">
        <v>11</v>
      </c>
      <c r="J733" s="622" t="s">
        <v>5774</v>
      </c>
      <c r="K733" s="680">
        <v>3585</v>
      </c>
      <c r="L733" s="680">
        <v>6126</v>
      </c>
      <c r="M733" s="681">
        <v>6</v>
      </c>
      <c r="N733" s="681"/>
      <c r="O733" s="681">
        <v>6132</v>
      </c>
      <c r="P733" s="680">
        <v>332</v>
      </c>
      <c r="Q733" s="682">
        <v>5800</v>
      </c>
      <c r="R733" s="681">
        <v>0</v>
      </c>
      <c r="S733" s="658"/>
    </row>
    <row r="734" spans="1:19" s="659" customFormat="1" ht="20.100000000000001" customHeight="1">
      <c r="A734" s="657" t="s">
        <v>4202</v>
      </c>
      <c r="B734" s="649" t="s">
        <v>3965</v>
      </c>
      <c r="C734" s="621"/>
      <c r="D734" s="621"/>
      <c r="E734" s="649" t="s">
        <v>2004</v>
      </c>
      <c r="F734" s="622" t="s">
        <v>2006</v>
      </c>
      <c r="G734" s="622" t="s">
        <v>5775</v>
      </c>
      <c r="H734" s="649" t="s">
        <v>2005</v>
      </c>
      <c r="I734" s="652" t="s">
        <v>11</v>
      </c>
      <c r="J734" s="622" t="s">
        <v>5774</v>
      </c>
      <c r="K734" s="680">
        <v>3585</v>
      </c>
      <c r="L734" s="680"/>
      <c r="M734" s="681">
        <v>3000</v>
      </c>
      <c r="N734" s="681"/>
      <c r="O734" s="681">
        <v>2953</v>
      </c>
      <c r="P734" s="680">
        <v>1553</v>
      </c>
      <c r="Q734" s="682">
        <v>1400</v>
      </c>
      <c r="R734" s="681">
        <v>47</v>
      </c>
      <c r="S734" s="658"/>
    </row>
    <row r="735" spans="1:19" s="659" customFormat="1" ht="20.100000000000001" customHeight="1">
      <c r="A735" s="657" t="s">
        <v>4202</v>
      </c>
      <c r="B735" s="649" t="s">
        <v>3965</v>
      </c>
      <c r="C735" s="621"/>
      <c r="D735" s="621"/>
      <c r="E735" s="649" t="s">
        <v>2004</v>
      </c>
      <c r="F735" s="622" t="s">
        <v>2006</v>
      </c>
      <c r="G735" s="622" t="s">
        <v>5775</v>
      </c>
      <c r="H735" s="649" t="s">
        <v>2005</v>
      </c>
      <c r="I735" s="652" t="s">
        <v>11</v>
      </c>
      <c r="J735" s="622" t="s">
        <v>5774</v>
      </c>
      <c r="K735" s="680">
        <v>3585</v>
      </c>
      <c r="L735" s="680"/>
      <c r="M735" s="681">
        <v>12800</v>
      </c>
      <c r="N735" s="681"/>
      <c r="O735" s="681">
        <v>30</v>
      </c>
      <c r="P735" s="680">
        <v>0</v>
      </c>
      <c r="Q735" s="682">
        <v>30</v>
      </c>
      <c r="R735" s="681">
        <v>12770</v>
      </c>
      <c r="S735" s="658"/>
    </row>
    <row r="736" spans="1:19" s="659" customFormat="1" ht="20.100000000000001" customHeight="1">
      <c r="A736" s="657" t="s">
        <v>5978</v>
      </c>
      <c r="B736" s="649" t="s">
        <v>5979</v>
      </c>
      <c r="C736" s="621"/>
      <c r="D736" s="621"/>
      <c r="E736" s="649" t="s">
        <v>5918</v>
      </c>
      <c r="F736" s="622" t="s">
        <v>5920</v>
      </c>
      <c r="G736" s="622" t="s">
        <v>5775</v>
      </c>
      <c r="H736" s="649" t="s">
        <v>5980</v>
      </c>
      <c r="I736" s="652" t="s">
        <v>11</v>
      </c>
      <c r="J736" s="622" t="s">
        <v>5919</v>
      </c>
      <c r="K736" s="680">
        <v>11800</v>
      </c>
      <c r="L736" s="680"/>
      <c r="M736" s="681">
        <v>500</v>
      </c>
      <c r="N736" s="681"/>
      <c r="O736" s="681">
        <v>0</v>
      </c>
      <c r="P736" s="680">
        <v>0</v>
      </c>
      <c r="Q736" s="682">
        <v>0</v>
      </c>
      <c r="R736" s="681">
        <v>500</v>
      </c>
      <c r="S736" s="658"/>
    </row>
    <row r="737" spans="1:19" s="659" customFormat="1" ht="20.100000000000001" customHeight="1">
      <c r="A737" s="657" t="s">
        <v>6596</v>
      </c>
      <c r="B737" s="649" t="s">
        <v>337</v>
      </c>
      <c r="C737" s="621"/>
      <c r="D737" s="621"/>
      <c r="E737" s="649" t="s">
        <v>6597</v>
      </c>
      <c r="F737" s="622" t="s">
        <v>6599</v>
      </c>
      <c r="G737" s="622" t="s">
        <v>6600</v>
      </c>
      <c r="H737" s="649" t="s">
        <v>272</v>
      </c>
      <c r="I737" s="652" t="s">
        <v>11</v>
      </c>
      <c r="J737" s="622" t="s">
        <v>6598</v>
      </c>
      <c r="K737" s="680">
        <v>2800</v>
      </c>
      <c r="L737" s="680"/>
      <c r="M737" s="681">
        <v>800</v>
      </c>
      <c r="N737" s="681"/>
      <c r="O737" s="681">
        <v>420</v>
      </c>
      <c r="P737" s="680">
        <v>420</v>
      </c>
      <c r="Q737" s="682">
        <v>0</v>
      </c>
      <c r="R737" s="681">
        <v>380</v>
      </c>
      <c r="S737" s="658"/>
    </row>
    <row r="738" spans="1:19" s="659" customFormat="1" ht="20.100000000000001" customHeight="1">
      <c r="A738" s="657" t="s">
        <v>5038</v>
      </c>
      <c r="B738" s="649" t="s">
        <v>1636</v>
      </c>
      <c r="C738" s="621"/>
      <c r="D738" s="621"/>
      <c r="E738" s="649" t="s">
        <v>5039</v>
      </c>
      <c r="F738" s="622" t="s">
        <v>7177</v>
      </c>
      <c r="G738" s="622" t="s">
        <v>1946</v>
      </c>
      <c r="H738" s="649" t="s">
        <v>5026</v>
      </c>
      <c r="I738" s="652" t="s">
        <v>11</v>
      </c>
      <c r="J738" s="622" t="s">
        <v>7176</v>
      </c>
      <c r="K738" s="680">
        <v>1848</v>
      </c>
      <c r="L738" s="680">
        <v>13755</v>
      </c>
      <c r="M738" s="681">
        <v>0</v>
      </c>
      <c r="N738" s="681"/>
      <c r="O738" s="681">
        <v>13718</v>
      </c>
      <c r="P738" s="680">
        <v>1500</v>
      </c>
      <c r="Q738" s="682">
        <v>12218</v>
      </c>
      <c r="R738" s="681">
        <v>37</v>
      </c>
      <c r="S738" s="658"/>
    </row>
    <row r="739" spans="1:19" s="659" customFormat="1" ht="20.100000000000001" customHeight="1">
      <c r="A739" s="657" t="s">
        <v>5038</v>
      </c>
      <c r="B739" s="649" t="s">
        <v>1636</v>
      </c>
      <c r="C739" s="621"/>
      <c r="D739" s="621"/>
      <c r="E739" s="649" t="s">
        <v>5039</v>
      </c>
      <c r="F739" s="622" t="s">
        <v>7177</v>
      </c>
      <c r="G739" s="622" t="s">
        <v>1946</v>
      </c>
      <c r="H739" s="649" t="s">
        <v>5026</v>
      </c>
      <c r="I739" s="652" t="s">
        <v>11</v>
      </c>
      <c r="J739" s="622" t="s">
        <v>7176</v>
      </c>
      <c r="K739" s="680">
        <v>1848</v>
      </c>
      <c r="L739" s="680"/>
      <c r="M739" s="681">
        <v>20000</v>
      </c>
      <c r="N739" s="681"/>
      <c r="O739" s="681">
        <v>0</v>
      </c>
      <c r="P739" s="680">
        <v>0</v>
      </c>
      <c r="Q739" s="682">
        <v>0</v>
      </c>
      <c r="R739" s="681">
        <v>20000</v>
      </c>
      <c r="S739" s="658"/>
    </row>
    <row r="740" spans="1:19" s="659" customFormat="1" ht="20.100000000000001" customHeight="1">
      <c r="A740" s="657" t="s">
        <v>4895</v>
      </c>
      <c r="B740" s="649" t="s">
        <v>313</v>
      </c>
      <c r="C740" s="621"/>
      <c r="D740" s="621"/>
      <c r="E740" s="649" t="s">
        <v>502</v>
      </c>
      <c r="F740" s="622" t="s">
        <v>504</v>
      </c>
      <c r="G740" s="622" t="s">
        <v>5343</v>
      </c>
      <c r="H740" s="649" t="s">
        <v>235</v>
      </c>
      <c r="I740" s="652" t="s">
        <v>10</v>
      </c>
      <c r="J740" s="622" t="s">
        <v>5477</v>
      </c>
      <c r="K740" s="680">
        <v>473</v>
      </c>
      <c r="L740" s="680">
        <v>247</v>
      </c>
      <c r="M740" s="681">
        <v>1</v>
      </c>
      <c r="N740" s="681"/>
      <c r="O740" s="681">
        <v>178</v>
      </c>
      <c r="P740" s="680">
        <v>178</v>
      </c>
      <c r="Q740" s="682">
        <v>0</v>
      </c>
      <c r="R740" s="681">
        <v>70</v>
      </c>
      <c r="S740" s="658"/>
    </row>
    <row r="741" spans="1:19" s="659" customFormat="1" ht="20.100000000000001" customHeight="1">
      <c r="A741" s="657" t="s">
        <v>4895</v>
      </c>
      <c r="B741" s="649" t="s">
        <v>313</v>
      </c>
      <c r="C741" s="621"/>
      <c r="D741" s="621"/>
      <c r="E741" s="649" t="s">
        <v>502</v>
      </c>
      <c r="F741" s="622" t="s">
        <v>504</v>
      </c>
      <c r="G741" s="622" t="s">
        <v>5343</v>
      </c>
      <c r="H741" s="649" t="s">
        <v>235</v>
      </c>
      <c r="I741" s="652" t="s">
        <v>10</v>
      </c>
      <c r="J741" s="622" t="s">
        <v>5477</v>
      </c>
      <c r="K741" s="680">
        <v>473</v>
      </c>
      <c r="L741" s="680">
        <v>6878</v>
      </c>
      <c r="M741" s="681">
        <v>0</v>
      </c>
      <c r="N741" s="681"/>
      <c r="O741" s="681">
        <v>6678</v>
      </c>
      <c r="P741" s="680">
        <v>2950</v>
      </c>
      <c r="Q741" s="682">
        <v>3728</v>
      </c>
      <c r="R741" s="681">
        <v>200</v>
      </c>
      <c r="S741" s="658"/>
    </row>
    <row r="742" spans="1:19" s="659" customFormat="1" ht="20.100000000000001" customHeight="1">
      <c r="A742" s="657" t="s">
        <v>4895</v>
      </c>
      <c r="B742" s="649" t="s">
        <v>313</v>
      </c>
      <c r="C742" s="621"/>
      <c r="D742" s="621"/>
      <c r="E742" s="649" t="s">
        <v>502</v>
      </c>
      <c r="F742" s="622" t="s">
        <v>504</v>
      </c>
      <c r="G742" s="622" t="s">
        <v>5343</v>
      </c>
      <c r="H742" s="649" t="s">
        <v>235</v>
      </c>
      <c r="I742" s="652" t="s">
        <v>10</v>
      </c>
      <c r="J742" s="622" t="s">
        <v>5477</v>
      </c>
      <c r="K742" s="680">
        <v>473</v>
      </c>
      <c r="L742" s="680">
        <v>23000</v>
      </c>
      <c r="M742" s="681">
        <v>0</v>
      </c>
      <c r="N742" s="681"/>
      <c r="O742" s="681">
        <v>21776</v>
      </c>
      <c r="P742" s="680">
        <v>9750</v>
      </c>
      <c r="Q742" s="682">
        <v>12026</v>
      </c>
      <c r="R742" s="681">
        <v>1224</v>
      </c>
      <c r="S742" s="658"/>
    </row>
    <row r="743" spans="1:19" s="659" customFormat="1" ht="20.100000000000001" customHeight="1">
      <c r="A743" s="657" t="s">
        <v>7593</v>
      </c>
      <c r="B743" s="649" t="s">
        <v>607</v>
      </c>
      <c r="C743" s="621"/>
      <c r="D743" s="621"/>
      <c r="E743" s="649" t="s">
        <v>7594</v>
      </c>
      <c r="F743" s="622" t="s">
        <v>7596</v>
      </c>
      <c r="G743" s="622" t="s">
        <v>1698</v>
      </c>
      <c r="H743" s="649" t="s">
        <v>327</v>
      </c>
      <c r="I743" s="652" t="s">
        <v>11</v>
      </c>
      <c r="J743" s="622" t="s">
        <v>7595</v>
      </c>
      <c r="K743" s="680">
        <v>2940</v>
      </c>
      <c r="L743" s="680">
        <v>4464</v>
      </c>
      <c r="M743" s="681">
        <v>0</v>
      </c>
      <c r="N743" s="681"/>
      <c r="O743" s="681">
        <v>3500</v>
      </c>
      <c r="P743" s="680">
        <v>18</v>
      </c>
      <c r="Q743" s="682">
        <v>3482</v>
      </c>
      <c r="R743" s="681">
        <v>964</v>
      </c>
      <c r="S743" s="658"/>
    </row>
    <row r="744" spans="1:19" s="659" customFormat="1" ht="20.100000000000001" customHeight="1">
      <c r="A744" s="657" t="s">
        <v>7593</v>
      </c>
      <c r="B744" s="649" t="s">
        <v>607</v>
      </c>
      <c r="C744" s="621"/>
      <c r="D744" s="621"/>
      <c r="E744" s="649" t="s">
        <v>7594</v>
      </c>
      <c r="F744" s="622" t="s">
        <v>7596</v>
      </c>
      <c r="G744" s="622" t="s">
        <v>1698</v>
      </c>
      <c r="H744" s="649" t="s">
        <v>327</v>
      </c>
      <c r="I744" s="652" t="s">
        <v>11</v>
      </c>
      <c r="J744" s="622" t="s">
        <v>7595</v>
      </c>
      <c r="K744" s="680">
        <v>2940</v>
      </c>
      <c r="L744" s="680">
        <v>5400</v>
      </c>
      <c r="M744" s="681">
        <v>0</v>
      </c>
      <c r="N744" s="681"/>
      <c r="O744" s="681">
        <v>90</v>
      </c>
      <c r="P744" s="680">
        <v>0</v>
      </c>
      <c r="Q744" s="682">
        <v>90</v>
      </c>
      <c r="R744" s="681">
        <v>5310</v>
      </c>
      <c r="S744" s="658"/>
    </row>
    <row r="745" spans="1:19" s="659" customFormat="1" ht="20.100000000000001" customHeight="1">
      <c r="A745" s="657" t="s">
        <v>4205</v>
      </c>
      <c r="B745" s="649" t="s">
        <v>1365</v>
      </c>
      <c r="C745" s="621"/>
      <c r="D745" s="621"/>
      <c r="E745" s="649" t="s">
        <v>1366</v>
      </c>
      <c r="F745" s="622" t="s">
        <v>7589</v>
      </c>
      <c r="G745" s="622" t="s">
        <v>7015</v>
      </c>
      <c r="H745" s="649" t="s">
        <v>310</v>
      </c>
      <c r="I745" s="652" t="s">
        <v>11</v>
      </c>
      <c r="J745" s="622" t="s">
        <v>7588</v>
      </c>
      <c r="K745" s="680">
        <v>245</v>
      </c>
      <c r="L745" s="680">
        <v>70</v>
      </c>
      <c r="M745" s="681">
        <v>0</v>
      </c>
      <c r="N745" s="681"/>
      <c r="O745" s="681">
        <v>70</v>
      </c>
      <c r="P745" s="680">
        <v>0</v>
      </c>
      <c r="Q745" s="682">
        <v>70</v>
      </c>
      <c r="R745" s="681">
        <v>0</v>
      </c>
      <c r="S745" s="658"/>
    </row>
    <row r="746" spans="1:19" s="659" customFormat="1" ht="20.100000000000001" customHeight="1">
      <c r="A746" s="657" t="s">
        <v>4205</v>
      </c>
      <c r="B746" s="649" t="s">
        <v>1365</v>
      </c>
      <c r="C746" s="621"/>
      <c r="D746" s="621"/>
      <c r="E746" s="649" t="s">
        <v>1366</v>
      </c>
      <c r="F746" s="622" t="s">
        <v>7589</v>
      </c>
      <c r="G746" s="622" t="s">
        <v>7015</v>
      </c>
      <c r="H746" s="649" t="s">
        <v>310</v>
      </c>
      <c r="I746" s="652" t="s">
        <v>11</v>
      </c>
      <c r="J746" s="622" t="s">
        <v>7588</v>
      </c>
      <c r="K746" s="680">
        <v>245</v>
      </c>
      <c r="L746" s="680">
        <v>405</v>
      </c>
      <c r="M746" s="681">
        <v>0</v>
      </c>
      <c r="N746" s="681"/>
      <c r="O746" s="681">
        <v>405</v>
      </c>
      <c r="P746" s="680">
        <v>9</v>
      </c>
      <c r="Q746" s="682">
        <v>396</v>
      </c>
      <c r="R746" s="681">
        <v>0</v>
      </c>
      <c r="S746" s="658"/>
    </row>
    <row r="747" spans="1:19" s="659" customFormat="1" ht="20.100000000000001" customHeight="1">
      <c r="A747" s="657" t="s">
        <v>4543</v>
      </c>
      <c r="B747" s="649" t="s">
        <v>1140</v>
      </c>
      <c r="C747" s="621"/>
      <c r="D747" s="621"/>
      <c r="E747" s="649" t="s">
        <v>4544</v>
      </c>
      <c r="F747" s="622" t="s">
        <v>6616</v>
      </c>
      <c r="G747" s="622" t="s">
        <v>6617</v>
      </c>
      <c r="H747" s="649" t="s">
        <v>4545</v>
      </c>
      <c r="I747" s="652" t="s">
        <v>4240</v>
      </c>
      <c r="J747" s="622" t="s">
        <v>6615</v>
      </c>
      <c r="K747" s="680">
        <v>28400</v>
      </c>
      <c r="L747" s="680">
        <v>83</v>
      </c>
      <c r="M747" s="681">
        <v>0</v>
      </c>
      <c r="N747" s="681"/>
      <c r="O747" s="681">
        <v>83</v>
      </c>
      <c r="P747" s="680">
        <v>15</v>
      </c>
      <c r="Q747" s="682">
        <v>68</v>
      </c>
      <c r="R747" s="681">
        <v>0</v>
      </c>
      <c r="S747" s="658"/>
    </row>
    <row r="748" spans="1:19" s="659" customFormat="1" ht="20.100000000000001" customHeight="1">
      <c r="A748" s="657" t="s">
        <v>4543</v>
      </c>
      <c r="B748" s="649" t="s">
        <v>1140</v>
      </c>
      <c r="C748" s="621"/>
      <c r="D748" s="621"/>
      <c r="E748" s="649" t="s">
        <v>4544</v>
      </c>
      <c r="F748" s="622" t="s">
        <v>6616</v>
      </c>
      <c r="G748" s="622" t="s">
        <v>6617</v>
      </c>
      <c r="H748" s="649" t="s">
        <v>4545</v>
      </c>
      <c r="I748" s="652" t="s">
        <v>4240</v>
      </c>
      <c r="J748" s="622" t="s">
        <v>6615</v>
      </c>
      <c r="K748" s="680">
        <v>28400</v>
      </c>
      <c r="L748" s="680">
        <v>30</v>
      </c>
      <c r="M748" s="681">
        <v>0</v>
      </c>
      <c r="N748" s="681"/>
      <c r="O748" s="681">
        <v>5</v>
      </c>
      <c r="P748" s="680">
        <v>5</v>
      </c>
      <c r="Q748" s="682">
        <v>0</v>
      </c>
      <c r="R748" s="681">
        <v>25</v>
      </c>
      <c r="S748" s="658"/>
    </row>
    <row r="749" spans="1:19" s="659" customFormat="1" ht="20.100000000000001" customHeight="1">
      <c r="A749" s="657" t="s">
        <v>4543</v>
      </c>
      <c r="B749" s="649" t="s">
        <v>1140</v>
      </c>
      <c r="C749" s="621"/>
      <c r="D749" s="621"/>
      <c r="E749" s="649" t="s">
        <v>4544</v>
      </c>
      <c r="F749" s="622" t="s">
        <v>6616</v>
      </c>
      <c r="G749" s="622" t="s">
        <v>6617</v>
      </c>
      <c r="H749" s="649" t="s">
        <v>4545</v>
      </c>
      <c r="I749" s="652" t="s">
        <v>4240</v>
      </c>
      <c r="J749" s="622" t="s">
        <v>6615</v>
      </c>
      <c r="K749" s="680">
        <v>28400</v>
      </c>
      <c r="L749" s="680">
        <v>20</v>
      </c>
      <c r="M749" s="681">
        <v>0</v>
      </c>
      <c r="N749" s="681"/>
      <c r="O749" s="681">
        <v>0</v>
      </c>
      <c r="P749" s="680">
        <v>0</v>
      </c>
      <c r="Q749" s="682">
        <v>0</v>
      </c>
      <c r="R749" s="681">
        <v>20</v>
      </c>
      <c r="S749" s="658"/>
    </row>
    <row r="750" spans="1:19" s="659" customFormat="1" ht="20.100000000000001" customHeight="1">
      <c r="A750" s="657" t="s">
        <v>4209</v>
      </c>
      <c r="B750" s="649" t="s">
        <v>882</v>
      </c>
      <c r="C750" s="621"/>
      <c r="D750" s="621"/>
      <c r="E750" s="649" t="s">
        <v>4210</v>
      </c>
      <c r="F750" s="622" t="s">
        <v>5603</v>
      </c>
      <c r="G750" s="622" t="s">
        <v>5604</v>
      </c>
      <c r="H750" s="649" t="s">
        <v>1580</v>
      </c>
      <c r="I750" s="652" t="s">
        <v>10</v>
      </c>
      <c r="J750" s="622" t="s">
        <v>5602</v>
      </c>
      <c r="K750" s="680">
        <v>659</v>
      </c>
      <c r="L750" s="680">
        <v>5854</v>
      </c>
      <c r="M750" s="681">
        <v>3</v>
      </c>
      <c r="N750" s="681"/>
      <c r="O750" s="681">
        <v>5784</v>
      </c>
      <c r="P750" s="680">
        <v>200</v>
      </c>
      <c r="Q750" s="682">
        <v>5584</v>
      </c>
      <c r="R750" s="681">
        <v>73</v>
      </c>
      <c r="S750" s="658"/>
    </row>
    <row r="751" spans="1:19" s="659" customFormat="1" ht="20.100000000000001" customHeight="1">
      <c r="A751" s="657" t="s">
        <v>4209</v>
      </c>
      <c r="B751" s="649" t="s">
        <v>882</v>
      </c>
      <c r="C751" s="621"/>
      <c r="D751" s="621"/>
      <c r="E751" s="649" t="s">
        <v>4210</v>
      </c>
      <c r="F751" s="622" t="s">
        <v>5603</v>
      </c>
      <c r="G751" s="622" t="s">
        <v>5604</v>
      </c>
      <c r="H751" s="649" t="s">
        <v>1580</v>
      </c>
      <c r="I751" s="652" t="s">
        <v>10</v>
      </c>
      <c r="J751" s="622" t="s">
        <v>5602</v>
      </c>
      <c r="K751" s="680">
        <v>659</v>
      </c>
      <c r="L751" s="680"/>
      <c r="M751" s="681">
        <v>19980</v>
      </c>
      <c r="N751" s="681"/>
      <c r="O751" s="681">
        <v>8790</v>
      </c>
      <c r="P751" s="680">
        <v>0</v>
      </c>
      <c r="Q751" s="682">
        <v>8790</v>
      </c>
      <c r="R751" s="681">
        <v>11190</v>
      </c>
      <c r="S751" s="658"/>
    </row>
    <row r="752" spans="1:19" s="659" customFormat="1" ht="20.100000000000001" customHeight="1">
      <c r="A752" s="657" t="s">
        <v>4209</v>
      </c>
      <c r="B752" s="649" t="s">
        <v>882</v>
      </c>
      <c r="C752" s="621"/>
      <c r="D752" s="621"/>
      <c r="E752" s="649" t="s">
        <v>4210</v>
      </c>
      <c r="F752" s="622" t="s">
        <v>5603</v>
      </c>
      <c r="G752" s="622" t="s">
        <v>5604</v>
      </c>
      <c r="H752" s="649" t="s">
        <v>1580</v>
      </c>
      <c r="I752" s="652" t="s">
        <v>10</v>
      </c>
      <c r="J752" s="622" t="s">
        <v>5602</v>
      </c>
      <c r="K752" s="680">
        <v>659</v>
      </c>
      <c r="L752" s="680">
        <v>75</v>
      </c>
      <c r="M752" s="681">
        <v>1</v>
      </c>
      <c r="N752" s="681"/>
      <c r="O752" s="681">
        <v>76</v>
      </c>
      <c r="P752" s="680">
        <v>76</v>
      </c>
      <c r="Q752" s="682">
        <v>0</v>
      </c>
      <c r="R752" s="681">
        <v>0</v>
      </c>
      <c r="S752" s="658"/>
    </row>
    <row r="753" spans="1:19" s="659" customFormat="1" ht="20.100000000000001" customHeight="1">
      <c r="A753" s="657" t="s">
        <v>4178</v>
      </c>
      <c r="B753" s="649" t="s">
        <v>4214</v>
      </c>
      <c r="C753" s="621"/>
      <c r="D753" s="621"/>
      <c r="E753" s="649" t="s">
        <v>4213</v>
      </c>
      <c r="F753" s="622" t="s">
        <v>6390</v>
      </c>
      <c r="G753" s="622" t="s">
        <v>2072</v>
      </c>
      <c r="H753" s="649" t="s">
        <v>4215</v>
      </c>
      <c r="I753" s="652" t="s">
        <v>4139</v>
      </c>
      <c r="J753" s="622" t="s">
        <v>6389</v>
      </c>
      <c r="K753" s="680">
        <v>227850</v>
      </c>
      <c r="L753" s="680">
        <v>747</v>
      </c>
      <c r="M753" s="681">
        <v>500</v>
      </c>
      <c r="N753" s="681"/>
      <c r="O753" s="681">
        <v>1247</v>
      </c>
      <c r="P753" s="680">
        <v>21</v>
      </c>
      <c r="Q753" s="682">
        <v>1226</v>
      </c>
      <c r="R753" s="681">
        <v>0</v>
      </c>
      <c r="S753" s="658"/>
    </row>
    <row r="754" spans="1:19" s="659" customFormat="1" ht="20.100000000000001" customHeight="1">
      <c r="A754" s="657" t="s">
        <v>4178</v>
      </c>
      <c r="B754" s="649" t="s">
        <v>4214</v>
      </c>
      <c r="C754" s="621"/>
      <c r="D754" s="621"/>
      <c r="E754" s="649" t="s">
        <v>4213</v>
      </c>
      <c r="F754" s="622" t="s">
        <v>6390</v>
      </c>
      <c r="G754" s="622" t="s">
        <v>2072</v>
      </c>
      <c r="H754" s="649" t="s">
        <v>4215</v>
      </c>
      <c r="I754" s="652" t="s">
        <v>4139</v>
      </c>
      <c r="J754" s="622" t="s">
        <v>6389</v>
      </c>
      <c r="K754" s="680">
        <v>227850</v>
      </c>
      <c r="L754" s="680"/>
      <c r="M754" s="681">
        <v>3000</v>
      </c>
      <c r="N754" s="681"/>
      <c r="O754" s="681">
        <v>1109</v>
      </c>
      <c r="P754" s="680">
        <v>11</v>
      </c>
      <c r="Q754" s="682">
        <v>1098</v>
      </c>
      <c r="R754" s="681">
        <v>1891</v>
      </c>
      <c r="S754" s="658"/>
    </row>
    <row r="755" spans="1:19" s="659" customFormat="1" ht="20.100000000000001" customHeight="1">
      <c r="A755" s="657" t="s">
        <v>4216</v>
      </c>
      <c r="B755" s="649" t="s">
        <v>4214</v>
      </c>
      <c r="C755" s="621"/>
      <c r="D755" s="621"/>
      <c r="E755" s="649" t="s">
        <v>4213</v>
      </c>
      <c r="F755" s="622" t="s">
        <v>6390</v>
      </c>
      <c r="G755" s="622" t="s">
        <v>2072</v>
      </c>
      <c r="H755" s="649" t="s">
        <v>4215</v>
      </c>
      <c r="I755" s="652" t="s">
        <v>4139</v>
      </c>
      <c r="J755" s="622" t="s">
        <v>6389</v>
      </c>
      <c r="K755" s="680">
        <v>227850</v>
      </c>
      <c r="L755" s="680"/>
      <c r="M755" s="681">
        <v>1000</v>
      </c>
      <c r="N755" s="681"/>
      <c r="O755" s="681">
        <v>999</v>
      </c>
      <c r="P755" s="680">
        <v>4</v>
      </c>
      <c r="Q755" s="682">
        <v>995</v>
      </c>
      <c r="R755" s="681">
        <v>1</v>
      </c>
      <c r="S755" s="658"/>
    </row>
    <row r="756" spans="1:19" s="659" customFormat="1" ht="20.100000000000001" customHeight="1">
      <c r="A756" s="657"/>
      <c r="B756" s="649" t="s">
        <v>2530</v>
      </c>
      <c r="C756" s="621"/>
      <c r="D756" s="621"/>
      <c r="E756" s="649" t="s">
        <v>421</v>
      </c>
      <c r="F756" s="622" t="s">
        <v>424</v>
      </c>
      <c r="G756" s="622" t="s">
        <v>414</v>
      </c>
      <c r="H756" s="649" t="s">
        <v>422</v>
      </c>
      <c r="I756" s="652" t="s">
        <v>628</v>
      </c>
      <c r="J756" s="622" t="s">
        <v>5488</v>
      </c>
      <c r="K756" s="680">
        <v>980</v>
      </c>
      <c r="L756" s="680">
        <v>16</v>
      </c>
      <c r="M756" s="681">
        <v>0</v>
      </c>
      <c r="N756" s="681"/>
      <c r="O756" s="681">
        <v>0</v>
      </c>
      <c r="P756" s="680">
        <v>0</v>
      </c>
      <c r="Q756" s="682">
        <v>0</v>
      </c>
      <c r="R756" s="681">
        <v>16</v>
      </c>
      <c r="S756" s="658"/>
    </row>
    <row r="757" spans="1:19" s="659" customFormat="1" ht="20.100000000000001" customHeight="1">
      <c r="A757" s="657"/>
      <c r="B757" s="649" t="s">
        <v>2530</v>
      </c>
      <c r="C757" s="621"/>
      <c r="D757" s="621"/>
      <c r="E757" s="649" t="s">
        <v>421</v>
      </c>
      <c r="F757" s="622" t="s">
        <v>424</v>
      </c>
      <c r="G757" s="622" t="s">
        <v>414</v>
      </c>
      <c r="H757" s="649" t="s">
        <v>422</v>
      </c>
      <c r="I757" s="652" t="s">
        <v>628</v>
      </c>
      <c r="J757" s="622" t="s">
        <v>5488</v>
      </c>
      <c r="K757" s="680">
        <v>980</v>
      </c>
      <c r="L757" s="680">
        <v>17</v>
      </c>
      <c r="M757" s="681">
        <v>0</v>
      </c>
      <c r="N757" s="681"/>
      <c r="O757" s="681">
        <v>10</v>
      </c>
      <c r="P757" s="680">
        <v>0</v>
      </c>
      <c r="Q757" s="682">
        <v>10</v>
      </c>
      <c r="R757" s="681">
        <v>7</v>
      </c>
      <c r="S757" s="658"/>
    </row>
    <row r="758" spans="1:19" s="659" customFormat="1" ht="20.100000000000001" customHeight="1">
      <c r="A758" s="657" t="s">
        <v>7860</v>
      </c>
      <c r="B758" s="649" t="s">
        <v>747</v>
      </c>
      <c r="C758" s="621"/>
      <c r="D758" s="621"/>
      <c r="E758" s="649" t="s">
        <v>7861</v>
      </c>
      <c r="F758" s="622" t="s">
        <v>7863</v>
      </c>
      <c r="G758" s="622" t="s">
        <v>621</v>
      </c>
      <c r="H758" s="649" t="s">
        <v>7060</v>
      </c>
      <c r="I758" s="652" t="s">
        <v>15</v>
      </c>
      <c r="J758" s="622" t="s">
        <v>7862</v>
      </c>
      <c r="K758" s="680">
        <v>9345</v>
      </c>
      <c r="L758" s="680"/>
      <c r="M758" s="681">
        <v>96</v>
      </c>
      <c r="N758" s="681"/>
      <c r="O758" s="681">
        <v>40</v>
      </c>
      <c r="P758" s="680">
        <v>5</v>
      </c>
      <c r="Q758" s="682">
        <v>35</v>
      </c>
      <c r="R758" s="681">
        <v>56</v>
      </c>
      <c r="S758" s="658"/>
    </row>
    <row r="759" spans="1:19" s="659" customFormat="1" ht="20.100000000000001" customHeight="1">
      <c r="A759" s="657" t="s">
        <v>7860</v>
      </c>
      <c r="B759" s="649" t="s">
        <v>747</v>
      </c>
      <c r="C759" s="621"/>
      <c r="D759" s="621"/>
      <c r="E759" s="649" t="s">
        <v>7861</v>
      </c>
      <c r="F759" s="622" t="s">
        <v>7863</v>
      </c>
      <c r="G759" s="622" t="s">
        <v>621</v>
      </c>
      <c r="H759" s="649" t="s">
        <v>7060</v>
      </c>
      <c r="I759" s="652" t="s">
        <v>15</v>
      </c>
      <c r="J759" s="622" t="s">
        <v>7862</v>
      </c>
      <c r="K759" s="680">
        <v>9345</v>
      </c>
      <c r="L759" s="680"/>
      <c r="M759" s="681">
        <v>197</v>
      </c>
      <c r="N759" s="681"/>
      <c r="O759" s="681">
        <v>0</v>
      </c>
      <c r="P759" s="680">
        <v>0</v>
      </c>
      <c r="Q759" s="682">
        <v>0</v>
      </c>
      <c r="R759" s="681">
        <v>197</v>
      </c>
      <c r="S759" s="658"/>
    </row>
    <row r="760" spans="1:19" s="659" customFormat="1" ht="20.100000000000001" customHeight="1">
      <c r="A760" s="657" t="s">
        <v>7860</v>
      </c>
      <c r="B760" s="649" t="s">
        <v>747</v>
      </c>
      <c r="C760" s="621"/>
      <c r="D760" s="621"/>
      <c r="E760" s="649" t="s">
        <v>7861</v>
      </c>
      <c r="F760" s="622" t="s">
        <v>7863</v>
      </c>
      <c r="G760" s="622" t="s">
        <v>621</v>
      </c>
      <c r="H760" s="649" t="s">
        <v>7060</v>
      </c>
      <c r="I760" s="652" t="s">
        <v>15</v>
      </c>
      <c r="J760" s="622" t="s">
        <v>7862</v>
      </c>
      <c r="K760" s="680">
        <v>9345</v>
      </c>
      <c r="L760" s="680">
        <v>48</v>
      </c>
      <c r="M760" s="681">
        <v>1</v>
      </c>
      <c r="N760" s="681"/>
      <c r="O760" s="681">
        <v>34</v>
      </c>
      <c r="P760" s="680">
        <v>17</v>
      </c>
      <c r="Q760" s="682">
        <v>17</v>
      </c>
      <c r="R760" s="681">
        <v>15</v>
      </c>
      <c r="S760" s="658"/>
    </row>
    <row r="761" spans="1:19" s="659" customFormat="1" ht="20.100000000000001" customHeight="1">
      <c r="A761" s="657" t="s">
        <v>4549</v>
      </c>
      <c r="B761" s="649" t="s">
        <v>564</v>
      </c>
      <c r="C761" s="621"/>
      <c r="D761" s="621"/>
      <c r="E761" s="649" t="s">
        <v>4550</v>
      </c>
      <c r="F761" s="622" t="s">
        <v>1078</v>
      </c>
      <c r="G761" s="622" t="s">
        <v>336</v>
      </c>
      <c r="H761" s="649" t="s">
        <v>2532</v>
      </c>
      <c r="I761" s="652" t="s">
        <v>13</v>
      </c>
      <c r="J761" s="622" t="s">
        <v>7458</v>
      </c>
      <c r="K761" s="680">
        <v>980</v>
      </c>
      <c r="L761" s="680">
        <v>320</v>
      </c>
      <c r="M761" s="681">
        <v>0</v>
      </c>
      <c r="N761" s="681"/>
      <c r="O761" s="681">
        <v>0</v>
      </c>
      <c r="P761" s="680">
        <v>0</v>
      </c>
      <c r="Q761" s="682">
        <v>0</v>
      </c>
      <c r="R761" s="681">
        <v>320</v>
      </c>
      <c r="S761" s="658"/>
    </row>
    <row r="762" spans="1:19" s="659" customFormat="1" ht="20.100000000000001" customHeight="1">
      <c r="A762" s="657" t="s">
        <v>4549</v>
      </c>
      <c r="B762" s="649" t="s">
        <v>564</v>
      </c>
      <c r="C762" s="621"/>
      <c r="D762" s="621"/>
      <c r="E762" s="649" t="s">
        <v>4550</v>
      </c>
      <c r="F762" s="622" t="s">
        <v>1078</v>
      </c>
      <c r="G762" s="622" t="s">
        <v>336</v>
      </c>
      <c r="H762" s="649" t="s">
        <v>2532</v>
      </c>
      <c r="I762" s="652" t="s">
        <v>13</v>
      </c>
      <c r="J762" s="622" t="s">
        <v>7458</v>
      </c>
      <c r="K762" s="680">
        <v>980</v>
      </c>
      <c r="L762" s="680"/>
      <c r="M762" s="681">
        <v>200</v>
      </c>
      <c r="N762" s="681"/>
      <c r="O762" s="681">
        <v>200</v>
      </c>
      <c r="P762" s="680">
        <v>200</v>
      </c>
      <c r="Q762" s="682">
        <v>0</v>
      </c>
      <c r="R762" s="681">
        <v>0</v>
      </c>
      <c r="S762" s="658"/>
    </row>
    <row r="763" spans="1:19" s="659" customFormat="1" ht="20.100000000000001" customHeight="1">
      <c r="A763" s="657" t="s">
        <v>4549</v>
      </c>
      <c r="B763" s="649" t="s">
        <v>564</v>
      </c>
      <c r="C763" s="621"/>
      <c r="D763" s="621"/>
      <c r="E763" s="649" t="s">
        <v>4550</v>
      </c>
      <c r="F763" s="622" t="s">
        <v>1078</v>
      </c>
      <c r="G763" s="622" t="s">
        <v>336</v>
      </c>
      <c r="H763" s="649" t="s">
        <v>2532</v>
      </c>
      <c r="I763" s="652" t="s">
        <v>13</v>
      </c>
      <c r="J763" s="622" t="s">
        <v>7458</v>
      </c>
      <c r="K763" s="680">
        <v>980</v>
      </c>
      <c r="L763" s="680">
        <v>180</v>
      </c>
      <c r="M763" s="681">
        <v>0</v>
      </c>
      <c r="N763" s="681"/>
      <c r="O763" s="681">
        <v>180</v>
      </c>
      <c r="P763" s="680">
        <v>0</v>
      </c>
      <c r="Q763" s="682">
        <v>180</v>
      </c>
      <c r="R763" s="681">
        <v>0</v>
      </c>
      <c r="S763" s="658"/>
    </row>
    <row r="764" spans="1:19" s="659" customFormat="1" ht="20.100000000000001" customHeight="1">
      <c r="A764" s="657" t="s">
        <v>7165</v>
      </c>
      <c r="B764" s="649" t="s">
        <v>1636</v>
      </c>
      <c r="C764" s="621"/>
      <c r="D764" s="621"/>
      <c r="E764" s="649" t="s">
        <v>7167</v>
      </c>
      <c r="F764" s="622" t="s">
        <v>7169</v>
      </c>
      <c r="G764" s="622" t="s">
        <v>6929</v>
      </c>
      <c r="H764" s="649" t="s">
        <v>7166</v>
      </c>
      <c r="I764" s="652" t="s">
        <v>520</v>
      </c>
      <c r="J764" s="622" t="s">
        <v>7168</v>
      </c>
      <c r="K764" s="680">
        <v>4079</v>
      </c>
      <c r="L764" s="680"/>
      <c r="M764" s="681">
        <v>5000</v>
      </c>
      <c r="N764" s="681"/>
      <c r="O764" s="681">
        <v>1938</v>
      </c>
      <c r="P764" s="680">
        <v>0</v>
      </c>
      <c r="Q764" s="682">
        <v>1938</v>
      </c>
      <c r="R764" s="681">
        <v>3062</v>
      </c>
      <c r="S764" s="658"/>
    </row>
    <row r="765" spans="1:19" s="659" customFormat="1" ht="20.100000000000001" customHeight="1">
      <c r="A765" s="657" t="s">
        <v>7165</v>
      </c>
      <c r="B765" s="649" t="s">
        <v>1636</v>
      </c>
      <c r="C765" s="621"/>
      <c r="D765" s="621"/>
      <c r="E765" s="649" t="s">
        <v>7167</v>
      </c>
      <c r="F765" s="622" t="s">
        <v>7169</v>
      </c>
      <c r="G765" s="622" t="s">
        <v>6929</v>
      </c>
      <c r="H765" s="649" t="s">
        <v>7166</v>
      </c>
      <c r="I765" s="652" t="s">
        <v>520</v>
      </c>
      <c r="J765" s="622" t="s">
        <v>7168</v>
      </c>
      <c r="K765" s="680">
        <v>4079</v>
      </c>
      <c r="L765" s="680"/>
      <c r="M765" s="681">
        <v>10000</v>
      </c>
      <c r="N765" s="681"/>
      <c r="O765" s="681">
        <v>0</v>
      </c>
      <c r="P765" s="680">
        <v>0</v>
      </c>
      <c r="Q765" s="682">
        <v>0</v>
      </c>
      <c r="R765" s="681">
        <v>10000</v>
      </c>
      <c r="S765" s="658"/>
    </row>
    <row r="766" spans="1:19" s="659" customFormat="1" ht="20.100000000000001" customHeight="1">
      <c r="A766" s="657" t="s">
        <v>4217</v>
      </c>
      <c r="B766" s="649" t="s">
        <v>392</v>
      </c>
      <c r="C766" s="621"/>
      <c r="D766" s="621"/>
      <c r="E766" s="649" t="s">
        <v>2147</v>
      </c>
      <c r="F766" s="622" t="s">
        <v>6779</v>
      </c>
      <c r="G766" s="622" t="s">
        <v>350</v>
      </c>
      <c r="H766" s="649" t="s">
        <v>267</v>
      </c>
      <c r="I766" s="652" t="s">
        <v>658</v>
      </c>
      <c r="J766" s="622" t="s">
        <v>6778</v>
      </c>
      <c r="K766" s="680">
        <v>19600</v>
      </c>
      <c r="L766" s="680">
        <v>227</v>
      </c>
      <c r="M766" s="681">
        <v>5</v>
      </c>
      <c r="N766" s="681"/>
      <c r="O766" s="681">
        <v>230</v>
      </c>
      <c r="P766" s="680">
        <v>230</v>
      </c>
      <c r="Q766" s="682">
        <v>0</v>
      </c>
      <c r="R766" s="681">
        <v>2</v>
      </c>
      <c r="S766" s="658"/>
    </row>
    <row r="767" spans="1:19" s="659" customFormat="1" ht="20.100000000000001" customHeight="1">
      <c r="A767" s="657" t="s">
        <v>4217</v>
      </c>
      <c r="B767" s="649" t="s">
        <v>392</v>
      </c>
      <c r="C767" s="621"/>
      <c r="D767" s="621"/>
      <c r="E767" s="649" t="s">
        <v>2147</v>
      </c>
      <c r="F767" s="622" t="s">
        <v>6779</v>
      </c>
      <c r="G767" s="622" t="s">
        <v>350</v>
      </c>
      <c r="H767" s="649" t="s">
        <v>267</v>
      </c>
      <c r="I767" s="652" t="s">
        <v>658</v>
      </c>
      <c r="J767" s="622" t="s">
        <v>6778</v>
      </c>
      <c r="K767" s="680">
        <v>19600</v>
      </c>
      <c r="L767" s="680"/>
      <c r="M767" s="681">
        <v>100</v>
      </c>
      <c r="N767" s="681"/>
      <c r="O767" s="681">
        <v>46</v>
      </c>
      <c r="P767" s="680">
        <v>46</v>
      </c>
      <c r="Q767" s="682">
        <v>0</v>
      </c>
      <c r="R767" s="681">
        <v>54</v>
      </c>
      <c r="S767" s="658"/>
    </row>
    <row r="768" spans="1:19" s="659" customFormat="1" ht="20.100000000000001" customHeight="1">
      <c r="A768" s="657" t="s">
        <v>4219</v>
      </c>
      <c r="B768" s="649" t="s">
        <v>4220</v>
      </c>
      <c r="C768" s="621"/>
      <c r="D768" s="621"/>
      <c r="E768" s="649" t="s">
        <v>913</v>
      </c>
      <c r="F768" s="622" t="s">
        <v>6328</v>
      </c>
      <c r="G768" s="622" t="s">
        <v>6329</v>
      </c>
      <c r="H768" s="649" t="s">
        <v>4221</v>
      </c>
      <c r="I768" s="652" t="s">
        <v>520</v>
      </c>
      <c r="J768" s="622" t="s">
        <v>6327</v>
      </c>
      <c r="K768" s="680">
        <v>88788</v>
      </c>
      <c r="L768" s="680">
        <v>18</v>
      </c>
      <c r="M768" s="681">
        <v>0</v>
      </c>
      <c r="N768" s="681"/>
      <c r="O768" s="681">
        <v>18</v>
      </c>
      <c r="P768" s="680">
        <v>0</v>
      </c>
      <c r="Q768" s="682">
        <v>18</v>
      </c>
      <c r="R768" s="681">
        <v>0</v>
      </c>
      <c r="S768" s="658"/>
    </row>
    <row r="769" spans="1:19" s="659" customFormat="1" ht="20.100000000000001" customHeight="1">
      <c r="A769" s="657" t="s">
        <v>6238</v>
      </c>
      <c r="B769" s="649" t="s">
        <v>392</v>
      </c>
      <c r="C769" s="621"/>
      <c r="D769" s="621"/>
      <c r="E769" s="649" t="s">
        <v>2533</v>
      </c>
      <c r="F769" s="622" t="s">
        <v>6240</v>
      </c>
      <c r="G769" s="622" t="s">
        <v>6241</v>
      </c>
      <c r="H769" s="649" t="s">
        <v>267</v>
      </c>
      <c r="I769" s="652" t="s">
        <v>658</v>
      </c>
      <c r="J769" s="622" t="s">
        <v>6239</v>
      </c>
      <c r="K769" s="680">
        <v>34950</v>
      </c>
      <c r="L769" s="680"/>
      <c r="M769" s="681">
        <v>100</v>
      </c>
      <c r="N769" s="681"/>
      <c r="O769" s="681">
        <v>0</v>
      </c>
      <c r="P769" s="680">
        <v>0</v>
      </c>
      <c r="Q769" s="682">
        <v>0</v>
      </c>
      <c r="R769" s="681">
        <v>100</v>
      </c>
      <c r="S769" s="658"/>
    </row>
    <row r="770" spans="1:19" s="659" customFormat="1" ht="20.100000000000001" customHeight="1">
      <c r="A770" s="657" t="s">
        <v>4957</v>
      </c>
      <c r="B770" s="649" t="s">
        <v>4958</v>
      </c>
      <c r="C770" s="621"/>
      <c r="D770" s="621"/>
      <c r="E770" s="649" t="s">
        <v>738</v>
      </c>
      <c r="F770" s="622" t="s">
        <v>741</v>
      </c>
      <c r="G770" s="622" t="s">
        <v>5833</v>
      </c>
      <c r="H770" s="649" t="s">
        <v>739</v>
      </c>
      <c r="I770" s="652" t="s">
        <v>628</v>
      </c>
      <c r="J770" s="622" t="s">
        <v>5316</v>
      </c>
      <c r="K770" s="680">
        <v>27930</v>
      </c>
      <c r="L770" s="680">
        <v>15</v>
      </c>
      <c r="M770" s="681">
        <v>0</v>
      </c>
      <c r="N770" s="681"/>
      <c r="O770" s="681">
        <v>14</v>
      </c>
      <c r="P770" s="680">
        <v>0</v>
      </c>
      <c r="Q770" s="682">
        <v>14</v>
      </c>
      <c r="R770" s="681">
        <v>1</v>
      </c>
      <c r="S770" s="658"/>
    </row>
    <row r="771" spans="1:19" s="659" customFormat="1" ht="20.100000000000001" customHeight="1">
      <c r="A771" s="657" t="s">
        <v>4957</v>
      </c>
      <c r="B771" s="649" t="s">
        <v>4958</v>
      </c>
      <c r="C771" s="621"/>
      <c r="D771" s="621"/>
      <c r="E771" s="649" t="s">
        <v>738</v>
      </c>
      <c r="F771" s="622" t="s">
        <v>741</v>
      </c>
      <c r="G771" s="622" t="s">
        <v>5833</v>
      </c>
      <c r="H771" s="649" t="s">
        <v>739</v>
      </c>
      <c r="I771" s="652" t="s">
        <v>628</v>
      </c>
      <c r="J771" s="622" t="s">
        <v>5316</v>
      </c>
      <c r="K771" s="680">
        <v>27930</v>
      </c>
      <c r="L771" s="680">
        <v>375</v>
      </c>
      <c r="M771" s="681">
        <v>3</v>
      </c>
      <c r="N771" s="681"/>
      <c r="O771" s="681">
        <v>378</v>
      </c>
      <c r="P771" s="680">
        <v>17</v>
      </c>
      <c r="Q771" s="682">
        <v>361</v>
      </c>
      <c r="R771" s="681">
        <v>0</v>
      </c>
      <c r="S771" s="658"/>
    </row>
    <row r="772" spans="1:19" s="659" customFormat="1" ht="20.100000000000001" customHeight="1">
      <c r="A772" s="657" t="s">
        <v>4223</v>
      </c>
      <c r="B772" s="649" t="s">
        <v>2535</v>
      </c>
      <c r="C772" s="621"/>
      <c r="D772" s="621"/>
      <c r="E772" s="649" t="s">
        <v>1559</v>
      </c>
      <c r="F772" s="622" t="s">
        <v>1561</v>
      </c>
      <c r="G772" s="622" t="s">
        <v>1558</v>
      </c>
      <c r="H772" s="649" t="s">
        <v>4224</v>
      </c>
      <c r="I772" s="652" t="s">
        <v>12</v>
      </c>
      <c r="J772" s="622" t="s">
        <v>1560</v>
      </c>
      <c r="K772" s="680">
        <v>2800</v>
      </c>
      <c r="L772" s="680">
        <v>5</v>
      </c>
      <c r="M772" s="681">
        <v>0</v>
      </c>
      <c r="N772" s="681"/>
      <c r="O772" s="681">
        <v>5</v>
      </c>
      <c r="P772" s="680">
        <v>0</v>
      </c>
      <c r="Q772" s="682">
        <v>5</v>
      </c>
      <c r="R772" s="681">
        <v>0</v>
      </c>
      <c r="S772" s="658"/>
    </row>
    <row r="773" spans="1:19" s="659" customFormat="1" ht="20.100000000000001" customHeight="1">
      <c r="A773" s="657" t="s">
        <v>4901</v>
      </c>
      <c r="B773" s="649" t="s">
        <v>256</v>
      </c>
      <c r="C773" s="621"/>
      <c r="D773" s="621"/>
      <c r="E773" s="649" t="s">
        <v>490</v>
      </c>
      <c r="F773" s="622" t="s">
        <v>491</v>
      </c>
      <c r="G773" s="622" t="s">
        <v>492</v>
      </c>
      <c r="H773" s="649" t="s">
        <v>299</v>
      </c>
      <c r="I773" s="652" t="s">
        <v>10</v>
      </c>
      <c r="J773" s="622" t="s">
        <v>2292</v>
      </c>
      <c r="K773" s="680">
        <v>998</v>
      </c>
      <c r="L773" s="680"/>
      <c r="M773" s="681">
        <v>10000</v>
      </c>
      <c r="N773" s="681"/>
      <c r="O773" s="681">
        <v>9706</v>
      </c>
      <c r="P773" s="680">
        <v>107</v>
      </c>
      <c r="Q773" s="682">
        <v>9599</v>
      </c>
      <c r="R773" s="681">
        <v>294</v>
      </c>
      <c r="S773" s="658"/>
    </row>
    <row r="774" spans="1:19" s="659" customFormat="1" ht="20.100000000000001" customHeight="1">
      <c r="A774" s="657" t="s">
        <v>4226</v>
      </c>
      <c r="B774" s="649" t="s">
        <v>4228</v>
      </c>
      <c r="C774" s="621"/>
      <c r="D774" s="621"/>
      <c r="E774" s="649" t="s">
        <v>4227</v>
      </c>
      <c r="F774" s="622" t="s">
        <v>7010</v>
      </c>
      <c r="G774" s="622" t="s">
        <v>7011</v>
      </c>
      <c r="H774" s="649" t="s">
        <v>4229</v>
      </c>
      <c r="I774" s="652" t="s">
        <v>12</v>
      </c>
      <c r="J774" s="622" t="s">
        <v>7009</v>
      </c>
      <c r="K774" s="680">
        <v>1386</v>
      </c>
      <c r="L774" s="680">
        <v>1821</v>
      </c>
      <c r="M774" s="681">
        <v>14</v>
      </c>
      <c r="N774" s="681"/>
      <c r="O774" s="681">
        <v>1823</v>
      </c>
      <c r="P774" s="680">
        <v>1671</v>
      </c>
      <c r="Q774" s="682">
        <v>152</v>
      </c>
      <c r="R774" s="681">
        <v>12</v>
      </c>
      <c r="S774" s="658"/>
    </row>
    <row r="775" spans="1:19" s="659" customFormat="1" ht="20.100000000000001" customHeight="1">
      <c r="A775" s="657" t="s">
        <v>4230</v>
      </c>
      <c r="B775" s="649" t="s">
        <v>2089</v>
      </c>
      <c r="C775" s="621"/>
      <c r="D775" s="621"/>
      <c r="E775" s="649" t="s">
        <v>2090</v>
      </c>
      <c r="F775" s="622" t="s">
        <v>6349</v>
      </c>
      <c r="G775" s="622" t="s">
        <v>2092</v>
      </c>
      <c r="H775" s="649" t="s">
        <v>327</v>
      </c>
      <c r="I775" s="652" t="s">
        <v>10</v>
      </c>
      <c r="J775" s="622" t="s">
        <v>6348</v>
      </c>
      <c r="K775" s="680">
        <v>1900</v>
      </c>
      <c r="L775" s="680">
        <v>12</v>
      </c>
      <c r="M775" s="681">
        <v>0</v>
      </c>
      <c r="N775" s="681"/>
      <c r="O775" s="681">
        <v>9</v>
      </c>
      <c r="P775" s="680">
        <v>9</v>
      </c>
      <c r="Q775" s="682">
        <v>0</v>
      </c>
      <c r="R775" s="681">
        <v>3</v>
      </c>
      <c r="S775" s="658"/>
    </row>
    <row r="776" spans="1:19" s="659" customFormat="1" ht="20.100000000000001" customHeight="1">
      <c r="A776" s="657" t="s">
        <v>4230</v>
      </c>
      <c r="B776" s="649" t="s">
        <v>2089</v>
      </c>
      <c r="C776" s="621"/>
      <c r="D776" s="621"/>
      <c r="E776" s="649" t="s">
        <v>2090</v>
      </c>
      <c r="F776" s="622" t="s">
        <v>6349</v>
      </c>
      <c r="G776" s="622" t="s">
        <v>2092</v>
      </c>
      <c r="H776" s="649" t="s">
        <v>327</v>
      </c>
      <c r="I776" s="652" t="s">
        <v>10</v>
      </c>
      <c r="J776" s="622" t="s">
        <v>6348</v>
      </c>
      <c r="K776" s="680">
        <v>1900</v>
      </c>
      <c r="L776" s="680">
        <v>294</v>
      </c>
      <c r="M776" s="681">
        <v>0</v>
      </c>
      <c r="N776" s="681"/>
      <c r="O776" s="681">
        <v>294</v>
      </c>
      <c r="P776" s="680">
        <v>0</v>
      </c>
      <c r="Q776" s="682">
        <v>294</v>
      </c>
      <c r="R776" s="681">
        <v>0</v>
      </c>
      <c r="S776" s="658"/>
    </row>
    <row r="777" spans="1:19" s="659" customFormat="1" ht="20.100000000000001" customHeight="1">
      <c r="A777" s="657" t="s">
        <v>4230</v>
      </c>
      <c r="B777" s="649" t="s">
        <v>2089</v>
      </c>
      <c r="C777" s="621"/>
      <c r="D777" s="621"/>
      <c r="E777" s="649" t="s">
        <v>2090</v>
      </c>
      <c r="F777" s="622" t="s">
        <v>6349</v>
      </c>
      <c r="G777" s="622" t="s">
        <v>2092</v>
      </c>
      <c r="H777" s="649" t="s">
        <v>327</v>
      </c>
      <c r="I777" s="652" t="s">
        <v>11</v>
      </c>
      <c r="J777" s="622" t="s">
        <v>6348</v>
      </c>
      <c r="K777" s="680">
        <v>1900</v>
      </c>
      <c r="L777" s="680"/>
      <c r="M777" s="681">
        <v>600</v>
      </c>
      <c r="N777" s="681"/>
      <c r="O777" s="681">
        <v>0</v>
      </c>
      <c r="P777" s="680">
        <v>0</v>
      </c>
      <c r="Q777" s="682">
        <v>0</v>
      </c>
      <c r="R777" s="681">
        <v>600</v>
      </c>
      <c r="S777" s="658"/>
    </row>
    <row r="778" spans="1:19" s="659" customFormat="1" ht="20.100000000000001" customHeight="1">
      <c r="A778" s="657" t="s">
        <v>4236</v>
      </c>
      <c r="B778" s="649" t="s">
        <v>1800</v>
      </c>
      <c r="C778" s="621"/>
      <c r="D778" s="621"/>
      <c r="E778" s="649" t="s">
        <v>4237</v>
      </c>
      <c r="F778" s="622" t="s">
        <v>8307</v>
      </c>
      <c r="G778" s="622" t="s">
        <v>6102</v>
      </c>
      <c r="H778" s="649" t="s">
        <v>229</v>
      </c>
      <c r="I778" s="652" t="s">
        <v>11</v>
      </c>
      <c r="J778" s="622" t="s">
        <v>6009</v>
      </c>
      <c r="K778" s="680">
        <v>2500</v>
      </c>
      <c r="L778" s="680">
        <v>638</v>
      </c>
      <c r="M778" s="681">
        <v>0</v>
      </c>
      <c r="N778" s="681"/>
      <c r="O778" s="681">
        <v>638</v>
      </c>
      <c r="P778" s="680">
        <v>0</v>
      </c>
      <c r="Q778" s="682">
        <v>638</v>
      </c>
      <c r="R778" s="681">
        <v>0</v>
      </c>
      <c r="S778" s="658"/>
    </row>
    <row r="779" spans="1:19" s="659" customFormat="1" ht="20.100000000000001" customHeight="1">
      <c r="A779" s="657" t="s">
        <v>4902</v>
      </c>
      <c r="B779" s="649" t="s">
        <v>242</v>
      </c>
      <c r="C779" s="621"/>
      <c r="D779" s="621"/>
      <c r="E779" s="649" t="s">
        <v>4903</v>
      </c>
      <c r="F779" s="622" t="s">
        <v>244</v>
      </c>
      <c r="G779" s="622" t="s">
        <v>245</v>
      </c>
      <c r="H779" s="649" t="s">
        <v>243</v>
      </c>
      <c r="I779" s="652" t="s">
        <v>628</v>
      </c>
      <c r="J779" s="622" t="s">
        <v>5261</v>
      </c>
      <c r="K779" s="680">
        <v>3255</v>
      </c>
      <c r="L779" s="680">
        <v>100</v>
      </c>
      <c r="M779" s="681">
        <v>0</v>
      </c>
      <c r="N779" s="681"/>
      <c r="O779" s="681">
        <v>84</v>
      </c>
      <c r="P779" s="680">
        <v>74</v>
      </c>
      <c r="Q779" s="682">
        <v>10</v>
      </c>
      <c r="R779" s="681">
        <v>16</v>
      </c>
      <c r="S779" s="658"/>
    </row>
    <row r="780" spans="1:19" s="659" customFormat="1" ht="20.100000000000001" customHeight="1">
      <c r="A780" s="657" t="s">
        <v>4902</v>
      </c>
      <c r="B780" s="649" t="s">
        <v>242</v>
      </c>
      <c r="C780" s="621"/>
      <c r="D780" s="621"/>
      <c r="E780" s="649" t="s">
        <v>4903</v>
      </c>
      <c r="F780" s="622" t="s">
        <v>244</v>
      </c>
      <c r="G780" s="622" t="s">
        <v>245</v>
      </c>
      <c r="H780" s="649" t="s">
        <v>243</v>
      </c>
      <c r="I780" s="652" t="s">
        <v>628</v>
      </c>
      <c r="J780" s="622" t="s">
        <v>5261</v>
      </c>
      <c r="K780" s="680">
        <v>3255</v>
      </c>
      <c r="L780" s="680">
        <v>64</v>
      </c>
      <c r="M780" s="681">
        <v>0</v>
      </c>
      <c r="N780" s="681"/>
      <c r="O780" s="681">
        <v>18</v>
      </c>
      <c r="P780" s="680">
        <v>18</v>
      </c>
      <c r="Q780" s="682">
        <v>0</v>
      </c>
      <c r="R780" s="681">
        <v>46</v>
      </c>
      <c r="S780" s="658"/>
    </row>
    <row r="781" spans="1:19" s="659" customFormat="1" ht="20.100000000000001" customHeight="1">
      <c r="A781" s="657" t="s">
        <v>4902</v>
      </c>
      <c r="B781" s="649" t="s">
        <v>242</v>
      </c>
      <c r="C781" s="621"/>
      <c r="D781" s="621"/>
      <c r="E781" s="649" t="s">
        <v>4903</v>
      </c>
      <c r="F781" s="622" t="s">
        <v>244</v>
      </c>
      <c r="G781" s="622" t="s">
        <v>245</v>
      </c>
      <c r="H781" s="649" t="s">
        <v>243</v>
      </c>
      <c r="I781" s="652" t="s">
        <v>628</v>
      </c>
      <c r="J781" s="622" t="s">
        <v>5261</v>
      </c>
      <c r="K781" s="680">
        <v>3255</v>
      </c>
      <c r="L781" s="680">
        <v>65</v>
      </c>
      <c r="M781" s="681">
        <v>0</v>
      </c>
      <c r="N781" s="681"/>
      <c r="O781" s="681">
        <v>65</v>
      </c>
      <c r="P781" s="680">
        <v>65</v>
      </c>
      <c r="Q781" s="682">
        <v>0</v>
      </c>
      <c r="R781" s="681">
        <v>0</v>
      </c>
      <c r="S781" s="658"/>
    </row>
    <row r="782" spans="1:19" s="659" customFormat="1" ht="20.100000000000001" customHeight="1">
      <c r="A782" s="657" t="s">
        <v>4238</v>
      </c>
      <c r="B782" s="649" t="s">
        <v>639</v>
      </c>
      <c r="C782" s="621"/>
      <c r="D782" s="621"/>
      <c r="E782" s="649" t="s">
        <v>4239</v>
      </c>
      <c r="F782" s="622" t="s">
        <v>7412</v>
      </c>
      <c r="G782" s="622" t="s">
        <v>7413</v>
      </c>
      <c r="H782" s="649" t="s">
        <v>2435</v>
      </c>
      <c r="I782" s="652" t="s">
        <v>4240</v>
      </c>
      <c r="J782" s="622" t="s">
        <v>7411</v>
      </c>
      <c r="K782" s="680">
        <v>4095</v>
      </c>
      <c r="L782" s="680">
        <v>47</v>
      </c>
      <c r="M782" s="681">
        <v>100</v>
      </c>
      <c r="N782" s="681"/>
      <c r="O782" s="681">
        <v>96</v>
      </c>
      <c r="P782" s="680">
        <v>52</v>
      </c>
      <c r="Q782" s="682">
        <v>44</v>
      </c>
      <c r="R782" s="681">
        <v>51</v>
      </c>
      <c r="S782" s="658"/>
    </row>
    <row r="783" spans="1:19" s="659" customFormat="1" ht="20.100000000000001" customHeight="1">
      <c r="A783" s="657" t="s">
        <v>3720</v>
      </c>
      <c r="B783" s="649" t="s">
        <v>750</v>
      </c>
      <c r="C783" s="621"/>
      <c r="D783" s="621"/>
      <c r="E783" s="649" t="s">
        <v>1369</v>
      </c>
      <c r="F783" s="622" t="s">
        <v>7605</v>
      </c>
      <c r="G783" s="622" t="s">
        <v>7001</v>
      </c>
      <c r="H783" s="649" t="s">
        <v>833</v>
      </c>
      <c r="I783" s="652" t="s">
        <v>11</v>
      </c>
      <c r="J783" s="622" t="s">
        <v>7604</v>
      </c>
      <c r="K783" s="680">
        <v>84</v>
      </c>
      <c r="L783" s="680">
        <v>982</v>
      </c>
      <c r="M783" s="681">
        <v>3</v>
      </c>
      <c r="N783" s="681"/>
      <c r="O783" s="681">
        <v>20</v>
      </c>
      <c r="P783" s="680">
        <v>20</v>
      </c>
      <c r="Q783" s="682">
        <v>0</v>
      </c>
      <c r="R783" s="681">
        <v>965</v>
      </c>
      <c r="S783" s="658"/>
    </row>
    <row r="784" spans="1:19" s="659" customFormat="1" ht="20.100000000000001" customHeight="1">
      <c r="A784" s="657" t="s">
        <v>3720</v>
      </c>
      <c r="B784" s="649" t="s">
        <v>750</v>
      </c>
      <c r="C784" s="621"/>
      <c r="D784" s="621"/>
      <c r="E784" s="649" t="s">
        <v>1369</v>
      </c>
      <c r="F784" s="622" t="s">
        <v>7605</v>
      </c>
      <c r="G784" s="622" t="s">
        <v>7001</v>
      </c>
      <c r="H784" s="649" t="s">
        <v>833</v>
      </c>
      <c r="I784" s="652" t="s">
        <v>11</v>
      </c>
      <c r="J784" s="622" t="s">
        <v>7604</v>
      </c>
      <c r="K784" s="680">
        <v>84</v>
      </c>
      <c r="L784" s="680">
        <v>189</v>
      </c>
      <c r="M784" s="681">
        <v>0</v>
      </c>
      <c r="N784" s="681"/>
      <c r="O784" s="681">
        <v>179</v>
      </c>
      <c r="P784" s="680">
        <v>0</v>
      </c>
      <c r="Q784" s="682">
        <v>179</v>
      </c>
      <c r="R784" s="681">
        <v>10</v>
      </c>
      <c r="S784" s="658"/>
    </row>
    <row r="785" spans="1:19" s="659" customFormat="1" ht="20.100000000000001" customHeight="1">
      <c r="A785" s="657" t="s">
        <v>3720</v>
      </c>
      <c r="B785" s="649" t="s">
        <v>750</v>
      </c>
      <c r="C785" s="621"/>
      <c r="D785" s="621"/>
      <c r="E785" s="649" t="s">
        <v>1369</v>
      </c>
      <c r="F785" s="622" t="s">
        <v>7605</v>
      </c>
      <c r="G785" s="622" t="s">
        <v>7001</v>
      </c>
      <c r="H785" s="649" t="s">
        <v>833</v>
      </c>
      <c r="I785" s="652" t="s">
        <v>11</v>
      </c>
      <c r="J785" s="622" t="s">
        <v>7604</v>
      </c>
      <c r="K785" s="680">
        <v>84</v>
      </c>
      <c r="L785" s="680"/>
      <c r="M785" s="681">
        <v>10000</v>
      </c>
      <c r="N785" s="681"/>
      <c r="O785" s="681">
        <v>10000</v>
      </c>
      <c r="P785" s="680">
        <v>10000</v>
      </c>
      <c r="Q785" s="682">
        <v>0</v>
      </c>
      <c r="R785" s="681">
        <v>0</v>
      </c>
      <c r="S785" s="658"/>
    </row>
    <row r="786" spans="1:19" s="659" customFormat="1" ht="20.100000000000001" customHeight="1">
      <c r="A786" s="657" t="s">
        <v>3720</v>
      </c>
      <c r="B786" s="649" t="s">
        <v>750</v>
      </c>
      <c r="C786" s="621"/>
      <c r="D786" s="621"/>
      <c r="E786" s="649" t="s">
        <v>1369</v>
      </c>
      <c r="F786" s="622" t="s">
        <v>7605</v>
      </c>
      <c r="G786" s="622" t="s">
        <v>7001</v>
      </c>
      <c r="H786" s="649" t="s">
        <v>833</v>
      </c>
      <c r="I786" s="652" t="s">
        <v>11</v>
      </c>
      <c r="J786" s="622" t="s">
        <v>7604</v>
      </c>
      <c r="K786" s="680">
        <v>84</v>
      </c>
      <c r="L786" s="680">
        <v>21000</v>
      </c>
      <c r="M786" s="681">
        <v>0</v>
      </c>
      <c r="N786" s="681"/>
      <c r="O786" s="681">
        <v>20946</v>
      </c>
      <c r="P786" s="680">
        <v>16000</v>
      </c>
      <c r="Q786" s="682">
        <v>4946</v>
      </c>
      <c r="R786" s="681">
        <v>54</v>
      </c>
      <c r="S786" s="658"/>
    </row>
    <row r="787" spans="1:19" s="659" customFormat="1" ht="20.100000000000001" customHeight="1">
      <c r="A787" s="657" t="s">
        <v>3720</v>
      </c>
      <c r="B787" s="649" t="s">
        <v>750</v>
      </c>
      <c r="C787" s="621"/>
      <c r="D787" s="621"/>
      <c r="E787" s="649" t="s">
        <v>1369</v>
      </c>
      <c r="F787" s="622" t="s">
        <v>7605</v>
      </c>
      <c r="G787" s="622" t="s">
        <v>7001</v>
      </c>
      <c r="H787" s="649" t="s">
        <v>833</v>
      </c>
      <c r="I787" s="652" t="s">
        <v>11</v>
      </c>
      <c r="J787" s="622" t="s">
        <v>7604</v>
      </c>
      <c r="K787" s="680">
        <v>84</v>
      </c>
      <c r="L787" s="680"/>
      <c r="M787" s="681">
        <v>19000</v>
      </c>
      <c r="N787" s="681"/>
      <c r="O787" s="681">
        <v>4000</v>
      </c>
      <c r="P787" s="680">
        <v>4000</v>
      </c>
      <c r="Q787" s="682">
        <v>0</v>
      </c>
      <c r="R787" s="681">
        <v>15000</v>
      </c>
      <c r="S787" s="658"/>
    </row>
    <row r="788" spans="1:19" s="659" customFormat="1" ht="20.100000000000001" customHeight="1">
      <c r="A788" s="657" t="s">
        <v>4906</v>
      </c>
      <c r="B788" s="649" t="s">
        <v>227</v>
      </c>
      <c r="C788" s="621"/>
      <c r="D788" s="621"/>
      <c r="E788" s="649" t="s">
        <v>397</v>
      </c>
      <c r="F788" s="622" t="s">
        <v>399</v>
      </c>
      <c r="G788" s="622" t="s">
        <v>360</v>
      </c>
      <c r="H788" s="649" t="s">
        <v>398</v>
      </c>
      <c r="I788" s="652" t="s">
        <v>10</v>
      </c>
      <c r="J788" s="622" t="s">
        <v>5514</v>
      </c>
      <c r="K788" s="680">
        <v>89</v>
      </c>
      <c r="L788" s="680">
        <v>19506</v>
      </c>
      <c r="M788" s="681">
        <v>0</v>
      </c>
      <c r="N788" s="681"/>
      <c r="O788" s="681">
        <v>19506</v>
      </c>
      <c r="P788" s="680">
        <v>0</v>
      </c>
      <c r="Q788" s="682">
        <v>19506</v>
      </c>
      <c r="R788" s="681">
        <v>0</v>
      </c>
      <c r="S788" s="658"/>
    </row>
    <row r="789" spans="1:19" s="659" customFormat="1" ht="20.100000000000001" customHeight="1">
      <c r="A789" s="657" t="s">
        <v>4906</v>
      </c>
      <c r="B789" s="649" t="s">
        <v>227</v>
      </c>
      <c r="C789" s="621"/>
      <c r="D789" s="621"/>
      <c r="E789" s="649" t="s">
        <v>397</v>
      </c>
      <c r="F789" s="622" t="s">
        <v>399</v>
      </c>
      <c r="G789" s="622" t="s">
        <v>360</v>
      </c>
      <c r="H789" s="649" t="s">
        <v>398</v>
      </c>
      <c r="I789" s="652" t="s">
        <v>10</v>
      </c>
      <c r="J789" s="622" t="s">
        <v>5514</v>
      </c>
      <c r="K789" s="680">
        <v>89</v>
      </c>
      <c r="L789" s="680">
        <v>18000</v>
      </c>
      <c r="M789" s="681">
        <v>0</v>
      </c>
      <c r="N789" s="681"/>
      <c r="O789" s="681">
        <v>12000</v>
      </c>
      <c r="P789" s="680">
        <v>0</v>
      </c>
      <c r="Q789" s="682">
        <v>12000</v>
      </c>
      <c r="R789" s="681">
        <v>6000</v>
      </c>
      <c r="S789" s="658"/>
    </row>
    <row r="790" spans="1:19" s="659" customFormat="1" ht="20.100000000000001" customHeight="1">
      <c r="A790" s="657" t="s">
        <v>4906</v>
      </c>
      <c r="B790" s="649" t="s">
        <v>227</v>
      </c>
      <c r="C790" s="621"/>
      <c r="D790" s="621"/>
      <c r="E790" s="649" t="s">
        <v>397</v>
      </c>
      <c r="F790" s="622" t="s">
        <v>399</v>
      </c>
      <c r="G790" s="622" t="s">
        <v>360</v>
      </c>
      <c r="H790" s="649" t="s">
        <v>398</v>
      </c>
      <c r="I790" s="652" t="s">
        <v>10</v>
      </c>
      <c r="J790" s="622" t="s">
        <v>5514</v>
      </c>
      <c r="K790" s="680">
        <v>89</v>
      </c>
      <c r="L790" s="680">
        <v>72000</v>
      </c>
      <c r="M790" s="681">
        <v>0</v>
      </c>
      <c r="N790" s="681"/>
      <c r="O790" s="681">
        <v>72000</v>
      </c>
      <c r="P790" s="680">
        <v>15000</v>
      </c>
      <c r="Q790" s="682">
        <v>57000</v>
      </c>
      <c r="R790" s="681">
        <v>0</v>
      </c>
      <c r="S790" s="658"/>
    </row>
    <row r="791" spans="1:19" s="659" customFormat="1" ht="20.100000000000001" customHeight="1">
      <c r="A791" s="657" t="s">
        <v>4908</v>
      </c>
      <c r="B791" s="649" t="s">
        <v>227</v>
      </c>
      <c r="C791" s="621"/>
      <c r="D791" s="621"/>
      <c r="E791" s="649" t="s">
        <v>527</v>
      </c>
      <c r="F791" s="622" t="s">
        <v>528</v>
      </c>
      <c r="G791" s="622" t="s">
        <v>529</v>
      </c>
      <c r="H791" s="649" t="s">
        <v>225</v>
      </c>
      <c r="I791" s="652" t="s">
        <v>410</v>
      </c>
      <c r="J791" s="622" t="s">
        <v>5263</v>
      </c>
      <c r="K791" s="680">
        <v>1954</v>
      </c>
      <c r="L791" s="680">
        <v>438</v>
      </c>
      <c r="M791" s="681">
        <v>3</v>
      </c>
      <c r="N791" s="681"/>
      <c r="O791" s="681">
        <v>440</v>
      </c>
      <c r="P791" s="680">
        <v>440</v>
      </c>
      <c r="Q791" s="682">
        <v>0</v>
      </c>
      <c r="R791" s="681">
        <v>1</v>
      </c>
      <c r="S791" s="658"/>
    </row>
    <row r="792" spans="1:19" s="659" customFormat="1" ht="20.100000000000001" customHeight="1">
      <c r="A792" s="657" t="s">
        <v>4908</v>
      </c>
      <c r="B792" s="649" t="s">
        <v>227</v>
      </c>
      <c r="C792" s="621"/>
      <c r="D792" s="621"/>
      <c r="E792" s="649" t="s">
        <v>527</v>
      </c>
      <c r="F792" s="622" t="s">
        <v>528</v>
      </c>
      <c r="G792" s="622" t="s">
        <v>529</v>
      </c>
      <c r="H792" s="649" t="s">
        <v>225</v>
      </c>
      <c r="I792" s="652" t="s">
        <v>410</v>
      </c>
      <c r="J792" s="622" t="s">
        <v>5263</v>
      </c>
      <c r="K792" s="680">
        <v>1954</v>
      </c>
      <c r="L792" s="680">
        <v>21900</v>
      </c>
      <c r="M792" s="681">
        <v>812</v>
      </c>
      <c r="N792" s="681"/>
      <c r="O792" s="681">
        <v>16566</v>
      </c>
      <c r="P792" s="680">
        <v>10513</v>
      </c>
      <c r="Q792" s="682">
        <v>6053</v>
      </c>
      <c r="R792" s="681">
        <v>6146</v>
      </c>
      <c r="S792" s="658"/>
    </row>
    <row r="793" spans="1:19" s="659" customFormat="1" ht="20.100000000000001" customHeight="1">
      <c r="A793" s="657" t="s">
        <v>4908</v>
      </c>
      <c r="B793" s="649" t="s">
        <v>227</v>
      </c>
      <c r="C793" s="621"/>
      <c r="D793" s="621"/>
      <c r="E793" s="649" t="s">
        <v>527</v>
      </c>
      <c r="F793" s="622" t="s">
        <v>528</v>
      </c>
      <c r="G793" s="622" t="s">
        <v>529</v>
      </c>
      <c r="H793" s="649" t="s">
        <v>225</v>
      </c>
      <c r="I793" s="652" t="s">
        <v>410</v>
      </c>
      <c r="J793" s="622" t="s">
        <v>5263</v>
      </c>
      <c r="K793" s="680">
        <v>1954</v>
      </c>
      <c r="L793" s="680">
        <v>40000</v>
      </c>
      <c r="M793" s="681">
        <v>0</v>
      </c>
      <c r="N793" s="681"/>
      <c r="O793" s="681">
        <v>50</v>
      </c>
      <c r="P793" s="680">
        <v>0</v>
      </c>
      <c r="Q793" s="682">
        <v>50</v>
      </c>
      <c r="R793" s="681">
        <v>39950</v>
      </c>
      <c r="S793" s="658"/>
    </row>
    <row r="794" spans="1:19" s="659" customFormat="1" ht="20.100000000000001" customHeight="1">
      <c r="A794" s="657" t="s">
        <v>7705</v>
      </c>
      <c r="B794" s="649" t="s">
        <v>836</v>
      </c>
      <c r="C794" s="621"/>
      <c r="D794" s="621"/>
      <c r="E794" s="649" t="s">
        <v>7706</v>
      </c>
      <c r="F794" s="622" t="s">
        <v>7708</v>
      </c>
      <c r="G794" s="622" t="s">
        <v>806</v>
      </c>
      <c r="H794" s="649" t="s">
        <v>838</v>
      </c>
      <c r="I794" s="652" t="s">
        <v>11</v>
      </c>
      <c r="J794" s="622" t="s">
        <v>7707</v>
      </c>
      <c r="K794" s="680">
        <v>1015</v>
      </c>
      <c r="L794" s="680"/>
      <c r="M794" s="681">
        <v>2480</v>
      </c>
      <c r="N794" s="681"/>
      <c r="O794" s="681">
        <v>2480</v>
      </c>
      <c r="P794" s="680">
        <v>2480</v>
      </c>
      <c r="Q794" s="682">
        <v>0</v>
      </c>
      <c r="R794" s="681">
        <v>0</v>
      </c>
      <c r="S794" s="658"/>
    </row>
    <row r="795" spans="1:19" s="659" customFormat="1" ht="20.100000000000001" customHeight="1">
      <c r="A795" s="657" t="s">
        <v>7705</v>
      </c>
      <c r="B795" s="649" t="s">
        <v>836</v>
      </c>
      <c r="C795" s="621"/>
      <c r="D795" s="621"/>
      <c r="E795" s="649" t="s">
        <v>7706</v>
      </c>
      <c r="F795" s="622" t="s">
        <v>7708</v>
      </c>
      <c r="G795" s="622" t="s">
        <v>806</v>
      </c>
      <c r="H795" s="649" t="s">
        <v>838</v>
      </c>
      <c r="I795" s="652" t="s">
        <v>11</v>
      </c>
      <c r="J795" s="622" t="s">
        <v>7707</v>
      </c>
      <c r="K795" s="680">
        <v>1015</v>
      </c>
      <c r="L795" s="680"/>
      <c r="M795" s="681">
        <v>2464</v>
      </c>
      <c r="N795" s="681"/>
      <c r="O795" s="681">
        <v>0</v>
      </c>
      <c r="P795" s="680">
        <v>0</v>
      </c>
      <c r="Q795" s="682">
        <v>0</v>
      </c>
      <c r="R795" s="681">
        <v>2464</v>
      </c>
      <c r="S795" s="658"/>
    </row>
    <row r="796" spans="1:19" s="659" customFormat="1" ht="20.100000000000001" customHeight="1">
      <c r="A796" s="657" t="s">
        <v>7705</v>
      </c>
      <c r="B796" s="649" t="s">
        <v>836</v>
      </c>
      <c r="C796" s="621"/>
      <c r="D796" s="621"/>
      <c r="E796" s="649" t="s">
        <v>7706</v>
      </c>
      <c r="F796" s="622" t="s">
        <v>7708</v>
      </c>
      <c r="G796" s="622" t="s">
        <v>806</v>
      </c>
      <c r="H796" s="649" t="s">
        <v>838</v>
      </c>
      <c r="I796" s="652" t="s">
        <v>11</v>
      </c>
      <c r="J796" s="622" t="s">
        <v>7707</v>
      </c>
      <c r="K796" s="680">
        <v>1015</v>
      </c>
      <c r="L796" s="680"/>
      <c r="M796" s="681">
        <v>2528</v>
      </c>
      <c r="N796" s="681"/>
      <c r="O796" s="681">
        <v>0</v>
      </c>
      <c r="P796" s="680">
        <v>0</v>
      </c>
      <c r="Q796" s="682">
        <v>0</v>
      </c>
      <c r="R796" s="681">
        <v>2528</v>
      </c>
      <c r="S796" s="658"/>
    </row>
    <row r="797" spans="1:19" s="659" customFormat="1" ht="20.100000000000001" customHeight="1">
      <c r="A797" s="657" t="s">
        <v>5040</v>
      </c>
      <c r="B797" s="649" t="s">
        <v>661</v>
      </c>
      <c r="C797" s="621"/>
      <c r="D797" s="621"/>
      <c r="E797" s="649" t="s">
        <v>662</v>
      </c>
      <c r="F797" s="622" t="s">
        <v>664</v>
      </c>
      <c r="G797" s="622" t="s">
        <v>245</v>
      </c>
      <c r="H797" s="649" t="s">
        <v>663</v>
      </c>
      <c r="I797" s="652" t="s">
        <v>11</v>
      </c>
      <c r="J797" s="622" t="s">
        <v>538</v>
      </c>
      <c r="K797" s="680">
        <v>1554</v>
      </c>
      <c r="L797" s="680">
        <v>122</v>
      </c>
      <c r="M797" s="681">
        <v>0</v>
      </c>
      <c r="N797" s="681"/>
      <c r="O797" s="681">
        <v>0</v>
      </c>
      <c r="P797" s="680">
        <v>0</v>
      </c>
      <c r="Q797" s="682">
        <v>0</v>
      </c>
      <c r="R797" s="681">
        <v>122</v>
      </c>
      <c r="S797" s="658"/>
    </row>
    <row r="798" spans="1:19" s="659" customFormat="1" ht="20.100000000000001" customHeight="1">
      <c r="A798" s="657" t="s">
        <v>4910</v>
      </c>
      <c r="B798" s="649" t="s">
        <v>395</v>
      </c>
      <c r="C798" s="621"/>
      <c r="D798" s="621"/>
      <c r="E798" s="649" t="s">
        <v>395</v>
      </c>
      <c r="F798" s="622" t="s">
        <v>396</v>
      </c>
      <c r="G798" s="622" t="s">
        <v>360</v>
      </c>
      <c r="H798" s="649" t="s">
        <v>267</v>
      </c>
      <c r="I798" s="652" t="s">
        <v>10</v>
      </c>
      <c r="J798" s="622" t="s">
        <v>5362</v>
      </c>
      <c r="K798" s="680">
        <v>326</v>
      </c>
      <c r="L798" s="680">
        <v>15000</v>
      </c>
      <c r="M798" s="681">
        <v>2000</v>
      </c>
      <c r="N798" s="681"/>
      <c r="O798" s="681">
        <v>10061</v>
      </c>
      <c r="P798" s="680">
        <v>2011</v>
      </c>
      <c r="Q798" s="682">
        <v>8050</v>
      </c>
      <c r="R798" s="681">
        <v>6939</v>
      </c>
      <c r="S798" s="658"/>
    </row>
    <row r="799" spans="1:19" s="659" customFormat="1" ht="20.100000000000001" customHeight="1">
      <c r="A799" s="657" t="s">
        <v>4911</v>
      </c>
      <c r="B799" s="649" t="s">
        <v>227</v>
      </c>
      <c r="C799" s="621"/>
      <c r="D799" s="621"/>
      <c r="E799" s="649" t="s">
        <v>4912</v>
      </c>
      <c r="F799" s="622" t="s">
        <v>478</v>
      </c>
      <c r="G799" s="622" t="s">
        <v>473</v>
      </c>
      <c r="H799" s="649" t="s">
        <v>225</v>
      </c>
      <c r="I799" s="652" t="s">
        <v>10</v>
      </c>
      <c r="J799" s="622" t="s">
        <v>5461</v>
      </c>
      <c r="K799" s="680">
        <v>76</v>
      </c>
      <c r="L799" s="680">
        <v>200000</v>
      </c>
      <c r="M799" s="681">
        <v>0</v>
      </c>
      <c r="N799" s="681"/>
      <c r="O799" s="681">
        <v>200000</v>
      </c>
      <c r="P799" s="680">
        <v>105000</v>
      </c>
      <c r="Q799" s="682">
        <v>95000</v>
      </c>
      <c r="R799" s="681">
        <v>0</v>
      </c>
      <c r="S799" s="658"/>
    </row>
    <row r="800" spans="1:19" s="659" customFormat="1" ht="20.100000000000001" customHeight="1">
      <c r="A800" s="657" t="s">
        <v>4242</v>
      </c>
      <c r="B800" s="649" t="s">
        <v>750</v>
      </c>
      <c r="C800" s="621"/>
      <c r="D800" s="621"/>
      <c r="E800" s="649" t="s">
        <v>1771</v>
      </c>
      <c r="F800" s="622" t="s">
        <v>1773</v>
      </c>
      <c r="G800" s="622" t="s">
        <v>6510</v>
      </c>
      <c r="H800" s="649" t="s">
        <v>1772</v>
      </c>
      <c r="I800" s="652" t="s">
        <v>15</v>
      </c>
      <c r="J800" s="622" t="s">
        <v>6678</v>
      </c>
      <c r="K800" s="680">
        <v>15740</v>
      </c>
      <c r="L800" s="680">
        <v>1</v>
      </c>
      <c r="M800" s="681">
        <v>0</v>
      </c>
      <c r="N800" s="681"/>
      <c r="O800" s="681">
        <v>1</v>
      </c>
      <c r="P800" s="680">
        <v>1</v>
      </c>
      <c r="Q800" s="682">
        <v>0</v>
      </c>
      <c r="R800" s="681">
        <v>0</v>
      </c>
      <c r="S800" s="658"/>
    </row>
    <row r="801" spans="1:19" s="659" customFormat="1" ht="20.100000000000001" customHeight="1">
      <c r="A801" s="657" t="s">
        <v>4242</v>
      </c>
      <c r="B801" s="649" t="s">
        <v>750</v>
      </c>
      <c r="C801" s="621"/>
      <c r="D801" s="621"/>
      <c r="E801" s="649" t="s">
        <v>1771</v>
      </c>
      <c r="F801" s="622" t="s">
        <v>1773</v>
      </c>
      <c r="G801" s="622" t="s">
        <v>6510</v>
      </c>
      <c r="H801" s="649" t="s">
        <v>1772</v>
      </c>
      <c r="I801" s="652" t="s">
        <v>15</v>
      </c>
      <c r="J801" s="622" t="s">
        <v>6678</v>
      </c>
      <c r="K801" s="680">
        <v>15740</v>
      </c>
      <c r="L801" s="680"/>
      <c r="M801" s="681">
        <v>193</v>
      </c>
      <c r="N801" s="681"/>
      <c r="O801" s="681">
        <v>193</v>
      </c>
      <c r="P801" s="680">
        <v>97</v>
      </c>
      <c r="Q801" s="682">
        <v>96</v>
      </c>
      <c r="R801" s="681">
        <v>0</v>
      </c>
      <c r="S801" s="658"/>
    </row>
    <row r="802" spans="1:19" s="659" customFormat="1" ht="20.100000000000001" customHeight="1">
      <c r="A802" s="657" t="s">
        <v>4242</v>
      </c>
      <c r="B802" s="649" t="s">
        <v>750</v>
      </c>
      <c r="C802" s="621"/>
      <c r="D802" s="621"/>
      <c r="E802" s="649" t="s">
        <v>1771</v>
      </c>
      <c r="F802" s="622" t="s">
        <v>1773</v>
      </c>
      <c r="G802" s="622" t="s">
        <v>6510</v>
      </c>
      <c r="H802" s="649" t="s">
        <v>1772</v>
      </c>
      <c r="I802" s="652" t="s">
        <v>15</v>
      </c>
      <c r="J802" s="622" t="s">
        <v>6678</v>
      </c>
      <c r="K802" s="680">
        <v>15740</v>
      </c>
      <c r="L802" s="680"/>
      <c r="M802" s="681">
        <v>288</v>
      </c>
      <c r="N802" s="681"/>
      <c r="O802" s="681">
        <v>63</v>
      </c>
      <c r="P802" s="680">
        <v>63</v>
      </c>
      <c r="Q802" s="682">
        <v>0</v>
      </c>
      <c r="R802" s="681">
        <v>225</v>
      </c>
      <c r="S802" s="658"/>
    </row>
    <row r="803" spans="1:19" s="659" customFormat="1" ht="20.100000000000001" customHeight="1">
      <c r="A803" s="657" t="s">
        <v>4244</v>
      </c>
      <c r="B803" s="649" t="s">
        <v>750</v>
      </c>
      <c r="C803" s="621"/>
      <c r="D803" s="621"/>
      <c r="E803" s="649" t="s">
        <v>1771</v>
      </c>
      <c r="F803" s="622" t="s">
        <v>1773</v>
      </c>
      <c r="G803" s="622" t="s">
        <v>6510</v>
      </c>
      <c r="H803" s="649" t="s">
        <v>1772</v>
      </c>
      <c r="I803" s="652" t="s">
        <v>15</v>
      </c>
      <c r="J803" s="622" t="s">
        <v>6678</v>
      </c>
      <c r="K803" s="680">
        <v>15740</v>
      </c>
      <c r="L803" s="680">
        <v>195</v>
      </c>
      <c r="M803" s="681">
        <v>0</v>
      </c>
      <c r="N803" s="681"/>
      <c r="O803" s="681">
        <v>193</v>
      </c>
      <c r="P803" s="680">
        <v>193</v>
      </c>
      <c r="Q803" s="682">
        <v>0</v>
      </c>
      <c r="R803" s="681">
        <v>2</v>
      </c>
      <c r="S803" s="658"/>
    </row>
    <row r="804" spans="1:19" s="659" customFormat="1" ht="20.100000000000001" customHeight="1">
      <c r="A804" s="657" t="s">
        <v>4244</v>
      </c>
      <c r="B804" s="649" t="s">
        <v>750</v>
      </c>
      <c r="C804" s="621"/>
      <c r="D804" s="621"/>
      <c r="E804" s="649" t="s">
        <v>1771</v>
      </c>
      <c r="F804" s="622" t="s">
        <v>1773</v>
      </c>
      <c r="G804" s="622" t="s">
        <v>6510</v>
      </c>
      <c r="H804" s="649" t="s">
        <v>1772</v>
      </c>
      <c r="I804" s="652" t="s">
        <v>15</v>
      </c>
      <c r="J804" s="622" t="s">
        <v>6678</v>
      </c>
      <c r="K804" s="680">
        <v>15740</v>
      </c>
      <c r="L804" s="680">
        <v>480</v>
      </c>
      <c r="M804" s="681">
        <v>4</v>
      </c>
      <c r="N804" s="681"/>
      <c r="O804" s="681">
        <v>472</v>
      </c>
      <c r="P804" s="680">
        <v>303</v>
      </c>
      <c r="Q804" s="682">
        <v>169</v>
      </c>
      <c r="R804" s="681">
        <v>12</v>
      </c>
      <c r="S804" s="658"/>
    </row>
    <row r="805" spans="1:19" s="659" customFormat="1" ht="20.100000000000001" customHeight="1">
      <c r="A805" s="657" t="s">
        <v>4244</v>
      </c>
      <c r="B805" s="649" t="s">
        <v>750</v>
      </c>
      <c r="C805" s="621"/>
      <c r="D805" s="621"/>
      <c r="E805" s="649" t="s">
        <v>1771</v>
      </c>
      <c r="F805" s="622" t="s">
        <v>1773</v>
      </c>
      <c r="G805" s="622" t="s">
        <v>6510</v>
      </c>
      <c r="H805" s="649" t="s">
        <v>1772</v>
      </c>
      <c r="I805" s="652" t="s">
        <v>15</v>
      </c>
      <c r="J805" s="622" t="s">
        <v>6678</v>
      </c>
      <c r="K805" s="680">
        <v>15740</v>
      </c>
      <c r="L805" s="680"/>
      <c r="M805" s="681">
        <v>48</v>
      </c>
      <c r="N805" s="681"/>
      <c r="O805" s="681">
        <v>0</v>
      </c>
      <c r="P805" s="680">
        <v>0</v>
      </c>
      <c r="Q805" s="682">
        <v>0</v>
      </c>
      <c r="R805" s="681">
        <v>48</v>
      </c>
      <c r="S805" s="658"/>
    </row>
    <row r="806" spans="1:19" s="659" customFormat="1" ht="20.100000000000001" customHeight="1">
      <c r="A806" s="657" t="s">
        <v>6065</v>
      </c>
      <c r="B806" s="649" t="s">
        <v>750</v>
      </c>
      <c r="C806" s="621"/>
      <c r="D806" s="621"/>
      <c r="E806" s="649" t="s">
        <v>6066</v>
      </c>
      <c r="F806" s="622" t="s">
        <v>6068</v>
      </c>
      <c r="G806" s="622" t="s">
        <v>6069</v>
      </c>
      <c r="H806" s="649" t="s">
        <v>1772</v>
      </c>
      <c r="I806" s="652" t="s">
        <v>658</v>
      </c>
      <c r="J806" s="622" t="s">
        <v>6067</v>
      </c>
      <c r="K806" s="680">
        <v>42000</v>
      </c>
      <c r="L806" s="680"/>
      <c r="M806" s="681">
        <v>200</v>
      </c>
      <c r="N806" s="681"/>
      <c r="O806" s="681">
        <v>0</v>
      </c>
      <c r="P806" s="680">
        <v>0</v>
      </c>
      <c r="Q806" s="682">
        <v>0</v>
      </c>
      <c r="R806" s="681">
        <v>200</v>
      </c>
      <c r="S806" s="658"/>
    </row>
    <row r="807" spans="1:19" s="659" customFormat="1" ht="20.100000000000001" customHeight="1">
      <c r="A807" s="657" t="s">
        <v>6065</v>
      </c>
      <c r="B807" s="649" t="s">
        <v>750</v>
      </c>
      <c r="C807" s="621"/>
      <c r="D807" s="621"/>
      <c r="E807" s="649" t="s">
        <v>6066</v>
      </c>
      <c r="F807" s="622" t="s">
        <v>6068</v>
      </c>
      <c r="G807" s="622" t="s">
        <v>6069</v>
      </c>
      <c r="H807" s="649" t="s">
        <v>1772</v>
      </c>
      <c r="I807" s="652" t="s">
        <v>658</v>
      </c>
      <c r="J807" s="622" t="s">
        <v>6067</v>
      </c>
      <c r="K807" s="680">
        <v>42000</v>
      </c>
      <c r="L807" s="680"/>
      <c r="M807" s="681">
        <v>300</v>
      </c>
      <c r="N807" s="681"/>
      <c r="O807" s="681">
        <v>0</v>
      </c>
      <c r="P807" s="680">
        <v>0</v>
      </c>
      <c r="Q807" s="682">
        <v>0</v>
      </c>
      <c r="R807" s="681">
        <v>300</v>
      </c>
      <c r="S807" s="658"/>
    </row>
    <row r="808" spans="1:19" s="659" customFormat="1" ht="20.100000000000001" customHeight="1">
      <c r="A808" s="657" t="s">
        <v>4246</v>
      </c>
      <c r="B808" s="649" t="s">
        <v>4248</v>
      </c>
      <c r="C808" s="621"/>
      <c r="D808" s="621"/>
      <c r="E808" s="649" t="s">
        <v>4247</v>
      </c>
      <c r="F808" s="622" t="s">
        <v>7624</v>
      </c>
      <c r="G808" s="622" t="s">
        <v>7625</v>
      </c>
      <c r="H808" s="649" t="s">
        <v>4249</v>
      </c>
      <c r="I808" s="652" t="s">
        <v>11</v>
      </c>
      <c r="J808" s="622" t="s">
        <v>7623</v>
      </c>
      <c r="K808" s="680">
        <v>1974</v>
      </c>
      <c r="L808" s="680">
        <v>10230</v>
      </c>
      <c r="M808" s="681">
        <v>0</v>
      </c>
      <c r="N808" s="681"/>
      <c r="O808" s="681">
        <v>10230</v>
      </c>
      <c r="P808" s="680">
        <v>0</v>
      </c>
      <c r="Q808" s="682">
        <v>10230</v>
      </c>
      <c r="R808" s="681">
        <v>0</v>
      </c>
      <c r="S808" s="658"/>
    </row>
    <row r="809" spans="1:19" s="659" customFormat="1" ht="20.100000000000001" customHeight="1">
      <c r="A809" s="657" t="s">
        <v>4246</v>
      </c>
      <c r="B809" s="649" t="s">
        <v>4248</v>
      </c>
      <c r="C809" s="621"/>
      <c r="D809" s="621"/>
      <c r="E809" s="649" t="s">
        <v>4247</v>
      </c>
      <c r="F809" s="622" t="s">
        <v>7624</v>
      </c>
      <c r="G809" s="622" t="s">
        <v>7625</v>
      </c>
      <c r="H809" s="649" t="s">
        <v>4249</v>
      </c>
      <c r="I809" s="652" t="s">
        <v>11</v>
      </c>
      <c r="J809" s="622" t="s">
        <v>7623</v>
      </c>
      <c r="K809" s="680">
        <v>1974</v>
      </c>
      <c r="L809" s="680">
        <v>10000</v>
      </c>
      <c r="M809" s="681">
        <v>0</v>
      </c>
      <c r="N809" s="681"/>
      <c r="O809" s="681">
        <v>10000</v>
      </c>
      <c r="P809" s="680">
        <v>0</v>
      </c>
      <c r="Q809" s="682">
        <v>10000</v>
      </c>
      <c r="R809" s="681">
        <v>0</v>
      </c>
      <c r="S809" s="658"/>
    </row>
    <row r="810" spans="1:19" s="659" customFormat="1" ht="20.100000000000001" customHeight="1">
      <c r="A810" s="657" t="s">
        <v>4246</v>
      </c>
      <c r="B810" s="649" t="s">
        <v>4248</v>
      </c>
      <c r="C810" s="621"/>
      <c r="D810" s="621"/>
      <c r="E810" s="649" t="s">
        <v>4247</v>
      </c>
      <c r="F810" s="622" t="s">
        <v>7624</v>
      </c>
      <c r="G810" s="622" t="s">
        <v>7625</v>
      </c>
      <c r="H810" s="649" t="s">
        <v>4249</v>
      </c>
      <c r="I810" s="652" t="s">
        <v>11</v>
      </c>
      <c r="J810" s="622" t="s">
        <v>7623</v>
      </c>
      <c r="K810" s="680">
        <v>1974</v>
      </c>
      <c r="L810" s="680"/>
      <c r="M810" s="681">
        <v>20960</v>
      </c>
      <c r="N810" s="681"/>
      <c r="O810" s="681">
        <v>3379</v>
      </c>
      <c r="P810" s="680">
        <v>0</v>
      </c>
      <c r="Q810" s="682">
        <v>3379</v>
      </c>
      <c r="R810" s="681">
        <v>17581</v>
      </c>
      <c r="S810" s="658"/>
    </row>
    <row r="811" spans="1:19" s="659" customFormat="1" ht="20.100000000000001" customHeight="1">
      <c r="A811" s="657" t="s">
        <v>4246</v>
      </c>
      <c r="B811" s="649" t="s">
        <v>4248</v>
      </c>
      <c r="C811" s="621"/>
      <c r="D811" s="621"/>
      <c r="E811" s="649" t="s">
        <v>4247</v>
      </c>
      <c r="F811" s="622" t="s">
        <v>7624</v>
      </c>
      <c r="G811" s="622" t="s">
        <v>7625</v>
      </c>
      <c r="H811" s="649" t="s">
        <v>4249</v>
      </c>
      <c r="I811" s="652" t="s">
        <v>11</v>
      </c>
      <c r="J811" s="622" t="s">
        <v>7623</v>
      </c>
      <c r="K811" s="680">
        <v>1974</v>
      </c>
      <c r="L811" s="680"/>
      <c r="M811" s="681">
        <v>9040</v>
      </c>
      <c r="N811" s="681"/>
      <c r="O811" s="681">
        <v>0</v>
      </c>
      <c r="P811" s="680">
        <v>0</v>
      </c>
      <c r="Q811" s="682">
        <v>0</v>
      </c>
      <c r="R811" s="681">
        <v>9040</v>
      </c>
      <c r="S811" s="658"/>
    </row>
    <row r="812" spans="1:19" s="659" customFormat="1" ht="20.100000000000001" customHeight="1">
      <c r="A812" s="657" t="s">
        <v>6797</v>
      </c>
      <c r="B812" s="649" t="s">
        <v>1333</v>
      </c>
      <c r="C812" s="621"/>
      <c r="D812" s="621"/>
      <c r="E812" s="649" t="s">
        <v>6798</v>
      </c>
      <c r="F812" s="622" t="s">
        <v>6799</v>
      </c>
      <c r="G812" s="622" t="s">
        <v>6800</v>
      </c>
      <c r="H812" s="649" t="s">
        <v>238</v>
      </c>
      <c r="I812" s="652" t="s">
        <v>11</v>
      </c>
      <c r="J812" s="622" t="s">
        <v>6709</v>
      </c>
      <c r="K812" s="680">
        <v>366</v>
      </c>
      <c r="L812" s="680"/>
      <c r="M812" s="681">
        <v>2500</v>
      </c>
      <c r="N812" s="681"/>
      <c r="O812" s="681">
        <v>2500</v>
      </c>
      <c r="P812" s="680">
        <v>2500</v>
      </c>
      <c r="Q812" s="682">
        <v>0</v>
      </c>
      <c r="R812" s="681">
        <v>0</v>
      </c>
      <c r="S812" s="658"/>
    </row>
    <row r="813" spans="1:19" s="659" customFormat="1" ht="20.100000000000001" customHeight="1">
      <c r="A813" s="657" t="s">
        <v>4251</v>
      </c>
      <c r="B813" s="649" t="s">
        <v>788</v>
      </c>
      <c r="C813" s="621"/>
      <c r="D813" s="621"/>
      <c r="E813" s="649" t="s">
        <v>4252</v>
      </c>
      <c r="F813" s="622" t="s">
        <v>6144</v>
      </c>
      <c r="G813" s="622" t="s">
        <v>954</v>
      </c>
      <c r="H813" s="649" t="s">
        <v>390</v>
      </c>
      <c r="I813" s="652" t="s">
        <v>11</v>
      </c>
      <c r="J813" s="622" t="s">
        <v>6143</v>
      </c>
      <c r="K813" s="680">
        <v>1515</v>
      </c>
      <c r="L813" s="680"/>
      <c r="M813" s="681">
        <v>6990</v>
      </c>
      <c r="N813" s="681"/>
      <c r="O813" s="681">
        <v>451</v>
      </c>
      <c r="P813" s="680">
        <v>0</v>
      </c>
      <c r="Q813" s="682">
        <v>451</v>
      </c>
      <c r="R813" s="681">
        <v>6539</v>
      </c>
      <c r="S813" s="658"/>
    </row>
    <row r="814" spans="1:19" s="659" customFormat="1" ht="20.100000000000001" customHeight="1">
      <c r="A814" s="657" t="s">
        <v>8642</v>
      </c>
      <c r="B814" s="649" t="s">
        <v>8643</v>
      </c>
      <c r="C814" s="621"/>
      <c r="D814" s="621"/>
      <c r="E814" s="649" t="s">
        <v>8645</v>
      </c>
      <c r="F814" s="622" t="s">
        <v>8647</v>
      </c>
      <c r="G814" s="622" t="s">
        <v>1268</v>
      </c>
      <c r="H814" s="649" t="s">
        <v>12390</v>
      </c>
      <c r="I814" s="652" t="s">
        <v>11</v>
      </c>
      <c r="J814" s="622" t="s">
        <v>8646</v>
      </c>
      <c r="K814" s="680">
        <v>2250</v>
      </c>
      <c r="L814" s="680"/>
      <c r="M814" s="681">
        <v>10000</v>
      </c>
      <c r="N814" s="681"/>
      <c r="O814" s="681">
        <v>5091</v>
      </c>
      <c r="P814" s="680">
        <v>0</v>
      </c>
      <c r="Q814" s="682">
        <v>5091</v>
      </c>
      <c r="R814" s="681">
        <v>4909</v>
      </c>
      <c r="S814" s="658"/>
    </row>
    <row r="815" spans="1:19" s="659" customFormat="1" ht="20.100000000000001" customHeight="1">
      <c r="A815" s="657" t="s">
        <v>4715</v>
      </c>
      <c r="B815" s="649" t="s">
        <v>155</v>
      </c>
      <c r="C815" s="621"/>
      <c r="D815" s="621"/>
      <c r="E815" s="649" t="s">
        <v>4716</v>
      </c>
      <c r="F815" s="622" t="s">
        <v>2199</v>
      </c>
      <c r="G815" s="622" t="s">
        <v>8876</v>
      </c>
      <c r="H815" s="649" t="s">
        <v>156</v>
      </c>
      <c r="I815" s="652" t="s">
        <v>4717</v>
      </c>
      <c r="J815" s="622" t="s">
        <v>8875</v>
      </c>
      <c r="K815" s="680">
        <v>6000</v>
      </c>
      <c r="L815" s="680"/>
      <c r="M815" s="681">
        <v>4500</v>
      </c>
      <c r="N815" s="681"/>
      <c r="O815" s="681">
        <v>4500</v>
      </c>
      <c r="P815" s="680">
        <v>0</v>
      </c>
      <c r="Q815" s="682">
        <v>4500</v>
      </c>
      <c r="R815" s="681">
        <v>0</v>
      </c>
      <c r="S815" s="658"/>
    </row>
    <row r="816" spans="1:19" s="659" customFormat="1" ht="20.100000000000001" customHeight="1">
      <c r="A816" s="657" t="s">
        <v>4715</v>
      </c>
      <c r="B816" s="649" t="s">
        <v>155</v>
      </c>
      <c r="C816" s="621"/>
      <c r="D816" s="621"/>
      <c r="E816" s="649" t="s">
        <v>4716</v>
      </c>
      <c r="F816" s="622" t="s">
        <v>2199</v>
      </c>
      <c r="G816" s="622" t="s">
        <v>8876</v>
      </c>
      <c r="H816" s="649" t="s">
        <v>156</v>
      </c>
      <c r="I816" s="652" t="s">
        <v>4717</v>
      </c>
      <c r="J816" s="622" t="s">
        <v>8875</v>
      </c>
      <c r="K816" s="680">
        <v>6000</v>
      </c>
      <c r="L816" s="680"/>
      <c r="M816" s="681">
        <v>4500</v>
      </c>
      <c r="N816" s="681"/>
      <c r="O816" s="681">
        <v>4500</v>
      </c>
      <c r="P816" s="680">
        <v>0</v>
      </c>
      <c r="Q816" s="682">
        <v>4500</v>
      </c>
      <c r="R816" s="681">
        <v>0</v>
      </c>
      <c r="S816" s="658"/>
    </row>
    <row r="817" spans="1:19" s="659" customFormat="1" ht="20.100000000000001" customHeight="1">
      <c r="A817" s="657" t="s">
        <v>4715</v>
      </c>
      <c r="B817" s="649" t="s">
        <v>155</v>
      </c>
      <c r="C817" s="621"/>
      <c r="D817" s="621"/>
      <c r="E817" s="649" t="s">
        <v>4716</v>
      </c>
      <c r="F817" s="622" t="s">
        <v>2199</v>
      </c>
      <c r="G817" s="622" t="s">
        <v>8876</v>
      </c>
      <c r="H817" s="649" t="s">
        <v>156</v>
      </c>
      <c r="I817" s="652" t="s">
        <v>4717</v>
      </c>
      <c r="J817" s="622" t="s">
        <v>8875</v>
      </c>
      <c r="K817" s="680">
        <v>6000</v>
      </c>
      <c r="L817" s="680"/>
      <c r="M817" s="681">
        <v>1998</v>
      </c>
      <c r="N817" s="681"/>
      <c r="O817" s="681">
        <v>0</v>
      </c>
      <c r="P817" s="680">
        <v>0</v>
      </c>
      <c r="Q817" s="682">
        <v>0</v>
      </c>
      <c r="R817" s="681">
        <v>1998</v>
      </c>
      <c r="S817" s="658"/>
    </row>
    <row r="818" spans="1:19" s="659" customFormat="1" ht="20.100000000000001" customHeight="1">
      <c r="A818" s="657" t="s">
        <v>4718</v>
      </c>
      <c r="B818" s="649" t="s">
        <v>4720</v>
      </c>
      <c r="C818" s="621"/>
      <c r="D818" s="621"/>
      <c r="E818" s="649" t="s">
        <v>4719</v>
      </c>
      <c r="F818" s="622" t="s">
        <v>8814</v>
      </c>
      <c r="G818" s="622" t="s">
        <v>2253</v>
      </c>
      <c r="H818" s="649" t="s">
        <v>4721</v>
      </c>
      <c r="I818" s="652" t="s">
        <v>15</v>
      </c>
      <c r="J818" s="622" t="s">
        <v>8512</v>
      </c>
      <c r="K818" s="680">
        <v>32000</v>
      </c>
      <c r="L818" s="680"/>
      <c r="M818" s="681">
        <v>500</v>
      </c>
      <c r="N818" s="681"/>
      <c r="O818" s="681">
        <v>121</v>
      </c>
      <c r="P818" s="680">
        <v>0</v>
      </c>
      <c r="Q818" s="682">
        <v>121</v>
      </c>
      <c r="R818" s="681">
        <v>379</v>
      </c>
      <c r="S818" s="658"/>
    </row>
    <row r="819" spans="1:19" s="659" customFormat="1" ht="20.100000000000001" customHeight="1">
      <c r="A819" s="657" t="s">
        <v>4718</v>
      </c>
      <c r="B819" s="649" t="s">
        <v>4720</v>
      </c>
      <c r="C819" s="621"/>
      <c r="D819" s="621"/>
      <c r="E819" s="649" t="s">
        <v>4719</v>
      </c>
      <c r="F819" s="622" t="s">
        <v>8814</v>
      </c>
      <c r="G819" s="622" t="s">
        <v>2253</v>
      </c>
      <c r="H819" s="649" t="s">
        <v>4721</v>
      </c>
      <c r="I819" s="652" t="s">
        <v>15</v>
      </c>
      <c r="J819" s="622" t="s">
        <v>8512</v>
      </c>
      <c r="K819" s="680">
        <v>32000</v>
      </c>
      <c r="L819" s="680"/>
      <c r="M819" s="681">
        <v>500</v>
      </c>
      <c r="N819" s="681"/>
      <c r="O819" s="681">
        <v>0</v>
      </c>
      <c r="P819" s="680">
        <v>0</v>
      </c>
      <c r="Q819" s="682">
        <v>0</v>
      </c>
      <c r="R819" s="681">
        <v>500</v>
      </c>
      <c r="S819" s="658"/>
    </row>
    <row r="820" spans="1:19" s="659" customFormat="1" ht="20.100000000000001" customHeight="1">
      <c r="A820" s="657" t="s">
        <v>4718</v>
      </c>
      <c r="B820" s="649" t="s">
        <v>4720</v>
      </c>
      <c r="C820" s="621"/>
      <c r="D820" s="621"/>
      <c r="E820" s="649" t="s">
        <v>4719</v>
      </c>
      <c r="F820" s="622" t="s">
        <v>8814</v>
      </c>
      <c r="G820" s="622" t="s">
        <v>2253</v>
      </c>
      <c r="H820" s="649" t="s">
        <v>4721</v>
      </c>
      <c r="I820" s="652" t="s">
        <v>15</v>
      </c>
      <c r="J820" s="622" t="s">
        <v>8512</v>
      </c>
      <c r="K820" s="680">
        <v>32000</v>
      </c>
      <c r="L820" s="680">
        <v>11</v>
      </c>
      <c r="M820" s="681">
        <v>0</v>
      </c>
      <c r="N820" s="681"/>
      <c r="O820" s="681">
        <v>11</v>
      </c>
      <c r="P820" s="680">
        <v>0</v>
      </c>
      <c r="Q820" s="682">
        <v>11</v>
      </c>
      <c r="R820" s="681">
        <v>0</v>
      </c>
      <c r="S820" s="658"/>
    </row>
    <row r="821" spans="1:19" s="659" customFormat="1" ht="20.100000000000001" customHeight="1">
      <c r="A821" s="657" t="s">
        <v>4718</v>
      </c>
      <c r="B821" s="649" t="s">
        <v>4720</v>
      </c>
      <c r="C821" s="621"/>
      <c r="D821" s="621"/>
      <c r="E821" s="649" t="s">
        <v>4719</v>
      </c>
      <c r="F821" s="622" t="s">
        <v>8814</v>
      </c>
      <c r="G821" s="622" t="s">
        <v>2253</v>
      </c>
      <c r="H821" s="649" t="s">
        <v>4721</v>
      </c>
      <c r="I821" s="652" t="s">
        <v>15</v>
      </c>
      <c r="J821" s="622" t="s">
        <v>8512</v>
      </c>
      <c r="K821" s="680">
        <v>32000</v>
      </c>
      <c r="L821" s="680">
        <v>60</v>
      </c>
      <c r="M821" s="681">
        <v>0</v>
      </c>
      <c r="N821" s="681"/>
      <c r="O821" s="681">
        <v>60</v>
      </c>
      <c r="P821" s="680">
        <v>0</v>
      </c>
      <c r="Q821" s="682">
        <v>60</v>
      </c>
      <c r="R821" s="681">
        <v>0</v>
      </c>
      <c r="S821" s="658"/>
    </row>
    <row r="822" spans="1:19" s="659" customFormat="1" ht="20.100000000000001" customHeight="1">
      <c r="A822" s="657" t="s">
        <v>4718</v>
      </c>
      <c r="B822" s="649" t="s">
        <v>4720</v>
      </c>
      <c r="C822" s="621"/>
      <c r="D822" s="621"/>
      <c r="E822" s="649" t="s">
        <v>4719</v>
      </c>
      <c r="F822" s="622" t="s">
        <v>8814</v>
      </c>
      <c r="G822" s="622" t="s">
        <v>2253</v>
      </c>
      <c r="H822" s="649" t="s">
        <v>4721</v>
      </c>
      <c r="I822" s="652" t="s">
        <v>15</v>
      </c>
      <c r="J822" s="622" t="s">
        <v>8512</v>
      </c>
      <c r="K822" s="680">
        <v>32000</v>
      </c>
      <c r="L822" s="680"/>
      <c r="M822" s="681">
        <v>1000</v>
      </c>
      <c r="N822" s="681"/>
      <c r="O822" s="681">
        <v>1000</v>
      </c>
      <c r="P822" s="680">
        <v>0</v>
      </c>
      <c r="Q822" s="682">
        <v>1000</v>
      </c>
      <c r="R822" s="681">
        <v>0</v>
      </c>
      <c r="S822" s="658"/>
    </row>
    <row r="823" spans="1:19" s="659" customFormat="1" ht="20.100000000000001" customHeight="1">
      <c r="A823" s="657" t="s">
        <v>6211</v>
      </c>
      <c r="B823" s="649" t="s">
        <v>6212</v>
      </c>
      <c r="C823" s="621"/>
      <c r="D823" s="621"/>
      <c r="E823" s="649" t="s">
        <v>6214</v>
      </c>
      <c r="F823" s="622" t="s">
        <v>6216</v>
      </c>
      <c r="G823" s="622" t="s">
        <v>2097</v>
      </c>
      <c r="H823" s="649" t="s">
        <v>6213</v>
      </c>
      <c r="I823" s="652" t="s">
        <v>12</v>
      </c>
      <c r="J823" s="622" t="s">
        <v>6215</v>
      </c>
      <c r="K823" s="680">
        <v>3751</v>
      </c>
      <c r="L823" s="680"/>
      <c r="M823" s="681">
        <v>1248</v>
      </c>
      <c r="N823" s="681"/>
      <c r="O823" s="681">
        <v>1248</v>
      </c>
      <c r="P823" s="680">
        <v>0</v>
      </c>
      <c r="Q823" s="682">
        <v>1248</v>
      </c>
      <c r="R823" s="681">
        <v>0</v>
      </c>
      <c r="S823" s="658"/>
    </row>
    <row r="824" spans="1:19" s="659" customFormat="1" ht="20.100000000000001" customHeight="1">
      <c r="A824" s="657" t="s">
        <v>6211</v>
      </c>
      <c r="B824" s="649" t="s">
        <v>6212</v>
      </c>
      <c r="C824" s="621"/>
      <c r="D824" s="621"/>
      <c r="E824" s="649" t="s">
        <v>6214</v>
      </c>
      <c r="F824" s="622" t="s">
        <v>6216</v>
      </c>
      <c r="G824" s="622" t="s">
        <v>2097</v>
      </c>
      <c r="H824" s="649" t="s">
        <v>6213</v>
      </c>
      <c r="I824" s="652" t="s">
        <v>12</v>
      </c>
      <c r="J824" s="622" t="s">
        <v>6215</v>
      </c>
      <c r="K824" s="680">
        <v>3751</v>
      </c>
      <c r="L824" s="680"/>
      <c r="M824" s="681">
        <v>1343</v>
      </c>
      <c r="N824" s="681"/>
      <c r="O824" s="681">
        <v>946</v>
      </c>
      <c r="P824" s="680">
        <v>946</v>
      </c>
      <c r="Q824" s="682">
        <v>0</v>
      </c>
      <c r="R824" s="681">
        <v>397</v>
      </c>
      <c r="S824" s="658"/>
    </row>
    <row r="825" spans="1:19" s="659" customFormat="1" ht="20.100000000000001" customHeight="1">
      <c r="A825" s="657" t="s">
        <v>8844</v>
      </c>
      <c r="B825" s="649" t="s">
        <v>8845</v>
      </c>
      <c r="C825" s="621"/>
      <c r="D825" s="621"/>
      <c r="E825" s="649" t="s">
        <v>8847</v>
      </c>
      <c r="F825" s="622" t="s">
        <v>8849</v>
      </c>
      <c r="G825" s="622" t="s">
        <v>8701</v>
      </c>
      <c r="H825" s="649" t="s">
        <v>12403</v>
      </c>
      <c r="I825" s="652" t="s">
        <v>11</v>
      </c>
      <c r="J825" s="622" t="s">
        <v>8848</v>
      </c>
      <c r="K825" s="680">
        <v>1029</v>
      </c>
      <c r="L825" s="680"/>
      <c r="M825" s="681">
        <v>5000</v>
      </c>
      <c r="N825" s="681"/>
      <c r="O825" s="681">
        <v>5000</v>
      </c>
      <c r="P825" s="680">
        <v>0</v>
      </c>
      <c r="Q825" s="682">
        <v>5000</v>
      </c>
      <c r="R825" s="681">
        <v>0</v>
      </c>
      <c r="S825" s="658"/>
    </row>
    <row r="826" spans="1:19" s="659" customFormat="1" ht="20.100000000000001" customHeight="1">
      <c r="A826" s="657" t="s">
        <v>4723</v>
      </c>
      <c r="B826" s="649" t="s">
        <v>162</v>
      </c>
      <c r="C826" s="621"/>
      <c r="D826" s="621"/>
      <c r="E826" s="649" t="s">
        <v>161</v>
      </c>
      <c r="F826" s="622" t="s">
        <v>8763</v>
      </c>
      <c r="G826" s="622" t="s">
        <v>2397</v>
      </c>
      <c r="H826" s="649" t="s">
        <v>4724</v>
      </c>
      <c r="I826" s="652" t="s">
        <v>11</v>
      </c>
      <c r="J826" s="622" t="s">
        <v>8660</v>
      </c>
      <c r="K826" s="680">
        <v>1680</v>
      </c>
      <c r="L826" s="680"/>
      <c r="M826" s="681">
        <v>15000</v>
      </c>
      <c r="N826" s="681"/>
      <c r="O826" s="681">
        <v>9701</v>
      </c>
      <c r="P826" s="680">
        <v>0</v>
      </c>
      <c r="Q826" s="682">
        <v>9701</v>
      </c>
      <c r="R826" s="681">
        <v>5299</v>
      </c>
      <c r="S826" s="658"/>
    </row>
    <row r="827" spans="1:19" s="659" customFormat="1" ht="20.100000000000001" customHeight="1">
      <c r="A827" s="657" t="s">
        <v>4723</v>
      </c>
      <c r="B827" s="649" t="s">
        <v>162</v>
      </c>
      <c r="C827" s="621"/>
      <c r="D827" s="621"/>
      <c r="E827" s="649" t="s">
        <v>161</v>
      </c>
      <c r="F827" s="622" t="s">
        <v>8763</v>
      </c>
      <c r="G827" s="622" t="s">
        <v>2397</v>
      </c>
      <c r="H827" s="649" t="s">
        <v>4724</v>
      </c>
      <c r="I827" s="652" t="s">
        <v>11</v>
      </c>
      <c r="J827" s="622" t="s">
        <v>8660</v>
      </c>
      <c r="K827" s="680">
        <v>1680</v>
      </c>
      <c r="L827" s="680"/>
      <c r="M827" s="681">
        <v>5000</v>
      </c>
      <c r="N827" s="681"/>
      <c r="O827" s="681">
        <v>0</v>
      </c>
      <c r="P827" s="680">
        <v>0</v>
      </c>
      <c r="Q827" s="682">
        <v>0</v>
      </c>
      <c r="R827" s="681">
        <v>5000</v>
      </c>
      <c r="S827" s="658"/>
    </row>
    <row r="828" spans="1:19" s="659" customFormat="1" ht="20.100000000000001" customHeight="1">
      <c r="A828" s="657" t="s">
        <v>4254</v>
      </c>
      <c r="B828" s="649" t="s">
        <v>792</v>
      </c>
      <c r="C828" s="621"/>
      <c r="D828" s="621"/>
      <c r="E828" s="649" t="s">
        <v>793</v>
      </c>
      <c r="F828" s="622" t="s">
        <v>795</v>
      </c>
      <c r="G828" s="622" t="s">
        <v>505</v>
      </c>
      <c r="H828" s="649" t="s">
        <v>794</v>
      </c>
      <c r="I828" s="652" t="s">
        <v>520</v>
      </c>
      <c r="J828" s="622" t="s">
        <v>6481</v>
      </c>
      <c r="K828" s="680">
        <v>13520</v>
      </c>
      <c r="L828" s="680">
        <v>192</v>
      </c>
      <c r="M828" s="681">
        <v>0</v>
      </c>
      <c r="N828" s="681"/>
      <c r="O828" s="681">
        <v>69</v>
      </c>
      <c r="P828" s="680">
        <v>54</v>
      </c>
      <c r="Q828" s="682">
        <v>15</v>
      </c>
      <c r="R828" s="681">
        <v>123</v>
      </c>
      <c r="S828" s="658"/>
    </row>
    <row r="829" spans="1:19" s="659" customFormat="1" ht="20.100000000000001" customHeight="1">
      <c r="A829" s="657" t="s">
        <v>4256</v>
      </c>
      <c r="B829" s="649" t="s">
        <v>792</v>
      </c>
      <c r="C829" s="621"/>
      <c r="D829" s="621"/>
      <c r="E829" s="649" t="s">
        <v>793</v>
      </c>
      <c r="F829" s="622" t="s">
        <v>795</v>
      </c>
      <c r="G829" s="622" t="s">
        <v>796</v>
      </c>
      <c r="H829" s="649" t="s">
        <v>794</v>
      </c>
      <c r="I829" s="652" t="s">
        <v>520</v>
      </c>
      <c r="J829" s="622" t="s">
        <v>6481</v>
      </c>
      <c r="K829" s="680">
        <v>13500</v>
      </c>
      <c r="L829" s="680">
        <v>4</v>
      </c>
      <c r="M829" s="681">
        <v>0</v>
      </c>
      <c r="N829" s="681"/>
      <c r="O829" s="681">
        <v>4</v>
      </c>
      <c r="P829" s="680">
        <v>4</v>
      </c>
      <c r="Q829" s="682">
        <v>0</v>
      </c>
      <c r="R829" s="681">
        <v>0</v>
      </c>
      <c r="S829" s="658"/>
    </row>
    <row r="830" spans="1:19" s="659" customFormat="1" ht="20.100000000000001" customHeight="1">
      <c r="A830" s="657" t="s">
        <v>4258</v>
      </c>
      <c r="B830" s="649" t="s">
        <v>855</v>
      </c>
      <c r="C830" s="621"/>
      <c r="D830" s="621"/>
      <c r="E830" s="649" t="s">
        <v>855</v>
      </c>
      <c r="F830" s="622" t="s">
        <v>7807</v>
      </c>
      <c r="G830" s="622" t="s">
        <v>7001</v>
      </c>
      <c r="H830" s="649" t="s">
        <v>334</v>
      </c>
      <c r="I830" s="652" t="s">
        <v>11</v>
      </c>
      <c r="J830" s="622" t="s">
        <v>6999</v>
      </c>
      <c r="K830" s="680">
        <v>190</v>
      </c>
      <c r="L830" s="680"/>
      <c r="M830" s="681">
        <v>4500</v>
      </c>
      <c r="N830" s="681"/>
      <c r="O830" s="681">
        <v>4500</v>
      </c>
      <c r="P830" s="680">
        <v>4500</v>
      </c>
      <c r="Q830" s="682">
        <v>0</v>
      </c>
      <c r="R830" s="681">
        <v>0</v>
      </c>
      <c r="S830" s="658"/>
    </row>
    <row r="831" spans="1:19" s="659" customFormat="1" ht="20.100000000000001" customHeight="1">
      <c r="A831" s="657" t="s">
        <v>4258</v>
      </c>
      <c r="B831" s="649" t="s">
        <v>855</v>
      </c>
      <c r="C831" s="621"/>
      <c r="D831" s="621"/>
      <c r="E831" s="649" t="s">
        <v>855</v>
      </c>
      <c r="F831" s="622" t="s">
        <v>7807</v>
      </c>
      <c r="G831" s="622" t="s">
        <v>7001</v>
      </c>
      <c r="H831" s="649" t="s">
        <v>334</v>
      </c>
      <c r="I831" s="652" t="s">
        <v>11</v>
      </c>
      <c r="J831" s="622" t="s">
        <v>6999</v>
      </c>
      <c r="K831" s="680">
        <v>190</v>
      </c>
      <c r="L831" s="680"/>
      <c r="M831" s="681">
        <v>6000</v>
      </c>
      <c r="N831" s="681"/>
      <c r="O831" s="681">
        <v>6000</v>
      </c>
      <c r="P831" s="680">
        <v>6000</v>
      </c>
      <c r="Q831" s="682">
        <v>0</v>
      </c>
      <c r="R831" s="681">
        <v>0</v>
      </c>
      <c r="S831" s="658"/>
    </row>
    <row r="832" spans="1:19" s="659" customFormat="1" ht="20.100000000000001" customHeight="1">
      <c r="A832" s="657" t="s">
        <v>4271</v>
      </c>
      <c r="B832" s="649" t="s">
        <v>855</v>
      </c>
      <c r="C832" s="621"/>
      <c r="D832" s="621"/>
      <c r="E832" s="649" t="s">
        <v>6183</v>
      </c>
      <c r="F832" s="622" t="s">
        <v>6185</v>
      </c>
      <c r="G832" s="622" t="s">
        <v>505</v>
      </c>
      <c r="H832" s="649" t="s">
        <v>641</v>
      </c>
      <c r="I832" s="652" t="s">
        <v>11</v>
      </c>
      <c r="J832" s="622" t="s">
        <v>6184</v>
      </c>
      <c r="K832" s="680">
        <v>1315</v>
      </c>
      <c r="L832" s="680"/>
      <c r="M832" s="681">
        <v>4800</v>
      </c>
      <c r="N832" s="681"/>
      <c r="O832" s="681">
        <v>0</v>
      </c>
      <c r="P832" s="680">
        <v>0</v>
      </c>
      <c r="Q832" s="682">
        <v>0</v>
      </c>
      <c r="R832" s="681">
        <v>4800</v>
      </c>
      <c r="S832" s="658"/>
    </row>
    <row r="833" spans="1:19" s="659" customFormat="1" ht="20.100000000000001" customHeight="1">
      <c r="A833" s="657" t="s">
        <v>4914</v>
      </c>
      <c r="B833" s="649" t="s">
        <v>400</v>
      </c>
      <c r="C833" s="621"/>
      <c r="D833" s="621"/>
      <c r="E833" s="649" t="s">
        <v>400</v>
      </c>
      <c r="F833" s="622" t="s">
        <v>401</v>
      </c>
      <c r="G833" s="622" t="s">
        <v>360</v>
      </c>
      <c r="H833" s="649" t="s">
        <v>235</v>
      </c>
      <c r="I833" s="652" t="s">
        <v>10</v>
      </c>
      <c r="J833" s="622" t="s">
        <v>5362</v>
      </c>
      <c r="K833" s="680">
        <v>146</v>
      </c>
      <c r="L833" s="680">
        <v>8000</v>
      </c>
      <c r="M833" s="681">
        <v>0</v>
      </c>
      <c r="N833" s="681"/>
      <c r="O833" s="681">
        <v>0</v>
      </c>
      <c r="P833" s="680">
        <v>0</v>
      </c>
      <c r="Q833" s="682">
        <v>0</v>
      </c>
      <c r="R833" s="681">
        <v>8000</v>
      </c>
      <c r="S833" s="658"/>
    </row>
    <row r="834" spans="1:19" s="659" customFormat="1" ht="20.100000000000001" customHeight="1">
      <c r="A834" s="657" t="s">
        <v>4259</v>
      </c>
      <c r="B834" s="649" t="s">
        <v>882</v>
      </c>
      <c r="C834" s="621"/>
      <c r="D834" s="621"/>
      <c r="E834" s="649" t="s">
        <v>4260</v>
      </c>
      <c r="F834" s="622" t="s">
        <v>885</v>
      </c>
      <c r="G834" s="622" t="s">
        <v>298</v>
      </c>
      <c r="H834" s="649" t="s">
        <v>262</v>
      </c>
      <c r="I834" s="652" t="s">
        <v>10</v>
      </c>
      <c r="J834" s="622" t="s">
        <v>5608</v>
      </c>
      <c r="K834" s="680">
        <v>58240</v>
      </c>
      <c r="L834" s="680">
        <v>43</v>
      </c>
      <c r="M834" s="681">
        <v>0</v>
      </c>
      <c r="N834" s="681"/>
      <c r="O834" s="681">
        <v>42</v>
      </c>
      <c r="P834" s="680">
        <v>42</v>
      </c>
      <c r="Q834" s="682">
        <v>0</v>
      </c>
      <c r="R834" s="681">
        <v>1</v>
      </c>
      <c r="S834" s="658"/>
    </row>
    <row r="835" spans="1:19" s="659" customFormat="1" ht="20.100000000000001" customHeight="1">
      <c r="A835" s="657" t="s">
        <v>4554</v>
      </c>
      <c r="B835" s="649" t="s">
        <v>847</v>
      </c>
      <c r="C835" s="621"/>
      <c r="D835" s="621"/>
      <c r="E835" s="649" t="s">
        <v>4555</v>
      </c>
      <c r="F835" s="622" t="s">
        <v>1875</v>
      </c>
      <c r="G835" s="622" t="s">
        <v>8258</v>
      </c>
      <c r="H835" s="649" t="s">
        <v>225</v>
      </c>
      <c r="I835" s="652" t="s">
        <v>11</v>
      </c>
      <c r="J835" s="622" t="s">
        <v>8257</v>
      </c>
      <c r="K835" s="680">
        <v>2510</v>
      </c>
      <c r="L835" s="680">
        <v>60</v>
      </c>
      <c r="M835" s="681">
        <v>0</v>
      </c>
      <c r="N835" s="681"/>
      <c r="O835" s="681">
        <v>60</v>
      </c>
      <c r="P835" s="680">
        <v>60</v>
      </c>
      <c r="Q835" s="682">
        <v>0</v>
      </c>
      <c r="R835" s="681">
        <v>0</v>
      </c>
      <c r="S835" s="658"/>
    </row>
    <row r="836" spans="1:19" s="659" customFormat="1" ht="20.100000000000001" customHeight="1">
      <c r="A836" s="657" t="s">
        <v>4262</v>
      </c>
      <c r="B836" s="649" t="s">
        <v>555</v>
      </c>
      <c r="C836" s="621"/>
      <c r="D836" s="621"/>
      <c r="E836" s="649" t="s">
        <v>4263</v>
      </c>
      <c r="F836" s="622" t="s">
        <v>6105</v>
      </c>
      <c r="G836" s="622" t="s">
        <v>6106</v>
      </c>
      <c r="H836" s="649" t="s">
        <v>262</v>
      </c>
      <c r="I836" s="652" t="s">
        <v>11</v>
      </c>
      <c r="J836" s="622" t="s">
        <v>6104</v>
      </c>
      <c r="K836" s="680">
        <v>6500</v>
      </c>
      <c r="L836" s="680">
        <v>7906</v>
      </c>
      <c r="M836" s="681">
        <v>0</v>
      </c>
      <c r="N836" s="681"/>
      <c r="O836" s="681">
        <v>7900</v>
      </c>
      <c r="P836" s="680">
        <v>0</v>
      </c>
      <c r="Q836" s="682">
        <v>7900</v>
      </c>
      <c r="R836" s="681">
        <v>6</v>
      </c>
      <c r="S836" s="658"/>
    </row>
    <row r="837" spans="1:19" s="659" customFormat="1" ht="20.100000000000001" customHeight="1">
      <c r="A837" s="657" t="s">
        <v>4265</v>
      </c>
      <c r="B837" s="649" t="s">
        <v>1302</v>
      </c>
      <c r="C837" s="621"/>
      <c r="D837" s="621"/>
      <c r="E837" s="649" t="s">
        <v>4266</v>
      </c>
      <c r="F837" s="622" t="s">
        <v>5731</v>
      </c>
      <c r="G837" s="622" t="s">
        <v>5732</v>
      </c>
      <c r="H837" s="649" t="s">
        <v>235</v>
      </c>
      <c r="I837" s="652" t="s">
        <v>10</v>
      </c>
      <c r="J837" s="622" t="s">
        <v>3524</v>
      </c>
      <c r="K837" s="680">
        <v>2540</v>
      </c>
      <c r="L837" s="680">
        <v>100</v>
      </c>
      <c r="M837" s="681">
        <v>0</v>
      </c>
      <c r="N837" s="681"/>
      <c r="O837" s="681">
        <v>100</v>
      </c>
      <c r="P837" s="680">
        <v>99</v>
      </c>
      <c r="Q837" s="682">
        <v>1</v>
      </c>
      <c r="R837" s="681">
        <v>0</v>
      </c>
      <c r="S837" s="658"/>
    </row>
    <row r="838" spans="1:19" s="659" customFormat="1" ht="20.100000000000001" customHeight="1">
      <c r="A838" s="657" t="s">
        <v>5984</v>
      </c>
      <c r="B838" s="649" t="s">
        <v>5985</v>
      </c>
      <c r="C838" s="621"/>
      <c r="D838" s="621"/>
      <c r="E838" s="649" t="s">
        <v>5987</v>
      </c>
      <c r="F838" s="622" t="s">
        <v>5990</v>
      </c>
      <c r="G838" s="622" t="s">
        <v>5991</v>
      </c>
      <c r="H838" s="649" t="s">
        <v>5986</v>
      </c>
      <c r="I838" s="652" t="s">
        <v>11</v>
      </c>
      <c r="J838" s="622" t="s">
        <v>5988</v>
      </c>
      <c r="K838" s="680">
        <v>9500</v>
      </c>
      <c r="L838" s="680"/>
      <c r="M838" s="681">
        <v>600</v>
      </c>
      <c r="N838" s="681"/>
      <c r="O838" s="681">
        <v>421</v>
      </c>
      <c r="P838" s="680">
        <v>0</v>
      </c>
      <c r="Q838" s="682">
        <v>421</v>
      </c>
      <c r="R838" s="681">
        <v>179</v>
      </c>
      <c r="S838" s="658"/>
    </row>
    <row r="839" spans="1:19" s="659" customFormat="1" ht="20.100000000000001" customHeight="1">
      <c r="A839" s="657" t="s">
        <v>4267</v>
      </c>
      <c r="B839" s="649" t="s">
        <v>4269</v>
      </c>
      <c r="C839" s="621"/>
      <c r="D839" s="621"/>
      <c r="E839" s="649" t="s">
        <v>4268</v>
      </c>
      <c r="F839" s="622" t="s">
        <v>7006</v>
      </c>
      <c r="G839" s="622" t="s">
        <v>1268</v>
      </c>
      <c r="H839" s="649" t="s">
        <v>663</v>
      </c>
      <c r="I839" s="652" t="s">
        <v>11</v>
      </c>
      <c r="J839" s="622" t="s">
        <v>7005</v>
      </c>
      <c r="K839" s="680">
        <v>1050</v>
      </c>
      <c r="L839" s="680"/>
      <c r="M839" s="681">
        <v>6000</v>
      </c>
      <c r="N839" s="681"/>
      <c r="O839" s="681">
        <v>683</v>
      </c>
      <c r="P839" s="680">
        <v>0</v>
      </c>
      <c r="Q839" s="682">
        <v>683</v>
      </c>
      <c r="R839" s="681">
        <v>5317</v>
      </c>
      <c r="S839" s="658"/>
    </row>
    <row r="840" spans="1:19" s="659" customFormat="1" ht="20.100000000000001" customHeight="1">
      <c r="A840" s="657" t="s">
        <v>4267</v>
      </c>
      <c r="B840" s="649" t="s">
        <v>4269</v>
      </c>
      <c r="C840" s="621"/>
      <c r="D840" s="621"/>
      <c r="E840" s="649" t="s">
        <v>4268</v>
      </c>
      <c r="F840" s="622" t="s">
        <v>7006</v>
      </c>
      <c r="G840" s="622" t="s">
        <v>1268</v>
      </c>
      <c r="H840" s="649" t="s">
        <v>663</v>
      </c>
      <c r="I840" s="652" t="s">
        <v>11</v>
      </c>
      <c r="J840" s="622" t="s">
        <v>7005</v>
      </c>
      <c r="K840" s="680">
        <v>1050</v>
      </c>
      <c r="L840" s="680">
        <v>1844</v>
      </c>
      <c r="M840" s="681">
        <v>0</v>
      </c>
      <c r="N840" s="681"/>
      <c r="O840" s="681">
        <v>1844</v>
      </c>
      <c r="P840" s="680">
        <v>0</v>
      </c>
      <c r="Q840" s="682">
        <v>1844</v>
      </c>
      <c r="R840" s="681">
        <v>0</v>
      </c>
      <c r="S840" s="658"/>
    </row>
    <row r="841" spans="1:19" s="659" customFormat="1" ht="20.100000000000001" customHeight="1">
      <c r="A841" s="657" t="s">
        <v>4267</v>
      </c>
      <c r="B841" s="649" t="s">
        <v>4269</v>
      </c>
      <c r="C841" s="621"/>
      <c r="D841" s="621"/>
      <c r="E841" s="649" t="s">
        <v>4268</v>
      </c>
      <c r="F841" s="622" t="s">
        <v>7006</v>
      </c>
      <c r="G841" s="622" t="s">
        <v>1268</v>
      </c>
      <c r="H841" s="649" t="s">
        <v>663</v>
      </c>
      <c r="I841" s="652" t="s">
        <v>11</v>
      </c>
      <c r="J841" s="622" t="s">
        <v>7005</v>
      </c>
      <c r="K841" s="680">
        <v>1050</v>
      </c>
      <c r="L841" s="680">
        <v>3000</v>
      </c>
      <c r="M841" s="681">
        <v>0</v>
      </c>
      <c r="N841" s="681"/>
      <c r="O841" s="681">
        <v>3000</v>
      </c>
      <c r="P841" s="680">
        <v>0</v>
      </c>
      <c r="Q841" s="682">
        <v>3000</v>
      </c>
      <c r="R841" s="681">
        <v>0</v>
      </c>
      <c r="S841" s="658"/>
    </row>
    <row r="842" spans="1:19" s="659" customFormat="1" ht="20.100000000000001" customHeight="1">
      <c r="A842" s="657" t="s">
        <v>6187</v>
      </c>
      <c r="B842" s="649" t="s">
        <v>855</v>
      </c>
      <c r="C842" s="621"/>
      <c r="D842" s="621"/>
      <c r="E842" s="649" t="s">
        <v>1176</v>
      </c>
      <c r="F842" s="622" t="s">
        <v>6189</v>
      </c>
      <c r="G842" s="622" t="s">
        <v>6190</v>
      </c>
      <c r="H842" s="649" t="s">
        <v>1177</v>
      </c>
      <c r="I842" s="652" t="s">
        <v>11</v>
      </c>
      <c r="J842" s="622" t="s">
        <v>6188</v>
      </c>
      <c r="K842" s="680">
        <v>2290</v>
      </c>
      <c r="L842" s="680"/>
      <c r="M842" s="681">
        <v>500</v>
      </c>
      <c r="N842" s="681"/>
      <c r="O842" s="681">
        <v>500</v>
      </c>
      <c r="P842" s="680">
        <v>500</v>
      </c>
      <c r="Q842" s="682">
        <v>0</v>
      </c>
      <c r="R842" s="681">
        <v>0</v>
      </c>
      <c r="S842" s="658"/>
    </row>
    <row r="843" spans="1:19" s="659" customFormat="1" ht="20.100000000000001" customHeight="1">
      <c r="A843" s="657" t="s">
        <v>4272</v>
      </c>
      <c r="B843" s="649" t="s">
        <v>855</v>
      </c>
      <c r="C843" s="621"/>
      <c r="D843" s="621"/>
      <c r="E843" s="649" t="s">
        <v>4273</v>
      </c>
      <c r="F843" s="622" t="s">
        <v>6768</v>
      </c>
      <c r="G843" s="622" t="s">
        <v>6102</v>
      </c>
      <c r="H843" s="649" t="s">
        <v>334</v>
      </c>
      <c r="I843" s="652" t="s">
        <v>11</v>
      </c>
      <c r="J843" s="622" t="s">
        <v>6767</v>
      </c>
      <c r="K843" s="680">
        <v>900</v>
      </c>
      <c r="L843" s="680">
        <v>937</v>
      </c>
      <c r="M843" s="681">
        <v>0</v>
      </c>
      <c r="N843" s="681"/>
      <c r="O843" s="681">
        <v>0</v>
      </c>
      <c r="P843" s="680">
        <v>0</v>
      </c>
      <c r="Q843" s="682">
        <v>0</v>
      </c>
      <c r="R843" s="681">
        <v>937</v>
      </c>
      <c r="S843" s="658"/>
    </row>
    <row r="844" spans="1:19" s="659" customFormat="1" ht="20.100000000000001" customHeight="1">
      <c r="A844" s="657" t="s">
        <v>4272</v>
      </c>
      <c r="B844" s="649" t="s">
        <v>855</v>
      </c>
      <c r="C844" s="621"/>
      <c r="D844" s="621"/>
      <c r="E844" s="649" t="s">
        <v>4273</v>
      </c>
      <c r="F844" s="622" t="s">
        <v>6768</v>
      </c>
      <c r="G844" s="622" t="s">
        <v>6102</v>
      </c>
      <c r="H844" s="649" t="s">
        <v>334</v>
      </c>
      <c r="I844" s="652" t="s">
        <v>11</v>
      </c>
      <c r="J844" s="622" t="s">
        <v>6767</v>
      </c>
      <c r="K844" s="680">
        <v>900</v>
      </c>
      <c r="L844" s="680">
        <v>5000</v>
      </c>
      <c r="M844" s="681">
        <v>0</v>
      </c>
      <c r="N844" s="681"/>
      <c r="O844" s="681">
        <v>5000</v>
      </c>
      <c r="P844" s="680">
        <v>5000</v>
      </c>
      <c r="Q844" s="682">
        <v>0</v>
      </c>
      <c r="R844" s="681">
        <v>0</v>
      </c>
      <c r="S844" s="658"/>
    </row>
    <row r="845" spans="1:19" s="659" customFormat="1" ht="20.100000000000001" customHeight="1">
      <c r="A845" s="657" t="s">
        <v>4272</v>
      </c>
      <c r="B845" s="649" t="s">
        <v>855</v>
      </c>
      <c r="C845" s="621"/>
      <c r="D845" s="621"/>
      <c r="E845" s="649" t="s">
        <v>4273</v>
      </c>
      <c r="F845" s="622" t="s">
        <v>6768</v>
      </c>
      <c r="G845" s="622" t="s">
        <v>6102</v>
      </c>
      <c r="H845" s="649" t="s">
        <v>334</v>
      </c>
      <c r="I845" s="652" t="s">
        <v>11</v>
      </c>
      <c r="J845" s="622" t="s">
        <v>6767</v>
      </c>
      <c r="K845" s="680">
        <v>900</v>
      </c>
      <c r="L845" s="680"/>
      <c r="M845" s="681">
        <v>20000</v>
      </c>
      <c r="N845" s="681"/>
      <c r="O845" s="681">
        <v>2556</v>
      </c>
      <c r="P845" s="680">
        <v>2000</v>
      </c>
      <c r="Q845" s="682">
        <v>556</v>
      </c>
      <c r="R845" s="681">
        <v>17444</v>
      </c>
      <c r="S845" s="658"/>
    </row>
    <row r="846" spans="1:19" s="659" customFormat="1" ht="20.100000000000001" customHeight="1">
      <c r="A846" s="657" t="s">
        <v>4274</v>
      </c>
      <c r="B846" s="649" t="s">
        <v>792</v>
      </c>
      <c r="C846" s="621"/>
      <c r="D846" s="621"/>
      <c r="E846" s="649" t="s">
        <v>1934</v>
      </c>
      <c r="F846" s="622" t="s">
        <v>8242</v>
      </c>
      <c r="G846" s="622" t="s">
        <v>1913</v>
      </c>
      <c r="H846" s="649" t="s">
        <v>4275</v>
      </c>
      <c r="I846" s="652" t="s">
        <v>15</v>
      </c>
      <c r="J846" s="622" t="s">
        <v>8241</v>
      </c>
      <c r="K846" s="680">
        <v>9345</v>
      </c>
      <c r="L846" s="680">
        <v>50</v>
      </c>
      <c r="M846" s="681">
        <v>0</v>
      </c>
      <c r="N846" s="681"/>
      <c r="O846" s="681">
        <v>50</v>
      </c>
      <c r="P846" s="680">
        <v>20</v>
      </c>
      <c r="Q846" s="682">
        <v>30</v>
      </c>
      <c r="R846" s="681">
        <v>0</v>
      </c>
      <c r="S846" s="658"/>
    </row>
    <row r="847" spans="1:19" s="659" customFormat="1" ht="20.100000000000001" customHeight="1">
      <c r="A847" s="657" t="s">
        <v>4274</v>
      </c>
      <c r="B847" s="649" t="s">
        <v>792</v>
      </c>
      <c r="C847" s="621"/>
      <c r="D847" s="621"/>
      <c r="E847" s="649" t="s">
        <v>1934</v>
      </c>
      <c r="F847" s="622" t="s">
        <v>8242</v>
      </c>
      <c r="G847" s="622" t="s">
        <v>1913</v>
      </c>
      <c r="H847" s="649" t="s">
        <v>4275</v>
      </c>
      <c r="I847" s="652" t="s">
        <v>15</v>
      </c>
      <c r="J847" s="622" t="s">
        <v>8241</v>
      </c>
      <c r="K847" s="680">
        <v>9345</v>
      </c>
      <c r="L847" s="680">
        <v>129</v>
      </c>
      <c r="M847" s="681">
        <v>0</v>
      </c>
      <c r="N847" s="681"/>
      <c r="O847" s="681">
        <v>129</v>
      </c>
      <c r="P847" s="680">
        <v>32</v>
      </c>
      <c r="Q847" s="682">
        <v>97</v>
      </c>
      <c r="R847" s="681">
        <v>0</v>
      </c>
      <c r="S847" s="658"/>
    </row>
    <row r="848" spans="1:19" s="659" customFormat="1" ht="20.100000000000001" customHeight="1">
      <c r="A848" s="657" t="s">
        <v>4277</v>
      </c>
      <c r="B848" s="649" t="s">
        <v>870</v>
      </c>
      <c r="C848" s="621"/>
      <c r="D848" s="621"/>
      <c r="E848" s="649" t="s">
        <v>2544</v>
      </c>
      <c r="F848" s="622" t="s">
        <v>3315</v>
      </c>
      <c r="G848" s="622" t="s">
        <v>863</v>
      </c>
      <c r="H848" s="649" t="s">
        <v>2545</v>
      </c>
      <c r="I848" s="652" t="s">
        <v>14</v>
      </c>
      <c r="J848" s="622" t="s">
        <v>3316</v>
      </c>
      <c r="K848" s="680">
        <v>42300</v>
      </c>
      <c r="L848" s="680">
        <v>5</v>
      </c>
      <c r="M848" s="681">
        <v>0</v>
      </c>
      <c r="N848" s="681"/>
      <c r="O848" s="681">
        <v>0</v>
      </c>
      <c r="P848" s="680">
        <v>0</v>
      </c>
      <c r="Q848" s="682">
        <v>0</v>
      </c>
      <c r="R848" s="681">
        <v>5</v>
      </c>
      <c r="S848" s="658"/>
    </row>
    <row r="849" spans="1:19" s="659" customFormat="1" ht="20.100000000000001" customHeight="1">
      <c r="A849" s="657" t="s">
        <v>4915</v>
      </c>
      <c r="B849" s="649" t="s">
        <v>309</v>
      </c>
      <c r="C849" s="621"/>
      <c r="D849" s="621"/>
      <c r="E849" s="649" t="s">
        <v>4916</v>
      </c>
      <c r="F849" s="622" t="s">
        <v>468</v>
      </c>
      <c r="G849" s="622" t="s">
        <v>463</v>
      </c>
      <c r="H849" s="649" t="s">
        <v>310</v>
      </c>
      <c r="I849" s="652" t="s">
        <v>10</v>
      </c>
      <c r="J849" s="622" t="s">
        <v>5431</v>
      </c>
      <c r="K849" s="680">
        <v>420</v>
      </c>
      <c r="L849" s="680">
        <v>9621</v>
      </c>
      <c r="M849" s="681">
        <v>0</v>
      </c>
      <c r="N849" s="681"/>
      <c r="O849" s="681">
        <v>9621</v>
      </c>
      <c r="P849" s="680">
        <v>0</v>
      </c>
      <c r="Q849" s="682">
        <v>9621</v>
      </c>
      <c r="R849" s="681">
        <v>0</v>
      </c>
      <c r="S849" s="658"/>
    </row>
    <row r="850" spans="1:19" s="659" customFormat="1" ht="20.100000000000001" customHeight="1">
      <c r="A850" s="657" t="s">
        <v>4915</v>
      </c>
      <c r="B850" s="649" t="s">
        <v>309</v>
      </c>
      <c r="C850" s="621"/>
      <c r="D850" s="621"/>
      <c r="E850" s="649" t="s">
        <v>4916</v>
      </c>
      <c r="F850" s="622" t="s">
        <v>468</v>
      </c>
      <c r="G850" s="622" t="s">
        <v>463</v>
      </c>
      <c r="H850" s="649" t="s">
        <v>310</v>
      </c>
      <c r="I850" s="652" t="s">
        <v>10</v>
      </c>
      <c r="J850" s="622" t="s">
        <v>5431</v>
      </c>
      <c r="K850" s="680">
        <v>420</v>
      </c>
      <c r="L850" s="680">
        <v>60000</v>
      </c>
      <c r="M850" s="681">
        <v>0</v>
      </c>
      <c r="N850" s="681"/>
      <c r="O850" s="681">
        <v>21915</v>
      </c>
      <c r="P850" s="680">
        <v>0</v>
      </c>
      <c r="Q850" s="682">
        <v>21915</v>
      </c>
      <c r="R850" s="681">
        <v>38085</v>
      </c>
      <c r="S850" s="658"/>
    </row>
    <row r="851" spans="1:19" s="659" customFormat="1" ht="20.100000000000001" customHeight="1">
      <c r="A851" s="657" t="s">
        <v>4917</v>
      </c>
      <c r="B851" s="649" t="s">
        <v>313</v>
      </c>
      <c r="C851" s="621"/>
      <c r="D851" s="621"/>
      <c r="E851" s="649" t="s">
        <v>4918</v>
      </c>
      <c r="F851" s="622" t="s">
        <v>5481</v>
      </c>
      <c r="G851" s="622" t="s">
        <v>463</v>
      </c>
      <c r="H851" s="649" t="s">
        <v>238</v>
      </c>
      <c r="I851" s="652" t="s">
        <v>10</v>
      </c>
      <c r="J851" s="622" t="s">
        <v>5480</v>
      </c>
      <c r="K851" s="680">
        <v>980</v>
      </c>
      <c r="L851" s="680">
        <v>5000</v>
      </c>
      <c r="M851" s="681">
        <v>0</v>
      </c>
      <c r="N851" s="681"/>
      <c r="O851" s="681">
        <v>4755</v>
      </c>
      <c r="P851" s="680">
        <v>4000</v>
      </c>
      <c r="Q851" s="682">
        <v>755</v>
      </c>
      <c r="R851" s="681">
        <v>245</v>
      </c>
      <c r="S851" s="658"/>
    </row>
    <row r="852" spans="1:19" s="659" customFormat="1" ht="20.100000000000001" customHeight="1">
      <c r="A852" s="657" t="s">
        <v>4281</v>
      </c>
      <c r="B852" s="649" t="s">
        <v>645</v>
      </c>
      <c r="C852" s="621"/>
      <c r="D852" s="621"/>
      <c r="E852" s="649" t="s">
        <v>4282</v>
      </c>
      <c r="F852" s="622" t="s">
        <v>8297</v>
      </c>
      <c r="G852" s="622" t="s">
        <v>463</v>
      </c>
      <c r="H852" s="649" t="s">
        <v>248</v>
      </c>
      <c r="I852" s="652" t="s">
        <v>11</v>
      </c>
      <c r="J852" s="622" t="s">
        <v>8296</v>
      </c>
      <c r="K852" s="680">
        <v>2090</v>
      </c>
      <c r="L852" s="680"/>
      <c r="M852" s="681">
        <v>45990</v>
      </c>
      <c r="N852" s="681"/>
      <c r="O852" s="681">
        <v>43645</v>
      </c>
      <c r="P852" s="680">
        <v>1590</v>
      </c>
      <c r="Q852" s="682">
        <v>42055</v>
      </c>
      <c r="R852" s="681">
        <v>2345</v>
      </c>
      <c r="S852" s="658"/>
    </row>
    <row r="853" spans="1:19" s="659" customFormat="1" ht="20.100000000000001" customHeight="1">
      <c r="A853" s="657" t="s">
        <v>4281</v>
      </c>
      <c r="B853" s="649" t="s">
        <v>645</v>
      </c>
      <c r="C853" s="621"/>
      <c r="D853" s="621"/>
      <c r="E853" s="649" t="s">
        <v>4282</v>
      </c>
      <c r="F853" s="622" t="s">
        <v>8297</v>
      </c>
      <c r="G853" s="622" t="s">
        <v>463</v>
      </c>
      <c r="H853" s="649" t="s">
        <v>248</v>
      </c>
      <c r="I853" s="652" t="s">
        <v>11</v>
      </c>
      <c r="J853" s="622" t="s">
        <v>8296</v>
      </c>
      <c r="K853" s="680">
        <v>2090</v>
      </c>
      <c r="L853" s="680"/>
      <c r="M853" s="681">
        <v>24990</v>
      </c>
      <c r="N853" s="681"/>
      <c r="O853" s="681">
        <v>0</v>
      </c>
      <c r="P853" s="680">
        <v>0</v>
      </c>
      <c r="Q853" s="682">
        <v>0</v>
      </c>
      <c r="R853" s="681">
        <v>24990</v>
      </c>
      <c r="S853" s="658"/>
    </row>
    <row r="854" spans="1:19" s="659" customFormat="1" ht="20.100000000000001" customHeight="1">
      <c r="A854" s="657" t="s">
        <v>4281</v>
      </c>
      <c r="B854" s="649" t="s">
        <v>645</v>
      </c>
      <c r="C854" s="621"/>
      <c r="D854" s="621"/>
      <c r="E854" s="649" t="s">
        <v>4282</v>
      </c>
      <c r="F854" s="622" t="s">
        <v>8297</v>
      </c>
      <c r="G854" s="622" t="s">
        <v>463</v>
      </c>
      <c r="H854" s="649" t="s">
        <v>248</v>
      </c>
      <c r="I854" s="652" t="s">
        <v>11</v>
      </c>
      <c r="J854" s="622" t="s">
        <v>8296</v>
      </c>
      <c r="K854" s="680">
        <v>2090</v>
      </c>
      <c r="L854" s="680">
        <v>6800</v>
      </c>
      <c r="M854" s="681">
        <v>0</v>
      </c>
      <c r="N854" s="681"/>
      <c r="O854" s="681">
        <v>6800</v>
      </c>
      <c r="P854" s="680">
        <v>0</v>
      </c>
      <c r="Q854" s="682">
        <v>6800</v>
      </c>
      <c r="R854" s="681">
        <v>0</v>
      </c>
      <c r="S854" s="658"/>
    </row>
    <row r="855" spans="1:19" s="659" customFormat="1" ht="20.100000000000001" customHeight="1">
      <c r="A855" s="657" t="s">
        <v>4557</v>
      </c>
      <c r="B855" s="649" t="s">
        <v>337</v>
      </c>
      <c r="C855" s="621"/>
      <c r="D855" s="621"/>
      <c r="E855" s="649" t="s">
        <v>4558</v>
      </c>
      <c r="F855" s="622" t="s">
        <v>3319</v>
      </c>
      <c r="G855" s="622" t="s">
        <v>7362</v>
      </c>
      <c r="H855" s="649" t="s">
        <v>272</v>
      </c>
      <c r="I855" s="652" t="s">
        <v>11</v>
      </c>
      <c r="J855" s="622" t="s">
        <v>7361</v>
      </c>
      <c r="K855" s="680">
        <v>1638</v>
      </c>
      <c r="L855" s="680">
        <v>1636</v>
      </c>
      <c r="M855" s="681">
        <v>0</v>
      </c>
      <c r="N855" s="681"/>
      <c r="O855" s="681">
        <v>1636</v>
      </c>
      <c r="P855" s="680">
        <v>0</v>
      </c>
      <c r="Q855" s="682">
        <v>1636</v>
      </c>
      <c r="R855" s="681">
        <v>0</v>
      </c>
      <c r="S855" s="658"/>
    </row>
    <row r="856" spans="1:19" s="659" customFormat="1" ht="20.100000000000001" customHeight="1">
      <c r="A856" s="657" t="s">
        <v>8850</v>
      </c>
      <c r="B856" s="649" t="s">
        <v>100</v>
      </c>
      <c r="C856" s="621"/>
      <c r="D856" s="621"/>
      <c r="E856" s="649" t="s">
        <v>8853</v>
      </c>
      <c r="F856" s="622" t="s">
        <v>8855</v>
      </c>
      <c r="G856" s="622" t="s">
        <v>2426</v>
      </c>
      <c r="H856" s="649" t="s">
        <v>12407</v>
      </c>
      <c r="I856" s="652" t="s">
        <v>11</v>
      </c>
      <c r="J856" s="622" t="s">
        <v>8854</v>
      </c>
      <c r="K856" s="680">
        <v>1640</v>
      </c>
      <c r="L856" s="680"/>
      <c r="M856" s="681">
        <v>5000</v>
      </c>
      <c r="N856" s="681"/>
      <c r="O856" s="681">
        <v>952</v>
      </c>
      <c r="P856" s="680">
        <v>0</v>
      </c>
      <c r="Q856" s="682">
        <v>952</v>
      </c>
      <c r="R856" s="681">
        <v>4048</v>
      </c>
      <c r="S856" s="658"/>
    </row>
    <row r="857" spans="1:19" s="659" customFormat="1" ht="20.100000000000001" customHeight="1">
      <c r="A857" s="657" t="s">
        <v>6808</v>
      </c>
      <c r="B857" s="649" t="s">
        <v>3974</v>
      </c>
      <c r="C857" s="621"/>
      <c r="D857" s="621"/>
      <c r="E857" s="649" t="s">
        <v>6809</v>
      </c>
      <c r="F857" s="622" t="s">
        <v>6810</v>
      </c>
      <c r="G857" s="622" t="s">
        <v>6532</v>
      </c>
      <c r="H857" s="649" t="s">
        <v>267</v>
      </c>
      <c r="I857" s="652" t="s">
        <v>11</v>
      </c>
      <c r="J857" s="622" t="s">
        <v>6644</v>
      </c>
      <c r="K857" s="680">
        <v>630</v>
      </c>
      <c r="L857" s="680"/>
      <c r="M857" s="681">
        <v>9990</v>
      </c>
      <c r="N857" s="681"/>
      <c r="O857" s="681">
        <v>0</v>
      </c>
      <c r="P857" s="680">
        <v>0</v>
      </c>
      <c r="Q857" s="682">
        <v>0</v>
      </c>
      <c r="R857" s="681">
        <v>9990</v>
      </c>
      <c r="S857" s="658"/>
    </row>
    <row r="858" spans="1:19" s="659" customFormat="1" ht="20.100000000000001" customHeight="1">
      <c r="A858" s="657" t="s">
        <v>4283</v>
      </c>
      <c r="B858" s="649" t="s">
        <v>4285</v>
      </c>
      <c r="C858" s="621"/>
      <c r="D858" s="621"/>
      <c r="E858" s="649" t="s">
        <v>4284</v>
      </c>
      <c r="F858" s="622" t="s">
        <v>6154</v>
      </c>
      <c r="G858" s="622" t="s">
        <v>6155</v>
      </c>
      <c r="H858" s="649" t="s">
        <v>327</v>
      </c>
      <c r="I858" s="652" t="s">
        <v>11</v>
      </c>
      <c r="J858" s="622" t="s">
        <v>6153</v>
      </c>
      <c r="K858" s="680">
        <v>5481</v>
      </c>
      <c r="L858" s="680">
        <v>2</v>
      </c>
      <c r="M858" s="681">
        <v>0</v>
      </c>
      <c r="N858" s="681"/>
      <c r="O858" s="681">
        <v>2</v>
      </c>
      <c r="P858" s="680">
        <v>0</v>
      </c>
      <c r="Q858" s="682">
        <v>2</v>
      </c>
      <c r="R858" s="681">
        <v>0</v>
      </c>
      <c r="S858" s="658"/>
    </row>
    <row r="859" spans="1:19" s="659" customFormat="1" ht="20.100000000000001" customHeight="1">
      <c r="A859" s="657" t="s">
        <v>4283</v>
      </c>
      <c r="B859" s="649" t="s">
        <v>4285</v>
      </c>
      <c r="C859" s="621"/>
      <c r="D859" s="621"/>
      <c r="E859" s="649" t="s">
        <v>4284</v>
      </c>
      <c r="F859" s="622" t="s">
        <v>6154</v>
      </c>
      <c r="G859" s="622" t="s">
        <v>6155</v>
      </c>
      <c r="H859" s="649" t="s">
        <v>327</v>
      </c>
      <c r="I859" s="652" t="s">
        <v>11</v>
      </c>
      <c r="J859" s="622" t="s">
        <v>6153</v>
      </c>
      <c r="K859" s="680">
        <v>5481</v>
      </c>
      <c r="L859" s="680"/>
      <c r="M859" s="681">
        <v>1120</v>
      </c>
      <c r="N859" s="681"/>
      <c r="O859" s="681">
        <v>1120</v>
      </c>
      <c r="P859" s="680">
        <v>0</v>
      </c>
      <c r="Q859" s="682">
        <v>1120</v>
      </c>
      <c r="R859" s="681">
        <v>0</v>
      </c>
      <c r="S859" s="658"/>
    </row>
    <row r="860" spans="1:19" s="659" customFormat="1" ht="20.100000000000001" customHeight="1">
      <c r="A860" s="657" t="s">
        <v>4283</v>
      </c>
      <c r="B860" s="649" t="s">
        <v>4285</v>
      </c>
      <c r="C860" s="621"/>
      <c r="D860" s="621"/>
      <c r="E860" s="649" t="s">
        <v>4284</v>
      </c>
      <c r="F860" s="622" t="s">
        <v>6154</v>
      </c>
      <c r="G860" s="622" t="s">
        <v>6155</v>
      </c>
      <c r="H860" s="649" t="s">
        <v>327</v>
      </c>
      <c r="I860" s="652" t="s">
        <v>11</v>
      </c>
      <c r="J860" s="622" t="s">
        <v>6153</v>
      </c>
      <c r="K860" s="680">
        <v>5481</v>
      </c>
      <c r="L860" s="680"/>
      <c r="M860" s="681">
        <v>2968</v>
      </c>
      <c r="N860" s="681"/>
      <c r="O860" s="681">
        <v>2968</v>
      </c>
      <c r="P860" s="680">
        <v>0</v>
      </c>
      <c r="Q860" s="682">
        <v>2968</v>
      </c>
      <c r="R860" s="681">
        <v>0</v>
      </c>
      <c r="S860" s="658"/>
    </row>
    <row r="861" spans="1:19" s="659" customFormat="1" ht="20.100000000000001" customHeight="1">
      <c r="A861" s="657" t="s">
        <v>4283</v>
      </c>
      <c r="B861" s="649" t="s">
        <v>4285</v>
      </c>
      <c r="C861" s="621"/>
      <c r="D861" s="621"/>
      <c r="E861" s="649" t="s">
        <v>4284</v>
      </c>
      <c r="F861" s="622" t="s">
        <v>6154</v>
      </c>
      <c r="G861" s="622" t="s">
        <v>6155</v>
      </c>
      <c r="H861" s="649" t="s">
        <v>327</v>
      </c>
      <c r="I861" s="652" t="s">
        <v>11</v>
      </c>
      <c r="J861" s="622" t="s">
        <v>6153</v>
      </c>
      <c r="K861" s="680">
        <v>5481</v>
      </c>
      <c r="L861" s="680"/>
      <c r="M861" s="681">
        <v>1120</v>
      </c>
      <c r="N861" s="681"/>
      <c r="O861" s="681">
        <v>1120</v>
      </c>
      <c r="P861" s="680">
        <v>0</v>
      </c>
      <c r="Q861" s="682">
        <v>1120</v>
      </c>
      <c r="R861" s="681">
        <v>0</v>
      </c>
      <c r="S861" s="658"/>
    </row>
    <row r="862" spans="1:19" s="659" customFormat="1" ht="20.100000000000001" customHeight="1">
      <c r="A862" s="657" t="s">
        <v>4283</v>
      </c>
      <c r="B862" s="649" t="s">
        <v>4285</v>
      </c>
      <c r="C862" s="621"/>
      <c r="D862" s="621"/>
      <c r="E862" s="649" t="s">
        <v>4284</v>
      </c>
      <c r="F862" s="622" t="s">
        <v>6154</v>
      </c>
      <c r="G862" s="622" t="s">
        <v>6155</v>
      </c>
      <c r="H862" s="649" t="s">
        <v>327</v>
      </c>
      <c r="I862" s="652" t="s">
        <v>11</v>
      </c>
      <c r="J862" s="622" t="s">
        <v>6153</v>
      </c>
      <c r="K862" s="680">
        <v>5481</v>
      </c>
      <c r="L862" s="680"/>
      <c r="M862" s="681">
        <v>4928</v>
      </c>
      <c r="N862" s="681"/>
      <c r="O862" s="681">
        <v>1936</v>
      </c>
      <c r="P862" s="680">
        <v>0</v>
      </c>
      <c r="Q862" s="682">
        <v>1936</v>
      </c>
      <c r="R862" s="681">
        <v>2992</v>
      </c>
      <c r="S862" s="658"/>
    </row>
    <row r="863" spans="1:19" s="659" customFormat="1" ht="20.100000000000001" customHeight="1">
      <c r="A863" s="657" t="s">
        <v>4450</v>
      </c>
      <c r="B863" s="649" t="s">
        <v>4451</v>
      </c>
      <c r="C863" s="621"/>
      <c r="D863" s="621"/>
      <c r="E863" s="649" t="s">
        <v>2015</v>
      </c>
      <c r="F863" s="622" t="s">
        <v>2018</v>
      </c>
      <c r="G863" s="622" t="s">
        <v>2013</v>
      </c>
      <c r="H863" s="649" t="s">
        <v>4452</v>
      </c>
      <c r="I863" s="652" t="s">
        <v>18</v>
      </c>
      <c r="J863" s="622" t="s">
        <v>2017</v>
      </c>
      <c r="K863" s="680">
        <v>138000</v>
      </c>
      <c r="L863" s="680">
        <v>5</v>
      </c>
      <c r="M863" s="681">
        <v>0</v>
      </c>
      <c r="N863" s="681"/>
      <c r="O863" s="681">
        <v>5</v>
      </c>
      <c r="P863" s="680">
        <v>0</v>
      </c>
      <c r="Q863" s="682">
        <v>5</v>
      </c>
      <c r="R863" s="681">
        <v>0</v>
      </c>
      <c r="S863" s="658"/>
    </row>
    <row r="864" spans="1:19" s="659" customFormat="1" ht="20.100000000000001" customHeight="1">
      <c r="A864" s="657" t="s">
        <v>4922</v>
      </c>
      <c r="B864" s="649" t="s">
        <v>236</v>
      </c>
      <c r="C864" s="621"/>
      <c r="D864" s="621"/>
      <c r="E864" s="649" t="s">
        <v>405</v>
      </c>
      <c r="F864" s="622" t="s">
        <v>406</v>
      </c>
      <c r="G864" s="622" t="s">
        <v>407</v>
      </c>
      <c r="H864" s="649" t="s">
        <v>327</v>
      </c>
      <c r="I864" s="652" t="s">
        <v>10</v>
      </c>
      <c r="J864" s="622" t="s">
        <v>5208</v>
      </c>
      <c r="K864" s="680">
        <v>428</v>
      </c>
      <c r="L864" s="680">
        <v>257</v>
      </c>
      <c r="M864" s="681">
        <v>1</v>
      </c>
      <c r="N864" s="681"/>
      <c r="O864" s="681">
        <v>258</v>
      </c>
      <c r="P864" s="680">
        <v>37</v>
      </c>
      <c r="Q864" s="682">
        <v>221</v>
      </c>
      <c r="R864" s="681">
        <v>0</v>
      </c>
      <c r="S864" s="658"/>
    </row>
    <row r="865" spans="1:19" s="659" customFormat="1" ht="20.100000000000001" customHeight="1">
      <c r="A865" s="657" t="s">
        <v>4725</v>
      </c>
      <c r="B865" s="649" t="s">
        <v>164</v>
      </c>
      <c r="C865" s="621"/>
      <c r="D865" s="621"/>
      <c r="E865" s="649" t="s">
        <v>163</v>
      </c>
      <c r="F865" s="622" t="s">
        <v>8815</v>
      </c>
      <c r="G865" s="622" t="s">
        <v>2253</v>
      </c>
      <c r="H865" s="649" t="s">
        <v>165</v>
      </c>
      <c r="I865" s="652" t="s">
        <v>11</v>
      </c>
      <c r="J865" s="622" t="s">
        <v>8616</v>
      </c>
      <c r="K865" s="680">
        <v>950</v>
      </c>
      <c r="L865" s="680"/>
      <c r="M865" s="681">
        <v>8000</v>
      </c>
      <c r="N865" s="681"/>
      <c r="O865" s="681">
        <v>8000</v>
      </c>
      <c r="P865" s="680">
        <v>0</v>
      </c>
      <c r="Q865" s="682">
        <v>8000</v>
      </c>
      <c r="R865" s="681">
        <v>0</v>
      </c>
      <c r="S865" s="658"/>
    </row>
    <row r="866" spans="1:19" s="659" customFormat="1" ht="20.100000000000001" customHeight="1">
      <c r="A866" s="657" t="s">
        <v>4725</v>
      </c>
      <c r="B866" s="649" t="s">
        <v>164</v>
      </c>
      <c r="C866" s="621"/>
      <c r="D866" s="621"/>
      <c r="E866" s="649" t="s">
        <v>163</v>
      </c>
      <c r="F866" s="622" t="s">
        <v>8815</v>
      </c>
      <c r="G866" s="622" t="s">
        <v>2253</v>
      </c>
      <c r="H866" s="649" t="s">
        <v>165</v>
      </c>
      <c r="I866" s="652" t="s">
        <v>11</v>
      </c>
      <c r="J866" s="622" t="s">
        <v>8616</v>
      </c>
      <c r="K866" s="680">
        <v>950</v>
      </c>
      <c r="L866" s="680"/>
      <c r="M866" s="681">
        <v>10000</v>
      </c>
      <c r="N866" s="681"/>
      <c r="O866" s="681">
        <v>9996</v>
      </c>
      <c r="P866" s="680">
        <v>0</v>
      </c>
      <c r="Q866" s="682">
        <v>9996</v>
      </c>
      <c r="R866" s="681">
        <v>4</v>
      </c>
      <c r="S866" s="658"/>
    </row>
    <row r="867" spans="1:19" s="659" customFormat="1" ht="20.100000000000001" customHeight="1">
      <c r="A867" s="657" t="s">
        <v>4725</v>
      </c>
      <c r="B867" s="649" t="s">
        <v>164</v>
      </c>
      <c r="C867" s="621"/>
      <c r="D867" s="621"/>
      <c r="E867" s="649" t="s">
        <v>163</v>
      </c>
      <c r="F867" s="622" t="s">
        <v>8815</v>
      </c>
      <c r="G867" s="622" t="s">
        <v>2253</v>
      </c>
      <c r="H867" s="649" t="s">
        <v>165</v>
      </c>
      <c r="I867" s="652" t="s">
        <v>11</v>
      </c>
      <c r="J867" s="622" t="s">
        <v>8616</v>
      </c>
      <c r="K867" s="680">
        <v>950</v>
      </c>
      <c r="L867" s="680"/>
      <c r="M867" s="681">
        <v>12400</v>
      </c>
      <c r="N867" s="681"/>
      <c r="O867" s="681">
        <v>0</v>
      </c>
      <c r="P867" s="680">
        <v>0</v>
      </c>
      <c r="Q867" s="682">
        <v>0</v>
      </c>
      <c r="R867" s="681">
        <v>12400</v>
      </c>
      <c r="S867" s="658"/>
    </row>
    <row r="868" spans="1:19" s="659" customFormat="1" ht="20.100000000000001" customHeight="1">
      <c r="A868" s="657" t="s">
        <v>4725</v>
      </c>
      <c r="B868" s="649" t="s">
        <v>164</v>
      </c>
      <c r="C868" s="621"/>
      <c r="D868" s="621"/>
      <c r="E868" s="649" t="s">
        <v>163</v>
      </c>
      <c r="F868" s="622" t="s">
        <v>8815</v>
      </c>
      <c r="G868" s="622" t="s">
        <v>2253</v>
      </c>
      <c r="H868" s="649" t="s">
        <v>165</v>
      </c>
      <c r="I868" s="652" t="s">
        <v>11</v>
      </c>
      <c r="J868" s="622" t="s">
        <v>8616</v>
      </c>
      <c r="K868" s="680">
        <v>950</v>
      </c>
      <c r="L868" s="680">
        <v>6268</v>
      </c>
      <c r="M868" s="681">
        <v>0</v>
      </c>
      <c r="N868" s="681"/>
      <c r="O868" s="681">
        <v>6268</v>
      </c>
      <c r="P868" s="680">
        <v>0</v>
      </c>
      <c r="Q868" s="682">
        <v>6268</v>
      </c>
      <c r="R868" s="681">
        <v>0</v>
      </c>
      <c r="S868" s="658"/>
    </row>
    <row r="869" spans="1:19" s="659" customFormat="1" ht="20.100000000000001" customHeight="1">
      <c r="A869" s="657" t="s">
        <v>8215</v>
      </c>
      <c r="B869" s="649" t="s">
        <v>8207</v>
      </c>
      <c r="C869" s="621"/>
      <c r="D869" s="621"/>
      <c r="E869" s="649" t="s">
        <v>8217</v>
      </c>
      <c r="F869" s="622" t="s">
        <v>8219</v>
      </c>
      <c r="G869" s="622" t="s">
        <v>8220</v>
      </c>
      <c r="H869" s="649" t="s">
        <v>8216</v>
      </c>
      <c r="I869" s="652" t="s">
        <v>15</v>
      </c>
      <c r="J869" s="622" t="s">
        <v>8218</v>
      </c>
      <c r="K869" s="680">
        <v>14000</v>
      </c>
      <c r="L869" s="680"/>
      <c r="M869" s="681">
        <v>700</v>
      </c>
      <c r="N869" s="681"/>
      <c r="O869" s="681">
        <v>30</v>
      </c>
      <c r="P869" s="680">
        <v>0</v>
      </c>
      <c r="Q869" s="682">
        <v>30</v>
      </c>
      <c r="R869" s="681">
        <v>670</v>
      </c>
      <c r="S869" s="658"/>
    </row>
    <row r="870" spans="1:19" s="659" customFormat="1" ht="20.100000000000001" customHeight="1">
      <c r="A870" s="657" t="s">
        <v>4454</v>
      </c>
      <c r="B870" s="649" t="s">
        <v>758</v>
      </c>
      <c r="C870" s="621"/>
      <c r="D870" s="621"/>
      <c r="E870" s="649" t="s">
        <v>2569</v>
      </c>
      <c r="F870" s="622" t="s">
        <v>3332</v>
      </c>
      <c r="G870" s="622" t="s">
        <v>6510</v>
      </c>
      <c r="H870" s="649" t="s">
        <v>759</v>
      </c>
      <c r="I870" s="652" t="s">
        <v>15</v>
      </c>
      <c r="J870" s="622" t="s">
        <v>6508</v>
      </c>
      <c r="K870" s="680">
        <v>8925</v>
      </c>
      <c r="L870" s="680">
        <v>54</v>
      </c>
      <c r="M870" s="681">
        <v>0</v>
      </c>
      <c r="N870" s="681"/>
      <c r="O870" s="681">
        <v>52</v>
      </c>
      <c r="P870" s="680">
        <v>52</v>
      </c>
      <c r="Q870" s="682">
        <v>0</v>
      </c>
      <c r="R870" s="681">
        <v>2</v>
      </c>
      <c r="S870" s="658"/>
    </row>
    <row r="871" spans="1:19" s="659" customFormat="1" ht="20.100000000000001" customHeight="1">
      <c r="A871" s="657" t="s">
        <v>4454</v>
      </c>
      <c r="B871" s="649" t="s">
        <v>758</v>
      </c>
      <c r="C871" s="621"/>
      <c r="D871" s="621"/>
      <c r="E871" s="649" t="s">
        <v>2569</v>
      </c>
      <c r="F871" s="622" t="s">
        <v>3332</v>
      </c>
      <c r="G871" s="622" t="s">
        <v>6510</v>
      </c>
      <c r="H871" s="649" t="s">
        <v>759</v>
      </c>
      <c r="I871" s="652" t="s">
        <v>15</v>
      </c>
      <c r="J871" s="622" t="s">
        <v>6508</v>
      </c>
      <c r="K871" s="680">
        <v>8925</v>
      </c>
      <c r="L871" s="680"/>
      <c r="M871" s="681">
        <v>500</v>
      </c>
      <c r="N871" s="681"/>
      <c r="O871" s="681">
        <v>0</v>
      </c>
      <c r="P871" s="680">
        <v>0</v>
      </c>
      <c r="Q871" s="682">
        <v>0</v>
      </c>
      <c r="R871" s="681">
        <v>500</v>
      </c>
      <c r="S871" s="658"/>
    </row>
    <row r="872" spans="1:19" s="659" customFormat="1" ht="20.100000000000001" customHeight="1">
      <c r="A872" s="657" t="s">
        <v>4456</v>
      </c>
      <c r="B872" s="649" t="s">
        <v>758</v>
      </c>
      <c r="C872" s="621"/>
      <c r="D872" s="621"/>
      <c r="E872" s="649" t="s">
        <v>2569</v>
      </c>
      <c r="F872" s="622" t="s">
        <v>3332</v>
      </c>
      <c r="G872" s="622" t="s">
        <v>6510</v>
      </c>
      <c r="H872" s="649" t="s">
        <v>759</v>
      </c>
      <c r="I872" s="652" t="s">
        <v>15</v>
      </c>
      <c r="J872" s="622" t="s">
        <v>6508</v>
      </c>
      <c r="K872" s="680">
        <v>8925</v>
      </c>
      <c r="L872" s="680">
        <v>500</v>
      </c>
      <c r="M872" s="681">
        <v>7</v>
      </c>
      <c r="N872" s="681"/>
      <c r="O872" s="681">
        <v>506</v>
      </c>
      <c r="P872" s="680">
        <v>426</v>
      </c>
      <c r="Q872" s="682">
        <v>80</v>
      </c>
      <c r="R872" s="681">
        <v>1</v>
      </c>
      <c r="S872" s="658"/>
    </row>
    <row r="873" spans="1:19" s="659" customFormat="1" ht="20.100000000000001" customHeight="1">
      <c r="A873" s="657" t="s">
        <v>4456</v>
      </c>
      <c r="B873" s="649" t="s">
        <v>758</v>
      </c>
      <c r="C873" s="621"/>
      <c r="D873" s="621"/>
      <c r="E873" s="649" t="s">
        <v>2569</v>
      </c>
      <c r="F873" s="622" t="s">
        <v>3332</v>
      </c>
      <c r="G873" s="622" t="s">
        <v>6510</v>
      </c>
      <c r="H873" s="649" t="s">
        <v>759</v>
      </c>
      <c r="I873" s="652" t="s">
        <v>15</v>
      </c>
      <c r="J873" s="622" t="s">
        <v>6508</v>
      </c>
      <c r="K873" s="680">
        <v>8925</v>
      </c>
      <c r="L873" s="680"/>
      <c r="M873" s="681">
        <v>501</v>
      </c>
      <c r="N873" s="681"/>
      <c r="O873" s="681">
        <v>86</v>
      </c>
      <c r="P873" s="680">
        <v>86</v>
      </c>
      <c r="Q873" s="682">
        <v>0</v>
      </c>
      <c r="R873" s="681">
        <v>415</v>
      </c>
      <c r="S873" s="658"/>
    </row>
    <row r="874" spans="1:19" s="659" customFormat="1" ht="20.100000000000001" customHeight="1">
      <c r="A874" s="657" t="s">
        <v>4289</v>
      </c>
      <c r="B874" s="649" t="s">
        <v>708</v>
      </c>
      <c r="C874" s="621"/>
      <c r="D874" s="621"/>
      <c r="E874" s="649" t="s">
        <v>709</v>
      </c>
      <c r="F874" s="622" t="s">
        <v>6968</v>
      </c>
      <c r="G874" s="622" t="s">
        <v>712</v>
      </c>
      <c r="H874" s="649" t="s">
        <v>272</v>
      </c>
      <c r="I874" s="652" t="s">
        <v>13</v>
      </c>
      <c r="J874" s="622" t="s">
        <v>6967</v>
      </c>
      <c r="K874" s="680">
        <v>3150</v>
      </c>
      <c r="L874" s="680"/>
      <c r="M874" s="681">
        <v>6000</v>
      </c>
      <c r="N874" s="681"/>
      <c r="O874" s="681">
        <v>0</v>
      </c>
      <c r="P874" s="680">
        <v>0</v>
      </c>
      <c r="Q874" s="682">
        <v>0</v>
      </c>
      <c r="R874" s="681">
        <v>6000</v>
      </c>
      <c r="S874" s="658"/>
    </row>
    <row r="875" spans="1:19" s="659" customFormat="1" ht="20.100000000000001" customHeight="1">
      <c r="A875" s="657" t="s">
        <v>4290</v>
      </c>
      <c r="B875" s="649" t="s">
        <v>1302</v>
      </c>
      <c r="C875" s="621"/>
      <c r="D875" s="621"/>
      <c r="E875" s="649" t="s">
        <v>1994</v>
      </c>
      <c r="F875" s="622" t="s">
        <v>5729</v>
      </c>
      <c r="G875" s="622" t="s">
        <v>5722</v>
      </c>
      <c r="H875" s="649" t="s">
        <v>238</v>
      </c>
      <c r="I875" s="652" t="s">
        <v>10</v>
      </c>
      <c r="J875" s="622" t="s">
        <v>5608</v>
      </c>
      <c r="K875" s="680">
        <v>924</v>
      </c>
      <c r="L875" s="680">
        <v>531</v>
      </c>
      <c r="M875" s="681">
        <v>8</v>
      </c>
      <c r="N875" s="681"/>
      <c r="O875" s="681">
        <v>143</v>
      </c>
      <c r="P875" s="680">
        <v>135</v>
      </c>
      <c r="Q875" s="682">
        <v>8</v>
      </c>
      <c r="R875" s="681">
        <v>396</v>
      </c>
      <c r="S875" s="658"/>
    </row>
    <row r="876" spans="1:19" s="659" customFormat="1" ht="20.100000000000001" customHeight="1">
      <c r="A876" s="657" t="s">
        <v>5719</v>
      </c>
      <c r="B876" s="649" t="s">
        <v>1302</v>
      </c>
      <c r="C876" s="621"/>
      <c r="D876" s="621"/>
      <c r="E876" s="649" t="s">
        <v>5720</v>
      </c>
      <c r="F876" s="622" t="s">
        <v>5721</v>
      </c>
      <c r="G876" s="622" t="s">
        <v>5722</v>
      </c>
      <c r="H876" s="649" t="s">
        <v>327</v>
      </c>
      <c r="I876" s="652" t="s">
        <v>10</v>
      </c>
      <c r="J876" s="622" t="s">
        <v>5608</v>
      </c>
      <c r="K876" s="680">
        <v>903</v>
      </c>
      <c r="L876" s="680">
        <v>1</v>
      </c>
      <c r="M876" s="681">
        <v>0</v>
      </c>
      <c r="N876" s="681"/>
      <c r="O876" s="681">
        <v>1</v>
      </c>
      <c r="P876" s="680">
        <v>0</v>
      </c>
      <c r="Q876" s="682">
        <v>1</v>
      </c>
      <c r="R876" s="681">
        <v>0</v>
      </c>
      <c r="S876" s="658"/>
    </row>
    <row r="877" spans="1:19" s="659" customFormat="1" ht="20.100000000000001" customHeight="1">
      <c r="A877" s="657" t="s">
        <v>5719</v>
      </c>
      <c r="B877" s="649" t="s">
        <v>1302</v>
      </c>
      <c r="C877" s="621"/>
      <c r="D877" s="621"/>
      <c r="E877" s="649" t="s">
        <v>5720</v>
      </c>
      <c r="F877" s="622" t="s">
        <v>5721</v>
      </c>
      <c r="G877" s="622" t="s">
        <v>5722</v>
      </c>
      <c r="H877" s="649" t="s">
        <v>327</v>
      </c>
      <c r="I877" s="652" t="s">
        <v>10</v>
      </c>
      <c r="J877" s="622" t="s">
        <v>5608</v>
      </c>
      <c r="K877" s="680">
        <v>903</v>
      </c>
      <c r="L877" s="680"/>
      <c r="M877" s="681">
        <v>9990</v>
      </c>
      <c r="N877" s="681"/>
      <c r="O877" s="681">
        <v>9990</v>
      </c>
      <c r="P877" s="680">
        <v>0</v>
      </c>
      <c r="Q877" s="682">
        <v>9990</v>
      </c>
      <c r="R877" s="681">
        <v>0</v>
      </c>
      <c r="S877" s="658"/>
    </row>
    <row r="878" spans="1:19" s="659" customFormat="1" ht="20.100000000000001" customHeight="1">
      <c r="A878" s="657" t="s">
        <v>6166</v>
      </c>
      <c r="B878" s="649" t="s">
        <v>365</v>
      </c>
      <c r="C878" s="621"/>
      <c r="D878" s="621"/>
      <c r="E878" s="649" t="s">
        <v>6167</v>
      </c>
      <c r="F878" s="622" t="s">
        <v>6169</v>
      </c>
      <c r="G878" s="622" t="s">
        <v>6170</v>
      </c>
      <c r="H878" s="649" t="s">
        <v>238</v>
      </c>
      <c r="I878" s="652" t="s">
        <v>11</v>
      </c>
      <c r="J878" s="622" t="s">
        <v>6168</v>
      </c>
      <c r="K878" s="680">
        <v>1590</v>
      </c>
      <c r="L878" s="680">
        <v>4592</v>
      </c>
      <c r="M878" s="681">
        <v>3990</v>
      </c>
      <c r="N878" s="681"/>
      <c r="O878" s="681">
        <v>8582</v>
      </c>
      <c r="P878" s="680">
        <v>0</v>
      </c>
      <c r="Q878" s="682">
        <v>8582</v>
      </c>
      <c r="R878" s="681">
        <v>0</v>
      </c>
      <c r="S878" s="658"/>
    </row>
    <row r="879" spans="1:19" s="659" customFormat="1" ht="20.100000000000001" customHeight="1">
      <c r="A879" s="657" t="s">
        <v>6005</v>
      </c>
      <c r="B879" s="649" t="s">
        <v>6006</v>
      </c>
      <c r="C879" s="621"/>
      <c r="D879" s="621"/>
      <c r="E879" s="649" t="s">
        <v>6008</v>
      </c>
      <c r="F879" s="622" t="s">
        <v>6010</v>
      </c>
      <c r="G879" s="622" t="s">
        <v>6011</v>
      </c>
      <c r="H879" s="649" t="s">
        <v>6007</v>
      </c>
      <c r="I879" s="652" t="s">
        <v>11</v>
      </c>
      <c r="J879" s="622" t="s">
        <v>6009</v>
      </c>
      <c r="K879" s="680">
        <v>13986</v>
      </c>
      <c r="L879" s="680"/>
      <c r="M879" s="681">
        <v>4980</v>
      </c>
      <c r="N879" s="681"/>
      <c r="O879" s="681">
        <v>0</v>
      </c>
      <c r="P879" s="680">
        <v>0</v>
      </c>
      <c r="Q879" s="682">
        <v>0</v>
      </c>
      <c r="R879" s="681">
        <v>4980</v>
      </c>
      <c r="S879" s="658"/>
    </row>
    <row r="880" spans="1:19" s="659" customFormat="1" ht="20.100000000000001" customHeight="1">
      <c r="A880" s="657" t="s">
        <v>4292</v>
      </c>
      <c r="B880" s="649" t="s">
        <v>1380</v>
      </c>
      <c r="C880" s="621"/>
      <c r="D880" s="621"/>
      <c r="E880" s="649" t="s">
        <v>1381</v>
      </c>
      <c r="F880" s="622" t="s">
        <v>1382</v>
      </c>
      <c r="G880" s="622" t="s">
        <v>7001</v>
      </c>
      <c r="H880" s="649" t="s">
        <v>310</v>
      </c>
      <c r="I880" s="652" t="s">
        <v>11</v>
      </c>
      <c r="J880" s="622" t="s">
        <v>6709</v>
      </c>
      <c r="K880" s="680">
        <v>312</v>
      </c>
      <c r="L880" s="680">
        <v>400</v>
      </c>
      <c r="M880" s="681">
        <v>0</v>
      </c>
      <c r="N880" s="681"/>
      <c r="O880" s="681">
        <v>400</v>
      </c>
      <c r="P880" s="680">
        <v>0</v>
      </c>
      <c r="Q880" s="682">
        <v>400</v>
      </c>
      <c r="R880" s="681">
        <v>0</v>
      </c>
      <c r="S880" s="658"/>
    </row>
    <row r="881" spans="1:19" s="659" customFormat="1" ht="20.100000000000001" customHeight="1">
      <c r="A881" s="657" t="s">
        <v>4292</v>
      </c>
      <c r="B881" s="649" t="s">
        <v>1380</v>
      </c>
      <c r="C881" s="621"/>
      <c r="D881" s="621"/>
      <c r="E881" s="649" t="s">
        <v>1381</v>
      </c>
      <c r="F881" s="622" t="s">
        <v>1382</v>
      </c>
      <c r="G881" s="622" t="s">
        <v>7001</v>
      </c>
      <c r="H881" s="649" t="s">
        <v>310</v>
      </c>
      <c r="I881" s="652" t="s">
        <v>11</v>
      </c>
      <c r="J881" s="622" t="s">
        <v>6709</v>
      </c>
      <c r="K881" s="680">
        <v>312</v>
      </c>
      <c r="L881" s="680">
        <v>2000</v>
      </c>
      <c r="M881" s="681">
        <v>0</v>
      </c>
      <c r="N881" s="681"/>
      <c r="O881" s="681">
        <v>1699</v>
      </c>
      <c r="P881" s="680">
        <v>1600</v>
      </c>
      <c r="Q881" s="682">
        <v>99</v>
      </c>
      <c r="R881" s="681">
        <v>301</v>
      </c>
      <c r="S881" s="658"/>
    </row>
    <row r="882" spans="1:19" s="659" customFormat="1" ht="20.100000000000001" customHeight="1">
      <c r="A882" s="657" t="s">
        <v>4292</v>
      </c>
      <c r="B882" s="649" t="s">
        <v>1380</v>
      </c>
      <c r="C882" s="621"/>
      <c r="D882" s="621"/>
      <c r="E882" s="649" t="s">
        <v>1381</v>
      </c>
      <c r="F882" s="622" t="s">
        <v>1382</v>
      </c>
      <c r="G882" s="622" t="s">
        <v>7001</v>
      </c>
      <c r="H882" s="649" t="s">
        <v>310</v>
      </c>
      <c r="I882" s="652" t="s">
        <v>11</v>
      </c>
      <c r="J882" s="622" t="s">
        <v>6709</v>
      </c>
      <c r="K882" s="680">
        <v>312</v>
      </c>
      <c r="L882" s="680"/>
      <c r="M882" s="681">
        <v>1000</v>
      </c>
      <c r="N882" s="681"/>
      <c r="O882" s="681">
        <v>0</v>
      </c>
      <c r="P882" s="680">
        <v>0</v>
      </c>
      <c r="Q882" s="682">
        <v>0</v>
      </c>
      <c r="R882" s="681">
        <v>1000</v>
      </c>
      <c r="S882" s="658"/>
    </row>
    <row r="883" spans="1:19" s="659" customFormat="1" ht="20.100000000000001" customHeight="1">
      <c r="A883" s="657" t="s">
        <v>4292</v>
      </c>
      <c r="B883" s="649" t="s">
        <v>1380</v>
      </c>
      <c r="C883" s="621"/>
      <c r="D883" s="621"/>
      <c r="E883" s="649" t="s">
        <v>1381</v>
      </c>
      <c r="F883" s="622" t="s">
        <v>1382</v>
      </c>
      <c r="G883" s="622" t="s">
        <v>7001</v>
      </c>
      <c r="H883" s="649" t="s">
        <v>310</v>
      </c>
      <c r="I883" s="652" t="s">
        <v>11</v>
      </c>
      <c r="J883" s="622" t="s">
        <v>6709</v>
      </c>
      <c r="K883" s="680">
        <v>312</v>
      </c>
      <c r="L883" s="680"/>
      <c r="M883" s="681">
        <v>500</v>
      </c>
      <c r="N883" s="681"/>
      <c r="O883" s="681">
        <v>0</v>
      </c>
      <c r="P883" s="680">
        <v>0</v>
      </c>
      <c r="Q883" s="682">
        <v>0</v>
      </c>
      <c r="R883" s="681">
        <v>500</v>
      </c>
      <c r="S883" s="658"/>
    </row>
    <row r="884" spans="1:19" s="659" customFormat="1" ht="20.100000000000001" customHeight="1">
      <c r="A884" s="657" t="s">
        <v>4292</v>
      </c>
      <c r="B884" s="649" t="s">
        <v>1380</v>
      </c>
      <c r="C884" s="621"/>
      <c r="D884" s="621"/>
      <c r="E884" s="649" t="s">
        <v>1381</v>
      </c>
      <c r="F884" s="622" t="s">
        <v>1382</v>
      </c>
      <c r="G884" s="622" t="s">
        <v>7001</v>
      </c>
      <c r="H884" s="649" t="s">
        <v>310</v>
      </c>
      <c r="I884" s="652" t="s">
        <v>11</v>
      </c>
      <c r="J884" s="622" t="s">
        <v>6709</v>
      </c>
      <c r="K884" s="680">
        <v>312</v>
      </c>
      <c r="L884" s="680">
        <v>1874</v>
      </c>
      <c r="M884" s="681">
        <v>0</v>
      </c>
      <c r="N884" s="681"/>
      <c r="O884" s="681">
        <v>1874</v>
      </c>
      <c r="P884" s="680">
        <v>0</v>
      </c>
      <c r="Q884" s="682">
        <v>1874</v>
      </c>
      <c r="R884" s="681">
        <v>0</v>
      </c>
      <c r="S884" s="658"/>
    </row>
    <row r="885" spans="1:19" s="659" customFormat="1" ht="20.100000000000001" customHeight="1">
      <c r="A885" s="657" t="s">
        <v>4295</v>
      </c>
      <c r="B885" s="649" t="s">
        <v>1380</v>
      </c>
      <c r="C885" s="621"/>
      <c r="D885" s="621"/>
      <c r="E885" s="649" t="s">
        <v>1383</v>
      </c>
      <c r="F885" s="622" t="s">
        <v>8239</v>
      </c>
      <c r="G885" s="622" t="s">
        <v>7001</v>
      </c>
      <c r="H885" s="649" t="s">
        <v>869</v>
      </c>
      <c r="I885" s="652" t="s">
        <v>11</v>
      </c>
      <c r="J885" s="622" t="s">
        <v>6709</v>
      </c>
      <c r="K885" s="680">
        <v>599</v>
      </c>
      <c r="L885" s="680">
        <v>9381</v>
      </c>
      <c r="M885" s="681">
        <v>9</v>
      </c>
      <c r="N885" s="681"/>
      <c r="O885" s="681">
        <v>8916</v>
      </c>
      <c r="P885" s="680">
        <v>507</v>
      </c>
      <c r="Q885" s="682">
        <v>8409</v>
      </c>
      <c r="R885" s="681">
        <v>474</v>
      </c>
      <c r="S885" s="658"/>
    </row>
    <row r="886" spans="1:19" s="659" customFormat="1" ht="20.100000000000001" customHeight="1">
      <c r="A886" s="657" t="s">
        <v>4295</v>
      </c>
      <c r="B886" s="649" t="s">
        <v>1380</v>
      </c>
      <c r="C886" s="621"/>
      <c r="D886" s="621"/>
      <c r="E886" s="649" t="s">
        <v>1383</v>
      </c>
      <c r="F886" s="622" t="s">
        <v>8239</v>
      </c>
      <c r="G886" s="622" t="s">
        <v>7001</v>
      </c>
      <c r="H886" s="649" t="s">
        <v>869</v>
      </c>
      <c r="I886" s="652" t="s">
        <v>11</v>
      </c>
      <c r="J886" s="622" t="s">
        <v>6709</v>
      </c>
      <c r="K886" s="680">
        <v>599</v>
      </c>
      <c r="L886" s="680"/>
      <c r="M886" s="681">
        <v>6000</v>
      </c>
      <c r="N886" s="681"/>
      <c r="O886" s="681">
        <v>2310</v>
      </c>
      <c r="P886" s="680">
        <v>2310</v>
      </c>
      <c r="Q886" s="682">
        <v>0</v>
      </c>
      <c r="R886" s="681">
        <v>3690</v>
      </c>
      <c r="S886" s="658"/>
    </row>
    <row r="887" spans="1:19" s="659" customFormat="1" ht="20.100000000000001" customHeight="1">
      <c r="A887" s="657" t="s">
        <v>4295</v>
      </c>
      <c r="B887" s="649" t="s">
        <v>1380</v>
      </c>
      <c r="C887" s="621"/>
      <c r="D887" s="621"/>
      <c r="E887" s="649" t="s">
        <v>1383</v>
      </c>
      <c r="F887" s="622" t="s">
        <v>8239</v>
      </c>
      <c r="G887" s="622" t="s">
        <v>7001</v>
      </c>
      <c r="H887" s="649" t="s">
        <v>869</v>
      </c>
      <c r="I887" s="652" t="s">
        <v>11</v>
      </c>
      <c r="J887" s="622" t="s">
        <v>6709</v>
      </c>
      <c r="K887" s="680">
        <v>599</v>
      </c>
      <c r="L887" s="680">
        <v>39</v>
      </c>
      <c r="M887" s="681">
        <v>1</v>
      </c>
      <c r="N887" s="681"/>
      <c r="O887" s="681">
        <v>40</v>
      </c>
      <c r="P887" s="680">
        <v>40</v>
      </c>
      <c r="Q887" s="682">
        <v>0</v>
      </c>
      <c r="R887" s="681">
        <v>0</v>
      </c>
      <c r="S887" s="658"/>
    </row>
    <row r="888" spans="1:19" s="659" customFormat="1" ht="20.100000000000001" customHeight="1">
      <c r="A888" s="657" t="s">
        <v>7375</v>
      </c>
      <c r="B888" s="649" t="s">
        <v>1029</v>
      </c>
      <c r="C888" s="621"/>
      <c r="D888" s="621"/>
      <c r="E888" s="649" t="s">
        <v>1228</v>
      </c>
      <c r="F888" s="622" t="s">
        <v>7377</v>
      </c>
      <c r="G888" s="622" t="s">
        <v>6536</v>
      </c>
      <c r="H888" s="649" t="s">
        <v>1229</v>
      </c>
      <c r="I888" s="652" t="s">
        <v>13</v>
      </c>
      <c r="J888" s="622" t="s">
        <v>7376</v>
      </c>
      <c r="K888" s="680">
        <v>1155</v>
      </c>
      <c r="L888" s="680"/>
      <c r="M888" s="681">
        <v>720</v>
      </c>
      <c r="N888" s="681"/>
      <c r="O888" s="681">
        <v>432</v>
      </c>
      <c r="P888" s="680">
        <v>432</v>
      </c>
      <c r="Q888" s="682">
        <v>0</v>
      </c>
      <c r="R888" s="681">
        <v>288</v>
      </c>
      <c r="S888" s="658"/>
    </row>
    <row r="889" spans="1:19" s="659" customFormat="1" ht="20.100000000000001" customHeight="1">
      <c r="A889" s="657" t="s">
        <v>7375</v>
      </c>
      <c r="B889" s="649" t="s">
        <v>1029</v>
      </c>
      <c r="C889" s="621"/>
      <c r="D889" s="621"/>
      <c r="E889" s="649" t="s">
        <v>1228</v>
      </c>
      <c r="F889" s="622" t="s">
        <v>7377</v>
      </c>
      <c r="G889" s="622" t="s">
        <v>6536</v>
      </c>
      <c r="H889" s="649" t="s">
        <v>1229</v>
      </c>
      <c r="I889" s="652" t="s">
        <v>13</v>
      </c>
      <c r="J889" s="622" t="s">
        <v>7376</v>
      </c>
      <c r="K889" s="680">
        <v>1155</v>
      </c>
      <c r="L889" s="680">
        <v>1224</v>
      </c>
      <c r="M889" s="681">
        <v>7</v>
      </c>
      <c r="N889" s="681"/>
      <c r="O889" s="681">
        <v>1148</v>
      </c>
      <c r="P889" s="680">
        <v>1146</v>
      </c>
      <c r="Q889" s="682">
        <v>2</v>
      </c>
      <c r="R889" s="681">
        <v>83</v>
      </c>
      <c r="S889" s="658"/>
    </row>
    <row r="890" spans="1:19" s="659" customFormat="1" ht="20.100000000000001" customHeight="1">
      <c r="A890" s="657" t="s">
        <v>4298</v>
      </c>
      <c r="B890" s="649" t="s">
        <v>1167</v>
      </c>
      <c r="C890" s="621"/>
      <c r="D890" s="621"/>
      <c r="E890" s="649" t="s">
        <v>1168</v>
      </c>
      <c r="F890" s="622" t="s">
        <v>7825</v>
      </c>
      <c r="G890" s="622" t="s">
        <v>7674</v>
      </c>
      <c r="H890" s="649" t="s">
        <v>258</v>
      </c>
      <c r="I890" s="652" t="s">
        <v>11</v>
      </c>
      <c r="J890" s="622" t="s">
        <v>7824</v>
      </c>
      <c r="K890" s="680">
        <v>3990</v>
      </c>
      <c r="L890" s="680"/>
      <c r="M890" s="681">
        <v>6960</v>
      </c>
      <c r="N890" s="681"/>
      <c r="O890" s="681">
        <v>6053</v>
      </c>
      <c r="P890" s="680">
        <v>0</v>
      </c>
      <c r="Q890" s="682">
        <v>6053</v>
      </c>
      <c r="R890" s="681">
        <v>907</v>
      </c>
      <c r="S890" s="658"/>
    </row>
    <row r="891" spans="1:19" s="659" customFormat="1" ht="20.100000000000001" customHeight="1">
      <c r="A891" s="657" t="s">
        <v>6205</v>
      </c>
      <c r="B891" s="649" t="s">
        <v>359</v>
      </c>
      <c r="C891" s="621"/>
      <c r="D891" s="621"/>
      <c r="E891" s="649" t="s">
        <v>1532</v>
      </c>
      <c r="F891" s="622" t="s">
        <v>6207</v>
      </c>
      <c r="G891" s="622" t="s">
        <v>458</v>
      </c>
      <c r="H891" s="649" t="s">
        <v>258</v>
      </c>
      <c r="I891" s="652" t="s">
        <v>11</v>
      </c>
      <c r="J891" s="622" t="s">
        <v>6206</v>
      </c>
      <c r="K891" s="680">
        <v>1750</v>
      </c>
      <c r="L891" s="680"/>
      <c r="M891" s="681">
        <v>1000</v>
      </c>
      <c r="N891" s="681"/>
      <c r="O891" s="681">
        <v>0</v>
      </c>
      <c r="P891" s="680">
        <v>0</v>
      </c>
      <c r="Q891" s="682">
        <v>0</v>
      </c>
      <c r="R891" s="681">
        <v>1000</v>
      </c>
      <c r="S891" s="658"/>
    </row>
    <row r="892" spans="1:19" s="659" customFormat="1" ht="20.100000000000001" customHeight="1">
      <c r="A892" s="657" t="s">
        <v>4924</v>
      </c>
      <c r="B892" s="649" t="s">
        <v>359</v>
      </c>
      <c r="C892" s="621"/>
      <c r="D892" s="621"/>
      <c r="E892" s="649" t="s">
        <v>456</v>
      </c>
      <c r="F892" s="622" t="s">
        <v>457</v>
      </c>
      <c r="G892" s="622" t="s">
        <v>458</v>
      </c>
      <c r="H892" s="649" t="s">
        <v>262</v>
      </c>
      <c r="I892" s="652" t="s">
        <v>10</v>
      </c>
      <c r="J892" s="622" t="s">
        <v>5221</v>
      </c>
      <c r="K892" s="680">
        <v>1780</v>
      </c>
      <c r="L892" s="680">
        <v>63</v>
      </c>
      <c r="M892" s="681">
        <v>0</v>
      </c>
      <c r="N892" s="681"/>
      <c r="O892" s="681">
        <v>0</v>
      </c>
      <c r="P892" s="680">
        <v>0</v>
      </c>
      <c r="Q892" s="682">
        <v>0</v>
      </c>
      <c r="R892" s="681">
        <v>63</v>
      </c>
      <c r="S892" s="658"/>
    </row>
    <row r="893" spans="1:19" s="659" customFormat="1" ht="20.100000000000001" customHeight="1">
      <c r="A893" s="657" t="s">
        <v>4924</v>
      </c>
      <c r="B893" s="649" t="s">
        <v>359</v>
      </c>
      <c r="C893" s="621"/>
      <c r="D893" s="621"/>
      <c r="E893" s="649" t="s">
        <v>456</v>
      </c>
      <c r="F893" s="622" t="s">
        <v>457</v>
      </c>
      <c r="G893" s="622" t="s">
        <v>458</v>
      </c>
      <c r="H893" s="649" t="s">
        <v>262</v>
      </c>
      <c r="I893" s="652" t="s">
        <v>10</v>
      </c>
      <c r="J893" s="622" t="s">
        <v>5221</v>
      </c>
      <c r="K893" s="680">
        <v>1780</v>
      </c>
      <c r="L893" s="680">
        <v>606</v>
      </c>
      <c r="M893" s="681">
        <v>0</v>
      </c>
      <c r="N893" s="681"/>
      <c r="O893" s="681">
        <v>606</v>
      </c>
      <c r="P893" s="680">
        <v>0</v>
      </c>
      <c r="Q893" s="682">
        <v>606</v>
      </c>
      <c r="R893" s="681">
        <v>0</v>
      </c>
      <c r="S893" s="658"/>
    </row>
    <row r="894" spans="1:19" s="659" customFormat="1" ht="20.100000000000001" customHeight="1">
      <c r="A894" s="657" t="s">
        <v>4924</v>
      </c>
      <c r="B894" s="649" t="s">
        <v>359</v>
      </c>
      <c r="C894" s="621"/>
      <c r="D894" s="621"/>
      <c r="E894" s="649" t="s">
        <v>456</v>
      </c>
      <c r="F894" s="622" t="s">
        <v>457</v>
      </c>
      <c r="G894" s="622" t="s">
        <v>458</v>
      </c>
      <c r="H894" s="649" t="s">
        <v>262</v>
      </c>
      <c r="I894" s="652" t="s">
        <v>10</v>
      </c>
      <c r="J894" s="622" t="s">
        <v>5221</v>
      </c>
      <c r="K894" s="680">
        <v>1780</v>
      </c>
      <c r="L894" s="680">
        <v>900</v>
      </c>
      <c r="M894" s="681">
        <v>0</v>
      </c>
      <c r="N894" s="681"/>
      <c r="O894" s="681">
        <v>436</v>
      </c>
      <c r="P894" s="680">
        <v>0</v>
      </c>
      <c r="Q894" s="682">
        <v>436</v>
      </c>
      <c r="R894" s="681">
        <v>464</v>
      </c>
      <c r="S894" s="658"/>
    </row>
    <row r="895" spans="1:19" s="659" customFormat="1" ht="20.100000000000001" customHeight="1">
      <c r="A895" s="657" t="s">
        <v>7440</v>
      </c>
      <c r="B895" s="649" t="s">
        <v>1756</v>
      </c>
      <c r="C895" s="621"/>
      <c r="D895" s="621"/>
      <c r="E895" s="649" t="s">
        <v>7441</v>
      </c>
      <c r="F895" s="622" t="s">
        <v>7443</v>
      </c>
      <c r="G895" s="622" t="s">
        <v>7444</v>
      </c>
      <c r="H895" s="649" t="s">
        <v>232</v>
      </c>
      <c r="I895" s="652" t="s">
        <v>11</v>
      </c>
      <c r="J895" s="622" t="s">
        <v>7442</v>
      </c>
      <c r="K895" s="680">
        <v>1890</v>
      </c>
      <c r="L895" s="680"/>
      <c r="M895" s="681">
        <v>200</v>
      </c>
      <c r="N895" s="681"/>
      <c r="O895" s="681">
        <v>66</v>
      </c>
      <c r="P895" s="680">
        <v>60</v>
      </c>
      <c r="Q895" s="682">
        <v>6</v>
      </c>
      <c r="R895" s="681">
        <v>134</v>
      </c>
      <c r="S895" s="658"/>
    </row>
    <row r="896" spans="1:19" s="659" customFormat="1" ht="20.100000000000001" customHeight="1">
      <c r="A896" s="657" t="s">
        <v>4727</v>
      </c>
      <c r="B896" s="649" t="s">
        <v>4729</v>
      </c>
      <c r="C896" s="621"/>
      <c r="D896" s="621"/>
      <c r="E896" s="649" t="s">
        <v>4728</v>
      </c>
      <c r="F896" s="622" t="s">
        <v>8747</v>
      </c>
      <c r="G896" s="622" t="s">
        <v>8535</v>
      </c>
      <c r="H896" s="649" t="s">
        <v>4730</v>
      </c>
      <c r="I896" s="652" t="s">
        <v>11</v>
      </c>
      <c r="J896" s="622" t="s">
        <v>8746</v>
      </c>
      <c r="K896" s="680">
        <v>2067</v>
      </c>
      <c r="L896" s="680"/>
      <c r="M896" s="681">
        <v>480</v>
      </c>
      <c r="N896" s="681"/>
      <c r="O896" s="681">
        <v>480</v>
      </c>
      <c r="P896" s="680">
        <v>480</v>
      </c>
      <c r="Q896" s="682">
        <v>0</v>
      </c>
      <c r="R896" s="681">
        <v>0</v>
      </c>
      <c r="S896" s="658"/>
    </row>
    <row r="897" spans="1:19" s="659" customFormat="1" ht="20.100000000000001" customHeight="1">
      <c r="A897" s="657" t="s">
        <v>4727</v>
      </c>
      <c r="B897" s="649" t="s">
        <v>4729</v>
      </c>
      <c r="C897" s="621"/>
      <c r="D897" s="621"/>
      <c r="E897" s="649" t="s">
        <v>4728</v>
      </c>
      <c r="F897" s="622" t="s">
        <v>8747</v>
      </c>
      <c r="G897" s="622" t="s">
        <v>8535</v>
      </c>
      <c r="H897" s="649" t="s">
        <v>4730</v>
      </c>
      <c r="I897" s="652" t="s">
        <v>11</v>
      </c>
      <c r="J897" s="622" t="s">
        <v>8746</v>
      </c>
      <c r="K897" s="680">
        <v>2067</v>
      </c>
      <c r="L897" s="680">
        <v>2850</v>
      </c>
      <c r="M897" s="681">
        <v>0</v>
      </c>
      <c r="N897" s="681"/>
      <c r="O897" s="681">
        <v>2850</v>
      </c>
      <c r="P897" s="680">
        <v>0</v>
      </c>
      <c r="Q897" s="682">
        <v>2850</v>
      </c>
      <c r="R897" s="681">
        <v>0</v>
      </c>
      <c r="S897" s="658"/>
    </row>
    <row r="898" spans="1:19" s="659" customFormat="1" ht="20.100000000000001" customHeight="1">
      <c r="A898" s="657" t="s">
        <v>4727</v>
      </c>
      <c r="B898" s="649" t="s">
        <v>4729</v>
      </c>
      <c r="C898" s="621"/>
      <c r="D898" s="621"/>
      <c r="E898" s="649" t="s">
        <v>4728</v>
      </c>
      <c r="F898" s="622" t="s">
        <v>8747</v>
      </c>
      <c r="G898" s="622" t="s">
        <v>8535</v>
      </c>
      <c r="H898" s="649" t="s">
        <v>4730</v>
      </c>
      <c r="I898" s="652" t="s">
        <v>11</v>
      </c>
      <c r="J898" s="622" t="s">
        <v>8746</v>
      </c>
      <c r="K898" s="680">
        <v>2067</v>
      </c>
      <c r="L898" s="680"/>
      <c r="M898" s="681">
        <v>4980</v>
      </c>
      <c r="N898" s="681"/>
      <c r="O898" s="681">
        <v>0</v>
      </c>
      <c r="P898" s="680">
        <v>0</v>
      </c>
      <c r="Q898" s="682">
        <v>0</v>
      </c>
      <c r="R898" s="681">
        <v>4980</v>
      </c>
      <c r="S898" s="658"/>
    </row>
    <row r="899" spans="1:19" s="659" customFormat="1" ht="20.100000000000001" customHeight="1">
      <c r="A899" s="657" t="s">
        <v>5043</v>
      </c>
      <c r="B899" s="649" t="s">
        <v>1127</v>
      </c>
      <c r="C899" s="621"/>
      <c r="D899" s="621"/>
      <c r="E899" s="649" t="s">
        <v>1128</v>
      </c>
      <c r="F899" s="622" t="s">
        <v>6531</v>
      </c>
      <c r="G899" s="622" t="s">
        <v>6532</v>
      </c>
      <c r="H899" s="649" t="s">
        <v>6529</v>
      </c>
      <c r="I899" s="652" t="s">
        <v>11</v>
      </c>
      <c r="J899" s="622" t="s">
        <v>6530</v>
      </c>
      <c r="K899" s="680">
        <v>1490</v>
      </c>
      <c r="L899" s="680"/>
      <c r="M899" s="681">
        <v>10000</v>
      </c>
      <c r="N899" s="681"/>
      <c r="O899" s="681">
        <v>10000</v>
      </c>
      <c r="P899" s="680">
        <v>0</v>
      </c>
      <c r="Q899" s="682">
        <v>10000</v>
      </c>
      <c r="R899" s="681">
        <v>0</v>
      </c>
      <c r="S899" s="658"/>
    </row>
    <row r="900" spans="1:19" s="659" customFormat="1" ht="20.100000000000001" customHeight="1">
      <c r="A900" s="657" t="s">
        <v>5043</v>
      </c>
      <c r="B900" s="649" t="s">
        <v>1127</v>
      </c>
      <c r="C900" s="621"/>
      <c r="D900" s="621"/>
      <c r="E900" s="649" t="s">
        <v>1128</v>
      </c>
      <c r="F900" s="622" t="s">
        <v>6531</v>
      </c>
      <c r="G900" s="622" t="s">
        <v>6532</v>
      </c>
      <c r="H900" s="649" t="s">
        <v>6529</v>
      </c>
      <c r="I900" s="652" t="s">
        <v>11</v>
      </c>
      <c r="J900" s="622" t="s">
        <v>6530</v>
      </c>
      <c r="K900" s="680">
        <v>1490</v>
      </c>
      <c r="L900" s="680"/>
      <c r="M900" s="681">
        <v>50000</v>
      </c>
      <c r="N900" s="681"/>
      <c r="O900" s="681">
        <v>22999</v>
      </c>
      <c r="P900" s="680">
        <v>8249</v>
      </c>
      <c r="Q900" s="682">
        <v>14750</v>
      </c>
      <c r="R900" s="681">
        <v>27001</v>
      </c>
      <c r="S900" s="658"/>
    </row>
    <row r="901" spans="1:19" s="659" customFormat="1" ht="20.100000000000001" customHeight="1">
      <c r="A901" s="657" t="s">
        <v>4300</v>
      </c>
      <c r="B901" s="649" t="s">
        <v>289</v>
      </c>
      <c r="C901" s="621"/>
      <c r="D901" s="621"/>
      <c r="E901" s="649" t="s">
        <v>4301</v>
      </c>
      <c r="F901" s="622" t="s">
        <v>6830</v>
      </c>
      <c r="G901" s="622" t="s">
        <v>6532</v>
      </c>
      <c r="H901" s="649" t="s">
        <v>258</v>
      </c>
      <c r="I901" s="652" t="s">
        <v>11</v>
      </c>
      <c r="J901" s="622" t="s">
        <v>6829</v>
      </c>
      <c r="K901" s="680">
        <v>4000</v>
      </c>
      <c r="L901" s="680">
        <v>9616</v>
      </c>
      <c r="M901" s="681">
        <v>4</v>
      </c>
      <c r="N901" s="681"/>
      <c r="O901" s="681">
        <v>9376</v>
      </c>
      <c r="P901" s="680">
        <v>123</v>
      </c>
      <c r="Q901" s="682">
        <v>9253</v>
      </c>
      <c r="R901" s="681">
        <v>244</v>
      </c>
      <c r="S901" s="658"/>
    </row>
    <row r="902" spans="1:19" s="659" customFormat="1" ht="20.100000000000001" customHeight="1">
      <c r="A902" s="657" t="s">
        <v>6630</v>
      </c>
      <c r="B902" s="649" t="s">
        <v>6006</v>
      </c>
      <c r="C902" s="621"/>
      <c r="D902" s="621"/>
      <c r="E902" s="649" t="s">
        <v>6631</v>
      </c>
      <c r="F902" s="622" t="s">
        <v>6633</v>
      </c>
      <c r="G902" s="622" t="s">
        <v>6634</v>
      </c>
      <c r="H902" s="649" t="s">
        <v>310</v>
      </c>
      <c r="I902" s="652" t="s">
        <v>11</v>
      </c>
      <c r="J902" s="622" t="s">
        <v>6632</v>
      </c>
      <c r="K902" s="680">
        <v>4000</v>
      </c>
      <c r="L902" s="680"/>
      <c r="M902" s="681">
        <v>3000</v>
      </c>
      <c r="N902" s="681"/>
      <c r="O902" s="681">
        <v>0</v>
      </c>
      <c r="P902" s="680">
        <v>0</v>
      </c>
      <c r="Q902" s="682">
        <v>0</v>
      </c>
      <c r="R902" s="681">
        <v>3000</v>
      </c>
      <c r="S902" s="658"/>
    </row>
    <row r="903" spans="1:19" s="659" customFormat="1" ht="20.100000000000001" customHeight="1">
      <c r="A903" s="657" t="s">
        <v>4279</v>
      </c>
      <c r="B903" s="649" t="s">
        <v>645</v>
      </c>
      <c r="C903" s="621"/>
      <c r="D903" s="621"/>
      <c r="E903" s="649" t="s">
        <v>4306</v>
      </c>
      <c r="F903" s="622" t="s">
        <v>8299</v>
      </c>
      <c r="G903" s="622" t="s">
        <v>6552</v>
      </c>
      <c r="H903" s="649" t="s">
        <v>291</v>
      </c>
      <c r="I903" s="652" t="s">
        <v>11</v>
      </c>
      <c r="J903" s="622" t="s">
        <v>6550</v>
      </c>
      <c r="K903" s="680">
        <v>990</v>
      </c>
      <c r="L903" s="680">
        <v>9746</v>
      </c>
      <c r="M903" s="681">
        <v>0</v>
      </c>
      <c r="N903" s="681"/>
      <c r="O903" s="681">
        <v>9717</v>
      </c>
      <c r="P903" s="680">
        <v>871</v>
      </c>
      <c r="Q903" s="682">
        <v>8846</v>
      </c>
      <c r="R903" s="681">
        <v>29</v>
      </c>
      <c r="S903" s="658"/>
    </row>
    <row r="904" spans="1:19" s="659" customFormat="1" ht="20.100000000000001" customHeight="1">
      <c r="A904" s="657" t="s">
        <v>4279</v>
      </c>
      <c r="B904" s="649" t="s">
        <v>645</v>
      </c>
      <c r="C904" s="621"/>
      <c r="D904" s="621"/>
      <c r="E904" s="649" t="s">
        <v>4306</v>
      </c>
      <c r="F904" s="622" t="s">
        <v>8299</v>
      </c>
      <c r="G904" s="622" t="s">
        <v>6552</v>
      </c>
      <c r="H904" s="649" t="s">
        <v>291</v>
      </c>
      <c r="I904" s="652" t="s">
        <v>11</v>
      </c>
      <c r="J904" s="622" t="s">
        <v>6550</v>
      </c>
      <c r="K904" s="680">
        <v>990</v>
      </c>
      <c r="L904" s="680"/>
      <c r="M904" s="681">
        <v>2610</v>
      </c>
      <c r="N904" s="681"/>
      <c r="O904" s="681">
        <v>2610</v>
      </c>
      <c r="P904" s="680">
        <v>0</v>
      </c>
      <c r="Q904" s="682">
        <v>2610</v>
      </c>
      <c r="R904" s="681">
        <v>0</v>
      </c>
      <c r="S904" s="658"/>
    </row>
    <row r="905" spans="1:19" s="659" customFormat="1" ht="20.100000000000001" customHeight="1">
      <c r="A905" s="657" t="s">
        <v>4279</v>
      </c>
      <c r="B905" s="649" t="s">
        <v>645</v>
      </c>
      <c r="C905" s="621"/>
      <c r="D905" s="621"/>
      <c r="E905" s="649" t="s">
        <v>4306</v>
      </c>
      <c r="F905" s="622" t="s">
        <v>8299</v>
      </c>
      <c r="G905" s="622" t="s">
        <v>6552</v>
      </c>
      <c r="H905" s="649" t="s">
        <v>291</v>
      </c>
      <c r="I905" s="652" t="s">
        <v>11</v>
      </c>
      <c r="J905" s="622" t="s">
        <v>6550</v>
      </c>
      <c r="K905" s="680">
        <v>990</v>
      </c>
      <c r="L905" s="680"/>
      <c r="M905" s="681">
        <v>2160</v>
      </c>
      <c r="N905" s="681"/>
      <c r="O905" s="681">
        <v>2160</v>
      </c>
      <c r="P905" s="680">
        <v>700</v>
      </c>
      <c r="Q905" s="682">
        <v>1460</v>
      </c>
      <c r="R905" s="681">
        <v>0</v>
      </c>
      <c r="S905" s="658"/>
    </row>
    <row r="906" spans="1:19" s="659" customFormat="1" ht="20.100000000000001" customHeight="1">
      <c r="A906" s="657" t="s">
        <v>4279</v>
      </c>
      <c r="B906" s="649" t="s">
        <v>645</v>
      </c>
      <c r="C906" s="621"/>
      <c r="D906" s="621"/>
      <c r="E906" s="649" t="s">
        <v>4306</v>
      </c>
      <c r="F906" s="622" t="s">
        <v>8299</v>
      </c>
      <c r="G906" s="622" t="s">
        <v>6552</v>
      </c>
      <c r="H906" s="649" t="s">
        <v>291</v>
      </c>
      <c r="I906" s="652" t="s">
        <v>11</v>
      </c>
      <c r="J906" s="622" t="s">
        <v>6550</v>
      </c>
      <c r="K906" s="680">
        <v>990</v>
      </c>
      <c r="L906" s="680"/>
      <c r="M906" s="681">
        <v>15210</v>
      </c>
      <c r="N906" s="681"/>
      <c r="O906" s="681">
        <v>7030</v>
      </c>
      <c r="P906" s="680">
        <v>2100</v>
      </c>
      <c r="Q906" s="682">
        <v>4930</v>
      </c>
      <c r="R906" s="681">
        <v>8180</v>
      </c>
      <c r="S906" s="658"/>
    </row>
    <row r="907" spans="1:19" s="659" customFormat="1" ht="20.100000000000001" customHeight="1">
      <c r="A907" s="657" t="s">
        <v>4279</v>
      </c>
      <c r="B907" s="649" t="s">
        <v>645</v>
      </c>
      <c r="C907" s="621"/>
      <c r="D907" s="621"/>
      <c r="E907" s="649" t="s">
        <v>4306</v>
      </c>
      <c r="F907" s="622" t="s">
        <v>8299</v>
      </c>
      <c r="G907" s="622" t="s">
        <v>6552</v>
      </c>
      <c r="H907" s="649" t="s">
        <v>291</v>
      </c>
      <c r="I907" s="652" t="s">
        <v>11</v>
      </c>
      <c r="J907" s="622" t="s">
        <v>6550</v>
      </c>
      <c r="K907" s="680">
        <v>990</v>
      </c>
      <c r="L907" s="680"/>
      <c r="M907" s="681">
        <v>9990</v>
      </c>
      <c r="N907" s="681"/>
      <c r="O907" s="681">
        <v>3836</v>
      </c>
      <c r="P907" s="680">
        <v>900</v>
      </c>
      <c r="Q907" s="682">
        <v>2936</v>
      </c>
      <c r="R907" s="681">
        <v>6154</v>
      </c>
      <c r="S907" s="658"/>
    </row>
    <row r="908" spans="1:19" s="659" customFormat="1" ht="20.100000000000001" customHeight="1">
      <c r="A908" s="657" t="s">
        <v>4928</v>
      </c>
      <c r="B908" s="649" t="s">
        <v>395</v>
      </c>
      <c r="C908" s="621"/>
      <c r="D908" s="621"/>
      <c r="E908" s="649" t="s">
        <v>4929</v>
      </c>
      <c r="F908" s="622" t="s">
        <v>5304</v>
      </c>
      <c r="G908" s="622" t="s">
        <v>479</v>
      </c>
      <c r="H908" s="649" t="s">
        <v>267</v>
      </c>
      <c r="I908" s="652" t="s">
        <v>10</v>
      </c>
      <c r="J908" s="622" t="s">
        <v>5303</v>
      </c>
      <c r="K908" s="680">
        <v>1095</v>
      </c>
      <c r="L908" s="680">
        <v>103</v>
      </c>
      <c r="M908" s="681">
        <v>2</v>
      </c>
      <c r="N908" s="681"/>
      <c r="O908" s="681">
        <v>105</v>
      </c>
      <c r="P908" s="680">
        <v>31</v>
      </c>
      <c r="Q908" s="682">
        <v>74</v>
      </c>
      <c r="R908" s="681">
        <v>0</v>
      </c>
      <c r="S908" s="658"/>
    </row>
    <row r="909" spans="1:19" s="659" customFormat="1" ht="20.100000000000001" customHeight="1">
      <c r="A909" s="657" t="s">
        <v>4928</v>
      </c>
      <c r="B909" s="649" t="s">
        <v>395</v>
      </c>
      <c r="C909" s="621"/>
      <c r="D909" s="621"/>
      <c r="E909" s="649" t="s">
        <v>4929</v>
      </c>
      <c r="F909" s="622" t="s">
        <v>5304</v>
      </c>
      <c r="G909" s="622" t="s">
        <v>479</v>
      </c>
      <c r="H909" s="649" t="s">
        <v>267</v>
      </c>
      <c r="I909" s="652" t="s">
        <v>10</v>
      </c>
      <c r="J909" s="622" t="s">
        <v>5303</v>
      </c>
      <c r="K909" s="680">
        <v>1095</v>
      </c>
      <c r="L909" s="680">
        <v>3820</v>
      </c>
      <c r="M909" s="681">
        <v>0</v>
      </c>
      <c r="N909" s="681"/>
      <c r="O909" s="681">
        <v>3820</v>
      </c>
      <c r="P909" s="680">
        <v>0</v>
      </c>
      <c r="Q909" s="682">
        <v>3820</v>
      </c>
      <c r="R909" s="681">
        <v>0</v>
      </c>
      <c r="S909" s="658"/>
    </row>
    <row r="910" spans="1:19" s="659" customFormat="1" ht="20.100000000000001" customHeight="1">
      <c r="A910" s="657" t="s">
        <v>4928</v>
      </c>
      <c r="B910" s="649" t="s">
        <v>395</v>
      </c>
      <c r="C910" s="621"/>
      <c r="D910" s="621"/>
      <c r="E910" s="649" t="s">
        <v>4929</v>
      </c>
      <c r="F910" s="622" t="s">
        <v>5304</v>
      </c>
      <c r="G910" s="622" t="s">
        <v>479</v>
      </c>
      <c r="H910" s="649" t="s">
        <v>267</v>
      </c>
      <c r="I910" s="652" t="s">
        <v>10</v>
      </c>
      <c r="J910" s="622" t="s">
        <v>5303</v>
      </c>
      <c r="K910" s="680">
        <v>1095</v>
      </c>
      <c r="L910" s="680">
        <v>10000</v>
      </c>
      <c r="M910" s="681">
        <v>0</v>
      </c>
      <c r="N910" s="681"/>
      <c r="O910" s="681">
        <v>10000</v>
      </c>
      <c r="P910" s="680">
        <v>0</v>
      </c>
      <c r="Q910" s="682">
        <v>10000</v>
      </c>
      <c r="R910" s="681">
        <v>0</v>
      </c>
      <c r="S910" s="658"/>
    </row>
    <row r="911" spans="1:19" s="659" customFormat="1" ht="20.100000000000001" customHeight="1">
      <c r="A911" s="657" t="s">
        <v>4311</v>
      </c>
      <c r="B911" s="649" t="s">
        <v>592</v>
      </c>
      <c r="C911" s="621"/>
      <c r="D911" s="621"/>
      <c r="E911" s="649" t="s">
        <v>3368</v>
      </c>
      <c r="F911" s="622" t="s">
        <v>6670</v>
      </c>
      <c r="G911" s="622" t="s">
        <v>6552</v>
      </c>
      <c r="H911" s="649" t="s">
        <v>594</v>
      </c>
      <c r="I911" s="652" t="s">
        <v>11</v>
      </c>
      <c r="J911" s="622" t="s">
        <v>6669</v>
      </c>
      <c r="K911" s="680">
        <v>599</v>
      </c>
      <c r="L911" s="680">
        <v>296</v>
      </c>
      <c r="M911" s="681">
        <v>23</v>
      </c>
      <c r="N911" s="681"/>
      <c r="O911" s="681">
        <v>319</v>
      </c>
      <c r="P911" s="680">
        <v>319</v>
      </c>
      <c r="Q911" s="682">
        <v>0</v>
      </c>
      <c r="R911" s="681">
        <v>0</v>
      </c>
      <c r="S911" s="658"/>
    </row>
    <row r="912" spans="1:19" s="659" customFormat="1" ht="20.100000000000001" customHeight="1">
      <c r="A912" s="657" t="s">
        <v>6756</v>
      </c>
      <c r="B912" s="649" t="s">
        <v>1247</v>
      </c>
      <c r="C912" s="621"/>
      <c r="D912" s="621"/>
      <c r="E912" s="649" t="s">
        <v>6757</v>
      </c>
      <c r="F912" s="622" t="s">
        <v>6758</v>
      </c>
      <c r="G912" s="622" t="s">
        <v>6552</v>
      </c>
      <c r="H912" s="649" t="s">
        <v>1304</v>
      </c>
      <c r="I912" s="652" t="s">
        <v>11</v>
      </c>
      <c r="J912" s="622" t="s">
        <v>6550</v>
      </c>
      <c r="K912" s="680">
        <v>4890</v>
      </c>
      <c r="L912" s="680"/>
      <c r="M912" s="681">
        <v>6000</v>
      </c>
      <c r="N912" s="681"/>
      <c r="O912" s="681">
        <v>58</v>
      </c>
      <c r="P912" s="680">
        <v>0</v>
      </c>
      <c r="Q912" s="682">
        <v>58</v>
      </c>
      <c r="R912" s="681">
        <v>5942</v>
      </c>
      <c r="S912" s="658"/>
    </row>
    <row r="913" spans="1:19" s="659" customFormat="1" ht="20.100000000000001" customHeight="1">
      <c r="A913" s="657" t="s">
        <v>4313</v>
      </c>
      <c r="B913" s="649" t="s">
        <v>1647</v>
      </c>
      <c r="C913" s="621"/>
      <c r="D913" s="621"/>
      <c r="E913" s="649" t="s">
        <v>1648</v>
      </c>
      <c r="F913" s="622" t="s">
        <v>6851</v>
      </c>
      <c r="G913" s="622" t="s">
        <v>6689</v>
      </c>
      <c r="H913" s="649" t="s">
        <v>327</v>
      </c>
      <c r="I913" s="652" t="s">
        <v>10</v>
      </c>
      <c r="J913" s="622" t="s">
        <v>6009</v>
      </c>
      <c r="K913" s="680">
        <v>1530</v>
      </c>
      <c r="L913" s="680">
        <v>3755</v>
      </c>
      <c r="M913" s="681">
        <v>0</v>
      </c>
      <c r="N913" s="681"/>
      <c r="O913" s="681">
        <v>3755</v>
      </c>
      <c r="P913" s="680">
        <v>0</v>
      </c>
      <c r="Q913" s="682">
        <v>3755</v>
      </c>
      <c r="R913" s="681">
        <v>0</v>
      </c>
      <c r="S913" s="658"/>
    </row>
    <row r="914" spans="1:19" s="659" customFormat="1" ht="20.100000000000001" customHeight="1">
      <c r="A914" s="657" t="s">
        <v>4932</v>
      </c>
      <c r="B914" s="649" t="s">
        <v>227</v>
      </c>
      <c r="C914" s="621"/>
      <c r="D914" s="621"/>
      <c r="E914" s="649" t="s">
        <v>344</v>
      </c>
      <c r="F914" s="622" t="s">
        <v>345</v>
      </c>
      <c r="G914" s="622" t="s">
        <v>346</v>
      </c>
      <c r="H914" s="649" t="s">
        <v>225</v>
      </c>
      <c r="I914" s="652" t="s">
        <v>10</v>
      </c>
      <c r="J914" s="622" t="s">
        <v>5308</v>
      </c>
      <c r="K914" s="680">
        <v>420</v>
      </c>
      <c r="L914" s="680">
        <v>100000</v>
      </c>
      <c r="M914" s="681">
        <v>0</v>
      </c>
      <c r="N914" s="681"/>
      <c r="O914" s="681">
        <v>99998</v>
      </c>
      <c r="P914" s="680">
        <v>11000</v>
      </c>
      <c r="Q914" s="682">
        <v>88998</v>
      </c>
      <c r="R914" s="681">
        <v>2</v>
      </c>
      <c r="S914" s="658"/>
    </row>
    <row r="915" spans="1:19" s="659" customFormat="1" ht="20.100000000000001" customHeight="1">
      <c r="A915" s="657" t="s">
        <v>6682</v>
      </c>
      <c r="B915" s="649" t="s">
        <v>624</v>
      </c>
      <c r="C915" s="621"/>
      <c r="D915" s="621"/>
      <c r="E915" s="649" t="s">
        <v>1641</v>
      </c>
      <c r="F915" s="622" t="s">
        <v>1643</v>
      </c>
      <c r="G915" s="622" t="s">
        <v>6552</v>
      </c>
      <c r="H915" s="649" t="s">
        <v>625</v>
      </c>
      <c r="I915" s="652" t="s">
        <v>11</v>
      </c>
      <c r="J915" s="622" t="s">
        <v>6550</v>
      </c>
      <c r="K915" s="680">
        <v>384</v>
      </c>
      <c r="L915" s="680"/>
      <c r="M915" s="681">
        <v>9990</v>
      </c>
      <c r="N915" s="681"/>
      <c r="O915" s="681">
        <v>2324</v>
      </c>
      <c r="P915" s="680">
        <v>0</v>
      </c>
      <c r="Q915" s="682">
        <v>2324</v>
      </c>
      <c r="R915" s="681">
        <v>7666</v>
      </c>
      <c r="S915" s="658"/>
    </row>
    <row r="916" spans="1:19" s="659" customFormat="1" ht="20.100000000000001" customHeight="1">
      <c r="A916" s="657" t="s">
        <v>4556</v>
      </c>
      <c r="B916" s="649" t="s">
        <v>802</v>
      </c>
      <c r="C916" s="621"/>
      <c r="D916" s="621"/>
      <c r="E916" s="649" t="s">
        <v>6566</v>
      </c>
      <c r="F916" s="622" t="s">
        <v>6568</v>
      </c>
      <c r="G916" s="622" t="s">
        <v>463</v>
      </c>
      <c r="H916" s="649" t="s">
        <v>272</v>
      </c>
      <c r="I916" s="652" t="s">
        <v>11</v>
      </c>
      <c r="J916" s="622" t="s">
        <v>6567</v>
      </c>
      <c r="K916" s="680">
        <v>3100</v>
      </c>
      <c r="L916" s="680"/>
      <c r="M916" s="681">
        <v>10000</v>
      </c>
      <c r="N916" s="681"/>
      <c r="O916" s="681">
        <v>680</v>
      </c>
      <c r="P916" s="680">
        <v>0</v>
      </c>
      <c r="Q916" s="682">
        <v>680</v>
      </c>
      <c r="R916" s="681">
        <v>9320</v>
      </c>
      <c r="S916" s="658"/>
    </row>
    <row r="917" spans="1:19" s="659" customFormat="1" ht="20.100000000000001" customHeight="1">
      <c r="A917" s="657" t="s">
        <v>4316</v>
      </c>
      <c r="B917" s="649" t="s">
        <v>1109</v>
      </c>
      <c r="C917" s="621"/>
      <c r="D917" s="621"/>
      <c r="E917" s="649" t="s">
        <v>1110</v>
      </c>
      <c r="F917" s="622" t="s">
        <v>6227</v>
      </c>
      <c r="G917" s="622" t="s">
        <v>6228</v>
      </c>
      <c r="H917" s="649" t="s">
        <v>384</v>
      </c>
      <c r="I917" s="652" t="s">
        <v>11</v>
      </c>
      <c r="J917" s="622" t="s">
        <v>6226</v>
      </c>
      <c r="K917" s="680">
        <v>4990</v>
      </c>
      <c r="L917" s="680"/>
      <c r="M917" s="681">
        <v>9996</v>
      </c>
      <c r="N917" s="681"/>
      <c r="O917" s="681">
        <v>0</v>
      </c>
      <c r="P917" s="680">
        <v>0</v>
      </c>
      <c r="Q917" s="682">
        <v>0</v>
      </c>
      <c r="R917" s="681">
        <v>9996</v>
      </c>
      <c r="S917" s="658"/>
    </row>
    <row r="918" spans="1:19" s="659" customFormat="1" ht="20.100000000000001" customHeight="1">
      <c r="A918" s="657" t="s">
        <v>4964</v>
      </c>
      <c r="B918" s="649" t="s">
        <v>713</v>
      </c>
      <c r="C918" s="621"/>
      <c r="D918" s="621"/>
      <c r="E918" s="649" t="s">
        <v>4965</v>
      </c>
      <c r="F918" s="622" t="s">
        <v>6479</v>
      </c>
      <c r="G918" s="622" t="s">
        <v>245</v>
      </c>
      <c r="H918" s="649" t="s">
        <v>327</v>
      </c>
      <c r="I918" s="652" t="s">
        <v>11</v>
      </c>
      <c r="J918" s="622" t="s">
        <v>6478</v>
      </c>
      <c r="K918" s="680">
        <v>630</v>
      </c>
      <c r="L918" s="680">
        <v>2945</v>
      </c>
      <c r="M918" s="681">
        <v>1</v>
      </c>
      <c r="N918" s="681"/>
      <c r="O918" s="681">
        <v>459</v>
      </c>
      <c r="P918" s="680">
        <v>235</v>
      </c>
      <c r="Q918" s="682">
        <v>224</v>
      </c>
      <c r="R918" s="681">
        <v>2487</v>
      </c>
      <c r="S918" s="658"/>
    </row>
    <row r="919" spans="1:19" s="659" customFormat="1" ht="20.100000000000001" customHeight="1">
      <c r="A919" s="657" t="s">
        <v>4318</v>
      </c>
      <c r="B919" s="649" t="s">
        <v>4317</v>
      </c>
      <c r="C919" s="621"/>
      <c r="D919" s="621"/>
      <c r="E919" s="649" t="s">
        <v>4319</v>
      </c>
      <c r="F919" s="622" t="s">
        <v>5637</v>
      </c>
      <c r="G919" s="622" t="s">
        <v>5638</v>
      </c>
      <c r="H919" s="649" t="s">
        <v>4320</v>
      </c>
      <c r="I919" s="652" t="s">
        <v>658</v>
      </c>
      <c r="J919" s="622" t="s">
        <v>5636</v>
      </c>
      <c r="K919" s="680">
        <v>225996</v>
      </c>
      <c r="L919" s="680">
        <v>2</v>
      </c>
      <c r="M919" s="681">
        <v>0</v>
      </c>
      <c r="N919" s="681"/>
      <c r="O919" s="681">
        <v>2</v>
      </c>
      <c r="P919" s="680">
        <v>0</v>
      </c>
      <c r="Q919" s="682">
        <v>2</v>
      </c>
      <c r="R919" s="681">
        <v>0</v>
      </c>
      <c r="S919" s="658"/>
    </row>
    <row r="920" spans="1:19" s="659" customFormat="1" ht="20.100000000000001" customHeight="1">
      <c r="A920" s="657" t="s">
        <v>4322</v>
      </c>
      <c r="B920" s="649" t="s">
        <v>4317</v>
      </c>
      <c r="C920" s="621"/>
      <c r="D920" s="621"/>
      <c r="E920" s="649" t="s">
        <v>4323</v>
      </c>
      <c r="F920" s="622" t="s">
        <v>5644</v>
      </c>
      <c r="G920" s="622" t="s">
        <v>935</v>
      </c>
      <c r="H920" s="649" t="s">
        <v>4324</v>
      </c>
      <c r="I920" s="652" t="s">
        <v>3803</v>
      </c>
      <c r="J920" s="622" t="s">
        <v>5643</v>
      </c>
      <c r="K920" s="680">
        <v>278090</v>
      </c>
      <c r="L920" s="680"/>
      <c r="M920" s="681">
        <v>50</v>
      </c>
      <c r="N920" s="681"/>
      <c r="O920" s="681">
        <v>43</v>
      </c>
      <c r="P920" s="680">
        <v>3</v>
      </c>
      <c r="Q920" s="682">
        <v>40</v>
      </c>
      <c r="R920" s="681">
        <v>7</v>
      </c>
      <c r="S920" s="658"/>
    </row>
    <row r="921" spans="1:19" s="659" customFormat="1" ht="20.100000000000001" customHeight="1">
      <c r="A921" s="657" t="s">
        <v>4322</v>
      </c>
      <c r="B921" s="649" t="s">
        <v>4317</v>
      </c>
      <c r="C921" s="621"/>
      <c r="D921" s="621"/>
      <c r="E921" s="649" t="s">
        <v>4323</v>
      </c>
      <c r="F921" s="622" t="s">
        <v>5644</v>
      </c>
      <c r="G921" s="622" t="s">
        <v>935</v>
      </c>
      <c r="H921" s="649" t="s">
        <v>4324</v>
      </c>
      <c r="I921" s="652" t="s">
        <v>3803</v>
      </c>
      <c r="J921" s="622" t="s">
        <v>5643</v>
      </c>
      <c r="K921" s="680">
        <v>278090</v>
      </c>
      <c r="L921" s="680">
        <v>78</v>
      </c>
      <c r="M921" s="681">
        <v>0</v>
      </c>
      <c r="N921" s="681"/>
      <c r="O921" s="681">
        <v>78</v>
      </c>
      <c r="P921" s="680">
        <v>0</v>
      </c>
      <c r="Q921" s="682">
        <v>78</v>
      </c>
      <c r="R921" s="681">
        <v>0</v>
      </c>
      <c r="S921" s="658"/>
    </row>
    <row r="922" spans="1:19" s="659" customFormat="1" ht="20.100000000000001" customHeight="1">
      <c r="A922" s="657" t="s">
        <v>4322</v>
      </c>
      <c r="B922" s="649" t="s">
        <v>4317</v>
      </c>
      <c r="C922" s="621"/>
      <c r="D922" s="621"/>
      <c r="E922" s="649" t="s">
        <v>4323</v>
      </c>
      <c r="F922" s="622" t="s">
        <v>5644</v>
      </c>
      <c r="G922" s="622" t="s">
        <v>935</v>
      </c>
      <c r="H922" s="649" t="s">
        <v>4324</v>
      </c>
      <c r="I922" s="652" t="s">
        <v>3803</v>
      </c>
      <c r="J922" s="622" t="s">
        <v>5643</v>
      </c>
      <c r="K922" s="680">
        <v>278090</v>
      </c>
      <c r="L922" s="680">
        <v>27</v>
      </c>
      <c r="M922" s="681">
        <v>0</v>
      </c>
      <c r="N922" s="681"/>
      <c r="O922" s="681">
        <v>27</v>
      </c>
      <c r="P922" s="680">
        <v>0</v>
      </c>
      <c r="Q922" s="682">
        <v>27</v>
      </c>
      <c r="R922" s="681">
        <v>0</v>
      </c>
      <c r="S922" s="658"/>
    </row>
    <row r="923" spans="1:19" s="659" customFormat="1" ht="20.100000000000001" customHeight="1">
      <c r="A923" s="657" t="s">
        <v>4322</v>
      </c>
      <c r="B923" s="649" t="s">
        <v>4317</v>
      </c>
      <c r="C923" s="621"/>
      <c r="D923" s="621"/>
      <c r="E923" s="649" t="s">
        <v>4323</v>
      </c>
      <c r="F923" s="622" t="s">
        <v>5644</v>
      </c>
      <c r="G923" s="622" t="s">
        <v>935</v>
      </c>
      <c r="H923" s="649" t="s">
        <v>4324</v>
      </c>
      <c r="I923" s="652" t="s">
        <v>3803</v>
      </c>
      <c r="J923" s="622" t="s">
        <v>5643</v>
      </c>
      <c r="K923" s="680">
        <v>278090</v>
      </c>
      <c r="L923" s="680"/>
      <c r="M923" s="681">
        <v>100</v>
      </c>
      <c r="N923" s="681"/>
      <c r="O923" s="681">
        <v>100</v>
      </c>
      <c r="P923" s="680">
        <v>0</v>
      </c>
      <c r="Q923" s="682">
        <v>100</v>
      </c>
      <c r="R923" s="681">
        <v>0</v>
      </c>
      <c r="S923" s="658"/>
    </row>
    <row r="924" spans="1:19" s="659" customFormat="1" ht="20.100000000000001" customHeight="1">
      <c r="A924" s="657" t="s">
        <v>4329</v>
      </c>
      <c r="B924" s="649" t="s">
        <v>1618</v>
      </c>
      <c r="C924" s="621"/>
      <c r="D924" s="621"/>
      <c r="E924" s="649" t="s">
        <v>2019</v>
      </c>
      <c r="F924" s="622" t="s">
        <v>2020</v>
      </c>
      <c r="G924" s="622" t="s">
        <v>2021</v>
      </c>
      <c r="H924" s="649" t="s">
        <v>225</v>
      </c>
      <c r="I924" s="652" t="s">
        <v>10</v>
      </c>
      <c r="J924" s="622" t="s">
        <v>623</v>
      </c>
      <c r="K924" s="680">
        <v>900</v>
      </c>
      <c r="L924" s="680">
        <v>56</v>
      </c>
      <c r="M924" s="681">
        <v>0</v>
      </c>
      <c r="N924" s="681"/>
      <c r="O924" s="681">
        <v>56</v>
      </c>
      <c r="P924" s="680">
        <v>0</v>
      </c>
      <c r="Q924" s="682">
        <v>56</v>
      </c>
      <c r="R924" s="681">
        <v>0</v>
      </c>
      <c r="S924" s="658"/>
    </row>
    <row r="925" spans="1:19" s="659" customFormat="1" ht="20.100000000000001" customHeight="1">
      <c r="A925" s="657" t="s">
        <v>4732</v>
      </c>
      <c r="B925" s="649" t="s">
        <v>4734</v>
      </c>
      <c r="C925" s="621"/>
      <c r="D925" s="621"/>
      <c r="E925" s="649" t="s">
        <v>4733</v>
      </c>
      <c r="F925" s="622" t="s">
        <v>8835</v>
      </c>
      <c r="G925" s="622" t="s">
        <v>8826</v>
      </c>
      <c r="H925" s="649" t="s">
        <v>4735</v>
      </c>
      <c r="I925" s="652" t="s">
        <v>658</v>
      </c>
      <c r="J925" s="622" t="s">
        <v>8834</v>
      </c>
      <c r="K925" s="680">
        <v>28500</v>
      </c>
      <c r="L925" s="680">
        <v>220</v>
      </c>
      <c r="M925" s="681">
        <v>0</v>
      </c>
      <c r="N925" s="681"/>
      <c r="O925" s="681">
        <v>220</v>
      </c>
      <c r="P925" s="680">
        <v>0</v>
      </c>
      <c r="Q925" s="682">
        <v>220</v>
      </c>
      <c r="R925" s="681">
        <v>0</v>
      </c>
      <c r="S925" s="658"/>
    </row>
    <row r="926" spans="1:19" s="659" customFormat="1" ht="20.100000000000001" customHeight="1">
      <c r="A926" s="657" t="s">
        <v>8514</v>
      </c>
      <c r="B926" s="649" t="s">
        <v>4659</v>
      </c>
      <c r="C926" s="621"/>
      <c r="D926" s="621"/>
      <c r="E926" s="649" t="s">
        <v>8516</v>
      </c>
      <c r="F926" s="622" t="s">
        <v>8518</v>
      </c>
      <c r="G926" s="622" t="s">
        <v>8519</v>
      </c>
      <c r="H926" s="649" t="s">
        <v>12416</v>
      </c>
      <c r="I926" s="652" t="s">
        <v>520</v>
      </c>
      <c r="J926" s="622" t="s">
        <v>8517</v>
      </c>
      <c r="K926" s="680">
        <v>5500</v>
      </c>
      <c r="L926" s="680"/>
      <c r="M926" s="681">
        <v>60</v>
      </c>
      <c r="N926" s="681"/>
      <c r="O926" s="681">
        <v>60</v>
      </c>
      <c r="P926" s="680">
        <v>60</v>
      </c>
      <c r="Q926" s="682">
        <v>0</v>
      </c>
      <c r="R926" s="681">
        <v>0</v>
      </c>
      <c r="S926" s="658"/>
    </row>
    <row r="927" spans="1:19" s="659" customFormat="1" ht="20.100000000000001" customHeight="1">
      <c r="A927" s="657" t="s">
        <v>4331</v>
      </c>
      <c r="B927" s="649" t="s">
        <v>4333</v>
      </c>
      <c r="C927" s="621"/>
      <c r="D927" s="621"/>
      <c r="E927" s="649" t="s">
        <v>4332</v>
      </c>
      <c r="F927" s="622" t="s">
        <v>8135</v>
      </c>
      <c r="G927" s="622" t="s">
        <v>7211</v>
      </c>
      <c r="H927" s="649" t="s">
        <v>291</v>
      </c>
      <c r="I927" s="652" t="s">
        <v>11</v>
      </c>
      <c r="J927" s="622" t="s">
        <v>8134</v>
      </c>
      <c r="K927" s="680">
        <v>4095</v>
      </c>
      <c r="L927" s="680">
        <v>108</v>
      </c>
      <c r="M927" s="681">
        <v>0</v>
      </c>
      <c r="N927" s="681"/>
      <c r="O927" s="681">
        <v>108</v>
      </c>
      <c r="P927" s="680">
        <v>0</v>
      </c>
      <c r="Q927" s="682">
        <v>108</v>
      </c>
      <c r="R927" s="681">
        <v>0</v>
      </c>
      <c r="S927" s="658"/>
    </row>
    <row r="928" spans="1:19" s="659" customFormat="1" ht="20.100000000000001" customHeight="1">
      <c r="A928" s="657" t="s">
        <v>4331</v>
      </c>
      <c r="B928" s="649" t="s">
        <v>4333</v>
      </c>
      <c r="C928" s="621"/>
      <c r="D928" s="621"/>
      <c r="E928" s="649" t="s">
        <v>4332</v>
      </c>
      <c r="F928" s="622" t="s">
        <v>8135</v>
      </c>
      <c r="G928" s="622" t="s">
        <v>7211</v>
      </c>
      <c r="H928" s="649" t="s">
        <v>291</v>
      </c>
      <c r="I928" s="652" t="s">
        <v>11</v>
      </c>
      <c r="J928" s="622" t="s">
        <v>8134</v>
      </c>
      <c r="K928" s="680">
        <v>4095</v>
      </c>
      <c r="L928" s="680">
        <v>46</v>
      </c>
      <c r="M928" s="681">
        <v>0</v>
      </c>
      <c r="N928" s="681"/>
      <c r="O928" s="681">
        <v>15</v>
      </c>
      <c r="P928" s="680">
        <v>15</v>
      </c>
      <c r="Q928" s="682">
        <v>0</v>
      </c>
      <c r="R928" s="681">
        <v>31</v>
      </c>
      <c r="S928" s="658"/>
    </row>
    <row r="929" spans="1:19" s="659" customFormat="1" ht="20.100000000000001" customHeight="1">
      <c r="A929" s="657" t="s">
        <v>4331</v>
      </c>
      <c r="B929" s="649" t="s">
        <v>4333</v>
      </c>
      <c r="C929" s="621"/>
      <c r="D929" s="621"/>
      <c r="E929" s="649" t="s">
        <v>4332</v>
      </c>
      <c r="F929" s="622" t="s">
        <v>8135</v>
      </c>
      <c r="G929" s="622" t="s">
        <v>7211</v>
      </c>
      <c r="H929" s="649" t="s">
        <v>291</v>
      </c>
      <c r="I929" s="652" t="s">
        <v>11</v>
      </c>
      <c r="J929" s="622" t="s">
        <v>8134</v>
      </c>
      <c r="K929" s="680">
        <v>4095</v>
      </c>
      <c r="L929" s="680">
        <v>9800</v>
      </c>
      <c r="M929" s="681">
        <v>0</v>
      </c>
      <c r="N929" s="681"/>
      <c r="O929" s="681">
        <v>9800</v>
      </c>
      <c r="P929" s="680">
        <v>0</v>
      </c>
      <c r="Q929" s="682">
        <v>9800</v>
      </c>
      <c r="R929" s="681">
        <v>0</v>
      </c>
      <c r="S929" s="658"/>
    </row>
    <row r="930" spans="1:19" s="659" customFormat="1" ht="20.100000000000001" customHeight="1">
      <c r="A930" s="657" t="s">
        <v>4331</v>
      </c>
      <c r="B930" s="649" t="s">
        <v>4333</v>
      </c>
      <c r="C930" s="621"/>
      <c r="D930" s="621"/>
      <c r="E930" s="649" t="s">
        <v>4332</v>
      </c>
      <c r="F930" s="622" t="s">
        <v>8135</v>
      </c>
      <c r="G930" s="622" t="s">
        <v>7211</v>
      </c>
      <c r="H930" s="649" t="s">
        <v>291</v>
      </c>
      <c r="I930" s="652" t="s">
        <v>11</v>
      </c>
      <c r="J930" s="622" t="s">
        <v>8134</v>
      </c>
      <c r="K930" s="680">
        <v>4095</v>
      </c>
      <c r="L930" s="680"/>
      <c r="M930" s="681">
        <v>10220</v>
      </c>
      <c r="N930" s="681"/>
      <c r="O930" s="681">
        <v>10192</v>
      </c>
      <c r="P930" s="680">
        <v>0</v>
      </c>
      <c r="Q930" s="682">
        <v>10192</v>
      </c>
      <c r="R930" s="681">
        <v>28</v>
      </c>
      <c r="S930" s="658"/>
    </row>
    <row r="931" spans="1:19" s="659" customFormat="1" ht="20.100000000000001" customHeight="1">
      <c r="A931" s="657" t="s">
        <v>4335</v>
      </c>
      <c r="B931" s="649" t="s">
        <v>1562</v>
      </c>
      <c r="C931" s="621"/>
      <c r="D931" s="621"/>
      <c r="E931" s="649" t="s">
        <v>1563</v>
      </c>
      <c r="F931" s="622" t="s">
        <v>1565</v>
      </c>
      <c r="G931" s="622" t="s">
        <v>1566</v>
      </c>
      <c r="H931" s="649" t="s">
        <v>1564</v>
      </c>
      <c r="I931" s="652" t="s">
        <v>12</v>
      </c>
      <c r="J931" s="622" t="s">
        <v>1560</v>
      </c>
      <c r="K931" s="680">
        <v>1470</v>
      </c>
      <c r="L931" s="680">
        <v>220</v>
      </c>
      <c r="M931" s="681">
        <v>9</v>
      </c>
      <c r="N931" s="681"/>
      <c r="O931" s="681">
        <v>229</v>
      </c>
      <c r="P931" s="680">
        <v>229</v>
      </c>
      <c r="Q931" s="682">
        <v>0</v>
      </c>
      <c r="R931" s="681">
        <v>0</v>
      </c>
      <c r="S931" s="658"/>
    </row>
    <row r="932" spans="1:19" s="659" customFormat="1" ht="20.100000000000001" customHeight="1">
      <c r="A932" s="657" t="s">
        <v>4337</v>
      </c>
      <c r="B932" s="649" t="s">
        <v>1212</v>
      </c>
      <c r="C932" s="621"/>
      <c r="D932" s="621"/>
      <c r="E932" s="649" t="s">
        <v>6308</v>
      </c>
      <c r="F932" s="622" t="s">
        <v>970</v>
      </c>
      <c r="G932" s="622" t="s">
        <v>948</v>
      </c>
      <c r="H932" s="649" t="s">
        <v>945</v>
      </c>
      <c r="I932" s="652" t="s">
        <v>12</v>
      </c>
      <c r="J932" s="622" t="s">
        <v>6309</v>
      </c>
      <c r="K932" s="680">
        <v>3475</v>
      </c>
      <c r="L932" s="680"/>
      <c r="M932" s="681">
        <v>3100</v>
      </c>
      <c r="N932" s="681"/>
      <c r="O932" s="681">
        <v>1311</v>
      </c>
      <c r="P932" s="680">
        <v>350</v>
      </c>
      <c r="Q932" s="682">
        <v>961</v>
      </c>
      <c r="R932" s="681">
        <v>1789</v>
      </c>
      <c r="S932" s="658"/>
    </row>
    <row r="933" spans="1:19" s="659" customFormat="1" ht="20.100000000000001" customHeight="1">
      <c r="A933" s="657" t="s">
        <v>5799</v>
      </c>
      <c r="B933" s="649" t="s">
        <v>5800</v>
      </c>
      <c r="C933" s="621"/>
      <c r="D933" s="621"/>
      <c r="E933" s="649" t="s">
        <v>5802</v>
      </c>
      <c r="F933" s="622" t="s">
        <v>5805</v>
      </c>
      <c r="G933" s="622" t="s">
        <v>5806</v>
      </c>
      <c r="H933" s="649" t="s">
        <v>5801</v>
      </c>
      <c r="I933" s="652" t="s">
        <v>15</v>
      </c>
      <c r="J933" s="622" t="s">
        <v>5803</v>
      </c>
      <c r="K933" s="680">
        <v>98000</v>
      </c>
      <c r="L933" s="680"/>
      <c r="M933" s="681">
        <v>10</v>
      </c>
      <c r="N933" s="681"/>
      <c r="O933" s="681">
        <v>0</v>
      </c>
      <c r="P933" s="680">
        <v>0</v>
      </c>
      <c r="Q933" s="682">
        <v>0</v>
      </c>
      <c r="R933" s="681">
        <v>10</v>
      </c>
      <c r="S933" s="658"/>
    </row>
    <row r="934" spans="1:19" s="659" customFormat="1" ht="20.100000000000001" customHeight="1">
      <c r="A934" s="657" t="s">
        <v>4933</v>
      </c>
      <c r="B934" s="649" t="s">
        <v>265</v>
      </c>
      <c r="C934" s="621"/>
      <c r="D934" s="621"/>
      <c r="E934" s="649" t="s">
        <v>266</v>
      </c>
      <c r="F934" s="622" t="s">
        <v>269</v>
      </c>
      <c r="G934" s="622" t="s">
        <v>255</v>
      </c>
      <c r="H934" s="649" t="s">
        <v>267</v>
      </c>
      <c r="I934" s="652" t="s">
        <v>14</v>
      </c>
      <c r="J934" s="622" t="s">
        <v>5469</v>
      </c>
      <c r="K934" s="680">
        <v>8988</v>
      </c>
      <c r="L934" s="680">
        <v>6</v>
      </c>
      <c r="M934" s="681">
        <v>0</v>
      </c>
      <c r="N934" s="681"/>
      <c r="O934" s="681">
        <v>0</v>
      </c>
      <c r="P934" s="680">
        <v>0</v>
      </c>
      <c r="Q934" s="682">
        <v>0</v>
      </c>
      <c r="R934" s="681">
        <v>6</v>
      </c>
      <c r="S934" s="658"/>
    </row>
    <row r="935" spans="1:19" s="659" customFormat="1" ht="20.100000000000001" customHeight="1">
      <c r="A935" s="657" t="s">
        <v>4933</v>
      </c>
      <c r="B935" s="649" t="s">
        <v>265</v>
      </c>
      <c r="C935" s="621"/>
      <c r="D935" s="621"/>
      <c r="E935" s="649" t="s">
        <v>266</v>
      </c>
      <c r="F935" s="622" t="s">
        <v>269</v>
      </c>
      <c r="G935" s="622" t="s">
        <v>255</v>
      </c>
      <c r="H935" s="649" t="s">
        <v>267</v>
      </c>
      <c r="I935" s="652" t="s">
        <v>14</v>
      </c>
      <c r="J935" s="622" t="s">
        <v>5469</v>
      </c>
      <c r="K935" s="680">
        <v>8988</v>
      </c>
      <c r="L935" s="680">
        <v>17</v>
      </c>
      <c r="M935" s="681">
        <v>0</v>
      </c>
      <c r="N935" s="681"/>
      <c r="O935" s="681">
        <v>17</v>
      </c>
      <c r="P935" s="680">
        <v>17</v>
      </c>
      <c r="Q935" s="682">
        <v>0</v>
      </c>
      <c r="R935" s="681">
        <v>0</v>
      </c>
      <c r="S935" s="658"/>
    </row>
    <row r="936" spans="1:19" s="659" customFormat="1" ht="20.100000000000001" customHeight="1">
      <c r="A936" s="657" t="s">
        <v>4933</v>
      </c>
      <c r="B936" s="649" t="s">
        <v>265</v>
      </c>
      <c r="C936" s="621"/>
      <c r="D936" s="621"/>
      <c r="E936" s="649" t="s">
        <v>266</v>
      </c>
      <c r="F936" s="622" t="s">
        <v>269</v>
      </c>
      <c r="G936" s="622" t="s">
        <v>255</v>
      </c>
      <c r="H936" s="649" t="s">
        <v>267</v>
      </c>
      <c r="I936" s="652" t="s">
        <v>14</v>
      </c>
      <c r="J936" s="622" t="s">
        <v>5469</v>
      </c>
      <c r="K936" s="680">
        <v>8988</v>
      </c>
      <c r="L936" s="680">
        <v>200</v>
      </c>
      <c r="M936" s="681">
        <v>2</v>
      </c>
      <c r="N936" s="681"/>
      <c r="O936" s="681">
        <v>202</v>
      </c>
      <c r="P936" s="680">
        <v>186</v>
      </c>
      <c r="Q936" s="682">
        <v>16</v>
      </c>
      <c r="R936" s="681">
        <v>0</v>
      </c>
      <c r="S936" s="658"/>
    </row>
    <row r="937" spans="1:19" s="659" customFormat="1" ht="20.100000000000001" customHeight="1">
      <c r="A937" s="657" t="s">
        <v>4933</v>
      </c>
      <c r="B937" s="649" t="s">
        <v>265</v>
      </c>
      <c r="C937" s="621"/>
      <c r="D937" s="621"/>
      <c r="E937" s="649" t="s">
        <v>266</v>
      </c>
      <c r="F937" s="622" t="s">
        <v>269</v>
      </c>
      <c r="G937" s="622" t="s">
        <v>255</v>
      </c>
      <c r="H937" s="649" t="s">
        <v>267</v>
      </c>
      <c r="I937" s="652" t="s">
        <v>14</v>
      </c>
      <c r="J937" s="622" t="s">
        <v>5469</v>
      </c>
      <c r="K937" s="680">
        <v>8988</v>
      </c>
      <c r="L937" s="680">
        <v>100</v>
      </c>
      <c r="M937" s="681">
        <v>3</v>
      </c>
      <c r="N937" s="681"/>
      <c r="O937" s="681">
        <v>101</v>
      </c>
      <c r="P937" s="680">
        <v>95</v>
      </c>
      <c r="Q937" s="682">
        <v>6</v>
      </c>
      <c r="R937" s="681">
        <v>2</v>
      </c>
      <c r="S937" s="658"/>
    </row>
    <row r="938" spans="1:19" s="659" customFormat="1" ht="20.100000000000001" customHeight="1">
      <c r="A938" s="657" t="s">
        <v>4933</v>
      </c>
      <c r="B938" s="649" t="s">
        <v>265</v>
      </c>
      <c r="C938" s="621"/>
      <c r="D938" s="621"/>
      <c r="E938" s="649" t="s">
        <v>266</v>
      </c>
      <c r="F938" s="622" t="s">
        <v>269</v>
      </c>
      <c r="G938" s="622" t="s">
        <v>255</v>
      </c>
      <c r="H938" s="649" t="s">
        <v>267</v>
      </c>
      <c r="I938" s="652" t="s">
        <v>14</v>
      </c>
      <c r="J938" s="622" t="s">
        <v>5469</v>
      </c>
      <c r="K938" s="680">
        <v>8988</v>
      </c>
      <c r="L938" s="680">
        <v>150</v>
      </c>
      <c r="M938" s="681">
        <v>3</v>
      </c>
      <c r="N938" s="681"/>
      <c r="O938" s="681">
        <v>147</v>
      </c>
      <c r="P938" s="680">
        <v>116</v>
      </c>
      <c r="Q938" s="682">
        <v>31</v>
      </c>
      <c r="R938" s="681">
        <v>6</v>
      </c>
      <c r="S938" s="658"/>
    </row>
    <row r="939" spans="1:19" s="659" customFormat="1" ht="20.100000000000001" customHeight="1">
      <c r="A939" s="657" t="s">
        <v>4736</v>
      </c>
      <c r="B939" s="649" t="s">
        <v>167</v>
      </c>
      <c r="C939" s="621"/>
      <c r="D939" s="621"/>
      <c r="E939" s="649" t="s">
        <v>166</v>
      </c>
      <c r="F939" s="622" t="s">
        <v>8624</v>
      </c>
      <c r="G939" s="622" t="s">
        <v>2253</v>
      </c>
      <c r="H939" s="649" t="s">
        <v>168</v>
      </c>
      <c r="I939" s="652" t="s">
        <v>11</v>
      </c>
      <c r="J939" s="622" t="s">
        <v>8616</v>
      </c>
      <c r="K939" s="680">
        <v>1200</v>
      </c>
      <c r="L939" s="680">
        <v>1905</v>
      </c>
      <c r="M939" s="681">
        <v>0</v>
      </c>
      <c r="N939" s="681"/>
      <c r="O939" s="681">
        <v>1904</v>
      </c>
      <c r="P939" s="680">
        <v>0</v>
      </c>
      <c r="Q939" s="682">
        <v>1904</v>
      </c>
      <c r="R939" s="681">
        <v>1</v>
      </c>
      <c r="S939" s="658"/>
    </row>
    <row r="940" spans="1:19" s="659" customFormat="1" ht="20.100000000000001" customHeight="1">
      <c r="A940" s="657" t="s">
        <v>4338</v>
      </c>
      <c r="B940" s="649" t="s">
        <v>1631</v>
      </c>
      <c r="C940" s="621"/>
      <c r="D940" s="621"/>
      <c r="E940" s="649" t="s">
        <v>3667</v>
      </c>
      <c r="F940" s="622" t="s">
        <v>8004</v>
      </c>
      <c r="G940" s="622" t="s">
        <v>867</v>
      </c>
      <c r="H940" s="649" t="s">
        <v>1632</v>
      </c>
      <c r="I940" s="652" t="s">
        <v>12</v>
      </c>
      <c r="J940" s="622" t="s">
        <v>8003</v>
      </c>
      <c r="K940" s="680">
        <v>390</v>
      </c>
      <c r="L940" s="680">
        <v>1510</v>
      </c>
      <c r="M940" s="681">
        <v>0</v>
      </c>
      <c r="N940" s="681"/>
      <c r="O940" s="681">
        <v>1510</v>
      </c>
      <c r="P940" s="680">
        <v>0</v>
      </c>
      <c r="Q940" s="682">
        <v>1510</v>
      </c>
      <c r="R940" s="681">
        <v>0</v>
      </c>
      <c r="S940" s="658"/>
    </row>
    <row r="941" spans="1:19" s="659" customFormat="1" ht="20.100000000000001" customHeight="1">
      <c r="A941" s="657" t="s">
        <v>4338</v>
      </c>
      <c r="B941" s="649" t="s">
        <v>1631</v>
      </c>
      <c r="C941" s="621"/>
      <c r="D941" s="621"/>
      <c r="E941" s="649" t="s">
        <v>3667</v>
      </c>
      <c r="F941" s="622" t="s">
        <v>8004</v>
      </c>
      <c r="G941" s="622" t="s">
        <v>867</v>
      </c>
      <c r="H941" s="649" t="s">
        <v>1632</v>
      </c>
      <c r="I941" s="652" t="s">
        <v>12</v>
      </c>
      <c r="J941" s="622" t="s">
        <v>8003</v>
      </c>
      <c r="K941" s="680">
        <v>390</v>
      </c>
      <c r="L941" s="680"/>
      <c r="M941" s="681">
        <v>3400</v>
      </c>
      <c r="N941" s="681"/>
      <c r="O941" s="681">
        <v>3400</v>
      </c>
      <c r="P941" s="680">
        <v>2400</v>
      </c>
      <c r="Q941" s="682">
        <v>1000</v>
      </c>
      <c r="R941" s="681">
        <v>0</v>
      </c>
      <c r="S941" s="658"/>
    </row>
    <row r="942" spans="1:19" s="659" customFormat="1" ht="20.100000000000001" customHeight="1">
      <c r="A942" s="657" t="s">
        <v>4338</v>
      </c>
      <c r="B942" s="649" t="s">
        <v>1631</v>
      </c>
      <c r="C942" s="621"/>
      <c r="D942" s="621"/>
      <c r="E942" s="649" t="s">
        <v>3667</v>
      </c>
      <c r="F942" s="622" t="s">
        <v>8004</v>
      </c>
      <c r="G942" s="622" t="s">
        <v>867</v>
      </c>
      <c r="H942" s="649" t="s">
        <v>1632</v>
      </c>
      <c r="I942" s="652" t="s">
        <v>12</v>
      </c>
      <c r="J942" s="622" t="s">
        <v>8003</v>
      </c>
      <c r="K942" s="680">
        <v>390</v>
      </c>
      <c r="L942" s="680"/>
      <c r="M942" s="681">
        <v>10006</v>
      </c>
      <c r="N942" s="681"/>
      <c r="O942" s="681">
        <v>6320</v>
      </c>
      <c r="P942" s="680">
        <v>5230</v>
      </c>
      <c r="Q942" s="682">
        <v>1090</v>
      </c>
      <c r="R942" s="681">
        <v>3686</v>
      </c>
      <c r="S942" s="658"/>
    </row>
    <row r="943" spans="1:19" s="659" customFormat="1" ht="20.100000000000001" customHeight="1">
      <c r="A943" s="657" t="s">
        <v>4338</v>
      </c>
      <c r="B943" s="649" t="s">
        <v>1631</v>
      </c>
      <c r="C943" s="621"/>
      <c r="D943" s="621"/>
      <c r="E943" s="649" t="s">
        <v>3667</v>
      </c>
      <c r="F943" s="622" t="s">
        <v>8004</v>
      </c>
      <c r="G943" s="622" t="s">
        <v>867</v>
      </c>
      <c r="H943" s="649" t="s">
        <v>1632</v>
      </c>
      <c r="I943" s="652" t="s">
        <v>12</v>
      </c>
      <c r="J943" s="622" t="s">
        <v>8003</v>
      </c>
      <c r="K943" s="680">
        <v>390</v>
      </c>
      <c r="L943" s="680">
        <v>40</v>
      </c>
      <c r="M943" s="681">
        <v>0</v>
      </c>
      <c r="N943" s="681"/>
      <c r="O943" s="681">
        <v>40</v>
      </c>
      <c r="P943" s="680">
        <v>40</v>
      </c>
      <c r="Q943" s="682">
        <v>0</v>
      </c>
      <c r="R943" s="681">
        <v>0</v>
      </c>
      <c r="S943" s="658"/>
    </row>
    <row r="944" spans="1:19" s="659" customFormat="1" ht="20.100000000000001" customHeight="1">
      <c r="A944" s="657" t="s">
        <v>4338</v>
      </c>
      <c r="B944" s="649" t="s">
        <v>1631</v>
      </c>
      <c r="C944" s="621"/>
      <c r="D944" s="621"/>
      <c r="E944" s="649" t="s">
        <v>3667</v>
      </c>
      <c r="F944" s="622" t="s">
        <v>8004</v>
      </c>
      <c r="G944" s="622" t="s">
        <v>867</v>
      </c>
      <c r="H944" s="649" t="s">
        <v>1632</v>
      </c>
      <c r="I944" s="652" t="s">
        <v>12</v>
      </c>
      <c r="J944" s="622" t="s">
        <v>8003</v>
      </c>
      <c r="K944" s="680">
        <v>390</v>
      </c>
      <c r="L944" s="680">
        <v>360</v>
      </c>
      <c r="M944" s="681">
        <v>0</v>
      </c>
      <c r="N944" s="681"/>
      <c r="O944" s="681">
        <v>360</v>
      </c>
      <c r="P944" s="680">
        <v>310</v>
      </c>
      <c r="Q944" s="682">
        <v>50</v>
      </c>
      <c r="R944" s="681">
        <v>0</v>
      </c>
      <c r="S944" s="658"/>
    </row>
    <row r="945" spans="1:19" s="659" customFormat="1" ht="20.100000000000001" customHeight="1">
      <c r="A945" s="657" t="s">
        <v>8469</v>
      </c>
      <c r="B945" s="649" t="s">
        <v>1631</v>
      </c>
      <c r="C945" s="621"/>
      <c r="D945" s="621"/>
      <c r="E945" s="649" t="s">
        <v>3667</v>
      </c>
      <c r="F945" s="622" t="s">
        <v>8004</v>
      </c>
      <c r="G945" s="622" t="s">
        <v>867</v>
      </c>
      <c r="H945" s="649" t="s">
        <v>1632</v>
      </c>
      <c r="I945" s="652" t="s">
        <v>12</v>
      </c>
      <c r="J945" s="622" t="s">
        <v>8003</v>
      </c>
      <c r="K945" s="680">
        <v>390</v>
      </c>
      <c r="L945" s="680"/>
      <c r="M945" s="681">
        <v>1000</v>
      </c>
      <c r="N945" s="681"/>
      <c r="O945" s="681">
        <v>1000</v>
      </c>
      <c r="P945" s="680">
        <v>1000</v>
      </c>
      <c r="Q945" s="682">
        <v>0</v>
      </c>
      <c r="R945" s="681">
        <v>0</v>
      </c>
      <c r="S945" s="658"/>
    </row>
    <row r="946" spans="1:19" s="659" customFormat="1" ht="20.100000000000001" customHeight="1">
      <c r="A946" s="657" t="s">
        <v>8469</v>
      </c>
      <c r="B946" s="649" t="s">
        <v>1631</v>
      </c>
      <c r="C946" s="621"/>
      <c r="D946" s="621"/>
      <c r="E946" s="649" t="s">
        <v>3667</v>
      </c>
      <c r="F946" s="622" t="s">
        <v>8004</v>
      </c>
      <c r="G946" s="622" t="s">
        <v>867</v>
      </c>
      <c r="H946" s="649" t="s">
        <v>1632</v>
      </c>
      <c r="I946" s="652" t="s">
        <v>12</v>
      </c>
      <c r="J946" s="622" t="s">
        <v>8003</v>
      </c>
      <c r="K946" s="680">
        <v>390</v>
      </c>
      <c r="L946" s="680"/>
      <c r="M946" s="681">
        <v>10000</v>
      </c>
      <c r="N946" s="681"/>
      <c r="O946" s="681">
        <v>0</v>
      </c>
      <c r="P946" s="680">
        <v>0</v>
      </c>
      <c r="Q946" s="682">
        <v>0</v>
      </c>
      <c r="R946" s="681">
        <v>10000</v>
      </c>
      <c r="S946" s="658"/>
    </row>
    <row r="947" spans="1:19" s="659" customFormat="1" ht="20.100000000000001" customHeight="1">
      <c r="A947" s="657" t="s">
        <v>4343</v>
      </c>
      <c r="B947" s="649" t="s">
        <v>4345</v>
      </c>
      <c r="C947" s="621"/>
      <c r="D947" s="621"/>
      <c r="E947" s="649" t="s">
        <v>4344</v>
      </c>
      <c r="F947" s="622" t="s">
        <v>7978</v>
      </c>
      <c r="G947" s="622" t="s">
        <v>7211</v>
      </c>
      <c r="H947" s="649" t="s">
        <v>869</v>
      </c>
      <c r="I947" s="652" t="s">
        <v>11</v>
      </c>
      <c r="J947" s="622" t="s">
        <v>7931</v>
      </c>
      <c r="K947" s="680">
        <v>465</v>
      </c>
      <c r="L947" s="680"/>
      <c r="M947" s="681">
        <v>1200</v>
      </c>
      <c r="N947" s="681"/>
      <c r="O947" s="681">
        <v>0</v>
      </c>
      <c r="P947" s="680">
        <v>0</v>
      </c>
      <c r="Q947" s="682">
        <v>0</v>
      </c>
      <c r="R947" s="681">
        <v>1200</v>
      </c>
      <c r="S947" s="658"/>
    </row>
    <row r="948" spans="1:19" s="659" customFormat="1" ht="20.100000000000001" customHeight="1">
      <c r="A948" s="657" t="s">
        <v>4343</v>
      </c>
      <c r="B948" s="649" t="s">
        <v>4345</v>
      </c>
      <c r="C948" s="621"/>
      <c r="D948" s="621"/>
      <c r="E948" s="649" t="s">
        <v>4344</v>
      </c>
      <c r="F948" s="622" t="s">
        <v>7978</v>
      </c>
      <c r="G948" s="622" t="s">
        <v>7211</v>
      </c>
      <c r="H948" s="649" t="s">
        <v>869</v>
      </c>
      <c r="I948" s="652" t="s">
        <v>11</v>
      </c>
      <c r="J948" s="622" t="s">
        <v>7931</v>
      </c>
      <c r="K948" s="680">
        <v>465</v>
      </c>
      <c r="L948" s="680">
        <v>5010</v>
      </c>
      <c r="M948" s="681">
        <v>600</v>
      </c>
      <c r="N948" s="681"/>
      <c r="O948" s="681">
        <v>1950</v>
      </c>
      <c r="P948" s="680">
        <v>1950</v>
      </c>
      <c r="Q948" s="682">
        <v>0</v>
      </c>
      <c r="R948" s="681">
        <v>3660</v>
      </c>
      <c r="S948" s="658"/>
    </row>
    <row r="949" spans="1:19" s="659" customFormat="1" ht="20.100000000000001" customHeight="1">
      <c r="A949" s="657" t="s">
        <v>4560</v>
      </c>
      <c r="B949" s="649" t="s">
        <v>1029</v>
      </c>
      <c r="C949" s="621"/>
      <c r="D949" s="621"/>
      <c r="E949" s="649" t="s">
        <v>1385</v>
      </c>
      <c r="F949" s="622" t="s">
        <v>7379</v>
      </c>
      <c r="G949" s="622" t="s">
        <v>7001</v>
      </c>
      <c r="H949" s="649" t="s">
        <v>4561</v>
      </c>
      <c r="I949" s="652" t="s">
        <v>11</v>
      </c>
      <c r="J949" s="622" t="s">
        <v>6767</v>
      </c>
      <c r="K949" s="680">
        <v>1195</v>
      </c>
      <c r="L949" s="680"/>
      <c r="M949" s="681">
        <v>11000</v>
      </c>
      <c r="N949" s="681"/>
      <c r="O949" s="681">
        <v>11000</v>
      </c>
      <c r="P949" s="680">
        <v>11000</v>
      </c>
      <c r="Q949" s="682">
        <v>0</v>
      </c>
      <c r="R949" s="681">
        <v>0</v>
      </c>
      <c r="S949" s="658"/>
    </row>
    <row r="950" spans="1:19" s="659" customFormat="1" ht="20.100000000000001" customHeight="1">
      <c r="A950" s="657" t="s">
        <v>4560</v>
      </c>
      <c r="B950" s="649" t="s">
        <v>1029</v>
      </c>
      <c r="C950" s="621"/>
      <c r="D950" s="621"/>
      <c r="E950" s="649" t="s">
        <v>1385</v>
      </c>
      <c r="F950" s="622" t="s">
        <v>7379</v>
      </c>
      <c r="G950" s="622" t="s">
        <v>7001</v>
      </c>
      <c r="H950" s="649" t="s">
        <v>4561</v>
      </c>
      <c r="I950" s="652" t="s">
        <v>11</v>
      </c>
      <c r="J950" s="622" t="s">
        <v>6767</v>
      </c>
      <c r="K950" s="680">
        <v>1195</v>
      </c>
      <c r="L950" s="680"/>
      <c r="M950" s="681">
        <v>10000</v>
      </c>
      <c r="N950" s="681"/>
      <c r="O950" s="681">
        <v>7500</v>
      </c>
      <c r="P950" s="680">
        <v>7500</v>
      </c>
      <c r="Q950" s="682">
        <v>0</v>
      </c>
      <c r="R950" s="681">
        <v>2500</v>
      </c>
      <c r="S950" s="658"/>
    </row>
    <row r="951" spans="1:19" s="659" customFormat="1" ht="20.100000000000001" customHeight="1">
      <c r="A951" s="657" t="s">
        <v>4560</v>
      </c>
      <c r="B951" s="649" t="s">
        <v>1029</v>
      </c>
      <c r="C951" s="621"/>
      <c r="D951" s="621"/>
      <c r="E951" s="649" t="s">
        <v>1385</v>
      </c>
      <c r="F951" s="622" t="s">
        <v>7379</v>
      </c>
      <c r="G951" s="622" t="s">
        <v>7001</v>
      </c>
      <c r="H951" s="649" t="s">
        <v>4561</v>
      </c>
      <c r="I951" s="652" t="s">
        <v>11</v>
      </c>
      <c r="J951" s="622" t="s">
        <v>6767</v>
      </c>
      <c r="K951" s="680">
        <v>1195</v>
      </c>
      <c r="L951" s="680">
        <v>652</v>
      </c>
      <c r="M951" s="681">
        <v>0</v>
      </c>
      <c r="N951" s="681"/>
      <c r="O951" s="681">
        <v>652</v>
      </c>
      <c r="P951" s="680">
        <v>0</v>
      </c>
      <c r="Q951" s="682">
        <v>652</v>
      </c>
      <c r="R951" s="681">
        <v>0</v>
      </c>
      <c r="S951" s="658"/>
    </row>
    <row r="952" spans="1:19" s="659" customFormat="1" ht="20.100000000000001" customHeight="1">
      <c r="A952" s="657" t="s">
        <v>4560</v>
      </c>
      <c r="B952" s="649" t="s">
        <v>1029</v>
      </c>
      <c r="C952" s="621"/>
      <c r="D952" s="621"/>
      <c r="E952" s="649" t="s">
        <v>1385</v>
      </c>
      <c r="F952" s="622" t="s">
        <v>7379</v>
      </c>
      <c r="G952" s="622" t="s">
        <v>7001</v>
      </c>
      <c r="H952" s="649" t="s">
        <v>4561</v>
      </c>
      <c r="I952" s="652" t="s">
        <v>11</v>
      </c>
      <c r="J952" s="622" t="s">
        <v>6767</v>
      </c>
      <c r="K952" s="680">
        <v>1195</v>
      </c>
      <c r="L952" s="680">
        <v>8000</v>
      </c>
      <c r="M952" s="681">
        <v>0</v>
      </c>
      <c r="N952" s="681"/>
      <c r="O952" s="681">
        <v>6259</v>
      </c>
      <c r="P952" s="680">
        <v>5000</v>
      </c>
      <c r="Q952" s="682">
        <v>1259</v>
      </c>
      <c r="R952" s="681">
        <v>1741</v>
      </c>
      <c r="S952" s="658"/>
    </row>
    <row r="953" spans="1:19" s="659" customFormat="1" ht="20.100000000000001" customHeight="1">
      <c r="A953" s="657" t="s">
        <v>4563</v>
      </c>
      <c r="B953" s="649" t="s">
        <v>1029</v>
      </c>
      <c r="C953" s="621"/>
      <c r="D953" s="621"/>
      <c r="E953" s="649" t="s">
        <v>4564</v>
      </c>
      <c r="F953" s="622" t="s">
        <v>7382</v>
      </c>
      <c r="G953" s="622" t="s">
        <v>7001</v>
      </c>
      <c r="H953" s="649" t="s">
        <v>4565</v>
      </c>
      <c r="I953" s="652" t="s">
        <v>11</v>
      </c>
      <c r="J953" s="622" t="s">
        <v>7381</v>
      </c>
      <c r="K953" s="680">
        <v>2337</v>
      </c>
      <c r="L953" s="680">
        <v>1100</v>
      </c>
      <c r="M953" s="681">
        <v>0</v>
      </c>
      <c r="N953" s="681"/>
      <c r="O953" s="681">
        <v>1100</v>
      </c>
      <c r="P953" s="680">
        <v>1100</v>
      </c>
      <c r="Q953" s="682">
        <v>0</v>
      </c>
      <c r="R953" s="681">
        <v>0</v>
      </c>
      <c r="S953" s="658"/>
    </row>
    <row r="954" spans="1:19" s="659" customFormat="1" ht="20.100000000000001" customHeight="1">
      <c r="A954" s="657" t="s">
        <v>4563</v>
      </c>
      <c r="B954" s="649" t="s">
        <v>1029</v>
      </c>
      <c r="C954" s="621"/>
      <c r="D954" s="621"/>
      <c r="E954" s="649" t="s">
        <v>4564</v>
      </c>
      <c r="F954" s="622" t="s">
        <v>7382</v>
      </c>
      <c r="G954" s="622" t="s">
        <v>7001</v>
      </c>
      <c r="H954" s="649" t="s">
        <v>4565</v>
      </c>
      <c r="I954" s="652" t="s">
        <v>11</v>
      </c>
      <c r="J954" s="622" t="s">
        <v>7381</v>
      </c>
      <c r="K954" s="680">
        <v>2337</v>
      </c>
      <c r="L954" s="680">
        <v>2374</v>
      </c>
      <c r="M954" s="681">
        <v>0</v>
      </c>
      <c r="N954" s="681"/>
      <c r="O954" s="681">
        <v>2374</v>
      </c>
      <c r="P954" s="680">
        <v>1400</v>
      </c>
      <c r="Q954" s="682">
        <v>974</v>
      </c>
      <c r="R954" s="681">
        <v>0</v>
      </c>
      <c r="S954" s="658"/>
    </row>
    <row r="955" spans="1:19" s="659" customFormat="1" ht="20.100000000000001" customHeight="1">
      <c r="A955" s="657" t="s">
        <v>4563</v>
      </c>
      <c r="B955" s="649" t="s">
        <v>1029</v>
      </c>
      <c r="C955" s="621"/>
      <c r="D955" s="621"/>
      <c r="E955" s="649" t="s">
        <v>4564</v>
      </c>
      <c r="F955" s="622" t="s">
        <v>7382</v>
      </c>
      <c r="G955" s="622" t="s">
        <v>7001</v>
      </c>
      <c r="H955" s="649" t="s">
        <v>4565</v>
      </c>
      <c r="I955" s="652" t="s">
        <v>11</v>
      </c>
      <c r="J955" s="622" t="s">
        <v>7381</v>
      </c>
      <c r="K955" s="680">
        <v>2337</v>
      </c>
      <c r="L955" s="680">
        <v>167</v>
      </c>
      <c r="M955" s="681">
        <v>0</v>
      </c>
      <c r="N955" s="681"/>
      <c r="O955" s="681">
        <v>4</v>
      </c>
      <c r="P955" s="680">
        <v>4</v>
      </c>
      <c r="Q955" s="682">
        <v>0</v>
      </c>
      <c r="R955" s="681">
        <v>163</v>
      </c>
      <c r="S955" s="658"/>
    </row>
    <row r="956" spans="1:19" s="659" customFormat="1" ht="20.100000000000001" customHeight="1">
      <c r="A956" s="657" t="s">
        <v>4563</v>
      </c>
      <c r="B956" s="649" t="s">
        <v>1029</v>
      </c>
      <c r="C956" s="621"/>
      <c r="D956" s="621"/>
      <c r="E956" s="649" t="s">
        <v>4564</v>
      </c>
      <c r="F956" s="622" t="s">
        <v>7382</v>
      </c>
      <c r="G956" s="622" t="s">
        <v>7001</v>
      </c>
      <c r="H956" s="649" t="s">
        <v>4565</v>
      </c>
      <c r="I956" s="652" t="s">
        <v>11</v>
      </c>
      <c r="J956" s="622" t="s">
        <v>7381</v>
      </c>
      <c r="K956" s="680">
        <v>2337</v>
      </c>
      <c r="L956" s="680"/>
      <c r="M956" s="681">
        <v>13000</v>
      </c>
      <c r="N956" s="681"/>
      <c r="O956" s="681">
        <v>11589</v>
      </c>
      <c r="P956" s="680">
        <v>11000</v>
      </c>
      <c r="Q956" s="682">
        <v>589</v>
      </c>
      <c r="R956" s="681">
        <v>1411</v>
      </c>
      <c r="S956" s="658"/>
    </row>
    <row r="957" spans="1:19" s="659" customFormat="1" ht="20.100000000000001" customHeight="1">
      <c r="A957" s="657" t="s">
        <v>4563</v>
      </c>
      <c r="B957" s="649" t="s">
        <v>1029</v>
      </c>
      <c r="C957" s="621"/>
      <c r="D957" s="621"/>
      <c r="E957" s="649" t="s">
        <v>4564</v>
      </c>
      <c r="F957" s="622" t="s">
        <v>7382</v>
      </c>
      <c r="G957" s="622" t="s">
        <v>7001</v>
      </c>
      <c r="H957" s="649" t="s">
        <v>4565</v>
      </c>
      <c r="I957" s="652" t="s">
        <v>11</v>
      </c>
      <c r="J957" s="622" t="s">
        <v>7381</v>
      </c>
      <c r="K957" s="680">
        <v>2337</v>
      </c>
      <c r="L957" s="680"/>
      <c r="M957" s="681">
        <v>5000</v>
      </c>
      <c r="N957" s="681"/>
      <c r="O957" s="681">
        <v>5000</v>
      </c>
      <c r="P957" s="680">
        <v>5000</v>
      </c>
      <c r="Q957" s="682">
        <v>0</v>
      </c>
      <c r="R957" s="681">
        <v>0</v>
      </c>
      <c r="S957" s="658"/>
    </row>
    <row r="958" spans="1:19" s="659" customFormat="1" ht="20.100000000000001" customHeight="1">
      <c r="A958" s="657" t="s">
        <v>4347</v>
      </c>
      <c r="B958" s="649" t="s">
        <v>855</v>
      </c>
      <c r="C958" s="621"/>
      <c r="D958" s="621"/>
      <c r="E958" s="649" t="s">
        <v>856</v>
      </c>
      <c r="F958" s="622" t="s">
        <v>857</v>
      </c>
      <c r="G958" s="622" t="s">
        <v>12656</v>
      </c>
      <c r="H958" s="649" t="s">
        <v>641</v>
      </c>
      <c r="I958" s="652" t="s">
        <v>11</v>
      </c>
      <c r="J958" s="622" t="s">
        <v>647</v>
      </c>
      <c r="K958" s="680">
        <v>2450</v>
      </c>
      <c r="L958" s="680">
        <v>4</v>
      </c>
      <c r="M958" s="681">
        <v>0</v>
      </c>
      <c r="N958" s="681"/>
      <c r="O958" s="681">
        <v>4</v>
      </c>
      <c r="P958" s="680">
        <v>0</v>
      </c>
      <c r="Q958" s="682">
        <v>4</v>
      </c>
      <c r="R958" s="681">
        <v>0</v>
      </c>
      <c r="S958" s="658"/>
    </row>
    <row r="959" spans="1:19" s="659" customFormat="1" ht="20.100000000000001" customHeight="1">
      <c r="A959" s="657" t="s">
        <v>8309</v>
      </c>
      <c r="B959" s="649" t="s">
        <v>634</v>
      </c>
      <c r="C959" s="621"/>
      <c r="D959" s="621"/>
      <c r="E959" s="649" t="s">
        <v>8310</v>
      </c>
      <c r="F959" s="622" t="s">
        <v>8312</v>
      </c>
      <c r="G959" s="622" t="s">
        <v>8294</v>
      </c>
      <c r="H959" s="649" t="s">
        <v>267</v>
      </c>
      <c r="I959" s="652" t="s">
        <v>11</v>
      </c>
      <c r="J959" s="622" t="s">
        <v>8311</v>
      </c>
      <c r="K959" s="680">
        <v>7500</v>
      </c>
      <c r="L959" s="680"/>
      <c r="M959" s="681">
        <v>2520</v>
      </c>
      <c r="N959" s="681"/>
      <c r="O959" s="681">
        <v>1119</v>
      </c>
      <c r="P959" s="680">
        <v>0</v>
      </c>
      <c r="Q959" s="682">
        <v>1119</v>
      </c>
      <c r="R959" s="681">
        <v>1401</v>
      </c>
      <c r="S959" s="658"/>
    </row>
    <row r="960" spans="1:19" s="659" customFormat="1" ht="20.100000000000001" customHeight="1">
      <c r="A960" s="657" t="s">
        <v>8309</v>
      </c>
      <c r="B960" s="649" t="s">
        <v>634</v>
      </c>
      <c r="C960" s="621"/>
      <c r="D960" s="621"/>
      <c r="E960" s="649" t="s">
        <v>8310</v>
      </c>
      <c r="F960" s="622" t="s">
        <v>8312</v>
      </c>
      <c r="G960" s="622" t="s">
        <v>8294</v>
      </c>
      <c r="H960" s="649" t="s">
        <v>267</v>
      </c>
      <c r="I960" s="652" t="s">
        <v>11</v>
      </c>
      <c r="J960" s="622" t="s">
        <v>8311</v>
      </c>
      <c r="K960" s="680">
        <v>7500</v>
      </c>
      <c r="L960" s="680"/>
      <c r="M960" s="681">
        <v>4116</v>
      </c>
      <c r="N960" s="681"/>
      <c r="O960" s="681">
        <v>0</v>
      </c>
      <c r="P960" s="680">
        <v>0</v>
      </c>
      <c r="Q960" s="682">
        <v>0</v>
      </c>
      <c r="R960" s="681">
        <v>4116</v>
      </c>
      <c r="S960" s="658"/>
    </row>
    <row r="961" spans="1:19" s="659" customFormat="1" ht="20.100000000000001" customHeight="1">
      <c r="A961" s="657" t="s">
        <v>8309</v>
      </c>
      <c r="B961" s="649" t="s">
        <v>634</v>
      </c>
      <c r="C961" s="621"/>
      <c r="D961" s="621"/>
      <c r="E961" s="649" t="s">
        <v>8310</v>
      </c>
      <c r="F961" s="622" t="s">
        <v>8312</v>
      </c>
      <c r="G961" s="622" t="s">
        <v>8294</v>
      </c>
      <c r="H961" s="649" t="s">
        <v>267</v>
      </c>
      <c r="I961" s="652" t="s">
        <v>11</v>
      </c>
      <c r="J961" s="622" t="s">
        <v>8311</v>
      </c>
      <c r="K961" s="680">
        <v>7500</v>
      </c>
      <c r="L961" s="680"/>
      <c r="M961" s="681">
        <v>3360</v>
      </c>
      <c r="N961" s="681"/>
      <c r="O961" s="681">
        <v>0</v>
      </c>
      <c r="P961" s="680">
        <v>0</v>
      </c>
      <c r="Q961" s="682">
        <v>0</v>
      </c>
      <c r="R961" s="681">
        <v>3360</v>
      </c>
      <c r="S961" s="658"/>
    </row>
    <row r="962" spans="1:19" s="659" customFormat="1" ht="20.100000000000001" customHeight="1">
      <c r="A962" s="657" t="s">
        <v>8309</v>
      </c>
      <c r="B962" s="649" t="s">
        <v>634</v>
      </c>
      <c r="C962" s="621"/>
      <c r="D962" s="621"/>
      <c r="E962" s="649" t="s">
        <v>8310</v>
      </c>
      <c r="F962" s="622" t="s">
        <v>8312</v>
      </c>
      <c r="G962" s="622" t="s">
        <v>8294</v>
      </c>
      <c r="H962" s="649" t="s">
        <v>267</v>
      </c>
      <c r="I962" s="652" t="s">
        <v>11</v>
      </c>
      <c r="J962" s="622" t="s">
        <v>8311</v>
      </c>
      <c r="K962" s="680">
        <v>7500</v>
      </c>
      <c r="L962" s="680">
        <v>1037</v>
      </c>
      <c r="M962" s="681">
        <v>0</v>
      </c>
      <c r="N962" s="681"/>
      <c r="O962" s="681">
        <v>1037</v>
      </c>
      <c r="P962" s="680">
        <v>0</v>
      </c>
      <c r="Q962" s="682">
        <v>1037</v>
      </c>
      <c r="R962" s="681">
        <v>0</v>
      </c>
      <c r="S962" s="658"/>
    </row>
    <row r="963" spans="1:19" s="659" customFormat="1" ht="20.100000000000001" customHeight="1">
      <c r="A963" s="657" t="s">
        <v>8309</v>
      </c>
      <c r="B963" s="649" t="s">
        <v>634</v>
      </c>
      <c r="C963" s="621"/>
      <c r="D963" s="621"/>
      <c r="E963" s="649" t="s">
        <v>8310</v>
      </c>
      <c r="F963" s="622" t="s">
        <v>8312</v>
      </c>
      <c r="G963" s="622" t="s">
        <v>8294</v>
      </c>
      <c r="H963" s="649" t="s">
        <v>267</v>
      </c>
      <c r="I963" s="652" t="s">
        <v>11</v>
      </c>
      <c r="J963" s="622" t="s">
        <v>8311</v>
      </c>
      <c r="K963" s="680">
        <v>7500</v>
      </c>
      <c r="L963" s="680"/>
      <c r="M963" s="681">
        <v>1680</v>
      </c>
      <c r="N963" s="681"/>
      <c r="O963" s="681">
        <v>1680</v>
      </c>
      <c r="P963" s="680">
        <v>0</v>
      </c>
      <c r="Q963" s="682">
        <v>1680</v>
      </c>
      <c r="R963" s="681">
        <v>0</v>
      </c>
      <c r="S963" s="658"/>
    </row>
    <row r="964" spans="1:19" s="659" customFormat="1" ht="20.100000000000001" customHeight="1">
      <c r="A964" s="657" t="s">
        <v>8309</v>
      </c>
      <c r="B964" s="649" t="s">
        <v>634</v>
      </c>
      <c r="C964" s="621"/>
      <c r="D964" s="621"/>
      <c r="E964" s="649" t="s">
        <v>8310</v>
      </c>
      <c r="F964" s="622" t="s">
        <v>8312</v>
      </c>
      <c r="G964" s="622" t="s">
        <v>8294</v>
      </c>
      <c r="H964" s="649" t="s">
        <v>267</v>
      </c>
      <c r="I964" s="652" t="s">
        <v>11</v>
      </c>
      <c r="J964" s="622" t="s">
        <v>8311</v>
      </c>
      <c r="K964" s="680">
        <v>7500</v>
      </c>
      <c r="L964" s="680"/>
      <c r="M964" s="681">
        <v>3373</v>
      </c>
      <c r="N964" s="681"/>
      <c r="O964" s="681">
        <v>3250</v>
      </c>
      <c r="P964" s="680">
        <v>677</v>
      </c>
      <c r="Q964" s="682">
        <v>2573</v>
      </c>
      <c r="R964" s="681">
        <v>123</v>
      </c>
      <c r="S964" s="658"/>
    </row>
    <row r="965" spans="1:19" s="659" customFormat="1" ht="20.100000000000001" customHeight="1">
      <c r="A965" s="657" t="s">
        <v>8309</v>
      </c>
      <c r="B965" s="649" t="s">
        <v>634</v>
      </c>
      <c r="C965" s="621"/>
      <c r="D965" s="621"/>
      <c r="E965" s="649" t="s">
        <v>8310</v>
      </c>
      <c r="F965" s="622" t="s">
        <v>8312</v>
      </c>
      <c r="G965" s="622" t="s">
        <v>8294</v>
      </c>
      <c r="H965" s="649" t="s">
        <v>267</v>
      </c>
      <c r="I965" s="652" t="s">
        <v>11</v>
      </c>
      <c r="J965" s="622" t="s">
        <v>8311</v>
      </c>
      <c r="K965" s="680">
        <v>7500</v>
      </c>
      <c r="L965" s="680"/>
      <c r="M965" s="681">
        <v>560</v>
      </c>
      <c r="N965" s="681"/>
      <c r="O965" s="681">
        <v>560</v>
      </c>
      <c r="P965" s="680">
        <v>0</v>
      </c>
      <c r="Q965" s="682">
        <v>560</v>
      </c>
      <c r="R965" s="681">
        <v>0</v>
      </c>
      <c r="S965" s="658"/>
    </row>
    <row r="966" spans="1:19" s="659" customFormat="1" ht="20.100000000000001" customHeight="1">
      <c r="A966" s="657" t="s">
        <v>4349</v>
      </c>
      <c r="B966" s="649" t="s">
        <v>1311</v>
      </c>
      <c r="C966" s="621"/>
      <c r="D966" s="621"/>
      <c r="E966" s="649" t="s">
        <v>1720</v>
      </c>
      <c r="F966" s="622" t="s">
        <v>1721</v>
      </c>
      <c r="G966" s="622" t="s">
        <v>6102</v>
      </c>
      <c r="H966" s="649" t="s">
        <v>1313</v>
      </c>
      <c r="I966" s="652" t="s">
        <v>11</v>
      </c>
      <c r="J966" s="622" t="s">
        <v>6704</v>
      </c>
      <c r="K966" s="680">
        <v>1000</v>
      </c>
      <c r="L966" s="680">
        <v>5327</v>
      </c>
      <c r="M966" s="681">
        <v>0</v>
      </c>
      <c r="N966" s="681"/>
      <c r="O966" s="681">
        <v>5327</v>
      </c>
      <c r="P966" s="680">
        <v>700</v>
      </c>
      <c r="Q966" s="682">
        <v>4627</v>
      </c>
      <c r="R966" s="681">
        <v>0</v>
      </c>
      <c r="S966" s="658"/>
    </row>
    <row r="967" spans="1:19" s="659" customFormat="1" ht="20.100000000000001" customHeight="1">
      <c r="A967" s="657" t="s">
        <v>4349</v>
      </c>
      <c r="B967" s="649" t="s">
        <v>1311</v>
      </c>
      <c r="C967" s="621"/>
      <c r="D967" s="621"/>
      <c r="E967" s="649" t="s">
        <v>1720</v>
      </c>
      <c r="F967" s="622" t="s">
        <v>1721</v>
      </c>
      <c r="G967" s="622" t="s">
        <v>6102</v>
      </c>
      <c r="H967" s="649" t="s">
        <v>1313</v>
      </c>
      <c r="I967" s="652" t="s">
        <v>11</v>
      </c>
      <c r="J967" s="622" t="s">
        <v>6704</v>
      </c>
      <c r="K967" s="680">
        <v>1000</v>
      </c>
      <c r="L967" s="680">
        <v>700</v>
      </c>
      <c r="M967" s="681">
        <v>0</v>
      </c>
      <c r="N967" s="681"/>
      <c r="O967" s="681">
        <v>694</v>
      </c>
      <c r="P967" s="680">
        <v>694</v>
      </c>
      <c r="Q967" s="682">
        <v>0</v>
      </c>
      <c r="R967" s="681">
        <v>6</v>
      </c>
      <c r="S967" s="658"/>
    </row>
    <row r="968" spans="1:19" s="659" customFormat="1" ht="20.100000000000001" customHeight="1">
      <c r="A968" s="657" t="s">
        <v>4349</v>
      </c>
      <c r="B968" s="649" t="s">
        <v>1311</v>
      </c>
      <c r="C968" s="621"/>
      <c r="D968" s="621"/>
      <c r="E968" s="649" t="s">
        <v>1720</v>
      </c>
      <c r="F968" s="622" t="s">
        <v>1721</v>
      </c>
      <c r="G968" s="622" t="s">
        <v>6102</v>
      </c>
      <c r="H968" s="649" t="s">
        <v>1313</v>
      </c>
      <c r="I968" s="652" t="s">
        <v>11</v>
      </c>
      <c r="J968" s="622" t="s">
        <v>6704</v>
      </c>
      <c r="K968" s="680">
        <v>1000</v>
      </c>
      <c r="L968" s="680"/>
      <c r="M968" s="681">
        <v>7200</v>
      </c>
      <c r="N968" s="681"/>
      <c r="O968" s="681">
        <v>7062</v>
      </c>
      <c r="P968" s="680">
        <v>2062</v>
      </c>
      <c r="Q968" s="682">
        <v>5000</v>
      </c>
      <c r="R968" s="681">
        <v>138</v>
      </c>
      <c r="S968" s="658"/>
    </row>
    <row r="969" spans="1:19" s="659" customFormat="1" ht="20.100000000000001" customHeight="1">
      <c r="A969" s="657" t="s">
        <v>4349</v>
      </c>
      <c r="B969" s="649" t="s">
        <v>1311</v>
      </c>
      <c r="C969" s="621"/>
      <c r="D969" s="621"/>
      <c r="E969" s="649" t="s">
        <v>1720</v>
      </c>
      <c r="F969" s="622" t="s">
        <v>1721</v>
      </c>
      <c r="G969" s="622" t="s">
        <v>6102</v>
      </c>
      <c r="H969" s="649" t="s">
        <v>1313</v>
      </c>
      <c r="I969" s="652" t="s">
        <v>11</v>
      </c>
      <c r="J969" s="622" t="s">
        <v>6704</v>
      </c>
      <c r="K969" s="680">
        <v>1000</v>
      </c>
      <c r="L969" s="680"/>
      <c r="M969" s="681">
        <v>15000</v>
      </c>
      <c r="N969" s="681"/>
      <c r="O969" s="681">
        <v>7258</v>
      </c>
      <c r="P969" s="680">
        <v>2500</v>
      </c>
      <c r="Q969" s="682">
        <v>4758</v>
      </c>
      <c r="R969" s="681">
        <v>7742</v>
      </c>
      <c r="S969" s="658"/>
    </row>
    <row r="970" spans="1:19" s="659" customFormat="1" ht="20.100000000000001" customHeight="1">
      <c r="A970" s="657" t="s">
        <v>4349</v>
      </c>
      <c r="B970" s="649" t="s">
        <v>1311</v>
      </c>
      <c r="C970" s="621"/>
      <c r="D970" s="621"/>
      <c r="E970" s="649" t="s">
        <v>1720</v>
      </c>
      <c r="F970" s="622" t="s">
        <v>1721</v>
      </c>
      <c r="G970" s="622" t="s">
        <v>6102</v>
      </c>
      <c r="H970" s="649" t="s">
        <v>1313</v>
      </c>
      <c r="I970" s="652" t="s">
        <v>11</v>
      </c>
      <c r="J970" s="622" t="s">
        <v>6704</v>
      </c>
      <c r="K970" s="680">
        <v>1000</v>
      </c>
      <c r="L970" s="680">
        <v>127</v>
      </c>
      <c r="M970" s="681">
        <v>0</v>
      </c>
      <c r="N970" s="681"/>
      <c r="O970" s="681">
        <v>127</v>
      </c>
      <c r="P970" s="680">
        <v>127</v>
      </c>
      <c r="Q970" s="682">
        <v>0</v>
      </c>
      <c r="R970" s="681">
        <v>0</v>
      </c>
      <c r="S970" s="658"/>
    </row>
    <row r="971" spans="1:19" s="659" customFormat="1" ht="20.100000000000001" customHeight="1">
      <c r="A971" s="657" t="s">
        <v>5738</v>
      </c>
      <c r="B971" s="649" t="s">
        <v>1302</v>
      </c>
      <c r="C971" s="621"/>
      <c r="D971" s="621"/>
      <c r="E971" s="649" t="s">
        <v>5739</v>
      </c>
      <c r="F971" s="622" t="s">
        <v>5740</v>
      </c>
      <c r="G971" s="622" t="s">
        <v>5741</v>
      </c>
      <c r="H971" s="649" t="s">
        <v>235</v>
      </c>
      <c r="I971" s="652" t="s">
        <v>10</v>
      </c>
      <c r="J971" s="622" t="s">
        <v>5608</v>
      </c>
      <c r="K971" s="680">
        <v>1718</v>
      </c>
      <c r="L971" s="680"/>
      <c r="M971" s="681">
        <v>9990</v>
      </c>
      <c r="N971" s="681"/>
      <c r="O971" s="681">
        <v>0</v>
      </c>
      <c r="P971" s="680">
        <v>0</v>
      </c>
      <c r="Q971" s="682">
        <v>0</v>
      </c>
      <c r="R971" s="681">
        <v>9990</v>
      </c>
      <c r="S971" s="658"/>
    </row>
    <row r="972" spans="1:19" s="659" customFormat="1" ht="20.100000000000001" customHeight="1">
      <c r="A972" s="657" t="s">
        <v>4351</v>
      </c>
      <c r="B972" s="649" t="s">
        <v>638</v>
      </c>
      <c r="C972" s="621"/>
      <c r="D972" s="621"/>
      <c r="E972" s="649" t="s">
        <v>7945</v>
      </c>
      <c r="F972" s="622" t="s">
        <v>1998</v>
      </c>
      <c r="G972" s="622" t="s">
        <v>1946</v>
      </c>
      <c r="H972" s="649" t="s">
        <v>429</v>
      </c>
      <c r="I972" s="652" t="s">
        <v>13</v>
      </c>
      <c r="J972" s="622" t="s">
        <v>7946</v>
      </c>
      <c r="K972" s="680">
        <v>1533</v>
      </c>
      <c r="L972" s="680">
        <v>480</v>
      </c>
      <c r="M972" s="681">
        <v>0</v>
      </c>
      <c r="N972" s="681"/>
      <c r="O972" s="681">
        <v>480</v>
      </c>
      <c r="P972" s="680">
        <v>300</v>
      </c>
      <c r="Q972" s="682">
        <v>180</v>
      </c>
      <c r="R972" s="681">
        <v>0</v>
      </c>
      <c r="S972" s="658"/>
    </row>
    <row r="973" spans="1:19" s="659" customFormat="1" ht="20.100000000000001" customHeight="1">
      <c r="A973" s="657" t="s">
        <v>4351</v>
      </c>
      <c r="B973" s="649" t="s">
        <v>638</v>
      </c>
      <c r="C973" s="621"/>
      <c r="D973" s="621"/>
      <c r="E973" s="649" t="s">
        <v>7945</v>
      </c>
      <c r="F973" s="622" t="s">
        <v>1998</v>
      </c>
      <c r="G973" s="622" t="s">
        <v>1946</v>
      </c>
      <c r="H973" s="649" t="s">
        <v>429</v>
      </c>
      <c r="I973" s="652" t="s">
        <v>13</v>
      </c>
      <c r="J973" s="622" t="s">
        <v>7946</v>
      </c>
      <c r="K973" s="680">
        <v>1533</v>
      </c>
      <c r="L973" s="680"/>
      <c r="M973" s="681">
        <v>6000</v>
      </c>
      <c r="N973" s="681"/>
      <c r="O973" s="681">
        <v>3086</v>
      </c>
      <c r="P973" s="680">
        <v>1290</v>
      </c>
      <c r="Q973" s="682">
        <v>1796</v>
      </c>
      <c r="R973" s="681">
        <v>2914</v>
      </c>
      <c r="S973" s="658"/>
    </row>
    <row r="974" spans="1:19" s="659" customFormat="1" ht="20.100000000000001" customHeight="1">
      <c r="A974" s="657" t="s">
        <v>4354</v>
      </c>
      <c r="B974" s="649" t="s">
        <v>634</v>
      </c>
      <c r="C974" s="621"/>
      <c r="D974" s="621"/>
      <c r="E974" s="649" t="s">
        <v>4355</v>
      </c>
      <c r="F974" s="622" t="s">
        <v>6782</v>
      </c>
      <c r="G974" s="622" t="s">
        <v>3418</v>
      </c>
      <c r="H974" s="649" t="s">
        <v>1282</v>
      </c>
      <c r="I974" s="652" t="s">
        <v>658</v>
      </c>
      <c r="J974" s="622" t="s">
        <v>6781</v>
      </c>
      <c r="K974" s="680">
        <v>46200</v>
      </c>
      <c r="L974" s="680">
        <v>144</v>
      </c>
      <c r="M974" s="681">
        <v>0</v>
      </c>
      <c r="N974" s="681"/>
      <c r="O974" s="681">
        <v>144</v>
      </c>
      <c r="P974" s="680">
        <v>144</v>
      </c>
      <c r="Q974" s="682">
        <v>0</v>
      </c>
      <c r="R974" s="681">
        <v>0</v>
      </c>
      <c r="S974" s="658"/>
    </row>
    <row r="975" spans="1:19" s="659" customFormat="1" ht="20.100000000000001" customHeight="1">
      <c r="A975" s="657" t="s">
        <v>4354</v>
      </c>
      <c r="B975" s="649" t="s">
        <v>634</v>
      </c>
      <c r="C975" s="621"/>
      <c r="D975" s="621"/>
      <c r="E975" s="649" t="s">
        <v>4355</v>
      </c>
      <c r="F975" s="622" t="s">
        <v>6782</v>
      </c>
      <c r="G975" s="622" t="s">
        <v>3418</v>
      </c>
      <c r="H975" s="649" t="s">
        <v>1282</v>
      </c>
      <c r="I975" s="652" t="s">
        <v>658</v>
      </c>
      <c r="J975" s="622" t="s">
        <v>6781</v>
      </c>
      <c r="K975" s="680">
        <v>46200</v>
      </c>
      <c r="L975" s="680"/>
      <c r="M975" s="681">
        <v>100</v>
      </c>
      <c r="N975" s="681"/>
      <c r="O975" s="681">
        <v>100</v>
      </c>
      <c r="P975" s="680">
        <v>100</v>
      </c>
      <c r="Q975" s="682">
        <v>0</v>
      </c>
      <c r="R975" s="681">
        <v>0</v>
      </c>
      <c r="S975" s="658"/>
    </row>
    <row r="976" spans="1:19" s="659" customFormat="1" ht="20.100000000000001" customHeight="1">
      <c r="A976" s="657" t="s">
        <v>8662</v>
      </c>
      <c r="B976" s="649" t="s">
        <v>8663</v>
      </c>
      <c r="C976" s="621"/>
      <c r="D976" s="621"/>
      <c r="E976" s="649" t="s">
        <v>8665</v>
      </c>
      <c r="F976" s="622" t="s">
        <v>8666</v>
      </c>
      <c r="G976" s="622" t="s">
        <v>2397</v>
      </c>
      <c r="H976" s="649" t="s">
        <v>12421</v>
      </c>
      <c r="I976" s="652" t="s">
        <v>11</v>
      </c>
      <c r="J976" s="622" t="s">
        <v>8660</v>
      </c>
      <c r="K976" s="680">
        <v>1260</v>
      </c>
      <c r="L976" s="680"/>
      <c r="M976" s="681">
        <v>5000</v>
      </c>
      <c r="N976" s="681"/>
      <c r="O976" s="681">
        <v>5000</v>
      </c>
      <c r="P976" s="680">
        <v>0</v>
      </c>
      <c r="Q976" s="682">
        <v>5000</v>
      </c>
      <c r="R976" s="681">
        <v>0</v>
      </c>
      <c r="S976" s="658"/>
    </row>
    <row r="977" spans="1:19" s="659" customFormat="1" ht="20.100000000000001" customHeight="1">
      <c r="A977" s="657" t="s">
        <v>8662</v>
      </c>
      <c r="B977" s="649" t="s">
        <v>8663</v>
      </c>
      <c r="C977" s="621"/>
      <c r="D977" s="621"/>
      <c r="E977" s="649" t="s">
        <v>8665</v>
      </c>
      <c r="F977" s="622" t="s">
        <v>8666</v>
      </c>
      <c r="G977" s="622" t="s">
        <v>2397</v>
      </c>
      <c r="H977" s="649" t="s">
        <v>12421</v>
      </c>
      <c r="I977" s="652" t="s">
        <v>11</v>
      </c>
      <c r="J977" s="622" t="s">
        <v>8660</v>
      </c>
      <c r="K977" s="680">
        <v>1260</v>
      </c>
      <c r="L977" s="680"/>
      <c r="M977" s="681">
        <v>9000</v>
      </c>
      <c r="N977" s="681"/>
      <c r="O977" s="681">
        <v>998</v>
      </c>
      <c r="P977" s="680">
        <v>0</v>
      </c>
      <c r="Q977" s="682">
        <v>998</v>
      </c>
      <c r="R977" s="681">
        <v>8002</v>
      </c>
      <c r="S977" s="658"/>
    </row>
    <row r="978" spans="1:19" s="659" customFormat="1" ht="20.100000000000001" customHeight="1">
      <c r="A978" s="657" t="s">
        <v>8662</v>
      </c>
      <c r="B978" s="649" t="s">
        <v>8663</v>
      </c>
      <c r="C978" s="621"/>
      <c r="D978" s="621"/>
      <c r="E978" s="649" t="s">
        <v>8665</v>
      </c>
      <c r="F978" s="622" t="s">
        <v>8666</v>
      </c>
      <c r="G978" s="622" t="s">
        <v>2397</v>
      </c>
      <c r="H978" s="649" t="s">
        <v>12421</v>
      </c>
      <c r="I978" s="652" t="s">
        <v>11</v>
      </c>
      <c r="J978" s="622" t="s">
        <v>8660</v>
      </c>
      <c r="K978" s="680">
        <v>1260</v>
      </c>
      <c r="L978" s="680"/>
      <c r="M978" s="681">
        <v>6000</v>
      </c>
      <c r="N978" s="681"/>
      <c r="O978" s="681">
        <v>6000</v>
      </c>
      <c r="P978" s="680">
        <v>0</v>
      </c>
      <c r="Q978" s="682">
        <v>6000</v>
      </c>
      <c r="R978" s="681">
        <v>0</v>
      </c>
      <c r="S978" s="658"/>
    </row>
    <row r="979" spans="1:19" s="659" customFormat="1" ht="20.100000000000001" customHeight="1">
      <c r="A979" s="657" t="s">
        <v>4587</v>
      </c>
      <c r="B979" s="649" t="s">
        <v>4589</v>
      </c>
      <c r="C979" s="621"/>
      <c r="D979" s="621"/>
      <c r="E979" s="649" t="s">
        <v>4588</v>
      </c>
      <c r="F979" s="622" t="s">
        <v>5667</v>
      </c>
      <c r="G979" s="622" t="s">
        <v>881</v>
      </c>
      <c r="H979" s="649" t="s">
        <v>4590</v>
      </c>
      <c r="I979" s="652" t="s">
        <v>2780</v>
      </c>
      <c r="J979" s="622" t="s">
        <v>5743</v>
      </c>
      <c r="K979" s="680">
        <v>286440</v>
      </c>
      <c r="L979" s="680">
        <v>42</v>
      </c>
      <c r="M979" s="681">
        <v>0</v>
      </c>
      <c r="N979" s="681"/>
      <c r="O979" s="681">
        <v>42</v>
      </c>
      <c r="P979" s="680">
        <v>0</v>
      </c>
      <c r="Q979" s="682">
        <v>42</v>
      </c>
      <c r="R979" s="681">
        <v>0</v>
      </c>
      <c r="S979" s="658"/>
    </row>
    <row r="980" spans="1:19" s="659" customFormat="1" ht="20.100000000000001" customHeight="1">
      <c r="A980" s="657" t="s">
        <v>4356</v>
      </c>
      <c r="B980" s="649" t="s">
        <v>4358</v>
      </c>
      <c r="C980" s="621"/>
      <c r="D980" s="621"/>
      <c r="E980" s="649" t="s">
        <v>4357</v>
      </c>
      <c r="F980" s="622" t="s">
        <v>8175</v>
      </c>
      <c r="G980" s="622" t="s">
        <v>7335</v>
      </c>
      <c r="H980" s="649" t="s">
        <v>4359</v>
      </c>
      <c r="I980" s="652" t="s">
        <v>658</v>
      </c>
      <c r="J980" s="622" t="s">
        <v>8174</v>
      </c>
      <c r="K980" s="680">
        <v>30000</v>
      </c>
      <c r="L980" s="680"/>
      <c r="M980" s="681">
        <v>300</v>
      </c>
      <c r="N980" s="681"/>
      <c r="O980" s="681">
        <v>106</v>
      </c>
      <c r="P980" s="680">
        <v>0</v>
      </c>
      <c r="Q980" s="682">
        <v>106</v>
      </c>
      <c r="R980" s="681">
        <v>194</v>
      </c>
      <c r="S980" s="658"/>
    </row>
    <row r="981" spans="1:19" s="659" customFormat="1" ht="20.100000000000001" customHeight="1">
      <c r="A981" s="657" t="s">
        <v>4356</v>
      </c>
      <c r="B981" s="649" t="s">
        <v>4358</v>
      </c>
      <c r="C981" s="621"/>
      <c r="D981" s="621"/>
      <c r="E981" s="649" t="s">
        <v>4357</v>
      </c>
      <c r="F981" s="622" t="s">
        <v>8175</v>
      </c>
      <c r="G981" s="622" t="s">
        <v>7335</v>
      </c>
      <c r="H981" s="649" t="s">
        <v>4359</v>
      </c>
      <c r="I981" s="652" t="s">
        <v>658</v>
      </c>
      <c r="J981" s="622" t="s">
        <v>8174</v>
      </c>
      <c r="K981" s="680">
        <v>30000</v>
      </c>
      <c r="L981" s="680">
        <v>54</v>
      </c>
      <c r="M981" s="681">
        <v>0</v>
      </c>
      <c r="N981" s="681"/>
      <c r="O981" s="681">
        <v>54</v>
      </c>
      <c r="P981" s="680">
        <v>0</v>
      </c>
      <c r="Q981" s="682">
        <v>54</v>
      </c>
      <c r="R981" s="681">
        <v>0</v>
      </c>
      <c r="S981" s="658"/>
    </row>
    <row r="982" spans="1:19" s="659" customFormat="1" ht="20.100000000000001" customHeight="1">
      <c r="A982" s="657" t="s">
        <v>4356</v>
      </c>
      <c r="B982" s="649" t="s">
        <v>4358</v>
      </c>
      <c r="C982" s="621"/>
      <c r="D982" s="621"/>
      <c r="E982" s="649" t="s">
        <v>4357</v>
      </c>
      <c r="F982" s="622" t="s">
        <v>8175</v>
      </c>
      <c r="G982" s="622" t="s">
        <v>7335</v>
      </c>
      <c r="H982" s="649" t="s">
        <v>4359</v>
      </c>
      <c r="I982" s="652" t="s">
        <v>658</v>
      </c>
      <c r="J982" s="622" t="s">
        <v>8174</v>
      </c>
      <c r="K982" s="680">
        <v>30000</v>
      </c>
      <c r="L982" s="680"/>
      <c r="M982" s="681">
        <v>200</v>
      </c>
      <c r="N982" s="681"/>
      <c r="O982" s="681">
        <v>0</v>
      </c>
      <c r="P982" s="680">
        <v>0</v>
      </c>
      <c r="Q982" s="682">
        <v>0</v>
      </c>
      <c r="R982" s="681">
        <v>200</v>
      </c>
      <c r="S982" s="658"/>
    </row>
    <row r="983" spans="1:19" s="659" customFormat="1" ht="20.100000000000001" customHeight="1">
      <c r="A983" s="657" t="s">
        <v>4356</v>
      </c>
      <c r="B983" s="649" t="s">
        <v>4358</v>
      </c>
      <c r="C983" s="621"/>
      <c r="D983" s="621"/>
      <c r="E983" s="649" t="s">
        <v>4357</v>
      </c>
      <c r="F983" s="622" t="s">
        <v>8175</v>
      </c>
      <c r="G983" s="622" t="s">
        <v>7335</v>
      </c>
      <c r="H983" s="649" t="s">
        <v>4359</v>
      </c>
      <c r="I983" s="652" t="s">
        <v>658</v>
      </c>
      <c r="J983" s="622" t="s">
        <v>8174</v>
      </c>
      <c r="K983" s="680">
        <v>30000</v>
      </c>
      <c r="L983" s="680"/>
      <c r="M983" s="681">
        <v>100</v>
      </c>
      <c r="N983" s="681"/>
      <c r="O983" s="681">
        <v>100</v>
      </c>
      <c r="P983" s="680">
        <v>0</v>
      </c>
      <c r="Q983" s="682">
        <v>100</v>
      </c>
      <c r="R983" s="681">
        <v>0</v>
      </c>
      <c r="S983" s="658"/>
    </row>
    <row r="984" spans="1:19" s="659" customFormat="1" ht="20.100000000000001" customHeight="1">
      <c r="A984" s="657" t="s">
        <v>4738</v>
      </c>
      <c r="B984" s="649" t="s">
        <v>170</v>
      </c>
      <c r="C984" s="621"/>
      <c r="D984" s="621"/>
      <c r="E984" s="649" t="s">
        <v>169</v>
      </c>
      <c r="F984" s="622" t="s">
        <v>2324</v>
      </c>
      <c r="G984" s="622" t="s">
        <v>2325</v>
      </c>
      <c r="H984" s="649" t="s">
        <v>171</v>
      </c>
      <c r="I984" s="652" t="s">
        <v>11</v>
      </c>
      <c r="J984" s="622" t="s">
        <v>8526</v>
      </c>
      <c r="K984" s="680">
        <v>3450</v>
      </c>
      <c r="L984" s="680">
        <v>8328</v>
      </c>
      <c r="M984" s="681">
        <v>0</v>
      </c>
      <c r="N984" s="681"/>
      <c r="O984" s="681">
        <v>8328</v>
      </c>
      <c r="P984" s="680">
        <v>0</v>
      </c>
      <c r="Q984" s="682">
        <v>8328</v>
      </c>
      <c r="R984" s="681">
        <v>0</v>
      </c>
      <c r="S984" s="658"/>
    </row>
    <row r="985" spans="1:19" s="659" customFormat="1" ht="20.100000000000001" customHeight="1">
      <c r="A985" s="657" t="s">
        <v>4738</v>
      </c>
      <c r="B985" s="649" t="s">
        <v>170</v>
      </c>
      <c r="C985" s="621"/>
      <c r="D985" s="621"/>
      <c r="E985" s="649" t="s">
        <v>169</v>
      </c>
      <c r="F985" s="622" t="s">
        <v>2324</v>
      </c>
      <c r="G985" s="622" t="s">
        <v>2325</v>
      </c>
      <c r="H985" s="649" t="s">
        <v>171</v>
      </c>
      <c r="I985" s="652" t="s">
        <v>11</v>
      </c>
      <c r="J985" s="622" t="s">
        <v>8526</v>
      </c>
      <c r="K985" s="680">
        <v>3450</v>
      </c>
      <c r="L985" s="680"/>
      <c r="M985" s="681">
        <v>10080</v>
      </c>
      <c r="N985" s="681"/>
      <c r="O985" s="681">
        <v>3570</v>
      </c>
      <c r="P985" s="680">
        <v>0</v>
      </c>
      <c r="Q985" s="682">
        <v>3570</v>
      </c>
      <c r="R985" s="681">
        <v>6510</v>
      </c>
      <c r="S985" s="658"/>
    </row>
    <row r="986" spans="1:19" s="659" customFormat="1" ht="20.100000000000001" customHeight="1">
      <c r="A986" s="657" t="s">
        <v>4361</v>
      </c>
      <c r="B986" s="649" t="s">
        <v>2038</v>
      </c>
      <c r="C986" s="621"/>
      <c r="D986" s="621"/>
      <c r="E986" s="649" t="s">
        <v>4362</v>
      </c>
      <c r="F986" s="622" t="s">
        <v>2045</v>
      </c>
      <c r="G986" s="622" t="s">
        <v>2046</v>
      </c>
      <c r="H986" s="649" t="s">
        <v>225</v>
      </c>
      <c r="I986" s="652" t="s">
        <v>11</v>
      </c>
      <c r="J986" s="622" t="s">
        <v>6274</v>
      </c>
      <c r="K986" s="680">
        <v>4612</v>
      </c>
      <c r="L986" s="680">
        <v>3145</v>
      </c>
      <c r="M986" s="681">
        <v>44</v>
      </c>
      <c r="N986" s="681"/>
      <c r="O986" s="681">
        <v>2307</v>
      </c>
      <c r="P986" s="680">
        <v>2299</v>
      </c>
      <c r="Q986" s="682">
        <v>8</v>
      </c>
      <c r="R986" s="681">
        <v>882</v>
      </c>
      <c r="S986" s="658"/>
    </row>
    <row r="987" spans="1:19" s="659" customFormat="1" ht="20.100000000000001" customHeight="1">
      <c r="A987" s="657" t="s">
        <v>4361</v>
      </c>
      <c r="B987" s="649" t="s">
        <v>2038</v>
      </c>
      <c r="C987" s="621"/>
      <c r="D987" s="621"/>
      <c r="E987" s="649" t="s">
        <v>4362</v>
      </c>
      <c r="F987" s="622" t="s">
        <v>2045</v>
      </c>
      <c r="G987" s="622" t="s">
        <v>2046</v>
      </c>
      <c r="H987" s="649" t="s">
        <v>225</v>
      </c>
      <c r="I987" s="652" t="s">
        <v>11</v>
      </c>
      <c r="J987" s="622" t="s">
        <v>6274</v>
      </c>
      <c r="K987" s="680">
        <v>4612</v>
      </c>
      <c r="L987" s="680"/>
      <c r="M987" s="681">
        <v>5100</v>
      </c>
      <c r="N987" s="681"/>
      <c r="O987" s="681">
        <v>0</v>
      </c>
      <c r="P987" s="680">
        <v>0</v>
      </c>
      <c r="Q987" s="682">
        <v>0</v>
      </c>
      <c r="R987" s="681">
        <v>5100</v>
      </c>
      <c r="S987" s="658"/>
    </row>
    <row r="988" spans="1:19" s="659" customFormat="1" ht="20.100000000000001" customHeight="1">
      <c r="A988" s="657" t="s">
        <v>4941</v>
      </c>
      <c r="B988" s="649" t="s">
        <v>227</v>
      </c>
      <c r="C988" s="621"/>
      <c r="D988" s="621"/>
      <c r="E988" s="649" t="s">
        <v>4942</v>
      </c>
      <c r="F988" s="622" t="s">
        <v>472</v>
      </c>
      <c r="G988" s="622" t="s">
        <v>463</v>
      </c>
      <c r="H988" s="649" t="s">
        <v>225</v>
      </c>
      <c r="I988" s="652" t="s">
        <v>10</v>
      </c>
      <c r="J988" s="622" t="s">
        <v>5544</v>
      </c>
      <c r="K988" s="680">
        <v>420</v>
      </c>
      <c r="L988" s="680">
        <v>51507</v>
      </c>
      <c r="M988" s="681">
        <v>945</v>
      </c>
      <c r="N988" s="681"/>
      <c r="O988" s="681">
        <v>34810</v>
      </c>
      <c r="P988" s="680">
        <v>14054</v>
      </c>
      <c r="Q988" s="682">
        <v>20756</v>
      </c>
      <c r="R988" s="681">
        <v>17642</v>
      </c>
      <c r="S988" s="658"/>
    </row>
    <row r="989" spans="1:19" s="659" customFormat="1" ht="20.100000000000001" customHeight="1">
      <c r="A989" s="657" t="s">
        <v>4364</v>
      </c>
      <c r="B989" s="649" t="s">
        <v>1999</v>
      </c>
      <c r="C989" s="621"/>
      <c r="D989" s="621"/>
      <c r="E989" s="649" t="s">
        <v>4365</v>
      </c>
      <c r="F989" s="622" t="s">
        <v>7757</v>
      </c>
      <c r="G989" s="622" t="s">
        <v>7649</v>
      </c>
      <c r="H989" s="649" t="s">
        <v>4366</v>
      </c>
      <c r="I989" s="652" t="s">
        <v>11</v>
      </c>
      <c r="J989" s="622" t="s">
        <v>6473</v>
      </c>
      <c r="K989" s="680">
        <v>1995</v>
      </c>
      <c r="L989" s="680">
        <v>5982</v>
      </c>
      <c r="M989" s="681">
        <v>0</v>
      </c>
      <c r="N989" s="681"/>
      <c r="O989" s="681">
        <v>5940</v>
      </c>
      <c r="P989" s="680">
        <v>0</v>
      </c>
      <c r="Q989" s="682">
        <v>5940</v>
      </c>
      <c r="R989" s="681">
        <v>42</v>
      </c>
      <c r="S989" s="658"/>
    </row>
    <row r="990" spans="1:19" s="659" customFormat="1" ht="20.100000000000001" customHeight="1">
      <c r="A990" s="657" t="s">
        <v>4364</v>
      </c>
      <c r="B990" s="649" t="s">
        <v>1999</v>
      </c>
      <c r="C990" s="621"/>
      <c r="D990" s="621"/>
      <c r="E990" s="649" t="s">
        <v>4365</v>
      </c>
      <c r="F990" s="622" t="s">
        <v>7757</v>
      </c>
      <c r="G990" s="622" t="s">
        <v>7649</v>
      </c>
      <c r="H990" s="649" t="s">
        <v>4366</v>
      </c>
      <c r="I990" s="652" t="s">
        <v>11</v>
      </c>
      <c r="J990" s="622" t="s">
        <v>6473</v>
      </c>
      <c r="K990" s="680">
        <v>1995</v>
      </c>
      <c r="L990" s="680"/>
      <c r="M990" s="681">
        <v>12000</v>
      </c>
      <c r="N990" s="681"/>
      <c r="O990" s="681">
        <v>7943</v>
      </c>
      <c r="P990" s="680">
        <v>0</v>
      </c>
      <c r="Q990" s="682">
        <v>7943</v>
      </c>
      <c r="R990" s="681">
        <v>4057</v>
      </c>
      <c r="S990" s="658"/>
    </row>
    <row r="991" spans="1:19" s="659" customFormat="1" ht="20.100000000000001" customHeight="1">
      <c r="A991" s="657" t="s">
        <v>4364</v>
      </c>
      <c r="B991" s="649" t="s">
        <v>1999</v>
      </c>
      <c r="C991" s="621"/>
      <c r="D991" s="621"/>
      <c r="E991" s="649" t="s">
        <v>4365</v>
      </c>
      <c r="F991" s="622" t="s">
        <v>7757</v>
      </c>
      <c r="G991" s="622" t="s">
        <v>7649</v>
      </c>
      <c r="H991" s="649" t="s">
        <v>4366</v>
      </c>
      <c r="I991" s="652" t="s">
        <v>11</v>
      </c>
      <c r="J991" s="622" t="s">
        <v>6473</v>
      </c>
      <c r="K991" s="680">
        <v>1995</v>
      </c>
      <c r="L991" s="680"/>
      <c r="M991" s="681">
        <v>6000</v>
      </c>
      <c r="N991" s="681"/>
      <c r="O991" s="681">
        <v>0</v>
      </c>
      <c r="P991" s="680">
        <v>0</v>
      </c>
      <c r="Q991" s="682">
        <v>0</v>
      </c>
      <c r="R991" s="681">
        <v>6000</v>
      </c>
      <c r="S991" s="658"/>
    </row>
    <row r="992" spans="1:19" s="659" customFormat="1" ht="20.100000000000001" customHeight="1">
      <c r="A992" s="657" t="s">
        <v>7518</v>
      </c>
      <c r="B992" s="649" t="s">
        <v>7519</v>
      </c>
      <c r="C992" s="621"/>
      <c r="D992" s="621"/>
      <c r="E992" s="649" t="s">
        <v>7520</v>
      </c>
      <c r="F992" s="622" t="s">
        <v>7522</v>
      </c>
      <c r="G992" s="622" t="s">
        <v>7523</v>
      </c>
      <c r="H992" s="649" t="s">
        <v>4782</v>
      </c>
      <c r="I992" s="652" t="s">
        <v>11</v>
      </c>
      <c r="J992" s="622" t="s">
        <v>7521</v>
      </c>
      <c r="K992" s="680">
        <v>12200</v>
      </c>
      <c r="L992" s="680"/>
      <c r="M992" s="681">
        <v>1200</v>
      </c>
      <c r="N992" s="681"/>
      <c r="O992" s="681">
        <v>1151</v>
      </c>
      <c r="P992" s="680">
        <v>0</v>
      </c>
      <c r="Q992" s="682">
        <v>1151</v>
      </c>
      <c r="R992" s="681">
        <v>49</v>
      </c>
      <c r="S992" s="658"/>
    </row>
    <row r="993" spans="1:19" s="659" customFormat="1" ht="20.100000000000001" customHeight="1">
      <c r="A993" s="657" t="s">
        <v>6108</v>
      </c>
      <c r="B993" s="649" t="s">
        <v>1540</v>
      </c>
      <c r="C993" s="621"/>
      <c r="D993" s="621"/>
      <c r="E993" s="649" t="s">
        <v>6109</v>
      </c>
      <c r="F993" s="622" t="s">
        <v>6110</v>
      </c>
      <c r="G993" s="622" t="s">
        <v>954</v>
      </c>
      <c r="H993" s="649" t="s">
        <v>1542</v>
      </c>
      <c r="I993" s="652" t="s">
        <v>11</v>
      </c>
      <c r="J993" s="622" t="s">
        <v>6009</v>
      </c>
      <c r="K993" s="680">
        <v>4159</v>
      </c>
      <c r="L993" s="680"/>
      <c r="M993" s="681">
        <v>19980</v>
      </c>
      <c r="N993" s="681"/>
      <c r="O993" s="681">
        <v>3784</v>
      </c>
      <c r="P993" s="680">
        <v>1</v>
      </c>
      <c r="Q993" s="682">
        <v>3783</v>
      </c>
      <c r="R993" s="681">
        <v>16196</v>
      </c>
      <c r="S993" s="658"/>
    </row>
    <row r="994" spans="1:19" s="659" customFormat="1" ht="20.100000000000001" customHeight="1">
      <c r="A994" s="657" t="s">
        <v>4367</v>
      </c>
      <c r="B994" s="649" t="s">
        <v>6975</v>
      </c>
      <c r="C994" s="621"/>
      <c r="D994" s="621"/>
      <c r="E994" s="649" t="s">
        <v>6977</v>
      </c>
      <c r="F994" s="622" t="s">
        <v>6978</v>
      </c>
      <c r="G994" s="622" t="s">
        <v>6979</v>
      </c>
      <c r="H994" s="649" t="s">
        <v>6976</v>
      </c>
      <c r="I994" s="652" t="s">
        <v>11</v>
      </c>
      <c r="J994" s="622" t="s">
        <v>6637</v>
      </c>
      <c r="K994" s="680">
        <v>350</v>
      </c>
      <c r="L994" s="680"/>
      <c r="M994" s="681">
        <v>20000</v>
      </c>
      <c r="N994" s="681"/>
      <c r="O994" s="681">
        <v>20000</v>
      </c>
      <c r="P994" s="680">
        <v>20000</v>
      </c>
      <c r="Q994" s="682">
        <v>0</v>
      </c>
      <c r="R994" s="681">
        <v>0</v>
      </c>
      <c r="S994" s="658"/>
    </row>
    <row r="995" spans="1:19" s="659" customFormat="1" ht="20.100000000000001" customHeight="1">
      <c r="A995" s="657" t="s">
        <v>4569</v>
      </c>
      <c r="B995" s="649" t="s">
        <v>1938</v>
      </c>
      <c r="C995" s="621"/>
      <c r="D995" s="621"/>
      <c r="E995" s="649" t="s">
        <v>1939</v>
      </c>
      <c r="F995" s="622" t="s">
        <v>3424</v>
      </c>
      <c r="G995" s="622" t="s">
        <v>3032</v>
      </c>
      <c r="H995" s="649" t="s">
        <v>4570</v>
      </c>
      <c r="I995" s="652" t="s">
        <v>3670</v>
      </c>
      <c r="J995" s="622" t="s">
        <v>3425</v>
      </c>
      <c r="K995" s="680">
        <v>4998</v>
      </c>
      <c r="L995" s="680">
        <v>9</v>
      </c>
      <c r="M995" s="681">
        <v>0</v>
      </c>
      <c r="N995" s="681"/>
      <c r="O995" s="681">
        <v>9</v>
      </c>
      <c r="P995" s="680">
        <v>0</v>
      </c>
      <c r="Q995" s="682">
        <v>9</v>
      </c>
      <c r="R995" s="681">
        <v>0</v>
      </c>
      <c r="S995" s="658"/>
    </row>
    <row r="996" spans="1:19" s="659" customFormat="1" ht="20.100000000000001" customHeight="1">
      <c r="A996" s="657" t="s">
        <v>4740</v>
      </c>
      <c r="B996" s="649" t="s">
        <v>4742</v>
      </c>
      <c r="C996" s="621"/>
      <c r="D996" s="621"/>
      <c r="E996" s="649" t="s">
        <v>4741</v>
      </c>
      <c r="F996" s="622" t="s">
        <v>8825</v>
      </c>
      <c r="G996" s="622" t="s">
        <v>8826</v>
      </c>
      <c r="H996" s="649" t="s">
        <v>4743</v>
      </c>
      <c r="I996" s="652" t="s">
        <v>1258</v>
      </c>
      <c r="J996" s="622" t="s">
        <v>8824</v>
      </c>
      <c r="K996" s="680">
        <v>4990</v>
      </c>
      <c r="L996" s="680"/>
      <c r="M996" s="681">
        <v>500</v>
      </c>
      <c r="N996" s="681"/>
      <c r="O996" s="681">
        <v>500</v>
      </c>
      <c r="P996" s="680">
        <v>500</v>
      </c>
      <c r="Q996" s="682">
        <v>0</v>
      </c>
      <c r="R996" s="681">
        <v>0</v>
      </c>
      <c r="S996" s="658"/>
    </row>
    <row r="997" spans="1:19" s="659" customFormat="1" ht="20.100000000000001" customHeight="1">
      <c r="A997" s="657" t="s">
        <v>4744</v>
      </c>
      <c r="B997" s="649" t="s">
        <v>176</v>
      </c>
      <c r="C997" s="621"/>
      <c r="D997" s="621"/>
      <c r="E997" s="649" t="s">
        <v>175</v>
      </c>
      <c r="F997" s="622" t="s">
        <v>8614</v>
      </c>
      <c r="G997" s="622" t="s">
        <v>8598</v>
      </c>
      <c r="H997" s="649" t="s">
        <v>4745</v>
      </c>
      <c r="I997" s="652" t="s">
        <v>13</v>
      </c>
      <c r="J997" s="622" t="s">
        <v>8613</v>
      </c>
      <c r="K997" s="680">
        <v>2750</v>
      </c>
      <c r="L997" s="680">
        <v>960</v>
      </c>
      <c r="M997" s="681">
        <v>960</v>
      </c>
      <c r="N997" s="681"/>
      <c r="O997" s="681">
        <v>1304</v>
      </c>
      <c r="P997" s="680">
        <v>0</v>
      </c>
      <c r="Q997" s="682">
        <v>1304</v>
      </c>
      <c r="R997" s="681">
        <v>616</v>
      </c>
      <c r="S997" s="658"/>
    </row>
    <row r="998" spans="1:19" s="659" customFormat="1" ht="20.100000000000001" customHeight="1">
      <c r="A998" s="657" t="s">
        <v>4369</v>
      </c>
      <c r="B998" s="649" t="s">
        <v>4371</v>
      </c>
      <c r="C998" s="621"/>
      <c r="D998" s="621"/>
      <c r="E998" s="649" t="s">
        <v>4370</v>
      </c>
      <c r="F998" s="622" t="s">
        <v>5763</v>
      </c>
      <c r="G998" s="622" t="s">
        <v>2042</v>
      </c>
      <c r="H998" s="649" t="s">
        <v>258</v>
      </c>
      <c r="I998" s="652" t="s">
        <v>11</v>
      </c>
      <c r="J998" s="622" t="s">
        <v>5762</v>
      </c>
      <c r="K998" s="680">
        <v>1636</v>
      </c>
      <c r="L998" s="680">
        <v>105</v>
      </c>
      <c r="M998" s="681">
        <v>0</v>
      </c>
      <c r="N998" s="681"/>
      <c r="O998" s="681">
        <v>105</v>
      </c>
      <c r="P998" s="680">
        <v>105</v>
      </c>
      <c r="Q998" s="682">
        <v>0</v>
      </c>
      <c r="R998" s="681">
        <v>0</v>
      </c>
      <c r="S998" s="658"/>
    </row>
    <row r="999" spans="1:19" s="659" customFormat="1" ht="20.100000000000001" customHeight="1">
      <c r="A999" s="657" t="s">
        <v>4369</v>
      </c>
      <c r="B999" s="649" t="s">
        <v>4371</v>
      </c>
      <c r="C999" s="621"/>
      <c r="D999" s="621"/>
      <c r="E999" s="649" t="s">
        <v>4370</v>
      </c>
      <c r="F999" s="622" t="s">
        <v>5763</v>
      </c>
      <c r="G999" s="622" t="s">
        <v>2042</v>
      </c>
      <c r="H999" s="649" t="s">
        <v>258</v>
      </c>
      <c r="I999" s="652" t="s">
        <v>11</v>
      </c>
      <c r="J999" s="622" t="s">
        <v>5762</v>
      </c>
      <c r="K999" s="680">
        <v>1636</v>
      </c>
      <c r="L999" s="680">
        <v>3000</v>
      </c>
      <c r="M999" s="681">
        <v>6</v>
      </c>
      <c r="N999" s="681"/>
      <c r="O999" s="681">
        <v>1787</v>
      </c>
      <c r="P999" s="680">
        <v>1101</v>
      </c>
      <c r="Q999" s="682">
        <v>686</v>
      </c>
      <c r="R999" s="681">
        <v>1219</v>
      </c>
      <c r="S999" s="658"/>
    </row>
    <row r="1000" spans="1:19" s="659" customFormat="1" ht="20.100000000000001" customHeight="1">
      <c r="A1000" s="657" t="s">
        <v>4369</v>
      </c>
      <c r="B1000" s="649" t="s">
        <v>4371</v>
      </c>
      <c r="C1000" s="621"/>
      <c r="D1000" s="621"/>
      <c r="E1000" s="649" t="s">
        <v>4370</v>
      </c>
      <c r="F1000" s="622" t="s">
        <v>5763</v>
      </c>
      <c r="G1000" s="622" t="s">
        <v>2042</v>
      </c>
      <c r="H1000" s="649" t="s">
        <v>258</v>
      </c>
      <c r="I1000" s="652" t="s">
        <v>11</v>
      </c>
      <c r="J1000" s="622" t="s">
        <v>5762</v>
      </c>
      <c r="K1000" s="680">
        <v>1636</v>
      </c>
      <c r="L1000" s="680"/>
      <c r="M1000" s="681">
        <v>4110</v>
      </c>
      <c r="N1000" s="681"/>
      <c r="O1000" s="681">
        <v>1110</v>
      </c>
      <c r="P1000" s="680">
        <v>1110</v>
      </c>
      <c r="Q1000" s="682">
        <v>0</v>
      </c>
      <c r="R1000" s="681">
        <v>3000</v>
      </c>
      <c r="S1000" s="658"/>
    </row>
    <row r="1001" spans="1:19" s="659" customFormat="1" ht="20.100000000000001" customHeight="1">
      <c r="A1001" s="657" t="s">
        <v>4375</v>
      </c>
      <c r="B1001" s="649" t="s">
        <v>4374</v>
      </c>
      <c r="C1001" s="621"/>
      <c r="D1001" s="621"/>
      <c r="E1001" s="649" t="s">
        <v>4376</v>
      </c>
      <c r="F1001" s="622" t="s">
        <v>7866</v>
      </c>
      <c r="G1001" s="622" t="s">
        <v>7332</v>
      </c>
      <c r="H1001" s="649" t="s">
        <v>248</v>
      </c>
      <c r="I1001" s="652" t="s">
        <v>11</v>
      </c>
      <c r="J1001" s="622" t="s">
        <v>7865</v>
      </c>
      <c r="K1001" s="680">
        <v>149</v>
      </c>
      <c r="L1001" s="680">
        <v>2990</v>
      </c>
      <c r="M1001" s="681">
        <v>0</v>
      </c>
      <c r="N1001" s="681"/>
      <c r="O1001" s="681">
        <v>1197</v>
      </c>
      <c r="P1001" s="680">
        <v>200</v>
      </c>
      <c r="Q1001" s="682">
        <v>997</v>
      </c>
      <c r="R1001" s="681">
        <v>1793</v>
      </c>
      <c r="S1001" s="658"/>
    </row>
    <row r="1002" spans="1:19" s="659" customFormat="1" ht="20.100000000000001" customHeight="1">
      <c r="A1002" s="657" t="s">
        <v>4375</v>
      </c>
      <c r="B1002" s="649" t="s">
        <v>4374</v>
      </c>
      <c r="C1002" s="621"/>
      <c r="D1002" s="621"/>
      <c r="E1002" s="649" t="s">
        <v>1138</v>
      </c>
      <c r="F1002" s="622" t="s">
        <v>7866</v>
      </c>
      <c r="G1002" s="622" t="s">
        <v>7332</v>
      </c>
      <c r="H1002" s="649" t="s">
        <v>248</v>
      </c>
      <c r="I1002" s="652" t="s">
        <v>10</v>
      </c>
      <c r="J1002" s="622" t="s">
        <v>7865</v>
      </c>
      <c r="K1002" s="680">
        <v>157</v>
      </c>
      <c r="L1002" s="680">
        <v>90</v>
      </c>
      <c r="M1002" s="681">
        <v>0</v>
      </c>
      <c r="N1002" s="681"/>
      <c r="O1002" s="681">
        <v>90</v>
      </c>
      <c r="P1002" s="680">
        <v>0</v>
      </c>
      <c r="Q1002" s="682">
        <v>90</v>
      </c>
      <c r="R1002" s="681">
        <v>0</v>
      </c>
      <c r="S1002" s="658"/>
    </row>
    <row r="1003" spans="1:19" s="659" customFormat="1" ht="20.100000000000001" customHeight="1">
      <c r="A1003" s="657" t="s">
        <v>4746</v>
      </c>
      <c r="B1003" s="649" t="s">
        <v>4748</v>
      </c>
      <c r="C1003" s="621"/>
      <c r="D1003" s="621"/>
      <c r="E1003" s="649" t="s">
        <v>4747</v>
      </c>
      <c r="F1003" s="622" t="s">
        <v>8724</v>
      </c>
      <c r="G1003" s="622" t="s">
        <v>8725</v>
      </c>
      <c r="H1003" s="649" t="s">
        <v>4749</v>
      </c>
      <c r="I1003" s="652" t="s">
        <v>658</v>
      </c>
      <c r="J1003" s="622" t="s">
        <v>8723</v>
      </c>
      <c r="K1003" s="680">
        <v>39900</v>
      </c>
      <c r="L1003" s="680">
        <v>29</v>
      </c>
      <c r="M1003" s="681">
        <v>0</v>
      </c>
      <c r="N1003" s="681"/>
      <c r="O1003" s="681">
        <v>29</v>
      </c>
      <c r="P1003" s="680">
        <v>0</v>
      </c>
      <c r="Q1003" s="682">
        <v>29</v>
      </c>
      <c r="R1003" s="681">
        <v>0</v>
      </c>
      <c r="S1003" s="658"/>
    </row>
    <row r="1004" spans="1:19" s="659" customFormat="1" ht="20.100000000000001" customHeight="1">
      <c r="A1004" s="657" t="s">
        <v>4746</v>
      </c>
      <c r="B1004" s="649" t="s">
        <v>4748</v>
      </c>
      <c r="C1004" s="621"/>
      <c r="D1004" s="621"/>
      <c r="E1004" s="649" t="s">
        <v>4747</v>
      </c>
      <c r="F1004" s="622" t="s">
        <v>8724</v>
      </c>
      <c r="G1004" s="622" t="s">
        <v>8725</v>
      </c>
      <c r="H1004" s="649" t="s">
        <v>4749</v>
      </c>
      <c r="I1004" s="652" t="s">
        <v>658</v>
      </c>
      <c r="J1004" s="622" t="s">
        <v>8723</v>
      </c>
      <c r="K1004" s="680">
        <v>39900</v>
      </c>
      <c r="L1004" s="680">
        <v>100</v>
      </c>
      <c r="M1004" s="681">
        <v>0</v>
      </c>
      <c r="N1004" s="681"/>
      <c r="O1004" s="681">
        <v>100</v>
      </c>
      <c r="P1004" s="680">
        <v>0</v>
      </c>
      <c r="Q1004" s="682">
        <v>100</v>
      </c>
      <c r="R1004" s="681">
        <v>0</v>
      </c>
      <c r="S1004" s="658"/>
    </row>
    <row r="1005" spans="1:19" s="659" customFormat="1" ht="20.100000000000001" customHeight="1">
      <c r="A1005" s="657" t="s">
        <v>4746</v>
      </c>
      <c r="B1005" s="649" t="s">
        <v>4748</v>
      </c>
      <c r="C1005" s="621"/>
      <c r="D1005" s="621"/>
      <c r="E1005" s="649" t="s">
        <v>4747</v>
      </c>
      <c r="F1005" s="622" t="s">
        <v>8724</v>
      </c>
      <c r="G1005" s="622" t="s">
        <v>8725</v>
      </c>
      <c r="H1005" s="649" t="s">
        <v>4749</v>
      </c>
      <c r="I1005" s="652" t="s">
        <v>658</v>
      </c>
      <c r="J1005" s="622" t="s">
        <v>8723</v>
      </c>
      <c r="K1005" s="680">
        <v>39900</v>
      </c>
      <c r="L1005" s="680"/>
      <c r="M1005" s="681">
        <v>100</v>
      </c>
      <c r="N1005" s="681"/>
      <c r="O1005" s="681">
        <v>21</v>
      </c>
      <c r="P1005" s="680">
        <v>0</v>
      </c>
      <c r="Q1005" s="682">
        <v>21</v>
      </c>
      <c r="R1005" s="681">
        <v>79</v>
      </c>
      <c r="S1005" s="658"/>
    </row>
    <row r="1006" spans="1:19" s="659" customFormat="1" ht="20.100000000000001" customHeight="1">
      <c r="A1006" s="657" t="s">
        <v>4751</v>
      </c>
      <c r="B1006" s="649" t="s">
        <v>4753</v>
      </c>
      <c r="C1006" s="621"/>
      <c r="D1006" s="621"/>
      <c r="E1006" s="649" t="s">
        <v>4752</v>
      </c>
      <c r="F1006" s="622" t="s">
        <v>8729</v>
      </c>
      <c r="G1006" s="622" t="s">
        <v>8563</v>
      </c>
      <c r="H1006" s="649" t="s">
        <v>4754</v>
      </c>
      <c r="I1006" s="652" t="s">
        <v>11</v>
      </c>
      <c r="J1006" s="622" t="s">
        <v>8728</v>
      </c>
      <c r="K1006" s="680">
        <v>1900</v>
      </c>
      <c r="L1006" s="680">
        <v>4556</v>
      </c>
      <c r="M1006" s="681">
        <v>0</v>
      </c>
      <c r="N1006" s="681"/>
      <c r="O1006" s="681">
        <v>4556</v>
      </c>
      <c r="P1006" s="680">
        <v>0</v>
      </c>
      <c r="Q1006" s="682">
        <v>4556</v>
      </c>
      <c r="R1006" s="681">
        <v>0</v>
      </c>
      <c r="S1006" s="658"/>
    </row>
    <row r="1007" spans="1:19" s="659" customFormat="1" ht="20.100000000000001" customHeight="1">
      <c r="A1007" s="657" t="s">
        <v>4751</v>
      </c>
      <c r="B1007" s="649" t="s">
        <v>4753</v>
      </c>
      <c r="C1007" s="621"/>
      <c r="D1007" s="621"/>
      <c r="E1007" s="649" t="s">
        <v>4752</v>
      </c>
      <c r="F1007" s="622" t="s">
        <v>8729</v>
      </c>
      <c r="G1007" s="622" t="s">
        <v>8563</v>
      </c>
      <c r="H1007" s="649" t="s">
        <v>4754</v>
      </c>
      <c r="I1007" s="652" t="s">
        <v>11</v>
      </c>
      <c r="J1007" s="622" t="s">
        <v>8728</v>
      </c>
      <c r="K1007" s="680">
        <v>1900</v>
      </c>
      <c r="L1007" s="680"/>
      <c r="M1007" s="681">
        <v>5000</v>
      </c>
      <c r="N1007" s="681"/>
      <c r="O1007" s="681">
        <v>2293</v>
      </c>
      <c r="P1007" s="680">
        <v>0</v>
      </c>
      <c r="Q1007" s="682">
        <v>2293</v>
      </c>
      <c r="R1007" s="681">
        <v>2707</v>
      </c>
      <c r="S1007" s="658"/>
    </row>
    <row r="1008" spans="1:19" s="659" customFormat="1" ht="20.100000000000001" customHeight="1">
      <c r="A1008" s="657" t="s">
        <v>8529</v>
      </c>
      <c r="B1008" s="649" t="s">
        <v>12434</v>
      </c>
      <c r="C1008" s="621"/>
      <c r="D1008" s="621"/>
      <c r="E1008" s="649" t="s">
        <v>12433</v>
      </c>
      <c r="F1008" s="622" t="s">
        <v>8534</v>
      </c>
      <c r="G1008" s="622" t="s">
        <v>8535</v>
      </c>
      <c r="H1008" s="649" t="s">
        <v>8531</v>
      </c>
      <c r="I1008" s="652" t="s">
        <v>13</v>
      </c>
      <c r="J1008" s="622" t="s">
        <v>8533</v>
      </c>
      <c r="K1008" s="680">
        <v>1800</v>
      </c>
      <c r="L1008" s="680"/>
      <c r="M1008" s="681">
        <v>8130</v>
      </c>
      <c r="N1008" s="681"/>
      <c r="O1008" s="681">
        <v>5000</v>
      </c>
      <c r="P1008" s="680">
        <v>0</v>
      </c>
      <c r="Q1008" s="682">
        <v>5000</v>
      </c>
      <c r="R1008" s="681">
        <v>3130</v>
      </c>
      <c r="S1008" s="658"/>
    </row>
    <row r="1009" spans="1:19" s="659" customFormat="1" ht="20.100000000000001" customHeight="1">
      <c r="A1009" s="657" t="s">
        <v>8529</v>
      </c>
      <c r="B1009" s="649" t="s">
        <v>12434</v>
      </c>
      <c r="C1009" s="621"/>
      <c r="D1009" s="621"/>
      <c r="E1009" s="649" t="s">
        <v>12433</v>
      </c>
      <c r="F1009" s="622" t="s">
        <v>8534</v>
      </c>
      <c r="G1009" s="622" t="s">
        <v>8535</v>
      </c>
      <c r="H1009" s="649" t="s">
        <v>8531</v>
      </c>
      <c r="I1009" s="652" t="s">
        <v>13</v>
      </c>
      <c r="J1009" s="622" t="s">
        <v>8533</v>
      </c>
      <c r="K1009" s="680">
        <v>1800</v>
      </c>
      <c r="L1009" s="680"/>
      <c r="M1009" s="681">
        <v>6870</v>
      </c>
      <c r="N1009" s="681"/>
      <c r="O1009" s="681">
        <v>0</v>
      </c>
      <c r="P1009" s="680">
        <v>0</v>
      </c>
      <c r="Q1009" s="682">
        <v>0</v>
      </c>
      <c r="R1009" s="681">
        <v>6870</v>
      </c>
      <c r="S1009" s="658"/>
    </row>
    <row r="1010" spans="1:19" s="659" customFormat="1" ht="20.100000000000001" customHeight="1">
      <c r="A1010" s="657" t="s">
        <v>4756</v>
      </c>
      <c r="B1010" s="649" t="s">
        <v>4758</v>
      </c>
      <c r="C1010" s="621"/>
      <c r="D1010" s="621"/>
      <c r="E1010" s="649" t="s">
        <v>4757</v>
      </c>
      <c r="F1010" s="622" t="s">
        <v>8610</v>
      </c>
      <c r="G1010" s="622" t="s">
        <v>8598</v>
      </c>
      <c r="H1010" s="649" t="s">
        <v>4759</v>
      </c>
      <c r="I1010" s="652" t="s">
        <v>15</v>
      </c>
      <c r="J1010" s="622" t="s">
        <v>8607</v>
      </c>
      <c r="K1010" s="680">
        <v>23100</v>
      </c>
      <c r="L1010" s="680">
        <v>103</v>
      </c>
      <c r="M1010" s="681">
        <v>0</v>
      </c>
      <c r="N1010" s="681"/>
      <c r="O1010" s="681">
        <v>103</v>
      </c>
      <c r="P1010" s="680">
        <v>0</v>
      </c>
      <c r="Q1010" s="682">
        <v>103</v>
      </c>
      <c r="R1010" s="681">
        <v>0</v>
      </c>
      <c r="S1010" s="658"/>
    </row>
    <row r="1011" spans="1:19" s="659" customFormat="1" ht="20.100000000000001" customHeight="1">
      <c r="A1011" s="657" t="s">
        <v>4756</v>
      </c>
      <c r="B1011" s="649" t="s">
        <v>4758</v>
      </c>
      <c r="C1011" s="621"/>
      <c r="D1011" s="621"/>
      <c r="E1011" s="649" t="s">
        <v>4757</v>
      </c>
      <c r="F1011" s="622" t="s">
        <v>8610</v>
      </c>
      <c r="G1011" s="622" t="s">
        <v>8598</v>
      </c>
      <c r="H1011" s="649" t="s">
        <v>4759</v>
      </c>
      <c r="I1011" s="652" t="s">
        <v>15</v>
      </c>
      <c r="J1011" s="622" t="s">
        <v>8607</v>
      </c>
      <c r="K1011" s="680">
        <v>23100</v>
      </c>
      <c r="L1011" s="680">
        <v>205</v>
      </c>
      <c r="M1011" s="681">
        <v>40</v>
      </c>
      <c r="N1011" s="681"/>
      <c r="O1011" s="681">
        <v>245</v>
      </c>
      <c r="P1011" s="680">
        <v>125</v>
      </c>
      <c r="Q1011" s="682">
        <v>120</v>
      </c>
      <c r="R1011" s="681">
        <v>0</v>
      </c>
      <c r="S1011" s="658"/>
    </row>
    <row r="1012" spans="1:19" s="659" customFormat="1" ht="20.100000000000001" customHeight="1">
      <c r="A1012" s="657" t="s">
        <v>4756</v>
      </c>
      <c r="B1012" s="649" t="s">
        <v>4758</v>
      </c>
      <c r="C1012" s="621"/>
      <c r="D1012" s="621"/>
      <c r="E1012" s="649" t="s">
        <v>4757</v>
      </c>
      <c r="F1012" s="622" t="s">
        <v>8610</v>
      </c>
      <c r="G1012" s="622" t="s">
        <v>8598</v>
      </c>
      <c r="H1012" s="649" t="s">
        <v>4759</v>
      </c>
      <c r="I1012" s="652" t="s">
        <v>15</v>
      </c>
      <c r="J1012" s="622" t="s">
        <v>8607</v>
      </c>
      <c r="K1012" s="680">
        <v>23100</v>
      </c>
      <c r="L1012" s="680"/>
      <c r="M1012" s="681">
        <v>800</v>
      </c>
      <c r="N1012" s="681"/>
      <c r="O1012" s="681">
        <v>627</v>
      </c>
      <c r="P1012" s="680">
        <v>425</v>
      </c>
      <c r="Q1012" s="682">
        <v>202</v>
      </c>
      <c r="R1012" s="681">
        <v>173</v>
      </c>
      <c r="S1012" s="658"/>
    </row>
    <row r="1013" spans="1:19" s="659" customFormat="1" ht="20.100000000000001" customHeight="1">
      <c r="A1013" s="657" t="s">
        <v>4756</v>
      </c>
      <c r="B1013" s="649" t="s">
        <v>4758</v>
      </c>
      <c r="C1013" s="621"/>
      <c r="D1013" s="621"/>
      <c r="E1013" s="649" t="s">
        <v>4757</v>
      </c>
      <c r="F1013" s="622" t="s">
        <v>8610</v>
      </c>
      <c r="G1013" s="622" t="s">
        <v>8598</v>
      </c>
      <c r="H1013" s="649" t="s">
        <v>4759</v>
      </c>
      <c r="I1013" s="652" t="s">
        <v>15</v>
      </c>
      <c r="J1013" s="622" t="s">
        <v>8607</v>
      </c>
      <c r="K1013" s="680">
        <v>23100</v>
      </c>
      <c r="L1013" s="680"/>
      <c r="M1013" s="681">
        <v>400</v>
      </c>
      <c r="N1013" s="681"/>
      <c r="O1013" s="681">
        <v>0</v>
      </c>
      <c r="P1013" s="680">
        <v>0</v>
      </c>
      <c r="Q1013" s="682">
        <v>0</v>
      </c>
      <c r="R1013" s="681">
        <v>400</v>
      </c>
      <c r="S1013" s="658"/>
    </row>
    <row r="1014" spans="1:19" s="659" customFormat="1" ht="20.100000000000001" customHeight="1">
      <c r="A1014" s="657" t="s">
        <v>7355</v>
      </c>
      <c r="B1014" s="649" t="s">
        <v>7356</v>
      </c>
      <c r="C1014" s="621"/>
      <c r="D1014" s="621"/>
      <c r="E1014" s="649" t="s">
        <v>7356</v>
      </c>
      <c r="F1014" s="622" t="s">
        <v>7357</v>
      </c>
      <c r="G1014" s="622" t="s">
        <v>7001</v>
      </c>
      <c r="H1014" s="649" t="s">
        <v>225</v>
      </c>
      <c r="I1014" s="652" t="s">
        <v>11</v>
      </c>
      <c r="J1014" s="622" t="s">
        <v>6767</v>
      </c>
      <c r="K1014" s="680">
        <v>316</v>
      </c>
      <c r="L1014" s="680"/>
      <c r="M1014" s="681">
        <v>600</v>
      </c>
      <c r="N1014" s="681"/>
      <c r="O1014" s="681">
        <v>0</v>
      </c>
      <c r="P1014" s="680">
        <v>0</v>
      </c>
      <c r="Q1014" s="682">
        <v>0</v>
      </c>
      <c r="R1014" s="681">
        <v>600</v>
      </c>
      <c r="S1014" s="658"/>
    </row>
    <row r="1015" spans="1:19" s="659" customFormat="1" ht="20.100000000000001" customHeight="1">
      <c r="A1015" s="657" t="s">
        <v>8798</v>
      </c>
      <c r="B1015" s="649" t="s">
        <v>12440</v>
      </c>
      <c r="C1015" s="621"/>
      <c r="D1015" s="621"/>
      <c r="E1015" s="649" t="s">
        <v>189</v>
      </c>
      <c r="F1015" s="622" t="s">
        <v>8801</v>
      </c>
      <c r="G1015" s="622" t="s">
        <v>2413</v>
      </c>
      <c r="H1015" s="649" t="s">
        <v>12441</v>
      </c>
      <c r="I1015" s="652" t="s">
        <v>11</v>
      </c>
      <c r="J1015" s="622" t="s">
        <v>8792</v>
      </c>
      <c r="K1015" s="680">
        <v>2975</v>
      </c>
      <c r="L1015" s="680"/>
      <c r="M1015" s="681">
        <v>10000</v>
      </c>
      <c r="N1015" s="681"/>
      <c r="O1015" s="681">
        <v>9994</v>
      </c>
      <c r="P1015" s="680">
        <v>0</v>
      </c>
      <c r="Q1015" s="682">
        <v>9994</v>
      </c>
      <c r="R1015" s="681">
        <v>6</v>
      </c>
      <c r="S1015" s="658"/>
    </row>
    <row r="1016" spans="1:19" s="659" customFormat="1" ht="20.100000000000001" customHeight="1">
      <c r="A1016" s="657" t="s">
        <v>8798</v>
      </c>
      <c r="B1016" s="649" t="s">
        <v>12440</v>
      </c>
      <c r="C1016" s="621"/>
      <c r="D1016" s="621"/>
      <c r="E1016" s="649" t="s">
        <v>189</v>
      </c>
      <c r="F1016" s="622" t="s">
        <v>8801</v>
      </c>
      <c r="G1016" s="622" t="s">
        <v>2413</v>
      </c>
      <c r="H1016" s="649" t="s">
        <v>12441</v>
      </c>
      <c r="I1016" s="652" t="s">
        <v>11</v>
      </c>
      <c r="J1016" s="622" t="s">
        <v>8792</v>
      </c>
      <c r="K1016" s="680">
        <v>2975</v>
      </c>
      <c r="L1016" s="680"/>
      <c r="M1016" s="681">
        <v>10000</v>
      </c>
      <c r="N1016" s="681"/>
      <c r="O1016" s="681">
        <v>0</v>
      </c>
      <c r="P1016" s="680">
        <v>0</v>
      </c>
      <c r="Q1016" s="682">
        <v>0</v>
      </c>
      <c r="R1016" s="681">
        <v>10000</v>
      </c>
      <c r="S1016" s="658"/>
    </row>
    <row r="1017" spans="1:19" s="659" customFormat="1" ht="20.100000000000001" customHeight="1">
      <c r="A1017" s="657" t="s">
        <v>8798</v>
      </c>
      <c r="B1017" s="649" t="s">
        <v>12440</v>
      </c>
      <c r="C1017" s="621"/>
      <c r="D1017" s="621"/>
      <c r="E1017" s="649" t="s">
        <v>189</v>
      </c>
      <c r="F1017" s="622" t="s">
        <v>8801</v>
      </c>
      <c r="G1017" s="622" t="s">
        <v>2413</v>
      </c>
      <c r="H1017" s="649" t="s">
        <v>12441</v>
      </c>
      <c r="I1017" s="652" t="s">
        <v>11</v>
      </c>
      <c r="J1017" s="622" t="s">
        <v>8792</v>
      </c>
      <c r="K1017" s="680">
        <v>2975</v>
      </c>
      <c r="L1017" s="680">
        <v>10000</v>
      </c>
      <c r="M1017" s="681">
        <v>0</v>
      </c>
      <c r="N1017" s="681"/>
      <c r="O1017" s="681">
        <v>10000</v>
      </c>
      <c r="P1017" s="680">
        <v>0</v>
      </c>
      <c r="Q1017" s="682">
        <v>10000</v>
      </c>
      <c r="R1017" s="681">
        <v>0</v>
      </c>
      <c r="S1017" s="658"/>
    </row>
    <row r="1018" spans="1:19" s="659" customFormat="1" ht="20.100000000000001" customHeight="1">
      <c r="A1018" s="657" t="s">
        <v>8798</v>
      </c>
      <c r="B1018" s="649" t="s">
        <v>12440</v>
      </c>
      <c r="C1018" s="621"/>
      <c r="D1018" s="621"/>
      <c r="E1018" s="649" t="s">
        <v>189</v>
      </c>
      <c r="F1018" s="622" t="s">
        <v>8801</v>
      </c>
      <c r="G1018" s="622" t="s">
        <v>2413</v>
      </c>
      <c r="H1018" s="649" t="s">
        <v>12441</v>
      </c>
      <c r="I1018" s="652" t="s">
        <v>11</v>
      </c>
      <c r="J1018" s="622" t="s">
        <v>8792</v>
      </c>
      <c r="K1018" s="680">
        <v>2975</v>
      </c>
      <c r="L1018" s="680"/>
      <c r="M1018" s="681">
        <v>20000</v>
      </c>
      <c r="N1018" s="681"/>
      <c r="O1018" s="681">
        <v>20000</v>
      </c>
      <c r="P1018" s="680">
        <v>0</v>
      </c>
      <c r="Q1018" s="682">
        <v>20000</v>
      </c>
      <c r="R1018" s="681">
        <v>0</v>
      </c>
      <c r="S1018" s="658"/>
    </row>
    <row r="1019" spans="1:19" s="659" customFormat="1" ht="20.100000000000001" customHeight="1">
      <c r="A1019" s="657" t="s">
        <v>4572</v>
      </c>
      <c r="B1019" s="649" t="s">
        <v>4491</v>
      </c>
      <c r="C1019" s="621"/>
      <c r="D1019" s="621"/>
      <c r="E1019" s="649" t="s">
        <v>4573</v>
      </c>
      <c r="F1019" s="622" t="s">
        <v>7341</v>
      </c>
      <c r="G1019" s="622" t="s">
        <v>7011</v>
      </c>
      <c r="H1019" s="649" t="s">
        <v>4574</v>
      </c>
      <c r="I1019" s="652" t="s">
        <v>658</v>
      </c>
      <c r="J1019" s="622" t="s">
        <v>7340</v>
      </c>
      <c r="K1019" s="680">
        <v>5985</v>
      </c>
      <c r="L1019" s="680">
        <v>25</v>
      </c>
      <c r="M1019" s="681">
        <v>0</v>
      </c>
      <c r="N1019" s="681"/>
      <c r="O1019" s="681">
        <v>25</v>
      </c>
      <c r="P1019" s="680">
        <v>0</v>
      </c>
      <c r="Q1019" s="682">
        <v>25</v>
      </c>
      <c r="R1019" s="681">
        <v>0</v>
      </c>
      <c r="S1019" s="658"/>
    </row>
    <row r="1020" spans="1:19" s="659" customFormat="1" ht="20.100000000000001" customHeight="1">
      <c r="A1020" s="657" t="s">
        <v>4572</v>
      </c>
      <c r="B1020" s="649" t="s">
        <v>4491</v>
      </c>
      <c r="C1020" s="621"/>
      <c r="D1020" s="621"/>
      <c r="E1020" s="649" t="s">
        <v>4573</v>
      </c>
      <c r="F1020" s="622" t="s">
        <v>7341</v>
      </c>
      <c r="G1020" s="622" t="s">
        <v>7011</v>
      </c>
      <c r="H1020" s="649" t="s">
        <v>4574</v>
      </c>
      <c r="I1020" s="652" t="s">
        <v>658</v>
      </c>
      <c r="J1020" s="622" t="s">
        <v>7340</v>
      </c>
      <c r="K1020" s="680">
        <v>5985</v>
      </c>
      <c r="L1020" s="680">
        <v>120</v>
      </c>
      <c r="M1020" s="681">
        <v>0</v>
      </c>
      <c r="N1020" s="681"/>
      <c r="O1020" s="681">
        <v>99</v>
      </c>
      <c r="P1020" s="680">
        <v>80</v>
      </c>
      <c r="Q1020" s="682">
        <v>19</v>
      </c>
      <c r="R1020" s="681">
        <v>21</v>
      </c>
      <c r="S1020" s="658"/>
    </row>
    <row r="1021" spans="1:19" s="659" customFormat="1" ht="20.100000000000001" customHeight="1">
      <c r="A1021" s="657" t="s">
        <v>4572</v>
      </c>
      <c r="B1021" s="649" t="s">
        <v>4491</v>
      </c>
      <c r="C1021" s="621"/>
      <c r="D1021" s="621"/>
      <c r="E1021" s="649" t="s">
        <v>4573</v>
      </c>
      <c r="F1021" s="622" t="s">
        <v>7341</v>
      </c>
      <c r="G1021" s="622" t="s">
        <v>7011</v>
      </c>
      <c r="H1021" s="649" t="s">
        <v>4574</v>
      </c>
      <c r="I1021" s="652" t="s">
        <v>658</v>
      </c>
      <c r="J1021" s="622" t="s">
        <v>7340</v>
      </c>
      <c r="K1021" s="680">
        <v>5985</v>
      </c>
      <c r="L1021" s="680"/>
      <c r="M1021" s="681">
        <v>140</v>
      </c>
      <c r="N1021" s="681"/>
      <c r="O1021" s="681">
        <v>30</v>
      </c>
      <c r="P1021" s="680">
        <v>30</v>
      </c>
      <c r="Q1021" s="682">
        <v>0</v>
      </c>
      <c r="R1021" s="681">
        <v>110</v>
      </c>
      <c r="S1021" s="658"/>
    </row>
    <row r="1022" spans="1:19" s="659" customFormat="1" ht="20.100000000000001" customHeight="1">
      <c r="A1022" s="657" t="s">
        <v>4576</v>
      </c>
      <c r="B1022" s="649" t="s">
        <v>1510</v>
      </c>
      <c r="C1022" s="621"/>
      <c r="D1022" s="621"/>
      <c r="E1022" s="649" t="s">
        <v>4577</v>
      </c>
      <c r="F1022" s="622" t="s">
        <v>7338</v>
      </c>
      <c r="G1022" s="622" t="s">
        <v>1449</v>
      </c>
      <c r="H1022" s="649" t="s">
        <v>4499</v>
      </c>
      <c r="I1022" s="652" t="s">
        <v>658</v>
      </c>
      <c r="J1022" s="622" t="s">
        <v>7337</v>
      </c>
      <c r="K1022" s="680">
        <v>2945</v>
      </c>
      <c r="L1022" s="680">
        <v>195</v>
      </c>
      <c r="M1022" s="681">
        <v>0</v>
      </c>
      <c r="N1022" s="681"/>
      <c r="O1022" s="681">
        <v>35</v>
      </c>
      <c r="P1022" s="680">
        <v>20</v>
      </c>
      <c r="Q1022" s="682">
        <v>15</v>
      </c>
      <c r="R1022" s="681">
        <v>160</v>
      </c>
      <c r="S1022" s="658"/>
    </row>
    <row r="1023" spans="1:19" s="659" customFormat="1" ht="20.100000000000001" customHeight="1">
      <c r="A1023" s="657" t="s">
        <v>4576</v>
      </c>
      <c r="B1023" s="649" t="s">
        <v>1510</v>
      </c>
      <c r="C1023" s="621"/>
      <c r="D1023" s="621"/>
      <c r="E1023" s="649" t="s">
        <v>4577</v>
      </c>
      <c r="F1023" s="622" t="s">
        <v>7338</v>
      </c>
      <c r="G1023" s="622" t="s">
        <v>1449</v>
      </c>
      <c r="H1023" s="649" t="s">
        <v>4499</v>
      </c>
      <c r="I1023" s="652" t="s">
        <v>658</v>
      </c>
      <c r="J1023" s="622" t="s">
        <v>7337</v>
      </c>
      <c r="K1023" s="680">
        <v>2945</v>
      </c>
      <c r="L1023" s="680"/>
      <c r="M1023" s="681">
        <v>20</v>
      </c>
      <c r="N1023" s="681"/>
      <c r="O1023" s="681">
        <v>0</v>
      </c>
      <c r="P1023" s="680">
        <v>0</v>
      </c>
      <c r="Q1023" s="682">
        <v>0</v>
      </c>
      <c r="R1023" s="681">
        <v>20</v>
      </c>
      <c r="S1023" s="658"/>
    </row>
    <row r="1024" spans="1:19" s="659" customFormat="1" ht="20.100000000000001" customHeight="1">
      <c r="A1024" s="657" t="s">
        <v>4379</v>
      </c>
      <c r="B1024" s="649" t="s">
        <v>4381</v>
      </c>
      <c r="C1024" s="621"/>
      <c r="D1024" s="621"/>
      <c r="E1024" s="649" t="s">
        <v>4380</v>
      </c>
      <c r="F1024" s="622" t="s">
        <v>8151</v>
      </c>
      <c r="G1024" s="622" t="s">
        <v>8152</v>
      </c>
      <c r="H1024" s="649" t="s">
        <v>232</v>
      </c>
      <c r="I1024" s="652" t="s">
        <v>10</v>
      </c>
      <c r="J1024" s="622" t="s">
        <v>1066</v>
      </c>
      <c r="K1024" s="680">
        <v>714</v>
      </c>
      <c r="L1024" s="680">
        <v>1869</v>
      </c>
      <c r="M1024" s="681">
        <v>0</v>
      </c>
      <c r="N1024" s="681"/>
      <c r="O1024" s="681">
        <v>1869</v>
      </c>
      <c r="P1024" s="680">
        <v>0</v>
      </c>
      <c r="Q1024" s="682">
        <v>1869</v>
      </c>
      <c r="R1024" s="681">
        <v>0</v>
      </c>
      <c r="S1024" s="658"/>
    </row>
    <row r="1025" spans="1:19" s="659" customFormat="1" ht="20.100000000000001" customHeight="1">
      <c r="A1025" s="657" t="s">
        <v>4383</v>
      </c>
      <c r="B1025" s="649" t="s">
        <v>4384</v>
      </c>
      <c r="C1025" s="621"/>
      <c r="D1025" s="621"/>
      <c r="E1025" s="649" t="s">
        <v>827</v>
      </c>
      <c r="F1025" s="622" t="s">
        <v>828</v>
      </c>
      <c r="G1025" s="622" t="s">
        <v>806</v>
      </c>
      <c r="H1025" s="649" t="s">
        <v>4385</v>
      </c>
      <c r="I1025" s="652" t="s">
        <v>11</v>
      </c>
      <c r="J1025" s="622" t="s">
        <v>2204</v>
      </c>
      <c r="K1025" s="680">
        <v>181</v>
      </c>
      <c r="L1025" s="680">
        <v>6</v>
      </c>
      <c r="M1025" s="681">
        <v>0</v>
      </c>
      <c r="N1025" s="681"/>
      <c r="O1025" s="681">
        <v>6</v>
      </c>
      <c r="P1025" s="680">
        <v>0</v>
      </c>
      <c r="Q1025" s="682">
        <v>6</v>
      </c>
      <c r="R1025" s="681">
        <v>0</v>
      </c>
      <c r="S1025" s="658"/>
    </row>
    <row r="1026" spans="1:19" s="659" customFormat="1" ht="20.100000000000001" customHeight="1">
      <c r="A1026" s="657" t="s">
        <v>7688</v>
      </c>
      <c r="B1026" s="649" t="s">
        <v>836</v>
      </c>
      <c r="C1026" s="621"/>
      <c r="D1026" s="621"/>
      <c r="E1026" s="649" t="s">
        <v>7690</v>
      </c>
      <c r="F1026" s="622" t="s">
        <v>7691</v>
      </c>
      <c r="G1026" s="622" t="s">
        <v>6979</v>
      </c>
      <c r="H1026" s="649" t="s">
        <v>7689</v>
      </c>
      <c r="I1026" s="652" t="s">
        <v>11</v>
      </c>
      <c r="J1026" s="622" t="s">
        <v>6767</v>
      </c>
      <c r="K1026" s="680">
        <v>1260</v>
      </c>
      <c r="L1026" s="680"/>
      <c r="M1026" s="681">
        <v>14000</v>
      </c>
      <c r="N1026" s="681"/>
      <c r="O1026" s="681">
        <v>4000</v>
      </c>
      <c r="P1026" s="680">
        <v>4000</v>
      </c>
      <c r="Q1026" s="682">
        <v>0</v>
      </c>
      <c r="R1026" s="681">
        <v>10000</v>
      </c>
      <c r="S1026" s="658"/>
    </row>
    <row r="1027" spans="1:19" s="659" customFormat="1" ht="20.100000000000001" customHeight="1">
      <c r="A1027" s="657" t="s">
        <v>5372</v>
      </c>
      <c r="B1027" s="649" t="s">
        <v>433</v>
      </c>
      <c r="C1027" s="621"/>
      <c r="D1027" s="621"/>
      <c r="E1027" s="649" t="s">
        <v>496</v>
      </c>
      <c r="F1027" s="622" t="s">
        <v>497</v>
      </c>
      <c r="G1027" s="622" t="s">
        <v>492</v>
      </c>
      <c r="H1027" s="649" t="s">
        <v>272</v>
      </c>
      <c r="I1027" s="652" t="s">
        <v>10</v>
      </c>
      <c r="J1027" s="622" t="s">
        <v>5107</v>
      </c>
      <c r="K1027" s="680">
        <v>1193</v>
      </c>
      <c r="L1027" s="680"/>
      <c r="M1027" s="681">
        <v>4960</v>
      </c>
      <c r="N1027" s="681"/>
      <c r="O1027" s="681">
        <v>4960</v>
      </c>
      <c r="P1027" s="680">
        <v>4960</v>
      </c>
      <c r="Q1027" s="682">
        <v>0</v>
      </c>
      <c r="R1027" s="681">
        <v>0</v>
      </c>
      <c r="S1027" s="658"/>
    </row>
    <row r="1028" spans="1:19" s="659" customFormat="1" ht="20.100000000000001" customHeight="1">
      <c r="A1028" s="657" t="s">
        <v>5378</v>
      </c>
      <c r="B1028" s="649" t="s">
        <v>433</v>
      </c>
      <c r="C1028" s="621"/>
      <c r="D1028" s="621"/>
      <c r="E1028" s="649" t="s">
        <v>498</v>
      </c>
      <c r="F1028" s="622" t="s">
        <v>499</v>
      </c>
      <c r="G1028" s="622" t="s">
        <v>492</v>
      </c>
      <c r="H1028" s="649" t="s">
        <v>225</v>
      </c>
      <c r="I1028" s="652" t="s">
        <v>10</v>
      </c>
      <c r="J1028" s="622" t="s">
        <v>5379</v>
      </c>
      <c r="K1028" s="680">
        <v>2038</v>
      </c>
      <c r="L1028" s="680"/>
      <c r="M1028" s="681">
        <v>4960</v>
      </c>
      <c r="N1028" s="681"/>
      <c r="O1028" s="681">
        <v>4960</v>
      </c>
      <c r="P1028" s="680">
        <v>4960</v>
      </c>
      <c r="Q1028" s="682">
        <v>0</v>
      </c>
      <c r="R1028" s="681">
        <v>0</v>
      </c>
      <c r="S1028" s="658"/>
    </row>
    <row r="1029" spans="1:19" s="659" customFormat="1" ht="20.100000000000001" customHeight="1">
      <c r="A1029" s="657" t="s">
        <v>4387</v>
      </c>
      <c r="B1029" s="649" t="s">
        <v>736</v>
      </c>
      <c r="C1029" s="621"/>
      <c r="D1029" s="621"/>
      <c r="E1029" s="649" t="s">
        <v>4388</v>
      </c>
      <c r="F1029" s="622" t="s">
        <v>11228</v>
      </c>
      <c r="G1029" s="622" t="s">
        <v>772</v>
      </c>
      <c r="H1029" s="649" t="s">
        <v>1592</v>
      </c>
      <c r="I1029" s="652" t="s">
        <v>13</v>
      </c>
      <c r="J1029" s="622" t="s">
        <v>10042</v>
      </c>
      <c r="K1029" s="680">
        <v>3950</v>
      </c>
      <c r="L1029" s="680">
        <v>27532</v>
      </c>
      <c r="M1029" s="681">
        <v>0</v>
      </c>
      <c r="N1029" s="681"/>
      <c r="O1029" s="681">
        <v>27532</v>
      </c>
      <c r="P1029" s="680">
        <v>4900</v>
      </c>
      <c r="Q1029" s="682">
        <v>22632</v>
      </c>
      <c r="R1029" s="681">
        <v>0</v>
      </c>
      <c r="S1029" s="658"/>
    </row>
    <row r="1030" spans="1:19" s="659" customFormat="1" ht="20.100000000000001" customHeight="1">
      <c r="A1030" s="657" t="s">
        <v>4391</v>
      </c>
      <c r="B1030" s="649" t="s">
        <v>4392</v>
      </c>
      <c r="C1030" s="621"/>
      <c r="D1030" s="621"/>
      <c r="E1030" s="649" t="s">
        <v>1882</v>
      </c>
      <c r="F1030" s="622" t="s">
        <v>1883</v>
      </c>
      <c r="G1030" s="622" t="s">
        <v>2385</v>
      </c>
      <c r="H1030" s="649" t="s">
        <v>291</v>
      </c>
      <c r="I1030" s="652" t="s">
        <v>11</v>
      </c>
      <c r="J1030" s="622" t="s">
        <v>6982</v>
      </c>
      <c r="K1030" s="680">
        <v>508</v>
      </c>
      <c r="L1030" s="680"/>
      <c r="M1030" s="681">
        <v>2000</v>
      </c>
      <c r="N1030" s="681"/>
      <c r="O1030" s="681">
        <v>2000</v>
      </c>
      <c r="P1030" s="680">
        <v>2000</v>
      </c>
      <c r="Q1030" s="682">
        <v>0</v>
      </c>
      <c r="R1030" s="681">
        <v>0</v>
      </c>
      <c r="S1030" s="658"/>
    </row>
    <row r="1031" spans="1:19" s="659" customFormat="1" ht="20.100000000000001" customHeight="1">
      <c r="A1031" s="657" t="s">
        <v>4391</v>
      </c>
      <c r="B1031" s="649" t="s">
        <v>4392</v>
      </c>
      <c r="C1031" s="621"/>
      <c r="D1031" s="621"/>
      <c r="E1031" s="649" t="s">
        <v>1882</v>
      </c>
      <c r="F1031" s="622" t="s">
        <v>1883</v>
      </c>
      <c r="G1031" s="622" t="s">
        <v>2385</v>
      </c>
      <c r="H1031" s="649" t="s">
        <v>291</v>
      </c>
      <c r="I1031" s="652" t="s">
        <v>11</v>
      </c>
      <c r="J1031" s="622" t="s">
        <v>6982</v>
      </c>
      <c r="K1031" s="680">
        <v>508</v>
      </c>
      <c r="L1031" s="680">
        <v>2000</v>
      </c>
      <c r="M1031" s="681">
        <v>0</v>
      </c>
      <c r="N1031" s="681"/>
      <c r="O1031" s="681">
        <v>2000</v>
      </c>
      <c r="P1031" s="680">
        <v>2000</v>
      </c>
      <c r="Q1031" s="682">
        <v>0</v>
      </c>
      <c r="R1031" s="681">
        <v>0</v>
      </c>
      <c r="S1031" s="658"/>
    </row>
    <row r="1032" spans="1:19" s="659" customFormat="1" ht="20.100000000000001" customHeight="1">
      <c r="A1032" s="657" t="s">
        <v>4368</v>
      </c>
      <c r="B1032" s="649" t="s">
        <v>1307</v>
      </c>
      <c r="C1032" s="621"/>
      <c r="D1032" s="621"/>
      <c r="E1032" s="649" t="s">
        <v>4394</v>
      </c>
      <c r="F1032" s="622" t="s">
        <v>8091</v>
      </c>
      <c r="G1032" s="622" t="s">
        <v>2385</v>
      </c>
      <c r="H1032" s="649" t="s">
        <v>1004</v>
      </c>
      <c r="I1032" s="652" t="s">
        <v>11</v>
      </c>
      <c r="J1032" s="622" t="s">
        <v>8090</v>
      </c>
      <c r="K1032" s="680">
        <v>72</v>
      </c>
      <c r="L1032" s="680"/>
      <c r="M1032" s="681">
        <v>28000</v>
      </c>
      <c r="N1032" s="681"/>
      <c r="O1032" s="681">
        <v>23000</v>
      </c>
      <c r="P1032" s="680">
        <v>23000</v>
      </c>
      <c r="Q1032" s="682">
        <v>0</v>
      </c>
      <c r="R1032" s="681">
        <v>5000</v>
      </c>
      <c r="S1032" s="658"/>
    </row>
    <row r="1033" spans="1:19" s="659" customFormat="1" ht="20.100000000000001" customHeight="1">
      <c r="A1033" s="657" t="s">
        <v>4368</v>
      </c>
      <c r="B1033" s="649" t="s">
        <v>1307</v>
      </c>
      <c r="C1033" s="621"/>
      <c r="D1033" s="621"/>
      <c r="E1033" s="649" t="s">
        <v>4394</v>
      </c>
      <c r="F1033" s="622" t="s">
        <v>8091</v>
      </c>
      <c r="G1033" s="622" t="s">
        <v>2385</v>
      </c>
      <c r="H1033" s="649" t="s">
        <v>1004</v>
      </c>
      <c r="I1033" s="652" t="s">
        <v>11</v>
      </c>
      <c r="J1033" s="622" t="s">
        <v>8090</v>
      </c>
      <c r="K1033" s="680">
        <v>72</v>
      </c>
      <c r="L1033" s="680">
        <v>4284</v>
      </c>
      <c r="M1033" s="681">
        <v>0</v>
      </c>
      <c r="N1033" s="681"/>
      <c r="O1033" s="681">
        <v>4284</v>
      </c>
      <c r="P1033" s="680">
        <v>0</v>
      </c>
      <c r="Q1033" s="682">
        <v>4284</v>
      </c>
      <c r="R1033" s="681">
        <v>0</v>
      </c>
      <c r="S1033" s="658"/>
    </row>
    <row r="1034" spans="1:19" s="659" customFormat="1" ht="20.100000000000001" customHeight="1">
      <c r="A1034" s="657" t="s">
        <v>4368</v>
      </c>
      <c r="B1034" s="649" t="s">
        <v>1307</v>
      </c>
      <c r="C1034" s="621"/>
      <c r="D1034" s="621"/>
      <c r="E1034" s="649" t="s">
        <v>4394</v>
      </c>
      <c r="F1034" s="622" t="s">
        <v>8091</v>
      </c>
      <c r="G1034" s="622" t="s">
        <v>2385</v>
      </c>
      <c r="H1034" s="649" t="s">
        <v>1004</v>
      </c>
      <c r="I1034" s="652" t="s">
        <v>11</v>
      </c>
      <c r="J1034" s="622" t="s">
        <v>8090</v>
      </c>
      <c r="K1034" s="680">
        <v>72</v>
      </c>
      <c r="L1034" s="680">
        <v>1000</v>
      </c>
      <c r="M1034" s="681">
        <v>0</v>
      </c>
      <c r="N1034" s="681"/>
      <c r="O1034" s="681">
        <v>1000</v>
      </c>
      <c r="P1034" s="680">
        <v>1000</v>
      </c>
      <c r="Q1034" s="682">
        <v>0</v>
      </c>
      <c r="R1034" s="681">
        <v>0</v>
      </c>
      <c r="S1034" s="658"/>
    </row>
    <row r="1035" spans="1:19" s="659" customFormat="1" ht="20.100000000000001" customHeight="1">
      <c r="A1035" s="657" t="s">
        <v>4397</v>
      </c>
      <c r="B1035" s="649" t="s">
        <v>4399</v>
      </c>
      <c r="C1035" s="621"/>
      <c r="D1035" s="621"/>
      <c r="E1035" s="649" t="s">
        <v>4398</v>
      </c>
      <c r="F1035" s="622" t="s">
        <v>8441</v>
      </c>
      <c r="G1035" s="622" t="s">
        <v>2114</v>
      </c>
      <c r="H1035" s="649" t="s">
        <v>4400</v>
      </c>
      <c r="I1035" s="652" t="s">
        <v>11</v>
      </c>
      <c r="J1035" s="622" t="s">
        <v>8440</v>
      </c>
      <c r="K1035" s="680">
        <v>12482</v>
      </c>
      <c r="L1035" s="680"/>
      <c r="M1035" s="681">
        <v>2940</v>
      </c>
      <c r="N1035" s="681"/>
      <c r="O1035" s="681">
        <v>0</v>
      </c>
      <c r="P1035" s="680">
        <v>0</v>
      </c>
      <c r="Q1035" s="682">
        <v>0</v>
      </c>
      <c r="R1035" s="681">
        <v>2940</v>
      </c>
      <c r="S1035" s="658"/>
    </row>
    <row r="1036" spans="1:19" s="659" customFormat="1" ht="20.100000000000001" customHeight="1">
      <c r="A1036" s="657" t="s">
        <v>4397</v>
      </c>
      <c r="B1036" s="649" t="s">
        <v>4399</v>
      </c>
      <c r="C1036" s="621"/>
      <c r="D1036" s="621"/>
      <c r="E1036" s="649" t="s">
        <v>4398</v>
      </c>
      <c r="F1036" s="622" t="s">
        <v>8441</v>
      </c>
      <c r="G1036" s="622" t="s">
        <v>2114</v>
      </c>
      <c r="H1036" s="649" t="s">
        <v>4400</v>
      </c>
      <c r="I1036" s="652" t="s">
        <v>11</v>
      </c>
      <c r="J1036" s="622" t="s">
        <v>8440</v>
      </c>
      <c r="K1036" s="680">
        <v>12482</v>
      </c>
      <c r="L1036" s="680">
        <v>1960</v>
      </c>
      <c r="M1036" s="681">
        <v>0</v>
      </c>
      <c r="N1036" s="681"/>
      <c r="O1036" s="681">
        <v>1611</v>
      </c>
      <c r="P1036" s="680">
        <v>0</v>
      </c>
      <c r="Q1036" s="682">
        <v>1611</v>
      </c>
      <c r="R1036" s="681">
        <v>349</v>
      </c>
      <c r="S1036" s="658"/>
    </row>
    <row r="1037" spans="1:19" s="659" customFormat="1" ht="20.100000000000001" customHeight="1">
      <c r="A1037" s="657" t="s">
        <v>4402</v>
      </c>
      <c r="B1037" s="649" t="s">
        <v>4403</v>
      </c>
      <c r="C1037" s="621"/>
      <c r="D1037" s="621"/>
      <c r="E1037" s="649" t="s">
        <v>3672</v>
      </c>
      <c r="F1037" s="622" t="s">
        <v>6368</v>
      </c>
      <c r="G1037" s="622" t="s">
        <v>6363</v>
      </c>
      <c r="H1037" s="649" t="s">
        <v>299</v>
      </c>
      <c r="I1037" s="652" t="s">
        <v>1011</v>
      </c>
      <c r="J1037" s="622" t="s">
        <v>6367</v>
      </c>
      <c r="K1037" s="680">
        <v>13000</v>
      </c>
      <c r="L1037" s="680">
        <v>47</v>
      </c>
      <c r="M1037" s="681">
        <v>0</v>
      </c>
      <c r="N1037" s="681"/>
      <c r="O1037" s="681">
        <v>47</v>
      </c>
      <c r="P1037" s="680">
        <v>0</v>
      </c>
      <c r="Q1037" s="682">
        <v>47</v>
      </c>
      <c r="R1037" s="681">
        <v>0</v>
      </c>
      <c r="S1037" s="658"/>
    </row>
    <row r="1038" spans="1:19" s="659" customFormat="1" ht="20.100000000000001" customHeight="1">
      <c r="A1038" s="657" t="s">
        <v>4402</v>
      </c>
      <c r="B1038" s="649" t="s">
        <v>4403</v>
      </c>
      <c r="C1038" s="621"/>
      <c r="D1038" s="621"/>
      <c r="E1038" s="649" t="s">
        <v>6366</v>
      </c>
      <c r="F1038" s="622" t="s">
        <v>6368</v>
      </c>
      <c r="G1038" s="622" t="s">
        <v>6363</v>
      </c>
      <c r="H1038" s="649" t="s">
        <v>299</v>
      </c>
      <c r="I1038" s="652" t="s">
        <v>11</v>
      </c>
      <c r="J1038" s="622" t="s">
        <v>6367</v>
      </c>
      <c r="K1038" s="680">
        <v>13000</v>
      </c>
      <c r="L1038" s="680"/>
      <c r="M1038" s="681">
        <v>300</v>
      </c>
      <c r="N1038" s="681"/>
      <c r="O1038" s="681">
        <v>31</v>
      </c>
      <c r="P1038" s="680">
        <v>0</v>
      </c>
      <c r="Q1038" s="682">
        <v>31</v>
      </c>
      <c r="R1038" s="681">
        <v>269</v>
      </c>
      <c r="S1038" s="658"/>
    </row>
    <row r="1039" spans="1:19" s="659" customFormat="1" ht="20.100000000000001" customHeight="1">
      <c r="A1039" s="657" t="s">
        <v>4761</v>
      </c>
      <c r="B1039" s="649" t="s">
        <v>200</v>
      </c>
      <c r="C1039" s="621"/>
      <c r="D1039" s="621"/>
      <c r="E1039" s="649" t="s">
        <v>199</v>
      </c>
      <c r="F1039" s="622" t="s">
        <v>8804</v>
      </c>
      <c r="G1039" s="622" t="s">
        <v>2397</v>
      </c>
      <c r="H1039" s="649" t="s">
        <v>4762</v>
      </c>
      <c r="I1039" s="652" t="s">
        <v>11</v>
      </c>
      <c r="J1039" s="622" t="s">
        <v>8657</v>
      </c>
      <c r="K1039" s="680">
        <v>720</v>
      </c>
      <c r="L1039" s="680">
        <v>10000</v>
      </c>
      <c r="M1039" s="681">
        <v>0</v>
      </c>
      <c r="N1039" s="681"/>
      <c r="O1039" s="681">
        <v>10000</v>
      </c>
      <c r="P1039" s="680">
        <v>500</v>
      </c>
      <c r="Q1039" s="682">
        <v>9500</v>
      </c>
      <c r="R1039" s="681">
        <v>0</v>
      </c>
      <c r="S1039" s="658"/>
    </row>
    <row r="1040" spans="1:19" s="659" customFormat="1" ht="20.100000000000001" customHeight="1">
      <c r="A1040" s="657" t="s">
        <v>4761</v>
      </c>
      <c r="B1040" s="649" t="s">
        <v>200</v>
      </c>
      <c r="C1040" s="621"/>
      <c r="D1040" s="621"/>
      <c r="E1040" s="649" t="s">
        <v>199</v>
      </c>
      <c r="F1040" s="622" t="s">
        <v>8804</v>
      </c>
      <c r="G1040" s="622" t="s">
        <v>2397</v>
      </c>
      <c r="H1040" s="649" t="s">
        <v>4762</v>
      </c>
      <c r="I1040" s="652" t="s">
        <v>11</v>
      </c>
      <c r="J1040" s="622" t="s">
        <v>8657</v>
      </c>
      <c r="K1040" s="680">
        <v>720</v>
      </c>
      <c r="L1040" s="680"/>
      <c r="M1040" s="681">
        <v>20000</v>
      </c>
      <c r="N1040" s="681"/>
      <c r="O1040" s="681">
        <v>20000</v>
      </c>
      <c r="P1040" s="680">
        <v>500</v>
      </c>
      <c r="Q1040" s="682">
        <v>19500</v>
      </c>
      <c r="R1040" s="681">
        <v>0</v>
      </c>
      <c r="S1040" s="658"/>
    </row>
    <row r="1041" spans="1:19" s="659" customFormat="1" ht="20.100000000000001" customHeight="1">
      <c r="A1041" s="657" t="s">
        <v>4761</v>
      </c>
      <c r="B1041" s="649" t="s">
        <v>200</v>
      </c>
      <c r="C1041" s="621"/>
      <c r="D1041" s="621"/>
      <c r="E1041" s="649" t="s">
        <v>199</v>
      </c>
      <c r="F1041" s="622" t="s">
        <v>8804</v>
      </c>
      <c r="G1041" s="622" t="s">
        <v>2397</v>
      </c>
      <c r="H1041" s="649" t="s">
        <v>4762</v>
      </c>
      <c r="I1041" s="652" t="s">
        <v>11</v>
      </c>
      <c r="J1041" s="622" t="s">
        <v>8657</v>
      </c>
      <c r="K1041" s="680">
        <v>720</v>
      </c>
      <c r="L1041" s="680"/>
      <c r="M1041" s="681">
        <v>20000</v>
      </c>
      <c r="N1041" s="681"/>
      <c r="O1041" s="681">
        <v>0</v>
      </c>
      <c r="P1041" s="680">
        <v>0</v>
      </c>
      <c r="Q1041" s="682">
        <v>0</v>
      </c>
      <c r="R1041" s="681">
        <v>20000</v>
      </c>
      <c r="S1041" s="658"/>
    </row>
    <row r="1042" spans="1:19" s="659" customFormat="1" ht="20.100000000000001" customHeight="1">
      <c r="A1042" s="657" t="s">
        <v>4761</v>
      </c>
      <c r="B1042" s="649" t="s">
        <v>200</v>
      </c>
      <c r="C1042" s="621"/>
      <c r="D1042" s="621"/>
      <c r="E1042" s="649" t="s">
        <v>199</v>
      </c>
      <c r="F1042" s="622" t="s">
        <v>8804</v>
      </c>
      <c r="G1042" s="622" t="s">
        <v>2397</v>
      </c>
      <c r="H1042" s="649" t="s">
        <v>4762</v>
      </c>
      <c r="I1042" s="652" t="s">
        <v>11</v>
      </c>
      <c r="J1042" s="622" t="s">
        <v>8657</v>
      </c>
      <c r="K1042" s="680">
        <v>720</v>
      </c>
      <c r="L1042" s="680"/>
      <c r="M1042" s="681">
        <v>10000</v>
      </c>
      <c r="N1042" s="681"/>
      <c r="O1042" s="681">
        <v>10000</v>
      </c>
      <c r="P1042" s="680">
        <v>0</v>
      </c>
      <c r="Q1042" s="682">
        <v>10000</v>
      </c>
      <c r="R1042" s="681">
        <v>0</v>
      </c>
      <c r="S1042" s="658"/>
    </row>
    <row r="1043" spans="1:19" s="659" customFormat="1" ht="20.100000000000001" customHeight="1">
      <c r="A1043" s="657" t="s">
        <v>3913</v>
      </c>
      <c r="B1043" s="649" t="s">
        <v>1326</v>
      </c>
      <c r="C1043" s="621"/>
      <c r="D1043" s="621"/>
      <c r="E1043" s="649" t="s">
        <v>4405</v>
      </c>
      <c r="F1043" s="622" t="s">
        <v>8154</v>
      </c>
      <c r="G1043" s="622" t="s">
        <v>2385</v>
      </c>
      <c r="H1043" s="649" t="s">
        <v>222</v>
      </c>
      <c r="I1043" s="652" t="s">
        <v>11</v>
      </c>
      <c r="J1043" s="622" t="s">
        <v>6982</v>
      </c>
      <c r="K1043" s="680">
        <v>47</v>
      </c>
      <c r="L1043" s="680"/>
      <c r="M1043" s="681">
        <v>28000</v>
      </c>
      <c r="N1043" s="681"/>
      <c r="O1043" s="681">
        <v>25000</v>
      </c>
      <c r="P1043" s="680">
        <v>25000</v>
      </c>
      <c r="Q1043" s="682">
        <v>0</v>
      </c>
      <c r="R1043" s="681">
        <v>3000</v>
      </c>
      <c r="S1043" s="658"/>
    </row>
    <row r="1044" spans="1:19" s="659" customFormat="1" ht="20.100000000000001" customHeight="1">
      <c r="A1044" s="657" t="s">
        <v>5044</v>
      </c>
      <c r="B1044" s="649" t="s">
        <v>1127</v>
      </c>
      <c r="C1044" s="621"/>
      <c r="D1044" s="621"/>
      <c r="E1044" s="649" t="s">
        <v>5045</v>
      </c>
      <c r="F1044" s="622" t="s">
        <v>7152</v>
      </c>
      <c r="G1044" s="622" t="s">
        <v>2385</v>
      </c>
      <c r="H1044" s="649" t="s">
        <v>5046</v>
      </c>
      <c r="I1044" s="652" t="s">
        <v>11</v>
      </c>
      <c r="J1044" s="622" t="s">
        <v>7150</v>
      </c>
      <c r="K1044" s="680">
        <v>378</v>
      </c>
      <c r="L1044" s="680"/>
      <c r="M1044" s="681">
        <v>19000</v>
      </c>
      <c r="N1044" s="681"/>
      <c r="O1044" s="681">
        <v>19000</v>
      </c>
      <c r="P1044" s="680">
        <v>19000</v>
      </c>
      <c r="Q1044" s="682">
        <v>0</v>
      </c>
      <c r="R1044" s="681">
        <v>0</v>
      </c>
      <c r="S1044" s="658"/>
    </row>
    <row r="1045" spans="1:19" s="659" customFormat="1" ht="20.100000000000001" customHeight="1">
      <c r="A1045" s="657" t="s">
        <v>4406</v>
      </c>
      <c r="B1045" s="649" t="s">
        <v>1212</v>
      </c>
      <c r="C1045" s="621"/>
      <c r="D1045" s="621"/>
      <c r="E1045" s="649" t="s">
        <v>4407</v>
      </c>
      <c r="F1045" s="622" t="s">
        <v>8023</v>
      </c>
      <c r="G1045" s="622" t="s">
        <v>2385</v>
      </c>
      <c r="H1045" s="649" t="s">
        <v>945</v>
      </c>
      <c r="I1045" s="652" t="s">
        <v>12</v>
      </c>
      <c r="J1045" s="622" t="s">
        <v>8022</v>
      </c>
      <c r="K1045" s="680">
        <v>728</v>
      </c>
      <c r="L1045" s="680"/>
      <c r="M1045" s="681">
        <v>3800</v>
      </c>
      <c r="N1045" s="681"/>
      <c r="O1045" s="681">
        <v>3800</v>
      </c>
      <c r="P1045" s="680">
        <v>3800</v>
      </c>
      <c r="Q1045" s="682">
        <v>0</v>
      </c>
      <c r="R1045" s="681">
        <v>0</v>
      </c>
      <c r="S1045" s="658"/>
    </row>
    <row r="1046" spans="1:19" s="659" customFormat="1" ht="20.100000000000001" customHeight="1">
      <c r="A1046" s="657" t="s">
        <v>4406</v>
      </c>
      <c r="B1046" s="649" t="s">
        <v>1212</v>
      </c>
      <c r="C1046" s="621"/>
      <c r="D1046" s="621"/>
      <c r="E1046" s="649" t="s">
        <v>4407</v>
      </c>
      <c r="F1046" s="622" t="s">
        <v>8023</v>
      </c>
      <c r="G1046" s="622" t="s">
        <v>2385</v>
      </c>
      <c r="H1046" s="649" t="s">
        <v>945</v>
      </c>
      <c r="I1046" s="652" t="s">
        <v>12</v>
      </c>
      <c r="J1046" s="622" t="s">
        <v>8022</v>
      </c>
      <c r="K1046" s="680">
        <v>728</v>
      </c>
      <c r="L1046" s="680"/>
      <c r="M1046" s="681">
        <v>1400</v>
      </c>
      <c r="N1046" s="681"/>
      <c r="O1046" s="681">
        <v>1400</v>
      </c>
      <c r="P1046" s="680">
        <v>1400</v>
      </c>
      <c r="Q1046" s="682">
        <v>0</v>
      </c>
      <c r="R1046" s="681">
        <v>0</v>
      </c>
      <c r="S1046" s="658"/>
    </row>
    <row r="1047" spans="1:19" s="659" customFormat="1" ht="20.100000000000001" customHeight="1">
      <c r="A1047" s="657" t="s">
        <v>4408</v>
      </c>
      <c r="B1047" s="649" t="s">
        <v>1289</v>
      </c>
      <c r="C1047" s="621"/>
      <c r="D1047" s="621"/>
      <c r="E1047" s="649" t="s">
        <v>4409</v>
      </c>
      <c r="F1047" s="622" t="s">
        <v>7132</v>
      </c>
      <c r="G1047" s="622" t="s">
        <v>2385</v>
      </c>
      <c r="H1047" s="649" t="s">
        <v>1290</v>
      </c>
      <c r="I1047" s="652" t="s">
        <v>11</v>
      </c>
      <c r="J1047" s="622" t="s">
        <v>7131</v>
      </c>
      <c r="K1047" s="680">
        <v>434</v>
      </c>
      <c r="L1047" s="680">
        <v>7405</v>
      </c>
      <c r="M1047" s="681">
        <v>0</v>
      </c>
      <c r="N1047" s="681"/>
      <c r="O1047" s="681">
        <v>2692</v>
      </c>
      <c r="P1047" s="680">
        <v>0</v>
      </c>
      <c r="Q1047" s="682">
        <v>2692</v>
      </c>
      <c r="R1047" s="681">
        <v>4713</v>
      </c>
      <c r="S1047" s="658"/>
    </row>
    <row r="1048" spans="1:19" s="659" customFormat="1" ht="20.100000000000001" customHeight="1">
      <c r="A1048" s="657" t="s">
        <v>4411</v>
      </c>
      <c r="B1048" s="649" t="s">
        <v>392</v>
      </c>
      <c r="C1048" s="621"/>
      <c r="D1048" s="621"/>
      <c r="E1048" s="649" t="s">
        <v>3472</v>
      </c>
      <c r="F1048" s="622" t="s">
        <v>7935</v>
      </c>
      <c r="G1048" s="622" t="s">
        <v>2385</v>
      </c>
      <c r="H1048" s="649" t="s">
        <v>267</v>
      </c>
      <c r="I1048" s="652" t="s">
        <v>11</v>
      </c>
      <c r="J1048" s="622" t="s">
        <v>7934</v>
      </c>
      <c r="K1048" s="680">
        <v>287</v>
      </c>
      <c r="L1048" s="680"/>
      <c r="M1048" s="681">
        <v>2000</v>
      </c>
      <c r="N1048" s="681"/>
      <c r="O1048" s="681">
        <v>2000</v>
      </c>
      <c r="P1048" s="680">
        <v>2000</v>
      </c>
      <c r="Q1048" s="682">
        <v>0</v>
      </c>
      <c r="R1048" s="681">
        <v>0</v>
      </c>
      <c r="S1048" s="658"/>
    </row>
    <row r="1049" spans="1:19" s="659" customFormat="1" ht="20.100000000000001" customHeight="1">
      <c r="A1049" s="657" t="s">
        <v>4411</v>
      </c>
      <c r="B1049" s="649" t="s">
        <v>392</v>
      </c>
      <c r="C1049" s="621"/>
      <c r="D1049" s="621"/>
      <c r="E1049" s="649" t="s">
        <v>3472</v>
      </c>
      <c r="F1049" s="622" t="s">
        <v>7935</v>
      </c>
      <c r="G1049" s="622" t="s">
        <v>2385</v>
      </c>
      <c r="H1049" s="649" t="s">
        <v>267</v>
      </c>
      <c r="I1049" s="652" t="s">
        <v>11</v>
      </c>
      <c r="J1049" s="622" t="s">
        <v>7934</v>
      </c>
      <c r="K1049" s="680">
        <v>287</v>
      </c>
      <c r="L1049" s="680"/>
      <c r="M1049" s="681">
        <v>5000</v>
      </c>
      <c r="N1049" s="681"/>
      <c r="O1049" s="681">
        <v>3000</v>
      </c>
      <c r="P1049" s="680">
        <v>3000</v>
      </c>
      <c r="Q1049" s="682">
        <v>0</v>
      </c>
      <c r="R1049" s="681">
        <v>2000</v>
      </c>
      <c r="S1049" s="658"/>
    </row>
    <row r="1050" spans="1:19" s="659" customFormat="1" ht="20.100000000000001" customHeight="1">
      <c r="A1050" s="657" t="s">
        <v>4412</v>
      </c>
      <c r="B1050" s="649" t="s">
        <v>4414</v>
      </c>
      <c r="C1050" s="621"/>
      <c r="D1050" s="621"/>
      <c r="E1050" s="649" t="s">
        <v>4413</v>
      </c>
      <c r="F1050" s="622" t="s">
        <v>7614</v>
      </c>
      <c r="G1050" s="622" t="s">
        <v>2385</v>
      </c>
      <c r="H1050" s="649" t="s">
        <v>4415</v>
      </c>
      <c r="I1050" s="652" t="s">
        <v>11</v>
      </c>
      <c r="J1050" s="622" t="s">
        <v>6935</v>
      </c>
      <c r="K1050" s="680">
        <v>348</v>
      </c>
      <c r="L1050" s="680"/>
      <c r="M1050" s="681">
        <v>10000</v>
      </c>
      <c r="N1050" s="681"/>
      <c r="O1050" s="681">
        <v>10000</v>
      </c>
      <c r="P1050" s="680">
        <v>1000</v>
      </c>
      <c r="Q1050" s="682">
        <v>9000</v>
      </c>
      <c r="R1050" s="681">
        <v>0</v>
      </c>
      <c r="S1050" s="658"/>
    </row>
    <row r="1051" spans="1:19" s="659" customFormat="1" ht="20.100000000000001" customHeight="1">
      <c r="A1051" s="657" t="s">
        <v>8653</v>
      </c>
      <c r="B1051" s="649" t="s">
        <v>12452</v>
      </c>
      <c r="C1051" s="621"/>
      <c r="D1051" s="621"/>
      <c r="E1051" s="649" t="s">
        <v>12451</v>
      </c>
      <c r="F1051" s="622" t="s">
        <v>8658</v>
      </c>
      <c r="G1051" s="622" t="s">
        <v>2397</v>
      </c>
      <c r="H1051" s="649" t="s">
        <v>12453</v>
      </c>
      <c r="I1051" s="652" t="s">
        <v>11</v>
      </c>
      <c r="J1051" s="622" t="s">
        <v>8657</v>
      </c>
      <c r="K1051" s="680">
        <v>1020</v>
      </c>
      <c r="L1051" s="680"/>
      <c r="M1051" s="681">
        <v>6000</v>
      </c>
      <c r="N1051" s="681"/>
      <c r="O1051" s="681">
        <v>6000</v>
      </c>
      <c r="P1051" s="680">
        <v>0</v>
      </c>
      <c r="Q1051" s="682">
        <v>6000</v>
      </c>
      <c r="R1051" s="681">
        <v>0</v>
      </c>
      <c r="S1051" s="658"/>
    </row>
    <row r="1052" spans="1:19" s="659" customFormat="1" ht="20.100000000000001" customHeight="1">
      <c r="A1052" s="657" t="s">
        <v>8653</v>
      </c>
      <c r="B1052" s="649" t="s">
        <v>12452</v>
      </c>
      <c r="C1052" s="621"/>
      <c r="D1052" s="621"/>
      <c r="E1052" s="649" t="s">
        <v>12451</v>
      </c>
      <c r="F1052" s="622" t="s">
        <v>8658</v>
      </c>
      <c r="G1052" s="622" t="s">
        <v>2397</v>
      </c>
      <c r="H1052" s="649" t="s">
        <v>12453</v>
      </c>
      <c r="I1052" s="652" t="s">
        <v>11</v>
      </c>
      <c r="J1052" s="622" t="s">
        <v>8657</v>
      </c>
      <c r="K1052" s="680">
        <v>1020</v>
      </c>
      <c r="L1052" s="680"/>
      <c r="M1052" s="681">
        <v>5000</v>
      </c>
      <c r="N1052" s="681"/>
      <c r="O1052" s="681">
        <v>0</v>
      </c>
      <c r="P1052" s="680">
        <v>0</v>
      </c>
      <c r="Q1052" s="682">
        <v>0</v>
      </c>
      <c r="R1052" s="681">
        <v>5000</v>
      </c>
      <c r="S1052" s="658"/>
    </row>
    <row r="1053" spans="1:19" s="659" customFormat="1" ht="20.100000000000001" customHeight="1">
      <c r="A1053" s="657" t="s">
        <v>8653</v>
      </c>
      <c r="B1053" s="649" t="s">
        <v>12452</v>
      </c>
      <c r="C1053" s="621"/>
      <c r="D1053" s="621"/>
      <c r="E1053" s="649" t="s">
        <v>12451</v>
      </c>
      <c r="F1053" s="622" t="s">
        <v>8658</v>
      </c>
      <c r="G1053" s="622" t="s">
        <v>2397</v>
      </c>
      <c r="H1053" s="649" t="s">
        <v>12453</v>
      </c>
      <c r="I1053" s="652" t="s">
        <v>11</v>
      </c>
      <c r="J1053" s="622" t="s">
        <v>8657</v>
      </c>
      <c r="K1053" s="680">
        <v>1020</v>
      </c>
      <c r="L1053" s="680"/>
      <c r="M1053" s="681">
        <v>10000</v>
      </c>
      <c r="N1053" s="681"/>
      <c r="O1053" s="681">
        <v>10000</v>
      </c>
      <c r="P1053" s="680">
        <v>0</v>
      </c>
      <c r="Q1053" s="682">
        <v>10000</v>
      </c>
      <c r="R1053" s="681">
        <v>0</v>
      </c>
      <c r="S1053" s="658"/>
    </row>
    <row r="1054" spans="1:19" s="659" customFormat="1" ht="20.100000000000001" customHeight="1">
      <c r="A1054" s="657" t="s">
        <v>8653</v>
      </c>
      <c r="B1054" s="649" t="s">
        <v>12452</v>
      </c>
      <c r="C1054" s="621"/>
      <c r="D1054" s="621"/>
      <c r="E1054" s="649" t="s">
        <v>12451</v>
      </c>
      <c r="F1054" s="622" t="s">
        <v>8658</v>
      </c>
      <c r="G1054" s="622" t="s">
        <v>2397</v>
      </c>
      <c r="H1054" s="649" t="s">
        <v>12453</v>
      </c>
      <c r="I1054" s="652" t="s">
        <v>11</v>
      </c>
      <c r="J1054" s="622" t="s">
        <v>8657</v>
      </c>
      <c r="K1054" s="680">
        <v>1020</v>
      </c>
      <c r="L1054" s="680"/>
      <c r="M1054" s="681">
        <v>6000</v>
      </c>
      <c r="N1054" s="681"/>
      <c r="O1054" s="681">
        <v>6000</v>
      </c>
      <c r="P1054" s="680">
        <v>0</v>
      </c>
      <c r="Q1054" s="682">
        <v>6000</v>
      </c>
      <c r="R1054" s="681">
        <v>0</v>
      </c>
      <c r="S1054" s="658"/>
    </row>
    <row r="1055" spans="1:19" s="659" customFormat="1" ht="20.100000000000001" customHeight="1">
      <c r="A1055" s="657" t="s">
        <v>4203</v>
      </c>
      <c r="B1055" s="649" t="s">
        <v>592</v>
      </c>
      <c r="C1055" s="621"/>
      <c r="D1055" s="621"/>
      <c r="E1055" s="649" t="s">
        <v>4416</v>
      </c>
      <c r="F1055" s="622" t="s">
        <v>7599</v>
      </c>
      <c r="G1055" s="622" t="s">
        <v>1946</v>
      </c>
      <c r="H1055" s="649" t="s">
        <v>594</v>
      </c>
      <c r="I1055" s="652" t="s">
        <v>11</v>
      </c>
      <c r="J1055" s="622" t="s">
        <v>7598</v>
      </c>
      <c r="K1055" s="680">
        <v>357</v>
      </c>
      <c r="L1055" s="680">
        <v>153</v>
      </c>
      <c r="M1055" s="681">
        <v>0</v>
      </c>
      <c r="N1055" s="681"/>
      <c r="O1055" s="681">
        <v>153</v>
      </c>
      <c r="P1055" s="680">
        <v>153</v>
      </c>
      <c r="Q1055" s="682">
        <v>0</v>
      </c>
      <c r="R1055" s="681">
        <v>0</v>
      </c>
      <c r="S1055" s="658"/>
    </row>
    <row r="1056" spans="1:19" s="659" customFormat="1" ht="20.100000000000001" customHeight="1">
      <c r="A1056" s="657" t="s">
        <v>4418</v>
      </c>
      <c r="B1056" s="649" t="s">
        <v>729</v>
      </c>
      <c r="C1056" s="621"/>
      <c r="D1056" s="621"/>
      <c r="E1056" s="649" t="s">
        <v>4419</v>
      </c>
      <c r="F1056" s="622" t="s">
        <v>7829</v>
      </c>
      <c r="G1056" s="622" t="s">
        <v>2385</v>
      </c>
      <c r="H1056" s="649" t="s">
        <v>17</v>
      </c>
      <c r="I1056" s="652" t="s">
        <v>11</v>
      </c>
      <c r="J1056" s="622" t="s">
        <v>7131</v>
      </c>
      <c r="K1056" s="680">
        <v>443</v>
      </c>
      <c r="L1056" s="680">
        <v>6264</v>
      </c>
      <c r="M1056" s="681">
        <v>0</v>
      </c>
      <c r="N1056" s="681"/>
      <c r="O1056" s="681">
        <v>6264</v>
      </c>
      <c r="P1056" s="680">
        <v>0</v>
      </c>
      <c r="Q1056" s="682">
        <v>6264</v>
      </c>
      <c r="R1056" s="681">
        <v>0</v>
      </c>
      <c r="S1056" s="658"/>
    </row>
    <row r="1057" spans="1:19" s="659" customFormat="1" ht="20.100000000000001" customHeight="1">
      <c r="A1057" s="657" t="s">
        <v>4418</v>
      </c>
      <c r="B1057" s="649" t="s">
        <v>729</v>
      </c>
      <c r="C1057" s="621"/>
      <c r="D1057" s="621"/>
      <c r="E1057" s="649" t="s">
        <v>4419</v>
      </c>
      <c r="F1057" s="622" t="s">
        <v>7829</v>
      </c>
      <c r="G1057" s="622" t="s">
        <v>2385</v>
      </c>
      <c r="H1057" s="649" t="s">
        <v>17</v>
      </c>
      <c r="I1057" s="652" t="s">
        <v>11</v>
      </c>
      <c r="J1057" s="622" t="s">
        <v>7131</v>
      </c>
      <c r="K1057" s="680">
        <v>443</v>
      </c>
      <c r="L1057" s="680"/>
      <c r="M1057" s="681">
        <v>30000</v>
      </c>
      <c r="N1057" s="681"/>
      <c r="O1057" s="681">
        <v>1863</v>
      </c>
      <c r="P1057" s="680">
        <v>0</v>
      </c>
      <c r="Q1057" s="682">
        <v>1863</v>
      </c>
      <c r="R1057" s="681">
        <v>28137</v>
      </c>
      <c r="S1057" s="658"/>
    </row>
    <row r="1058" spans="1:19" s="659" customFormat="1" ht="20.100000000000001" customHeight="1">
      <c r="A1058" s="657" t="s">
        <v>3910</v>
      </c>
      <c r="B1058" s="649" t="s">
        <v>1215</v>
      </c>
      <c r="C1058" s="621"/>
      <c r="D1058" s="621"/>
      <c r="E1058" s="649" t="s">
        <v>4421</v>
      </c>
      <c r="F1058" s="622" t="s">
        <v>6325</v>
      </c>
      <c r="G1058" s="622" t="s">
        <v>1536</v>
      </c>
      <c r="H1058" s="649" t="s">
        <v>1217</v>
      </c>
      <c r="I1058" s="652" t="s">
        <v>11</v>
      </c>
      <c r="J1058" s="622" t="s">
        <v>6324</v>
      </c>
      <c r="K1058" s="680">
        <v>2990</v>
      </c>
      <c r="L1058" s="680">
        <v>1894</v>
      </c>
      <c r="M1058" s="681">
        <v>0</v>
      </c>
      <c r="N1058" s="681"/>
      <c r="O1058" s="681">
        <v>1894</v>
      </c>
      <c r="P1058" s="680">
        <v>0</v>
      </c>
      <c r="Q1058" s="682">
        <v>1894</v>
      </c>
      <c r="R1058" s="681">
        <v>0</v>
      </c>
      <c r="S1058" s="658"/>
    </row>
    <row r="1059" spans="1:19" s="659" customFormat="1" ht="20.100000000000001" customHeight="1">
      <c r="A1059" s="657" t="s">
        <v>3910</v>
      </c>
      <c r="B1059" s="649" t="s">
        <v>1215</v>
      </c>
      <c r="C1059" s="621"/>
      <c r="D1059" s="621"/>
      <c r="E1059" s="649" t="s">
        <v>4421</v>
      </c>
      <c r="F1059" s="622" t="s">
        <v>6325</v>
      </c>
      <c r="G1059" s="622" t="s">
        <v>1536</v>
      </c>
      <c r="H1059" s="649" t="s">
        <v>1217</v>
      </c>
      <c r="I1059" s="652" t="s">
        <v>11</v>
      </c>
      <c r="J1059" s="622" t="s">
        <v>6324</v>
      </c>
      <c r="K1059" s="680">
        <v>2990</v>
      </c>
      <c r="L1059" s="680"/>
      <c r="M1059" s="681">
        <v>3000</v>
      </c>
      <c r="N1059" s="681"/>
      <c r="O1059" s="681">
        <v>0</v>
      </c>
      <c r="P1059" s="680">
        <v>0</v>
      </c>
      <c r="Q1059" s="682">
        <v>0</v>
      </c>
      <c r="R1059" s="681">
        <v>3000</v>
      </c>
      <c r="S1059" s="658"/>
    </row>
    <row r="1060" spans="1:19" s="659" customFormat="1" ht="20.100000000000001" customHeight="1">
      <c r="A1060" s="657" t="s">
        <v>5047</v>
      </c>
      <c r="B1060" s="649" t="s">
        <v>5042</v>
      </c>
      <c r="C1060" s="621"/>
      <c r="D1060" s="621"/>
      <c r="E1060" s="649" t="s">
        <v>1185</v>
      </c>
      <c r="F1060" s="622" t="s">
        <v>1187</v>
      </c>
      <c r="G1060" s="622" t="s">
        <v>1188</v>
      </c>
      <c r="H1060" s="649" t="s">
        <v>1186</v>
      </c>
      <c r="I1060" s="652" t="s">
        <v>11</v>
      </c>
      <c r="J1060" s="622" t="s">
        <v>623</v>
      </c>
      <c r="K1060" s="680">
        <v>2650</v>
      </c>
      <c r="L1060" s="680">
        <v>2</v>
      </c>
      <c r="M1060" s="681">
        <v>0</v>
      </c>
      <c r="N1060" s="681"/>
      <c r="O1060" s="681">
        <v>2</v>
      </c>
      <c r="P1060" s="680">
        <v>1</v>
      </c>
      <c r="Q1060" s="682">
        <v>1</v>
      </c>
      <c r="R1060" s="681">
        <v>0</v>
      </c>
      <c r="S1060" s="658"/>
    </row>
    <row r="1061" spans="1:19" s="659" customFormat="1" ht="20.100000000000001" customHeight="1">
      <c r="A1061" s="657" t="s">
        <v>4423</v>
      </c>
      <c r="B1061" s="649" t="s">
        <v>638</v>
      </c>
      <c r="C1061" s="621"/>
      <c r="D1061" s="621"/>
      <c r="E1061" s="649" t="s">
        <v>1491</v>
      </c>
      <c r="F1061" s="622" t="s">
        <v>6272</v>
      </c>
      <c r="G1061" s="622" t="s">
        <v>6233</v>
      </c>
      <c r="H1061" s="649" t="s">
        <v>429</v>
      </c>
      <c r="I1061" s="652" t="s">
        <v>12</v>
      </c>
      <c r="J1061" s="622" t="s">
        <v>6271</v>
      </c>
      <c r="K1061" s="680">
        <v>4800</v>
      </c>
      <c r="L1061" s="680">
        <v>1421</v>
      </c>
      <c r="M1061" s="681">
        <v>0</v>
      </c>
      <c r="N1061" s="681"/>
      <c r="O1061" s="681">
        <v>1421</v>
      </c>
      <c r="P1061" s="680">
        <v>0</v>
      </c>
      <c r="Q1061" s="682">
        <v>1421</v>
      </c>
      <c r="R1061" s="681">
        <v>0</v>
      </c>
      <c r="S1061" s="658"/>
    </row>
    <row r="1062" spans="1:19" s="659" customFormat="1" ht="20.100000000000001" customHeight="1">
      <c r="A1062" s="657" t="s">
        <v>4425</v>
      </c>
      <c r="B1062" s="649" t="s">
        <v>1526</v>
      </c>
      <c r="C1062" s="621"/>
      <c r="D1062" s="621"/>
      <c r="E1062" s="649" t="s">
        <v>4426</v>
      </c>
      <c r="F1062" s="622" t="s">
        <v>923</v>
      </c>
      <c r="G1062" s="622" t="s">
        <v>5758</v>
      </c>
      <c r="H1062" s="649" t="s">
        <v>4427</v>
      </c>
      <c r="I1062" s="652" t="s">
        <v>658</v>
      </c>
      <c r="J1062" s="622" t="s">
        <v>5757</v>
      </c>
      <c r="K1062" s="680">
        <v>76379</v>
      </c>
      <c r="L1062" s="680"/>
      <c r="M1062" s="681">
        <v>104</v>
      </c>
      <c r="N1062" s="681"/>
      <c r="O1062" s="681">
        <v>11</v>
      </c>
      <c r="P1062" s="680">
        <v>11</v>
      </c>
      <c r="Q1062" s="682">
        <v>0</v>
      </c>
      <c r="R1062" s="681">
        <v>93</v>
      </c>
      <c r="S1062" s="658"/>
    </row>
    <row r="1063" spans="1:19" s="659" customFormat="1" ht="20.100000000000001" customHeight="1">
      <c r="A1063" s="657" t="s">
        <v>4425</v>
      </c>
      <c r="B1063" s="649" t="s">
        <v>1526</v>
      </c>
      <c r="C1063" s="621"/>
      <c r="D1063" s="621"/>
      <c r="E1063" s="649" t="s">
        <v>4426</v>
      </c>
      <c r="F1063" s="622" t="s">
        <v>923</v>
      </c>
      <c r="G1063" s="622" t="s">
        <v>5758</v>
      </c>
      <c r="H1063" s="649" t="s">
        <v>4427</v>
      </c>
      <c r="I1063" s="652" t="s">
        <v>658</v>
      </c>
      <c r="J1063" s="622" t="s">
        <v>5757</v>
      </c>
      <c r="K1063" s="680">
        <v>76379</v>
      </c>
      <c r="L1063" s="680">
        <v>39</v>
      </c>
      <c r="M1063" s="681">
        <v>0</v>
      </c>
      <c r="N1063" s="681"/>
      <c r="O1063" s="681">
        <v>39</v>
      </c>
      <c r="P1063" s="680">
        <v>28</v>
      </c>
      <c r="Q1063" s="682">
        <v>11</v>
      </c>
      <c r="R1063" s="681">
        <v>0</v>
      </c>
      <c r="S1063" s="658"/>
    </row>
    <row r="1064" spans="1:19" s="659" customFormat="1" ht="20.100000000000001" customHeight="1">
      <c r="A1064" s="657" t="s">
        <v>4425</v>
      </c>
      <c r="B1064" s="649" t="s">
        <v>1526</v>
      </c>
      <c r="C1064" s="621"/>
      <c r="D1064" s="621"/>
      <c r="E1064" s="649" t="s">
        <v>4426</v>
      </c>
      <c r="F1064" s="622" t="s">
        <v>923</v>
      </c>
      <c r="G1064" s="622" t="s">
        <v>5758</v>
      </c>
      <c r="H1064" s="649" t="s">
        <v>4427</v>
      </c>
      <c r="I1064" s="652" t="s">
        <v>658</v>
      </c>
      <c r="J1064" s="622" t="s">
        <v>5757</v>
      </c>
      <c r="K1064" s="680">
        <v>76379</v>
      </c>
      <c r="L1064" s="680"/>
      <c r="M1064" s="681">
        <v>54</v>
      </c>
      <c r="N1064" s="681"/>
      <c r="O1064" s="681">
        <v>41</v>
      </c>
      <c r="P1064" s="680">
        <v>26</v>
      </c>
      <c r="Q1064" s="682">
        <v>15</v>
      </c>
      <c r="R1064" s="681">
        <v>13</v>
      </c>
      <c r="S1064" s="658"/>
    </row>
    <row r="1065" spans="1:19" s="659" customFormat="1" ht="20.100000000000001" customHeight="1">
      <c r="A1065" s="657" t="s">
        <v>4429</v>
      </c>
      <c r="B1065" s="649" t="s">
        <v>919</v>
      </c>
      <c r="C1065" s="621"/>
      <c r="D1065" s="621"/>
      <c r="E1065" s="649" t="s">
        <v>925</v>
      </c>
      <c r="F1065" s="622" t="s">
        <v>1018</v>
      </c>
      <c r="G1065" s="622" t="s">
        <v>929</v>
      </c>
      <c r="H1065" s="649" t="s">
        <v>1017</v>
      </c>
      <c r="I1065" s="652" t="s">
        <v>628</v>
      </c>
      <c r="J1065" s="622" t="s">
        <v>927</v>
      </c>
      <c r="K1065" s="680">
        <v>4575</v>
      </c>
      <c r="L1065" s="680">
        <v>1147</v>
      </c>
      <c r="M1065" s="681">
        <v>14</v>
      </c>
      <c r="N1065" s="681"/>
      <c r="O1065" s="681">
        <v>1161</v>
      </c>
      <c r="P1065" s="680">
        <v>1161</v>
      </c>
      <c r="Q1065" s="682">
        <v>0</v>
      </c>
      <c r="R1065" s="681">
        <v>0</v>
      </c>
      <c r="S1065" s="658"/>
    </row>
    <row r="1066" spans="1:19" s="659" customFormat="1" ht="20.100000000000001" customHeight="1">
      <c r="A1066" s="657" t="s">
        <v>4431</v>
      </c>
      <c r="B1066" s="649" t="s">
        <v>919</v>
      </c>
      <c r="C1066" s="621"/>
      <c r="D1066" s="621"/>
      <c r="E1066" s="649" t="s">
        <v>925</v>
      </c>
      <c r="F1066" s="622" t="s">
        <v>5627</v>
      </c>
      <c r="G1066" s="622" t="s">
        <v>929</v>
      </c>
      <c r="H1066" s="649" t="s">
        <v>926</v>
      </c>
      <c r="I1066" s="652" t="s">
        <v>628</v>
      </c>
      <c r="J1066" s="622" t="s">
        <v>5619</v>
      </c>
      <c r="K1066" s="680">
        <v>8513</v>
      </c>
      <c r="L1066" s="680">
        <v>276</v>
      </c>
      <c r="M1066" s="681">
        <v>0</v>
      </c>
      <c r="N1066" s="681"/>
      <c r="O1066" s="681">
        <v>276</v>
      </c>
      <c r="P1066" s="680">
        <v>276</v>
      </c>
      <c r="Q1066" s="682">
        <v>0</v>
      </c>
      <c r="R1066" s="681">
        <v>0</v>
      </c>
      <c r="S1066" s="658"/>
    </row>
    <row r="1067" spans="1:19" s="659" customFormat="1" ht="20.100000000000001" customHeight="1">
      <c r="A1067" s="657" t="s">
        <v>5616</v>
      </c>
      <c r="B1067" s="649" t="s">
        <v>1526</v>
      </c>
      <c r="C1067" s="621"/>
      <c r="D1067" s="621"/>
      <c r="E1067" s="649" t="s">
        <v>5618</v>
      </c>
      <c r="F1067" s="622" t="s">
        <v>5620</v>
      </c>
      <c r="G1067" s="622" t="s">
        <v>5621</v>
      </c>
      <c r="H1067" s="649" t="s">
        <v>5617</v>
      </c>
      <c r="I1067" s="652" t="s">
        <v>520</v>
      </c>
      <c r="J1067" s="622" t="s">
        <v>5619</v>
      </c>
      <c r="K1067" s="680">
        <v>4575</v>
      </c>
      <c r="L1067" s="680"/>
      <c r="M1067" s="681">
        <v>918</v>
      </c>
      <c r="N1067" s="681"/>
      <c r="O1067" s="681">
        <v>360</v>
      </c>
      <c r="P1067" s="680">
        <v>60</v>
      </c>
      <c r="Q1067" s="682">
        <v>300</v>
      </c>
      <c r="R1067" s="681">
        <v>558</v>
      </c>
      <c r="S1067" s="658"/>
    </row>
    <row r="1068" spans="1:19" s="659" customFormat="1" ht="20.100000000000001" customHeight="1">
      <c r="A1068" s="657" t="s">
        <v>5616</v>
      </c>
      <c r="B1068" s="649" t="s">
        <v>1526</v>
      </c>
      <c r="C1068" s="621"/>
      <c r="D1068" s="621"/>
      <c r="E1068" s="649" t="s">
        <v>5618</v>
      </c>
      <c r="F1068" s="622" t="s">
        <v>5620</v>
      </c>
      <c r="G1068" s="622" t="s">
        <v>5621</v>
      </c>
      <c r="H1068" s="649" t="s">
        <v>5617</v>
      </c>
      <c r="I1068" s="652" t="s">
        <v>520</v>
      </c>
      <c r="J1068" s="622" t="s">
        <v>5619</v>
      </c>
      <c r="K1068" s="680">
        <v>4575</v>
      </c>
      <c r="L1068" s="680"/>
      <c r="M1068" s="681">
        <v>300</v>
      </c>
      <c r="N1068" s="681"/>
      <c r="O1068" s="681">
        <v>0</v>
      </c>
      <c r="P1068" s="680">
        <v>0</v>
      </c>
      <c r="Q1068" s="682">
        <v>0</v>
      </c>
      <c r="R1068" s="681">
        <v>300</v>
      </c>
      <c r="S1068" s="658"/>
    </row>
    <row r="1069" spans="1:19" s="659" customFormat="1" ht="20.100000000000001" customHeight="1">
      <c r="A1069" s="657" t="s">
        <v>5624</v>
      </c>
      <c r="B1069" s="649" t="s">
        <v>1526</v>
      </c>
      <c r="C1069" s="621"/>
      <c r="D1069" s="621"/>
      <c r="E1069" s="649" t="s">
        <v>5626</v>
      </c>
      <c r="F1069" s="622" t="s">
        <v>5627</v>
      </c>
      <c r="G1069" s="622" t="s">
        <v>929</v>
      </c>
      <c r="H1069" s="649" t="s">
        <v>5625</v>
      </c>
      <c r="I1069" s="652" t="s">
        <v>520</v>
      </c>
      <c r="J1069" s="622" t="s">
        <v>5619</v>
      </c>
      <c r="K1069" s="680">
        <v>8513</v>
      </c>
      <c r="L1069" s="680"/>
      <c r="M1069" s="681">
        <v>924</v>
      </c>
      <c r="N1069" s="681"/>
      <c r="O1069" s="681">
        <v>892</v>
      </c>
      <c r="P1069" s="680">
        <v>652</v>
      </c>
      <c r="Q1069" s="682">
        <v>240</v>
      </c>
      <c r="R1069" s="681">
        <v>32</v>
      </c>
      <c r="S1069" s="658"/>
    </row>
    <row r="1070" spans="1:19" s="659" customFormat="1" ht="20.100000000000001" customHeight="1">
      <c r="A1070" s="657" t="s">
        <v>5624</v>
      </c>
      <c r="B1070" s="649" t="s">
        <v>1526</v>
      </c>
      <c r="C1070" s="621"/>
      <c r="D1070" s="621"/>
      <c r="E1070" s="649" t="s">
        <v>5626</v>
      </c>
      <c r="F1070" s="622" t="s">
        <v>5627</v>
      </c>
      <c r="G1070" s="622" t="s">
        <v>929</v>
      </c>
      <c r="H1070" s="649" t="s">
        <v>5625</v>
      </c>
      <c r="I1070" s="652" t="s">
        <v>520</v>
      </c>
      <c r="J1070" s="622" t="s">
        <v>5619</v>
      </c>
      <c r="K1070" s="680">
        <v>8513</v>
      </c>
      <c r="L1070" s="680"/>
      <c r="M1070" s="681">
        <v>120</v>
      </c>
      <c r="N1070" s="681"/>
      <c r="O1070" s="681">
        <v>0</v>
      </c>
      <c r="P1070" s="680">
        <v>0</v>
      </c>
      <c r="Q1070" s="682">
        <v>0</v>
      </c>
      <c r="R1070" s="681">
        <v>120</v>
      </c>
      <c r="S1070" s="658"/>
    </row>
    <row r="1071" spans="1:19" s="659" customFormat="1" ht="20.100000000000001" customHeight="1">
      <c r="A1071" s="657" t="s">
        <v>5624</v>
      </c>
      <c r="B1071" s="649" t="s">
        <v>1526</v>
      </c>
      <c r="C1071" s="621"/>
      <c r="D1071" s="621"/>
      <c r="E1071" s="649" t="s">
        <v>5626</v>
      </c>
      <c r="F1071" s="622" t="s">
        <v>5627</v>
      </c>
      <c r="G1071" s="622" t="s">
        <v>929</v>
      </c>
      <c r="H1071" s="649" t="s">
        <v>5625</v>
      </c>
      <c r="I1071" s="652" t="s">
        <v>520</v>
      </c>
      <c r="J1071" s="622" t="s">
        <v>5619</v>
      </c>
      <c r="K1071" s="680">
        <v>8513</v>
      </c>
      <c r="L1071" s="680"/>
      <c r="M1071" s="681">
        <v>2880</v>
      </c>
      <c r="N1071" s="681"/>
      <c r="O1071" s="681">
        <v>9</v>
      </c>
      <c r="P1071" s="680">
        <v>0</v>
      </c>
      <c r="Q1071" s="682">
        <v>9</v>
      </c>
      <c r="R1071" s="681">
        <v>2871</v>
      </c>
      <c r="S1071" s="658"/>
    </row>
    <row r="1072" spans="1:19" s="659" customFormat="1" ht="20.100000000000001" customHeight="1">
      <c r="A1072" s="657" t="s">
        <v>4431</v>
      </c>
      <c r="B1072" s="649" t="s">
        <v>1526</v>
      </c>
      <c r="C1072" s="621"/>
      <c r="D1072" s="621"/>
      <c r="E1072" s="649" t="s">
        <v>5626</v>
      </c>
      <c r="F1072" s="622" t="s">
        <v>5627</v>
      </c>
      <c r="G1072" s="622" t="s">
        <v>929</v>
      </c>
      <c r="H1072" s="649" t="s">
        <v>5755</v>
      </c>
      <c r="I1072" s="652" t="s">
        <v>520</v>
      </c>
      <c r="J1072" s="622" t="s">
        <v>5619</v>
      </c>
      <c r="K1072" s="680">
        <v>8513</v>
      </c>
      <c r="L1072" s="680"/>
      <c r="M1072" s="681">
        <v>1503</v>
      </c>
      <c r="N1072" s="681"/>
      <c r="O1072" s="681">
        <v>183</v>
      </c>
      <c r="P1072" s="680">
        <v>183</v>
      </c>
      <c r="Q1072" s="682">
        <v>0</v>
      </c>
      <c r="R1072" s="681">
        <v>1320</v>
      </c>
      <c r="S1072" s="658"/>
    </row>
    <row r="1073" spans="1:19" s="659" customFormat="1" ht="20.100000000000001" customHeight="1">
      <c r="A1073" s="657" t="s">
        <v>4944</v>
      </c>
      <c r="B1073" s="649" t="s">
        <v>246</v>
      </c>
      <c r="C1073" s="621"/>
      <c r="D1073" s="621"/>
      <c r="E1073" s="649" t="s">
        <v>4945</v>
      </c>
      <c r="F1073" s="622" t="s">
        <v>249</v>
      </c>
      <c r="G1073" s="622" t="s">
        <v>245</v>
      </c>
      <c r="H1073" s="649" t="s">
        <v>248</v>
      </c>
      <c r="I1073" s="652" t="s">
        <v>10</v>
      </c>
      <c r="J1073" s="622" t="s">
        <v>5155</v>
      </c>
      <c r="K1073" s="680">
        <v>1785</v>
      </c>
      <c r="L1073" s="680">
        <v>13</v>
      </c>
      <c r="M1073" s="681">
        <v>0</v>
      </c>
      <c r="N1073" s="681"/>
      <c r="O1073" s="681">
        <v>13</v>
      </c>
      <c r="P1073" s="680">
        <v>0</v>
      </c>
      <c r="Q1073" s="682">
        <v>13</v>
      </c>
      <c r="R1073" s="681">
        <v>0</v>
      </c>
      <c r="S1073" s="658"/>
    </row>
    <row r="1074" spans="1:19" s="659" customFormat="1" ht="20.100000000000001" customHeight="1">
      <c r="A1074" s="657" t="s">
        <v>4944</v>
      </c>
      <c r="B1074" s="649" t="s">
        <v>246</v>
      </c>
      <c r="C1074" s="621"/>
      <c r="D1074" s="621"/>
      <c r="E1074" s="649" t="s">
        <v>4945</v>
      </c>
      <c r="F1074" s="622" t="s">
        <v>249</v>
      </c>
      <c r="G1074" s="622" t="s">
        <v>245</v>
      </c>
      <c r="H1074" s="649" t="s">
        <v>248</v>
      </c>
      <c r="I1074" s="652" t="s">
        <v>10</v>
      </c>
      <c r="J1074" s="622" t="s">
        <v>5155</v>
      </c>
      <c r="K1074" s="680">
        <v>1785</v>
      </c>
      <c r="L1074" s="680">
        <v>3665</v>
      </c>
      <c r="M1074" s="681">
        <v>0</v>
      </c>
      <c r="N1074" s="681"/>
      <c r="O1074" s="681">
        <v>2037</v>
      </c>
      <c r="P1074" s="680">
        <v>200</v>
      </c>
      <c r="Q1074" s="682">
        <v>1837</v>
      </c>
      <c r="R1074" s="681">
        <v>1628</v>
      </c>
      <c r="S1074" s="658"/>
    </row>
    <row r="1075" spans="1:19" s="659" customFormat="1" ht="20.100000000000001" customHeight="1">
      <c r="A1075" s="657" t="s">
        <v>4763</v>
      </c>
      <c r="B1075" s="649" t="s">
        <v>202</v>
      </c>
      <c r="C1075" s="621"/>
      <c r="D1075" s="621"/>
      <c r="E1075" s="649" t="s">
        <v>201</v>
      </c>
      <c r="F1075" s="622" t="s">
        <v>8766</v>
      </c>
      <c r="G1075" s="622" t="s">
        <v>2325</v>
      </c>
      <c r="H1075" s="649" t="s">
        <v>203</v>
      </c>
      <c r="I1075" s="652" t="s">
        <v>10</v>
      </c>
      <c r="J1075" s="622" t="s">
        <v>8765</v>
      </c>
      <c r="K1075" s="680">
        <v>968</v>
      </c>
      <c r="L1075" s="680">
        <v>19261</v>
      </c>
      <c r="M1075" s="681">
        <v>800</v>
      </c>
      <c r="N1075" s="681"/>
      <c r="O1075" s="681">
        <v>20061</v>
      </c>
      <c r="P1075" s="680">
        <v>3800</v>
      </c>
      <c r="Q1075" s="682">
        <v>16261</v>
      </c>
      <c r="R1075" s="681">
        <v>0</v>
      </c>
      <c r="S1075" s="658"/>
    </row>
    <row r="1076" spans="1:19" s="659" customFormat="1" ht="20.100000000000001" customHeight="1">
      <c r="A1076" s="657" t="s">
        <v>4763</v>
      </c>
      <c r="B1076" s="649" t="s">
        <v>202</v>
      </c>
      <c r="C1076" s="621"/>
      <c r="D1076" s="621"/>
      <c r="E1076" s="649" t="s">
        <v>201</v>
      </c>
      <c r="F1076" s="622" t="s">
        <v>8766</v>
      </c>
      <c r="G1076" s="622" t="s">
        <v>2325</v>
      </c>
      <c r="H1076" s="649" t="s">
        <v>8764</v>
      </c>
      <c r="I1076" s="652" t="s">
        <v>11</v>
      </c>
      <c r="J1076" s="622" t="s">
        <v>8765</v>
      </c>
      <c r="K1076" s="680">
        <v>965</v>
      </c>
      <c r="L1076" s="680"/>
      <c r="M1076" s="681">
        <v>6400</v>
      </c>
      <c r="N1076" s="681"/>
      <c r="O1076" s="681">
        <v>6400</v>
      </c>
      <c r="P1076" s="680">
        <v>1400</v>
      </c>
      <c r="Q1076" s="682">
        <v>5000</v>
      </c>
      <c r="R1076" s="681">
        <v>0</v>
      </c>
      <c r="S1076" s="658"/>
    </row>
    <row r="1077" spans="1:19" s="659" customFormat="1" ht="20.100000000000001" customHeight="1">
      <c r="A1077" s="657" t="s">
        <v>4434</v>
      </c>
      <c r="B1077" s="649" t="s">
        <v>816</v>
      </c>
      <c r="C1077" s="621"/>
      <c r="D1077" s="621"/>
      <c r="E1077" s="649" t="s">
        <v>819</v>
      </c>
      <c r="F1077" s="622" t="s">
        <v>820</v>
      </c>
      <c r="G1077" s="622" t="s">
        <v>806</v>
      </c>
      <c r="H1077" s="649" t="s">
        <v>299</v>
      </c>
      <c r="I1077" s="652" t="s">
        <v>11</v>
      </c>
      <c r="J1077" s="622" t="s">
        <v>7437</v>
      </c>
      <c r="K1077" s="680">
        <v>357</v>
      </c>
      <c r="L1077" s="680">
        <v>52</v>
      </c>
      <c r="M1077" s="681">
        <v>2</v>
      </c>
      <c r="N1077" s="681"/>
      <c r="O1077" s="681">
        <v>44</v>
      </c>
      <c r="P1077" s="680">
        <v>44</v>
      </c>
      <c r="Q1077" s="682">
        <v>0</v>
      </c>
      <c r="R1077" s="681">
        <v>10</v>
      </c>
      <c r="S1077" s="658"/>
    </row>
    <row r="1078" spans="1:19" s="659" customFormat="1" ht="20.100000000000001" customHeight="1">
      <c r="A1078" s="657" t="s">
        <v>4434</v>
      </c>
      <c r="B1078" s="649" t="s">
        <v>816</v>
      </c>
      <c r="C1078" s="621"/>
      <c r="D1078" s="621"/>
      <c r="E1078" s="649" t="s">
        <v>819</v>
      </c>
      <c r="F1078" s="622" t="s">
        <v>820</v>
      </c>
      <c r="G1078" s="622" t="s">
        <v>806</v>
      </c>
      <c r="H1078" s="649" t="s">
        <v>299</v>
      </c>
      <c r="I1078" s="652" t="s">
        <v>11</v>
      </c>
      <c r="J1078" s="622" t="s">
        <v>7437</v>
      </c>
      <c r="K1078" s="680">
        <v>380</v>
      </c>
      <c r="L1078" s="680"/>
      <c r="M1078" s="681">
        <v>9990</v>
      </c>
      <c r="N1078" s="681"/>
      <c r="O1078" s="681">
        <v>14</v>
      </c>
      <c r="P1078" s="680">
        <v>14</v>
      </c>
      <c r="Q1078" s="682">
        <v>0</v>
      </c>
      <c r="R1078" s="681">
        <v>9976</v>
      </c>
      <c r="S1078" s="658"/>
    </row>
    <row r="1079" spans="1:19" s="659" customFormat="1" ht="20.100000000000001" customHeight="1">
      <c r="A1079" s="657" t="s">
        <v>4765</v>
      </c>
      <c r="B1079" s="649" t="s">
        <v>4767</v>
      </c>
      <c r="C1079" s="621"/>
      <c r="D1079" s="621"/>
      <c r="E1079" s="649" t="s">
        <v>4766</v>
      </c>
      <c r="F1079" s="622" t="s">
        <v>8640</v>
      </c>
      <c r="G1079" s="622" t="s">
        <v>8559</v>
      </c>
      <c r="H1079" s="649" t="s">
        <v>4768</v>
      </c>
      <c r="I1079" s="652" t="s">
        <v>11</v>
      </c>
      <c r="J1079" s="622" t="s">
        <v>8523</v>
      </c>
      <c r="K1079" s="680">
        <v>900</v>
      </c>
      <c r="L1079" s="680"/>
      <c r="M1079" s="681">
        <v>4980</v>
      </c>
      <c r="N1079" s="681"/>
      <c r="O1079" s="681">
        <v>0</v>
      </c>
      <c r="P1079" s="680">
        <v>0</v>
      </c>
      <c r="Q1079" s="682">
        <v>0</v>
      </c>
      <c r="R1079" s="681">
        <v>4980</v>
      </c>
      <c r="S1079" s="658"/>
    </row>
    <row r="1080" spans="1:19" s="659" customFormat="1" ht="20.100000000000001" customHeight="1">
      <c r="A1080" s="657" t="s">
        <v>4765</v>
      </c>
      <c r="B1080" s="649" t="s">
        <v>4767</v>
      </c>
      <c r="C1080" s="621"/>
      <c r="D1080" s="621"/>
      <c r="E1080" s="649" t="s">
        <v>4766</v>
      </c>
      <c r="F1080" s="622" t="s">
        <v>8640</v>
      </c>
      <c r="G1080" s="622" t="s">
        <v>8559</v>
      </c>
      <c r="H1080" s="649" t="s">
        <v>4768</v>
      </c>
      <c r="I1080" s="652" t="s">
        <v>11</v>
      </c>
      <c r="J1080" s="622" t="s">
        <v>8523</v>
      </c>
      <c r="K1080" s="680">
        <v>900</v>
      </c>
      <c r="L1080" s="680">
        <v>4</v>
      </c>
      <c r="M1080" s="681">
        <v>0</v>
      </c>
      <c r="N1080" s="681"/>
      <c r="O1080" s="681">
        <v>4</v>
      </c>
      <c r="P1080" s="680">
        <v>0</v>
      </c>
      <c r="Q1080" s="682">
        <v>4</v>
      </c>
      <c r="R1080" s="681">
        <v>0</v>
      </c>
      <c r="S1080" s="658"/>
    </row>
    <row r="1081" spans="1:19" s="659" customFormat="1" ht="20.100000000000001" customHeight="1">
      <c r="A1081" s="657" t="s">
        <v>4765</v>
      </c>
      <c r="B1081" s="649" t="s">
        <v>4767</v>
      </c>
      <c r="C1081" s="621"/>
      <c r="D1081" s="621"/>
      <c r="E1081" s="649" t="s">
        <v>4766</v>
      </c>
      <c r="F1081" s="622" t="s">
        <v>8640</v>
      </c>
      <c r="G1081" s="622" t="s">
        <v>8559</v>
      </c>
      <c r="H1081" s="649" t="s">
        <v>4768</v>
      </c>
      <c r="I1081" s="652" t="s">
        <v>11</v>
      </c>
      <c r="J1081" s="622" t="s">
        <v>8523</v>
      </c>
      <c r="K1081" s="680">
        <v>900</v>
      </c>
      <c r="L1081" s="680"/>
      <c r="M1081" s="681">
        <v>9000</v>
      </c>
      <c r="N1081" s="681"/>
      <c r="O1081" s="681">
        <v>9000</v>
      </c>
      <c r="P1081" s="680">
        <v>0</v>
      </c>
      <c r="Q1081" s="682">
        <v>9000</v>
      </c>
      <c r="R1081" s="681">
        <v>0</v>
      </c>
      <c r="S1081" s="658"/>
    </row>
    <row r="1082" spans="1:19" s="659" customFormat="1" ht="20.100000000000001" customHeight="1">
      <c r="A1082" s="657" t="s">
        <v>4770</v>
      </c>
      <c r="B1082" s="649" t="s">
        <v>4771</v>
      </c>
      <c r="C1082" s="621"/>
      <c r="D1082" s="621"/>
      <c r="E1082" s="649" t="s">
        <v>2320</v>
      </c>
      <c r="F1082" s="622" t="s">
        <v>8738</v>
      </c>
      <c r="G1082" s="622" t="s">
        <v>8505</v>
      </c>
      <c r="H1082" s="649" t="s">
        <v>4772</v>
      </c>
      <c r="I1082" s="652" t="s">
        <v>11</v>
      </c>
      <c r="J1082" s="622" t="s">
        <v>8616</v>
      </c>
      <c r="K1082" s="680">
        <v>714</v>
      </c>
      <c r="L1082" s="680">
        <v>3072</v>
      </c>
      <c r="M1082" s="681">
        <v>0</v>
      </c>
      <c r="N1082" s="681"/>
      <c r="O1082" s="681">
        <v>3072</v>
      </c>
      <c r="P1082" s="680">
        <v>0</v>
      </c>
      <c r="Q1082" s="682">
        <v>3072</v>
      </c>
      <c r="R1082" s="681">
        <v>0</v>
      </c>
      <c r="S1082" s="658"/>
    </row>
    <row r="1083" spans="1:19" s="659" customFormat="1" ht="20.100000000000001" customHeight="1">
      <c r="A1083" s="657" t="s">
        <v>4770</v>
      </c>
      <c r="B1083" s="649" t="s">
        <v>4771</v>
      </c>
      <c r="C1083" s="621"/>
      <c r="D1083" s="621"/>
      <c r="E1083" s="649" t="s">
        <v>2320</v>
      </c>
      <c r="F1083" s="622" t="s">
        <v>8738</v>
      </c>
      <c r="G1083" s="622" t="s">
        <v>8505</v>
      </c>
      <c r="H1083" s="649" t="s">
        <v>4772</v>
      </c>
      <c r="I1083" s="652" t="s">
        <v>11</v>
      </c>
      <c r="J1083" s="622" t="s">
        <v>8616</v>
      </c>
      <c r="K1083" s="680">
        <v>714</v>
      </c>
      <c r="L1083" s="680"/>
      <c r="M1083" s="681">
        <v>5000</v>
      </c>
      <c r="N1083" s="681"/>
      <c r="O1083" s="681">
        <v>3512</v>
      </c>
      <c r="P1083" s="680">
        <v>0</v>
      </c>
      <c r="Q1083" s="682">
        <v>3512</v>
      </c>
      <c r="R1083" s="681">
        <v>1488</v>
      </c>
      <c r="S1083" s="658"/>
    </row>
    <row r="1084" spans="1:19" s="659" customFormat="1" ht="20.100000000000001" customHeight="1">
      <c r="A1084" s="657" t="s">
        <v>4774</v>
      </c>
      <c r="B1084" s="649" t="s">
        <v>4776</v>
      </c>
      <c r="C1084" s="621"/>
      <c r="D1084" s="621"/>
      <c r="E1084" s="649" t="s">
        <v>4775</v>
      </c>
      <c r="F1084" s="622" t="s">
        <v>8510</v>
      </c>
      <c r="G1084" s="622" t="s">
        <v>8505</v>
      </c>
      <c r="H1084" s="649" t="s">
        <v>4777</v>
      </c>
      <c r="I1084" s="652" t="s">
        <v>11</v>
      </c>
      <c r="J1084" s="622" t="s">
        <v>8509</v>
      </c>
      <c r="K1084" s="680">
        <v>850</v>
      </c>
      <c r="L1084" s="680">
        <v>968</v>
      </c>
      <c r="M1084" s="681">
        <v>0</v>
      </c>
      <c r="N1084" s="681"/>
      <c r="O1084" s="681">
        <v>968</v>
      </c>
      <c r="P1084" s="680">
        <v>0</v>
      </c>
      <c r="Q1084" s="682">
        <v>968</v>
      </c>
      <c r="R1084" s="681">
        <v>0</v>
      </c>
      <c r="S1084" s="658"/>
    </row>
    <row r="1085" spans="1:19" s="659" customFormat="1" ht="20.100000000000001" customHeight="1">
      <c r="A1085" s="657" t="s">
        <v>4774</v>
      </c>
      <c r="B1085" s="649" t="s">
        <v>4776</v>
      </c>
      <c r="C1085" s="621"/>
      <c r="D1085" s="621"/>
      <c r="E1085" s="649" t="s">
        <v>4775</v>
      </c>
      <c r="F1085" s="622" t="s">
        <v>8510</v>
      </c>
      <c r="G1085" s="622" t="s">
        <v>8505</v>
      </c>
      <c r="H1085" s="649" t="s">
        <v>4777</v>
      </c>
      <c r="I1085" s="652" t="s">
        <v>11</v>
      </c>
      <c r="J1085" s="622" t="s">
        <v>8509</v>
      </c>
      <c r="K1085" s="680">
        <v>850</v>
      </c>
      <c r="L1085" s="680"/>
      <c r="M1085" s="681">
        <v>9960</v>
      </c>
      <c r="N1085" s="681"/>
      <c r="O1085" s="681">
        <v>9952</v>
      </c>
      <c r="P1085" s="680">
        <v>0</v>
      </c>
      <c r="Q1085" s="682">
        <v>9952</v>
      </c>
      <c r="R1085" s="681">
        <v>8</v>
      </c>
      <c r="S1085" s="658"/>
    </row>
    <row r="1086" spans="1:19" s="659" customFormat="1" ht="20.100000000000001" customHeight="1">
      <c r="A1086" s="657" t="s">
        <v>8137</v>
      </c>
      <c r="B1086" s="649" t="s">
        <v>611</v>
      </c>
      <c r="C1086" s="621"/>
      <c r="D1086" s="621"/>
      <c r="E1086" s="649" t="s">
        <v>8138</v>
      </c>
      <c r="F1086" s="622" t="s">
        <v>8140</v>
      </c>
      <c r="G1086" s="622" t="s">
        <v>7174</v>
      </c>
      <c r="H1086" s="649" t="s">
        <v>291</v>
      </c>
      <c r="I1086" s="652" t="s">
        <v>11</v>
      </c>
      <c r="J1086" s="622" t="s">
        <v>8139</v>
      </c>
      <c r="K1086" s="680">
        <v>5760</v>
      </c>
      <c r="L1086" s="680"/>
      <c r="M1086" s="681">
        <v>3000</v>
      </c>
      <c r="N1086" s="681"/>
      <c r="O1086" s="681">
        <v>3000</v>
      </c>
      <c r="P1086" s="680">
        <v>0</v>
      </c>
      <c r="Q1086" s="682">
        <v>3000</v>
      </c>
      <c r="R1086" s="681">
        <v>0</v>
      </c>
      <c r="S1086" s="658"/>
    </row>
    <row r="1087" spans="1:19" s="659" customFormat="1" ht="20.100000000000001" customHeight="1">
      <c r="A1087" s="657" t="s">
        <v>4985</v>
      </c>
      <c r="B1087" s="649" t="s">
        <v>5050</v>
      </c>
      <c r="C1087" s="621"/>
      <c r="D1087" s="621"/>
      <c r="E1087" s="649" t="s">
        <v>5049</v>
      </c>
      <c r="F1087" s="622" t="s">
        <v>7194</v>
      </c>
      <c r="G1087" s="622" t="s">
        <v>7015</v>
      </c>
      <c r="H1087" s="649" t="s">
        <v>1862</v>
      </c>
      <c r="I1087" s="652" t="s">
        <v>11</v>
      </c>
      <c r="J1087" s="622" t="s">
        <v>6805</v>
      </c>
      <c r="K1087" s="680">
        <v>480</v>
      </c>
      <c r="L1087" s="680"/>
      <c r="M1087" s="681">
        <v>300</v>
      </c>
      <c r="N1087" s="681"/>
      <c r="O1087" s="681">
        <v>300</v>
      </c>
      <c r="P1087" s="680">
        <v>300</v>
      </c>
      <c r="Q1087" s="682">
        <v>0</v>
      </c>
      <c r="R1087" s="681">
        <v>0</v>
      </c>
      <c r="S1087" s="658"/>
    </row>
    <row r="1088" spans="1:19" s="659" customFormat="1" ht="20.100000000000001" customHeight="1">
      <c r="A1088" s="657" t="s">
        <v>4948</v>
      </c>
      <c r="B1088" s="649" t="s">
        <v>4950</v>
      </c>
      <c r="C1088" s="621"/>
      <c r="D1088" s="621"/>
      <c r="E1088" s="649" t="s">
        <v>4949</v>
      </c>
      <c r="F1088" s="622" t="s">
        <v>5447</v>
      </c>
      <c r="G1088" s="622" t="s">
        <v>530</v>
      </c>
      <c r="H1088" s="649" t="s">
        <v>4951</v>
      </c>
      <c r="I1088" s="652" t="s">
        <v>628</v>
      </c>
      <c r="J1088" s="622" t="s">
        <v>5446</v>
      </c>
      <c r="K1088" s="680">
        <v>8274</v>
      </c>
      <c r="L1088" s="680">
        <v>82</v>
      </c>
      <c r="M1088" s="681">
        <v>3</v>
      </c>
      <c r="N1088" s="681"/>
      <c r="O1088" s="681">
        <v>75</v>
      </c>
      <c r="P1088" s="680">
        <v>66</v>
      </c>
      <c r="Q1088" s="682">
        <v>9</v>
      </c>
      <c r="R1088" s="681">
        <v>10</v>
      </c>
      <c r="S1088" s="658"/>
    </row>
    <row r="1089" spans="1:19" s="659" customFormat="1" ht="20.100000000000001" customHeight="1">
      <c r="A1089" s="657" t="s">
        <v>3870</v>
      </c>
      <c r="B1089" s="649" t="s">
        <v>1321</v>
      </c>
      <c r="C1089" s="621"/>
      <c r="D1089" s="621"/>
      <c r="E1089" s="649" t="s">
        <v>4436</v>
      </c>
      <c r="F1089" s="622" t="s">
        <v>8103</v>
      </c>
      <c r="G1089" s="622" t="s">
        <v>7015</v>
      </c>
      <c r="H1089" s="649" t="s">
        <v>248</v>
      </c>
      <c r="I1089" s="652" t="s">
        <v>11</v>
      </c>
      <c r="J1089" s="622" t="s">
        <v>8102</v>
      </c>
      <c r="K1089" s="680">
        <v>45</v>
      </c>
      <c r="L1089" s="680">
        <v>9000</v>
      </c>
      <c r="M1089" s="681">
        <v>0</v>
      </c>
      <c r="N1089" s="681"/>
      <c r="O1089" s="681">
        <v>9000</v>
      </c>
      <c r="P1089" s="680">
        <v>6500</v>
      </c>
      <c r="Q1089" s="682">
        <v>2500</v>
      </c>
      <c r="R1089" s="681">
        <v>0</v>
      </c>
      <c r="S1089" s="658"/>
    </row>
    <row r="1090" spans="1:19" s="659" customFormat="1" ht="20.100000000000001" customHeight="1">
      <c r="A1090" s="657" t="s">
        <v>3870</v>
      </c>
      <c r="B1090" s="649" t="s">
        <v>1321</v>
      </c>
      <c r="C1090" s="621"/>
      <c r="D1090" s="621"/>
      <c r="E1090" s="649" t="s">
        <v>4436</v>
      </c>
      <c r="F1090" s="622" t="s">
        <v>8103</v>
      </c>
      <c r="G1090" s="622" t="s">
        <v>7015</v>
      </c>
      <c r="H1090" s="649" t="s">
        <v>248</v>
      </c>
      <c r="I1090" s="652" t="s">
        <v>11</v>
      </c>
      <c r="J1090" s="622" t="s">
        <v>8102</v>
      </c>
      <c r="K1090" s="680">
        <v>45</v>
      </c>
      <c r="L1090" s="680">
        <v>12500</v>
      </c>
      <c r="M1090" s="681">
        <v>12</v>
      </c>
      <c r="N1090" s="681"/>
      <c r="O1090" s="681">
        <v>11966</v>
      </c>
      <c r="P1090" s="680">
        <v>9446</v>
      </c>
      <c r="Q1090" s="682">
        <v>2520</v>
      </c>
      <c r="R1090" s="681">
        <v>546</v>
      </c>
      <c r="S1090" s="658"/>
    </row>
    <row r="1091" spans="1:19" s="659" customFormat="1" ht="20.100000000000001" customHeight="1">
      <c r="A1091" s="664" t="s">
        <v>12659</v>
      </c>
      <c r="B1091" s="649" t="s">
        <v>1477</v>
      </c>
      <c r="C1091" s="621"/>
      <c r="D1091" s="621"/>
      <c r="E1091" s="649" t="s">
        <v>12483</v>
      </c>
      <c r="F1091" s="659" t="s">
        <v>12657</v>
      </c>
      <c r="G1091" s="663" t="s">
        <v>7015</v>
      </c>
      <c r="H1091" s="649" t="s">
        <v>2522</v>
      </c>
      <c r="I1091" s="652" t="s">
        <v>520</v>
      </c>
      <c r="J1091" s="622" t="s">
        <v>12661</v>
      </c>
      <c r="K1091" s="680">
        <v>1260</v>
      </c>
      <c r="L1091" s="680"/>
      <c r="M1091" s="681">
        <v>50</v>
      </c>
      <c r="N1091" s="681"/>
      <c r="O1091" s="681">
        <v>16</v>
      </c>
      <c r="P1091" s="680">
        <v>6</v>
      </c>
      <c r="Q1091" s="682">
        <v>10</v>
      </c>
      <c r="R1091" s="681">
        <v>34</v>
      </c>
      <c r="S1091" s="658"/>
    </row>
    <row r="1092" spans="1:19" s="659" customFormat="1" ht="20.100000000000001" customHeight="1">
      <c r="A1092" s="657" t="s">
        <v>4953</v>
      </c>
      <c r="B1092" s="649" t="s">
        <v>531</v>
      </c>
      <c r="C1092" s="621"/>
      <c r="D1092" s="621"/>
      <c r="E1092" s="649" t="s">
        <v>532</v>
      </c>
      <c r="F1092" s="622" t="s">
        <v>5420</v>
      </c>
      <c r="G1092" s="622" t="s">
        <v>530</v>
      </c>
      <c r="H1092" s="649" t="s">
        <v>533</v>
      </c>
      <c r="I1092" s="652" t="s">
        <v>628</v>
      </c>
      <c r="J1092" s="622" t="s">
        <v>5419</v>
      </c>
      <c r="K1092" s="680">
        <v>1176</v>
      </c>
      <c r="L1092" s="680">
        <v>923</v>
      </c>
      <c r="M1092" s="681">
        <v>0</v>
      </c>
      <c r="N1092" s="681"/>
      <c r="O1092" s="681">
        <v>551</v>
      </c>
      <c r="P1092" s="680">
        <v>536</v>
      </c>
      <c r="Q1092" s="682">
        <v>15</v>
      </c>
      <c r="R1092" s="681">
        <v>372</v>
      </c>
      <c r="S1092" s="658"/>
    </row>
    <row r="1093" spans="1:19" s="659" customFormat="1" ht="20.100000000000001" customHeight="1">
      <c r="A1093" s="657" t="s">
        <v>4954</v>
      </c>
      <c r="B1093" s="649" t="s">
        <v>531</v>
      </c>
      <c r="C1093" s="621"/>
      <c r="D1093" s="621"/>
      <c r="E1093" s="649" t="s">
        <v>532</v>
      </c>
      <c r="F1093" s="622" t="s">
        <v>5425</v>
      </c>
      <c r="G1093" s="622" t="s">
        <v>530</v>
      </c>
      <c r="H1093" s="649" t="s">
        <v>534</v>
      </c>
      <c r="I1093" s="652" t="s">
        <v>10</v>
      </c>
      <c r="J1093" s="622" t="s">
        <v>5424</v>
      </c>
      <c r="K1093" s="680">
        <v>115</v>
      </c>
      <c r="L1093" s="680">
        <v>250</v>
      </c>
      <c r="M1093" s="681">
        <v>0</v>
      </c>
      <c r="N1093" s="681"/>
      <c r="O1093" s="681">
        <v>0</v>
      </c>
      <c r="P1093" s="680">
        <v>0</v>
      </c>
      <c r="Q1093" s="682">
        <v>0</v>
      </c>
      <c r="R1093" s="681">
        <v>250</v>
      </c>
      <c r="S1093" s="658"/>
    </row>
    <row r="1094" spans="1:19" s="659" customFormat="1" ht="20.100000000000001" customHeight="1">
      <c r="A1094" s="657" t="s">
        <v>4954</v>
      </c>
      <c r="B1094" s="649" t="s">
        <v>531</v>
      </c>
      <c r="C1094" s="621"/>
      <c r="D1094" s="621"/>
      <c r="E1094" s="649" t="s">
        <v>532</v>
      </c>
      <c r="F1094" s="622" t="s">
        <v>5425</v>
      </c>
      <c r="G1094" s="622" t="s">
        <v>530</v>
      </c>
      <c r="H1094" s="649" t="s">
        <v>534</v>
      </c>
      <c r="I1094" s="652" t="s">
        <v>10</v>
      </c>
      <c r="J1094" s="622" t="s">
        <v>5424</v>
      </c>
      <c r="K1094" s="680">
        <v>115</v>
      </c>
      <c r="L1094" s="680">
        <v>8280</v>
      </c>
      <c r="M1094" s="681">
        <v>351</v>
      </c>
      <c r="N1094" s="681"/>
      <c r="O1094" s="681">
        <v>3559</v>
      </c>
      <c r="P1094" s="680">
        <v>679</v>
      </c>
      <c r="Q1094" s="682">
        <v>2880</v>
      </c>
      <c r="R1094" s="681">
        <v>5072</v>
      </c>
      <c r="S1094" s="658"/>
    </row>
    <row r="1095" spans="1:19" s="659" customFormat="1" ht="20.100000000000001" customHeight="1">
      <c r="A1095" s="657" t="s">
        <v>4955</v>
      </c>
      <c r="B1095" s="649" t="s">
        <v>265</v>
      </c>
      <c r="C1095" s="621"/>
      <c r="D1095" s="621"/>
      <c r="E1095" s="649" t="s">
        <v>4956</v>
      </c>
      <c r="F1095" s="622" t="s">
        <v>5539</v>
      </c>
      <c r="G1095" s="622" t="s">
        <v>5343</v>
      </c>
      <c r="H1095" s="649" t="s">
        <v>387</v>
      </c>
      <c r="I1095" s="652" t="s">
        <v>10</v>
      </c>
      <c r="J1095" s="622" t="s">
        <v>5538</v>
      </c>
      <c r="K1095" s="680">
        <v>1900</v>
      </c>
      <c r="L1095" s="680">
        <v>2283</v>
      </c>
      <c r="M1095" s="681">
        <v>13</v>
      </c>
      <c r="N1095" s="681"/>
      <c r="O1095" s="681">
        <v>2293</v>
      </c>
      <c r="P1095" s="680">
        <v>383</v>
      </c>
      <c r="Q1095" s="682">
        <v>1910</v>
      </c>
      <c r="R1095" s="681">
        <v>3</v>
      </c>
      <c r="S1095" s="658"/>
    </row>
    <row r="1096" spans="1:19" s="659" customFormat="1" ht="20.100000000000001" customHeight="1">
      <c r="A1096" s="657" t="s">
        <v>4955</v>
      </c>
      <c r="B1096" s="649" t="s">
        <v>265</v>
      </c>
      <c r="C1096" s="621"/>
      <c r="D1096" s="621"/>
      <c r="E1096" s="649" t="s">
        <v>4956</v>
      </c>
      <c r="F1096" s="622" t="s">
        <v>5539</v>
      </c>
      <c r="G1096" s="622" t="s">
        <v>5343</v>
      </c>
      <c r="H1096" s="649" t="s">
        <v>387</v>
      </c>
      <c r="I1096" s="652" t="s">
        <v>10</v>
      </c>
      <c r="J1096" s="622" t="s">
        <v>5538</v>
      </c>
      <c r="K1096" s="680">
        <v>1900</v>
      </c>
      <c r="L1096" s="680">
        <v>20000</v>
      </c>
      <c r="M1096" s="681">
        <v>2</v>
      </c>
      <c r="N1096" s="681"/>
      <c r="O1096" s="681">
        <v>17984</v>
      </c>
      <c r="P1096" s="680">
        <v>5</v>
      </c>
      <c r="Q1096" s="682">
        <v>17979</v>
      </c>
      <c r="R1096" s="681">
        <v>2018</v>
      </c>
      <c r="S1096" s="658"/>
    </row>
    <row r="1097" spans="1:19" s="659" customFormat="1" ht="20.100000000000001" customHeight="1">
      <c r="A1097" s="657" t="s">
        <v>4955</v>
      </c>
      <c r="B1097" s="649" t="s">
        <v>265</v>
      </c>
      <c r="C1097" s="621"/>
      <c r="D1097" s="621"/>
      <c r="E1097" s="649" t="s">
        <v>4956</v>
      </c>
      <c r="F1097" s="622" t="s">
        <v>5539</v>
      </c>
      <c r="G1097" s="622" t="s">
        <v>5343</v>
      </c>
      <c r="H1097" s="649" t="s">
        <v>387</v>
      </c>
      <c r="I1097" s="652" t="s">
        <v>10</v>
      </c>
      <c r="J1097" s="622" t="s">
        <v>5538</v>
      </c>
      <c r="K1097" s="680">
        <v>1900</v>
      </c>
      <c r="L1097" s="680">
        <v>20000</v>
      </c>
      <c r="M1097" s="681">
        <v>334</v>
      </c>
      <c r="N1097" s="681"/>
      <c r="O1097" s="681">
        <v>800</v>
      </c>
      <c r="P1097" s="680">
        <v>800</v>
      </c>
      <c r="Q1097" s="682">
        <v>0</v>
      </c>
      <c r="R1097" s="681">
        <v>19534</v>
      </c>
      <c r="S1097" s="658"/>
    </row>
    <row r="1098" spans="1:19" s="659" customFormat="1" ht="20.100000000000001" customHeight="1">
      <c r="A1098" s="657" t="s">
        <v>7744</v>
      </c>
      <c r="B1098" s="649" t="s">
        <v>1245</v>
      </c>
      <c r="C1098" s="621"/>
      <c r="D1098" s="621"/>
      <c r="E1098" s="649" t="s">
        <v>1992</v>
      </c>
      <c r="F1098" s="622" t="s">
        <v>1993</v>
      </c>
      <c r="G1098" s="622" t="s">
        <v>1946</v>
      </c>
      <c r="H1098" s="649" t="s">
        <v>1246</v>
      </c>
      <c r="I1098" s="652" t="s">
        <v>11</v>
      </c>
      <c r="J1098" s="622" t="s">
        <v>7745</v>
      </c>
      <c r="K1098" s="680">
        <v>2184</v>
      </c>
      <c r="L1098" s="680"/>
      <c r="M1098" s="681">
        <v>5940</v>
      </c>
      <c r="N1098" s="681"/>
      <c r="O1098" s="681">
        <v>761</v>
      </c>
      <c r="P1098" s="680">
        <v>0</v>
      </c>
      <c r="Q1098" s="682">
        <v>761</v>
      </c>
      <c r="R1098" s="681">
        <v>5179</v>
      </c>
      <c r="S1098" s="658"/>
    </row>
    <row r="1099" spans="1:19" s="659" customFormat="1" ht="20.100000000000001" customHeight="1">
      <c r="A1099" s="657" t="s">
        <v>7744</v>
      </c>
      <c r="B1099" s="649" t="s">
        <v>1245</v>
      </c>
      <c r="C1099" s="621"/>
      <c r="D1099" s="621"/>
      <c r="E1099" s="649" t="s">
        <v>1992</v>
      </c>
      <c r="F1099" s="622" t="s">
        <v>1993</v>
      </c>
      <c r="G1099" s="622" t="s">
        <v>1946</v>
      </c>
      <c r="H1099" s="649" t="s">
        <v>1246</v>
      </c>
      <c r="I1099" s="652" t="s">
        <v>11</v>
      </c>
      <c r="J1099" s="622" t="s">
        <v>7745</v>
      </c>
      <c r="K1099" s="680">
        <v>2184</v>
      </c>
      <c r="L1099" s="680"/>
      <c r="M1099" s="681">
        <v>9000</v>
      </c>
      <c r="N1099" s="681"/>
      <c r="O1099" s="681">
        <v>0</v>
      </c>
      <c r="P1099" s="680">
        <v>0</v>
      </c>
      <c r="Q1099" s="682">
        <v>0</v>
      </c>
      <c r="R1099" s="681">
        <v>9000</v>
      </c>
      <c r="S1099" s="658"/>
    </row>
    <row r="1100" spans="1:19" s="659" customFormat="1" ht="20.100000000000001" customHeight="1">
      <c r="A1100" s="657" t="s">
        <v>5051</v>
      </c>
      <c r="B1100" s="649" t="s">
        <v>1127</v>
      </c>
      <c r="C1100" s="621"/>
      <c r="D1100" s="621"/>
      <c r="E1100" s="649" t="s">
        <v>5052</v>
      </c>
      <c r="F1100" s="622" t="s">
        <v>7155</v>
      </c>
      <c r="G1100" s="622" t="s">
        <v>7085</v>
      </c>
      <c r="H1100" s="649" t="s">
        <v>5053</v>
      </c>
      <c r="I1100" s="652" t="s">
        <v>11</v>
      </c>
      <c r="J1100" s="622" t="s">
        <v>7154</v>
      </c>
      <c r="K1100" s="680">
        <v>714</v>
      </c>
      <c r="L1100" s="680">
        <v>100</v>
      </c>
      <c r="M1100" s="681">
        <v>0</v>
      </c>
      <c r="N1100" s="681"/>
      <c r="O1100" s="681">
        <v>100</v>
      </c>
      <c r="P1100" s="680">
        <v>100</v>
      </c>
      <c r="Q1100" s="682">
        <v>0</v>
      </c>
      <c r="R1100" s="681">
        <v>0</v>
      </c>
      <c r="S1100" s="658"/>
    </row>
    <row r="1101" spans="1:19" s="659" customFormat="1" ht="20.100000000000001" customHeight="1">
      <c r="A1101" s="657" t="s">
        <v>5051</v>
      </c>
      <c r="B1101" s="649" t="s">
        <v>1127</v>
      </c>
      <c r="C1101" s="621"/>
      <c r="D1101" s="621"/>
      <c r="E1101" s="649" t="s">
        <v>5052</v>
      </c>
      <c r="F1101" s="622" t="s">
        <v>7155</v>
      </c>
      <c r="G1101" s="622" t="s">
        <v>7085</v>
      </c>
      <c r="H1101" s="649" t="s">
        <v>5053</v>
      </c>
      <c r="I1101" s="652" t="s">
        <v>11</v>
      </c>
      <c r="J1101" s="622" t="s">
        <v>7154</v>
      </c>
      <c r="K1101" s="680">
        <v>714</v>
      </c>
      <c r="L1101" s="680"/>
      <c r="M1101" s="681">
        <v>80000</v>
      </c>
      <c r="N1101" s="681"/>
      <c r="O1101" s="681">
        <v>19500</v>
      </c>
      <c r="P1101" s="680">
        <v>19500</v>
      </c>
      <c r="Q1101" s="682">
        <v>0</v>
      </c>
      <c r="R1101" s="681">
        <v>60500</v>
      </c>
      <c r="S1101" s="658"/>
    </row>
    <row r="1102" spans="1:19" s="659" customFormat="1" ht="20.100000000000001" customHeight="1">
      <c r="A1102" s="657" t="s">
        <v>5051</v>
      </c>
      <c r="B1102" s="649" t="s">
        <v>1127</v>
      </c>
      <c r="C1102" s="621"/>
      <c r="D1102" s="621"/>
      <c r="E1102" s="649" t="s">
        <v>5052</v>
      </c>
      <c r="F1102" s="622" t="s">
        <v>7155</v>
      </c>
      <c r="G1102" s="622" t="s">
        <v>7085</v>
      </c>
      <c r="H1102" s="649" t="s">
        <v>5053</v>
      </c>
      <c r="I1102" s="652" t="s">
        <v>11</v>
      </c>
      <c r="J1102" s="622" t="s">
        <v>7154</v>
      </c>
      <c r="K1102" s="680">
        <v>714</v>
      </c>
      <c r="L1102" s="680">
        <v>418</v>
      </c>
      <c r="M1102" s="681">
        <v>6</v>
      </c>
      <c r="N1102" s="681"/>
      <c r="O1102" s="681">
        <v>424</v>
      </c>
      <c r="P1102" s="680">
        <v>424</v>
      </c>
      <c r="Q1102" s="682">
        <v>0</v>
      </c>
      <c r="R1102" s="681">
        <v>0</v>
      </c>
      <c r="S1102" s="658"/>
    </row>
    <row r="1103" spans="1:19" s="659" customFormat="1" ht="20.100000000000001" customHeight="1">
      <c r="A1103" s="657" t="s">
        <v>5051</v>
      </c>
      <c r="B1103" s="649" t="s">
        <v>1127</v>
      </c>
      <c r="C1103" s="621"/>
      <c r="D1103" s="621"/>
      <c r="E1103" s="649" t="s">
        <v>5052</v>
      </c>
      <c r="F1103" s="622" t="s">
        <v>7155</v>
      </c>
      <c r="G1103" s="622" t="s">
        <v>7085</v>
      </c>
      <c r="H1103" s="649" t="s">
        <v>5053</v>
      </c>
      <c r="I1103" s="652" t="s">
        <v>11</v>
      </c>
      <c r="J1103" s="622" t="s">
        <v>7154</v>
      </c>
      <c r="K1103" s="680">
        <v>714</v>
      </c>
      <c r="L1103" s="680"/>
      <c r="M1103" s="681">
        <v>20000</v>
      </c>
      <c r="N1103" s="681"/>
      <c r="O1103" s="681">
        <v>19832</v>
      </c>
      <c r="P1103" s="680">
        <v>6432</v>
      </c>
      <c r="Q1103" s="682">
        <v>13400</v>
      </c>
      <c r="R1103" s="681">
        <v>168</v>
      </c>
      <c r="S1103" s="658"/>
    </row>
    <row r="1104" spans="1:19" s="659" customFormat="1" ht="20.100000000000001" customHeight="1">
      <c r="A1104" s="657" t="s">
        <v>5055</v>
      </c>
      <c r="B1104" s="649" t="s">
        <v>5057</v>
      </c>
      <c r="C1104" s="621"/>
      <c r="D1104" s="621"/>
      <c r="E1104" s="649" t="s">
        <v>5056</v>
      </c>
      <c r="F1104" s="622" t="s">
        <v>7140</v>
      </c>
      <c r="G1104" s="622" t="s">
        <v>1263</v>
      </c>
      <c r="H1104" s="649" t="s">
        <v>2949</v>
      </c>
      <c r="I1104" s="652" t="s">
        <v>11</v>
      </c>
      <c r="J1104" s="622" t="s">
        <v>7139</v>
      </c>
      <c r="K1104" s="680">
        <v>180</v>
      </c>
      <c r="L1104" s="680">
        <v>641</v>
      </c>
      <c r="M1104" s="681">
        <v>0</v>
      </c>
      <c r="N1104" s="681"/>
      <c r="O1104" s="681">
        <v>641</v>
      </c>
      <c r="P1104" s="680">
        <v>0</v>
      </c>
      <c r="Q1104" s="682">
        <v>641</v>
      </c>
      <c r="R1104" s="681">
        <v>0</v>
      </c>
      <c r="S1104" s="658"/>
    </row>
    <row r="1105" spans="1:19" s="659" customFormat="1" ht="20.100000000000001" customHeight="1">
      <c r="A1105" s="657" t="s">
        <v>5055</v>
      </c>
      <c r="B1105" s="649" t="s">
        <v>5057</v>
      </c>
      <c r="C1105" s="621"/>
      <c r="D1105" s="621"/>
      <c r="E1105" s="649" t="s">
        <v>5056</v>
      </c>
      <c r="F1105" s="622" t="s">
        <v>7140</v>
      </c>
      <c r="G1105" s="622" t="s">
        <v>1263</v>
      </c>
      <c r="H1105" s="649" t="s">
        <v>2949</v>
      </c>
      <c r="I1105" s="652" t="s">
        <v>11</v>
      </c>
      <c r="J1105" s="622" t="s">
        <v>7139</v>
      </c>
      <c r="K1105" s="680">
        <v>180</v>
      </c>
      <c r="L1105" s="680"/>
      <c r="M1105" s="681">
        <v>990</v>
      </c>
      <c r="N1105" s="681"/>
      <c r="O1105" s="681">
        <v>0</v>
      </c>
      <c r="P1105" s="680">
        <v>0</v>
      </c>
      <c r="Q1105" s="682">
        <v>0</v>
      </c>
      <c r="R1105" s="681">
        <v>990</v>
      </c>
      <c r="S1105" s="658"/>
    </row>
    <row r="1106" spans="1:19" s="659" customFormat="1" ht="20.100000000000001" customHeight="1">
      <c r="A1106" s="657" t="s">
        <v>5055</v>
      </c>
      <c r="B1106" s="649" t="s">
        <v>5057</v>
      </c>
      <c r="C1106" s="621"/>
      <c r="D1106" s="621"/>
      <c r="E1106" s="649" t="s">
        <v>5056</v>
      </c>
      <c r="F1106" s="622" t="s">
        <v>7140</v>
      </c>
      <c r="G1106" s="622" t="s">
        <v>1263</v>
      </c>
      <c r="H1106" s="649" t="s">
        <v>2949</v>
      </c>
      <c r="I1106" s="652" t="s">
        <v>11</v>
      </c>
      <c r="J1106" s="622" t="s">
        <v>7139</v>
      </c>
      <c r="K1106" s="680">
        <v>180</v>
      </c>
      <c r="L1106" s="680"/>
      <c r="M1106" s="681">
        <v>450</v>
      </c>
      <c r="N1106" s="681"/>
      <c r="O1106" s="681">
        <v>450</v>
      </c>
      <c r="P1106" s="680">
        <v>450</v>
      </c>
      <c r="Q1106" s="682">
        <v>0</v>
      </c>
      <c r="R1106" s="681">
        <v>0</v>
      </c>
      <c r="S1106" s="658"/>
    </row>
    <row r="1107" spans="1:19" s="659" customFormat="1" ht="20.100000000000001" customHeight="1">
      <c r="A1107" s="657" t="s">
        <v>5058</v>
      </c>
      <c r="B1107" s="649" t="s">
        <v>5059</v>
      </c>
      <c r="C1107" s="621"/>
      <c r="D1107" s="621"/>
      <c r="E1107" s="649" t="s">
        <v>5059</v>
      </c>
      <c r="F1107" s="622" t="s">
        <v>7143</v>
      </c>
      <c r="G1107" s="622" t="s">
        <v>7001</v>
      </c>
      <c r="H1107" s="649" t="s">
        <v>272</v>
      </c>
      <c r="I1107" s="652" t="s">
        <v>11</v>
      </c>
      <c r="J1107" s="622" t="s">
        <v>7142</v>
      </c>
      <c r="K1107" s="680">
        <v>340</v>
      </c>
      <c r="L1107" s="680">
        <v>824</v>
      </c>
      <c r="M1107" s="681">
        <v>0</v>
      </c>
      <c r="N1107" s="681"/>
      <c r="O1107" s="681">
        <v>824</v>
      </c>
      <c r="P1107" s="680">
        <v>0</v>
      </c>
      <c r="Q1107" s="682">
        <v>824</v>
      </c>
      <c r="R1107" s="681">
        <v>0</v>
      </c>
      <c r="S1107" s="658"/>
    </row>
    <row r="1108" spans="1:19" s="659" customFormat="1" ht="20.100000000000001" customHeight="1">
      <c r="A1108" s="657" t="s">
        <v>5058</v>
      </c>
      <c r="B1108" s="649" t="s">
        <v>5059</v>
      </c>
      <c r="C1108" s="621"/>
      <c r="D1108" s="621"/>
      <c r="E1108" s="649" t="s">
        <v>5059</v>
      </c>
      <c r="F1108" s="622" t="s">
        <v>7143</v>
      </c>
      <c r="G1108" s="622" t="s">
        <v>7001</v>
      </c>
      <c r="H1108" s="649" t="s">
        <v>272</v>
      </c>
      <c r="I1108" s="652" t="s">
        <v>11</v>
      </c>
      <c r="J1108" s="622" t="s">
        <v>7142</v>
      </c>
      <c r="K1108" s="680">
        <v>340</v>
      </c>
      <c r="L1108" s="680">
        <v>3000</v>
      </c>
      <c r="M1108" s="681">
        <v>0</v>
      </c>
      <c r="N1108" s="681"/>
      <c r="O1108" s="681">
        <v>2600</v>
      </c>
      <c r="P1108" s="680">
        <v>2600</v>
      </c>
      <c r="Q1108" s="682">
        <v>0</v>
      </c>
      <c r="R1108" s="681">
        <v>400</v>
      </c>
      <c r="S1108" s="658"/>
    </row>
    <row r="1109" spans="1:19" s="659" customFormat="1" ht="20.100000000000001" customHeight="1">
      <c r="A1109" s="657" t="s">
        <v>5058</v>
      </c>
      <c r="B1109" s="649" t="s">
        <v>5059</v>
      </c>
      <c r="C1109" s="621"/>
      <c r="D1109" s="621"/>
      <c r="E1109" s="649" t="s">
        <v>5059</v>
      </c>
      <c r="F1109" s="622" t="s">
        <v>7143</v>
      </c>
      <c r="G1109" s="622" t="s">
        <v>7001</v>
      </c>
      <c r="H1109" s="649" t="s">
        <v>272</v>
      </c>
      <c r="I1109" s="652" t="s">
        <v>11</v>
      </c>
      <c r="J1109" s="622" t="s">
        <v>7142</v>
      </c>
      <c r="K1109" s="680">
        <v>340</v>
      </c>
      <c r="L1109" s="680">
        <v>2000</v>
      </c>
      <c r="M1109" s="681">
        <v>0</v>
      </c>
      <c r="N1109" s="681"/>
      <c r="O1109" s="681">
        <v>1172</v>
      </c>
      <c r="P1109" s="680">
        <v>0</v>
      </c>
      <c r="Q1109" s="682">
        <v>1172</v>
      </c>
      <c r="R1109" s="681">
        <v>828</v>
      </c>
      <c r="S1109" s="658"/>
    </row>
    <row r="1110" spans="1:19" s="659" customFormat="1" ht="20.100000000000001" customHeight="1">
      <c r="A1110" s="657" t="s">
        <v>5058</v>
      </c>
      <c r="B1110" s="649" t="s">
        <v>5059</v>
      </c>
      <c r="C1110" s="621"/>
      <c r="D1110" s="621"/>
      <c r="E1110" s="649" t="s">
        <v>5059</v>
      </c>
      <c r="F1110" s="622" t="s">
        <v>7143</v>
      </c>
      <c r="G1110" s="622" t="s">
        <v>7001</v>
      </c>
      <c r="H1110" s="649" t="s">
        <v>272</v>
      </c>
      <c r="I1110" s="652" t="s">
        <v>11</v>
      </c>
      <c r="J1110" s="622" t="s">
        <v>7142</v>
      </c>
      <c r="K1110" s="680">
        <v>340</v>
      </c>
      <c r="L1110" s="680"/>
      <c r="M1110" s="681">
        <v>2400</v>
      </c>
      <c r="N1110" s="681"/>
      <c r="O1110" s="681">
        <v>0</v>
      </c>
      <c r="P1110" s="680">
        <v>0</v>
      </c>
      <c r="Q1110" s="682">
        <v>0</v>
      </c>
      <c r="R1110" s="681">
        <v>2400</v>
      </c>
      <c r="S1110" s="658"/>
    </row>
    <row r="1111" spans="1:19" s="659" customFormat="1" ht="20.100000000000001" customHeight="1">
      <c r="A1111" s="657" t="s">
        <v>5062</v>
      </c>
      <c r="B1111" s="649" t="s">
        <v>1443</v>
      </c>
      <c r="C1111" s="621"/>
      <c r="D1111" s="621"/>
      <c r="E1111" s="649" t="s">
        <v>5063</v>
      </c>
      <c r="F1111" s="622" t="s">
        <v>7163</v>
      </c>
      <c r="G1111" s="622" t="s">
        <v>2385</v>
      </c>
      <c r="H1111" s="649" t="s">
        <v>272</v>
      </c>
      <c r="I1111" s="652" t="s">
        <v>11</v>
      </c>
      <c r="J1111" s="622" t="s">
        <v>7131</v>
      </c>
      <c r="K1111" s="680">
        <v>343</v>
      </c>
      <c r="L1111" s="680">
        <v>640</v>
      </c>
      <c r="M1111" s="681">
        <v>3</v>
      </c>
      <c r="N1111" s="681"/>
      <c r="O1111" s="681">
        <v>448</v>
      </c>
      <c r="P1111" s="680">
        <v>3</v>
      </c>
      <c r="Q1111" s="682">
        <v>445</v>
      </c>
      <c r="R1111" s="681">
        <v>195</v>
      </c>
      <c r="S1111" s="658"/>
    </row>
    <row r="1112" spans="1:19" s="659" customFormat="1" ht="20.100000000000001" customHeight="1">
      <c r="A1112" s="657" t="s">
        <v>5062</v>
      </c>
      <c r="B1112" s="649" t="s">
        <v>1443</v>
      </c>
      <c r="C1112" s="621"/>
      <c r="D1112" s="621"/>
      <c r="E1112" s="649" t="s">
        <v>5063</v>
      </c>
      <c r="F1112" s="622" t="s">
        <v>7163</v>
      </c>
      <c r="G1112" s="622" t="s">
        <v>2385</v>
      </c>
      <c r="H1112" s="649" t="s">
        <v>272</v>
      </c>
      <c r="I1112" s="652" t="s">
        <v>11</v>
      </c>
      <c r="J1112" s="622" t="s">
        <v>7131</v>
      </c>
      <c r="K1112" s="680">
        <v>343</v>
      </c>
      <c r="L1112" s="680"/>
      <c r="M1112" s="681">
        <v>7000</v>
      </c>
      <c r="N1112" s="681"/>
      <c r="O1112" s="681">
        <v>4115</v>
      </c>
      <c r="P1112" s="680">
        <v>4000</v>
      </c>
      <c r="Q1112" s="682">
        <v>115</v>
      </c>
      <c r="R1112" s="681">
        <v>2885</v>
      </c>
      <c r="S1112" s="658"/>
    </row>
    <row r="1113" spans="1:19" s="659" customFormat="1" ht="20.100000000000001" customHeight="1">
      <c r="A1113" s="657" t="s">
        <v>5062</v>
      </c>
      <c r="B1113" s="649" t="s">
        <v>1443</v>
      </c>
      <c r="C1113" s="621"/>
      <c r="D1113" s="621"/>
      <c r="E1113" s="649" t="s">
        <v>5063</v>
      </c>
      <c r="F1113" s="622" t="s">
        <v>7163</v>
      </c>
      <c r="G1113" s="622" t="s">
        <v>2385</v>
      </c>
      <c r="H1113" s="649" t="s">
        <v>272</v>
      </c>
      <c r="I1113" s="652" t="s">
        <v>11</v>
      </c>
      <c r="J1113" s="622" t="s">
        <v>7131</v>
      </c>
      <c r="K1113" s="680">
        <v>343</v>
      </c>
      <c r="L1113" s="680"/>
      <c r="M1113" s="681">
        <v>10000</v>
      </c>
      <c r="N1113" s="681"/>
      <c r="O1113" s="681">
        <v>8000</v>
      </c>
      <c r="P1113" s="680">
        <v>8000</v>
      </c>
      <c r="Q1113" s="682">
        <v>0</v>
      </c>
      <c r="R1113" s="681">
        <v>2000</v>
      </c>
      <c r="S1113" s="658"/>
    </row>
    <row r="1114" spans="1:19" s="659" customFormat="1" ht="20.100000000000001" customHeight="1">
      <c r="A1114" s="657" t="s">
        <v>5062</v>
      </c>
      <c r="B1114" s="649" t="s">
        <v>1443</v>
      </c>
      <c r="C1114" s="621"/>
      <c r="D1114" s="621"/>
      <c r="E1114" s="649" t="s">
        <v>5063</v>
      </c>
      <c r="F1114" s="622" t="s">
        <v>7163</v>
      </c>
      <c r="G1114" s="622" t="s">
        <v>2385</v>
      </c>
      <c r="H1114" s="649" t="s">
        <v>272</v>
      </c>
      <c r="I1114" s="652" t="s">
        <v>11</v>
      </c>
      <c r="J1114" s="622" t="s">
        <v>7131</v>
      </c>
      <c r="K1114" s="680">
        <v>343</v>
      </c>
      <c r="L1114" s="680">
        <v>1550</v>
      </c>
      <c r="M1114" s="681">
        <v>0</v>
      </c>
      <c r="N1114" s="681"/>
      <c r="O1114" s="681">
        <v>1550</v>
      </c>
      <c r="P1114" s="680">
        <v>0</v>
      </c>
      <c r="Q1114" s="682">
        <v>1550</v>
      </c>
      <c r="R1114" s="681">
        <v>0</v>
      </c>
      <c r="S1114" s="658"/>
    </row>
    <row r="1115" spans="1:19" s="659" customFormat="1" ht="20.100000000000001" customHeight="1">
      <c r="A1115" s="657" t="s">
        <v>5066</v>
      </c>
      <c r="B1115" s="649" t="s">
        <v>843</v>
      </c>
      <c r="C1115" s="621"/>
      <c r="D1115" s="621"/>
      <c r="E1115" s="649" t="s">
        <v>843</v>
      </c>
      <c r="F1115" s="622" t="s">
        <v>7185</v>
      </c>
      <c r="G1115" s="622" t="s">
        <v>7001</v>
      </c>
      <c r="H1115" s="649" t="s">
        <v>225</v>
      </c>
      <c r="I1115" s="652" t="s">
        <v>11</v>
      </c>
      <c r="J1115" s="622" t="s">
        <v>7182</v>
      </c>
      <c r="K1115" s="680">
        <v>154</v>
      </c>
      <c r="L1115" s="680">
        <v>53</v>
      </c>
      <c r="M1115" s="681">
        <v>4</v>
      </c>
      <c r="N1115" s="681"/>
      <c r="O1115" s="681">
        <v>57</v>
      </c>
      <c r="P1115" s="680">
        <v>57</v>
      </c>
      <c r="Q1115" s="682">
        <v>0</v>
      </c>
      <c r="R1115" s="681">
        <v>0</v>
      </c>
      <c r="S1115" s="658"/>
    </row>
    <row r="1116" spans="1:19" s="659" customFormat="1" ht="20.100000000000001" customHeight="1">
      <c r="A1116" s="657" t="s">
        <v>5066</v>
      </c>
      <c r="B1116" s="649" t="s">
        <v>843</v>
      </c>
      <c r="C1116" s="621"/>
      <c r="D1116" s="621"/>
      <c r="E1116" s="649" t="s">
        <v>843</v>
      </c>
      <c r="F1116" s="622" t="s">
        <v>7185</v>
      </c>
      <c r="G1116" s="622" t="s">
        <v>7001</v>
      </c>
      <c r="H1116" s="649" t="s">
        <v>225</v>
      </c>
      <c r="I1116" s="652" t="s">
        <v>11</v>
      </c>
      <c r="J1116" s="622" t="s">
        <v>7182</v>
      </c>
      <c r="K1116" s="680">
        <v>154</v>
      </c>
      <c r="L1116" s="680"/>
      <c r="M1116" s="681">
        <v>20000</v>
      </c>
      <c r="N1116" s="681"/>
      <c r="O1116" s="681">
        <v>20000</v>
      </c>
      <c r="P1116" s="680">
        <v>9000</v>
      </c>
      <c r="Q1116" s="682">
        <v>11000</v>
      </c>
      <c r="R1116" s="681">
        <v>0</v>
      </c>
      <c r="S1116" s="658"/>
    </row>
    <row r="1117" spans="1:19" s="659" customFormat="1" ht="20.100000000000001" customHeight="1">
      <c r="A1117" s="657" t="s">
        <v>5066</v>
      </c>
      <c r="B1117" s="649" t="s">
        <v>843</v>
      </c>
      <c r="C1117" s="621"/>
      <c r="D1117" s="621"/>
      <c r="E1117" s="649" t="s">
        <v>843</v>
      </c>
      <c r="F1117" s="622" t="s">
        <v>7185</v>
      </c>
      <c r="G1117" s="622" t="s">
        <v>7001</v>
      </c>
      <c r="H1117" s="649" t="s">
        <v>225</v>
      </c>
      <c r="I1117" s="652" t="s">
        <v>11</v>
      </c>
      <c r="J1117" s="622" t="s">
        <v>7182</v>
      </c>
      <c r="K1117" s="680">
        <v>154</v>
      </c>
      <c r="L1117" s="680"/>
      <c r="M1117" s="681">
        <v>9000</v>
      </c>
      <c r="N1117" s="681"/>
      <c r="O1117" s="681">
        <v>9000</v>
      </c>
      <c r="P1117" s="680">
        <v>8200</v>
      </c>
      <c r="Q1117" s="682">
        <v>800</v>
      </c>
      <c r="R1117" s="681">
        <v>0</v>
      </c>
      <c r="S1117" s="658"/>
    </row>
    <row r="1118" spans="1:19" s="659" customFormat="1" ht="20.100000000000001" customHeight="1">
      <c r="A1118" s="657" t="s">
        <v>5066</v>
      </c>
      <c r="B1118" s="649" t="s">
        <v>843</v>
      </c>
      <c r="C1118" s="621"/>
      <c r="D1118" s="621"/>
      <c r="E1118" s="649" t="s">
        <v>843</v>
      </c>
      <c r="F1118" s="622" t="s">
        <v>7185</v>
      </c>
      <c r="G1118" s="622" t="s">
        <v>7001</v>
      </c>
      <c r="H1118" s="649" t="s">
        <v>225</v>
      </c>
      <c r="I1118" s="652" t="s">
        <v>11</v>
      </c>
      <c r="J1118" s="622" t="s">
        <v>7182</v>
      </c>
      <c r="K1118" s="680">
        <v>154</v>
      </c>
      <c r="L1118" s="680"/>
      <c r="M1118" s="681">
        <v>60017</v>
      </c>
      <c r="N1118" s="681"/>
      <c r="O1118" s="681">
        <v>55648</v>
      </c>
      <c r="P1118" s="680">
        <v>10541</v>
      </c>
      <c r="Q1118" s="682">
        <v>45107</v>
      </c>
      <c r="R1118" s="681">
        <v>4369</v>
      </c>
      <c r="S1118" s="658"/>
    </row>
    <row r="1119" spans="1:19" s="659" customFormat="1" ht="20.100000000000001" customHeight="1">
      <c r="A1119" s="657" t="s">
        <v>5066</v>
      </c>
      <c r="B1119" s="649" t="s">
        <v>843</v>
      </c>
      <c r="C1119" s="621"/>
      <c r="D1119" s="621"/>
      <c r="E1119" s="649" t="s">
        <v>843</v>
      </c>
      <c r="F1119" s="622" t="s">
        <v>7185</v>
      </c>
      <c r="G1119" s="622" t="s">
        <v>7001</v>
      </c>
      <c r="H1119" s="649" t="s">
        <v>225</v>
      </c>
      <c r="I1119" s="652" t="s">
        <v>11</v>
      </c>
      <c r="J1119" s="622" t="s">
        <v>7182</v>
      </c>
      <c r="K1119" s="680">
        <v>154</v>
      </c>
      <c r="L1119" s="680">
        <v>7460</v>
      </c>
      <c r="M1119" s="681">
        <v>0</v>
      </c>
      <c r="N1119" s="681"/>
      <c r="O1119" s="681">
        <v>7460</v>
      </c>
      <c r="P1119" s="680">
        <v>1200</v>
      </c>
      <c r="Q1119" s="682">
        <v>6260</v>
      </c>
      <c r="R1119" s="681">
        <v>0</v>
      </c>
      <c r="S1119" s="658"/>
    </row>
    <row r="1120" spans="1:19" s="659" customFormat="1" ht="20.100000000000001" customHeight="1">
      <c r="A1120" s="657" t="s">
        <v>5068</v>
      </c>
      <c r="B1120" s="649" t="s">
        <v>843</v>
      </c>
      <c r="C1120" s="621"/>
      <c r="D1120" s="621"/>
      <c r="E1120" s="649" t="s">
        <v>844</v>
      </c>
      <c r="F1120" s="622" t="s">
        <v>7183</v>
      </c>
      <c r="G1120" s="622" t="s">
        <v>7001</v>
      </c>
      <c r="H1120" s="649" t="s">
        <v>272</v>
      </c>
      <c r="I1120" s="652" t="s">
        <v>11</v>
      </c>
      <c r="J1120" s="622" t="s">
        <v>7182</v>
      </c>
      <c r="K1120" s="680">
        <v>113</v>
      </c>
      <c r="L1120" s="680"/>
      <c r="M1120" s="681">
        <v>10000</v>
      </c>
      <c r="N1120" s="681"/>
      <c r="O1120" s="681">
        <v>10000</v>
      </c>
      <c r="P1120" s="680">
        <v>0</v>
      </c>
      <c r="Q1120" s="682">
        <v>10000</v>
      </c>
      <c r="R1120" s="681">
        <v>0</v>
      </c>
      <c r="S1120" s="658"/>
    </row>
    <row r="1121" spans="1:19" s="659" customFormat="1" ht="20.100000000000001" customHeight="1">
      <c r="A1121" s="657" t="s">
        <v>5068</v>
      </c>
      <c r="B1121" s="649" t="s">
        <v>843</v>
      </c>
      <c r="C1121" s="621"/>
      <c r="D1121" s="621"/>
      <c r="E1121" s="649" t="s">
        <v>844</v>
      </c>
      <c r="F1121" s="622" t="s">
        <v>7183</v>
      </c>
      <c r="G1121" s="622" t="s">
        <v>7001</v>
      </c>
      <c r="H1121" s="649" t="s">
        <v>272</v>
      </c>
      <c r="I1121" s="652" t="s">
        <v>11</v>
      </c>
      <c r="J1121" s="622" t="s">
        <v>7182</v>
      </c>
      <c r="K1121" s="680">
        <v>113</v>
      </c>
      <c r="L1121" s="680">
        <v>4579</v>
      </c>
      <c r="M1121" s="681">
        <v>0</v>
      </c>
      <c r="N1121" s="681"/>
      <c r="O1121" s="681">
        <v>3803</v>
      </c>
      <c r="P1121" s="680">
        <v>1000</v>
      </c>
      <c r="Q1121" s="682">
        <v>2803</v>
      </c>
      <c r="R1121" s="681">
        <v>776</v>
      </c>
      <c r="S1121" s="658"/>
    </row>
    <row r="1122" spans="1:19" s="659" customFormat="1" ht="20.100000000000001" customHeight="1">
      <c r="A1122" s="657" t="s">
        <v>5068</v>
      </c>
      <c r="B1122" s="649" t="s">
        <v>843</v>
      </c>
      <c r="C1122" s="621"/>
      <c r="D1122" s="621"/>
      <c r="E1122" s="649" t="s">
        <v>844</v>
      </c>
      <c r="F1122" s="622" t="s">
        <v>7183</v>
      </c>
      <c r="G1122" s="622" t="s">
        <v>7001</v>
      </c>
      <c r="H1122" s="649" t="s">
        <v>272</v>
      </c>
      <c r="I1122" s="652" t="s">
        <v>11</v>
      </c>
      <c r="J1122" s="622" t="s">
        <v>7182</v>
      </c>
      <c r="K1122" s="680">
        <v>113</v>
      </c>
      <c r="L1122" s="680"/>
      <c r="M1122" s="681">
        <v>20290</v>
      </c>
      <c r="N1122" s="681"/>
      <c r="O1122" s="681">
        <v>19524</v>
      </c>
      <c r="P1122" s="680">
        <v>9614</v>
      </c>
      <c r="Q1122" s="682">
        <v>9910</v>
      </c>
      <c r="R1122" s="681">
        <v>766</v>
      </c>
      <c r="S1122" s="658"/>
    </row>
    <row r="1123" spans="1:19" s="659" customFormat="1" ht="20.100000000000001" customHeight="1">
      <c r="A1123" s="657" t="s">
        <v>5068</v>
      </c>
      <c r="B1123" s="649" t="s">
        <v>843</v>
      </c>
      <c r="C1123" s="621"/>
      <c r="D1123" s="621"/>
      <c r="E1123" s="649" t="s">
        <v>844</v>
      </c>
      <c r="F1123" s="622" t="s">
        <v>7183</v>
      </c>
      <c r="G1123" s="622" t="s">
        <v>7001</v>
      </c>
      <c r="H1123" s="649" t="s">
        <v>272</v>
      </c>
      <c r="I1123" s="652" t="s">
        <v>11</v>
      </c>
      <c r="J1123" s="622" t="s">
        <v>7182</v>
      </c>
      <c r="K1123" s="680">
        <v>113</v>
      </c>
      <c r="L1123" s="680"/>
      <c r="M1123" s="681">
        <v>10600</v>
      </c>
      <c r="N1123" s="681"/>
      <c r="O1123" s="681">
        <v>10600</v>
      </c>
      <c r="P1123" s="680">
        <v>10600</v>
      </c>
      <c r="Q1123" s="682">
        <v>0</v>
      </c>
      <c r="R1123" s="681">
        <v>0</v>
      </c>
      <c r="S1123" s="658"/>
    </row>
    <row r="1124" spans="1:19" s="659" customFormat="1" ht="20.100000000000001" customHeight="1">
      <c r="A1124" s="657" t="s">
        <v>5069</v>
      </c>
      <c r="B1124" s="649" t="s">
        <v>1402</v>
      </c>
      <c r="C1124" s="621"/>
      <c r="D1124" s="621"/>
      <c r="E1124" s="649" t="s">
        <v>1402</v>
      </c>
      <c r="F1124" s="622" t="s">
        <v>7197</v>
      </c>
      <c r="G1124" s="622" t="s">
        <v>7001</v>
      </c>
      <c r="H1124" s="649" t="s">
        <v>225</v>
      </c>
      <c r="I1124" s="652" t="s">
        <v>11</v>
      </c>
      <c r="J1124" s="622" t="s">
        <v>7196</v>
      </c>
      <c r="K1124" s="680">
        <v>162</v>
      </c>
      <c r="L1124" s="680"/>
      <c r="M1124" s="681">
        <v>5000</v>
      </c>
      <c r="N1124" s="681"/>
      <c r="O1124" s="681">
        <v>400</v>
      </c>
      <c r="P1124" s="680">
        <v>400</v>
      </c>
      <c r="Q1124" s="682">
        <v>0</v>
      </c>
      <c r="R1124" s="681">
        <v>4600</v>
      </c>
      <c r="S1124" s="658"/>
    </row>
    <row r="1125" spans="1:19" s="659" customFormat="1" ht="20.100000000000001" customHeight="1">
      <c r="A1125" s="657" t="s">
        <v>5069</v>
      </c>
      <c r="B1125" s="649" t="s">
        <v>1402</v>
      </c>
      <c r="C1125" s="621"/>
      <c r="D1125" s="621"/>
      <c r="E1125" s="649" t="s">
        <v>1402</v>
      </c>
      <c r="F1125" s="622" t="s">
        <v>7197</v>
      </c>
      <c r="G1125" s="622" t="s">
        <v>7001</v>
      </c>
      <c r="H1125" s="649" t="s">
        <v>225</v>
      </c>
      <c r="I1125" s="652" t="s">
        <v>11</v>
      </c>
      <c r="J1125" s="622" t="s">
        <v>7196</v>
      </c>
      <c r="K1125" s="680">
        <v>162</v>
      </c>
      <c r="L1125" s="680"/>
      <c r="M1125" s="681">
        <v>1600</v>
      </c>
      <c r="N1125" s="681"/>
      <c r="O1125" s="681">
        <v>1000</v>
      </c>
      <c r="P1125" s="680">
        <v>1000</v>
      </c>
      <c r="Q1125" s="682">
        <v>0</v>
      </c>
      <c r="R1125" s="681">
        <v>600</v>
      </c>
      <c r="S1125" s="658"/>
    </row>
    <row r="1126" spans="1:19" s="659" customFormat="1" ht="20.100000000000001" customHeight="1">
      <c r="A1126" s="657" t="s">
        <v>5069</v>
      </c>
      <c r="B1126" s="649" t="s">
        <v>1402</v>
      </c>
      <c r="C1126" s="621"/>
      <c r="D1126" s="621"/>
      <c r="E1126" s="649" t="s">
        <v>1402</v>
      </c>
      <c r="F1126" s="622" t="s">
        <v>7197</v>
      </c>
      <c r="G1126" s="622" t="s">
        <v>7001</v>
      </c>
      <c r="H1126" s="649" t="s">
        <v>225</v>
      </c>
      <c r="I1126" s="652" t="s">
        <v>11</v>
      </c>
      <c r="J1126" s="622" t="s">
        <v>7196</v>
      </c>
      <c r="K1126" s="680">
        <v>162</v>
      </c>
      <c r="L1126" s="680">
        <v>4000</v>
      </c>
      <c r="M1126" s="681">
        <v>0</v>
      </c>
      <c r="N1126" s="681"/>
      <c r="O1126" s="681">
        <v>2634</v>
      </c>
      <c r="P1126" s="680">
        <v>2000</v>
      </c>
      <c r="Q1126" s="682">
        <v>634</v>
      </c>
      <c r="R1126" s="681">
        <v>1366</v>
      </c>
      <c r="S1126" s="658"/>
    </row>
    <row r="1127" spans="1:19" s="659" customFormat="1" ht="20.100000000000001" customHeight="1">
      <c r="A1127" s="657" t="s">
        <v>5069</v>
      </c>
      <c r="B1127" s="649" t="s">
        <v>1402</v>
      </c>
      <c r="C1127" s="621"/>
      <c r="D1127" s="621"/>
      <c r="E1127" s="649" t="s">
        <v>1402</v>
      </c>
      <c r="F1127" s="622" t="s">
        <v>7197</v>
      </c>
      <c r="G1127" s="622" t="s">
        <v>7001</v>
      </c>
      <c r="H1127" s="649" t="s">
        <v>225</v>
      </c>
      <c r="I1127" s="652" t="s">
        <v>11</v>
      </c>
      <c r="J1127" s="622" t="s">
        <v>7196</v>
      </c>
      <c r="K1127" s="680">
        <v>162</v>
      </c>
      <c r="L1127" s="680">
        <v>1124</v>
      </c>
      <c r="M1127" s="681">
        <v>0</v>
      </c>
      <c r="N1127" s="681"/>
      <c r="O1127" s="681">
        <v>1124</v>
      </c>
      <c r="P1127" s="680">
        <v>0</v>
      </c>
      <c r="Q1127" s="682">
        <v>1124</v>
      </c>
      <c r="R1127" s="681">
        <v>0</v>
      </c>
      <c r="S1127" s="658"/>
    </row>
    <row r="1128" spans="1:19" s="659" customFormat="1" ht="20.100000000000001" customHeight="1">
      <c r="A1128" s="657" t="s">
        <v>5069</v>
      </c>
      <c r="B1128" s="649" t="s">
        <v>1402</v>
      </c>
      <c r="C1128" s="621"/>
      <c r="D1128" s="621"/>
      <c r="E1128" s="649" t="s">
        <v>1402</v>
      </c>
      <c r="F1128" s="622" t="s">
        <v>7197</v>
      </c>
      <c r="G1128" s="622" t="s">
        <v>7001</v>
      </c>
      <c r="H1128" s="649" t="s">
        <v>225</v>
      </c>
      <c r="I1128" s="652" t="s">
        <v>11</v>
      </c>
      <c r="J1128" s="622" t="s">
        <v>7196</v>
      </c>
      <c r="K1128" s="680">
        <v>162</v>
      </c>
      <c r="L1128" s="680">
        <v>600</v>
      </c>
      <c r="M1128" s="681">
        <v>0</v>
      </c>
      <c r="N1128" s="681"/>
      <c r="O1128" s="681">
        <v>600</v>
      </c>
      <c r="P1128" s="680">
        <v>600</v>
      </c>
      <c r="Q1128" s="682">
        <v>0</v>
      </c>
      <c r="R1128" s="681">
        <v>0</v>
      </c>
      <c r="S1128" s="658"/>
    </row>
    <row r="1129" spans="1:19" s="659" customFormat="1" ht="20.100000000000001" customHeight="1">
      <c r="A1129" s="657" t="s">
        <v>5069</v>
      </c>
      <c r="B1129" s="649" t="s">
        <v>1402</v>
      </c>
      <c r="C1129" s="621"/>
      <c r="D1129" s="621"/>
      <c r="E1129" s="649" t="s">
        <v>1402</v>
      </c>
      <c r="F1129" s="622" t="s">
        <v>7197</v>
      </c>
      <c r="G1129" s="622" t="s">
        <v>7001</v>
      </c>
      <c r="H1129" s="649" t="s">
        <v>225</v>
      </c>
      <c r="I1129" s="652" t="s">
        <v>11</v>
      </c>
      <c r="J1129" s="622" t="s">
        <v>7196</v>
      </c>
      <c r="K1129" s="680">
        <v>165</v>
      </c>
      <c r="L1129" s="680">
        <v>245</v>
      </c>
      <c r="M1129" s="681">
        <v>0</v>
      </c>
      <c r="N1129" s="681"/>
      <c r="O1129" s="681">
        <v>245</v>
      </c>
      <c r="P1129" s="680">
        <v>0</v>
      </c>
      <c r="Q1129" s="682">
        <v>245</v>
      </c>
      <c r="R1129" s="681">
        <v>0</v>
      </c>
      <c r="S1129" s="658"/>
    </row>
    <row r="1130" spans="1:19" s="659" customFormat="1" ht="20.100000000000001" customHeight="1">
      <c r="A1130" s="657" t="s">
        <v>4584</v>
      </c>
      <c r="B1130" s="649" t="s">
        <v>337</v>
      </c>
      <c r="C1130" s="621"/>
      <c r="D1130" s="621"/>
      <c r="E1130" s="649" t="s">
        <v>1947</v>
      </c>
      <c r="F1130" s="622" t="s">
        <v>1949</v>
      </c>
      <c r="G1130" s="622" t="s">
        <v>1946</v>
      </c>
      <c r="H1130" s="649" t="s">
        <v>1200</v>
      </c>
      <c r="I1130" s="652" t="s">
        <v>13</v>
      </c>
      <c r="J1130" s="622" t="s">
        <v>8266</v>
      </c>
      <c r="K1130" s="680">
        <v>2499</v>
      </c>
      <c r="L1130" s="680">
        <v>14</v>
      </c>
      <c r="M1130" s="681">
        <v>0</v>
      </c>
      <c r="N1130" s="681"/>
      <c r="O1130" s="681">
        <v>14</v>
      </c>
      <c r="P1130" s="680">
        <v>14</v>
      </c>
      <c r="Q1130" s="682">
        <v>0</v>
      </c>
      <c r="R1130" s="681">
        <v>0</v>
      </c>
      <c r="S1130" s="658"/>
    </row>
    <row r="1131" spans="1:19" s="659" customFormat="1" ht="20.100000000000001" customHeight="1">
      <c r="A1131" s="657" t="s">
        <v>4582</v>
      </c>
      <c r="B1131" s="649" t="s">
        <v>337</v>
      </c>
      <c r="C1131" s="621"/>
      <c r="D1131" s="621"/>
      <c r="E1131" s="649" t="s">
        <v>1947</v>
      </c>
      <c r="F1131" s="622" t="s">
        <v>1949</v>
      </c>
      <c r="G1131" s="622" t="s">
        <v>1946</v>
      </c>
      <c r="H1131" s="649" t="s">
        <v>1200</v>
      </c>
      <c r="I1131" s="652" t="s">
        <v>13</v>
      </c>
      <c r="J1131" s="622" t="s">
        <v>8266</v>
      </c>
      <c r="K1131" s="680">
        <v>2499</v>
      </c>
      <c r="L1131" s="680">
        <v>2080</v>
      </c>
      <c r="M1131" s="681">
        <v>229</v>
      </c>
      <c r="N1131" s="681"/>
      <c r="O1131" s="681">
        <v>1031</v>
      </c>
      <c r="P1131" s="680">
        <v>255</v>
      </c>
      <c r="Q1131" s="682">
        <v>776</v>
      </c>
      <c r="R1131" s="681">
        <v>1278</v>
      </c>
      <c r="S1131" s="658"/>
    </row>
    <row r="1132" spans="1:19" s="659" customFormat="1" ht="20.100000000000001" customHeight="1">
      <c r="A1132" s="657" t="s">
        <v>4582</v>
      </c>
      <c r="B1132" s="649" t="s">
        <v>337</v>
      </c>
      <c r="C1132" s="621"/>
      <c r="D1132" s="621"/>
      <c r="E1132" s="649" t="s">
        <v>1947</v>
      </c>
      <c r="F1132" s="622" t="s">
        <v>1949</v>
      </c>
      <c r="G1132" s="622" t="s">
        <v>1946</v>
      </c>
      <c r="H1132" s="649" t="s">
        <v>1200</v>
      </c>
      <c r="I1132" s="652" t="s">
        <v>13</v>
      </c>
      <c r="J1132" s="622" t="s">
        <v>8266</v>
      </c>
      <c r="K1132" s="680">
        <v>2499</v>
      </c>
      <c r="L1132" s="680">
        <v>1500</v>
      </c>
      <c r="M1132" s="681">
        <v>0</v>
      </c>
      <c r="N1132" s="681"/>
      <c r="O1132" s="681">
        <v>0</v>
      </c>
      <c r="P1132" s="680">
        <v>0</v>
      </c>
      <c r="Q1132" s="682">
        <v>0</v>
      </c>
      <c r="R1132" s="681">
        <v>1500</v>
      </c>
      <c r="S1132" s="658"/>
    </row>
    <row r="1133" spans="1:19" s="659" customFormat="1" ht="20.100000000000001" customHeight="1">
      <c r="A1133" s="657" t="s">
        <v>6770</v>
      </c>
      <c r="B1133" s="649" t="s">
        <v>729</v>
      </c>
      <c r="C1133" s="621"/>
      <c r="D1133" s="621"/>
      <c r="E1133" s="649" t="s">
        <v>2560</v>
      </c>
      <c r="F1133" s="622" t="s">
        <v>6771</v>
      </c>
      <c r="G1133" s="622" t="s">
        <v>6102</v>
      </c>
      <c r="H1133" s="649" t="s">
        <v>225</v>
      </c>
      <c r="I1133" s="652" t="s">
        <v>11</v>
      </c>
      <c r="J1133" s="622" t="s">
        <v>6441</v>
      </c>
      <c r="K1133" s="680">
        <v>1500</v>
      </c>
      <c r="L1133" s="680"/>
      <c r="M1133" s="681">
        <v>6000</v>
      </c>
      <c r="N1133" s="681"/>
      <c r="O1133" s="681">
        <v>5987</v>
      </c>
      <c r="P1133" s="680">
        <v>0</v>
      </c>
      <c r="Q1133" s="682">
        <v>5987</v>
      </c>
      <c r="R1133" s="681">
        <v>13</v>
      </c>
      <c r="S1133" s="658"/>
    </row>
    <row r="1134" spans="1:19" s="659" customFormat="1" ht="20.100000000000001" customHeight="1">
      <c r="A1134" s="657" t="s">
        <v>8715</v>
      </c>
      <c r="B1134" s="649" t="s">
        <v>12462</v>
      </c>
      <c r="C1134" s="621"/>
      <c r="D1134" s="621"/>
      <c r="E1134" s="649" t="s">
        <v>12461</v>
      </c>
      <c r="F1134" s="622" t="s">
        <v>8720</v>
      </c>
      <c r="G1134" s="622" t="s">
        <v>8721</v>
      </c>
      <c r="H1134" s="649" t="s">
        <v>12463</v>
      </c>
      <c r="I1134" s="652" t="s">
        <v>15</v>
      </c>
      <c r="J1134" s="622" t="s">
        <v>8719</v>
      </c>
      <c r="K1134" s="680">
        <v>40000</v>
      </c>
      <c r="L1134" s="680"/>
      <c r="M1134" s="681">
        <v>200</v>
      </c>
      <c r="N1134" s="681"/>
      <c r="O1134" s="681">
        <v>48</v>
      </c>
      <c r="P1134" s="680">
        <v>0</v>
      </c>
      <c r="Q1134" s="682">
        <v>48</v>
      </c>
      <c r="R1134" s="681">
        <v>152</v>
      </c>
      <c r="S1134" s="658"/>
    </row>
    <row r="1135" spans="1:19" s="659" customFormat="1" ht="20.100000000000001" customHeight="1">
      <c r="A1135" s="657" t="s">
        <v>8715</v>
      </c>
      <c r="B1135" s="649" t="s">
        <v>12462</v>
      </c>
      <c r="C1135" s="621"/>
      <c r="D1135" s="621"/>
      <c r="E1135" s="649" t="s">
        <v>12461</v>
      </c>
      <c r="F1135" s="622" t="s">
        <v>8720</v>
      </c>
      <c r="G1135" s="622" t="s">
        <v>8721</v>
      </c>
      <c r="H1135" s="649" t="s">
        <v>12463</v>
      </c>
      <c r="I1135" s="652" t="s">
        <v>15</v>
      </c>
      <c r="J1135" s="622" t="s">
        <v>8719</v>
      </c>
      <c r="K1135" s="680">
        <v>40000</v>
      </c>
      <c r="L1135" s="680"/>
      <c r="M1135" s="681">
        <v>100</v>
      </c>
      <c r="N1135" s="681"/>
      <c r="O1135" s="681">
        <v>0</v>
      </c>
      <c r="P1135" s="680">
        <v>0</v>
      </c>
      <c r="Q1135" s="682">
        <v>0</v>
      </c>
      <c r="R1135" s="681">
        <v>100</v>
      </c>
      <c r="S1135" s="658"/>
    </row>
    <row r="1136" spans="1:19" s="659" customFormat="1" ht="20.100000000000001" customHeight="1">
      <c r="A1136" s="657" t="s">
        <v>7637</v>
      </c>
      <c r="B1136" s="649" t="s">
        <v>7638</v>
      </c>
      <c r="C1136" s="621"/>
      <c r="D1136" s="621"/>
      <c r="E1136" s="649" t="s">
        <v>7640</v>
      </c>
      <c r="F1136" s="622" t="s">
        <v>7642</v>
      </c>
      <c r="G1136" s="622" t="s">
        <v>463</v>
      </c>
      <c r="H1136" s="649" t="s">
        <v>7639</v>
      </c>
      <c r="I1136" s="652" t="s">
        <v>11</v>
      </c>
      <c r="J1136" s="622" t="s">
        <v>7641</v>
      </c>
      <c r="K1136" s="680">
        <v>3150</v>
      </c>
      <c r="L1136" s="680"/>
      <c r="M1136" s="681">
        <v>320</v>
      </c>
      <c r="N1136" s="681"/>
      <c r="O1136" s="681">
        <v>320</v>
      </c>
      <c r="P1136" s="680">
        <v>0</v>
      </c>
      <c r="Q1136" s="682">
        <v>320</v>
      </c>
      <c r="R1136" s="681">
        <v>0</v>
      </c>
      <c r="S1136" s="658"/>
    </row>
    <row r="1137" spans="1:19" s="659" customFormat="1" ht="20.100000000000001" customHeight="1">
      <c r="A1137" s="657" t="s">
        <v>7637</v>
      </c>
      <c r="B1137" s="649" t="s">
        <v>7638</v>
      </c>
      <c r="C1137" s="621"/>
      <c r="D1137" s="621"/>
      <c r="E1137" s="649" t="s">
        <v>7640</v>
      </c>
      <c r="F1137" s="622" t="s">
        <v>7642</v>
      </c>
      <c r="G1137" s="622" t="s">
        <v>463</v>
      </c>
      <c r="H1137" s="649" t="s">
        <v>7639</v>
      </c>
      <c r="I1137" s="652" t="s">
        <v>11</v>
      </c>
      <c r="J1137" s="622" t="s">
        <v>7641</v>
      </c>
      <c r="K1137" s="680">
        <v>3150</v>
      </c>
      <c r="L1137" s="680"/>
      <c r="M1137" s="681">
        <v>540</v>
      </c>
      <c r="N1137" s="681"/>
      <c r="O1137" s="681">
        <v>293</v>
      </c>
      <c r="P1137" s="680">
        <v>0</v>
      </c>
      <c r="Q1137" s="682">
        <v>293</v>
      </c>
      <c r="R1137" s="681">
        <v>247</v>
      </c>
      <c r="S1137" s="658"/>
    </row>
    <row r="1138" spans="1:19" s="659" customFormat="1" ht="20.100000000000001" customHeight="1">
      <c r="A1138" s="657" t="s">
        <v>7637</v>
      </c>
      <c r="B1138" s="649" t="s">
        <v>7638</v>
      </c>
      <c r="C1138" s="621"/>
      <c r="D1138" s="621"/>
      <c r="E1138" s="649" t="s">
        <v>7640</v>
      </c>
      <c r="F1138" s="622" t="s">
        <v>7642</v>
      </c>
      <c r="G1138" s="622" t="s">
        <v>463</v>
      </c>
      <c r="H1138" s="649" t="s">
        <v>7639</v>
      </c>
      <c r="I1138" s="652" t="s">
        <v>11</v>
      </c>
      <c r="J1138" s="622" t="s">
        <v>7641</v>
      </c>
      <c r="K1138" s="680">
        <v>3150</v>
      </c>
      <c r="L1138" s="680"/>
      <c r="M1138" s="681">
        <v>200</v>
      </c>
      <c r="N1138" s="681"/>
      <c r="O1138" s="681">
        <v>0</v>
      </c>
      <c r="P1138" s="680">
        <v>0</v>
      </c>
      <c r="Q1138" s="682">
        <v>0</v>
      </c>
      <c r="R1138" s="681">
        <v>200</v>
      </c>
      <c r="S1138" s="658"/>
    </row>
    <row r="1139" spans="1:19" s="659" customFormat="1" ht="20.100000000000001" customHeight="1">
      <c r="A1139" s="657" t="s">
        <v>7637</v>
      </c>
      <c r="B1139" s="649" t="s">
        <v>7638</v>
      </c>
      <c r="C1139" s="621"/>
      <c r="D1139" s="621"/>
      <c r="E1139" s="649" t="s">
        <v>7640</v>
      </c>
      <c r="F1139" s="622" t="s">
        <v>7642</v>
      </c>
      <c r="G1139" s="622" t="s">
        <v>463</v>
      </c>
      <c r="H1139" s="649" t="s">
        <v>7639</v>
      </c>
      <c r="I1139" s="652" t="s">
        <v>11</v>
      </c>
      <c r="J1139" s="622" t="s">
        <v>7641</v>
      </c>
      <c r="K1139" s="680">
        <v>3150</v>
      </c>
      <c r="L1139" s="680"/>
      <c r="M1139" s="681">
        <v>8940</v>
      </c>
      <c r="N1139" s="681"/>
      <c r="O1139" s="681">
        <v>0</v>
      </c>
      <c r="P1139" s="680">
        <v>0</v>
      </c>
      <c r="Q1139" s="682">
        <v>0</v>
      </c>
      <c r="R1139" s="681">
        <v>8940</v>
      </c>
      <c r="S1139" s="658"/>
    </row>
    <row r="1140" spans="1:19" s="659" customFormat="1" ht="20.100000000000001" customHeight="1">
      <c r="A1140" s="657" t="s">
        <v>4437</v>
      </c>
      <c r="B1140" s="649" t="s">
        <v>543</v>
      </c>
      <c r="C1140" s="621"/>
      <c r="D1140" s="621"/>
      <c r="E1140" s="649" t="s">
        <v>4438</v>
      </c>
      <c r="F1140" s="622" t="s">
        <v>7434</v>
      </c>
      <c r="G1140" s="622" t="s">
        <v>7211</v>
      </c>
      <c r="H1140" s="649" t="s">
        <v>225</v>
      </c>
      <c r="I1140" s="652" t="s">
        <v>11</v>
      </c>
      <c r="J1140" s="622" t="s">
        <v>7433</v>
      </c>
      <c r="K1140" s="680">
        <v>4350</v>
      </c>
      <c r="L1140" s="680">
        <v>207</v>
      </c>
      <c r="M1140" s="681">
        <v>0</v>
      </c>
      <c r="N1140" s="681"/>
      <c r="O1140" s="681">
        <v>71</v>
      </c>
      <c r="P1140" s="680">
        <v>0</v>
      </c>
      <c r="Q1140" s="682">
        <v>71</v>
      </c>
      <c r="R1140" s="681">
        <v>136</v>
      </c>
      <c r="S1140" s="658"/>
    </row>
    <row r="1141" spans="1:19" s="659" customFormat="1" ht="20.100000000000001" customHeight="1">
      <c r="A1141" s="657" t="s">
        <v>5724</v>
      </c>
      <c r="B1141" s="649" t="s">
        <v>1302</v>
      </c>
      <c r="C1141" s="621"/>
      <c r="D1141" s="621"/>
      <c r="E1141" s="649" t="s">
        <v>5725</v>
      </c>
      <c r="F1141" s="622" t="s">
        <v>5727</v>
      </c>
      <c r="G1141" s="622" t="s">
        <v>5604</v>
      </c>
      <c r="H1141" s="649" t="s">
        <v>238</v>
      </c>
      <c r="I1141" s="652" t="s">
        <v>10</v>
      </c>
      <c r="J1141" s="622" t="s">
        <v>5726</v>
      </c>
      <c r="K1141" s="680">
        <v>598</v>
      </c>
      <c r="L1141" s="680"/>
      <c r="M1141" s="681">
        <v>20000</v>
      </c>
      <c r="N1141" s="681"/>
      <c r="O1141" s="681">
        <v>8905</v>
      </c>
      <c r="P1141" s="680">
        <v>0</v>
      </c>
      <c r="Q1141" s="682">
        <v>8905</v>
      </c>
      <c r="R1141" s="681">
        <v>11095</v>
      </c>
      <c r="S1141" s="658"/>
    </row>
    <row r="1142" spans="1:19" s="659" customFormat="1" ht="20.100000000000001" customHeight="1">
      <c r="A1142" s="657" t="s">
        <v>5724</v>
      </c>
      <c r="B1142" s="649" t="s">
        <v>1302</v>
      </c>
      <c r="C1142" s="621"/>
      <c r="D1142" s="621"/>
      <c r="E1142" s="649" t="s">
        <v>5725</v>
      </c>
      <c r="F1142" s="622" t="s">
        <v>5727</v>
      </c>
      <c r="G1142" s="622" t="s">
        <v>5604</v>
      </c>
      <c r="H1142" s="649" t="s">
        <v>238</v>
      </c>
      <c r="I1142" s="652" t="s">
        <v>10</v>
      </c>
      <c r="J1142" s="622" t="s">
        <v>5726</v>
      </c>
      <c r="K1142" s="680">
        <v>598</v>
      </c>
      <c r="L1142" s="680"/>
      <c r="M1142" s="681">
        <v>10000</v>
      </c>
      <c r="N1142" s="681"/>
      <c r="O1142" s="681">
        <v>0</v>
      </c>
      <c r="P1142" s="680">
        <v>0</v>
      </c>
      <c r="Q1142" s="682">
        <v>0</v>
      </c>
      <c r="R1142" s="681">
        <v>10000</v>
      </c>
      <c r="S1142" s="658"/>
    </row>
    <row r="1143" spans="1:19" s="659" customFormat="1" ht="20.100000000000001" customHeight="1">
      <c r="A1143" s="657" t="s">
        <v>5735</v>
      </c>
      <c r="B1143" s="649" t="s">
        <v>1302</v>
      </c>
      <c r="C1143" s="621"/>
      <c r="D1143" s="621"/>
      <c r="E1143" s="649" t="s">
        <v>4440</v>
      </c>
      <c r="F1143" s="622" t="s">
        <v>5736</v>
      </c>
      <c r="G1143" s="622" t="s">
        <v>5604</v>
      </c>
      <c r="H1143" s="649" t="s">
        <v>235</v>
      </c>
      <c r="I1143" s="652" t="s">
        <v>10</v>
      </c>
      <c r="J1143" s="622" t="s">
        <v>5726</v>
      </c>
      <c r="K1143" s="680">
        <v>1148</v>
      </c>
      <c r="L1143" s="680"/>
      <c r="M1143" s="681">
        <v>20000</v>
      </c>
      <c r="N1143" s="681"/>
      <c r="O1143" s="681">
        <v>4504</v>
      </c>
      <c r="P1143" s="680">
        <v>0</v>
      </c>
      <c r="Q1143" s="682">
        <v>4504</v>
      </c>
      <c r="R1143" s="681">
        <v>15496</v>
      </c>
      <c r="S1143" s="658"/>
    </row>
    <row r="1144" spans="1:19" s="666" customFormat="1" ht="19.5" customHeight="1">
      <c r="A1144" s="8"/>
      <c r="B1144" s="623"/>
      <c r="C1144" s="7"/>
      <c r="D1144" s="7"/>
      <c r="E1144" s="519"/>
      <c r="F1144" s="519"/>
      <c r="G1144" s="519"/>
      <c r="H1144" s="519"/>
      <c r="I1144" s="7"/>
      <c r="J1144" s="519"/>
      <c r="K1144" s="63"/>
      <c r="L1144" s="63"/>
      <c r="M1144" s="683"/>
      <c r="N1144" s="683"/>
      <c r="O1144" s="683"/>
      <c r="P1144" s="683"/>
      <c r="Q1144" s="683"/>
      <c r="R1144" s="683"/>
      <c r="S1144" s="665"/>
    </row>
    <row r="1145" spans="1:19" s="667" customFormat="1" ht="22.5" customHeight="1">
      <c r="A1145" s="490"/>
      <c r="C1145" s="624"/>
      <c r="D1145" s="625"/>
      <c r="E1145" s="626"/>
      <c r="F1145" s="668"/>
      <c r="G1145" s="626"/>
      <c r="H1145" s="626"/>
      <c r="I1145" s="624"/>
      <c r="J1145" s="626"/>
      <c r="K1145" s="492"/>
      <c r="L1145" s="493"/>
      <c r="M1145" s="684"/>
      <c r="N1145" s="684"/>
      <c r="O1145" s="685"/>
      <c r="P1145" s="684"/>
      <c r="Q1145" s="684"/>
      <c r="R1145" s="686"/>
      <c r="S1145" s="669"/>
    </row>
    <row r="1146" spans="1:19" ht="14.25">
      <c r="F1146" s="671"/>
      <c r="K1146" s="499"/>
      <c r="L1146" s="499"/>
      <c r="M1146" s="687"/>
      <c r="N1146" s="687"/>
      <c r="O1146" s="687"/>
      <c r="P1146" s="687"/>
      <c r="Q1146" s="687"/>
      <c r="R1146" s="687"/>
    </row>
    <row r="1147" spans="1:19" s="672" customFormat="1" ht="18.75">
      <c r="A1147" s="62"/>
      <c r="D1147" s="627"/>
      <c r="E1147" s="612" t="s">
        <v>9</v>
      </c>
      <c r="F1147" s="629"/>
      <c r="G1147" s="612"/>
      <c r="H1147" s="612"/>
      <c r="I1147" s="653"/>
      <c r="J1147" s="612"/>
      <c r="K1147" s="314"/>
      <c r="L1147" s="53"/>
      <c r="M1147" s="315"/>
      <c r="N1147" s="315"/>
      <c r="O1147" s="315"/>
      <c r="P1147" s="315"/>
      <c r="Q1147" s="315"/>
      <c r="R1147" s="688"/>
      <c r="S1147" s="673"/>
    </row>
    <row r="1148" spans="1:19">
      <c r="K1148" s="314"/>
    </row>
    <row r="1149" spans="1:19" ht="18.75">
      <c r="K1149" s="122"/>
      <c r="L1149" s="49"/>
      <c r="M1149" s="297"/>
      <c r="N1149" s="297"/>
      <c r="O1149" s="688"/>
      <c r="P1149" s="297"/>
      <c r="Q1149" s="297"/>
    </row>
    <row r="1152" spans="1:19" s="672" customFormat="1" ht="18.75">
      <c r="A1152" s="62"/>
      <c r="D1152" s="627"/>
      <c r="E1152" s="612" t="s">
        <v>3520</v>
      </c>
      <c r="F1152" s="612"/>
      <c r="G1152" s="612"/>
      <c r="H1152" s="612"/>
      <c r="I1152" s="653"/>
      <c r="J1152" s="612"/>
      <c r="K1152" s="315"/>
      <c r="L1152" s="53"/>
      <c r="M1152" s="315"/>
      <c r="N1152" s="315"/>
      <c r="O1152" s="315"/>
      <c r="P1152" s="315"/>
      <c r="Q1152" s="315"/>
      <c r="R1152" s="688"/>
      <c r="S1152" s="673"/>
    </row>
    <row r="1154" spans="3:4">
      <c r="D1154" s="670"/>
    </row>
    <row r="1155" spans="3:4">
      <c r="D1155" s="670"/>
    </row>
    <row r="1156" spans="3:4">
      <c r="D1156" s="670"/>
    </row>
    <row r="1157" spans="3:4">
      <c r="D1157" s="670"/>
    </row>
    <row r="1158" spans="3:4">
      <c r="D1158" s="670"/>
    </row>
    <row r="1159" spans="3:4">
      <c r="C1159" s="670"/>
      <c r="D1159" s="670"/>
    </row>
    <row r="1160" spans="3:4">
      <c r="C1160" s="670"/>
      <c r="D1160" s="670"/>
    </row>
    <row r="1161" spans="3:4">
      <c r="C1161" s="670"/>
      <c r="D1161" s="670"/>
    </row>
    <row r="1162" spans="3:4">
      <c r="C1162" s="670"/>
      <c r="D1162" s="670"/>
    </row>
    <row r="1163" spans="3:4">
      <c r="C1163" s="670"/>
      <c r="D1163" s="670"/>
    </row>
    <row r="1164" spans="3:4">
      <c r="C1164" s="670"/>
      <c r="D1164" s="670"/>
    </row>
    <row r="1165" spans="3:4">
      <c r="C1165" s="670"/>
      <c r="D1165" s="670"/>
    </row>
    <row r="1166" spans="3:4">
      <c r="C1166" s="670"/>
      <c r="D1166" s="670"/>
    </row>
    <row r="1167" spans="3:4">
      <c r="C1167" s="670"/>
      <c r="D1167" s="670"/>
    </row>
    <row r="1168" spans="3:4">
      <c r="C1168" s="670"/>
      <c r="D1168" s="670"/>
    </row>
    <row r="1169" spans="3:4">
      <c r="C1169" s="670"/>
      <c r="D1169" s="670"/>
    </row>
    <row r="1170" spans="3:4">
      <c r="C1170" s="670"/>
      <c r="D1170" s="670"/>
    </row>
    <row r="1171" spans="3:4">
      <c r="C1171" s="670"/>
      <c r="D1171" s="670"/>
    </row>
    <row r="1172" spans="3:4">
      <c r="C1172" s="670"/>
      <c r="D1172" s="670"/>
    </row>
    <row r="1173" spans="3:4">
      <c r="C1173" s="670"/>
      <c r="D1173" s="670"/>
    </row>
    <row r="1174" spans="3:4">
      <c r="C1174" s="670"/>
      <c r="D1174" s="670"/>
    </row>
    <row r="1175" spans="3:4">
      <c r="C1175" s="670"/>
      <c r="D1175" s="670"/>
    </row>
    <row r="1176" spans="3:4">
      <c r="C1176" s="670"/>
      <c r="D1176" s="670"/>
    </row>
    <row r="1177" spans="3:4">
      <c r="C1177" s="670"/>
    </row>
    <row r="1178" spans="3:4">
      <c r="C1178" s="670"/>
    </row>
    <row r="1179" spans="3:4">
      <c r="C1179" s="670"/>
    </row>
    <row r="1180" spans="3:4">
      <c r="C1180" s="670"/>
    </row>
    <row r="1181" spans="3:4">
      <c r="C1181" s="670"/>
    </row>
  </sheetData>
  <sortState ref="A10:T1144">
    <sortCondition ref="E10:E1144"/>
  </sortState>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dimension ref="A1:R795"/>
  <sheetViews>
    <sheetView topLeftCell="A752" workbookViewId="0">
      <selection activeCell="F13" sqref="F13"/>
    </sheetView>
  </sheetViews>
  <sheetFormatPr defaultRowHeight="12.75"/>
  <cols>
    <col min="1" max="1" width="5.375" style="39" customWidth="1"/>
    <col min="2" max="2" width="22.25" style="60" customWidth="1"/>
    <col min="3" max="4" width="6.375" style="121" customWidth="1"/>
    <col min="5" max="5" width="24.125" style="516" customWidth="1"/>
    <col min="6" max="6" width="20.875" style="516" customWidth="1"/>
    <col min="7" max="7" width="31.125" style="516" customWidth="1"/>
    <col min="8" max="8" width="25.625" style="516" customWidth="1"/>
    <col min="9" max="9" width="7.625" style="516" bestFit="1" customWidth="1"/>
    <col min="10" max="10" width="34.25" style="516" customWidth="1"/>
    <col min="11" max="11" width="10.25" style="315" customWidth="1"/>
    <col min="12" max="12" width="11" style="53" bestFit="1" customWidth="1"/>
    <col min="13" max="13" width="11.875" style="54" bestFit="1" customWidth="1"/>
    <col min="14" max="14" width="10.375" style="54" customWidth="1"/>
    <col min="15" max="15" width="11.875" style="54" bestFit="1" customWidth="1"/>
    <col min="16" max="16" width="11.75" style="54" customWidth="1"/>
    <col min="17" max="17" width="10" style="54" customWidth="1"/>
    <col min="18" max="18" width="9.75" style="53" customWidth="1"/>
    <col min="19" max="16384" width="9" style="18"/>
  </cols>
  <sheetData>
    <row r="1" spans="1:18" s="22" customFormat="1" ht="18.75">
      <c r="A1" s="21" t="s">
        <v>2626</v>
      </c>
      <c r="B1" s="55"/>
      <c r="C1" s="296"/>
      <c r="D1" s="296"/>
      <c r="E1" s="114"/>
      <c r="F1" s="114"/>
      <c r="G1" s="517" t="s">
        <v>2</v>
      </c>
      <c r="H1" s="114"/>
      <c r="I1" s="114"/>
      <c r="J1" s="114"/>
      <c r="K1" s="297"/>
      <c r="L1" s="43"/>
      <c r="M1" s="44"/>
      <c r="N1" s="44"/>
      <c r="O1" s="44"/>
      <c r="P1" s="44"/>
      <c r="Q1" s="44"/>
      <c r="R1" s="43"/>
    </row>
    <row r="2" spans="1:18" s="22" customFormat="1" ht="18.75">
      <c r="A2" s="25" t="s">
        <v>2627</v>
      </c>
      <c r="B2" s="55"/>
      <c r="C2" s="296"/>
      <c r="D2" s="296"/>
      <c r="E2" s="114"/>
      <c r="F2" s="114"/>
      <c r="G2" s="517" t="s">
        <v>3</v>
      </c>
      <c r="H2" s="114"/>
      <c r="I2" s="114"/>
      <c r="J2" s="114"/>
      <c r="K2" s="297"/>
      <c r="L2" s="43"/>
      <c r="M2" s="44"/>
      <c r="N2" s="44"/>
      <c r="O2" s="44"/>
      <c r="P2" s="44"/>
      <c r="Q2" s="44"/>
      <c r="R2" s="43"/>
    </row>
    <row r="3" spans="1:18" s="22" customFormat="1" ht="18.75">
      <c r="A3" s="23"/>
      <c r="B3" s="55"/>
      <c r="C3" s="296"/>
      <c r="D3" s="296"/>
      <c r="E3" s="114"/>
      <c r="F3" s="114"/>
      <c r="G3" s="114"/>
      <c r="H3" s="114"/>
      <c r="I3" s="114"/>
      <c r="J3" s="114"/>
      <c r="K3" s="297"/>
      <c r="L3" s="43"/>
      <c r="M3" s="44"/>
      <c r="N3" s="44"/>
      <c r="O3" s="44"/>
      <c r="P3" s="44"/>
      <c r="Q3" s="44"/>
      <c r="R3" s="43"/>
    </row>
    <row r="4" spans="1:18" s="22" customFormat="1" ht="18.75">
      <c r="A4" s="23"/>
      <c r="B4" s="55"/>
      <c r="C4" s="296"/>
      <c r="D4" s="296"/>
      <c r="E4" s="114"/>
      <c r="F4" s="114"/>
      <c r="G4" s="523" t="s">
        <v>11467</v>
      </c>
      <c r="H4" s="114"/>
      <c r="I4" s="114"/>
      <c r="J4" s="114"/>
      <c r="K4" s="297"/>
      <c r="L4" s="43"/>
      <c r="M4" s="44"/>
      <c r="N4" s="44"/>
      <c r="O4" s="44"/>
      <c r="P4" s="44"/>
      <c r="Q4" s="44"/>
      <c r="R4" s="43"/>
    </row>
    <row r="6" spans="1:18" s="32" customFormat="1" ht="18.75">
      <c r="A6" s="27" t="s">
        <v>11468</v>
      </c>
      <c r="B6" s="56"/>
      <c r="C6" s="56"/>
      <c r="D6" s="56"/>
      <c r="E6" s="501"/>
      <c r="F6" s="501"/>
      <c r="G6" s="524"/>
      <c r="H6" s="501"/>
      <c r="I6" s="524"/>
      <c r="J6" s="501"/>
      <c r="K6" s="298"/>
      <c r="L6" s="45"/>
      <c r="M6" s="46"/>
      <c r="N6" s="46"/>
      <c r="O6" s="46"/>
      <c r="P6" s="46"/>
      <c r="Q6" s="46"/>
      <c r="R6" s="45"/>
    </row>
    <row r="7" spans="1:18" s="32" customFormat="1" ht="15.75">
      <c r="A7" s="534"/>
      <c r="B7" s="57"/>
      <c r="C7" s="57"/>
      <c r="D7" s="57"/>
      <c r="E7" s="113"/>
      <c r="F7" s="113"/>
      <c r="G7" s="525"/>
      <c r="H7" s="113"/>
      <c r="I7" s="525"/>
      <c r="J7" s="113"/>
      <c r="K7" s="46"/>
      <c r="L7" s="45"/>
      <c r="M7" s="46"/>
      <c r="N7" s="46"/>
      <c r="O7" s="46"/>
      <c r="P7" s="46"/>
      <c r="Q7" s="46"/>
      <c r="R7" s="45"/>
    </row>
    <row r="8" spans="1:18" s="32" customFormat="1" ht="15.75">
      <c r="A8" s="534"/>
      <c r="B8" s="57"/>
      <c r="C8" s="57"/>
      <c r="D8" s="57"/>
      <c r="E8" s="113"/>
      <c r="F8" s="113"/>
      <c r="G8" s="525"/>
      <c r="H8" s="113"/>
      <c r="I8" s="525"/>
      <c r="J8" s="113"/>
      <c r="K8" s="46"/>
      <c r="L8" s="45"/>
      <c r="M8" s="46"/>
      <c r="N8" s="46"/>
      <c r="O8" s="46"/>
      <c r="P8" s="46"/>
      <c r="Q8" s="46"/>
      <c r="R8" s="45"/>
    </row>
    <row r="9" spans="1:18" s="535" customFormat="1" ht="54.75" customHeight="1">
      <c r="A9" s="403" t="s">
        <v>2628</v>
      </c>
      <c r="B9" s="536" t="s">
        <v>214</v>
      </c>
      <c r="C9" s="536" t="s">
        <v>2629</v>
      </c>
      <c r="D9" s="536" t="s">
        <v>2630</v>
      </c>
      <c r="E9" s="536" t="s">
        <v>2631</v>
      </c>
      <c r="F9" s="537" t="s">
        <v>2632</v>
      </c>
      <c r="G9" s="536" t="s">
        <v>2633</v>
      </c>
      <c r="H9" s="537" t="s">
        <v>2634</v>
      </c>
      <c r="I9" s="537" t="s">
        <v>2635</v>
      </c>
      <c r="J9" s="536" t="s">
        <v>2636</v>
      </c>
      <c r="K9" s="538" t="s">
        <v>2637</v>
      </c>
      <c r="L9" s="539" t="s">
        <v>2638</v>
      </c>
      <c r="M9" s="540" t="s">
        <v>2639</v>
      </c>
      <c r="N9" s="540" t="s">
        <v>2640</v>
      </c>
      <c r="O9" s="540" t="s">
        <v>2641</v>
      </c>
      <c r="P9" s="540" t="s">
        <v>9036</v>
      </c>
      <c r="Q9" s="540" t="s">
        <v>2642</v>
      </c>
      <c r="R9" s="539" t="s">
        <v>2643</v>
      </c>
    </row>
    <row r="10" spans="1:18" ht="19.5" customHeight="1">
      <c r="A10" s="2">
        <v>1</v>
      </c>
      <c r="B10" s="70" t="s">
        <v>2098</v>
      </c>
      <c r="C10" s="11"/>
      <c r="D10" s="11"/>
      <c r="E10" s="117" t="s">
        <v>4443</v>
      </c>
      <c r="F10" s="117" t="s">
        <v>11452</v>
      </c>
      <c r="G10" s="117" t="s">
        <v>749</v>
      </c>
      <c r="H10" s="117" t="s">
        <v>11451</v>
      </c>
      <c r="I10" s="116" t="s">
        <v>18</v>
      </c>
      <c r="J10" s="116" t="s">
        <v>11453</v>
      </c>
      <c r="K10" s="63">
        <v>11025</v>
      </c>
      <c r="L10" s="63">
        <v>1592</v>
      </c>
      <c r="M10" s="63">
        <v>1</v>
      </c>
      <c r="N10" s="63"/>
      <c r="O10" s="63">
        <v>1584</v>
      </c>
      <c r="P10" s="63">
        <v>58</v>
      </c>
      <c r="Q10" s="63"/>
      <c r="R10" s="302">
        <f t="shared" ref="R10:R73" si="0">L10+M10-O10</f>
        <v>9</v>
      </c>
    </row>
    <row r="11" spans="1:18" ht="19.5" customHeight="1">
      <c r="A11" s="299" t="s">
        <v>5</v>
      </c>
      <c r="B11" s="300" t="s">
        <v>1127</v>
      </c>
      <c r="C11" s="300"/>
      <c r="D11" s="300"/>
      <c r="E11" s="301" t="s">
        <v>4971</v>
      </c>
      <c r="F11" s="301" t="s">
        <v>7160</v>
      </c>
      <c r="G11" s="301" t="s">
        <v>7161</v>
      </c>
      <c r="H11" s="529" t="s">
        <v>4972</v>
      </c>
      <c r="I11" s="305" t="s">
        <v>11</v>
      </c>
      <c r="J11" s="116" t="s">
        <v>1066</v>
      </c>
      <c r="K11" s="63">
        <v>735</v>
      </c>
      <c r="L11" s="63"/>
      <c r="M11" s="302">
        <v>50012</v>
      </c>
      <c r="N11" s="303"/>
      <c r="O11" s="302">
        <v>50012</v>
      </c>
      <c r="P11" s="302"/>
      <c r="Q11" s="303"/>
      <c r="R11" s="302">
        <f t="shared" si="0"/>
        <v>0</v>
      </c>
    </row>
    <row r="12" spans="1:18" ht="19.5" customHeight="1">
      <c r="A12" s="304" t="s">
        <v>6</v>
      </c>
      <c r="B12" s="305" t="s">
        <v>624</v>
      </c>
      <c r="C12" s="305"/>
      <c r="D12" s="305"/>
      <c r="E12" s="305" t="s">
        <v>3714</v>
      </c>
      <c r="F12" s="305" t="s">
        <v>7658</v>
      </c>
      <c r="G12" s="305" t="s">
        <v>621</v>
      </c>
      <c r="H12" s="305" t="s">
        <v>625</v>
      </c>
      <c r="I12" s="305" t="s">
        <v>11</v>
      </c>
      <c r="J12" s="116" t="s">
        <v>859</v>
      </c>
      <c r="K12" s="119">
        <v>196</v>
      </c>
      <c r="L12" s="119"/>
      <c r="M12" s="302">
        <v>10500</v>
      </c>
      <c r="N12" s="303"/>
      <c r="O12" s="302">
        <v>10500</v>
      </c>
      <c r="P12" s="302"/>
      <c r="Q12" s="303"/>
      <c r="R12" s="302">
        <f t="shared" si="0"/>
        <v>0</v>
      </c>
    </row>
    <row r="13" spans="1:18" ht="19.5" customHeight="1">
      <c r="A13" s="304" t="s">
        <v>7</v>
      </c>
      <c r="B13" s="305" t="s">
        <v>702</v>
      </c>
      <c r="C13" s="305"/>
      <c r="D13" s="305"/>
      <c r="E13" s="305" t="s">
        <v>4974</v>
      </c>
      <c r="F13" s="305" t="s">
        <v>7102</v>
      </c>
      <c r="G13" s="305" t="s">
        <v>7103</v>
      </c>
      <c r="H13" s="305" t="s">
        <v>262</v>
      </c>
      <c r="I13" s="305" t="s">
        <v>11</v>
      </c>
      <c r="J13" s="305" t="s">
        <v>642</v>
      </c>
      <c r="K13" s="119">
        <v>1490</v>
      </c>
      <c r="L13" s="119"/>
      <c r="M13" s="302">
        <v>4200</v>
      </c>
      <c r="N13" s="303"/>
      <c r="O13" s="302">
        <v>4200</v>
      </c>
      <c r="P13" s="302"/>
      <c r="Q13" s="303"/>
      <c r="R13" s="302">
        <f t="shared" si="0"/>
        <v>0</v>
      </c>
    </row>
    <row r="14" spans="1:18" ht="19.5" customHeight="1">
      <c r="A14" s="299" t="s">
        <v>5117</v>
      </c>
      <c r="B14" s="305" t="s">
        <v>702</v>
      </c>
      <c r="C14" s="305"/>
      <c r="D14" s="305"/>
      <c r="E14" s="305" t="s">
        <v>4976</v>
      </c>
      <c r="F14" s="305" t="s">
        <v>7093</v>
      </c>
      <c r="G14" s="305" t="s">
        <v>7094</v>
      </c>
      <c r="H14" s="305" t="s">
        <v>4977</v>
      </c>
      <c r="I14" s="305" t="s">
        <v>15</v>
      </c>
      <c r="J14" s="305" t="s">
        <v>8987</v>
      </c>
      <c r="K14" s="119">
        <v>21000</v>
      </c>
      <c r="L14" s="119"/>
      <c r="M14" s="302">
        <v>50</v>
      </c>
      <c r="N14" s="303"/>
      <c r="O14" s="302">
        <v>50</v>
      </c>
      <c r="P14" s="302"/>
      <c r="Q14" s="303"/>
      <c r="R14" s="302">
        <f t="shared" si="0"/>
        <v>0</v>
      </c>
    </row>
    <row r="15" spans="1:18" ht="19.5" customHeight="1">
      <c r="A15" s="2">
        <v>2</v>
      </c>
      <c r="B15" s="305" t="s">
        <v>1333</v>
      </c>
      <c r="C15" s="305"/>
      <c r="D15" s="305"/>
      <c r="E15" s="305" t="s">
        <v>630</v>
      </c>
      <c r="F15" s="305" t="s">
        <v>633</v>
      </c>
      <c r="G15" s="305" t="s">
        <v>621</v>
      </c>
      <c r="H15" s="305" t="s">
        <v>3716</v>
      </c>
      <c r="I15" s="305" t="s">
        <v>15</v>
      </c>
      <c r="J15" s="305" t="s">
        <v>9018</v>
      </c>
      <c r="K15" s="119">
        <v>6132</v>
      </c>
      <c r="L15" s="119"/>
      <c r="M15" s="302">
        <v>60</v>
      </c>
      <c r="N15" s="303"/>
      <c r="O15" s="302">
        <v>60</v>
      </c>
      <c r="P15" s="302"/>
      <c r="Q15" s="303"/>
      <c r="R15" s="302">
        <f t="shared" si="0"/>
        <v>0</v>
      </c>
    </row>
    <row r="16" spans="1:18" ht="19.5" customHeight="1">
      <c r="A16" s="299" t="s">
        <v>5122</v>
      </c>
      <c r="B16" s="11" t="s">
        <v>634</v>
      </c>
      <c r="C16" s="11"/>
      <c r="D16" s="11"/>
      <c r="E16" s="116" t="s">
        <v>635</v>
      </c>
      <c r="F16" s="116" t="s">
        <v>637</v>
      </c>
      <c r="G16" s="116" t="s">
        <v>621</v>
      </c>
      <c r="H16" s="116" t="s">
        <v>235</v>
      </c>
      <c r="I16" s="116" t="s">
        <v>10</v>
      </c>
      <c r="J16" s="116" t="s">
        <v>636</v>
      </c>
      <c r="K16" s="63">
        <v>428</v>
      </c>
      <c r="L16" s="63">
        <v>10491</v>
      </c>
      <c r="M16" s="63">
        <v>16</v>
      </c>
      <c r="N16" s="63"/>
      <c r="O16" s="63">
        <v>10505</v>
      </c>
      <c r="P16" s="63"/>
      <c r="Q16" s="63"/>
      <c r="R16" s="302">
        <f t="shared" si="0"/>
        <v>2</v>
      </c>
    </row>
    <row r="17" spans="1:18" ht="19.5" customHeight="1">
      <c r="A17" s="304" t="s">
        <v>5125</v>
      </c>
      <c r="B17" s="64" t="s">
        <v>438</v>
      </c>
      <c r="C17" s="64"/>
      <c r="D17" s="64"/>
      <c r="E17" s="116" t="s">
        <v>2644</v>
      </c>
      <c r="F17" s="116" t="s">
        <v>440</v>
      </c>
      <c r="G17" s="116" t="s">
        <v>441</v>
      </c>
      <c r="H17" s="116" t="s">
        <v>229</v>
      </c>
      <c r="I17" s="116" t="s">
        <v>520</v>
      </c>
      <c r="J17" s="116" t="s">
        <v>439</v>
      </c>
      <c r="K17" s="63">
        <v>1190</v>
      </c>
      <c r="L17" s="63">
        <v>204</v>
      </c>
      <c r="M17" s="63">
        <v>819</v>
      </c>
      <c r="N17" s="63"/>
      <c r="O17" s="63">
        <f>206+492</f>
        <v>698</v>
      </c>
      <c r="P17" s="63"/>
      <c r="Q17" s="63"/>
      <c r="R17" s="302">
        <f t="shared" si="0"/>
        <v>325</v>
      </c>
    </row>
    <row r="18" spans="1:18" ht="19.5" customHeight="1">
      <c r="A18" s="304" t="s">
        <v>5128</v>
      </c>
      <c r="B18" s="305" t="s">
        <v>3513</v>
      </c>
      <c r="C18" s="305"/>
      <c r="D18" s="305"/>
      <c r="E18" s="305" t="s">
        <v>4979</v>
      </c>
      <c r="F18" s="305" t="s">
        <v>8025</v>
      </c>
      <c r="G18" s="305" t="s">
        <v>621</v>
      </c>
      <c r="H18" s="305" t="s">
        <v>4980</v>
      </c>
      <c r="I18" s="305" t="s">
        <v>15</v>
      </c>
      <c r="J18" s="305" t="s">
        <v>9002</v>
      </c>
      <c r="K18" s="119">
        <v>16590</v>
      </c>
      <c r="L18" s="119"/>
      <c r="M18" s="302">
        <v>82</v>
      </c>
      <c r="N18" s="303"/>
      <c r="O18" s="302">
        <v>82</v>
      </c>
      <c r="P18" s="302"/>
      <c r="Q18" s="303"/>
      <c r="R18" s="302">
        <f t="shared" si="0"/>
        <v>0</v>
      </c>
    </row>
    <row r="19" spans="1:18" ht="19.5" customHeight="1">
      <c r="A19" s="299" t="s">
        <v>5131</v>
      </c>
      <c r="B19" s="305" t="s">
        <v>3513</v>
      </c>
      <c r="C19" s="305"/>
      <c r="D19" s="305"/>
      <c r="E19" s="305" t="s">
        <v>4979</v>
      </c>
      <c r="F19" s="305" t="s">
        <v>8025</v>
      </c>
      <c r="G19" s="305" t="s">
        <v>621</v>
      </c>
      <c r="H19" s="305" t="s">
        <v>4980</v>
      </c>
      <c r="I19" s="305" t="s">
        <v>15</v>
      </c>
      <c r="J19" s="305" t="s">
        <v>9002</v>
      </c>
      <c r="K19" s="119">
        <v>16590</v>
      </c>
      <c r="L19" s="119"/>
      <c r="M19" s="302">
        <v>240</v>
      </c>
      <c r="N19" s="303"/>
      <c r="O19" s="302">
        <v>48</v>
      </c>
      <c r="P19" s="302"/>
      <c r="Q19" s="303"/>
      <c r="R19" s="302">
        <f t="shared" si="0"/>
        <v>192</v>
      </c>
    </row>
    <row r="20" spans="1:18" ht="19.5" customHeight="1">
      <c r="A20" s="2">
        <v>3</v>
      </c>
      <c r="B20" s="67" t="s">
        <v>939</v>
      </c>
      <c r="C20" s="11"/>
      <c r="D20" s="11"/>
      <c r="E20" s="502" t="s">
        <v>940</v>
      </c>
      <c r="F20" s="518" t="s">
        <v>942</v>
      </c>
      <c r="G20" s="502" t="s">
        <v>943</v>
      </c>
      <c r="H20" s="502" t="s">
        <v>299</v>
      </c>
      <c r="I20" s="502" t="s">
        <v>12</v>
      </c>
      <c r="J20" s="502" t="s">
        <v>941</v>
      </c>
      <c r="K20" s="63">
        <v>2025</v>
      </c>
      <c r="L20" s="63">
        <v>4000</v>
      </c>
      <c r="M20" s="63">
        <v>0</v>
      </c>
      <c r="N20" s="63"/>
      <c r="O20" s="63">
        <v>4000</v>
      </c>
      <c r="P20" s="63"/>
      <c r="Q20" s="63"/>
      <c r="R20" s="302">
        <f t="shared" si="0"/>
        <v>0</v>
      </c>
    </row>
    <row r="21" spans="1:18" ht="19.5" customHeight="1">
      <c r="A21" s="299" t="s">
        <v>5142</v>
      </c>
      <c r="B21" s="305" t="s">
        <v>560</v>
      </c>
      <c r="C21" s="305"/>
      <c r="D21" s="305"/>
      <c r="E21" s="305" t="s">
        <v>3718</v>
      </c>
      <c r="F21" s="305" t="s">
        <v>5778</v>
      </c>
      <c r="G21" s="305" t="s">
        <v>5779</v>
      </c>
      <c r="H21" s="305" t="s">
        <v>299</v>
      </c>
      <c r="I21" s="305" t="s">
        <v>13</v>
      </c>
      <c r="J21" s="305" t="s">
        <v>8986</v>
      </c>
      <c r="K21" s="119">
        <v>2009</v>
      </c>
      <c r="L21" s="119"/>
      <c r="M21" s="302">
        <v>8000</v>
      </c>
      <c r="N21" s="303"/>
      <c r="O21" s="302">
        <v>6000</v>
      </c>
      <c r="P21" s="302"/>
      <c r="Q21" s="303"/>
      <c r="R21" s="302">
        <f t="shared" si="0"/>
        <v>2000</v>
      </c>
    </row>
    <row r="22" spans="1:18" ht="19.5" customHeight="1">
      <c r="A22" s="304" t="s">
        <v>5147</v>
      </c>
      <c r="B22" s="67" t="s">
        <v>750</v>
      </c>
      <c r="C22" s="11"/>
      <c r="D22" s="11"/>
      <c r="E22" s="116" t="s">
        <v>832</v>
      </c>
      <c r="F22" s="116" t="s">
        <v>835</v>
      </c>
      <c r="G22" s="116" t="s">
        <v>806</v>
      </c>
      <c r="H22" s="116" t="s">
        <v>833</v>
      </c>
      <c r="I22" s="116" t="s">
        <v>13</v>
      </c>
      <c r="J22" s="116" t="s">
        <v>834</v>
      </c>
      <c r="K22" s="63">
        <v>591</v>
      </c>
      <c r="L22" s="63">
        <v>4900</v>
      </c>
      <c r="M22" s="63">
        <v>0</v>
      </c>
      <c r="N22" s="63"/>
      <c r="O22" s="63">
        <v>4900</v>
      </c>
      <c r="P22" s="63"/>
      <c r="Q22" s="63"/>
      <c r="R22" s="302">
        <f t="shared" si="0"/>
        <v>0</v>
      </c>
    </row>
    <row r="23" spans="1:18" ht="19.5" customHeight="1">
      <c r="A23" s="304" t="s">
        <v>5152</v>
      </c>
      <c r="B23" s="11" t="s">
        <v>939</v>
      </c>
      <c r="C23" s="11"/>
      <c r="D23" s="11"/>
      <c r="E23" s="116" t="s">
        <v>1714</v>
      </c>
      <c r="F23" s="116" t="s">
        <v>1716</v>
      </c>
      <c r="G23" s="116" t="s">
        <v>1170</v>
      </c>
      <c r="H23" s="116" t="s">
        <v>299</v>
      </c>
      <c r="I23" s="116" t="s">
        <v>11</v>
      </c>
      <c r="J23" s="116" t="s">
        <v>1715</v>
      </c>
      <c r="K23" s="63">
        <v>540</v>
      </c>
      <c r="L23" s="63">
        <v>410</v>
      </c>
      <c r="M23" s="63">
        <v>4</v>
      </c>
      <c r="N23" s="63"/>
      <c r="O23" s="63">
        <v>414</v>
      </c>
      <c r="P23" s="63"/>
      <c r="Q23" s="63"/>
      <c r="R23" s="302">
        <f t="shared" si="0"/>
        <v>0</v>
      </c>
    </row>
    <row r="24" spans="1:18" ht="19.5" customHeight="1">
      <c r="A24" s="299" t="s">
        <v>5157</v>
      </c>
      <c r="B24" s="67" t="s">
        <v>639</v>
      </c>
      <c r="C24" s="11"/>
      <c r="D24" s="11"/>
      <c r="E24" s="503" t="s">
        <v>640</v>
      </c>
      <c r="F24" s="116" t="s">
        <v>643</v>
      </c>
      <c r="G24" s="116" t="s">
        <v>644</v>
      </c>
      <c r="H24" s="116" t="s">
        <v>641</v>
      </c>
      <c r="I24" s="116" t="s">
        <v>10</v>
      </c>
      <c r="J24" s="116" t="s">
        <v>642</v>
      </c>
      <c r="K24" s="63">
        <v>1010</v>
      </c>
      <c r="L24" s="63">
        <v>226</v>
      </c>
      <c r="M24" s="63">
        <v>0</v>
      </c>
      <c r="N24" s="63"/>
      <c r="O24" s="63">
        <v>226</v>
      </c>
      <c r="P24" s="63"/>
      <c r="Q24" s="63"/>
      <c r="R24" s="302">
        <f t="shared" si="0"/>
        <v>0</v>
      </c>
    </row>
    <row r="25" spans="1:18" ht="19.5" customHeight="1">
      <c r="A25" s="2">
        <v>4</v>
      </c>
      <c r="B25" s="65" t="s">
        <v>639</v>
      </c>
      <c r="C25" s="11"/>
      <c r="D25" s="11"/>
      <c r="E25" s="504" t="s">
        <v>640</v>
      </c>
      <c r="F25" s="116" t="s">
        <v>643</v>
      </c>
      <c r="G25" s="116" t="s">
        <v>644</v>
      </c>
      <c r="H25" s="504" t="s">
        <v>641</v>
      </c>
      <c r="I25" s="116" t="s">
        <v>10</v>
      </c>
      <c r="J25" s="116" t="s">
        <v>642</v>
      </c>
      <c r="K25" s="119">
        <v>1099</v>
      </c>
      <c r="L25" s="63">
        <v>486</v>
      </c>
      <c r="M25" s="63">
        <v>486</v>
      </c>
      <c r="N25" s="63"/>
      <c r="O25" s="63">
        <f>455+442+31</f>
        <v>928</v>
      </c>
      <c r="P25" s="63">
        <f>455+426+3</f>
        <v>884</v>
      </c>
      <c r="Q25" s="63"/>
      <c r="R25" s="302">
        <f t="shared" si="0"/>
        <v>44</v>
      </c>
    </row>
    <row r="26" spans="1:18" ht="19.5" customHeight="1">
      <c r="A26" s="299" t="s">
        <v>5161</v>
      </c>
      <c r="B26" s="67" t="s">
        <v>2651</v>
      </c>
      <c r="C26" s="11"/>
      <c r="D26" s="11"/>
      <c r="E26" s="502" t="s">
        <v>944</v>
      </c>
      <c r="F26" s="502" t="s">
        <v>947</v>
      </c>
      <c r="G26" s="502" t="s">
        <v>948</v>
      </c>
      <c r="H26" s="502" t="s">
        <v>945</v>
      </c>
      <c r="I26" s="502" t="s">
        <v>12</v>
      </c>
      <c r="J26" s="502" t="s">
        <v>946</v>
      </c>
      <c r="K26" s="63">
        <v>3157</v>
      </c>
      <c r="L26" s="63">
        <v>643</v>
      </c>
      <c r="M26" s="63">
        <v>0</v>
      </c>
      <c r="N26" s="63"/>
      <c r="O26" s="63">
        <v>643</v>
      </c>
      <c r="P26" s="63"/>
      <c r="Q26" s="63"/>
      <c r="R26" s="302">
        <f t="shared" si="0"/>
        <v>0</v>
      </c>
    </row>
    <row r="27" spans="1:18" ht="19.5" customHeight="1">
      <c r="A27" s="304" t="s">
        <v>4578</v>
      </c>
      <c r="B27" s="11" t="s">
        <v>588</v>
      </c>
      <c r="C27" s="11"/>
      <c r="D27" s="11"/>
      <c r="E27" s="116" t="s">
        <v>1410</v>
      </c>
      <c r="F27" s="116" t="s">
        <v>1411</v>
      </c>
      <c r="G27" s="116" t="s">
        <v>1412</v>
      </c>
      <c r="H27" s="116" t="s">
        <v>267</v>
      </c>
      <c r="I27" s="116" t="s">
        <v>11</v>
      </c>
      <c r="J27" s="116" t="s">
        <v>1239</v>
      </c>
      <c r="K27" s="63">
        <v>8200</v>
      </c>
      <c r="L27" s="63">
        <v>33</v>
      </c>
      <c r="M27" s="63"/>
      <c r="N27" s="63"/>
      <c r="O27" s="63">
        <v>33</v>
      </c>
      <c r="P27" s="63"/>
      <c r="Q27" s="63"/>
      <c r="R27" s="302">
        <f t="shared" si="0"/>
        <v>0</v>
      </c>
    </row>
    <row r="28" spans="1:18" ht="19.5" customHeight="1">
      <c r="A28" s="304" t="s">
        <v>5172</v>
      </c>
      <c r="B28" s="306" t="s">
        <v>588</v>
      </c>
      <c r="C28" s="306"/>
      <c r="D28" s="306"/>
      <c r="E28" s="116" t="s">
        <v>1410</v>
      </c>
      <c r="F28" s="116" t="s">
        <v>5708</v>
      </c>
      <c r="G28" s="116" t="s">
        <v>5709</v>
      </c>
      <c r="H28" s="306" t="s">
        <v>267</v>
      </c>
      <c r="I28" s="306" t="s">
        <v>10</v>
      </c>
      <c r="J28" s="116" t="s">
        <v>859</v>
      </c>
      <c r="K28" s="63">
        <v>3840</v>
      </c>
      <c r="L28" s="63">
        <v>0</v>
      </c>
      <c r="M28" s="302">
        <v>1120</v>
      </c>
      <c r="N28" s="303"/>
      <c r="O28" s="302">
        <v>1120</v>
      </c>
      <c r="P28" s="302"/>
      <c r="Q28" s="303"/>
      <c r="R28" s="302">
        <f t="shared" si="0"/>
        <v>0</v>
      </c>
    </row>
    <row r="29" spans="1:18" ht="19.5" customHeight="1">
      <c r="A29" s="299" t="s">
        <v>5180</v>
      </c>
      <c r="B29" s="305" t="s">
        <v>1999</v>
      </c>
      <c r="C29" s="305"/>
      <c r="D29" s="305"/>
      <c r="E29" s="305" t="s">
        <v>3730</v>
      </c>
      <c r="F29" s="305" t="s">
        <v>6158</v>
      </c>
      <c r="G29" s="305" t="s">
        <v>1412</v>
      </c>
      <c r="H29" s="305" t="s">
        <v>2001</v>
      </c>
      <c r="I29" s="305" t="s">
        <v>11</v>
      </c>
      <c r="J29" s="116" t="s">
        <v>859</v>
      </c>
      <c r="K29" s="119">
        <v>9800</v>
      </c>
      <c r="L29" s="119">
        <v>4536</v>
      </c>
      <c r="M29" s="302">
        <f>19992-4536</f>
        <v>15456</v>
      </c>
      <c r="N29" s="303"/>
      <c r="O29" s="302">
        <v>9963</v>
      </c>
      <c r="P29" s="302"/>
      <c r="Q29" s="303"/>
      <c r="R29" s="302">
        <f t="shared" si="0"/>
        <v>10029</v>
      </c>
    </row>
    <row r="30" spans="1:18" ht="19.5" customHeight="1">
      <c r="A30" s="2">
        <v>5</v>
      </c>
      <c r="B30" s="11" t="s">
        <v>639</v>
      </c>
      <c r="C30" s="11"/>
      <c r="D30" s="11"/>
      <c r="E30" s="116" t="s">
        <v>1717</v>
      </c>
      <c r="F30" s="116" t="s">
        <v>1719</v>
      </c>
      <c r="G30" s="116" t="s">
        <v>1170</v>
      </c>
      <c r="H30" s="116" t="s">
        <v>299</v>
      </c>
      <c r="I30" s="116" t="s">
        <v>11</v>
      </c>
      <c r="J30" s="116" t="s">
        <v>1718</v>
      </c>
      <c r="K30" s="63">
        <v>1200</v>
      </c>
      <c r="L30" s="63">
        <v>1886</v>
      </c>
      <c r="M30" s="63"/>
      <c r="N30" s="63"/>
      <c r="O30" s="63">
        <v>1100</v>
      </c>
      <c r="P30" s="63"/>
      <c r="Q30" s="63"/>
      <c r="R30" s="302">
        <f t="shared" si="0"/>
        <v>786</v>
      </c>
    </row>
    <row r="31" spans="1:18" ht="19.5" customHeight="1">
      <c r="A31" s="299" t="s">
        <v>5186</v>
      </c>
      <c r="B31" s="11" t="s">
        <v>1550</v>
      </c>
      <c r="C31" s="11"/>
      <c r="D31" s="11"/>
      <c r="E31" s="116" t="s">
        <v>1776</v>
      </c>
      <c r="F31" s="116" t="s">
        <v>1778</v>
      </c>
      <c r="G31" s="116" t="s">
        <v>1779</v>
      </c>
      <c r="H31" s="116" t="s">
        <v>1777</v>
      </c>
      <c r="I31" s="116" t="s">
        <v>11</v>
      </c>
      <c r="J31" s="116" t="s">
        <v>1715</v>
      </c>
      <c r="K31" s="63">
        <v>240</v>
      </c>
      <c r="L31" s="63">
        <v>457</v>
      </c>
      <c r="M31" s="63">
        <v>9</v>
      </c>
      <c r="N31" s="63"/>
      <c r="O31" s="63">
        <v>365</v>
      </c>
      <c r="P31" s="63"/>
      <c r="Q31" s="63"/>
      <c r="R31" s="302">
        <f t="shared" si="0"/>
        <v>101</v>
      </c>
    </row>
    <row r="32" spans="1:18" ht="19.5" customHeight="1">
      <c r="A32" s="304" t="s">
        <v>5189</v>
      </c>
      <c r="B32" s="305" t="s">
        <v>1550</v>
      </c>
      <c r="C32" s="305"/>
      <c r="D32" s="305"/>
      <c r="E32" s="305" t="s">
        <v>1776</v>
      </c>
      <c r="F32" s="305" t="s">
        <v>1778</v>
      </c>
      <c r="G32" s="305" t="s">
        <v>7362</v>
      </c>
      <c r="H32" s="305" t="s">
        <v>1777</v>
      </c>
      <c r="I32" s="305" t="s">
        <v>11</v>
      </c>
      <c r="J32" s="305" t="s">
        <v>541</v>
      </c>
      <c r="K32" s="119">
        <v>220</v>
      </c>
      <c r="L32" s="119"/>
      <c r="M32" s="302">
        <v>9994</v>
      </c>
      <c r="N32" s="303"/>
      <c r="O32" s="302">
        <v>9977</v>
      </c>
      <c r="P32" s="302"/>
      <c r="Q32" s="303"/>
      <c r="R32" s="302">
        <f t="shared" si="0"/>
        <v>17</v>
      </c>
    </row>
    <row r="33" spans="1:18" ht="19.5" customHeight="1">
      <c r="A33" s="304" t="s">
        <v>5199</v>
      </c>
      <c r="B33" s="305" t="s">
        <v>8169</v>
      </c>
      <c r="C33" s="305"/>
      <c r="D33" s="305"/>
      <c r="E33" s="305" t="s">
        <v>2594</v>
      </c>
      <c r="F33" s="305" t="s">
        <v>8171</v>
      </c>
      <c r="G33" s="305" t="s">
        <v>7015</v>
      </c>
      <c r="H33" s="305" t="s">
        <v>733</v>
      </c>
      <c r="I33" s="305" t="s">
        <v>520</v>
      </c>
      <c r="J33" s="305" t="s">
        <v>8990</v>
      </c>
      <c r="K33" s="119">
        <v>1701</v>
      </c>
      <c r="L33" s="119"/>
      <c r="M33" s="302">
        <v>500</v>
      </c>
      <c r="N33" s="303"/>
      <c r="O33" s="302">
        <v>165</v>
      </c>
      <c r="P33" s="302">
        <v>55</v>
      </c>
      <c r="Q33" s="303"/>
      <c r="R33" s="302">
        <f t="shared" si="0"/>
        <v>335</v>
      </c>
    </row>
    <row r="34" spans="1:18" ht="19.5" customHeight="1">
      <c r="A34" s="299" t="s">
        <v>5205</v>
      </c>
      <c r="B34" s="305" t="s">
        <v>1727</v>
      </c>
      <c r="C34" s="305"/>
      <c r="D34" s="305"/>
      <c r="E34" s="305" t="s">
        <v>3736</v>
      </c>
      <c r="F34" s="305" t="s">
        <v>1729</v>
      </c>
      <c r="G34" s="305" t="s">
        <v>7555</v>
      </c>
      <c r="H34" s="305" t="s">
        <v>238</v>
      </c>
      <c r="I34" s="305" t="s">
        <v>11</v>
      </c>
      <c r="J34" s="305" t="s">
        <v>3179</v>
      </c>
      <c r="K34" s="119">
        <v>1250</v>
      </c>
      <c r="L34" s="119"/>
      <c r="M34" s="302">
        <v>960</v>
      </c>
      <c r="N34" s="303"/>
      <c r="O34" s="302">
        <v>0</v>
      </c>
      <c r="P34" s="302"/>
      <c r="Q34" s="303"/>
      <c r="R34" s="302">
        <f t="shared" si="0"/>
        <v>960</v>
      </c>
    </row>
    <row r="35" spans="1:18" ht="19.5" customHeight="1">
      <c r="A35" s="2">
        <v>6</v>
      </c>
      <c r="B35" s="11" t="s">
        <v>1727</v>
      </c>
      <c r="C35" s="11"/>
      <c r="D35" s="11"/>
      <c r="E35" s="116" t="s">
        <v>1728</v>
      </c>
      <c r="F35" s="116" t="s">
        <v>1729</v>
      </c>
      <c r="G35" s="116" t="s">
        <v>1730</v>
      </c>
      <c r="H35" s="116" t="s">
        <v>238</v>
      </c>
      <c r="I35" s="116" t="s">
        <v>11</v>
      </c>
      <c r="J35" s="116" t="s">
        <v>1718</v>
      </c>
      <c r="K35" s="63">
        <v>1250</v>
      </c>
      <c r="L35" s="63">
        <v>625</v>
      </c>
      <c r="M35" s="63">
        <v>0</v>
      </c>
      <c r="N35" s="63"/>
      <c r="O35" s="63">
        <v>625</v>
      </c>
      <c r="P35" s="63"/>
      <c r="Q35" s="63"/>
      <c r="R35" s="302">
        <f t="shared" si="0"/>
        <v>0</v>
      </c>
    </row>
    <row r="36" spans="1:18" ht="19.5" customHeight="1">
      <c r="A36" s="299" t="s">
        <v>5209</v>
      </c>
      <c r="B36" s="305" t="s">
        <v>3739</v>
      </c>
      <c r="C36" s="305"/>
      <c r="D36" s="305"/>
      <c r="E36" s="305" t="s">
        <v>1885</v>
      </c>
      <c r="F36" s="305" t="s">
        <v>1886</v>
      </c>
      <c r="G36" s="305" t="s">
        <v>7426</v>
      </c>
      <c r="H36" s="305" t="s">
        <v>235</v>
      </c>
      <c r="I36" s="305" t="s">
        <v>11</v>
      </c>
      <c r="J36" s="116" t="s">
        <v>1066</v>
      </c>
      <c r="K36" s="119">
        <v>2980</v>
      </c>
      <c r="L36" s="119"/>
      <c r="M36" s="302">
        <v>18990</v>
      </c>
      <c r="N36" s="303"/>
      <c r="O36" s="302">
        <v>1123</v>
      </c>
      <c r="P36" s="302"/>
      <c r="Q36" s="303"/>
      <c r="R36" s="302">
        <f t="shared" si="0"/>
        <v>17867</v>
      </c>
    </row>
    <row r="37" spans="1:18" ht="19.5" customHeight="1">
      <c r="A37" s="304" t="s">
        <v>5210</v>
      </c>
      <c r="B37" s="305" t="s">
        <v>639</v>
      </c>
      <c r="C37" s="305"/>
      <c r="D37" s="305"/>
      <c r="E37" s="305" t="s">
        <v>3742</v>
      </c>
      <c r="F37" s="305" t="s">
        <v>7416</v>
      </c>
      <c r="G37" s="305" t="s">
        <v>7211</v>
      </c>
      <c r="H37" s="305" t="s">
        <v>299</v>
      </c>
      <c r="I37" s="305" t="s">
        <v>11</v>
      </c>
      <c r="J37" s="116" t="s">
        <v>859</v>
      </c>
      <c r="K37" s="119">
        <v>340</v>
      </c>
      <c r="L37" s="119"/>
      <c r="M37" s="302">
        <v>200</v>
      </c>
      <c r="N37" s="303"/>
      <c r="O37" s="302">
        <v>0</v>
      </c>
      <c r="P37" s="302"/>
      <c r="Q37" s="303"/>
      <c r="R37" s="302">
        <f t="shared" si="0"/>
        <v>200</v>
      </c>
    </row>
    <row r="38" spans="1:18" ht="19.5" customHeight="1">
      <c r="A38" s="304" t="s">
        <v>5218</v>
      </c>
      <c r="B38" s="305" t="s">
        <v>1488</v>
      </c>
      <c r="C38" s="305"/>
      <c r="D38" s="305"/>
      <c r="E38" s="305" t="s">
        <v>3745</v>
      </c>
      <c r="F38" s="305" t="s">
        <v>7725</v>
      </c>
      <c r="G38" s="305" t="s">
        <v>7211</v>
      </c>
      <c r="H38" s="305" t="s">
        <v>1173</v>
      </c>
      <c r="I38" s="305" t="s">
        <v>11</v>
      </c>
      <c r="J38" s="116" t="s">
        <v>1066</v>
      </c>
      <c r="K38" s="119">
        <v>525</v>
      </c>
      <c r="L38" s="119"/>
      <c r="M38" s="302">
        <v>19983</v>
      </c>
      <c r="N38" s="303"/>
      <c r="O38" s="302">
        <v>19983</v>
      </c>
      <c r="P38" s="302"/>
      <c r="Q38" s="303"/>
      <c r="R38" s="302">
        <f t="shared" si="0"/>
        <v>0</v>
      </c>
    </row>
    <row r="39" spans="1:18" ht="19.5" customHeight="1">
      <c r="A39" s="299" t="s">
        <v>5223</v>
      </c>
      <c r="B39" s="305" t="s">
        <v>556</v>
      </c>
      <c r="C39" s="305"/>
      <c r="D39" s="305"/>
      <c r="E39" s="305" t="s">
        <v>3747</v>
      </c>
      <c r="F39" s="305" t="s">
        <v>7715</v>
      </c>
      <c r="G39" s="305" t="s">
        <v>7211</v>
      </c>
      <c r="H39" s="305" t="s">
        <v>327</v>
      </c>
      <c r="I39" s="305" t="s">
        <v>11</v>
      </c>
      <c r="J39" s="116" t="s">
        <v>859</v>
      </c>
      <c r="K39" s="119">
        <v>272</v>
      </c>
      <c r="L39" s="119"/>
      <c r="M39" s="302">
        <f>8190+10800</f>
        <v>18990</v>
      </c>
      <c r="N39" s="303"/>
      <c r="O39" s="302">
        <f>8190+10800</f>
        <v>18990</v>
      </c>
      <c r="P39" s="302"/>
      <c r="Q39" s="303"/>
      <c r="R39" s="302">
        <f t="shared" si="0"/>
        <v>0</v>
      </c>
    </row>
    <row r="40" spans="1:18" ht="19.5" customHeight="1">
      <c r="A40" s="2">
        <v>7</v>
      </c>
      <c r="B40" s="64" t="s">
        <v>227</v>
      </c>
      <c r="C40" s="64"/>
      <c r="D40" s="64"/>
      <c r="E40" s="116" t="s">
        <v>231</v>
      </c>
      <c r="F40" s="116" t="s">
        <v>233</v>
      </c>
      <c r="G40" s="116" t="s">
        <v>215</v>
      </c>
      <c r="H40" s="116" t="s">
        <v>232</v>
      </c>
      <c r="I40" s="116" t="s">
        <v>12</v>
      </c>
      <c r="J40" s="116" t="s">
        <v>2660</v>
      </c>
      <c r="K40" s="63">
        <v>365</v>
      </c>
      <c r="L40" s="63">
        <v>15319</v>
      </c>
      <c r="M40" s="63">
        <v>217</v>
      </c>
      <c r="N40" s="63"/>
      <c r="O40" s="63">
        <v>12503</v>
      </c>
      <c r="P40" s="63">
        <v>30</v>
      </c>
      <c r="Q40" s="63"/>
      <c r="R40" s="302">
        <f t="shared" si="0"/>
        <v>3033</v>
      </c>
    </row>
    <row r="41" spans="1:18" ht="19.5" customHeight="1">
      <c r="A41" s="299" t="s">
        <v>5226</v>
      </c>
      <c r="B41" s="305" t="s">
        <v>629</v>
      </c>
      <c r="C41" s="305"/>
      <c r="D41" s="305"/>
      <c r="E41" s="305" t="s">
        <v>3751</v>
      </c>
      <c r="F41" s="305" t="s">
        <v>7964</v>
      </c>
      <c r="G41" s="305" t="s">
        <v>7575</v>
      </c>
      <c r="H41" s="305" t="s">
        <v>631</v>
      </c>
      <c r="I41" s="305" t="s">
        <v>15</v>
      </c>
      <c r="J41" s="305" t="s">
        <v>9018</v>
      </c>
      <c r="K41" s="119">
        <v>11270</v>
      </c>
      <c r="L41" s="119"/>
      <c r="M41" s="302">
        <v>130</v>
      </c>
      <c r="N41" s="303"/>
      <c r="O41" s="302">
        <v>120</v>
      </c>
      <c r="P41" s="302"/>
      <c r="Q41" s="303"/>
      <c r="R41" s="302">
        <f t="shared" si="0"/>
        <v>10</v>
      </c>
    </row>
    <row r="42" spans="1:18" ht="19.5" customHeight="1">
      <c r="A42" s="304" t="s">
        <v>5228</v>
      </c>
      <c r="B42" s="305" t="s">
        <v>4459</v>
      </c>
      <c r="C42" s="305"/>
      <c r="D42" s="305"/>
      <c r="E42" s="305" t="s">
        <v>4458</v>
      </c>
      <c r="F42" s="305" t="s">
        <v>7344</v>
      </c>
      <c r="G42" s="305" t="s">
        <v>7211</v>
      </c>
      <c r="H42" s="305" t="s">
        <v>4460</v>
      </c>
      <c r="I42" s="305" t="s">
        <v>11</v>
      </c>
      <c r="J42" s="116" t="s">
        <v>859</v>
      </c>
      <c r="K42" s="119">
        <v>1090</v>
      </c>
      <c r="L42" s="119"/>
      <c r="M42" s="302">
        <v>200</v>
      </c>
      <c r="N42" s="303"/>
      <c r="O42" s="302">
        <v>200</v>
      </c>
      <c r="P42" s="302"/>
      <c r="Q42" s="303"/>
      <c r="R42" s="302">
        <f t="shared" si="0"/>
        <v>0</v>
      </c>
    </row>
    <row r="43" spans="1:18" ht="19.5" customHeight="1">
      <c r="A43" s="304" t="s">
        <v>5235</v>
      </c>
      <c r="B43" s="67" t="s">
        <v>579</v>
      </c>
      <c r="C43" s="11"/>
      <c r="D43" s="11"/>
      <c r="E43" s="116" t="s">
        <v>580</v>
      </c>
      <c r="F43" s="116" t="s">
        <v>582</v>
      </c>
      <c r="G43" s="116" t="s">
        <v>215</v>
      </c>
      <c r="H43" s="116" t="s">
        <v>581</v>
      </c>
      <c r="I43" s="116" t="s">
        <v>11</v>
      </c>
      <c r="J43" s="116" t="s">
        <v>553</v>
      </c>
      <c r="K43" s="63">
        <v>250</v>
      </c>
      <c r="L43" s="63">
        <v>6115</v>
      </c>
      <c r="M43" s="63">
        <v>0</v>
      </c>
      <c r="N43" s="63"/>
      <c r="O43" s="63">
        <v>5815</v>
      </c>
      <c r="P43" s="63"/>
      <c r="Q43" s="63"/>
      <c r="R43" s="302">
        <f t="shared" si="0"/>
        <v>300</v>
      </c>
    </row>
    <row r="44" spans="1:18" ht="19.5" customHeight="1">
      <c r="A44" s="299" t="s">
        <v>5243</v>
      </c>
      <c r="B44" s="305" t="s">
        <v>579</v>
      </c>
      <c r="C44" s="305"/>
      <c r="D44" s="305"/>
      <c r="E44" s="305" t="s">
        <v>580</v>
      </c>
      <c r="F44" s="305" t="s">
        <v>7135</v>
      </c>
      <c r="G44" s="305" t="s">
        <v>7136</v>
      </c>
      <c r="H44" s="305" t="s">
        <v>581</v>
      </c>
      <c r="I44" s="305" t="s">
        <v>11</v>
      </c>
      <c r="J44" s="305" t="s">
        <v>8970</v>
      </c>
      <c r="K44" s="119">
        <v>245</v>
      </c>
      <c r="L44" s="119"/>
      <c r="M44" s="302">
        <v>3500</v>
      </c>
      <c r="N44" s="303"/>
      <c r="O44" s="302">
        <v>991</v>
      </c>
      <c r="P44" s="302"/>
      <c r="Q44" s="303"/>
      <c r="R44" s="302">
        <f t="shared" si="0"/>
        <v>2509</v>
      </c>
    </row>
    <row r="45" spans="1:18" ht="19.5" customHeight="1">
      <c r="A45" s="2">
        <v>8</v>
      </c>
      <c r="B45" s="67" t="s">
        <v>576</v>
      </c>
      <c r="C45" s="11"/>
      <c r="D45" s="11"/>
      <c r="E45" s="116" t="s">
        <v>577</v>
      </c>
      <c r="F45" s="116" t="s">
        <v>578</v>
      </c>
      <c r="G45" s="116" t="s">
        <v>215</v>
      </c>
      <c r="H45" s="116" t="s">
        <v>299</v>
      </c>
      <c r="I45" s="116" t="s">
        <v>11</v>
      </c>
      <c r="J45" s="116" t="s">
        <v>538</v>
      </c>
      <c r="K45" s="63">
        <v>690</v>
      </c>
      <c r="L45" s="63">
        <v>1901</v>
      </c>
      <c r="M45" s="63">
        <v>0</v>
      </c>
      <c r="N45" s="63"/>
      <c r="O45" s="63">
        <f>300+1101+500</f>
        <v>1901</v>
      </c>
      <c r="P45" s="63"/>
      <c r="Q45" s="63"/>
      <c r="R45" s="302">
        <f t="shared" si="0"/>
        <v>0</v>
      </c>
    </row>
    <row r="46" spans="1:18" ht="19.5" customHeight="1">
      <c r="A46" s="299" t="s">
        <v>5244</v>
      </c>
      <c r="B46" s="11" t="s">
        <v>1019</v>
      </c>
      <c r="C46" s="11"/>
      <c r="D46" s="11"/>
      <c r="E46" s="116" t="s">
        <v>1856</v>
      </c>
      <c r="F46" s="506" t="s">
        <v>1858</v>
      </c>
      <c r="G46" s="116" t="s">
        <v>1859</v>
      </c>
      <c r="H46" s="116" t="s">
        <v>1340</v>
      </c>
      <c r="I46" s="116" t="s">
        <v>10</v>
      </c>
      <c r="J46" s="116" t="s">
        <v>1857</v>
      </c>
      <c r="K46" s="63">
        <v>1365</v>
      </c>
      <c r="L46" s="63">
        <v>2817</v>
      </c>
      <c r="M46" s="63">
        <v>9</v>
      </c>
      <c r="N46" s="63"/>
      <c r="O46" s="63">
        <f>605+2221</f>
        <v>2826</v>
      </c>
      <c r="P46" s="63"/>
      <c r="Q46" s="63"/>
      <c r="R46" s="302">
        <f t="shared" si="0"/>
        <v>0</v>
      </c>
    </row>
    <row r="47" spans="1:18" ht="19.5" customHeight="1">
      <c r="A47" s="304" t="s">
        <v>5248</v>
      </c>
      <c r="B47" s="305" t="s">
        <v>1780</v>
      </c>
      <c r="C47" s="305"/>
      <c r="D47" s="305"/>
      <c r="E47" s="305" t="s">
        <v>1856</v>
      </c>
      <c r="F47" s="305" t="s">
        <v>1858</v>
      </c>
      <c r="G47" s="305" t="s">
        <v>1859</v>
      </c>
      <c r="H47" s="305" t="s">
        <v>1340</v>
      </c>
      <c r="I47" s="305" t="s">
        <v>11</v>
      </c>
      <c r="J47" s="116" t="s">
        <v>859</v>
      </c>
      <c r="K47" s="119">
        <v>1365</v>
      </c>
      <c r="L47" s="119"/>
      <c r="M47" s="302">
        <v>41500</v>
      </c>
      <c r="N47" s="303"/>
      <c r="O47" s="302">
        <f>14000+9247</f>
        <v>23247</v>
      </c>
      <c r="P47" s="302"/>
      <c r="Q47" s="303"/>
      <c r="R47" s="302">
        <f t="shared" si="0"/>
        <v>18253</v>
      </c>
    </row>
    <row r="48" spans="1:18" ht="19.5" customHeight="1">
      <c r="A48" s="304" t="s">
        <v>5249</v>
      </c>
      <c r="B48" s="305" t="s">
        <v>1780</v>
      </c>
      <c r="C48" s="305"/>
      <c r="D48" s="305"/>
      <c r="E48" s="305" t="s">
        <v>3757</v>
      </c>
      <c r="F48" s="305" t="s">
        <v>6827</v>
      </c>
      <c r="G48" s="305" t="s">
        <v>1859</v>
      </c>
      <c r="H48" s="305" t="s">
        <v>229</v>
      </c>
      <c r="I48" s="305" t="s">
        <v>11</v>
      </c>
      <c r="J48" s="116" t="s">
        <v>859</v>
      </c>
      <c r="K48" s="119">
        <v>840</v>
      </c>
      <c r="L48" s="119"/>
      <c r="M48" s="302">
        <v>41500</v>
      </c>
      <c r="N48" s="303"/>
      <c r="O48" s="302">
        <v>14494</v>
      </c>
      <c r="P48" s="302"/>
      <c r="Q48" s="303"/>
      <c r="R48" s="302">
        <f t="shared" si="0"/>
        <v>27006</v>
      </c>
    </row>
    <row r="49" spans="1:18" ht="19.5" customHeight="1">
      <c r="A49" s="299" t="s">
        <v>5256</v>
      </c>
      <c r="B49" s="65" t="s">
        <v>1311</v>
      </c>
      <c r="C49" s="11"/>
      <c r="D49" s="11"/>
      <c r="E49" s="504" t="s">
        <v>2436</v>
      </c>
      <c r="F49" s="116" t="s">
        <v>2663</v>
      </c>
      <c r="G49" s="116" t="s">
        <v>255</v>
      </c>
      <c r="H49" s="504" t="s">
        <v>2664</v>
      </c>
      <c r="I49" s="116" t="s">
        <v>658</v>
      </c>
      <c r="J49" s="116" t="s">
        <v>2665</v>
      </c>
      <c r="K49" s="63">
        <v>5166</v>
      </c>
      <c r="L49" s="63">
        <v>92</v>
      </c>
      <c r="M49" s="63">
        <v>0</v>
      </c>
      <c r="N49" s="63"/>
      <c r="O49" s="63">
        <f>22+6+64</f>
        <v>92</v>
      </c>
      <c r="P49" s="63">
        <f>12+6+64</f>
        <v>82</v>
      </c>
      <c r="Q49" s="63"/>
      <c r="R49" s="302">
        <f t="shared" si="0"/>
        <v>0</v>
      </c>
    </row>
    <row r="50" spans="1:18" ht="19.5" customHeight="1">
      <c r="A50" s="2">
        <v>9</v>
      </c>
      <c r="B50" s="305" t="s">
        <v>7838</v>
      </c>
      <c r="C50" s="305"/>
      <c r="D50" s="305"/>
      <c r="E50" s="305" t="s">
        <v>7840</v>
      </c>
      <c r="F50" s="305" t="s">
        <v>7842</v>
      </c>
      <c r="G50" s="305" t="s">
        <v>7822</v>
      </c>
      <c r="H50" s="305" t="s">
        <v>7839</v>
      </c>
      <c r="I50" s="305" t="s">
        <v>15</v>
      </c>
      <c r="J50" s="305" t="s">
        <v>9015</v>
      </c>
      <c r="K50" s="119">
        <v>2310</v>
      </c>
      <c r="L50" s="119"/>
      <c r="M50" s="302">
        <v>300</v>
      </c>
      <c r="N50" s="303"/>
      <c r="O50" s="302"/>
      <c r="P50" s="302"/>
      <c r="Q50" s="303"/>
      <c r="R50" s="302">
        <f t="shared" si="0"/>
        <v>300</v>
      </c>
    </row>
    <row r="51" spans="1:18" ht="19.5" customHeight="1">
      <c r="A51" s="299" t="s">
        <v>5257</v>
      </c>
      <c r="B51" s="305" t="s">
        <v>2038</v>
      </c>
      <c r="C51" s="305"/>
      <c r="D51" s="305"/>
      <c r="E51" s="305" t="s">
        <v>3763</v>
      </c>
      <c r="F51" s="305" t="s">
        <v>7954</v>
      </c>
      <c r="G51" s="305" t="s">
        <v>7011</v>
      </c>
      <c r="H51" s="305" t="s">
        <v>225</v>
      </c>
      <c r="I51" s="305" t="s">
        <v>11</v>
      </c>
      <c r="J51" s="116" t="s">
        <v>859</v>
      </c>
      <c r="K51" s="119">
        <v>420</v>
      </c>
      <c r="L51" s="119"/>
      <c r="M51" s="302">
        <f>480+34950</f>
        <v>35430</v>
      </c>
      <c r="N51" s="303"/>
      <c r="O51" s="302">
        <f>480+8530</f>
        <v>9010</v>
      </c>
      <c r="P51" s="302"/>
      <c r="Q51" s="303"/>
      <c r="R51" s="302">
        <f t="shared" si="0"/>
        <v>26420</v>
      </c>
    </row>
    <row r="52" spans="1:18" ht="19.5" customHeight="1">
      <c r="A52" s="304" t="s">
        <v>5260</v>
      </c>
      <c r="B52" s="307" t="s">
        <v>359</v>
      </c>
      <c r="C52" s="307"/>
      <c r="D52" s="307"/>
      <c r="E52" s="116" t="s">
        <v>359</v>
      </c>
      <c r="F52" s="116" t="s">
        <v>5422</v>
      </c>
      <c r="G52" s="116" t="s">
        <v>360</v>
      </c>
      <c r="H52" s="116" t="s">
        <v>262</v>
      </c>
      <c r="I52" s="531" t="s">
        <v>10</v>
      </c>
      <c r="J52" s="116" t="s">
        <v>642</v>
      </c>
      <c r="K52" s="118">
        <v>302</v>
      </c>
      <c r="L52" s="308"/>
      <c r="M52" s="302">
        <v>500</v>
      </c>
      <c r="N52" s="303"/>
      <c r="O52" s="302">
        <v>500</v>
      </c>
      <c r="P52" s="302"/>
      <c r="Q52" s="303"/>
      <c r="R52" s="302">
        <f t="shared" si="0"/>
        <v>0</v>
      </c>
    </row>
    <row r="53" spans="1:18" ht="19.5" customHeight="1">
      <c r="A53" s="304" t="s">
        <v>5262</v>
      </c>
      <c r="B53" s="11" t="s">
        <v>1315</v>
      </c>
      <c r="C53" s="11"/>
      <c r="D53" s="11"/>
      <c r="E53" s="116" t="s">
        <v>1316</v>
      </c>
      <c r="F53" s="116" t="s">
        <v>1317</v>
      </c>
      <c r="G53" s="116" t="s">
        <v>360</v>
      </c>
      <c r="H53" s="116" t="s">
        <v>267</v>
      </c>
      <c r="I53" s="116" t="s">
        <v>11</v>
      </c>
      <c r="J53" s="116" t="s">
        <v>642</v>
      </c>
      <c r="K53" s="63">
        <v>124</v>
      </c>
      <c r="L53" s="63">
        <v>12258</v>
      </c>
      <c r="M53" s="63">
        <v>36</v>
      </c>
      <c r="N53" s="63"/>
      <c r="O53" s="63">
        <f>4879+7362+3</f>
        <v>12244</v>
      </c>
      <c r="P53" s="63">
        <v>20</v>
      </c>
      <c r="Q53" s="63"/>
      <c r="R53" s="302">
        <f t="shared" si="0"/>
        <v>50</v>
      </c>
    </row>
    <row r="54" spans="1:18" ht="19.5" customHeight="1">
      <c r="A54" s="299" t="s">
        <v>5265</v>
      </c>
      <c r="B54" s="305" t="s">
        <v>1315</v>
      </c>
      <c r="C54" s="305"/>
      <c r="D54" s="305"/>
      <c r="E54" s="305" t="s">
        <v>3767</v>
      </c>
      <c r="F54" s="305" t="s">
        <v>7975</v>
      </c>
      <c r="G54" s="305" t="s">
        <v>7015</v>
      </c>
      <c r="H54" s="305" t="s">
        <v>267</v>
      </c>
      <c r="I54" s="305" t="s">
        <v>11</v>
      </c>
      <c r="J54" s="116" t="s">
        <v>859</v>
      </c>
      <c r="K54" s="119">
        <v>100</v>
      </c>
      <c r="L54" s="119"/>
      <c r="M54" s="302">
        <v>17265</v>
      </c>
      <c r="N54" s="303"/>
      <c r="O54" s="302">
        <v>17265</v>
      </c>
      <c r="P54" s="302">
        <v>45</v>
      </c>
      <c r="Q54" s="303"/>
      <c r="R54" s="302">
        <f t="shared" si="0"/>
        <v>0</v>
      </c>
    </row>
    <row r="55" spans="1:18" ht="19.5" customHeight="1">
      <c r="A55" s="2">
        <v>10</v>
      </c>
      <c r="B55" s="11" t="s">
        <v>583</v>
      </c>
      <c r="C55" s="11"/>
      <c r="D55" s="11"/>
      <c r="E55" s="116" t="s">
        <v>2437</v>
      </c>
      <c r="F55" s="116" t="s">
        <v>2667</v>
      </c>
      <c r="G55" s="116" t="s">
        <v>2668</v>
      </c>
      <c r="H55" s="116" t="s">
        <v>390</v>
      </c>
      <c r="I55" s="116" t="s">
        <v>10</v>
      </c>
      <c r="J55" s="116" t="s">
        <v>1870</v>
      </c>
      <c r="K55" s="63">
        <v>408</v>
      </c>
      <c r="L55" s="63">
        <v>13</v>
      </c>
      <c r="M55" s="63">
        <v>0</v>
      </c>
      <c r="N55" s="63"/>
      <c r="O55" s="63">
        <v>13</v>
      </c>
      <c r="P55" s="63"/>
      <c r="Q55" s="63"/>
      <c r="R55" s="302">
        <f t="shared" si="0"/>
        <v>0</v>
      </c>
    </row>
    <row r="56" spans="1:18" ht="19.5" customHeight="1">
      <c r="A56" s="299" t="s">
        <v>5269</v>
      </c>
      <c r="B56" s="11" t="s">
        <v>1480</v>
      </c>
      <c r="C56" s="11"/>
      <c r="D56" s="11"/>
      <c r="E56" s="116" t="s">
        <v>1869</v>
      </c>
      <c r="F56" s="116" t="s">
        <v>1871</v>
      </c>
      <c r="G56" s="116" t="s">
        <v>1867</v>
      </c>
      <c r="H56" s="116" t="s">
        <v>310</v>
      </c>
      <c r="I56" s="116" t="s">
        <v>10</v>
      </c>
      <c r="J56" s="116" t="s">
        <v>1870</v>
      </c>
      <c r="K56" s="63">
        <v>139</v>
      </c>
      <c r="L56" s="63">
        <v>3947</v>
      </c>
      <c r="M56" s="63"/>
      <c r="N56" s="63"/>
      <c r="O56" s="63">
        <v>3947</v>
      </c>
      <c r="P56" s="63"/>
      <c r="Q56" s="63"/>
      <c r="R56" s="302">
        <f t="shared" si="0"/>
        <v>0</v>
      </c>
    </row>
    <row r="57" spans="1:18" ht="19.5" customHeight="1">
      <c r="A57" s="304" t="s">
        <v>5274</v>
      </c>
      <c r="B57" s="305" t="s">
        <v>1480</v>
      </c>
      <c r="C57" s="305"/>
      <c r="D57" s="305"/>
      <c r="E57" s="305" t="s">
        <v>3769</v>
      </c>
      <c r="F57" s="305" t="s">
        <v>6936</v>
      </c>
      <c r="G57" s="305" t="s">
        <v>2385</v>
      </c>
      <c r="H57" s="305" t="s">
        <v>310</v>
      </c>
      <c r="I57" s="305" t="s">
        <v>11</v>
      </c>
      <c r="J57" s="116" t="s">
        <v>859</v>
      </c>
      <c r="K57" s="119">
        <v>127</v>
      </c>
      <c r="L57" s="119"/>
      <c r="M57" s="302">
        <v>16800</v>
      </c>
      <c r="N57" s="303"/>
      <c r="O57" s="302">
        <v>16400</v>
      </c>
      <c r="P57" s="302"/>
      <c r="Q57" s="303"/>
      <c r="R57" s="302">
        <f t="shared" si="0"/>
        <v>400</v>
      </c>
    </row>
    <row r="58" spans="1:18" ht="19.5" customHeight="1">
      <c r="A58" s="304" t="s">
        <v>5280</v>
      </c>
      <c r="B58" s="67" t="s">
        <v>583</v>
      </c>
      <c r="C58" s="11"/>
      <c r="D58" s="11"/>
      <c r="E58" s="116" t="s">
        <v>584</v>
      </c>
      <c r="F58" s="116" t="s">
        <v>586</v>
      </c>
      <c r="G58" s="116" t="s">
        <v>587</v>
      </c>
      <c r="H58" s="116" t="s">
        <v>390</v>
      </c>
      <c r="I58" s="116" t="s">
        <v>11</v>
      </c>
      <c r="J58" s="116" t="s">
        <v>585</v>
      </c>
      <c r="K58" s="63">
        <v>368</v>
      </c>
      <c r="L58" s="63">
        <v>24780</v>
      </c>
      <c r="M58" s="63">
        <v>0</v>
      </c>
      <c r="N58" s="63"/>
      <c r="O58" s="63">
        <f>19980+4800</f>
        <v>24780</v>
      </c>
      <c r="P58" s="63"/>
      <c r="Q58" s="63"/>
      <c r="R58" s="302">
        <f t="shared" si="0"/>
        <v>0</v>
      </c>
    </row>
    <row r="59" spans="1:18" ht="19.5" customHeight="1">
      <c r="A59" s="299" t="s">
        <v>5282</v>
      </c>
      <c r="B59" s="65" t="s">
        <v>2439</v>
      </c>
      <c r="C59" s="11"/>
      <c r="D59" s="11"/>
      <c r="E59" s="504" t="s">
        <v>2438</v>
      </c>
      <c r="F59" s="116" t="s">
        <v>2671</v>
      </c>
      <c r="G59" s="116" t="s">
        <v>2672</v>
      </c>
      <c r="H59" s="504" t="s">
        <v>2440</v>
      </c>
      <c r="I59" s="116" t="s">
        <v>15</v>
      </c>
      <c r="J59" s="116" t="s">
        <v>2673</v>
      </c>
      <c r="K59" s="63">
        <v>67000</v>
      </c>
      <c r="L59" s="63">
        <v>22</v>
      </c>
      <c r="M59" s="63">
        <v>0</v>
      </c>
      <c r="N59" s="63"/>
      <c r="O59" s="63">
        <v>22</v>
      </c>
      <c r="P59" s="63">
        <v>22</v>
      </c>
      <c r="Q59" s="63"/>
      <c r="R59" s="302">
        <f t="shared" si="0"/>
        <v>0</v>
      </c>
    </row>
    <row r="60" spans="1:18" ht="19.5" customHeight="1">
      <c r="A60" s="2">
        <v>11</v>
      </c>
      <c r="B60" s="67" t="s">
        <v>951</v>
      </c>
      <c r="C60" s="11"/>
      <c r="D60" s="11"/>
      <c r="E60" s="502" t="s">
        <v>952</v>
      </c>
      <c r="F60" s="502" t="s">
        <v>953</v>
      </c>
      <c r="G60" s="502" t="s">
        <v>954</v>
      </c>
      <c r="H60" s="502" t="s">
        <v>238</v>
      </c>
      <c r="I60" s="502" t="s">
        <v>10</v>
      </c>
      <c r="J60" s="502" t="s">
        <v>626</v>
      </c>
      <c r="K60" s="63">
        <v>1250</v>
      </c>
      <c r="L60" s="63">
        <v>190</v>
      </c>
      <c r="M60" s="63">
        <v>1</v>
      </c>
      <c r="N60" s="63"/>
      <c r="O60" s="63">
        <v>46</v>
      </c>
      <c r="P60" s="63"/>
      <c r="Q60" s="63"/>
      <c r="R60" s="302">
        <f t="shared" si="0"/>
        <v>145</v>
      </c>
    </row>
    <row r="61" spans="1:18" ht="19.5" customHeight="1">
      <c r="A61" s="299" t="s">
        <v>5287</v>
      </c>
      <c r="B61" s="305" t="s">
        <v>347</v>
      </c>
      <c r="C61" s="305"/>
      <c r="D61" s="305"/>
      <c r="E61" s="305" t="s">
        <v>3772</v>
      </c>
      <c r="F61" s="305" t="s">
        <v>6072</v>
      </c>
      <c r="G61" s="305" t="s">
        <v>954</v>
      </c>
      <c r="H61" s="305" t="s">
        <v>238</v>
      </c>
      <c r="I61" s="305" t="s">
        <v>11</v>
      </c>
      <c r="J61" s="116" t="s">
        <v>859</v>
      </c>
      <c r="K61" s="119">
        <v>1009</v>
      </c>
      <c r="L61" s="119"/>
      <c r="M61" s="302">
        <v>5700</v>
      </c>
      <c r="N61" s="303"/>
      <c r="O61" s="302">
        <f>2400+1886</f>
        <v>4286</v>
      </c>
      <c r="P61" s="302"/>
      <c r="Q61" s="303"/>
      <c r="R61" s="302">
        <f t="shared" si="0"/>
        <v>1414</v>
      </c>
    </row>
    <row r="62" spans="1:18" ht="19.5" customHeight="1">
      <c r="A62" s="304" t="s">
        <v>5292</v>
      </c>
      <c r="B62" s="307" t="s">
        <v>347</v>
      </c>
      <c r="C62" s="307"/>
      <c r="D62" s="307"/>
      <c r="E62" s="116" t="s">
        <v>4790</v>
      </c>
      <c r="F62" s="116" t="s">
        <v>349</v>
      </c>
      <c r="G62" s="116" t="s">
        <v>350</v>
      </c>
      <c r="H62" s="116" t="s">
        <v>327</v>
      </c>
      <c r="I62" s="531" t="s">
        <v>10</v>
      </c>
      <c r="J62" s="116" t="s">
        <v>647</v>
      </c>
      <c r="K62" s="118">
        <v>254</v>
      </c>
      <c r="L62" s="308">
        <v>16698</v>
      </c>
      <c r="M62" s="302">
        <f>100016+54505+30000</f>
        <v>184521</v>
      </c>
      <c r="N62" s="303"/>
      <c r="O62" s="302">
        <f>100016+54218+19147+16698</f>
        <v>190079</v>
      </c>
      <c r="P62" s="302">
        <v>962</v>
      </c>
      <c r="Q62" s="303"/>
      <c r="R62" s="302">
        <f t="shared" si="0"/>
        <v>11140</v>
      </c>
    </row>
    <row r="63" spans="1:18" ht="19.5" customHeight="1">
      <c r="A63" s="304" t="s">
        <v>5297</v>
      </c>
      <c r="B63" s="307" t="s">
        <v>411</v>
      </c>
      <c r="C63" s="307"/>
      <c r="D63" s="307"/>
      <c r="E63" s="116" t="s">
        <v>415</v>
      </c>
      <c r="F63" s="116" t="s">
        <v>416</v>
      </c>
      <c r="G63" s="116" t="s">
        <v>414</v>
      </c>
      <c r="H63" s="116" t="s">
        <v>272</v>
      </c>
      <c r="I63" s="531" t="s">
        <v>10</v>
      </c>
      <c r="J63" s="116" t="s">
        <v>1350</v>
      </c>
      <c r="K63" s="118">
        <v>318</v>
      </c>
      <c r="L63" s="308"/>
      <c r="M63" s="302">
        <v>13100</v>
      </c>
      <c r="N63" s="303"/>
      <c r="O63" s="302">
        <v>13100</v>
      </c>
      <c r="P63" s="302">
        <v>50</v>
      </c>
      <c r="Q63" s="303"/>
      <c r="R63" s="302">
        <f t="shared" si="0"/>
        <v>0</v>
      </c>
    </row>
    <row r="64" spans="1:18" ht="19.5" customHeight="1">
      <c r="A64" s="299" t="s">
        <v>5300</v>
      </c>
      <c r="B64" s="11" t="s">
        <v>411</v>
      </c>
      <c r="C64" s="11"/>
      <c r="D64" s="11"/>
      <c r="E64" s="116" t="s">
        <v>412</v>
      </c>
      <c r="F64" s="116" t="s">
        <v>413</v>
      </c>
      <c r="G64" s="116" t="s">
        <v>414</v>
      </c>
      <c r="H64" s="116" t="s">
        <v>225</v>
      </c>
      <c r="I64" s="116" t="s">
        <v>10</v>
      </c>
      <c r="J64" s="116" t="s">
        <v>1350</v>
      </c>
      <c r="K64" s="63">
        <v>504</v>
      </c>
      <c r="L64" s="63">
        <v>5</v>
      </c>
      <c r="M64" s="63"/>
      <c r="N64" s="63"/>
      <c r="O64" s="63">
        <v>5</v>
      </c>
      <c r="P64" s="63">
        <v>5</v>
      </c>
      <c r="Q64" s="63"/>
      <c r="R64" s="302">
        <f t="shared" si="0"/>
        <v>0</v>
      </c>
    </row>
    <row r="65" spans="1:18" ht="19.5" customHeight="1">
      <c r="A65" s="2">
        <v>12</v>
      </c>
      <c r="B65" s="64" t="s">
        <v>411</v>
      </c>
      <c r="C65" s="64"/>
      <c r="D65" s="64"/>
      <c r="E65" s="116" t="s">
        <v>412</v>
      </c>
      <c r="F65" s="116" t="s">
        <v>413</v>
      </c>
      <c r="G65" s="116" t="s">
        <v>414</v>
      </c>
      <c r="H65" s="116" t="s">
        <v>225</v>
      </c>
      <c r="I65" s="116" t="s">
        <v>10</v>
      </c>
      <c r="J65" s="116" t="s">
        <v>1350</v>
      </c>
      <c r="K65" s="63">
        <v>484</v>
      </c>
      <c r="L65" s="63">
        <v>50</v>
      </c>
      <c r="M65" s="63">
        <v>0</v>
      </c>
      <c r="N65" s="63"/>
      <c r="O65" s="63">
        <v>50</v>
      </c>
      <c r="P65" s="63"/>
      <c r="Q65" s="63"/>
      <c r="R65" s="302">
        <f t="shared" si="0"/>
        <v>0</v>
      </c>
    </row>
    <row r="66" spans="1:18" ht="19.5" customHeight="1">
      <c r="A66" s="299" t="s">
        <v>5305</v>
      </c>
      <c r="B66" s="307" t="s">
        <v>411</v>
      </c>
      <c r="C66" s="307"/>
      <c r="D66" s="307"/>
      <c r="E66" s="116" t="s">
        <v>412</v>
      </c>
      <c r="F66" s="116" t="s">
        <v>413</v>
      </c>
      <c r="G66" s="116" t="s">
        <v>414</v>
      </c>
      <c r="H66" s="116" t="s">
        <v>225</v>
      </c>
      <c r="I66" s="531" t="s">
        <v>10</v>
      </c>
      <c r="J66" s="116" t="s">
        <v>1350</v>
      </c>
      <c r="K66" s="118">
        <v>484</v>
      </c>
      <c r="L66" s="308"/>
      <c r="M66" s="302">
        <f>10000+16000+15000</f>
        <v>41000</v>
      </c>
      <c r="N66" s="303"/>
      <c r="O66" s="302">
        <f>10000+16000+2492</f>
        <v>28492</v>
      </c>
      <c r="P66" s="302">
        <v>350</v>
      </c>
      <c r="Q66" s="303"/>
      <c r="R66" s="302">
        <f t="shared" si="0"/>
        <v>12508</v>
      </c>
    </row>
    <row r="67" spans="1:18" ht="19.5" customHeight="1">
      <c r="A67" s="304" t="s">
        <v>5309</v>
      </c>
      <c r="B67" s="309" t="s">
        <v>8584</v>
      </c>
      <c r="C67" s="309"/>
      <c r="D67" s="309"/>
      <c r="E67" s="309" t="s">
        <v>8586</v>
      </c>
      <c r="F67" s="309" t="s">
        <v>8588</v>
      </c>
      <c r="G67" s="309" t="s">
        <v>8589</v>
      </c>
      <c r="H67" s="309" t="s">
        <v>8585</v>
      </c>
      <c r="I67" s="309" t="s">
        <v>11</v>
      </c>
      <c r="J67" s="309" t="s">
        <v>9019</v>
      </c>
      <c r="K67" s="63">
        <v>1600</v>
      </c>
      <c r="L67" s="310"/>
      <c r="M67" s="302">
        <v>10600</v>
      </c>
      <c r="N67" s="303"/>
      <c r="O67" s="302">
        <v>2188</v>
      </c>
      <c r="P67" s="302"/>
      <c r="Q67" s="303"/>
      <c r="R67" s="302">
        <f t="shared" si="0"/>
        <v>8412</v>
      </c>
    </row>
    <row r="68" spans="1:18" ht="19.5" customHeight="1">
      <c r="A68" s="304" t="s">
        <v>5313</v>
      </c>
      <c r="B68" s="11" t="s">
        <v>736</v>
      </c>
      <c r="C68" s="11"/>
      <c r="D68" s="11"/>
      <c r="E68" s="116" t="s">
        <v>1114</v>
      </c>
      <c r="F68" s="116" t="s">
        <v>1117</v>
      </c>
      <c r="G68" s="116" t="s">
        <v>1118</v>
      </c>
      <c r="H68" s="116" t="s">
        <v>1115</v>
      </c>
      <c r="I68" s="116" t="s">
        <v>13</v>
      </c>
      <c r="J68" s="116" t="s">
        <v>1116</v>
      </c>
      <c r="K68" s="63">
        <v>4150</v>
      </c>
      <c r="L68" s="63">
        <v>13383</v>
      </c>
      <c r="M68" s="63">
        <v>0</v>
      </c>
      <c r="N68" s="63"/>
      <c r="O68" s="63">
        <v>13383</v>
      </c>
      <c r="P68" s="63"/>
      <c r="Q68" s="63"/>
      <c r="R68" s="302">
        <f t="shared" si="0"/>
        <v>0</v>
      </c>
    </row>
    <row r="69" spans="1:18" ht="19.5" customHeight="1">
      <c r="A69" s="299" t="s">
        <v>5318</v>
      </c>
      <c r="B69" s="466" t="s">
        <v>11413</v>
      </c>
      <c r="C69" s="541"/>
      <c r="D69" s="541"/>
      <c r="E69" s="505" t="s">
        <v>3774</v>
      </c>
      <c r="F69" s="505" t="s">
        <v>11414</v>
      </c>
      <c r="G69" s="505" t="s">
        <v>897</v>
      </c>
      <c r="H69" s="542" t="s">
        <v>11447</v>
      </c>
      <c r="I69" s="505" t="s">
        <v>898</v>
      </c>
      <c r="J69" s="505" t="s">
        <v>11441</v>
      </c>
      <c r="K69" s="466">
        <v>200000</v>
      </c>
      <c r="L69" s="543">
        <v>5</v>
      </c>
      <c r="M69" s="467"/>
      <c r="N69" s="468"/>
      <c r="O69" s="467">
        <v>5</v>
      </c>
      <c r="P69" s="543">
        <v>5</v>
      </c>
      <c r="Q69" s="543"/>
      <c r="R69" s="302">
        <f t="shared" si="0"/>
        <v>0</v>
      </c>
    </row>
    <row r="70" spans="1:18" ht="19.5" customHeight="1">
      <c r="A70" s="2">
        <v>13</v>
      </c>
      <c r="B70" s="11" t="s">
        <v>1785</v>
      </c>
      <c r="C70" s="11"/>
      <c r="D70" s="11"/>
      <c r="E70" s="116" t="s">
        <v>1786</v>
      </c>
      <c r="F70" s="116" t="s">
        <v>1789</v>
      </c>
      <c r="G70" s="116" t="s">
        <v>1790</v>
      </c>
      <c r="H70" s="116" t="s">
        <v>1787</v>
      </c>
      <c r="I70" s="116" t="s">
        <v>15</v>
      </c>
      <c r="J70" s="116" t="s">
        <v>1788</v>
      </c>
      <c r="K70" s="63">
        <v>61000</v>
      </c>
      <c r="L70" s="63">
        <v>10</v>
      </c>
      <c r="M70" s="63">
        <v>0</v>
      </c>
      <c r="N70" s="63"/>
      <c r="O70" s="63">
        <v>10</v>
      </c>
      <c r="P70" s="63"/>
      <c r="Q70" s="63"/>
      <c r="R70" s="302">
        <f t="shared" si="0"/>
        <v>0</v>
      </c>
    </row>
    <row r="71" spans="1:18" ht="19.5" customHeight="1">
      <c r="A71" s="299" t="s">
        <v>5322</v>
      </c>
      <c r="B71" s="305" t="s">
        <v>289</v>
      </c>
      <c r="C71" s="305"/>
      <c r="D71" s="305"/>
      <c r="E71" s="305" t="s">
        <v>3776</v>
      </c>
      <c r="F71" s="305" t="s">
        <v>8100</v>
      </c>
      <c r="G71" s="305" t="s">
        <v>7211</v>
      </c>
      <c r="H71" s="305" t="s">
        <v>258</v>
      </c>
      <c r="I71" s="305" t="s">
        <v>11</v>
      </c>
      <c r="J71" s="116" t="s">
        <v>1066</v>
      </c>
      <c r="K71" s="119">
        <v>1390</v>
      </c>
      <c r="L71" s="119">
        <v>0</v>
      </c>
      <c r="M71" s="302">
        <f>24030+25950</f>
        <v>49980</v>
      </c>
      <c r="N71" s="303"/>
      <c r="O71" s="302">
        <f>24030+25950</f>
        <v>49980</v>
      </c>
      <c r="P71" s="302"/>
      <c r="Q71" s="303"/>
      <c r="R71" s="302">
        <f t="shared" si="0"/>
        <v>0</v>
      </c>
    </row>
    <row r="72" spans="1:18" ht="19.5" customHeight="1">
      <c r="A72" s="304" t="s">
        <v>5327</v>
      </c>
      <c r="B72" s="305" t="s">
        <v>6623</v>
      </c>
      <c r="C72" s="305"/>
      <c r="D72" s="305"/>
      <c r="E72" s="305" t="s">
        <v>3778</v>
      </c>
      <c r="F72" s="305" t="s">
        <v>7491</v>
      </c>
      <c r="G72" s="305" t="s">
        <v>7211</v>
      </c>
      <c r="H72" s="305" t="s">
        <v>1915</v>
      </c>
      <c r="I72" s="305" t="s">
        <v>11</v>
      </c>
      <c r="J72" s="116" t="s">
        <v>1066</v>
      </c>
      <c r="K72" s="119">
        <v>72</v>
      </c>
      <c r="L72" s="119">
        <v>0</v>
      </c>
      <c r="M72" s="302">
        <f>30200+13200+8400+4202</f>
        <v>56002</v>
      </c>
      <c r="N72" s="303"/>
      <c r="O72" s="302">
        <f>30109+10309+4400+4202</f>
        <v>49020</v>
      </c>
      <c r="P72" s="302">
        <v>200</v>
      </c>
      <c r="Q72" s="303"/>
      <c r="R72" s="302">
        <f t="shared" si="0"/>
        <v>6982</v>
      </c>
    </row>
    <row r="73" spans="1:18" ht="19.5" customHeight="1">
      <c r="A73" s="304" t="s">
        <v>5333</v>
      </c>
      <c r="B73" s="16" t="s">
        <v>11415</v>
      </c>
      <c r="C73" s="541"/>
      <c r="D73" s="541"/>
      <c r="E73" s="469" t="s">
        <v>3537</v>
      </c>
      <c r="F73" s="469" t="s">
        <v>11416</v>
      </c>
      <c r="G73" s="469" t="s">
        <v>1913</v>
      </c>
      <c r="H73" s="542" t="s">
        <v>1915</v>
      </c>
      <c r="I73" s="469" t="s">
        <v>11</v>
      </c>
      <c r="J73" s="469" t="s">
        <v>11442</v>
      </c>
      <c r="K73" s="466">
        <v>84</v>
      </c>
      <c r="L73" s="543">
        <v>31228</v>
      </c>
      <c r="M73" s="467">
        <v>2005</v>
      </c>
      <c r="N73" s="468"/>
      <c r="O73" s="467">
        <v>33139</v>
      </c>
      <c r="P73" s="543"/>
      <c r="Q73" s="543"/>
      <c r="R73" s="302">
        <f t="shared" si="0"/>
        <v>94</v>
      </c>
    </row>
    <row r="74" spans="1:18" ht="19.5" customHeight="1">
      <c r="A74" s="299" t="s">
        <v>5035</v>
      </c>
      <c r="B74" s="11" t="s">
        <v>363</v>
      </c>
      <c r="C74" s="11"/>
      <c r="D74" s="11"/>
      <c r="E74" s="116" t="s">
        <v>2443</v>
      </c>
      <c r="F74" s="116" t="s">
        <v>426</v>
      </c>
      <c r="G74" s="116" t="s">
        <v>2686</v>
      </c>
      <c r="H74" s="116" t="s">
        <v>2444</v>
      </c>
      <c r="I74" s="116" t="s">
        <v>11</v>
      </c>
      <c r="J74" s="116" t="s">
        <v>642</v>
      </c>
      <c r="K74" s="63">
        <v>900</v>
      </c>
      <c r="L74" s="63">
        <v>50</v>
      </c>
      <c r="M74" s="63"/>
      <c r="N74" s="63"/>
      <c r="O74" s="63"/>
      <c r="P74" s="63"/>
      <c r="Q74" s="63"/>
      <c r="R74" s="302">
        <f t="shared" ref="R74:R137" si="1">L74+M74-O74</f>
        <v>50</v>
      </c>
    </row>
    <row r="75" spans="1:18" ht="19.5" customHeight="1">
      <c r="A75" s="2">
        <v>14</v>
      </c>
      <c r="B75" s="307" t="s">
        <v>363</v>
      </c>
      <c r="C75" s="307"/>
      <c r="D75" s="307"/>
      <c r="E75" s="116" t="s">
        <v>3539</v>
      </c>
      <c r="F75" s="116" t="s">
        <v>426</v>
      </c>
      <c r="G75" s="116" t="s">
        <v>427</v>
      </c>
      <c r="H75" s="116" t="s">
        <v>291</v>
      </c>
      <c r="I75" s="531" t="s">
        <v>10</v>
      </c>
      <c r="J75" s="116" t="s">
        <v>642</v>
      </c>
      <c r="K75" s="118">
        <v>750</v>
      </c>
      <c r="L75" s="308"/>
      <c r="M75" s="302">
        <v>5000</v>
      </c>
      <c r="N75" s="303"/>
      <c r="O75" s="302"/>
      <c r="P75" s="302"/>
      <c r="Q75" s="303"/>
      <c r="R75" s="302">
        <f t="shared" si="1"/>
        <v>5000</v>
      </c>
    </row>
    <row r="76" spans="1:18" ht="19.5" customHeight="1">
      <c r="A76" s="299" t="s">
        <v>5339</v>
      </c>
      <c r="B76" s="67" t="s">
        <v>847</v>
      </c>
      <c r="C76" s="11"/>
      <c r="D76" s="11"/>
      <c r="E76" s="116" t="s">
        <v>1206</v>
      </c>
      <c r="F76" s="116" t="s">
        <v>1207</v>
      </c>
      <c r="G76" s="116" t="s">
        <v>352</v>
      </c>
      <c r="H76" s="116" t="s">
        <v>272</v>
      </c>
      <c r="I76" s="116" t="s">
        <v>13</v>
      </c>
      <c r="J76" s="116" t="s">
        <v>1201</v>
      </c>
      <c r="K76" s="63">
        <v>799</v>
      </c>
      <c r="L76" s="63">
        <v>9</v>
      </c>
      <c r="M76" s="63">
        <v>0</v>
      </c>
      <c r="N76" s="63"/>
      <c r="O76" s="63">
        <v>9</v>
      </c>
      <c r="P76" s="63"/>
      <c r="Q76" s="63"/>
      <c r="R76" s="302">
        <f t="shared" si="1"/>
        <v>0</v>
      </c>
    </row>
    <row r="77" spans="1:18" ht="19.5" customHeight="1">
      <c r="A77" s="304" t="s">
        <v>5344</v>
      </c>
      <c r="B77" s="309" t="s">
        <v>8767</v>
      </c>
      <c r="C77" s="309"/>
      <c r="D77" s="309"/>
      <c r="E77" s="309" t="s">
        <v>8769</v>
      </c>
      <c r="F77" s="309" t="s">
        <v>8770</v>
      </c>
      <c r="G77" s="309" t="s">
        <v>2310</v>
      </c>
      <c r="H77" s="309" t="s">
        <v>8768</v>
      </c>
      <c r="I77" s="309" t="s">
        <v>11</v>
      </c>
      <c r="J77" s="309" t="s">
        <v>9019</v>
      </c>
      <c r="K77" s="63">
        <v>1945</v>
      </c>
      <c r="L77" s="310">
        <v>0</v>
      </c>
      <c r="M77" s="302">
        <v>1000</v>
      </c>
      <c r="N77" s="303"/>
      <c r="O77" s="302">
        <v>900</v>
      </c>
      <c r="P77" s="302"/>
      <c r="Q77" s="303"/>
      <c r="R77" s="302">
        <f t="shared" si="1"/>
        <v>100</v>
      </c>
    </row>
    <row r="78" spans="1:18" ht="19.5" customHeight="1">
      <c r="A78" s="304" t="s">
        <v>5346</v>
      </c>
      <c r="B78" s="305" t="s">
        <v>365</v>
      </c>
      <c r="C78" s="305"/>
      <c r="D78" s="305"/>
      <c r="E78" s="305" t="s">
        <v>3785</v>
      </c>
      <c r="F78" s="305" t="s">
        <v>7770</v>
      </c>
      <c r="G78" s="305" t="s">
        <v>7001</v>
      </c>
      <c r="H78" s="305" t="s">
        <v>238</v>
      </c>
      <c r="I78" s="305" t="s">
        <v>11</v>
      </c>
      <c r="J78" s="116" t="s">
        <v>859</v>
      </c>
      <c r="K78" s="119">
        <v>128</v>
      </c>
      <c r="L78" s="119">
        <v>0</v>
      </c>
      <c r="M78" s="302">
        <v>5000</v>
      </c>
      <c r="N78" s="303"/>
      <c r="O78" s="302">
        <v>2839</v>
      </c>
      <c r="P78" s="302"/>
      <c r="Q78" s="303"/>
      <c r="R78" s="302">
        <f t="shared" si="1"/>
        <v>2161</v>
      </c>
    </row>
    <row r="79" spans="1:18" ht="19.5" customHeight="1">
      <c r="A79" s="299" t="s">
        <v>5349</v>
      </c>
      <c r="B79" s="16" t="s">
        <v>3540</v>
      </c>
      <c r="C79" s="541"/>
      <c r="D79" s="541"/>
      <c r="E79" s="469" t="s">
        <v>3785</v>
      </c>
      <c r="F79" s="469" t="s">
        <v>9224</v>
      </c>
      <c r="G79" s="469" t="s">
        <v>360</v>
      </c>
      <c r="H79" s="542" t="s">
        <v>238</v>
      </c>
      <c r="I79" s="469" t="s">
        <v>11</v>
      </c>
      <c r="J79" s="469" t="s">
        <v>1718</v>
      </c>
      <c r="K79" s="466">
        <v>158</v>
      </c>
      <c r="L79" s="543">
        <v>90</v>
      </c>
      <c r="M79" s="467">
        <v>1</v>
      </c>
      <c r="N79" s="468"/>
      <c r="O79" s="467">
        <v>91</v>
      </c>
      <c r="P79" s="543"/>
      <c r="Q79" s="543"/>
      <c r="R79" s="302">
        <f t="shared" si="1"/>
        <v>0</v>
      </c>
    </row>
    <row r="80" spans="1:18" ht="19.5" customHeight="1">
      <c r="A80" s="2">
        <v>15</v>
      </c>
      <c r="B80" s="64" t="s">
        <v>365</v>
      </c>
      <c r="C80" s="64"/>
      <c r="D80" s="64"/>
      <c r="E80" s="116" t="s">
        <v>366</v>
      </c>
      <c r="F80" s="116" t="s">
        <v>367</v>
      </c>
      <c r="G80" s="116" t="s">
        <v>360</v>
      </c>
      <c r="H80" s="116" t="s">
        <v>235</v>
      </c>
      <c r="I80" s="116" t="s">
        <v>10</v>
      </c>
      <c r="J80" s="116" t="s">
        <v>647</v>
      </c>
      <c r="K80" s="63">
        <v>232</v>
      </c>
      <c r="L80" s="63">
        <v>0</v>
      </c>
      <c r="M80" s="63">
        <f>10002+8000+11000+20000</f>
        <v>49002</v>
      </c>
      <c r="N80" s="63"/>
      <c r="O80" s="63">
        <f>6115+8000+20000</f>
        <v>34115</v>
      </c>
      <c r="P80" s="63"/>
      <c r="Q80" s="63"/>
      <c r="R80" s="302">
        <f t="shared" si="1"/>
        <v>14887</v>
      </c>
    </row>
    <row r="81" spans="1:18" ht="19.5" customHeight="1">
      <c r="A81" s="299" t="s">
        <v>5350</v>
      </c>
      <c r="B81" s="307" t="s">
        <v>365</v>
      </c>
      <c r="C81" s="307"/>
      <c r="D81" s="307"/>
      <c r="E81" s="116" t="s">
        <v>366</v>
      </c>
      <c r="F81" s="116" t="s">
        <v>367</v>
      </c>
      <c r="G81" s="116" t="s">
        <v>360</v>
      </c>
      <c r="H81" s="116" t="s">
        <v>235</v>
      </c>
      <c r="I81" s="531" t="s">
        <v>10</v>
      </c>
      <c r="J81" s="116" t="s">
        <v>642</v>
      </c>
      <c r="K81" s="118">
        <v>232</v>
      </c>
      <c r="L81" s="308">
        <v>28</v>
      </c>
      <c r="M81" s="302">
        <v>1</v>
      </c>
      <c r="N81" s="303"/>
      <c r="O81" s="302">
        <v>29</v>
      </c>
      <c r="P81" s="302"/>
      <c r="Q81" s="303"/>
      <c r="R81" s="302">
        <f t="shared" si="1"/>
        <v>0</v>
      </c>
    </row>
    <row r="82" spans="1:18" ht="19.5" customHeight="1">
      <c r="A82" s="304" t="s">
        <v>5352</v>
      </c>
      <c r="B82" s="11" t="s">
        <v>1722</v>
      </c>
      <c r="C82" s="11"/>
      <c r="D82" s="11"/>
      <c r="E82" s="116" t="s">
        <v>1722</v>
      </c>
      <c r="F82" s="116" t="s">
        <v>1725</v>
      </c>
      <c r="G82" s="116" t="s">
        <v>1726</v>
      </c>
      <c r="H82" s="116" t="s">
        <v>1723</v>
      </c>
      <c r="I82" s="116" t="s">
        <v>520</v>
      </c>
      <c r="J82" s="116" t="s">
        <v>1724</v>
      </c>
      <c r="K82" s="63">
        <v>500</v>
      </c>
      <c r="L82" s="63">
        <f>111+2755</f>
        <v>2866</v>
      </c>
      <c r="M82" s="63"/>
      <c r="N82" s="63"/>
      <c r="O82" s="63">
        <f>111+266</f>
        <v>377</v>
      </c>
      <c r="P82" s="63">
        <v>55</v>
      </c>
      <c r="Q82" s="63"/>
      <c r="R82" s="302">
        <f t="shared" si="1"/>
        <v>2489</v>
      </c>
    </row>
    <row r="83" spans="1:18" ht="19.5" customHeight="1">
      <c r="A83" s="304" t="s">
        <v>3725</v>
      </c>
      <c r="B83" s="305" t="s">
        <v>683</v>
      </c>
      <c r="C83" s="305"/>
      <c r="D83" s="305"/>
      <c r="E83" s="305" t="s">
        <v>4463</v>
      </c>
      <c r="F83" s="305" t="s">
        <v>7247</v>
      </c>
      <c r="G83" s="305" t="s">
        <v>7248</v>
      </c>
      <c r="H83" s="305" t="s">
        <v>1452</v>
      </c>
      <c r="I83" s="305" t="s">
        <v>11</v>
      </c>
      <c r="J83" s="305" t="s">
        <v>1736</v>
      </c>
      <c r="K83" s="119">
        <v>1900</v>
      </c>
      <c r="L83" s="119">
        <v>0</v>
      </c>
      <c r="M83" s="302">
        <v>1200</v>
      </c>
      <c r="N83" s="303"/>
      <c r="O83" s="302">
        <v>1200</v>
      </c>
      <c r="P83" s="302"/>
      <c r="Q83" s="303"/>
      <c r="R83" s="302">
        <f t="shared" si="1"/>
        <v>0</v>
      </c>
    </row>
    <row r="84" spans="1:18" ht="19.5" customHeight="1">
      <c r="A84" s="299" t="s">
        <v>5356</v>
      </c>
      <c r="B84" s="64" t="s">
        <v>216</v>
      </c>
      <c r="C84" s="64"/>
      <c r="D84" s="64"/>
      <c r="E84" s="116" t="s">
        <v>250</v>
      </c>
      <c r="F84" s="116" t="s">
        <v>254</v>
      </c>
      <c r="G84" s="116" t="s">
        <v>255</v>
      </c>
      <c r="H84" s="116" t="s">
        <v>251</v>
      </c>
      <c r="I84" s="116" t="s">
        <v>10</v>
      </c>
      <c r="J84" s="116" t="s">
        <v>252</v>
      </c>
      <c r="K84" s="63">
        <v>2246</v>
      </c>
      <c r="L84" s="63">
        <v>0</v>
      </c>
      <c r="M84" s="63">
        <v>1500</v>
      </c>
      <c r="N84" s="63"/>
      <c r="O84" s="63">
        <v>1500</v>
      </c>
      <c r="P84" s="63"/>
      <c r="Q84" s="63"/>
      <c r="R84" s="302">
        <f t="shared" si="1"/>
        <v>0</v>
      </c>
    </row>
    <row r="85" spans="1:18" ht="19.5" customHeight="1">
      <c r="A85" s="2">
        <v>16</v>
      </c>
      <c r="B85" s="67" t="s">
        <v>956</v>
      </c>
      <c r="C85" s="11"/>
      <c r="D85" s="11"/>
      <c r="E85" s="502" t="s">
        <v>957</v>
      </c>
      <c r="F85" s="502" t="s">
        <v>959</v>
      </c>
      <c r="G85" s="502" t="s">
        <v>955</v>
      </c>
      <c r="H85" s="502" t="s">
        <v>958</v>
      </c>
      <c r="I85" s="502" t="s">
        <v>12</v>
      </c>
      <c r="J85" s="502" t="s">
        <v>946</v>
      </c>
      <c r="K85" s="63">
        <v>10998</v>
      </c>
      <c r="L85" s="63">
        <v>1828</v>
      </c>
      <c r="M85" s="63">
        <v>22</v>
      </c>
      <c r="N85" s="63"/>
      <c r="O85" s="63">
        <v>1850</v>
      </c>
      <c r="P85" s="63">
        <v>96</v>
      </c>
      <c r="Q85" s="63"/>
      <c r="R85" s="302">
        <f t="shared" si="1"/>
        <v>0</v>
      </c>
    </row>
    <row r="86" spans="1:18" ht="19.5" customHeight="1">
      <c r="A86" s="299" t="s">
        <v>5358</v>
      </c>
      <c r="B86" s="64" t="s">
        <v>216</v>
      </c>
      <c r="C86" s="64"/>
      <c r="D86" s="64"/>
      <c r="E86" s="116" t="s">
        <v>218</v>
      </c>
      <c r="F86" s="116" t="s">
        <v>220</v>
      </c>
      <c r="G86" s="116" t="s">
        <v>217</v>
      </c>
      <c r="H86" s="116" t="s">
        <v>219</v>
      </c>
      <c r="I86" s="116" t="s">
        <v>10</v>
      </c>
      <c r="J86" s="116" t="s">
        <v>647</v>
      </c>
      <c r="K86" s="63">
        <v>2375</v>
      </c>
      <c r="L86" s="63">
        <v>0</v>
      </c>
      <c r="M86" s="63">
        <v>4692</v>
      </c>
      <c r="N86" s="63"/>
      <c r="O86" s="63">
        <v>1705</v>
      </c>
      <c r="P86" s="63"/>
      <c r="Q86" s="63"/>
      <c r="R86" s="302">
        <f t="shared" si="1"/>
        <v>2987</v>
      </c>
    </row>
    <row r="87" spans="1:18" ht="19.5" customHeight="1">
      <c r="A87" s="304" t="s">
        <v>5359</v>
      </c>
      <c r="B87" s="307" t="s">
        <v>216</v>
      </c>
      <c r="C87" s="307"/>
      <c r="D87" s="307"/>
      <c r="E87" s="116" t="s">
        <v>3542</v>
      </c>
      <c r="F87" s="116" t="s">
        <v>5502</v>
      </c>
      <c r="G87" s="116" t="s">
        <v>217</v>
      </c>
      <c r="H87" s="116" t="s">
        <v>3528</v>
      </c>
      <c r="I87" s="531" t="s">
        <v>10</v>
      </c>
      <c r="J87" s="116" t="s">
        <v>1066</v>
      </c>
      <c r="K87" s="118">
        <v>1750</v>
      </c>
      <c r="L87" s="308">
        <v>0</v>
      </c>
      <c r="M87" s="302">
        <v>2354</v>
      </c>
      <c r="N87" s="303"/>
      <c r="O87" s="302">
        <v>2354</v>
      </c>
      <c r="P87" s="302"/>
      <c r="Q87" s="303"/>
      <c r="R87" s="302">
        <f t="shared" si="1"/>
        <v>0</v>
      </c>
    </row>
    <row r="88" spans="1:18" ht="19.5" customHeight="1">
      <c r="A88" s="304" t="s">
        <v>5361</v>
      </c>
      <c r="B88" s="11" t="s">
        <v>813</v>
      </c>
      <c r="C88" s="4"/>
      <c r="D88" s="4"/>
      <c r="E88" s="116" t="s">
        <v>1805</v>
      </c>
      <c r="F88" s="117" t="s">
        <v>1806</v>
      </c>
      <c r="G88" s="117" t="s">
        <v>488</v>
      </c>
      <c r="H88" s="117" t="s">
        <v>299</v>
      </c>
      <c r="I88" s="117" t="s">
        <v>11</v>
      </c>
      <c r="J88" s="117" t="s">
        <v>647</v>
      </c>
      <c r="K88" s="63">
        <v>5187</v>
      </c>
      <c r="L88" s="63">
        <v>24332</v>
      </c>
      <c r="M88" s="63">
        <v>0</v>
      </c>
      <c r="N88" s="63"/>
      <c r="O88" s="63">
        <v>24332</v>
      </c>
      <c r="P88" s="63">
        <v>0</v>
      </c>
      <c r="Q88" s="63"/>
      <c r="R88" s="302">
        <f t="shared" si="1"/>
        <v>0</v>
      </c>
    </row>
    <row r="89" spans="1:18" ht="19.5" customHeight="1">
      <c r="A89" s="299" t="s">
        <v>5363</v>
      </c>
      <c r="B89" s="305" t="s">
        <v>3790</v>
      </c>
      <c r="C89" s="305"/>
      <c r="D89" s="305"/>
      <c r="E89" s="305" t="s">
        <v>1847</v>
      </c>
      <c r="F89" s="305" t="s">
        <v>7993</v>
      </c>
      <c r="G89" s="305" t="s">
        <v>7994</v>
      </c>
      <c r="H89" s="305" t="s">
        <v>272</v>
      </c>
      <c r="I89" s="305" t="s">
        <v>11</v>
      </c>
      <c r="J89" s="305" t="s">
        <v>8969</v>
      </c>
      <c r="K89" s="119">
        <v>2550</v>
      </c>
      <c r="L89" s="119">
        <v>0</v>
      </c>
      <c r="M89" s="302">
        <v>1500</v>
      </c>
      <c r="N89" s="303"/>
      <c r="O89" s="302">
        <v>1194</v>
      </c>
      <c r="P89" s="302">
        <v>0</v>
      </c>
      <c r="Q89" s="303"/>
      <c r="R89" s="302">
        <f t="shared" si="1"/>
        <v>306</v>
      </c>
    </row>
    <row r="90" spans="1:18" ht="19.5" customHeight="1">
      <c r="A90" s="2">
        <v>17</v>
      </c>
      <c r="B90" s="11" t="s">
        <v>1860</v>
      </c>
      <c r="C90" s="11"/>
      <c r="D90" s="11"/>
      <c r="E90" s="506" t="s">
        <v>1861</v>
      </c>
      <c r="F90" s="506" t="s">
        <v>1863</v>
      </c>
      <c r="G90" s="116" t="s">
        <v>1841</v>
      </c>
      <c r="H90" s="116" t="s">
        <v>1862</v>
      </c>
      <c r="I90" s="116" t="s">
        <v>10</v>
      </c>
      <c r="J90" s="506" t="s">
        <v>1153</v>
      </c>
      <c r="K90" s="63">
        <v>530</v>
      </c>
      <c r="L90" s="63">
        <v>613</v>
      </c>
      <c r="M90" s="63"/>
      <c r="N90" s="63"/>
      <c r="O90" s="63">
        <v>613</v>
      </c>
      <c r="P90" s="63"/>
      <c r="Q90" s="63"/>
      <c r="R90" s="302">
        <f t="shared" si="1"/>
        <v>0</v>
      </c>
    </row>
    <row r="91" spans="1:18" ht="19.5" customHeight="1">
      <c r="A91" s="299" t="s">
        <v>5365</v>
      </c>
      <c r="B91" s="305" t="s">
        <v>683</v>
      </c>
      <c r="C91" s="305"/>
      <c r="D91" s="305"/>
      <c r="E91" s="305" t="s">
        <v>4465</v>
      </c>
      <c r="F91" s="305" t="s">
        <v>5877</v>
      </c>
      <c r="G91" s="305" t="s">
        <v>5878</v>
      </c>
      <c r="H91" s="305" t="s">
        <v>2554</v>
      </c>
      <c r="I91" s="305" t="s">
        <v>658</v>
      </c>
      <c r="J91" s="305" t="s">
        <v>8989</v>
      </c>
      <c r="K91" s="119">
        <v>38997</v>
      </c>
      <c r="L91" s="119">
        <v>0</v>
      </c>
      <c r="M91" s="302">
        <v>50</v>
      </c>
      <c r="N91" s="303"/>
      <c r="O91" s="302"/>
      <c r="P91" s="302"/>
      <c r="Q91" s="303"/>
      <c r="R91" s="302">
        <f t="shared" si="1"/>
        <v>50</v>
      </c>
    </row>
    <row r="92" spans="1:18" ht="19.5" customHeight="1">
      <c r="A92" s="304" t="s">
        <v>5367</v>
      </c>
      <c r="B92" s="11" t="s">
        <v>337</v>
      </c>
      <c r="C92" s="11"/>
      <c r="D92" s="11"/>
      <c r="E92" s="116" t="s">
        <v>2446</v>
      </c>
      <c r="F92" s="116" t="s">
        <v>2698</v>
      </c>
      <c r="G92" s="116" t="s">
        <v>2699</v>
      </c>
      <c r="H92" s="116" t="s">
        <v>1583</v>
      </c>
      <c r="I92" s="116" t="s">
        <v>11</v>
      </c>
      <c r="J92" s="116" t="s">
        <v>804</v>
      </c>
      <c r="K92" s="63">
        <v>3600</v>
      </c>
      <c r="L92" s="63">
        <v>77</v>
      </c>
      <c r="M92" s="63"/>
      <c r="N92" s="63"/>
      <c r="O92" s="63">
        <v>77</v>
      </c>
      <c r="P92" s="63"/>
      <c r="Q92" s="63"/>
      <c r="R92" s="302">
        <f t="shared" si="1"/>
        <v>0</v>
      </c>
    </row>
    <row r="93" spans="1:18" ht="19.5" customHeight="1">
      <c r="A93" s="304" t="s">
        <v>5371</v>
      </c>
      <c r="B93" s="64" t="s">
        <v>337</v>
      </c>
      <c r="C93" s="64"/>
      <c r="D93" s="64"/>
      <c r="E93" s="116" t="s">
        <v>338</v>
      </c>
      <c r="F93" s="116" t="s">
        <v>339</v>
      </c>
      <c r="G93" s="116" t="s">
        <v>336</v>
      </c>
      <c r="H93" s="116" t="s">
        <v>225</v>
      </c>
      <c r="I93" s="116" t="s">
        <v>10</v>
      </c>
      <c r="J93" s="116" t="s">
        <v>2700</v>
      </c>
      <c r="K93" s="63">
        <v>2950</v>
      </c>
      <c r="L93" s="63">
        <v>82</v>
      </c>
      <c r="M93" s="63"/>
      <c r="N93" s="63"/>
      <c r="O93" s="63">
        <v>82</v>
      </c>
      <c r="P93" s="63"/>
      <c r="Q93" s="63"/>
      <c r="R93" s="302">
        <f t="shared" si="1"/>
        <v>0</v>
      </c>
    </row>
    <row r="94" spans="1:18" ht="19.5" customHeight="1">
      <c r="A94" s="299" t="s">
        <v>5373</v>
      </c>
      <c r="B94" s="11" t="s">
        <v>337</v>
      </c>
      <c r="C94" s="11"/>
      <c r="D94" s="11"/>
      <c r="E94" s="116" t="s">
        <v>2447</v>
      </c>
      <c r="F94" s="116" t="s">
        <v>2701</v>
      </c>
      <c r="G94" s="116" t="s">
        <v>2702</v>
      </c>
      <c r="H94" s="116" t="s">
        <v>1200</v>
      </c>
      <c r="I94" s="116" t="s">
        <v>13</v>
      </c>
      <c r="J94" s="116" t="s">
        <v>2703</v>
      </c>
      <c r="K94" s="63">
        <v>2499</v>
      </c>
      <c r="L94" s="63">
        <v>278</v>
      </c>
      <c r="M94" s="63"/>
      <c r="N94" s="63"/>
      <c r="O94" s="63">
        <v>278</v>
      </c>
      <c r="P94" s="63"/>
      <c r="Q94" s="63"/>
      <c r="R94" s="302">
        <f t="shared" si="1"/>
        <v>0</v>
      </c>
    </row>
    <row r="95" spans="1:18" ht="19.5" customHeight="1">
      <c r="A95" s="2">
        <v>18</v>
      </c>
      <c r="B95" s="309" t="s">
        <v>8884</v>
      </c>
      <c r="C95" s="309"/>
      <c r="D95" s="309"/>
      <c r="E95" s="309" t="s">
        <v>8886</v>
      </c>
      <c r="F95" s="309" t="s">
        <v>8888</v>
      </c>
      <c r="G95" s="311" t="s">
        <v>8889</v>
      </c>
      <c r="H95" s="309" t="s">
        <v>8885</v>
      </c>
      <c r="I95" s="309" t="s">
        <v>15</v>
      </c>
      <c r="J95" s="309" t="s">
        <v>9025</v>
      </c>
      <c r="K95" s="63">
        <v>55000</v>
      </c>
      <c r="L95" s="310"/>
      <c r="M95" s="302">
        <v>900</v>
      </c>
      <c r="N95" s="303"/>
      <c r="O95" s="302">
        <v>334</v>
      </c>
      <c r="P95" s="302"/>
      <c r="Q95" s="303"/>
      <c r="R95" s="302">
        <f t="shared" si="1"/>
        <v>566</v>
      </c>
    </row>
    <row r="96" spans="1:18" ht="19.5" customHeight="1">
      <c r="A96" s="299" t="s">
        <v>5377</v>
      </c>
      <c r="B96" s="11" t="s">
        <v>1848</v>
      </c>
      <c r="C96" s="11"/>
      <c r="D96" s="11"/>
      <c r="E96" s="506" t="s">
        <v>1849</v>
      </c>
      <c r="F96" s="506" t="s">
        <v>1852</v>
      </c>
      <c r="G96" s="116" t="s">
        <v>1841</v>
      </c>
      <c r="H96" s="116" t="s">
        <v>1850</v>
      </c>
      <c r="I96" s="116" t="s">
        <v>12</v>
      </c>
      <c r="J96" s="506" t="s">
        <v>1851</v>
      </c>
      <c r="K96" s="63">
        <v>840</v>
      </c>
      <c r="L96" s="63">
        <v>5000</v>
      </c>
      <c r="M96" s="63"/>
      <c r="N96" s="63"/>
      <c r="O96" s="63">
        <v>5000</v>
      </c>
      <c r="P96" s="63"/>
      <c r="Q96" s="63"/>
      <c r="R96" s="302">
        <f t="shared" si="1"/>
        <v>0</v>
      </c>
    </row>
    <row r="97" spans="1:18" ht="19.5" customHeight="1">
      <c r="A97" s="304" t="s">
        <v>5380</v>
      </c>
      <c r="B97" s="11" t="s">
        <v>2179</v>
      </c>
      <c r="C97" s="11"/>
      <c r="D97" s="11"/>
      <c r="E97" s="504" t="s">
        <v>21</v>
      </c>
      <c r="F97" s="116" t="s">
        <v>2181</v>
      </c>
      <c r="G97" s="116" t="s">
        <v>867</v>
      </c>
      <c r="H97" s="116" t="s">
        <v>22</v>
      </c>
      <c r="I97" s="116" t="s">
        <v>11</v>
      </c>
      <c r="J97" s="116" t="s">
        <v>2180</v>
      </c>
      <c r="K97" s="63">
        <v>1260</v>
      </c>
      <c r="L97" s="63">
        <v>23</v>
      </c>
      <c r="M97" s="63"/>
      <c r="N97" s="63"/>
      <c r="O97" s="63">
        <v>23</v>
      </c>
      <c r="P97" s="63"/>
      <c r="Q97" s="63"/>
      <c r="R97" s="302">
        <f t="shared" si="1"/>
        <v>0</v>
      </c>
    </row>
    <row r="98" spans="1:18" ht="19.5" customHeight="1">
      <c r="A98" s="304" t="s">
        <v>5036</v>
      </c>
      <c r="B98" s="309" t="s">
        <v>4605</v>
      </c>
      <c r="C98" s="309"/>
      <c r="D98" s="309"/>
      <c r="E98" s="309" t="s">
        <v>21</v>
      </c>
      <c r="F98" s="309" t="s">
        <v>8784</v>
      </c>
      <c r="G98" s="309" t="s">
        <v>2182</v>
      </c>
      <c r="H98" s="309" t="s">
        <v>8782</v>
      </c>
      <c r="I98" s="309" t="s">
        <v>11</v>
      </c>
      <c r="J98" s="116" t="s">
        <v>1066</v>
      </c>
      <c r="K98" s="63">
        <v>1260</v>
      </c>
      <c r="L98" s="310"/>
      <c r="M98" s="302">
        <v>50500</v>
      </c>
      <c r="N98" s="303"/>
      <c r="O98" s="302">
        <v>8058</v>
      </c>
      <c r="P98" s="302"/>
      <c r="Q98" s="303"/>
      <c r="R98" s="302">
        <f t="shared" si="1"/>
        <v>42442</v>
      </c>
    </row>
    <row r="99" spans="1:18" ht="19.5" customHeight="1">
      <c r="A99" s="299" t="s">
        <v>5387</v>
      </c>
      <c r="B99" s="305" t="s">
        <v>2449</v>
      </c>
      <c r="C99" s="305"/>
      <c r="D99" s="305"/>
      <c r="E99" s="305" t="s">
        <v>3795</v>
      </c>
      <c r="F99" s="305" t="s">
        <v>8251</v>
      </c>
      <c r="G99" s="305" t="s">
        <v>621</v>
      </c>
      <c r="H99" s="305" t="s">
        <v>238</v>
      </c>
      <c r="I99" s="305" t="s">
        <v>11</v>
      </c>
      <c r="J99" s="116" t="s">
        <v>1066</v>
      </c>
      <c r="K99" s="119">
        <v>490</v>
      </c>
      <c r="L99" s="119"/>
      <c r="M99" s="302">
        <f>3540+1440</f>
        <v>4980</v>
      </c>
      <c r="N99" s="303"/>
      <c r="O99" s="302"/>
      <c r="P99" s="302"/>
      <c r="Q99" s="303"/>
      <c r="R99" s="302">
        <f t="shared" si="1"/>
        <v>4980</v>
      </c>
    </row>
    <row r="100" spans="1:18" ht="19.5" customHeight="1">
      <c r="A100" s="2">
        <v>19</v>
      </c>
      <c r="B100" s="67" t="s">
        <v>2258</v>
      </c>
      <c r="C100" s="11"/>
      <c r="D100" s="11"/>
      <c r="E100" s="116" t="s">
        <v>23</v>
      </c>
      <c r="F100" s="116" t="s">
        <v>2259</v>
      </c>
      <c r="G100" s="116" t="s">
        <v>2253</v>
      </c>
      <c r="H100" s="116" t="s">
        <v>24</v>
      </c>
      <c r="I100" s="116" t="s">
        <v>16</v>
      </c>
      <c r="J100" s="116" t="s">
        <v>1715</v>
      </c>
      <c r="K100" s="63">
        <v>800</v>
      </c>
      <c r="L100" s="63">
        <v>3271</v>
      </c>
      <c r="M100" s="63"/>
      <c r="N100" s="63"/>
      <c r="O100" s="63">
        <v>3271</v>
      </c>
      <c r="P100" s="63"/>
      <c r="Q100" s="63"/>
      <c r="R100" s="302">
        <f t="shared" si="1"/>
        <v>0</v>
      </c>
    </row>
    <row r="101" spans="1:18" ht="19.5" customHeight="1">
      <c r="A101" s="299" t="s">
        <v>5388</v>
      </c>
      <c r="B101" s="11" t="s">
        <v>2452</v>
      </c>
      <c r="C101" s="11"/>
      <c r="D101" s="11"/>
      <c r="E101" s="116" t="s">
        <v>2451</v>
      </c>
      <c r="F101" s="116" t="s">
        <v>2710</v>
      </c>
      <c r="G101" s="116" t="s">
        <v>255</v>
      </c>
      <c r="H101" s="116" t="s">
        <v>1764</v>
      </c>
      <c r="I101" s="116" t="s">
        <v>16</v>
      </c>
      <c r="J101" s="116" t="s">
        <v>2711</v>
      </c>
      <c r="K101" s="63">
        <v>399</v>
      </c>
      <c r="L101" s="63"/>
      <c r="M101" s="63">
        <v>1400</v>
      </c>
      <c r="N101" s="63"/>
      <c r="O101" s="63">
        <v>1400</v>
      </c>
      <c r="P101" s="63"/>
      <c r="Q101" s="63"/>
      <c r="R101" s="302">
        <f t="shared" si="1"/>
        <v>0</v>
      </c>
    </row>
    <row r="102" spans="1:18" ht="19.5" customHeight="1">
      <c r="A102" s="304" t="s">
        <v>5390</v>
      </c>
      <c r="B102" s="11" t="s">
        <v>2454</v>
      </c>
      <c r="C102" s="11"/>
      <c r="D102" s="11"/>
      <c r="E102" s="116" t="s">
        <v>2453</v>
      </c>
      <c r="F102" s="116" t="s">
        <v>2712</v>
      </c>
      <c r="G102" s="116" t="s">
        <v>2713</v>
      </c>
      <c r="H102" s="116" t="s">
        <v>2455</v>
      </c>
      <c r="I102" s="116" t="s">
        <v>658</v>
      </c>
      <c r="J102" s="116" t="s">
        <v>2714</v>
      </c>
      <c r="K102" s="63">
        <v>96870</v>
      </c>
      <c r="L102" s="63">
        <v>28</v>
      </c>
      <c r="M102" s="63">
        <v>2</v>
      </c>
      <c r="N102" s="63"/>
      <c r="O102" s="63">
        <v>30</v>
      </c>
      <c r="P102" s="63"/>
      <c r="Q102" s="63"/>
      <c r="R102" s="302">
        <f t="shared" si="1"/>
        <v>0</v>
      </c>
    </row>
    <row r="103" spans="1:18" ht="19.5" customHeight="1">
      <c r="A103" s="304" t="s">
        <v>5394</v>
      </c>
      <c r="B103" s="116" t="s">
        <v>2454</v>
      </c>
      <c r="C103" s="116"/>
      <c r="D103" s="116"/>
      <c r="E103" s="116" t="s">
        <v>3801</v>
      </c>
      <c r="F103" s="116" t="s">
        <v>5614</v>
      </c>
      <c r="G103" s="116" t="s">
        <v>2036</v>
      </c>
      <c r="H103" s="116" t="s">
        <v>5611</v>
      </c>
      <c r="I103" s="116" t="s">
        <v>2037</v>
      </c>
      <c r="J103" s="116" t="s">
        <v>8982</v>
      </c>
      <c r="K103" s="119">
        <v>132323</v>
      </c>
      <c r="L103" s="312">
        <v>0</v>
      </c>
      <c r="M103" s="302">
        <v>69</v>
      </c>
      <c r="N103" s="303"/>
      <c r="O103" s="302">
        <v>66</v>
      </c>
      <c r="P103" s="302"/>
      <c r="Q103" s="303"/>
      <c r="R103" s="302">
        <f t="shared" si="1"/>
        <v>3</v>
      </c>
    </row>
    <row r="104" spans="1:18" ht="19.5" customHeight="1">
      <c r="A104" s="299" t="s">
        <v>5399</v>
      </c>
      <c r="B104" s="67" t="s">
        <v>2031</v>
      </c>
      <c r="C104" s="11"/>
      <c r="D104" s="11"/>
      <c r="E104" s="502" t="s">
        <v>2032</v>
      </c>
      <c r="F104" s="116" t="s">
        <v>2035</v>
      </c>
      <c r="G104" s="116" t="s">
        <v>2036</v>
      </c>
      <c r="H104" s="502" t="s">
        <v>2033</v>
      </c>
      <c r="I104" s="116" t="s">
        <v>2037</v>
      </c>
      <c r="J104" s="502" t="s">
        <v>2034</v>
      </c>
      <c r="K104" s="63">
        <v>132323</v>
      </c>
      <c r="L104" s="63"/>
      <c r="M104" s="63">
        <v>232</v>
      </c>
      <c r="N104" s="63"/>
      <c r="O104" s="63">
        <v>20</v>
      </c>
      <c r="P104" s="63"/>
      <c r="Q104" s="63"/>
      <c r="R104" s="302">
        <f t="shared" si="1"/>
        <v>212</v>
      </c>
    </row>
    <row r="105" spans="1:18" ht="19.5" customHeight="1">
      <c r="A105" s="2">
        <v>20</v>
      </c>
      <c r="B105" s="466" t="s">
        <v>11417</v>
      </c>
      <c r="C105" s="541"/>
      <c r="D105" s="541"/>
      <c r="E105" s="469" t="s">
        <v>3549</v>
      </c>
      <c r="F105" s="469" t="s">
        <v>11418</v>
      </c>
      <c r="G105" s="469" t="s">
        <v>11457</v>
      </c>
      <c r="H105" s="542" t="s">
        <v>3805</v>
      </c>
      <c r="I105" s="469" t="s">
        <v>14</v>
      </c>
      <c r="J105" s="469" t="s">
        <v>11465</v>
      </c>
      <c r="K105" s="466">
        <v>178000</v>
      </c>
      <c r="L105" s="543">
        <v>107</v>
      </c>
      <c r="M105" s="467">
        <v>0</v>
      </c>
      <c r="N105" s="468"/>
      <c r="O105" s="467">
        <v>102</v>
      </c>
      <c r="P105" s="543"/>
      <c r="Q105" s="543"/>
      <c r="R105" s="302">
        <f t="shared" si="1"/>
        <v>5</v>
      </c>
    </row>
    <row r="106" spans="1:18" ht="19.5" customHeight="1">
      <c r="A106" s="299" t="s">
        <v>5400</v>
      </c>
      <c r="B106" s="67" t="s">
        <v>1494</v>
      </c>
      <c r="C106" s="4"/>
      <c r="D106" s="4"/>
      <c r="E106" s="116" t="s">
        <v>1495</v>
      </c>
      <c r="F106" s="117" t="s">
        <v>1498</v>
      </c>
      <c r="G106" s="117" t="s">
        <v>1499</v>
      </c>
      <c r="H106" s="117" t="s">
        <v>1496</v>
      </c>
      <c r="I106" s="117" t="s">
        <v>10</v>
      </c>
      <c r="J106" s="117" t="s">
        <v>1497</v>
      </c>
      <c r="K106" s="63">
        <v>3780</v>
      </c>
      <c r="L106" s="63">
        <v>19144</v>
      </c>
      <c r="M106" s="63">
        <v>4</v>
      </c>
      <c r="N106" s="63"/>
      <c r="O106" s="63">
        <v>8026</v>
      </c>
      <c r="P106" s="63"/>
      <c r="Q106" s="63"/>
      <c r="R106" s="302">
        <f t="shared" si="1"/>
        <v>11122</v>
      </c>
    </row>
    <row r="107" spans="1:18" ht="19.5" customHeight="1">
      <c r="A107" s="304" t="s">
        <v>5405</v>
      </c>
      <c r="B107" s="67" t="s">
        <v>1132</v>
      </c>
      <c r="C107" s="4"/>
      <c r="D107" s="4"/>
      <c r="E107" s="116" t="s">
        <v>1133</v>
      </c>
      <c r="F107" s="117" t="s">
        <v>1135</v>
      </c>
      <c r="G107" s="117" t="s">
        <v>1136</v>
      </c>
      <c r="H107" s="117" t="s">
        <v>291</v>
      </c>
      <c r="I107" s="117" t="s">
        <v>10</v>
      </c>
      <c r="J107" s="117" t="s">
        <v>1134</v>
      </c>
      <c r="K107" s="63">
        <v>343</v>
      </c>
      <c r="L107" s="63">
        <v>942</v>
      </c>
      <c r="M107" s="63">
        <v>0</v>
      </c>
      <c r="N107" s="63"/>
      <c r="O107" s="63">
        <v>70</v>
      </c>
      <c r="P107" s="63"/>
      <c r="Q107" s="63"/>
      <c r="R107" s="302">
        <f t="shared" si="1"/>
        <v>872</v>
      </c>
    </row>
    <row r="108" spans="1:18" ht="19.5" customHeight="1">
      <c r="A108" s="304" t="s">
        <v>5407</v>
      </c>
      <c r="B108" s="306" t="s">
        <v>1911</v>
      </c>
      <c r="C108" s="306"/>
      <c r="D108" s="306"/>
      <c r="E108" s="116" t="s">
        <v>3811</v>
      </c>
      <c r="F108" s="116" t="s">
        <v>5683</v>
      </c>
      <c r="G108" s="116" t="s">
        <v>5684</v>
      </c>
      <c r="H108" s="306" t="s">
        <v>248</v>
      </c>
      <c r="I108" s="306" t="s">
        <v>10</v>
      </c>
      <c r="J108" s="306" t="s">
        <v>2720</v>
      </c>
      <c r="K108" s="63">
        <v>4389</v>
      </c>
      <c r="L108" s="63">
        <v>0</v>
      </c>
      <c r="M108" s="302">
        <f>140+2996</f>
        <v>3136</v>
      </c>
      <c r="N108" s="303"/>
      <c r="O108" s="302">
        <v>2934</v>
      </c>
      <c r="P108" s="302"/>
      <c r="Q108" s="303"/>
      <c r="R108" s="302">
        <f t="shared" si="1"/>
        <v>202</v>
      </c>
    </row>
    <row r="109" spans="1:18" ht="19.5" customHeight="1">
      <c r="A109" s="299" t="s">
        <v>5408</v>
      </c>
      <c r="B109" s="71" t="s">
        <v>2597</v>
      </c>
      <c r="C109" s="11"/>
      <c r="D109" s="11"/>
      <c r="E109" s="116" t="s">
        <v>2598</v>
      </c>
      <c r="F109" s="116" t="s">
        <v>2719</v>
      </c>
      <c r="G109" s="116" t="s">
        <v>881</v>
      </c>
      <c r="H109" s="116" t="s">
        <v>291</v>
      </c>
      <c r="I109" s="116" t="s">
        <v>10</v>
      </c>
      <c r="J109" s="116" t="s">
        <v>2720</v>
      </c>
      <c r="K109" s="63">
        <v>5779</v>
      </c>
      <c r="L109" s="63">
        <v>20</v>
      </c>
      <c r="M109" s="63">
        <v>0</v>
      </c>
      <c r="N109" s="63"/>
      <c r="O109" s="63">
        <v>20</v>
      </c>
      <c r="P109" s="63">
        <v>20</v>
      </c>
      <c r="Q109" s="63"/>
      <c r="R109" s="302">
        <f t="shared" si="1"/>
        <v>0</v>
      </c>
    </row>
    <row r="110" spans="1:18" ht="19.5" customHeight="1">
      <c r="A110" s="2">
        <v>21</v>
      </c>
      <c r="B110" s="70" t="s">
        <v>2048</v>
      </c>
      <c r="C110" s="11"/>
      <c r="D110" s="11"/>
      <c r="E110" s="116" t="s">
        <v>2053</v>
      </c>
      <c r="F110" s="116" t="s">
        <v>2054</v>
      </c>
      <c r="G110" s="116" t="s">
        <v>2055</v>
      </c>
      <c r="H110" s="116" t="s">
        <v>387</v>
      </c>
      <c r="I110" s="116" t="s">
        <v>10</v>
      </c>
      <c r="J110" s="116" t="s">
        <v>626</v>
      </c>
      <c r="K110" s="63">
        <v>1986</v>
      </c>
      <c r="L110" s="63">
        <f>3046+9000</f>
        <v>12046</v>
      </c>
      <c r="M110" s="63">
        <f>24+41</f>
        <v>65</v>
      </c>
      <c r="N110" s="63"/>
      <c r="O110" s="63">
        <f>3070+7786</f>
        <v>10856</v>
      </c>
      <c r="P110" s="63">
        <v>20</v>
      </c>
      <c r="Q110" s="63"/>
      <c r="R110" s="302">
        <f t="shared" si="1"/>
        <v>1255</v>
      </c>
    </row>
    <row r="111" spans="1:18" ht="19.5" customHeight="1">
      <c r="A111" s="299" t="s">
        <v>5037</v>
      </c>
      <c r="B111" s="11" t="s">
        <v>2411</v>
      </c>
      <c r="C111" s="11"/>
      <c r="D111" s="11"/>
      <c r="E111" s="116" t="s">
        <v>25</v>
      </c>
      <c r="F111" s="116" t="s">
        <v>2412</v>
      </c>
      <c r="G111" s="526" t="s">
        <v>2413</v>
      </c>
      <c r="H111" s="116" t="s">
        <v>26</v>
      </c>
      <c r="I111" s="116" t="s">
        <v>10</v>
      </c>
      <c r="J111" s="507" t="s">
        <v>541</v>
      </c>
      <c r="K111" s="63">
        <v>2850</v>
      </c>
      <c r="L111" s="63">
        <v>12404</v>
      </c>
      <c r="M111" s="63">
        <v>0</v>
      </c>
      <c r="N111" s="63"/>
      <c r="O111" s="63">
        <v>12404</v>
      </c>
      <c r="P111" s="63"/>
      <c r="Q111" s="63"/>
      <c r="R111" s="302">
        <f t="shared" si="1"/>
        <v>0</v>
      </c>
    </row>
    <row r="112" spans="1:18" ht="19.5" customHeight="1">
      <c r="A112" s="304" t="s">
        <v>5414</v>
      </c>
      <c r="B112" s="64" t="s">
        <v>256</v>
      </c>
      <c r="C112" s="64"/>
      <c r="D112" s="64"/>
      <c r="E112" s="116" t="s">
        <v>257</v>
      </c>
      <c r="F112" s="116" t="s">
        <v>259</v>
      </c>
      <c r="G112" s="116" t="s">
        <v>255</v>
      </c>
      <c r="H112" s="116" t="s">
        <v>258</v>
      </c>
      <c r="I112" s="116" t="s">
        <v>10</v>
      </c>
      <c r="J112" s="116" t="s">
        <v>1350</v>
      </c>
      <c r="K112" s="63">
        <v>693</v>
      </c>
      <c r="L112" s="63">
        <v>2500</v>
      </c>
      <c r="M112" s="63">
        <v>0</v>
      </c>
      <c r="N112" s="63"/>
      <c r="O112" s="63">
        <v>2500</v>
      </c>
      <c r="P112" s="63"/>
      <c r="Q112" s="63"/>
      <c r="R112" s="302">
        <f t="shared" si="1"/>
        <v>0</v>
      </c>
    </row>
    <row r="113" spans="1:18" ht="19.5" customHeight="1">
      <c r="A113" s="304" t="s">
        <v>5416</v>
      </c>
      <c r="B113" s="305" t="s">
        <v>802</v>
      </c>
      <c r="C113" s="305"/>
      <c r="D113" s="305"/>
      <c r="E113" s="305" t="s">
        <v>4468</v>
      </c>
      <c r="F113" s="305" t="s">
        <v>8254</v>
      </c>
      <c r="G113" s="305" t="s">
        <v>8255</v>
      </c>
      <c r="H113" s="305" t="s">
        <v>225</v>
      </c>
      <c r="I113" s="305" t="s">
        <v>16</v>
      </c>
      <c r="J113" s="305" t="s">
        <v>9022</v>
      </c>
      <c r="K113" s="119">
        <v>9620</v>
      </c>
      <c r="L113" s="119">
        <v>0</v>
      </c>
      <c r="M113" s="302">
        <v>240</v>
      </c>
      <c r="N113" s="303"/>
      <c r="O113" s="302">
        <v>0</v>
      </c>
      <c r="P113" s="302"/>
      <c r="Q113" s="303"/>
      <c r="R113" s="302">
        <f t="shared" si="1"/>
        <v>240</v>
      </c>
    </row>
    <row r="114" spans="1:18" ht="19.5" customHeight="1">
      <c r="A114" s="299" t="s">
        <v>5421</v>
      </c>
      <c r="B114" s="67" t="s">
        <v>1954</v>
      </c>
      <c r="C114" s="11"/>
      <c r="D114" s="11"/>
      <c r="E114" s="116" t="s">
        <v>1955</v>
      </c>
      <c r="F114" s="116" t="s">
        <v>1956</v>
      </c>
      <c r="G114" s="116" t="s">
        <v>1946</v>
      </c>
      <c r="H114" s="116" t="s">
        <v>327</v>
      </c>
      <c r="I114" s="116" t="s">
        <v>11</v>
      </c>
      <c r="J114" s="116" t="s">
        <v>815</v>
      </c>
      <c r="K114" s="63">
        <v>672</v>
      </c>
      <c r="L114" s="63">
        <f>103+551+37</f>
        <v>691</v>
      </c>
      <c r="M114" s="63">
        <v>0</v>
      </c>
      <c r="N114" s="63"/>
      <c r="O114" s="63">
        <f>103+530+37</f>
        <v>670</v>
      </c>
      <c r="P114" s="63"/>
      <c r="Q114" s="63"/>
      <c r="R114" s="302">
        <f t="shared" si="1"/>
        <v>21</v>
      </c>
    </row>
    <row r="115" spans="1:18" ht="19.5" customHeight="1">
      <c r="A115" s="2">
        <v>22</v>
      </c>
      <c r="B115" s="305" t="s">
        <v>695</v>
      </c>
      <c r="C115" s="305"/>
      <c r="D115" s="305"/>
      <c r="E115" s="305" t="s">
        <v>3815</v>
      </c>
      <c r="F115" s="305" t="s">
        <v>6945</v>
      </c>
      <c r="G115" s="305" t="s">
        <v>6946</v>
      </c>
      <c r="H115" s="305" t="s">
        <v>3816</v>
      </c>
      <c r="I115" s="305" t="s">
        <v>12</v>
      </c>
      <c r="J115" s="305" t="s">
        <v>9002</v>
      </c>
      <c r="K115" s="119">
        <v>1806</v>
      </c>
      <c r="L115" s="119">
        <v>0</v>
      </c>
      <c r="M115" s="302">
        <v>3000</v>
      </c>
      <c r="N115" s="303"/>
      <c r="O115" s="302">
        <v>566</v>
      </c>
      <c r="P115" s="302"/>
      <c r="Q115" s="303"/>
      <c r="R115" s="302">
        <f t="shared" si="1"/>
        <v>2434</v>
      </c>
    </row>
    <row r="116" spans="1:18" ht="19.5" customHeight="1">
      <c r="A116" s="299" t="s">
        <v>5423</v>
      </c>
      <c r="B116" s="305" t="s">
        <v>1368</v>
      </c>
      <c r="C116" s="305"/>
      <c r="D116" s="305"/>
      <c r="E116" s="305" t="s">
        <v>2725</v>
      </c>
      <c r="F116" s="305" t="s">
        <v>8418</v>
      </c>
      <c r="G116" s="305" t="s">
        <v>7011</v>
      </c>
      <c r="H116" s="305" t="s">
        <v>1941</v>
      </c>
      <c r="I116" s="305" t="s">
        <v>658</v>
      </c>
      <c r="J116" s="305" t="s">
        <v>9008</v>
      </c>
      <c r="K116" s="119">
        <v>2394</v>
      </c>
      <c r="L116" s="119">
        <v>0</v>
      </c>
      <c r="M116" s="302">
        <v>50</v>
      </c>
      <c r="N116" s="303"/>
      <c r="O116" s="302">
        <v>34</v>
      </c>
      <c r="P116" s="302"/>
      <c r="Q116" s="303"/>
      <c r="R116" s="302">
        <f t="shared" si="1"/>
        <v>16</v>
      </c>
    </row>
    <row r="117" spans="1:18" ht="19.5" customHeight="1">
      <c r="A117" s="304" t="s">
        <v>5426</v>
      </c>
      <c r="B117" s="305" t="s">
        <v>750</v>
      </c>
      <c r="C117" s="305"/>
      <c r="D117" s="305"/>
      <c r="E117" s="305" t="s">
        <v>3819</v>
      </c>
      <c r="F117" s="305" t="s">
        <v>7628</v>
      </c>
      <c r="G117" s="305" t="s">
        <v>7011</v>
      </c>
      <c r="H117" s="305" t="s">
        <v>232</v>
      </c>
      <c r="I117" s="305" t="s">
        <v>11</v>
      </c>
      <c r="J117" s="305" t="s">
        <v>9014</v>
      </c>
      <c r="K117" s="119">
        <v>1554</v>
      </c>
      <c r="L117" s="119">
        <v>0</v>
      </c>
      <c r="M117" s="302">
        <v>250</v>
      </c>
      <c r="N117" s="303"/>
      <c r="O117" s="302">
        <v>20</v>
      </c>
      <c r="P117" s="302"/>
      <c r="Q117" s="303"/>
      <c r="R117" s="302">
        <f t="shared" si="1"/>
        <v>230</v>
      </c>
    </row>
    <row r="118" spans="1:18" ht="19.5" customHeight="1">
      <c r="A118" s="304" t="s">
        <v>5428</v>
      </c>
      <c r="B118" s="305" t="s">
        <v>750</v>
      </c>
      <c r="C118" s="305"/>
      <c r="D118" s="305"/>
      <c r="E118" s="305" t="s">
        <v>3822</v>
      </c>
      <c r="F118" s="305" t="s">
        <v>7630</v>
      </c>
      <c r="G118" s="305" t="s">
        <v>7011</v>
      </c>
      <c r="H118" s="305" t="s">
        <v>262</v>
      </c>
      <c r="I118" s="305" t="s">
        <v>11</v>
      </c>
      <c r="J118" s="305" t="s">
        <v>9014</v>
      </c>
      <c r="K118" s="119">
        <v>1869</v>
      </c>
      <c r="L118" s="119">
        <v>0</v>
      </c>
      <c r="M118" s="302">
        <v>50</v>
      </c>
      <c r="N118" s="303"/>
      <c r="O118" s="302">
        <v>50</v>
      </c>
      <c r="P118" s="302"/>
      <c r="Q118" s="303"/>
      <c r="R118" s="302">
        <f t="shared" si="1"/>
        <v>0</v>
      </c>
    </row>
    <row r="119" spans="1:18" ht="19.5" customHeight="1">
      <c r="A119" s="299" t="s">
        <v>5430</v>
      </c>
      <c r="B119" s="67" t="s">
        <v>1195</v>
      </c>
      <c r="C119" s="11"/>
      <c r="D119" s="11"/>
      <c r="E119" s="116" t="s">
        <v>1196</v>
      </c>
      <c r="F119" s="116" t="s">
        <v>1198</v>
      </c>
      <c r="G119" s="116" t="s">
        <v>352</v>
      </c>
      <c r="H119" s="116" t="s">
        <v>327</v>
      </c>
      <c r="I119" s="116" t="s">
        <v>11</v>
      </c>
      <c r="J119" s="116" t="s">
        <v>1197</v>
      </c>
      <c r="K119" s="63">
        <v>250</v>
      </c>
      <c r="L119" s="63">
        <v>38</v>
      </c>
      <c r="M119" s="63">
        <v>0</v>
      </c>
      <c r="N119" s="63"/>
      <c r="O119" s="63">
        <v>38</v>
      </c>
      <c r="P119" s="63"/>
      <c r="Q119" s="63"/>
      <c r="R119" s="302">
        <f t="shared" si="1"/>
        <v>0</v>
      </c>
    </row>
    <row r="120" spans="1:18" ht="19.5" customHeight="1">
      <c r="A120" s="2">
        <v>23</v>
      </c>
      <c r="B120" s="305" t="s">
        <v>624</v>
      </c>
      <c r="C120" s="305"/>
      <c r="D120" s="305"/>
      <c r="E120" s="305" t="s">
        <v>3825</v>
      </c>
      <c r="F120" s="305" t="s">
        <v>8276</v>
      </c>
      <c r="G120" s="305" t="s">
        <v>463</v>
      </c>
      <c r="H120" s="305" t="s">
        <v>625</v>
      </c>
      <c r="I120" s="305" t="s">
        <v>11</v>
      </c>
      <c r="J120" s="116" t="s">
        <v>1066</v>
      </c>
      <c r="K120" s="119">
        <v>380</v>
      </c>
      <c r="L120" s="119">
        <v>0</v>
      </c>
      <c r="M120" s="302">
        <v>10025</v>
      </c>
      <c r="N120" s="303"/>
      <c r="O120" s="302">
        <v>5061</v>
      </c>
      <c r="P120" s="302">
        <v>94</v>
      </c>
      <c r="Q120" s="303"/>
      <c r="R120" s="302">
        <f t="shared" si="1"/>
        <v>4964</v>
      </c>
    </row>
    <row r="121" spans="1:18" ht="19.5" customHeight="1">
      <c r="A121" s="299" t="s">
        <v>5432</v>
      </c>
      <c r="B121" s="305" t="s">
        <v>624</v>
      </c>
      <c r="C121" s="305"/>
      <c r="D121" s="305"/>
      <c r="E121" s="305" t="s">
        <v>3827</v>
      </c>
      <c r="F121" s="305" t="s">
        <v>8279</v>
      </c>
      <c r="G121" s="305" t="s">
        <v>463</v>
      </c>
      <c r="H121" s="305" t="s">
        <v>327</v>
      </c>
      <c r="I121" s="305" t="s">
        <v>11</v>
      </c>
      <c r="J121" s="116" t="s">
        <v>1066</v>
      </c>
      <c r="K121" s="119">
        <v>480</v>
      </c>
      <c r="L121" s="119">
        <v>0</v>
      </c>
      <c r="M121" s="302">
        <v>9000</v>
      </c>
      <c r="N121" s="303"/>
      <c r="O121" s="302">
        <v>95</v>
      </c>
      <c r="P121" s="302"/>
      <c r="Q121" s="303"/>
      <c r="R121" s="302">
        <f t="shared" si="1"/>
        <v>8905</v>
      </c>
    </row>
    <row r="122" spans="1:18" ht="19.5" customHeight="1">
      <c r="A122" s="304" t="s">
        <v>5436</v>
      </c>
      <c r="B122" s="11" t="s">
        <v>624</v>
      </c>
      <c r="C122" s="4"/>
      <c r="D122" s="4"/>
      <c r="E122" s="116" t="s">
        <v>1404</v>
      </c>
      <c r="F122" s="117" t="s">
        <v>1405</v>
      </c>
      <c r="G122" s="117" t="s">
        <v>1406</v>
      </c>
      <c r="H122" s="117" t="s">
        <v>625</v>
      </c>
      <c r="I122" s="117" t="s">
        <v>11</v>
      </c>
      <c r="J122" s="117" t="s">
        <v>1239</v>
      </c>
      <c r="K122" s="63">
        <v>2180</v>
      </c>
      <c r="L122" s="63">
        <v>596</v>
      </c>
      <c r="M122" s="63">
        <v>6</v>
      </c>
      <c r="N122" s="63"/>
      <c r="O122" s="63">
        <v>505</v>
      </c>
      <c r="P122" s="63"/>
      <c r="Q122" s="63"/>
      <c r="R122" s="302">
        <f t="shared" si="1"/>
        <v>97</v>
      </c>
    </row>
    <row r="123" spans="1:18" ht="19.5" customHeight="1">
      <c r="A123" s="304" t="s">
        <v>5441</v>
      </c>
      <c r="B123" s="305" t="s">
        <v>1096</v>
      </c>
      <c r="C123" s="305"/>
      <c r="D123" s="305"/>
      <c r="E123" s="305" t="s">
        <v>3831</v>
      </c>
      <c r="F123" s="305" t="s">
        <v>1099</v>
      </c>
      <c r="G123" s="305" t="s">
        <v>6532</v>
      </c>
      <c r="H123" s="305" t="s">
        <v>1098</v>
      </c>
      <c r="I123" s="305" t="s">
        <v>11</v>
      </c>
      <c r="J123" s="305" t="s">
        <v>1066</v>
      </c>
      <c r="K123" s="119">
        <v>1800</v>
      </c>
      <c r="L123" s="119"/>
      <c r="M123" s="302">
        <v>12000</v>
      </c>
      <c r="N123" s="303"/>
      <c r="O123" s="302">
        <v>6028</v>
      </c>
      <c r="P123" s="302"/>
      <c r="Q123" s="303"/>
      <c r="R123" s="302">
        <f t="shared" si="1"/>
        <v>5972</v>
      </c>
    </row>
    <row r="124" spans="1:18" ht="19.5" customHeight="1">
      <c r="A124" s="299" t="s">
        <v>5444</v>
      </c>
      <c r="B124" s="16" t="s">
        <v>11419</v>
      </c>
      <c r="C124" s="541"/>
      <c r="D124" s="541"/>
      <c r="E124" s="469" t="s">
        <v>3834</v>
      </c>
      <c r="F124" s="469" t="s">
        <v>11421</v>
      </c>
      <c r="G124" s="469" t="s">
        <v>11420</v>
      </c>
      <c r="H124" s="542" t="s">
        <v>238</v>
      </c>
      <c r="I124" s="469" t="s">
        <v>11</v>
      </c>
      <c r="J124" s="469" t="s">
        <v>859</v>
      </c>
      <c r="K124" s="466">
        <v>4150</v>
      </c>
      <c r="L124" s="543">
        <v>290</v>
      </c>
      <c r="M124" s="467">
        <v>0</v>
      </c>
      <c r="N124" s="468"/>
      <c r="O124" s="467">
        <v>130</v>
      </c>
      <c r="P124" s="543"/>
      <c r="Q124" s="543">
        <v>30</v>
      </c>
      <c r="R124" s="302">
        <f t="shared" si="1"/>
        <v>160</v>
      </c>
    </row>
    <row r="125" spans="1:18" ht="19.5" customHeight="1">
      <c r="A125" s="2">
        <v>24</v>
      </c>
      <c r="B125" s="309" t="s">
        <v>4610</v>
      </c>
      <c r="C125" s="309"/>
      <c r="D125" s="309"/>
      <c r="E125" s="309" t="s">
        <v>4609</v>
      </c>
      <c r="F125" s="309" t="s">
        <v>8700</v>
      </c>
      <c r="G125" s="309" t="s">
        <v>8701</v>
      </c>
      <c r="H125" s="309" t="s">
        <v>8698</v>
      </c>
      <c r="I125" s="309" t="s">
        <v>11</v>
      </c>
      <c r="J125" s="309" t="s">
        <v>8970</v>
      </c>
      <c r="K125" s="63">
        <v>1850</v>
      </c>
      <c r="L125" s="310">
        <v>0</v>
      </c>
      <c r="M125" s="302">
        <v>5000</v>
      </c>
      <c r="N125" s="303"/>
      <c r="O125" s="302">
        <v>60</v>
      </c>
      <c r="P125" s="302"/>
      <c r="Q125" s="303"/>
      <c r="R125" s="302">
        <f t="shared" si="1"/>
        <v>4940</v>
      </c>
    </row>
    <row r="126" spans="1:18" ht="19.5" customHeight="1">
      <c r="A126" s="299" t="s">
        <v>5448</v>
      </c>
      <c r="B126" s="309" t="s">
        <v>31</v>
      </c>
      <c r="C126" s="309"/>
      <c r="D126" s="309"/>
      <c r="E126" s="309" t="s">
        <v>30</v>
      </c>
      <c r="F126" s="309" t="s">
        <v>8562</v>
      </c>
      <c r="G126" s="309" t="s">
        <v>8563</v>
      </c>
      <c r="H126" s="309" t="s">
        <v>8560</v>
      </c>
      <c r="I126" s="309" t="s">
        <v>11</v>
      </c>
      <c r="J126" s="309" t="s">
        <v>9019</v>
      </c>
      <c r="K126" s="63">
        <v>1600</v>
      </c>
      <c r="L126" s="310"/>
      <c r="M126" s="302">
        <v>11000</v>
      </c>
      <c r="N126" s="303"/>
      <c r="O126" s="302">
        <v>1492</v>
      </c>
      <c r="P126" s="302"/>
      <c r="Q126" s="303"/>
      <c r="R126" s="302">
        <f t="shared" si="1"/>
        <v>9508</v>
      </c>
    </row>
    <row r="127" spans="1:18" ht="19.5" customHeight="1">
      <c r="A127" s="304" t="s">
        <v>5449</v>
      </c>
      <c r="B127" s="67" t="s">
        <v>2207</v>
      </c>
      <c r="C127" s="11"/>
      <c r="D127" s="11"/>
      <c r="E127" s="502" t="s">
        <v>33</v>
      </c>
      <c r="F127" s="502" t="s">
        <v>2209</v>
      </c>
      <c r="G127" s="502" t="s">
        <v>2210</v>
      </c>
      <c r="H127" s="502" t="s">
        <v>34</v>
      </c>
      <c r="I127" s="116" t="s">
        <v>13</v>
      </c>
      <c r="J127" s="502" t="s">
        <v>2208</v>
      </c>
      <c r="K127" s="63">
        <v>3650</v>
      </c>
      <c r="L127" s="63">
        <v>6879</v>
      </c>
      <c r="M127" s="63">
        <v>0</v>
      </c>
      <c r="N127" s="63"/>
      <c r="O127" s="63">
        <v>6879</v>
      </c>
      <c r="P127" s="63"/>
      <c r="Q127" s="63"/>
      <c r="R127" s="302">
        <f t="shared" si="1"/>
        <v>0</v>
      </c>
    </row>
    <row r="128" spans="1:18" ht="19.5" customHeight="1">
      <c r="A128" s="304" t="s">
        <v>5454</v>
      </c>
      <c r="B128" s="309" t="s">
        <v>8896</v>
      </c>
      <c r="C128" s="309"/>
      <c r="D128" s="309"/>
      <c r="E128" s="309" t="s">
        <v>4617</v>
      </c>
      <c r="F128" s="309" t="s">
        <v>8899</v>
      </c>
      <c r="G128" s="309" t="s">
        <v>8900</v>
      </c>
      <c r="H128" s="309" t="s">
        <v>8897</v>
      </c>
      <c r="I128" s="309" t="s">
        <v>658</v>
      </c>
      <c r="J128" s="309" t="s">
        <v>9025</v>
      </c>
      <c r="K128" s="63">
        <v>56900</v>
      </c>
      <c r="L128" s="310">
        <v>0</v>
      </c>
      <c r="M128" s="302">
        <v>300</v>
      </c>
      <c r="N128" s="303"/>
      <c r="O128" s="302">
        <v>91</v>
      </c>
      <c r="P128" s="302"/>
      <c r="Q128" s="303"/>
      <c r="R128" s="302">
        <f t="shared" si="1"/>
        <v>209</v>
      </c>
    </row>
    <row r="129" spans="1:18" ht="19.5" customHeight="1">
      <c r="A129" s="299" t="s">
        <v>5456</v>
      </c>
      <c r="B129" s="307" t="s">
        <v>368</v>
      </c>
      <c r="C129" s="307"/>
      <c r="D129" s="307"/>
      <c r="E129" s="116" t="s">
        <v>368</v>
      </c>
      <c r="F129" s="116" t="s">
        <v>370</v>
      </c>
      <c r="G129" s="116" t="s">
        <v>360</v>
      </c>
      <c r="H129" s="116" t="s">
        <v>369</v>
      </c>
      <c r="I129" s="531" t="s">
        <v>10</v>
      </c>
      <c r="J129" s="116" t="s">
        <v>642</v>
      </c>
      <c r="K129" s="118">
        <v>34</v>
      </c>
      <c r="L129" s="308">
        <v>13580</v>
      </c>
      <c r="M129" s="302">
        <f>2400+6+8400+20018+30000</f>
        <v>60824</v>
      </c>
      <c r="N129" s="303"/>
      <c r="O129" s="302">
        <f>2000+13586+19845+25798</f>
        <v>61229</v>
      </c>
      <c r="P129" s="302">
        <v>100</v>
      </c>
      <c r="Q129" s="303"/>
      <c r="R129" s="302">
        <f t="shared" si="1"/>
        <v>13175</v>
      </c>
    </row>
    <row r="130" spans="1:18" ht="19.5" customHeight="1">
      <c r="A130" s="2">
        <v>25</v>
      </c>
      <c r="B130" s="11" t="s">
        <v>1060</v>
      </c>
      <c r="C130" s="11"/>
      <c r="D130" s="11"/>
      <c r="E130" s="116" t="s">
        <v>1061</v>
      </c>
      <c r="F130" s="116" t="s">
        <v>1063</v>
      </c>
      <c r="G130" s="116" t="s">
        <v>336</v>
      </c>
      <c r="H130" s="116" t="s">
        <v>1062</v>
      </c>
      <c r="I130" s="116" t="s">
        <v>10</v>
      </c>
      <c r="J130" s="116" t="s">
        <v>859</v>
      </c>
      <c r="K130" s="63">
        <v>38</v>
      </c>
      <c r="L130" s="63">
        <f>650+6600+390+1385</f>
        <v>9025</v>
      </c>
      <c r="M130" s="63">
        <v>0</v>
      </c>
      <c r="N130" s="63"/>
      <c r="O130" s="63">
        <f>650+3790+390+1033</f>
        <v>5863</v>
      </c>
      <c r="P130" s="63"/>
      <c r="Q130" s="63"/>
      <c r="R130" s="302">
        <f t="shared" si="1"/>
        <v>3162</v>
      </c>
    </row>
    <row r="131" spans="1:18" ht="19.5" customHeight="1">
      <c r="A131" s="299" t="s">
        <v>5458</v>
      </c>
      <c r="B131" s="305" t="s">
        <v>695</v>
      </c>
      <c r="C131" s="305"/>
      <c r="D131" s="305"/>
      <c r="E131" s="305" t="s">
        <v>3552</v>
      </c>
      <c r="F131" s="305" t="s">
        <v>6963</v>
      </c>
      <c r="G131" s="305" t="s">
        <v>336</v>
      </c>
      <c r="H131" s="305" t="s">
        <v>390</v>
      </c>
      <c r="I131" s="305" t="s">
        <v>11</v>
      </c>
      <c r="J131" s="116" t="s">
        <v>859</v>
      </c>
      <c r="K131" s="119">
        <v>49</v>
      </c>
      <c r="L131" s="119"/>
      <c r="M131" s="302">
        <v>7600</v>
      </c>
      <c r="N131" s="303"/>
      <c r="O131" s="302">
        <v>1000</v>
      </c>
      <c r="P131" s="302"/>
      <c r="Q131" s="303"/>
      <c r="R131" s="302">
        <f t="shared" si="1"/>
        <v>6600</v>
      </c>
    </row>
    <row r="132" spans="1:18">
      <c r="A132" s="304" t="s">
        <v>5462</v>
      </c>
      <c r="B132" s="64" t="s">
        <v>368</v>
      </c>
      <c r="C132" s="64"/>
      <c r="D132" s="64"/>
      <c r="E132" s="116" t="s">
        <v>453</v>
      </c>
      <c r="F132" s="116" t="s">
        <v>454</v>
      </c>
      <c r="G132" s="116" t="s">
        <v>455</v>
      </c>
      <c r="H132" s="116" t="s">
        <v>369</v>
      </c>
      <c r="I132" s="116" t="s">
        <v>10</v>
      </c>
      <c r="J132" s="116" t="s">
        <v>647</v>
      </c>
      <c r="K132" s="63">
        <v>786</v>
      </c>
      <c r="L132" s="63">
        <v>59</v>
      </c>
      <c r="M132" s="63">
        <v>9</v>
      </c>
      <c r="N132" s="63"/>
      <c r="O132" s="63">
        <v>68</v>
      </c>
      <c r="P132" s="63"/>
      <c r="Q132" s="63"/>
      <c r="R132" s="302">
        <f t="shared" si="1"/>
        <v>0</v>
      </c>
    </row>
    <row r="133" spans="1:18" ht="19.5" customHeight="1">
      <c r="A133" s="304" t="s">
        <v>5464</v>
      </c>
      <c r="B133" s="305" t="s">
        <v>695</v>
      </c>
      <c r="C133" s="305"/>
      <c r="D133" s="305"/>
      <c r="E133" s="305" t="s">
        <v>3838</v>
      </c>
      <c r="F133" s="305" t="s">
        <v>6942</v>
      </c>
      <c r="G133" s="305" t="s">
        <v>621</v>
      </c>
      <c r="H133" s="305" t="s">
        <v>2474</v>
      </c>
      <c r="I133" s="305" t="s">
        <v>15</v>
      </c>
      <c r="J133" s="305" t="s">
        <v>9002</v>
      </c>
      <c r="K133" s="119">
        <v>9345</v>
      </c>
      <c r="L133" s="119">
        <v>0</v>
      </c>
      <c r="M133" s="302">
        <v>250</v>
      </c>
      <c r="N133" s="303"/>
      <c r="O133" s="302">
        <v>104</v>
      </c>
      <c r="P133" s="302"/>
      <c r="Q133" s="303"/>
      <c r="R133" s="302">
        <f t="shared" si="1"/>
        <v>146</v>
      </c>
    </row>
    <row r="134" spans="1:18" ht="19.5" customHeight="1">
      <c r="A134" s="299" t="s">
        <v>5466</v>
      </c>
      <c r="B134" s="64" t="s">
        <v>280</v>
      </c>
      <c r="C134" s="64"/>
      <c r="D134" s="64"/>
      <c r="E134" s="116" t="s">
        <v>281</v>
      </c>
      <c r="F134" s="116" t="s">
        <v>284</v>
      </c>
      <c r="G134" s="116" t="s">
        <v>285</v>
      </c>
      <c r="H134" s="116" t="s">
        <v>282</v>
      </c>
      <c r="I134" s="116" t="s">
        <v>520</v>
      </c>
      <c r="J134" s="116" t="s">
        <v>283</v>
      </c>
      <c r="K134" s="63">
        <v>37360</v>
      </c>
      <c r="L134" s="63">
        <v>15</v>
      </c>
      <c r="M134" s="63">
        <v>0</v>
      </c>
      <c r="N134" s="63"/>
      <c r="O134" s="63">
        <v>15</v>
      </c>
      <c r="P134" s="63">
        <v>15</v>
      </c>
      <c r="Q134" s="63"/>
      <c r="R134" s="302">
        <f t="shared" si="1"/>
        <v>0</v>
      </c>
    </row>
    <row r="135" spans="1:18" ht="19.5" customHeight="1">
      <c r="A135" s="2">
        <v>26</v>
      </c>
      <c r="B135" s="116" t="s">
        <v>515</v>
      </c>
      <c r="C135" s="116"/>
      <c r="D135" s="116"/>
      <c r="E135" s="116" t="s">
        <v>516</v>
      </c>
      <c r="F135" s="116" t="s">
        <v>518</v>
      </c>
      <c r="G135" s="116" t="s">
        <v>519</v>
      </c>
      <c r="H135" s="116" t="s">
        <v>517</v>
      </c>
      <c r="I135" s="116" t="s">
        <v>520</v>
      </c>
      <c r="J135" s="116" t="s">
        <v>241</v>
      </c>
      <c r="K135" s="124">
        <v>8376</v>
      </c>
      <c r="L135" s="313">
        <v>0</v>
      </c>
      <c r="M135" s="302">
        <v>800</v>
      </c>
      <c r="N135" s="303"/>
      <c r="O135" s="302">
        <v>374</v>
      </c>
      <c r="P135" s="302">
        <v>10</v>
      </c>
      <c r="Q135" s="303"/>
      <c r="R135" s="302">
        <f t="shared" si="1"/>
        <v>426</v>
      </c>
    </row>
    <row r="136" spans="1:18" ht="19.5" customHeight="1">
      <c r="A136" s="299" t="s">
        <v>5467</v>
      </c>
      <c r="B136" s="64" t="s">
        <v>515</v>
      </c>
      <c r="C136" s="64"/>
      <c r="D136" s="64"/>
      <c r="E136" s="116" t="s">
        <v>521</v>
      </c>
      <c r="F136" s="116" t="s">
        <v>522</v>
      </c>
      <c r="G136" s="116" t="s">
        <v>523</v>
      </c>
      <c r="H136" s="116" t="s">
        <v>238</v>
      </c>
      <c r="I136" s="116" t="s">
        <v>10</v>
      </c>
      <c r="J136" s="116" t="s">
        <v>1291</v>
      </c>
      <c r="K136" s="63">
        <v>1120</v>
      </c>
      <c r="L136" s="63">
        <v>2321</v>
      </c>
      <c r="M136" s="63"/>
      <c r="N136" s="63"/>
      <c r="O136" s="63">
        <v>2321</v>
      </c>
      <c r="P136" s="63">
        <v>30</v>
      </c>
      <c r="Q136" s="63"/>
      <c r="R136" s="302">
        <f t="shared" si="1"/>
        <v>0</v>
      </c>
    </row>
    <row r="137" spans="1:18" ht="19.5" customHeight="1">
      <c r="A137" s="304" t="s">
        <v>5468</v>
      </c>
      <c r="B137" s="307" t="s">
        <v>515</v>
      </c>
      <c r="C137" s="307"/>
      <c r="D137" s="307"/>
      <c r="E137" s="116" t="s">
        <v>521</v>
      </c>
      <c r="F137" s="116" t="s">
        <v>522</v>
      </c>
      <c r="G137" s="116" t="s">
        <v>523</v>
      </c>
      <c r="H137" s="116" t="s">
        <v>238</v>
      </c>
      <c r="I137" s="531" t="s">
        <v>10</v>
      </c>
      <c r="J137" s="116" t="s">
        <v>8963</v>
      </c>
      <c r="K137" s="118">
        <v>1120</v>
      </c>
      <c r="L137" s="308"/>
      <c r="M137" s="302">
        <v>6706</v>
      </c>
      <c r="N137" s="303"/>
      <c r="O137" s="302">
        <v>4240</v>
      </c>
      <c r="P137" s="302"/>
      <c r="Q137" s="303"/>
      <c r="R137" s="302">
        <f t="shared" si="1"/>
        <v>2466</v>
      </c>
    </row>
    <row r="138" spans="1:18" ht="19.5" customHeight="1">
      <c r="A138" s="304" t="s">
        <v>5470</v>
      </c>
      <c r="B138" s="67" t="s">
        <v>1961</v>
      </c>
      <c r="C138" s="11"/>
      <c r="D138" s="11"/>
      <c r="E138" s="116" t="s">
        <v>1962</v>
      </c>
      <c r="F138" s="116" t="s">
        <v>1964</v>
      </c>
      <c r="G138" s="116" t="s">
        <v>1946</v>
      </c>
      <c r="H138" s="116" t="s">
        <v>1963</v>
      </c>
      <c r="I138" s="116" t="s">
        <v>16</v>
      </c>
      <c r="J138" s="116" t="s">
        <v>839</v>
      </c>
      <c r="K138" s="63">
        <v>1197</v>
      </c>
      <c r="L138" s="63">
        <v>20749</v>
      </c>
      <c r="M138" s="63">
        <f>6480+12</f>
        <v>6492</v>
      </c>
      <c r="N138" s="63"/>
      <c r="O138" s="63">
        <f>20592+6480</f>
        <v>27072</v>
      </c>
      <c r="P138" s="63">
        <v>960</v>
      </c>
      <c r="Q138" s="63"/>
      <c r="R138" s="302">
        <f t="shared" ref="R138:R201" si="2">L138+M138-O138</f>
        <v>169</v>
      </c>
    </row>
    <row r="139" spans="1:18" ht="19.5" customHeight="1">
      <c r="A139" s="299" t="s">
        <v>5471</v>
      </c>
      <c r="B139" s="305" t="s">
        <v>1961</v>
      </c>
      <c r="C139" s="305"/>
      <c r="D139" s="305"/>
      <c r="E139" s="305" t="s">
        <v>1962</v>
      </c>
      <c r="F139" s="305" t="s">
        <v>1964</v>
      </c>
      <c r="G139" s="305" t="s">
        <v>1946</v>
      </c>
      <c r="H139" s="305" t="s">
        <v>1963</v>
      </c>
      <c r="I139" s="305" t="s">
        <v>11</v>
      </c>
      <c r="J139" s="305" t="s">
        <v>3287</v>
      </c>
      <c r="K139" s="119">
        <v>1197</v>
      </c>
      <c r="L139" s="119"/>
      <c r="M139" s="302">
        <v>18000</v>
      </c>
      <c r="N139" s="303"/>
      <c r="O139" s="302">
        <v>5728</v>
      </c>
      <c r="P139" s="302"/>
      <c r="Q139" s="303"/>
      <c r="R139" s="302">
        <f t="shared" si="2"/>
        <v>12272</v>
      </c>
    </row>
    <row r="140" spans="1:18" ht="19.5" customHeight="1">
      <c r="A140" s="2">
        <v>27</v>
      </c>
      <c r="B140" s="65" t="s">
        <v>1697</v>
      </c>
      <c r="C140" s="11"/>
      <c r="D140" s="11"/>
      <c r="E140" s="504" t="s">
        <v>1697</v>
      </c>
      <c r="F140" s="117" t="s">
        <v>3135</v>
      </c>
      <c r="G140" s="117" t="s">
        <v>3136</v>
      </c>
      <c r="H140" s="504" t="s">
        <v>2518</v>
      </c>
      <c r="I140" s="117" t="s">
        <v>11</v>
      </c>
      <c r="J140" s="117" t="s">
        <v>3137</v>
      </c>
      <c r="K140" s="63">
        <v>368</v>
      </c>
      <c r="L140" s="63">
        <v>22243</v>
      </c>
      <c r="M140" s="63">
        <v>0</v>
      </c>
      <c r="N140" s="63"/>
      <c r="O140" s="63">
        <v>12276</v>
      </c>
      <c r="P140" s="63"/>
      <c r="Q140" s="63"/>
      <c r="R140" s="302">
        <f t="shared" si="2"/>
        <v>9967</v>
      </c>
    </row>
    <row r="141" spans="1:18" ht="19.5" customHeight="1">
      <c r="A141" s="299" t="s">
        <v>5473</v>
      </c>
      <c r="B141" s="11" t="s">
        <v>1470</v>
      </c>
      <c r="C141" s="4"/>
      <c r="D141" s="4"/>
      <c r="E141" s="544" t="s">
        <v>4992</v>
      </c>
      <c r="F141" s="117" t="s">
        <v>1474</v>
      </c>
      <c r="G141" s="117" t="s">
        <v>1475</v>
      </c>
      <c r="H141" s="117" t="s">
        <v>1472</v>
      </c>
      <c r="I141" s="117" t="s">
        <v>1476</v>
      </c>
      <c r="J141" s="117" t="s">
        <v>1473</v>
      </c>
      <c r="K141" s="63">
        <v>13860</v>
      </c>
      <c r="L141" s="63">
        <v>91</v>
      </c>
      <c r="M141" s="63"/>
      <c r="N141" s="63"/>
      <c r="O141" s="63">
        <v>4</v>
      </c>
      <c r="P141" s="63"/>
      <c r="Q141" s="63"/>
      <c r="R141" s="302">
        <f t="shared" si="2"/>
        <v>87</v>
      </c>
    </row>
    <row r="142" spans="1:18" ht="25.5">
      <c r="A142" s="304" t="s">
        <v>5476</v>
      </c>
      <c r="B142" s="305" t="s">
        <v>1514</v>
      </c>
      <c r="C142" s="305"/>
      <c r="D142" s="305"/>
      <c r="E142" s="305" t="s">
        <v>4997</v>
      </c>
      <c r="F142" s="305" t="s">
        <v>7088</v>
      </c>
      <c r="G142" s="305" t="s">
        <v>1946</v>
      </c>
      <c r="H142" s="305" t="s">
        <v>4999</v>
      </c>
      <c r="I142" s="305" t="s">
        <v>11</v>
      </c>
      <c r="J142" s="305" t="s">
        <v>3287</v>
      </c>
      <c r="K142" s="119">
        <v>1785</v>
      </c>
      <c r="L142" s="119"/>
      <c r="M142" s="302">
        <f>2220+9996+31980+2196</f>
        <v>46392</v>
      </c>
      <c r="N142" s="303"/>
      <c r="O142" s="302">
        <f>2196+4656+8720+2220</f>
        <v>17792</v>
      </c>
      <c r="P142" s="302"/>
      <c r="Q142" s="303"/>
      <c r="R142" s="302">
        <f t="shared" si="2"/>
        <v>28600</v>
      </c>
    </row>
    <row r="143" spans="1:18" ht="19.5" customHeight="1">
      <c r="A143" s="304" t="s">
        <v>5478</v>
      </c>
      <c r="B143" s="305" t="s">
        <v>1514</v>
      </c>
      <c r="C143" s="305"/>
      <c r="D143" s="305"/>
      <c r="E143" s="305" t="s">
        <v>5001</v>
      </c>
      <c r="F143" s="305" t="s">
        <v>6514</v>
      </c>
      <c r="G143" s="305" t="s">
        <v>6515</v>
      </c>
      <c r="H143" s="305" t="s">
        <v>1959</v>
      </c>
      <c r="I143" s="305" t="s">
        <v>11</v>
      </c>
      <c r="J143" s="305" t="s">
        <v>3287</v>
      </c>
      <c r="K143" s="119">
        <v>3500</v>
      </c>
      <c r="L143" s="119">
        <v>0</v>
      </c>
      <c r="M143" s="302">
        <f>1400+2900</f>
        <v>4300</v>
      </c>
      <c r="N143" s="303"/>
      <c r="O143" s="302">
        <f>1400+2240</f>
        <v>3640</v>
      </c>
      <c r="P143" s="302">
        <v>140</v>
      </c>
      <c r="Q143" s="303"/>
      <c r="R143" s="302">
        <f t="shared" si="2"/>
        <v>660</v>
      </c>
    </row>
    <row r="144" spans="1:18" ht="19.5" customHeight="1">
      <c r="A144" s="299" t="s">
        <v>5479</v>
      </c>
      <c r="B144" s="305" t="s">
        <v>702</v>
      </c>
      <c r="C144" s="305"/>
      <c r="D144" s="305"/>
      <c r="E144" s="305" t="s">
        <v>5004</v>
      </c>
      <c r="F144" s="305" t="s">
        <v>7106</v>
      </c>
      <c r="G144" s="305" t="s">
        <v>7107</v>
      </c>
      <c r="H144" s="305" t="s">
        <v>225</v>
      </c>
      <c r="I144" s="305" t="s">
        <v>11</v>
      </c>
      <c r="J144" s="305" t="s">
        <v>1872</v>
      </c>
      <c r="K144" s="119">
        <v>2150</v>
      </c>
      <c r="L144" s="119">
        <v>0</v>
      </c>
      <c r="M144" s="302">
        <v>5000</v>
      </c>
      <c r="N144" s="303"/>
      <c r="O144" s="302">
        <v>3000</v>
      </c>
      <c r="P144" s="302"/>
      <c r="Q144" s="303"/>
      <c r="R144" s="302">
        <f t="shared" si="2"/>
        <v>2000</v>
      </c>
    </row>
    <row r="145" spans="1:18" ht="19.5" customHeight="1">
      <c r="A145" s="2">
        <v>28</v>
      </c>
      <c r="B145" s="11" t="s">
        <v>36</v>
      </c>
      <c r="C145" s="11"/>
      <c r="D145" s="11"/>
      <c r="E145" s="507" t="s">
        <v>35</v>
      </c>
      <c r="F145" s="116" t="s">
        <v>2414</v>
      </c>
      <c r="G145" s="526" t="s">
        <v>2413</v>
      </c>
      <c r="H145" s="116" t="s">
        <v>37</v>
      </c>
      <c r="I145" s="116" t="s">
        <v>10</v>
      </c>
      <c r="J145" s="507" t="s">
        <v>541</v>
      </c>
      <c r="K145" s="63">
        <v>3045</v>
      </c>
      <c r="L145" s="63">
        <v>8500</v>
      </c>
      <c r="M145" s="63">
        <v>0</v>
      </c>
      <c r="N145" s="63"/>
      <c r="O145" s="63">
        <v>8500</v>
      </c>
      <c r="P145" s="63"/>
      <c r="Q145" s="63"/>
      <c r="R145" s="302">
        <f t="shared" si="2"/>
        <v>0</v>
      </c>
    </row>
    <row r="146" spans="1:18" ht="19.5" customHeight="1">
      <c r="A146" s="299" t="s">
        <v>5482</v>
      </c>
      <c r="B146" s="67" t="s">
        <v>39</v>
      </c>
      <c r="C146" s="11"/>
      <c r="D146" s="11"/>
      <c r="E146" s="116" t="s">
        <v>38</v>
      </c>
      <c r="F146" s="116" t="s">
        <v>2265</v>
      </c>
      <c r="G146" s="116" t="s">
        <v>2253</v>
      </c>
      <c r="H146" s="116" t="s">
        <v>2264</v>
      </c>
      <c r="I146" s="116" t="s">
        <v>16</v>
      </c>
      <c r="J146" s="116" t="s">
        <v>1715</v>
      </c>
      <c r="K146" s="63">
        <v>1150</v>
      </c>
      <c r="L146" s="63">
        <v>0</v>
      </c>
      <c r="M146" s="63">
        <v>11200</v>
      </c>
      <c r="N146" s="63"/>
      <c r="O146" s="63">
        <v>4349</v>
      </c>
      <c r="P146" s="63"/>
      <c r="Q146" s="63"/>
      <c r="R146" s="302">
        <f t="shared" si="2"/>
        <v>6851</v>
      </c>
    </row>
    <row r="147" spans="1:18" ht="19.5" customHeight="1">
      <c r="A147" s="304" t="s">
        <v>5486</v>
      </c>
      <c r="B147" s="16" t="s">
        <v>11422</v>
      </c>
      <c r="C147" s="541"/>
      <c r="D147" s="541"/>
      <c r="E147" s="469" t="s">
        <v>3841</v>
      </c>
      <c r="F147" s="469" t="s">
        <v>11423</v>
      </c>
      <c r="G147" s="469" t="s">
        <v>707</v>
      </c>
      <c r="H147" s="542" t="s">
        <v>390</v>
      </c>
      <c r="I147" s="469" t="s">
        <v>10</v>
      </c>
      <c r="J147" s="469" t="s">
        <v>859</v>
      </c>
      <c r="K147" s="466">
        <v>2180</v>
      </c>
      <c r="L147" s="543">
        <v>2293</v>
      </c>
      <c r="M147" s="467">
        <v>0</v>
      </c>
      <c r="N147" s="468"/>
      <c r="O147" s="467">
        <v>2293</v>
      </c>
      <c r="P147" s="543"/>
      <c r="Q147" s="543"/>
      <c r="R147" s="302">
        <f t="shared" si="2"/>
        <v>0</v>
      </c>
    </row>
    <row r="148" spans="1:18" ht="19.5" customHeight="1">
      <c r="A148" s="304" t="s">
        <v>5489</v>
      </c>
      <c r="B148" s="305" t="s">
        <v>706</v>
      </c>
      <c r="C148" s="305"/>
      <c r="D148" s="305"/>
      <c r="E148" s="305" t="s">
        <v>3843</v>
      </c>
      <c r="F148" s="305" t="s">
        <v>7669</v>
      </c>
      <c r="G148" s="305" t="s">
        <v>7670</v>
      </c>
      <c r="H148" s="305" t="s">
        <v>390</v>
      </c>
      <c r="I148" s="305" t="s">
        <v>11</v>
      </c>
      <c r="J148" s="116" t="s">
        <v>859</v>
      </c>
      <c r="K148" s="119">
        <v>1533</v>
      </c>
      <c r="L148" s="119"/>
      <c r="M148" s="302">
        <v>9990</v>
      </c>
      <c r="N148" s="303"/>
      <c r="O148" s="302">
        <v>9990</v>
      </c>
      <c r="P148" s="302"/>
      <c r="Q148" s="303"/>
      <c r="R148" s="302">
        <f t="shared" si="2"/>
        <v>0</v>
      </c>
    </row>
    <row r="149" spans="1:18" ht="19.5" customHeight="1">
      <c r="A149" s="299" t="s">
        <v>5490</v>
      </c>
      <c r="B149" s="67" t="s">
        <v>976</v>
      </c>
      <c r="C149" s="11"/>
      <c r="D149" s="11"/>
      <c r="E149" s="502" t="s">
        <v>977</v>
      </c>
      <c r="F149" s="502" t="s">
        <v>978</v>
      </c>
      <c r="G149" s="502" t="s">
        <v>979</v>
      </c>
      <c r="H149" s="502" t="s">
        <v>222</v>
      </c>
      <c r="I149" s="502" t="s">
        <v>10</v>
      </c>
      <c r="J149" s="502" t="s">
        <v>626</v>
      </c>
      <c r="K149" s="63">
        <v>1425</v>
      </c>
      <c r="L149" s="63">
        <v>123</v>
      </c>
      <c r="M149" s="63">
        <v>0</v>
      </c>
      <c r="N149" s="63"/>
      <c r="O149" s="63">
        <v>123</v>
      </c>
      <c r="P149" s="63"/>
      <c r="Q149" s="63"/>
      <c r="R149" s="302">
        <f t="shared" si="2"/>
        <v>0</v>
      </c>
    </row>
    <row r="150" spans="1:18" ht="19.5" customHeight="1">
      <c r="A150" s="2">
        <v>29</v>
      </c>
      <c r="B150" s="67" t="s">
        <v>976</v>
      </c>
      <c r="C150" s="11"/>
      <c r="D150" s="11"/>
      <c r="E150" s="502" t="s">
        <v>980</v>
      </c>
      <c r="F150" s="502" t="s">
        <v>981</v>
      </c>
      <c r="G150" s="502" t="s">
        <v>979</v>
      </c>
      <c r="H150" s="502" t="s">
        <v>390</v>
      </c>
      <c r="I150" s="502" t="s">
        <v>10</v>
      </c>
      <c r="J150" s="502" t="s">
        <v>626</v>
      </c>
      <c r="K150" s="63">
        <v>2341</v>
      </c>
      <c r="L150" s="63">
        <v>122</v>
      </c>
      <c r="M150" s="63">
        <v>2</v>
      </c>
      <c r="N150" s="63"/>
      <c r="O150" s="63">
        <v>124</v>
      </c>
      <c r="P150" s="63"/>
      <c r="Q150" s="63"/>
      <c r="R150" s="302">
        <f t="shared" si="2"/>
        <v>0</v>
      </c>
    </row>
    <row r="151" spans="1:18" ht="19.5" customHeight="1">
      <c r="A151" s="299" t="s">
        <v>5494</v>
      </c>
      <c r="B151" s="305" t="s">
        <v>583</v>
      </c>
      <c r="C151" s="305"/>
      <c r="D151" s="305"/>
      <c r="E151" s="305" t="s">
        <v>3847</v>
      </c>
      <c r="F151" s="305" t="s">
        <v>6373</v>
      </c>
      <c r="G151" s="305" t="s">
        <v>979</v>
      </c>
      <c r="H151" s="305" t="s">
        <v>390</v>
      </c>
      <c r="I151" s="305" t="s">
        <v>11</v>
      </c>
      <c r="J151" s="116" t="s">
        <v>859</v>
      </c>
      <c r="K151" s="119">
        <v>2754</v>
      </c>
      <c r="L151" s="119">
        <v>0</v>
      </c>
      <c r="M151" s="302">
        <v>12000</v>
      </c>
      <c r="N151" s="303"/>
      <c r="O151" s="302"/>
      <c r="P151" s="302"/>
      <c r="Q151" s="303"/>
      <c r="R151" s="302">
        <f t="shared" si="2"/>
        <v>12000</v>
      </c>
    </row>
    <row r="152" spans="1:18" ht="19.5" customHeight="1">
      <c r="A152" s="304" t="s">
        <v>5495</v>
      </c>
      <c r="B152" s="11" t="s">
        <v>2233</v>
      </c>
      <c r="C152" s="11"/>
      <c r="D152" s="11"/>
      <c r="E152" s="116" t="s">
        <v>48</v>
      </c>
      <c r="F152" s="116" t="s">
        <v>2235</v>
      </c>
      <c r="G152" s="116" t="s">
        <v>2774</v>
      </c>
      <c r="H152" s="116" t="s">
        <v>49</v>
      </c>
      <c r="I152" s="116" t="s">
        <v>50</v>
      </c>
      <c r="J152" s="116" t="s">
        <v>2775</v>
      </c>
      <c r="K152" s="63">
        <v>54000</v>
      </c>
      <c r="L152" s="63">
        <v>395</v>
      </c>
      <c r="M152" s="63">
        <v>0</v>
      </c>
      <c r="N152" s="63"/>
      <c r="O152" s="63">
        <v>395</v>
      </c>
      <c r="P152" s="63"/>
      <c r="Q152" s="63"/>
      <c r="R152" s="302">
        <f t="shared" si="2"/>
        <v>0</v>
      </c>
    </row>
    <row r="153" spans="1:18" ht="19.5" customHeight="1">
      <c r="A153" s="304" t="s">
        <v>5499</v>
      </c>
      <c r="B153" s="67" t="s">
        <v>2237</v>
      </c>
      <c r="C153" s="11"/>
      <c r="D153" s="11"/>
      <c r="E153" s="116" t="s">
        <v>51</v>
      </c>
      <c r="F153" s="116" t="s">
        <v>2238</v>
      </c>
      <c r="G153" s="116" t="s">
        <v>2774</v>
      </c>
      <c r="H153" s="116" t="s">
        <v>53</v>
      </c>
      <c r="I153" s="116" t="s">
        <v>50</v>
      </c>
      <c r="J153" s="116" t="s">
        <v>2775</v>
      </c>
      <c r="K153" s="63">
        <v>60000</v>
      </c>
      <c r="L153" s="63">
        <v>897</v>
      </c>
      <c r="M153" s="63">
        <v>0</v>
      </c>
      <c r="N153" s="63"/>
      <c r="O153" s="63">
        <v>404</v>
      </c>
      <c r="P153" s="63"/>
      <c r="Q153" s="63"/>
      <c r="R153" s="302">
        <f t="shared" si="2"/>
        <v>493</v>
      </c>
    </row>
    <row r="154" spans="1:18" ht="19.5" customHeight="1">
      <c r="A154" s="299" t="s">
        <v>5501</v>
      </c>
      <c r="B154" s="309" t="s">
        <v>55</v>
      </c>
      <c r="C154" s="309"/>
      <c r="D154" s="309"/>
      <c r="E154" s="309" t="s">
        <v>54</v>
      </c>
      <c r="F154" s="309" t="s">
        <v>2271</v>
      </c>
      <c r="G154" s="309" t="s">
        <v>2253</v>
      </c>
      <c r="H154" s="309" t="s">
        <v>56</v>
      </c>
      <c r="I154" s="309" t="s">
        <v>15</v>
      </c>
      <c r="J154" s="309" t="s">
        <v>9025</v>
      </c>
      <c r="K154" s="63">
        <v>31000</v>
      </c>
      <c r="L154" s="310">
        <v>0</v>
      </c>
      <c r="M154" s="302">
        <v>300</v>
      </c>
      <c r="N154" s="303"/>
      <c r="O154" s="302">
        <v>300</v>
      </c>
      <c r="P154" s="302"/>
      <c r="Q154" s="303"/>
      <c r="R154" s="302">
        <f t="shared" si="2"/>
        <v>0</v>
      </c>
    </row>
    <row r="155" spans="1:18" ht="19.5" customHeight="1">
      <c r="A155" s="2">
        <v>30</v>
      </c>
      <c r="B155" s="11" t="s">
        <v>882</v>
      </c>
      <c r="C155" s="11"/>
      <c r="D155" s="11"/>
      <c r="E155" s="116" t="s">
        <v>1739</v>
      </c>
      <c r="F155" s="116" t="s">
        <v>1740</v>
      </c>
      <c r="G155" s="116" t="s">
        <v>1741</v>
      </c>
      <c r="H155" s="116" t="s">
        <v>1580</v>
      </c>
      <c r="I155" s="116" t="s">
        <v>11</v>
      </c>
      <c r="J155" s="116" t="s">
        <v>1736</v>
      </c>
      <c r="K155" s="63">
        <v>1545</v>
      </c>
      <c r="L155" s="63">
        <v>320</v>
      </c>
      <c r="M155" s="63">
        <v>3</v>
      </c>
      <c r="N155" s="63"/>
      <c r="O155" s="63">
        <v>323</v>
      </c>
      <c r="P155" s="63"/>
      <c r="Q155" s="63"/>
      <c r="R155" s="302">
        <f t="shared" si="2"/>
        <v>0</v>
      </c>
    </row>
    <row r="156" spans="1:18" ht="19.5" customHeight="1">
      <c r="A156" s="299" t="s">
        <v>5503</v>
      </c>
      <c r="B156" s="305" t="s">
        <v>1965</v>
      </c>
      <c r="C156" s="305"/>
      <c r="D156" s="305"/>
      <c r="E156" s="305" t="s">
        <v>3850</v>
      </c>
      <c r="F156" s="305" t="s">
        <v>7676</v>
      </c>
      <c r="G156" s="305" t="s">
        <v>1946</v>
      </c>
      <c r="H156" s="305" t="s">
        <v>1967</v>
      </c>
      <c r="I156" s="305" t="s">
        <v>11</v>
      </c>
      <c r="J156" s="116" t="s">
        <v>859</v>
      </c>
      <c r="K156" s="119">
        <v>599</v>
      </c>
      <c r="L156" s="119">
        <v>0</v>
      </c>
      <c r="M156" s="302">
        <v>4501</v>
      </c>
      <c r="N156" s="303"/>
      <c r="O156" s="302">
        <v>890</v>
      </c>
      <c r="P156" s="302"/>
      <c r="Q156" s="303"/>
      <c r="R156" s="302">
        <f t="shared" si="2"/>
        <v>3611</v>
      </c>
    </row>
    <row r="157" spans="1:18" ht="19.5" customHeight="1">
      <c r="A157" s="304" t="s">
        <v>5506</v>
      </c>
      <c r="B157" s="307" t="s">
        <v>371</v>
      </c>
      <c r="C157" s="307"/>
      <c r="D157" s="307"/>
      <c r="E157" s="116" t="s">
        <v>371</v>
      </c>
      <c r="F157" s="116" t="s">
        <v>372</v>
      </c>
      <c r="G157" s="116" t="s">
        <v>360</v>
      </c>
      <c r="H157" s="116" t="s">
        <v>248</v>
      </c>
      <c r="I157" s="531" t="s">
        <v>10</v>
      </c>
      <c r="J157" s="116" t="s">
        <v>642</v>
      </c>
      <c r="K157" s="118">
        <v>76</v>
      </c>
      <c r="L157" s="308">
        <f>24000+2650</f>
        <v>26650</v>
      </c>
      <c r="M157" s="302">
        <f>5000+1000+20000+50009</f>
        <v>76009</v>
      </c>
      <c r="N157" s="303"/>
      <c r="O157" s="302">
        <f>50009+20000+2650+25000+5000</f>
        <v>102659</v>
      </c>
      <c r="P157" s="302">
        <v>728</v>
      </c>
      <c r="Q157" s="303"/>
      <c r="R157" s="302">
        <f t="shared" si="2"/>
        <v>0</v>
      </c>
    </row>
    <row r="158" spans="1:18" ht="19.5" customHeight="1">
      <c r="A158" s="304" t="s">
        <v>5507</v>
      </c>
      <c r="B158" s="67" t="s">
        <v>708</v>
      </c>
      <c r="C158" s="11"/>
      <c r="D158" s="11"/>
      <c r="E158" s="116" t="s">
        <v>1601</v>
      </c>
      <c r="F158" s="116" t="s">
        <v>1602</v>
      </c>
      <c r="G158" s="116" t="s">
        <v>463</v>
      </c>
      <c r="H158" s="116" t="s">
        <v>965</v>
      </c>
      <c r="I158" s="116" t="s">
        <v>11</v>
      </c>
      <c r="J158" s="116" t="s">
        <v>1600</v>
      </c>
      <c r="K158" s="63">
        <v>1250</v>
      </c>
      <c r="L158" s="63">
        <v>4017</v>
      </c>
      <c r="M158" s="63">
        <v>0</v>
      </c>
      <c r="N158" s="63"/>
      <c r="O158" s="63">
        <v>3714</v>
      </c>
      <c r="P158" s="63"/>
      <c r="Q158" s="63"/>
      <c r="R158" s="302">
        <f t="shared" si="2"/>
        <v>303</v>
      </c>
    </row>
    <row r="159" spans="1:18" ht="19.5" customHeight="1">
      <c r="A159" s="299" t="s">
        <v>5513</v>
      </c>
      <c r="B159" s="67" t="s">
        <v>1253</v>
      </c>
      <c r="C159" s="11"/>
      <c r="D159" s="11"/>
      <c r="E159" s="116" t="s">
        <v>1254</v>
      </c>
      <c r="F159" s="116" t="s">
        <v>1256</v>
      </c>
      <c r="G159" s="116" t="s">
        <v>1257</v>
      </c>
      <c r="H159" s="116" t="s">
        <v>1255</v>
      </c>
      <c r="I159" s="116" t="s">
        <v>1258</v>
      </c>
      <c r="J159" s="116" t="s">
        <v>2783</v>
      </c>
      <c r="K159" s="63">
        <v>3550</v>
      </c>
      <c r="L159" s="63">
        <v>252</v>
      </c>
      <c r="M159" s="63">
        <v>16</v>
      </c>
      <c r="N159" s="63"/>
      <c r="O159" s="63">
        <v>267</v>
      </c>
      <c r="P159" s="63"/>
      <c r="Q159" s="63"/>
      <c r="R159" s="302">
        <f t="shared" si="2"/>
        <v>1</v>
      </c>
    </row>
    <row r="160" spans="1:18" ht="19.5" customHeight="1">
      <c r="A160" s="2">
        <v>31</v>
      </c>
      <c r="B160" s="67" t="s">
        <v>668</v>
      </c>
      <c r="C160" s="11"/>
      <c r="D160" s="11"/>
      <c r="E160" s="116" t="s">
        <v>671</v>
      </c>
      <c r="F160" s="116" t="s">
        <v>672</v>
      </c>
      <c r="G160" s="116" t="s">
        <v>245</v>
      </c>
      <c r="H160" s="116" t="s">
        <v>327</v>
      </c>
      <c r="I160" s="116" t="s">
        <v>11</v>
      </c>
      <c r="J160" s="116" t="s">
        <v>547</v>
      </c>
      <c r="K160" s="63">
        <v>2436</v>
      </c>
      <c r="L160" s="63">
        <v>6540</v>
      </c>
      <c r="M160" s="63">
        <v>0</v>
      </c>
      <c r="N160" s="63"/>
      <c r="O160" s="63">
        <v>219</v>
      </c>
      <c r="P160" s="63"/>
      <c r="Q160" s="63"/>
      <c r="R160" s="302">
        <f t="shared" si="2"/>
        <v>6321</v>
      </c>
    </row>
    <row r="161" spans="1:18" ht="19.5" customHeight="1">
      <c r="A161" s="299" t="s">
        <v>5515</v>
      </c>
      <c r="B161" s="67" t="s">
        <v>668</v>
      </c>
      <c r="C161" s="11"/>
      <c r="D161" s="11"/>
      <c r="E161" s="116" t="s">
        <v>671</v>
      </c>
      <c r="F161" s="116" t="s">
        <v>672</v>
      </c>
      <c r="G161" s="116" t="s">
        <v>245</v>
      </c>
      <c r="H161" s="116" t="s">
        <v>327</v>
      </c>
      <c r="I161" s="116" t="s">
        <v>11</v>
      </c>
      <c r="J161" s="116" t="s">
        <v>547</v>
      </c>
      <c r="K161" s="63">
        <v>2730</v>
      </c>
      <c r="L161" s="63">
        <v>65</v>
      </c>
      <c r="M161" s="63">
        <v>0</v>
      </c>
      <c r="N161" s="63"/>
      <c r="O161" s="63">
        <v>65</v>
      </c>
      <c r="P161" s="63"/>
      <c r="Q161" s="63"/>
      <c r="R161" s="302">
        <f t="shared" si="2"/>
        <v>0</v>
      </c>
    </row>
    <row r="162" spans="1:18" ht="19.5" customHeight="1">
      <c r="A162" s="304" t="s">
        <v>5516</v>
      </c>
      <c r="B162" s="67" t="s">
        <v>668</v>
      </c>
      <c r="C162" s="11"/>
      <c r="D162" s="11"/>
      <c r="E162" s="116" t="s">
        <v>669</v>
      </c>
      <c r="F162" s="116" t="s">
        <v>670</v>
      </c>
      <c r="G162" s="116" t="s">
        <v>245</v>
      </c>
      <c r="H162" s="116" t="s">
        <v>238</v>
      </c>
      <c r="I162" s="116" t="s">
        <v>11</v>
      </c>
      <c r="J162" s="116" t="s">
        <v>547</v>
      </c>
      <c r="K162" s="63">
        <v>4116</v>
      </c>
      <c r="L162" s="63">
        <v>1252</v>
      </c>
      <c r="M162" s="63"/>
      <c r="N162" s="63"/>
      <c r="O162" s="63"/>
      <c r="P162" s="63"/>
      <c r="Q162" s="63"/>
      <c r="R162" s="302">
        <f t="shared" si="2"/>
        <v>1252</v>
      </c>
    </row>
    <row r="163" spans="1:18" ht="19.5" customHeight="1">
      <c r="A163" s="304" t="s">
        <v>5518</v>
      </c>
      <c r="B163" s="305" t="s">
        <v>802</v>
      </c>
      <c r="C163" s="305"/>
      <c r="D163" s="305"/>
      <c r="E163" s="305" t="s">
        <v>1455</v>
      </c>
      <c r="F163" s="305" t="s">
        <v>1457</v>
      </c>
      <c r="G163" s="305" t="s">
        <v>1449</v>
      </c>
      <c r="H163" s="305" t="s">
        <v>1200</v>
      </c>
      <c r="I163" s="305" t="s">
        <v>12</v>
      </c>
      <c r="J163" s="305" t="s">
        <v>9005</v>
      </c>
      <c r="K163" s="119">
        <v>1186</v>
      </c>
      <c r="L163" s="119"/>
      <c r="M163" s="302">
        <v>3700</v>
      </c>
      <c r="N163" s="303"/>
      <c r="O163" s="302">
        <v>1999</v>
      </c>
      <c r="P163" s="302"/>
      <c r="Q163" s="303"/>
      <c r="R163" s="302">
        <f t="shared" si="2"/>
        <v>1701</v>
      </c>
    </row>
    <row r="164" spans="1:18" ht="19.5" customHeight="1">
      <c r="A164" s="299" t="s">
        <v>5520</v>
      </c>
      <c r="B164" s="305" t="s">
        <v>802</v>
      </c>
      <c r="C164" s="305"/>
      <c r="D164" s="305"/>
      <c r="E164" s="305" t="s">
        <v>4476</v>
      </c>
      <c r="F164" s="305" t="s">
        <v>7253</v>
      </c>
      <c r="G164" s="305" t="s">
        <v>1449</v>
      </c>
      <c r="H164" s="305" t="s">
        <v>272</v>
      </c>
      <c r="I164" s="305" t="s">
        <v>11</v>
      </c>
      <c r="J164" s="305" t="s">
        <v>9007</v>
      </c>
      <c r="K164" s="119">
        <v>1742</v>
      </c>
      <c r="L164" s="119"/>
      <c r="M164" s="302">
        <v>1000</v>
      </c>
      <c r="N164" s="303"/>
      <c r="O164" s="302">
        <v>1000</v>
      </c>
      <c r="P164" s="302"/>
      <c r="Q164" s="303"/>
      <c r="R164" s="302">
        <f t="shared" si="2"/>
        <v>0</v>
      </c>
    </row>
    <row r="165" spans="1:18" ht="19.5" customHeight="1">
      <c r="A165" s="2">
        <v>32</v>
      </c>
      <c r="B165" s="67" t="s">
        <v>802</v>
      </c>
      <c r="C165" s="11"/>
      <c r="D165" s="11"/>
      <c r="E165" s="116" t="s">
        <v>1603</v>
      </c>
      <c r="F165" s="116" t="s">
        <v>1604</v>
      </c>
      <c r="G165" s="116" t="s">
        <v>463</v>
      </c>
      <c r="H165" s="116" t="s">
        <v>225</v>
      </c>
      <c r="I165" s="116" t="s">
        <v>11</v>
      </c>
      <c r="J165" s="116" t="s">
        <v>620</v>
      </c>
      <c r="K165" s="63">
        <v>9400</v>
      </c>
      <c r="L165" s="63">
        <v>6574</v>
      </c>
      <c r="M165" s="63">
        <v>1000</v>
      </c>
      <c r="N165" s="63"/>
      <c r="O165" s="63">
        <v>4870</v>
      </c>
      <c r="P165" s="63"/>
      <c r="Q165" s="63"/>
      <c r="R165" s="302">
        <f t="shared" si="2"/>
        <v>2704</v>
      </c>
    </row>
    <row r="166" spans="1:18" ht="19.5" customHeight="1">
      <c r="A166" s="299" t="s">
        <v>5523</v>
      </c>
      <c r="B166" s="305" t="s">
        <v>847</v>
      </c>
      <c r="C166" s="305"/>
      <c r="D166" s="305"/>
      <c r="E166" s="305" t="s">
        <v>4478</v>
      </c>
      <c r="F166" s="305" t="s">
        <v>7256</v>
      </c>
      <c r="G166" s="305" t="s">
        <v>1449</v>
      </c>
      <c r="H166" s="305" t="s">
        <v>272</v>
      </c>
      <c r="I166" s="305" t="s">
        <v>12</v>
      </c>
      <c r="J166" s="305" t="s">
        <v>9005</v>
      </c>
      <c r="K166" s="119">
        <v>796</v>
      </c>
      <c r="L166" s="119">
        <v>0</v>
      </c>
      <c r="M166" s="302">
        <v>1600</v>
      </c>
      <c r="N166" s="303"/>
      <c r="O166" s="302">
        <v>1600</v>
      </c>
      <c r="P166" s="302"/>
      <c r="Q166" s="303"/>
      <c r="R166" s="302">
        <f t="shared" si="2"/>
        <v>0</v>
      </c>
    </row>
    <row r="167" spans="1:18" ht="19.5" customHeight="1">
      <c r="A167" s="304" t="s">
        <v>5529</v>
      </c>
      <c r="B167" s="67" t="s">
        <v>1818</v>
      </c>
      <c r="C167" s="11"/>
      <c r="D167" s="11"/>
      <c r="E167" s="116" t="s">
        <v>1819</v>
      </c>
      <c r="F167" s="117" t="s">
        <v>2786</v>
      </c>
      <c r="G167" s="117" t="s">
        <v>463</v>
      </c>
      <c r="H167" s="117" t="s">
        <v>225</v>
      </c>
      <c r="I167" s="117" t="s">
        <v>10</v>
      </c>
      <c r="J167" s="117" t="s">
        <v>620</v>
      </c>
      <c r="K167" s="63">
        <v>2800</v>
      </c>
      <c r="L167" s="63">
        <v>991</v>
      </c>
      <c r="M167" s="63">
        <v>0</v>
      </c>
      <c r="N167" s="63"/>
      <c r="O167" s="63">
        <v>800</v>
      </c>
      <c r="P167" s="63"/>
      <c r="Q167" s="63"/>
      <c r="R167" s="302">
        <f t="shared" si="2"/>
        <v>191</v>
      </c>
    </row>
    <row r="168" spans="1:18" ht="19.5" customHeight="1">
      <c r="A168" s="304" t="s">
        <v>5537</v>
      </c>
      <c r="B168" s="305" t="s">
        <v>847</v>
      </c>
      <c r="C168" s="305"/>
      <c r="D168" s="305"/>
      <c r="E168" s="305" t="s">
        <v>4480</v>
      </c>
      <c r="F168" s="305" t="s">
        <v>6571</v>
      </c>
      <c r="G168" s="305" t="s">
        <v>463</v>
      </c>
      <c r="H168" s="305" t="s">
        <v>272</v>
      </c>
      <c r="I168" s="305" t="s">
        <v>11</v>
      </c>
      <c r="J168" s="305" t="s">
        <v>11466</v>
      </c>
      <c r="K168" s="119">
        <v>1380</v>
      </c>
      <c r="L168" s="119">
        <v>0</v>
      </c>
      <c r="M168" s="302">
        <v>3500</v>
      </c>
      <c r="N168" s="303"/>
      <c r="O168" s="302">
        <v>2000</v>
      </c>
      <c r="P168" s="302"/>
      <c r="Q168" s="303"/>
      <c r="R168" s="302">
        <f t="shared" si="2"/>
        <v>1500</v>
      </c>
    </row>
    <row r="169" spans="1:18" ht="19.5" customHeight="1">
      <c r="A169" s="299" t="s">
        <v>5540</v>
      </c>
      <c r="B169" s="67" t="s">
        <v>1235</v>
      </c>
      <c r="C169" s="4"/>
      <c r="D169" s="4"/>
      <c r="E169" s="116" t="s">
        <v>1235</v>
      </c>
      <c r="F169" s="117" t="s">
        <v>1821</v>
      </c>
      <c r="G169" s="117" t="s">
        <v>492</v>
      </c>
      <c r="H169" s="117" t="s">
        <v>262</v>
      </c>
      <c r="I169" s="117" t="s">
        <v>10</v>
      </c>
      <c r="J169" s="117" t="s">
        <v>620</v>
      </c>
      <c r="K169" s="63">
        <v>2714</v>
      </c>
      <c r="L169" s="63">
        <v>1</v>
      </c>
      <c r="M169" s="63">
        <v>0</v>
      </c>
      <c r="N169" s="63"/>
      <c r="O169" s="63">
        <v>1</v>
      </c>
      <c r="P169" s="63"/>
      <c r="Q169" s="63"/>
      <c r="R169" s="302">
        <f t="shared" si="2"/>
        <v>0</v>
      </c>
    </row>
    <row r="170" spans="1:18" ht="19.5" customHeight="1">
      <c r="A170" s="2">
        <v>33</v>
      </c>
      <c r="B170" s="65" t="s">
        <v>256</v>
      </c>
      <c r="C170" s="11"/>
      <c r="D170" s="11"/>
      <c r="E170" s="504" t="s">
        <v>2789</v>
      </c>
      <c r="F170" s="116" t="s">
        <v>2790</v>
      </c>
      <c r="G170" s="116" t="s">
        <v>1913</v>
      </c>
      <c r="H170" s="504" t="s">
        <v>258</v>
      </c>
      <c r="I170" s="504" t="s">
        <v>13</v>
      </c>
      <c r="J170" s="116" t="s">
        <v>1106</v>
      </c>
      <c r="K170" s="63">
        <v>1389</v>
      </c>
      <c r="L170" s="63">
        <v>2386</v>
      </c>
      <c r="M170" s="63">
        <v>4</v>
      </c>
      <c r="N170" s="63"/>
      <c r="O170" s="63">
        <v>2390</v>
      </c>
      <c r="P170" s="63"/>
      <c r="Q170" s="63"/>
      <c r="R170" s="302">
        <f t="shared" si="2"/>
        <v>0</v>
      </c>
    </row>
    <row r="171" spans="1:18" ht="19.5" customHeight="1">
      <c r="A171" s="299" t="s">
        <v>5543</v>
      </c>
      <c r="B171" s="64" t="s">
        <v>493</v>
      </c>
      <c r="C171" s="64"/>
      <c r="D171" s="64"/>
      <c r="E171" s="116" t="s">
        <v>494</v>
      </c>
      <c r="F171" s="116" t="s">
        <v>495</v>
      </c>
      <c r="G171" s="116" t="s">
        <v>492</v>
      </c>
      <c r="H171" s="116" t="s">
        <v>429</v>
      </c>
      <c r="I171" s="116" t="s">
        <v>14</v>
      </c>
      <c r="J171" s="116" t="s">
        <v>483</v>
      </c>
      <c r="K171" s="63">
        <v>5838</v>
      </c>
      <c r="L171" s="63">
        <v>0</v>
      </c>
      <c r="M171" s="63">
        <v>552</v>
      </c>
      <c r="N171" s="63"/>
      <c r="O171" s="63">
        <v>71</v>
      </c>
      <c r="P171" s="63"/>
      <c r="Q171" s="63"/>
      <c r="R171" s="302">
        <f t="shared" si="2"/>
        <v>481</v>
      </c>
    </row>
    <row r="172" spans="1:18" ht="19.5" customHeight="1">
      <c r="A172" s="304" t="s">
        <v>5545</v>
      </c>
      <c r="B172" s="67" t="s">
        <v>1235</v>
      </c>
      <c r="C172" s="11"/>
      <c r="D172" s="11"/>
      <c r="E172" s="116" t="s">
        <v>1610</v>
      </c>
      <c r="F172" s="116" t="s">
        <v>1611</v>
      </c>
      <c r="G172" s="116" t="s">
        <v>463</v>
      </c>
      <c r="H172" s="116" t="s">
        <v>900</v>
      </c>
      <c r="I172" s="116" t="s">
        <v>11</v>
      </c>
      <c r="J172" s="116" t="s">
        <v>1600</v>
      </c>
      <c r="K172" s="63">
        <v>8000</v>
      </c>
      <c r="L172" s="63">
        <v>813</v>
      </c>
      <c r="M172" s="63">
        <v>5</v>
      </c>
      <c r="N172" s="63"/>
      <c r="O172" s="63">
        <v>818</v>
      </c>
      <c r="P172" s="63"/>
      <c r="Q172" s="63"/>
      <c r="R172" s="302">
        <f t="shared" si="2"/>
        <v>0</v>
      </c>
    </row>
    <row r="173" spans="1:18" ht="19.5" customHeight="1">
      <c r="A173" s="304" t="s">
        <v>5552</v>
      </c>
      <c r="B173" s="305" t="s">
        <v>433</v>
      </c>
      <c r="C173" s="305"/>
      <c r="D173" s="305"/>
      <c r="E173" s="305" t="s">
        <v>1463</v>
      </c>
      <c r="F173" s="305" t="s">
        <v>1465</v>
      </c>
      <c r="G173" s="305" t="s">
        <v>1449</v>
      </c>
      <c r="H173" s="305" t="s">
        <v>1200</v>
      </c>
      <c r="I173" s="305" t="s">
        <v>12</v>
      </c>
      <c r="J173" s="305" t="s">
        <v>3190</v>
      </c>
      <c r="K173" s="119">
        <v>1323</v>
      </c>
      <c r="L173" s="119">
        <v>0</v>
      </c>
      <c r="M173" s="302">
        <v>1000</v>
      </c>
      <c r="N173" s="303"/>
      <c r="O173" s="302">
        <v>1000</v>
      </c>
      <c r="P173" s="302"/>
      <c r="Q173" s="303"/>
      <c r="R173" s="302">
        <f t="shared" si="2"/>
        <v>0</v>
      </c>
    </row>
    <row r="174" spans="1:18" ht="19.5" customHeight="1">
      <c r="A174" s="299" t="s">
        <v>5555</v>
      </c>
      <c r="B174" s="305" t="s">
        <v>816</v>
      </c>
      <c r="C174" s="305"/>
      <c r="D174" s="305"/>
      <c r="E174" s="305" t="s">
        <v>3864</v>
      </c>
      <c r="F174" s="305" t="s">
        <v>6613</v>
      </c>
      <c r="G174" s="305" t="s">
        <v>1765</v>
      </c>
      <c r="H174" s="305" t="s">
        <v>299</v>
      </c>
      <c r="I174" s="305" t="s">
        <v>11</v>
      </c>
      <c r="J174" s="305" t="s">
        <v>541</v>
      </c>
      <c r="K174" s="119">
        <v>830</v>
      </c>
      <c r="L174" s="119"/>
      <c r="M174" s="302">
        <v>12000</v>
      </c>
      <c r="N174" s="303"/>
      <c r="O174" s="302">
        <v>6238</v>
      </c>
      <c r="P174" s="302"/>
      <c r="Q174" s="303"/>
      <c r="R174" s="302">
        <f t="shared" si="2"/>
        <v>5762</v>
      </c>
    </row>
    <row r="175" spans="1:18" ht="19.5" customHeight="1">
      <c r="A175" s="2">
        <v>34</v>
      </c>
      <c r="B175" s="67" t="s">
        <v>809</v>
      </c>
      <c r="C175" s="11"/>
      <c r="D175" s="11"/>
      <c r="E175" s="116" t="s">
        <v>1458</v>
      </c>
      <c r="F175" s="116" t="s">
        <v>1460</v>
      </c>
      <c r="G175" s="116" t="s">
        <v>1449</v>
      </c>
      <c r="H175" s="116" t="s">
        <v>272</v>
      </c>
      <c r="I175" s="116" t="s">
        <v>10</v>
      </c>
      <c r="J175" s="116" t="s">
        <v>1459</v>
      </c>
      <c r="K175" s="63">
        <v>414</v>
      </c>
      <c r="L175" s="63">
        <v>1000</v>
      </c>
      <c r="M175" s="63"/>
      <c r="N175" s="63"/>
      <c r="O175" s="63">
        <v>1000</v>
      </c>
      <c r="P175" s="63"/>
      <c r="Q175" s="63"/>
      <c r="R175" s="302">
        <f t="shared" si="2"/>
        <v>0</v>
      </c>
    </row>
    <row r="176" spans="1:18" ht="19.5" customHeight="1">
      <c r="A176" s="299" t="s">
        <v>5557</v>
      </c>
      <c r="B176" s="305" t="s">
        <v>809</v>
      </c>
      <c r="C176" s="305"/>
      <c r="D176" s="305"/>
      <c r="E176" s="305" t="s">
        <v>1458</v>
      </c>
      <c r="F176" s="305" t="s">
        <v>7265</v>
      </c>
      <c r="G176" s="305" t="s">
        <v>1449</v>
      </c>
      <c r="H176" s="305" t="s">
        <v>272</v>
      </c>
      <c r="I176" s="305" t="s">
        <v>11</v>
      </c>
      <c r="J176" s="305" t="s">
        <v>9007</v>
      </c>
      <c r="K176" s="119">
        <v>476</v>
      </c>
      <c r="L176" s="119"/>
      <c r="M176" s="302">
        <v>3000</v>
      </c>
      <c r="N176" s="303"/>
      <c r="O176" s="302">
        <v>3000</v>
      </c>
      <c r="P176" s="302"/>
      <c r="Q176" s="303"/>
      <c r="R176" s="302">
        <f t="shared" si="2"/>
        <v>0</v>
      </c>
    </row>
    <row r="177" spans="1:18" ht="19.5" customHeight="1">
      <c r="A177" s="304" t="s">
        <v>5559</v>
      </c>
      <c r="B177" s="67" t="s">
        <v>809</v>
      </c>
      <c r="C177" s="4"/>
      <c r="D177" s="4"/>
      <c r="E177" s="116" t="s">
        <v>1608</v>
      </c>
      <c r="F177" s="117" t="s">
        <v>1609</v>
      </c>
      <c r="G177" s="117" t="s">
        <v>463</v>
      </c>
      <c r="H177" s="117" t="s">
        <v>272</v>
      </c>
      <c r="I177" s="117" t="s">
        <v>11</v>
      </c>
      <c r="J177" s="117" t="s">
        <v>1600</v>
      </c>
      <c r="K177" s="63">
        <v>1000</v>
      </c>
      <c r="L177" s="63">
        <v>6000</v>
      </c>
      <c r="M177" s="63"/>
      <c r="N177" s="63"/>
      <c r="O177" s="63">
        <v>6000</v>
      </c>
      <c r="P177" s="63"/>
      <c r="Q177" s="63"/>
      <c r="R177" s="302">
        <f t="shared" si="2"/>
        <v>0</v>
      </c>
    </row>
    <row r="178" spans="1:18" ht="19.5" customHeight="1">
      <c r="A178" s="304" t="s">
        <v>5561</v>
      </c>
      <c r="B178" s="67" t="s">
        <v>813</v>
      </c>
      <c r="C178" s="11"/>
      <c r="D178" s="11"/>
      <c r="E178" s="116" t="s">
        <v>2808</v>
      </c>
      <c r="F178" s="116" t="s">
        <v>1622</v>
      </c>
      <c r="G178" s="116" t="s">
        <v>463</v>
      </c>
      <c r="H178" s="116" t="s">
        <v>258</v>
      </c>
      <c r="I178" s="116" t="s">
        <v>11</v>
      </c>
      <c r="J178" s="116" t="s">
        <v>1621</v>
      </c>
      <c r="K178" s="63">
        <v>6000</v>
      </c>
      <c r="L178" s="63">
        <v>3500</v>
      </c>
      <c r="M178" s="63"/>
      <c r="N178" s="63"/>
      <c r="O178" s="63">
        <v>3500</v>
      </c>
      <c r="P178" s="63"/>
      <c r="Q178" s="63"/>
      <c r="R178" s="302">
        <f t="shared" si="2"/>
        <v>0</v>
      </c>
    </row>
    <row r="179" spans="1:18" ht="19.5" customHeight="1">
      <c r="A179" s="299" t="s">
        <v>5562</v>
      </c>
      <c r="B179" s="67" t="s">
        <v>784</v>
      </c>
      <c r="C179" s="11"/>
      <c r="D179" s="11"/>
      <c r="E179" s="116" t="s">
        <v>785</v>
      </c>
      <c r="F179" s="116" t="s">
        <v>786</v>
      </c>
      <c r="G179" s="116" t="s">
        <v>787</v>
      </c>
      <c r="H179" s="116" t="s">
        <v>422</v>
      </c>
      <c r="I179" s="116" t="s">
        <v>520</v>
      </c>
      <c r="J179" s="116" t="s">
        <v>241</v>
      </c>
      <c r="K179" s="63">
        <v>101430</v>
      </c>
      <c r="L179" s="63">
        <v>161</v>
      </c>
      <c r="M179" s="63">
        <v>0</v>
      </c>
      <c r="N179" s="63"/>
      <c r="O179" s="63">
        <v>127</v>
      </c>
      <c r="P179" s="63">
        <v>115</v>
      </c>
      <c r="Q179" s="63"/>
      <c r="R179" s="302">
        <f t="shared" si="2"/>
        <v>34</v>
      </c>
    </row>
    <row r="180" spans="1:18" ht="19.5" customHeight="1">
      <c r="A180" s="2">
        <v>35</v>
      </c>
      <c r="B180" s="305" t="s">
        <v>1318</v>
      </c>
      <c r="C180" s="305"/>
      <c r="D180" s="305"/>
      <c r="E180" s="305" t="s">
        <v>2809</v>
      </c>
      <c r="F180" s="305" t="s">
        <v>2810</v>
      </c>
      <c r="G180" s="305" t="s">
        <v>2385</v>
      </c>
      <c r="H180" s="305" t="s">
        <v>238</v>
      </c>
      <c r="I180" s="305" t="s">
        <v>11</v>
      </c>
      <c r="J180" s="116" t="s">
        <v>1066</v>
      </c>
      <c r="K180" s="119">
        <v>51</v>
      </c>
      <c r="L180" s="119">
        <v>0</v>
      </c>
      <c r="M180" s="302">
        <f>32500+11500</f>
        <v>44000</v>
      </c>
      <c r="N180" s="303"/>
      <c r="O180" s="302">
        <f>32500+5036</f>
        <v>37536</v>
      </c>
      <c r="P180" s="302">
        <v>36</v>
      </c>
      <c r="Q180" s="303"/>
      <c r="R180" s="302">
        <f t="shared" si="2"/>
        <v>6464</v>
      </c>
    </row>
    <row r="181" spans="1:18" ht="19.5" customHeight="1">
      <c r="A181" s="299" t="s">
        <v>5564</v>
      </c>
      <c r="B181" s="65" t="s">
        <v>729</v>
      </c>
      <c r="C181" s="11"/>
      <c r="D181" s="11"/>
      <c r="E181" s="504" t="s">
        <v>2461</v>
      </c>
      <c r="F181" s="116" t="s">
        <v>2811</v>
      </c>
      <c r="G181" s="116" t="s">
        <v>2803</v>
      </c>
      <c r="H181" s="504" t="s">
        <v>17</v>
      </c>
      <c r="I181" s="116" t="s">
        <v>11</v>
      </c>
      <c r="J181" s="116" t="s">
        <v>1710</v>
      </c>
      <c r="K181" s="63">
        <v>455</v>
      </c>
      <c r="L181" s="63">
        <v>100</v>
      </c>
      <c r="M181" s="63"/>
      <c r="N181" s="63"/>
      <c r="O181" s="63">
        <v>100</v>
      </c>
      <c r="P181" s="63"/>
      <c r="Q181" s="63"/>
      <c r="R181" s="302">
        <f t="shared" si="2"/>
        <v>0</v>
      </c>
    </row>
    <row r="182" spans="1:18" ht="19.5" customHeight="1">
      <c r="A182" s="304" t="s">
        <v>5566</v>
      </c>
      <c r="B182" s="11" t="s">
        <v>286</v>
      </c>
      <c r="C182" s="11"/>
      <c r="D182" s="11"/>
      <c r="E182" s="116" t="s">
        <v>2462</v>
      </c>
      <c r="F182" s="116" t="s">
        <v>2812</v>
      </c>
      <c r="G182" s="116" t="s">
        <v>2803</v>
      </c>
      <c r="H182" s="116" t="s">
        <v>225</v>
      </c>
      <c r="I182" s="116" t="s">
        <v>11</v>
      </c>
      <c r="J182" s="116" t="s">
        <v>1710</v>
      </c>
      <c r="K182" s="63">
        <v>770</v>
      </c>
      <c r="L182" s="63">
        <v>1502</v>
      </c>
      <c r="M182" s="63">
        <v>7</v>
      </c>
      <c r="N182" s="63"/>
      <c r="O182" s="63">
        <v>1509</v>
      </c>
      <c r="P182" s="63">
        <v>2</v>
      </c>
      <c r="Q182" s="63"/>
      <c r="R182" s="302">
        <f t="shared" si="2"/>
        <v>0</v>
      </c>
    </row>
    <row r="183" spans="1:18" ht="19.5" customHeight="1">
      <c r="A183" s="304" t="s">
        <v>5567</v>
      </c>
      <c r="B183" s="11" t="s">
        <v>2315</v>
      </c>
      <c r="C183" s="11"/>
      <c r="D183" s="11"/>
      <c r="E183" s="116" t="s">
        <v>57</v>
      </c>
      <c r="F183" s="116" t="s">
        <v>2317</v>
      </c>
      <c r="G183" s="116" t="s">
        <v>2318</v>
      </c>
      <c r="H183" s="116" t="s">
        <v>58</v>
      </c>
      <c r="I183" s="116" t="s">
        <v>13</v>
      </c>
      <c r="J183" s="116" t="s">
        <v>2316</v>
      </c>
      <c r="K183" s="63">
        <v>17500</v>
      </c>
      <c r="L183" s="63">
        <v>267</v>
      </c>
      <c r="M183" s="63"/>
      <c r="N183" s="63"/>
      <c r="O183" s="63">
        <v>267</v>
      </c>
      <c r="P183" s="63"/>
      <c r="Q183" s="63"/>
      <c r="R183" s="302">
        <f t="shared" si="2"/>
        <v>0</v>
      </c>
    </row>
    <row r="184" spans="1:18" ht="19.5" customHeight="1">
      <c r="A184" s="299" t="s">
        <v>5569</v>
      </c>
      <c r="B184" s="64" t="s">
        <v>274</v>
      </c>
      <c r="C184" s="64"/>
      <c r="D184" s="64"/>
      <c r="E184" s="116" t="s">
        <v>304</v>
      </c>
      <c r="F184" s="116" t="s">
        <v>307</v>
      </c>
      <c r="G184" s="116" t="s">
        <v>308</v>
      </c>
      <c r="H184" s="116" t="s">
        <v>305</v>
      </c>
      <c r="I184" s="116" t="s">
        <v>14</v>
      </c>
      <c r="J184" s="116" t="s">
        <v>306</v>
      </c>
      <c r="K184" s="63">
        <v>69000</v>
      </c>
      <c r="L184" s="63">
        <v>5</v>
      </c>
      <c r="M184" s="63">
        <v>90</v>
      </c>
      <c r="N184" s="63"/>
      <c r="O184" s="63">
        <v>25</v>
      </c>
      <c r="P184" s="63"/>
      <c r="Q184" s="63"/>
      <c r="R184" s="302">
        <f t="shared" si="2"/>
        <v>70</v>
      </c>
    </row>
    <row r="185" spans="1:18" ht="19.5" customHeight="1">
      <c r="A185" s="2">
        <v>36</v>
      </c>
      <c r="B185" s="11" t="s">
        <v>417</v>
      </c>
      <c r="C185" s="11"/>
      <c r="D185" s="11"/>
      <c r="E185" s="116" t="s">
        <v>1623</v>
      </c>
      <c r="F185" s="116" t="s">
        <v>1624</v>
      </c>
      <c r="G185" s="116" t="s">
        <v>473</v>
      </c>
      <c r="H185" s="116" t="s">
        <v>262</v>
      </c>
      <c r="I185" s="116" t="s">
        <v>11</v>
      </c>
      <c r="J185" s="116" t="s">
        <v>2700</v>
      </c>
      <c r="K185" s="63">
        <v>222</v>
      </c>
      <c r="L185" s="63">
        <v>150</v>
      </c>
      <c r="M185" s="63">
        <v>0</v>
      </c>
      <c r="N185" s="63"/>
      <c r="O185" s="63">
        <v>150</v>
      </c>
      <c r="P185" s="63"/>
      <c r="Q185" s="63"/>
      <c r="R185" s="302">
        <f t="shared" si="2"/>
        <v>0</v>
      </c>
    </row>
    <row r="186" spans="1:18" ht="19.5" customHeight="1">
      <c r="A186" s="299" t="s">
        <v>5570</v>
      </c>
      <c r="B186" s="11" t="s">
        <v>1321</v>
      </c>
      <c r="C186" s="11"/>
      <c r="D186" s="11"/>
      <c r="E186" s="116" t="s">
        <v>1321</v>
      </c>
      <c r="F186" s="116" t="s">
        <v>1322</v>
      </c>
      <c r="G186" s="116" t="s">
        <v>360</v>
      </c>
      <c r="H186" s="116" t="s">
        <v>248</v>
      </c>
      <c r="I186" s="116" t="s">
        <v>11</v>
      </c>
      <c r="J186" s="116" t="s">
        <v>642</v>
      </c>
      <c r="K186" s="63">
        <v>47</v>
      </c>
      <c r="L186" s="63">
        <f>1600+245+16720</f>
        <v>18565</v>
      </c>
      <c r="M186" s="63">
        <v>0</v>
      </c>
      <c r="N186" s="63"/>
      <c r="O186" s="63">
        <f>1600+245+16517</f>
        <v>18362</v>
      </c>
      <c r="P186" s="63">
        <v>1289</v>
      </c>
      <c r="Q186" s="63"/>
      <c r="R186" s="302">
        <f t="shared" si="2"/>
        <v>203</v>
      </c>
    </row>
    <row r="187" spans="1:18" ht="19.5" customHeight="1">
      <c r="A187" s="304" t="s">
        <v>5572</v>
      </c>
      <c r="B187" s="11" t="s">
        <v>274</v>
      </c>
      <c r="C187" s="11"/>
      <c r="D187" s="11"/>
      <c r="E187" s="116" t="s">
        <v>302</v>
      </c>
      <c r="F187" s="116" t="s">
        <v>303</v>
      </c>
      <c r="G187" s="116" t="s">
        <v>293</v>
      </c>
      <c r="H187" s="116" t="s">
        <v>435</v>
      </c>
      <c r="I187" s="116" t="s">
        <v>14</v>
      </c>
      <c r="J187" s="116" t="s">
        <v>2824</v>
      </c>
      <c r="K187" s="63">
        <v>246960</v>
      </c>
      <c r="L187" s="63">
        <v>12</v>
      </c>
      <c r="M187" s="63">
        <v>0</v>
      </c>
      <c r="N187" s="63"/>
      <c r="O187" s="63">
        <v>12</v>
      </c>
      <c r="P187" s="63"/>
      <c r="Q187" s="63"/>
      <c r="R187" s="302">
        <f t="shared" si="2"/>
        <v>0</v>
      </c>
    </row>
    <row r="188" spans="1:18" ht="19.5" customHeight="1">
      <c r="A188" s="304" t="s">
        <v>5575</v>
      </c>
      <c r="B188" s="307" t="s">
        <v>274</v>
      </c>
      <c r="C188" s="307"/>
      <c r="D188" s="307"/>
      <c r="E188" s="116" t="s">
        <v>274</v>
      </c>
      <c r="F188" s="116" t="s">
        <v>373</v>
      </c>
      <c r="G188" s="116" t="s">
        <v>360</v>
      </c>
      <c r="H188" s="116" t="s">
        <v>225</v>
      </c>
      <c r="I188" s="531" t="s">
        <v>10</v>
      </c>
      <c r="J188" s="116" t="s">
        <v>647</v>
      </c>
      <c r="K188" s="118">
        <v>394</v>
      </c>
      <c r="L188" s="308">
        <v>2138</v>
      </c>
      <c r="M188" s="302">
        <v>22519</v>
      </c>
      <c r="N188" s="303"/>
      <c r="O188" s="302">
        <v>22944</v>
      </c>
      <c r="P188" s="302">
        <v>5</v>
      </c>
      <c r="Q188" s="303"/>
      <c r="R188" s="302">
        <f t="shared" si="2"/>
        <v>1713</v>
      </c>
    </row>
    <row r="189" spans="1:18" ht="19.5" customHeight="1">
      <c r="A189" s="299" t="s">
        <v>5579</v>
      </c>
      <c r="B189" s="307" t="s">
        <v>274</v>
      </c>
      <c r="C189" s="307"/>
      <c r="D189" s="307"/>
      <c r="E189" s="116" t="s">
        <v>418</v>
      </c>
      <c r="F189" s="116" t="s">
        <v>419</v>
      </c>
      <c r="G189" s="116" t="s">
        <v>414</v>
      </c>
      <c r="H189" s="116" t="s">
        <v>4831</v>
      </c>
      <c r="I189" s="531" t="s">
        <v>14</v>
      </c>
      <c r="J189" s="116" t="s">
        <v>306</v>
      </c>
      <c r="K189" s="118">
        <v>2478</v>
      </c>
      <c r="L189" s="308">
        <v>0</v>
      </c>
      <c r="M189" s="302">
        <v>200</v>
      </c>
      <c r="N189" s="303"/>
      <c r="O189" s="302">
        <v>169</v>
      </c>
      <c r="P189" s="302"/>
      <c r="Q189" s="303"/>
      <c r="R189" s="302">
        <f t="shared" si="2"/>
        <v>31</v>
      </c>
    </row>
    <row r="190" spans="1:18" ht="19.5" customHeight="1">
      <c r="A190" s="2">
        <v>37</v>
      </c>
      <c r="B190" s="64" t="s">
        <v>274</v>
      </c>
      <c r="C190" s="64"/>
      <c r="D190" s="64"/>
      <c r="E190" s="116" t="s">
        <v>434</v>
      </c>
      <c r="F190" s="116" t="s">
        <v>436</v>
      </c>
      <c r="G190" s="116" t="s">
        <v>437</v>
      </c>
      <c r="H190" s="116" t="s">
        <v>435</v>
      </c>
      <c r="I190" s="116" t="s">
        <v>15</v>
      </c>
      <c r="J190" s="116" t="s">
        <v>241</v>
      </c>
      <c r="K190" s="63">
        <v>18480</v>
      </c>
      <c r="L190" s="63">
        <v>200</v>
      </c>
      <c r="M190" s="63">
        <v>6</v>
      </c>
      <c r="N190" s="63"/>
      <c r="O190" s="63">
        <v>118</v>
      </c>
      <c r="P190" s="63"/>
      <c r="Q190" s="63"/>
      <c r="R190" s="302">
        <f t="shared" si="2"/>
        <v>88</v>
      </c>
    </row>
    <row r="191" spans="1:18" ht="19.5" customHeight="1">
      <c r="A191" s="299" t="s">
        <v>5580</v>
      </c>
      <c r="B191" s="466" t="s">
        <v>9188</v>
      </c>
      <c r="C191" s="541"/>
      <c r="D191" s="541"/>
      <c r="E191" s="505" t="s">
        <v>3527</v>
      </c>
      <c r="F191" s="505" t="s">
        <v>5872</v>
      </c>
      <c r="G191" s="505" t="s">
        <v>955</v>
      </c>
      <c r="H191" s="542" t="s">
        <v>272</v>
      </c>
      <c r="I191" s="505" t="s">
        <v>12</v>
      </c>
      <c r="J191" s="505" t="s">
        <v>11443</v>
      </c>
      <c r="K191" s="466">
        <v>5090</v>
      </c>
      <c r="L191" s="543">
        <v>1422</v>
      </c>
      <c r="M191" s="467">
        <v>0</v>
      </c>
      <c r="N191" s="468"/>
      <c r="O191" s="467">
        <v>1422</v>
      </c>
      <c r="P191" s="543"/>
      <c r="Q191" s="543"/>
      <c r="R191" s="302">
        <f t="shared" si="2"/>
        <v>0</v>
      </c>
    </row>
    <row r="192" spans="1:18" ht="19.5" customHeight="1">
      <c r="A192" s="304" t="s">
        <v>5582</v>
      </c>
      <c r="B192" s="11" t="s">
        <v>1084</v>
      </c>
      <c r="C192" s="11"/>
      <c r="D192" s="11"/>
      <c r="E192" s="116" t="s">
        <v>1085</v>
      </c>
      <c r="F192" s="116" t="s">
        <v>1087</v>
      </c>
      <c r="G192" s="116" t="s">
        <v>1088</v>
      </c>
      <c r="H192" s="116" t="s">
        <v>299</v>
      </c>
      <c r="I192" s="116" t="s">
        <v>11</v>
      </c>
      <c r="J192" s="116" t="s">
        <v>1086</v>
      </c>
      <c r="K192" s="63">
        <v>6990</v>
      </c>
      <c r="L192" s="63">
        <f>7980+1308</f>
        <v>9288</v>
      </c>
      <c r="M192" s="63">
        <v>0</v>
      </c>
      <c r="N192" s="63"/>
      <c r="O192" s="63">
        <f>7980+1308</f>
        <v>9288</v>
      </c>
      <c r="P192" s="63"/>
      <c r="Q192" s="63"/>
      <c r="R192" s="302">
        <f t="shared" si="2"/>
        <v>0</v>
      </c>
    </row>
    <row r="193" spans="1:18" ht="19.5" customHeight="1">
      <c r="A193" s="304" t="s">
        <v>5584</v>
      </c>
      <c r="B193" s="11" t="s">
        <v>1352</v>
      </c>
      <c r="C193" s="11"/>
      <c r="D193" s="11"/>
      <c r="E193" s="116" t="s">
        <v>1353</v>
      </c>
      <c r="F193" s="116" t="s">
        <v>1354</v>
      </c>
      <c r="G193" s="116" t="s">
        <v>360</v>
      </c>
      <c r="H193" s="116" t="s">
        <v>327</v>
      </c>
      <c r="I193" s="116" t="s">
        <v>11</v>
      </c>
      <c r="J193" s="116" t="s">
        <v>647</v>
      </c>
      <c r="K193" s="63">
        <v>218</v>
      </c>
      <c r="L193" s="63">
        <v>4836</v>
      </c>
      <c r="M193" s="63"/>
      <c r="N193" s="63"/>
      <c r="O193" s="63">
        <v>4836</v>
      </c>
      <c r="P193" s="63"/>
      <c r="Q193" s="63"/>
      <c r="R193" s="302">
        <f t="shared" si="2"/>
        <v>0</v>
      </c>
    </row>
    <row r="194" spans="1:18" ht="19.5" customHeight="1">
      <c r="A194" s="299" t="s">
        <v>5586</v>
      </c>
      <c r="B194" s="67" t="s">
        <v>1156</v>
      </c>
      <c r="C194" s="11"/>
      <c r="D194" s="11"/>
      <c r="E194" s="502" t="s">
        <v>1157</v>
      </c>
      <c r="F194" s="502" t="s">
        <v>1158</v>
      </c>
      <c r="G194" s="502" t="s">
        <v>1159</v>
      </c>
      <c r="H194" s="502" t="s">
        <v>262</v>
      </c>
      <c r="I194" s="502" t="s">
        <v>11</v>
      </c>
      <c r="J194" s="502" t="s">
        <v>626</v>
      </c>
      <c r="K194" s="63">
        <v>1800</v>
      </c>
      <c r="L194" s="63">
        <v>3600</v>
      </c>
      <c r="M194" s="63">
        <v>0</v>
      </c>
      <c r="N194" s="63"/>
      <c r="O194" s="63">
        <v>3600</v>
      </c>
      <c r="P194" s="63"/>
      <c r="Q194" s="63"/>
      <c r="R194" s="302">
        <f t="shared" si="2"/>
        <v>0</v>
      </c>
    </row>
    <row r="195" spans="1:18" ht="19.5" customHeight="1">
      <c r="A195" s="2">
        <v>38</v>
      </c>
      <c r="B195" s="11" t="s">
        <v>1323</v>
      </c>
      <c r="C195" s="11"/>
      <c r="D195" s="11"/>
      <c r="E195" s="116" t="s">
        <v>1324</v>
      </c>
      <c r="F195" s="116" t="s">
        <v>1325</v>
      </c>
      <c r="G195" s="116" t="s">
        <v>360</v>
      </c>
      <c r="H195" s="116" t="s">
        <v>390</v>
      </c>
      <c r="I195" s="116" t="s">
        <v>11</v>
      </c>
      <c r="J195" s="116" t="s">
        <v>642</v>
      </c>
      <c r="K195" s="63">
        <v>27</v>
      </c>
      <c r="L195" s="63">
        <f>142+565</f>
        <v>707</v>
      </c>
      <c r="M195" s="63">
        <v>12</v>
      </c>
      <c r="N195" s="63"/>
      <c r="O195" s="63">
        <f>141+575</f>
        <v>716</v>
      </c>
      <c r="P195" s="63"/>
      <c r="Q195" s="63"/>
      <c r="R195" s="302">
        <f t="shared" si="2"/>
        <v>3</v>
      </c>
    </row>
    <row r="196" spans="1:18" ht="19.5" customHeight="1">
      <c r="A196" s="299" t="s">
        <v>5587</v>
      </c>
      <c r="B196" s="307" t="s">
        <v>260</v>
      </c>
      <c r="C196" s="307"/>
      <c r="D196" s="307"/>
      <c r="E196" s="116" t="s">
        <v>261</v>
      </c>
      <c r="F196" s="116" t="s">
        <v>264</v>
      </c>
      <c r="G196" s="116" t="s">
        <v>255</v>
      </c>
      <c r="H196" s="116" t="s">
        <v>262</v>
      </c>
      <c r="I196" s="531" t="s">
        <v>10</v>
      </c>
      <c r="J196" s="116" t="s">
        <v>1350</v>
      </c>
      <c r="K196" s="118">
        <v>1638</v>
      </c>
      <c r="L196" s="308">
        <v>2115</v>
      </c>
      <c r="M196" s="302">
        <v>1009</v>
      </c>
      <c r="N196" s="303"/>
      <c r="O196" s="302">
        <f>345+2124</f>
        <v>2469</v>
      </c>
      <c r="P196" s="302"/>
      <c r="Q196" s="303"/>
      <c r="R196" s="302">
        <f t="shared" si="2"/>
        <v>655</v>
      </c>
    </row>
    <row r="197" spans="1:18" ht="19.5" customHeight="1">
      <c r="A197" s="304" t="s">
        <v>5589</v>
      </c>
      <c r="B197" s="11" t="s">
        <v>2150</v>
      </c>
      <c r="C197" s="4"/>
      <c r="D197" s="4"/>
      <c r="E197" s="116" t="s">
        <v>61</v>
      </c>
      <c r="F197" s="519" t="s">
        <v>2151</v>
      </c>
      <c r="G197" s="117" t="s">
        <v>2152</v>
      </c>
      <c r="H197" s="530" t="s">
        <v>62</v>
      </c>
      <c r="I197" s="117" t="s">
        <v>12</v>
      </c>
      <c r="J197" s="117" t="s">
        <v>2829</v>
      </c>
      <c r="K197" s="63">
        <v>5000</v>
      </c>
      <c r="L197" s="63">
        <v>2880</v>
      </c>
      <c r="M197" s="63"/>
      <c r="N197" s="63"/>
      <c r="O197" s="63">
        <v>2880</v>
      </c>
      <c r="P197" s="63"/>
      <c r="Q197" s="63"/>
      <c r="R197" s="302">
        <f t="shared" si="2"/>
        <v>0</v>
      </c>
    </row>
    <row r="198" spans="1:18" ht="19.5" customHeight="1">
      <c r="A198" s="304" t="s">
        <v>5590</v>
      </c>
      <c r="B198" s="67" t="s">
        <v>816</v>
      </c>
      <c r="C198" s="11"/>
      <c r="D198" s="11"/>
      <c r="E198" s="502" t="s">
        <v>1236</v>
      </c>
      <c r="F198" s="502" t="s">
        <v>1238</v>
      </c>
      <c r="G198" s="502" t="s">
        <v>954</v>
      </c>
      <c r="H198" s="502" t="s">
        <v>299</v>
      </c>
      <c r="I198" s="502" t="s">
        <v>11</v>
      </c>
      <c r="J198" s="502" t="s">
        <v>1237</v>
      </c>
      <c r="K198" s="63">
        <v>9450</v>
      </c>
      <c r="L198" s="63">
        <v>15398</v>
      </c>
      <c r="M198" s="63">
        <v>6</v>
      </c>
      <c r="N198" s="63"/>
      <c r="O198" s="63">
        <v>15404</v>
      </c>
      <c r="P198" s="63"/>
      <c r="Q198" s="63"/>
      <c r="R198" s="302">
        <f t="shared" si="2"/>
        <v>0</v>
      </c>
    </row>
    <row r="199" spans="1:18" ht="19.5" customHeight="1">
      <c r="A199" s="299" t="s">
        <v>5592</v>
      </c>
      <c r="B199" s="305" t="s">
        <v>544</v>
      </c>
      <c r="C199" s="305"/>
      <c r="D199" s="305"/>
      <c r="E199" s="305" t="s">
        <v>544</v>
      </c>
      <c r="F199" s="305" t="s">
        <v>7813</v>
      </c>
      <c r="G199" s="305" t="s">
        <v>7001</v>
      </c>
      <c r="H199" s="305" t="s">
        <v>546</v>
      </c>
      <c r="I199" s="305" t="s">
        <v>11</v>
      </c>
      <c r="J199" s="116" t="s">
        <v>859</v>
      </c>
      <c r="K199" s="119">
        <v>252</v>
      </c>
      <c r="L199" s="119">
        <v>0</v>
      </c>
      <c r="M199" s="302">
        <v>1000</v>
      </c>
      <c r="N199" s="303"/>
      <c r="O199" s="302"/>
      <c r="P199" s="302"/>
      <c r="Q199" s="303"/>
      <c r="R199" s="302">
        <f t="shared" si="2"/>
        <v>1000</v>
      </c>
    </row>
    <row r="200" spans="1:18" ht="19.5" customHeight="1">
      <c r="A200" s="2">
        <v>39</v>
      </c>
      <c r="B200" s="466" t="s">
        <v>11424</v>
      </c>
      <c r="C200" s="541"/>
      <c r="D200" s="541"/>
      <c r="E200" s="469" t="s">
        <v>3879</v>
      </c>
      <c r="F200" s="469" t="s">
        <v>11425</v>
      </c>
      <c r="G200" s="469" t="s">
        <v>2137</v>
      </c>
      <c r="H200" s="542" t="s">
        <v>550</v>
      </c>
      <c r="I200" s="469" t="s">
        <v>10</v>
      </c>
      <c r="J200" s="469" t="s">
        <v>859</v>
      </c>
      <c r="K200" s="466">
        <v>1900</v>
      </c>
      <c r="L200" s="543">
        <v>9088</v>
      </c>
      <c r="M200" s="467">
        <v>0</v>
      </c>
      <c r="N200" s="468"/>
      <c r="O200" s="467">
        <v>9088</v>
      </c>
      <c r="P200" s="543"/>
      <c r="Q200" s="543"/>
      <c r="R200" s="302">
        <f t="shared" si="2"/>
        <v>0</v>
      </c>
    </row>
    <row r="201" spans="1:18" ht="19.5" customHeight="1">
      <c r="A201" s="299" t="s">
        <v>5594</v>
      </c>
      <c r="B201" s="305" t="s">
        <v>1488</v>
      </c>
      <c r="C201" s="305"/>
      <c r="D201" s="305"/>
      <c r="E201" s="305" t="s">
        <v>3881</v>
      </c>
      <c r="F201" s="305" t="s">
        <v>6130</v>
      </c>
      <c r="G201" s="305" t="s">
        <v>6131</v>
      </c>
      <c r="H201" s="305" t="s">
        <v>1173</v>
      </c>
      <c r="I201" s="305" t="s">
        <v>11</v>
      </c>
      <c r="J201" s="116" t="s">
        <v>1066</v>
      </c>
      <c r="K201" s="119">
        <v>4053</v>
      </c>
      <c r="L201" s="119">
        <v>0</v>
      </c>
      <c r="M201" s="302">
        <v>14363</v>
      </c>
      <c r="N201" s="303"/>
      <c r="O201" s="302">
        <v>4052</v>
      </c>
      <c r="P201" s="302"/>
      <c r="Q201" s="303"/>
      <c r="R201" s="302">
        <f t="shared" si="2"/>
        <v>10311</v>
      </c>
    </row>
    <row r="202" spans="1:18" ht="19.5" customHeight="1">
      <c r="A202" s="304" t="s">
        <v>5595</v>
      </c>
      <c r="B202" s="16" t="s">
        <v>11426</v>
      </c>
      <c r="C202" s="541"/>
      <c r="D202" s="541"/>
      <c r="E202" s="469" t="s">
        <v>63</v>
      </c>
      <c r="F202" s="469" t="s">
        <v>2387</v>
      </c>
      <c r="G202" s="469" t="s">
        <v>2388</v>
      </c>
      <c r="H202" s="542" t="s">
        <v>11448</v>
      </c>
      <c r="I202" s="469" t="s">
        <v>12</v>
      </c>
      <c r="J202" s="469" t="s">
        <v>11444</v>
      </c>
      <c r="K202" s="466">
        <v>9500</v>
      </c>
      <c r="L202" s="543">
        <v>3436</v>
      </c>
      <c r="M202" s="467">
        <v>500</v>
      </c>
      <c r="N202" s="468"/>
      <c r="O202" s="467">
        <v>3936</v>
      </c>
      <c r="P202" s="543"/>
      <c r="Q202" s="543"/>
      <c r="R202" s="302">
        <f t="shared" ref="R202:R265" si="3">L202+M202-O202</f>
        <v>0</v>
      </c>
    </row>
    <row r="203" spans="1:18" ht="19.5" customHeight="1">
      <c r="A203" s="304" t="s">
        <v>5597</v>
      </c>
      <c r="B203" s="67" t="s">
        <v>2077</v>
      </c>
      <c r="C203" s="11"/>
      <c r="D203" s="11"/>
      <c r="E203" s="502" t="s">
        <v>2078</v>
      </c>
      <c r="F203" s="116" t="s">
        <v>2081</v>
      </c>
      <c r="G203" s="116" t="s">
        <v>2082</v>
      </c>
      <c r="H203" s="502" t="s">
        <v>2079</v>
      </c>
      <c r="I203" s="116" t="s">
        <v>14</v>
      </c>
      <c r="J203" s="502" t="s">
        <v>2080</v>
      </c>
      <c r="K203" s="63">
        <v>16074</v>
      </c>
      <c r="L203" s="63">
        <v>1078</v>
      </c>
      <c r="M203" s="63">
        <v>48</v>
      </c>
      <c r="N203" s="63"/>
      <c r="O203" s="63">
        <v>1126</v>
      </c>
      <c r="P203" s="63">
        <v>298</v>
      </c>
      <c r="Q203" s="63"/>
      <c r="R203" s="302">
        <f t="shared" si="3"/>
        <v>0</v>
      </c>
    </row>
    <row r="204" spans="1:18" ht="19.5" customHeight="1">
      <c r="A204" s="299" t="s">
        <v>5599</v>
      </c>
      <c r="B204" s="305" t="s">
        <v>788</v>
      </c>
      <c r="C204" s="305"/>
      <c r="D204" s="305"/>
      <c r="E204" s="305" t="s">
        <v>3884</v>
      </c>
      <c r="F204" s="305" t="s">
        <v>7737</v>
      </c>
      <c r="G204" s="305" t="s">
        <v>7211</v>
      </c>
      <c r="H204" s="305" t="s">
        <v>390</v>
      </c>
      <c r="I204" s="305" t="s">
        <v>11</v>
      </c>
      <c r="J204" s="116" t="s">
        <v>859</v>
      </c>
      <c r="K204" s="119">
        <v>365</v>
      </c>
      <c r="L204" s="119">
        <v>0</v>
      </c>
      <c r="M204" s="302">
        <v>5490</v>
      </c>
      <c r="N204" s="303"/>
      <c r="O204" s="302">
        <v>5490</v>
      </c>
      <c r="P204" s="302"/>
      <c r="Q204" s="303"/>
      <c r="R204" s="302">
        <f t="shared" si="3"/>
        <v>0</v>
      </c>
    </row>
    <row r="205" spans="1:18" ht="19.5" customHeight="1">
      <c r="A205" s="2">
        <v>40</v>
      </c>
      <c r="B205" s="305" t="s">
        <v>1976</v>
      </c>
      <c r="C205" s="305"/>
      <c r="D205" s="305"/>
      <c r="E205" s="305" t="s">
        <v>1977</v>
      </c>
      <c r="F205" s="305" t="s">
        <v>8114</v>
      </c>
      <c r="G205" s="305" t="s">
        <v>1946</v>
      </c>
      <c r="H205" s="305" t="s">
        <v>1978</v>
      </c>
      <c r="I205" s="305" t="s">
        <v>11</v>
      </c>
      <c r="J205" s="305" t="s">
        <v>845</v>
      </c>
      <c r="K205" s="119">
        <v>2499</v>
      </c>
      <c r="L205" s="119">
        <v>163</v>
      </c>
      <c r="M205" s="302">
        <f>3+6000+12000+30000+30000</f>
        <v>78003</v>
      </c>
      <c r="N205" s="303"/>
      <c r="O205" s="302">
        <f>153+13+7623+29720+30000</f>
        <v>67509</v>
      </c>
      <c r="P205" s="302"/>
      <c r="Q205" s="303"/>
      <c r="R205" s="302">
        <f t="shared" si="3"/>
        <v>10657</v>
      </c>
    </row>
    <row r="206" spans="1:18" ht="19.5" customHeight="1">
      <c r="A206" s="299" t="s">
        <v>5606</v>
      </c>
      <c r="B206" s="11" t="s">
        <v>1055</v>
      </c>
      <c r="C206" s="11"/>
      <c r="D206" s="11"/>
      <c r="E206" s="116" t="s">
        <v>1056</v>
      </c>
      <c r="F206" s="116" t="s">
        <v>1059</v>
      </c>
      <c r="G206" s="116" t="s">
        <v>336</v>
      </c>
      <c r="H206" s="116" t="s">
        <v>1057</v>
      </c>
      <c r="I206" s="116" t="s">
        <v>18</v>
      </c>
      <c r="J206" s="116" t="s">
        <v>1058</v>
      </c>
      <c r="K206" s="63">
        <v>6300</v>
      </c>
      <c r="L206" s="63">
        <v>78</v>
      </c>
      <c r="M206" s="63">
        <v>0</v>
      </c>
      <c r="N206" s="63"/>
      <c r="O206" s="63">
        <v>59</v>
      </c>
      <c r="P206" s="63">
        <v>15</v>
      </c>
      <c r="Q206" s="63"/>
      <c r="R206" s="302">
        <f t="shared" si="3"/>
        <v>19</v>
      </c>
    </row>
    <row r="207" spans="1:18" ht="19.5" customHeight="1">
      <c r="A207" s="304" t="s">
        <v>5609</v>
      </c>
      <c r="B207" s="305" t="s">
        <v>3890</v>
      </c>
      <c r="C207" s="305"/>
      <c r="D207" s="305"/>
      <c r="E207" s="305" t="s">
        <v>3891</v>
      </c>
      <c r="F207" s="305" t="s">
        <v>5648</v>
      </c>
      <c r="G207" s="305" t="s">
        <v>298</v>
      </c>
      <c r="H207" s="305" t="s">
        <v>3892</v>
      </c>
      <c r="I207" s="305" t="s">
        <v>520</v>
      </c>
      <c r="J207" s="305" t="s">
        <v>8992</v>
      </c>
      <c r="K207" s="119">
        <v>30048</v>
      </c>
      <c r="L207" s="119">
        <v>31</v>
      </c>
      <c r="M207" s="302">
        <v>20</v>
      </c>
      <c r="N207" s="303"/>
      <c r="O207" s="302">
        <v>34</v>
      </c>
      <c r="P207" s="302">
        <v>29</v>
      </c>
      <c r="Q207" s="303"/>
      <c r="R207" s="302">
        <f t="shared" si="3"/>
        <v>17</v>
      </c>
    </row>
    <row r="208" spans="1:18" ht="19.5" customHeight="1">
      <c r="A208" s="304" t="s">
        <v>5615</v>
      </c>
      <c r="B208" s="11" t="s">
        <v>294</v>
      </c>
      <c r="C208" s="11"/>
      <c r="D208" s="11"/>
      <c r="E208" s="116" t="s">
        <v>11455</v>
      </c>
      <c r="F208" s="116" t="s">
        <v>297</v>
      </c>
      <c r="G208" s="116" t="s">
        <v>298</v>
      </c>
      <c r="H208" s="116" t="s">
        <v>296</v>
      </c>
      <c r="I208" s="116" t="s">
        <v>10</v>
      </c>
      <c r="J208" s="116" t="s">
        <v>647</v>
      </c>
      <c r="K208" s="63">
        <v>6750</v>
      </c>
      <c r="L208" s="63">
        <v>110</v>
      </c>
      <c r="M208" s="63">
        <v>300</v>
      </c>
      <c r="N208" s="63"/>
      <c r="O208" s="63">
        <v>187</v>
      </c>
      <c r="P208" s="63">
        <v>24</v>
      </c>
      <c r="Q208" s="63"/>
      <c r="R208" s="302">
        <f t="shared" si="3"/>
        <v>223</v>
      </c>
    </row>
    <row r="209" spans="1:18" ht="19.5" customHeight="1">
      <c r="A209" s="299" t="s">
        <v>5623</v>
      </c>
      <c r="B209" s="16" t="s">
        <v>11427</v>
      </c>
      <c r="C209" s="541"/>
      <c r="D209" s="541"/>
      <c r="E209" s="469" t="s">
        <v>3895</v>
      </c>
      <c r="F209" s="469" t="s">
        <v>11429</v>
      </c>
      <c r="G209" s="469" t="s">
        <v>11428</v>
      </c>
      <c r="H209" s="542" t="s">
        <v>369</v>
      </c>
      <c r="I209" s="469" t="s">
        <v>10</v>
      </c>
      <c r="J209" s="469" t="s">
        <v>859</v>
      </c>
      <c r="K209" s="466">
        <v>2480</v>
      </c>
      <c r="L209" s="543">
        <v>5422</v>
      </c>
      <c r="M209" s="467">
        <v>0</v>
      </c>
      <c r="N209" s="468"/>
      <c r="O209" s="467">
        <v>5422</v>
      </c>
      <c r="P209" s="543"/>
      <c r="Q209" s="543"/>
      <c r="R209" s="302">
        <f t="shared" si="3"/>
        <v>0</v>
      </c>
    </row>
    <row r="210" spans="1:18" ht="19.5" customHeight="1">
      <c r="A210" s="2">
        <v>41</v>
      </c>
      <c r="B210" s="305" t="s">
        <v>841</v>
      </c>
      <c r="C210" s="305"/>
      <c r="D210" s="305"/>
      <c r="E210" s="305" t="s">
        <v>4488</v>
      </c>
      <c r="F210" s="305" t="s">
        <v>7407</v>
      </c>
      <c r="G210" s="305" t="s">
        <v>1449</v>
      </c>
      <c r="H210" s="305" t="s">
        <v>4489</v>
      </c>
      <c r="I210" s="305" t="s">
        <v>11</v>
      </c>
      <c r="J210" s="116" t="s">
        <v>859</v>
      </c>
      <c r="K210" s="119">
        <v>215</v>
      </c>
      <c r="L210" s="119"/>
      <c r="M210" s="302">
        <v>800</v>
      </c>
      <c r="N210" s="303"/>
      <c r="O210" s="302">
        <v>800</v>
      </c>
      <c r="P210" s="302"/>
      <c r="Q210" s="303"/>
      <c r="R210" s="302">
        <f t="shared" si="3"/>
        <v>0</v>
      </c>
    </row>
    <row r="211" spans="1:18" ht="19.5" customHeight="1">
      <c r="A211" s="299" t="s">
        <v>5628</v>
      </c>
      <c r="B211" s="305" t="s">
        <v>3898</v>
      </c>
      <c r="C211" s="305"/>
      <c r="D211" s="305"/>
      <c r="E211" s="305" t="s">
        <v>3897</v>
      </c>
      <c r="F211" s="305" t="s">
        <v>1009</v>
      </c>
      <c r="G211" s="305" t="s">
        <v>1010</v>
      </c>
      <c r="H211" s="305" t="s">
        <v>3899</v>
      </c>
      <c r="I211" s="305" t="s">
        <v>11</v>
      </c>
      <c r="J211" s="116" t="s">
        <v>859</v>
      </c>
      <c r="K211" s="119">
        <v>6589</v>
      </c>
      <c r="L211" s="119">
        <f>59+330</f>
        <v>389</v>
      </c>
      <c r="M211" s="302">
        <f>2400+600+1500+450-330</f>
        <v>4620</v>
      </c>
      <c r="N211" s="303"/>
      <c r="O211" s="302">
        <f>1+300+1500+600+2400</f>
        <v>4801</v>
      </c>
      <c r="P211" s="302"/>
      <c r="Q211" s="303"/>
      <c r="R211" s="302">
        <f t="shared" si="3"/>
        <v>208</v>
      </c>
    </row>
    <row r="212" spans="1:18" ht="19.5" customHeight="1">
      <c r="A212" s="304" t="s">
        <v>5633</v>
      </c>
      <c r="B212" s="67" t="s">
        <v>1002</v>
      </c>
      <c r="C212" s="11"/>
      <c r="D212" s="11"/>
      <c r="E212" s="502" t="s">
        <v>1003</v>
      </c>
      <c r="F212" s="502" t="s">
        <v>1005</v>
      </c>
      <c r="G212" s="502" t="s">
        <v>312</v>
      </c>
      <c r="H212" s="502" t="s">
        <v>1004</v>
      </c>
      <c r="I212" s="502" t="s">
        <v>10</v>
      </c>
      <c r="J212" s="502" t="s">
        <v>623</v>
      </c>
      <c r="K212" s="63">
        <v>5650</v>
      </c>
      <c r="L212" s="63">
        <v>254</v>
      </c>
      <c r="M212" s="63">
        <v>7</v>
      </c>
      <c r="N212" s="63"/>
      <c r="O212" s="63">
        <v>206</v>
      </c>
      <c r="P212" s="63"/>
      <c r="Q212" s="63"/>
      <c r="R212" s="302">
        <f t="shared" si="3"/>
        <v>55</v>
      </c>
    </row>
    <row r="213" spans="1:18" ht="19.5" customHeight="1">
      <c r="A213" s="304" t="s">
        <v>5640</v>
      </c>
      <c r="B213" s="305" t="s">
        <v>1245</v>
      </c>
      <c r="C213" s="305"/>
      <c r="D213" s="305"/>
      <c r="E213" s="305" t="s">
        <v>3904</v>
      </c>
      <c r="F213" s="305" t="s">
        <v>2850</v>
      </c>
      <c r="G213" s="305" t="s">
        <v>312</v>
      </c>
      <c r="H213" s="305" t="s">
        <v>3905</v>
      </c>
      <c r="I213" s="305" t="s">
        <v>11</v>
      </c>
      <c r="J213" s="116" t="s">
        <v>1066</v>
      </c>
      <c r="K213" s="119">
        <v>6500</v>
      </c>
      <c r="L213" s="119">
        <v>0</v>
      </c>
      <c r="M213" s="302">
        <v>3000</v>
      </c>
      <c r="N213" s="303"/>
      <c r="O213" s="302">
        <v>3000</v>
      </c>
      <c r="P213" s="302"/>
      <c r="Q213" s="303"/>
      <c r="R213" s="302">
        <f t="shared" si="3"/>
        <v>0</v>
      </c>
    </row>
    <row r="214" spans="1:18" ht="19.5" customHeight="1">
      <c r="A214" s="299" t="s">
        <v>5645</v>
      </c>
      <c r="B214" s="309" t="s">
        <v>8522</v>
      </c>
      <c r="C214" s="309"/>
      <c r="D214" s="309"/>
      <c r="E214" s="309" t="s">
        <v>4630</v>
      </c>
      <c r="F214" s="309" t="s">
        <v>8524</v>
      </c>
      <c r="G214" s="309" t="s">
        <v>8525</v>
      </c>
      <c r="H214" s="309" t="s">
        <v>272</v>
      </c>
      <c r="I214" s="309" t="s">
        <v>11</v>
      </c>
      <c r="J214" s="309" t="s">
        <v>9019</v>
      </c>
      <c r="K214" s="63">
        <v>3600</v>
      </c>
      <c r="L214" s="310">
        <v>0</v>
      </c>
      <c r="M214" s="302">
        <v>9000</v>
      </c>
      <c r="N214" s="303"/>
      <c r="O214" s="302">
        <v>236</v>
      </c>
      <c r="P214" s="302"/>
      <c r="Q214" s="303"/>
      <c r="R214" s="302">
        <f t="shared" si="3"/>
        <v>8764</v>
      </c>
    </row>
    <row r="215" spans="1:18" ht="19.5" customHeight="1">
      <c r="A215" s="2">
        <v>42</v>
      </c>
      <c r="B215" s="11" t="s">
        <v>683</v>
      </c>
      <c r="C215" s="11"/>
      <c r="D215" s="11"/>
      <c r="E215" s="116" t="s">
        <v>2571</v>
      </c>
      <c r="F215" s="116" t="s">
        <v>2853</v>
      </c>
      <c r="G215" s="116" t="s">
        <v>2731</v>
      </c>
      <c r="H215" s="116" t="s">
        <v>691</v>
      </c>
      <c r="I215" s="116" t="s">
        <v>11</v>
      </c>
      <c r="J215" s="116" t="s">
        <v>884</v>
      </c>
      <c r="K215" s="63">
        <v>6240</v>
      </c>
      <c r="L215" s="63">
        <v>1</v>
      </c>
      <c r="M215" s="63">
        <v>0</v>
      </c>
      <c r="N215" s="63"/>
      <c r="O215" s="63">
        <v>1</v>
      </c>
      <c r="P215" s="63"/>
      <c r="Q215" s="63"/>
      <c r="R215" s="302">
        <f t="shared" si="3"/>
        <v>0</v>
      </c>
    </row>
    <row r="216" spans="1:18" ht="19.5" customHeight="1">
      <c r="A216" s="299" t="s">
        <v>5649</v>
      </c>
      <c r="B216" s="11" t="s">
        <v>1481</v>
      </c>
      <c r="C216" s="11"/>
      <c r="D216" s="11"/>
      <c r="E216" s="502" t="s">
        <v>1689</v>
      </c>
      <c r="F216" s="116" t="s">
        <v>1691</v>
      </c>
      <c r="G216" s="116" t="s">
        <v>458</v>
      </c>
      <c r="H216" s="116" t="s">
        <v>1690</v>
      </c>
      <c r="I216" s="116" t="s">
        <v>10</v>
      </c>
      <c r="J216" s="116" t="s">
        <v>1239</v>
      </c>
      <c r="K216" s="63">
        <v>3400</v>
      </c>
      <c r="L216" s="63">
        <v>2</v>
      </c>
      <c r="M216" s="63">
        <v>0</v>
      </c>
      <c r="N216" s="63"/>
      <c r="O216" s="63">
        <v>2</v>
      </c>
      <c r="P216" s="63"/>
      <c r="Q216" s="63"/>
      <c r="R216" s="302">
        <f t="shared" si="3"/>
        <v>0</v>
      </c>
    </row>
    <row r="217" spans="1:18" ht="19.5" customHeight="1">
      <c r="A217" s="304" t="s">
        <v>5656</v>
      </c>
      <c r="B217" s="305" t="s">
        <v>1481</v>
      </c>
      <c r="C217" s="305"/>
      <c r="D217" s="305"/>
      <c r="E217" s="305" t="s">
        <v>3908</v>
      </c>
      <c r="F217" s="305" t="s">
        <v>1691</v>
      </c>
      <c r="G217" s="305" t="s">
        <v>854</v>
      </c>
      <c r="H217" s="305" t="s">
        <v>1690</v>
      </c>
      <c r="I217" s="305" t="s">
        <v>11</v>
      </c>
      <c r="J217" s="116" t="s">
        <v>859</v>
      </c>
      <c r="K217" s="119">
        <v>3450</v>
      </c>
      <c r="L217" s="119">
        <v>0</v>
      </c>
      <c r="M217" s="302">
        <v>9990</v>
      </c>
      <c r="N217" s="303"/>
      <c r="O217" s="302">
        <v>2220</v>
      </c>
      <c r="P217" s="302"/>
      <c r="Q217" s="303"/>
      <c r="R217" s="302">
        <f t="shared" si="3"/>
        <v>7770</v>
      </c>
    </row>
    <row r="218" spans="1:18" ht="19.5" customHeight="1">
      <c r="A218" s="304" t="s">
        <v>5662</v>
      </c>
      <c r="B218" s="65" t="s">
        <v>1167</v>
      </c>
      <c r="C218" s="11"/>
      <c r="D218" s="11"/>
      <c r="E218" s="504" t="s">
        <v>2467</v>
      </c>
      <c r="F218" s="116" t="s">
        <v>2854</v>
      </c>
      <c r="G218" s="116" t="s">
        <v>360</v>
      </c>
      <c r="H218" s="504" t="s">
        <v>291</v>
      </c>
      <c r="I218" s="116" t="s">
        <v>11</v>
      </c>
      <c r="J218" s="116" t="s">
        <v>1329</v>
      </c>
      <c r="K218" s="63">
        <v>614</v>
      </c>
      <c r="L218" s="63">
        <v>4133</v>
      </c>
      <c r="M218" s="63">
        <v>0</v>
      </c>
      <c r="N218" s="63"/>
      <c r="O218" s="63">
        <v>4133</v>
      </c>
      <c r="P218" s="63">
        <v>4000</v>
      </c>
      <c r="Q218" s="63"/>
      <c r="R218" s="302">
        <f t="shared" si="3"/>
        <v>0</v>
      </c>
    </row>
    <row r="219" spans="1:18" ht="19.5" customHeight="1">
      <c r="A219" s="299" t="s">
        <v>5668</v>
      </c>
      <c r="B219" s="309" t="s">
        <v>2276</v>
      </c>
      <c r="C219" s="309"/>
      <c r="D219" s="309"/>
      <c r="E219" s="309" t="s">
        <v>2277</v>
      </c>
      <c r="F219" s="309" t="s">
        <v>2279</v>
      </c>
      <c r="G219" s="309" t="s">
        <v>2253</v>
      </c>
      <c r="H219" s="309" t="s">
        <v>2278</v>
      </c>
      <c r="I219" s="309" t="s">
        <v>11</v>
      </c>
      <c r="J219" s="309" t="s">
        <v>9019</v>
      </c>
      <c r="K219" s="63">
        <v>1150</v>
      </c>
      <c r="L219" s="310">
        <v>0</v>
      </c>
      <c r="M219" s="302">
        <f>5000+9600</f>
        <v>14600</v>
      </c>
      <c r="N219" s="303"/>
      <c r="O219" s="302">
        <v>6783</v>
      </c>
      <c r="P219" s="302"/>
      <c r="Q219" s="303"/>
      <c r="R219" s="302">
        <f t="shared" si="3"/>
        <v>7817</v>
      </c>
    </row>
    <row r="220" spans="1:18" ht="19.5" customHeight="1">
      <c r="A220" s="2">
        <v>43</v>
      </c>
      <c r="B220" s="67" t="s">
        <v>1012</v>
      </c>
      <c r="C220" s="11"/>
      <c r="D220" s="11"/>
      <c r="E220" s="502" t="s">
        <v>1013</v>
      </c>
      <c r="F220" s="502" t="s">
        <v>1015</v>
      </c>
      <c r="G220" s="502" t="s">
        <v>312</v>
      </c>
      <c r="H220" s="502" t="s">
        <v>1014</v>
      </c>
      <c r="I220" s="502" t="s">
        <v>10</v>
      </c>
      <c r="J220" s="502" t="s">
        <v>626</v>
      </c>
      <c r="K220" s="63">
        <v>3258</v>
      </c>
      <c r="L220" s="63">
        <v>147</v>
      </c>
      <c r="M220" s="63">
        <v>0</v>
      </c>
      <c r="N220" s="63"/>
      <c r="O220" s="63">
        <v>5</v>
      </c>
      <c r="P220" s="63"/>
      <c r="Q220" s="63"/>
      <c r="R220" s="302">
        <f t="shared" si="3"/>
        <v>142</v>
      </c>
    </row>
    <row r="221" spans="1:18" ht="19.5" customHeight="1">
      <c r="A221" s="299" t="s">
        <v>5677</v>
      </c>
      <c r="B221" s="67" t="s">
        <v>1012</v>
      </c>
      <c r="C221" s="11"/>
      <c r="D221" s="11"/>
      <c r="E221" s="502" t="s">
        <v>1013</v>
      </c>
      <c r="F221" s="502" t="s">
        <v>1015</v>
      </c>
      <c r="G221" s="502" t="s">
        <v>312</v>
      </c>
      <c r="H221" s="502" t="s">
        <v>1014</v>
      </c>
      <c r="I221" s="502" t="s">
        <v>10</v>
      </c>
      <c r="J221" s="502" t="s">
        <v>626</v>
      </c>
      <c r="K221" s="63">
        <v>2989</v>
      </c>
      <c r="L221" s="63">
        <v>7</v>
      </c>
      <c r="M221" s="63">
        <v>0</v>
      </c>
      <c r="N221" s="63"/>
      <c r="O221" s="63">
        <v>7</v>
      </c>
      <c r="P221" s="63"/>
      <c r="Q221" s="63"/>
      <c r="R221" s="302">
        <f t="shared" si="3"/>
        <v>0</v>
      </c>
    </row>
    <row r="222" spans="1:18" ht="19.5" customHeight="1">
      <c r="A222" s="304" t="s">
        <v>5681</v>
      </c>
      <c r="B222" s="67" t="s">
        <v>2280</v>
      </c>
      <c r="C222" s="11"/>
      <c r="D222" s="11"/>
      <c r="E222" s="116" t="s">
        <v>64</v>
      </c>
      <c r="F222" s="116" t="s">
        <v>2281</v>
      </c>
      <c r="G222" s="116" t="s">
        <v>2253</v>
      </c>
      <c r="H222" s="116" t="s">
        <v>65</v>
      </c>
      <c r="I222" s="116" t="s">
        <v>16</v>
      </c>
      <c r="J222" s="116" t="s">
        <v>1715</v>
      </c>
      <c r="K222" s="63">
        <v>1700</v>
      </c>
      <c r="L222" s="63">
        <v>19700</v>
      </c>
      <c r="M222" s="63"/>
      <c r="N222" s="63"/>
      <c r="O222" s="63">
        <v>19700</v>
      </c>
      <c r="P222" s="63"/>
      <c r="Q222" s="63"/>
      <c r="R222" s="302">
        <f t="shared" si="3"/>
        <v>0</v>
      </c>
    </row>
    <row r="223" spans="1:18" ht="19.5" customHeight="1">
      <c r="A223" s="304" t="s">
        <v>5685</v>
      </c>
      <c r="B223" s="309" t="s">
        <v>8862</v>
      </c>
      <c r="C223" s="309"/>
      <c r="D223" s="309"/>
      <c r="E223" s="309" t="s">
        <v>4638</v>
      </c>
      <c r="F223" s="309" t="s">
        <v>8865</v>
      </c>
      <c r="G223" s="309" t="s">
        <v>2168</v>
      </c>
      <c r="H223" s="309" t="s">
        <v>8863</v>
      </c>
      <c r="I223" s="309" t="s">
        <v>11</v>
      </c>
      <c r="J223" s="116" t="s">
        <v>1066</v>
      </c>
      <c r="K223" s="63">
        <v>1000</v>
      </c>
      <c r="L223" s="310">
        <v>0</v>
      </c>
      <c r="M223" s="302">
        <v>4800</v>
      </c>
      <c r="N223" s="303"/>
      <c r="O223" s="302"/>
      <c r="P223" s="302"/>
      <c r="Q223" s="303"/>
      <c r="R223" s="302">
        <f t="shared" si="3"/>
        <v>4800</v>
      </c>
    </row>
    <row r="224" spans="1:18" ht="19.5" customHeight="1">
      <c r="A224" s="299" t="s">
        <v>5694</v>
      </c>
      <c r="B224" s="11" t="s">
        <v>1894</v>
      </c>
      <c r="C224" s="11"/>
      <c r="D224" s="11"/>
      <c r="E224" s="116" t="s">
        <v>1895</v>
      </c>
      <c r="F224" s="116" t="s">
        <v>1898</v>
      </c>
      <c r="G224" s="116" t="s">
        <v>1873</v>
      </c>
      <c r="H224" s="116" t="s">
        <v>1896</v>
      </c>
      <c r="I224" s="502" t="s">
        <v>10</v>
      </c>
      <c r="J224" s="116" t="s">
        <v>1897</v>
      </c>
      <c r="K224" s="63">
        <v>2600</v>
      </c>
      <c r="L224" s="63">
        <v>432</v>
      </c>
      <c r="M224" s="63">
        <v>8</v>
      </c>
      <c r="N224" s="63"/>
      <c r="O224" s="63">
        <v>440</v>
      </c>
      <c r="P224" s="63"/>
      <c r="Q224" s="63"/>
      <c r="R224" s="302">
        <f t="shared" si="3"/>
        <v>0</v>
      </c>
    </row>
    <row r="225" spans="1:18" ht="19.5" customHeight="1">
      <c r="A225" s="2">
        <v>44</v>
      </c>
      <c r="B225" s="470" t="s">
        <v>11430</v>
      </c>
      <c r="C225" s="541"/>
      <c r="D225" s="541"/>
      <c r="E225" s="508" t="s">
        <v>5008</v>
      </c>
      <c r="F225" s="20" t="s">
        <v>11431</v>
      </c>
      <c r="G225" s="20" t="s">
        <v>1873</v>
      </c>
      <c r="H225" s="542" t="s">
        <v>5009</v>
      </c>
      <c r="I225" s="505" t="s">
        <v>10</v>
      </c>
      <c r="J225" s="20" t="s">
        <v>8970</v>
      </c>
      <c r="K225" s="466">
        <v>750</v>
      </c>
      <c r="L225" s="543">
        <v>38985</v>
      </c>
      <c r="M225" s="467">
        <v>0</v>
      </c>
      <c r="N225" s="468"/>
      <c r="O225" s="467">
        <v>38985</v>
      </c>
      <c r="P225" s="543"/>
      <c r="Q225" s="543"/>
      <c r="R225" s="302">
        <f t="shared" si="3"/>
        <v>0</v>
      </c>
    </row>
    <row r="226" spans="1:18" ht="19.5" customHeight="1">
      <c r="A226" s="299" t="s">
        <v>5697</v>
      </c>
      <c r="B226" s="67" t="s">
        <v>557</v>
      </c>
      <c r="C226" s="11"/>
      <c r="D226" s="11"/>
      <c r="E226" s="116" t="s">
        <v>824</v>
      </c>
      <c r="F226" s="116" t="s">
        <v>826</v>
      </c>
      <c r="G226" s="116" t="s">
        <v>806</v>
      </c>
      <c r="H226" s="116" t="s">
        <v>272</v>
      </c>
      <c r="I226" s="116" t="s">
        <v>11</v>
      </c>
      <c r="J226" s="116" t="s">
        <v>825</v>
      </c>
      <c r="K226" s="63">
        <v>120</v>
      </c>
      <c r="L226" s="63">
        <v>1</v>
      </c>
      <c r="M226" s="63">
        <v>0</v>
      </c>
      <c r="N226" s="63"/>
      <c r="O226" s="63">
        <v>1</v>
      </c>
      <c r="P226" s="63"/>
      <c r="Q226" s="63"/>
      <c r="R226" s="302">
        <f t="shared" si="3"/>
        <v>0</v>
      </c>
    </row>
    <row r="227" spans="1:18" ht="19.5" customHeight="1">
      <c r="A227" s="304" t="s">
        <v>5703</v>
      </c>
      <c r="B227" s="305" t="s">
        <v>2469</v>
      </c>
      <c r="C227" s="305"/>
      <c r="D227" s="305"/>
      <c r="E227" s="305" t="s">
        <v>2469</v>
      </c>
      <c r="F227" s="305" t="s">
        <v>8080</v>
      </c>
      <c r="G227" s="305" t="s">
        <v>2385</v>
      </c>
      <c r="H227" s="305" t="s">
        <v>4782</v>
      </c>
      <c r="I227" s="305" t="s">
        <v>11</v>
      </c>
      <c r="J227" s="116" t="s">
        <v>859</v>
      </c>
      <c r="K227" s="119">
        <v>100</v>
      </c>
      <c r="L227" s="119">
        <v>0</v>
      </c>
      <c r="M227" s="302">
        <v>5000</v>
      </c>
      <c r="N227" s="303"/>
      <c r="O227" s="302">
        <v>3000</v>
      </c>
      <c r="P227" s="302"/>
      <c r="Q227" s="303"/>
      <c r="R227" s="302">
        <f t="shared" si="3"/>
        <v>2000</v>
      </c>
    </row>
    <row r="228" spans="1:18" ht="19.5" customHeight="1">
      <c r="A228" s="304" t="s">
        <v>5706</v>
      </c>
      <c r="B228" s="11" t="s">
        <v>1326</v>
      </c>
      <c r="C228" s="11"/>
      <c r="D228" s="11"/>
      <c r="E228" s="116" t="s">
        <v>1327</v>
      </c>
      <c r="F228" s="116" t="s">
        <v>1328</v>
      </c>
      <c r="G228" s="116" t="s">
        <v>360</v>
      </c>
      <c r="H228" s="116" t="s">
        <v>222</v>
      </c>
      <c r="I228" s="116" t="s">
        <v>11</v>
      </c>
      <c r="J228" s="116" t="s">
        <v>642</v>
      </c>
      <c r="K228" s="63">
        <v>55</v>
      </c>
      <c r="L228" s="63">
        <f>39900+2580</f>
        <v>42480</v>
      </c>
      <c r="M228" s="63">
        <v>0</v>
      </c>
      <c r="N228" s="63"/>
      <c r="O228" s="63">
        <f>2580+39900</f>
        <v>42480</v>
      </c>
      <c r="P228" s="63">
        <v>150</v>
      </c>
      <c r="Q228" s="63"/>
      <c r="R228" s="302">
        <f t="shared" si="3"/>
        <v>0</v>
      </c>
    </row>
    <row r="229" spans="1:18" ht="19.5" customHeight="1">
      <c r="A229" s="299" t="s">
        <v>5711</v>
      </c>
      <c r="B229" s="305" t="s">
        <v>4491</v>
      </c>
      <c r="C229" s="305"/>
      <c r="D229" s="305"/>
      <c r="E229" s="305" t="s">
        <v>2123</v>
      </c>
      <c r="F229" s="305" t="s">
        <v>5914</v>
      </c>
      <c r="G229" s="305" t="s">
        <v>5915</v>
      </c>
      <c r="H229" s="305" t="s">
        <v>4492</v>
      </c>
      <c r="I229" s="305" t="s">
        <v>658</v>
      </c>
      <c r="J229" s="305" t="s">
        <v>3449</v>
      </c>
      <c r="K229" s="119">
        <v>43919</v>
      </c>
      <c r="L229" s="119"/>
      <c r="M229" s="302">
        <v>50</v>
      </c>
      <c r="N229" s="303"/>
      <c r="O229" s="302">
        <v>45</v>
      </c>
      <c r="P229" s="302"/>
      <c r="Q229" s="303"/>
      <c r="R229" s="302">
        <f t="shared" si="3"/>
        <v>5</v>
      </c>
    </row>
    <row r="230" spans="1:18">
      <c r="A230" s="2">
        <v>45</v>
      </c>
      <c r="B230" s="11" t="s">
        <v>1064</v>
      </c>
      <c r="C230" s="11"/>
      <c r="D230" s="11"/>
      <c r="E230" s="116" t="s">
        <v>1065</v>
      </c>
      <c r="F230" s="116" t="s">
        <v>1067</v>
      </c>
      <c r="G230" s="116" t="s">
        <v>336</v>
      </c>
      <c r="H230" s="116" t="s">
        <v>384</v>
      </c>
      <c r="I230" s="116" t="s">
        <v>10</v>
      </c>
      <c r="J230" s="116" t="s">
        <v>1066</v>
      </c>
      <c r="K230" s="63">
        <v>120</v>
      </c>
      <c r="L230" s="63">
        <f>186+49980+8406</f>
        <v>58572</v>
      </c>
      <c r="M230" s="63">
        <v>18</v>
      </c>
      <c r="N230" s="63"/>
      <c r="O230" s="63">
        <f>7230+35292+186</f>
        <v>42708</v>
      </c>
      <c r="P230" s="63"/>
      <c r="Q230" s="63"/>
      <c r="R230" s="302">
        <f t="shared" si="3"/>
        <v>15882</v>
      </c>
    </row>
    <row r="231" spans="1:18" ht="19.5" customHeight="1">
      <c r="A231" s="299" t="s">
        <v>5718</v>
      </c>
      <c r="B231" s="67" t="s">
        <v>972</v>
      </c>
      <c r="C231" s="11"/>
      <c r="D231" s="11"/>
      <c r="E231" s="502" t="s">
        <v>973</v>
      </c>
      <c r="F231" s="502" t="s">
        <v>975</v>
      </c>
      <c r="G231" s="502" t="s">
        <v>312</v>
      </c>
      <c r="H231" s="502" t="s">
        <v>869</v>
      </c>
      <c r="I231" s="502" t="s">
        <v>10</v>
      </c>
      <c r="J231" s="502" t="s">
        <v>974</v>
      </c>
      <c r="K231" s="63">
        <v>5460</v>
      </c>
      <c r="L231" s="63">
        <v>102</v>
      </c>
      <c r="M231" s="63"/>
      <c r="N231" s="63"/>
      <c r="O231" s="63">
        <v>102</v>
      </c>
      <c r="P231" s="63"/>
      <c r="Q231" s="63"/>
      <c r="R231" s="302">
        <f t="shared" si="3"/>
        <v>0</v>
      </c>
    </row>
    <row r="232" spans="1:18" ht="19.5" customHeight="1">
      <c r="A232" s="304" t="s">
        <v>5723</v>
      </c>
      <c r="B232" s="67" t="s">
        <v>972</v>
      </c>
      <c r="C232" s="11"/>
      <c r="D232" s="11"/>
      <c r="E232" s="502" t="s">
        <v>973</v>
      </c>
      <c r="F232" s="502" t="s">
        <v>975</v>
      </c>
      <c r="G232" s="502" t="s">
        <v>312</v>
      </c>
      <c r="H232" s="502" t="s">
        <v>869</v>
      </c>
      <c r="I232" s="502" t="s">
        <v>10</v>
      </c>
      <c r="J232" s="502" t="s">
        <v>974</v>
      </c>
      <c r="K232" s="63">
        <v>5300</v>
      </c>
      <c r="L232" s="63">
        <v>3</v>
      </c>
      <c r="M232" s="63">
        <v>0</v>
      </c>
      <c r="N232" s="63"/>
      <c r="O232" s="63">
        <v>3</v>
      </c>
      <c r="P232" s="63"/>
      <c r="Q232" s="63"/>
      <c r="R232" s="302">
        <f t="shared" si="3"/>
        <v>0</v>
      </c>
    </row>
    <row r="233" spans="1:18" ht="19.5" customHeight="1">
      <c r="A233" s="304" t="s">
        <v>5728</v>
      </c>
      <c r="B233" s="11" t="s">
        <v>1678</v>
      </c>
      <c r="C233" s="11"/>
      <c r="D233" s="11"/>
      <c r="E233" s="116" t="s">
        <v>1679</v>
      </c>
      <c r="F233" s="116" t="s">
        <v>1682</v>
      </c>
      <c r="G233" s="116" t="s">
        <v>1683</v>
      </c>
      <c r="H233" s="116" t="s">
        <v>1680</v>
      </c>
      <c r="I233" s="526" t="s">
        <v>10</v>
      </c>
      <c r="J233" s="116" t="s">
        <v>1681</v>
      </c>
      <c r="K233" s="63">
        <v>3390</v>
      </c>
      <c r="L233" s="63">
        <v>8862</v>
      </c>
      <c r="M233" s="63">
        <v>0</v>
      </c>
      <c r="N233" s="63"/>
      <c r="O233" s="63">
        <v>8862</v>
      </c>
      <c r="P233" s="63"/>
      <c r="Q233" s="63"/>
      <c r="R233" s="302">
        <f t="shared" si="3"/>
        <v>0</v>
      </c>
    </row>
    <row r="234" spans="1:18" ht="19.5" customHeight="1">
      <c r="A234" s="299" t="s">
        <v>5730</v>
      </c>
      <c r="B234" s="305" t="s">
        <v>583</v>
      </c>
      <c r="C234" s="305"/>
      <c r="D234" s="305"/>
      <c r="E234" s="305" t="s">
        <v>3920</v>
      </c>
      <c r="F234" s="305" t="s">
        <v>8335</v>
      </c>
      <c r="G234" s="305" t="s">
        <v>463</v>
      </c>
      <c r="H234" s="305" t="s">
        <v>390</v>
      </c>
      <c r="I234" s="305" t="s">
        <v>11</v>
      </c>
      <c r="J234" s="116" t="s">
        <v>859</v>
      </c>
      <c r="K234" s="119">
        <v>1575</v>
      </c>
      <c r="L234" s="119">
        <v>0</v>
      </c>
      <c r="M234" s="302">
        <f>11490+18510</f>
        <v>30000</v>
      </c>
      <c r="N234" s="303"/>
      <c r="O234" s="302">
        <v>9833</v>
      </c>
      <c r="P234" s="302"/>
      <c r="Q234" s="303"/>
      <c r="R234" s="302">
        <f t="shared" si="3"/>
        <v>20167</v>
      </c>
    </row>
    <row r="235" spans="1:18" ht="19.5" customHeight="1">
      <c r="A235" s="2">
        <v>46</v>
      </c>
      <c r="B235" s="305" t="s">
        <v>713</v>
      </c>
      <c r="C235" s="305"/>
      <c r="D235" s="305"/>
      <c r="E235" s="305" t="s">
        <v>714</v>
      </c>
      <c r="F235" s="305" t="s">
        <v>717</v>
      </c>
      <c r="G235" s="305" t="s">
        <v>5833</v>
      </c>
      <c r="H235" s="305" t="s">
        <v>1767</v>
      </c>
      <c r="I235" s="305" t="s">
        <v>520</v>
      </c>
      <c r="J235" s="305" t="s">
        <v>241</v>
      </c>
      <c r="K235" s="119">
        <v>7707</v>
      </c>
      <c r="L235" s="119">
        <v>0</v>
      </c>
      <c r="M235" s="302">
        <v>20</v>
      </c>
      <c r="N235" s="303"/>
      <c r="O235" s="302"/>
      <c r="P235" s="302"/>
      <c r="Q235" s="303"/>
      <c r="R235" s="302">
        <f t="shared" si="3"/>
        <v>20</v>
      </c>
    </row>
    <row r="236" spans="1:18" ht="19.5" customHeight="1">
      <c r="A236" s="299" t="s">
        <v>5734</v>
      </c>
      <c r="B236" s="305" t="s">
        <v>713</v>
      </c>
      <c r="C236" s="305"/>
      <c r="D236" s="305"/>
      <c r="E236" s="305" t="s">
        <v>714</v>
      </c>
      <c r="F236" s="305" t="s">
        <v>717</v>
      </c>
      <c r="G236" s="305" t="s">
        <v>5833</v>
      </c>
      <c r="H236" s="305" t="s">
        <v>1767</v>
      </c>
      <c r="I236" s="305" t="s">
        <v>520</v>
      </c>
      <c r="J236" s="305" t="s">
        <v>241</v>
      </c>
      <c r="K236" s="119">
        <v>7350</v>
      </c>
      <c r="L236" s="119">
        <v>27</v>
      </c>
      <c r="M236" s="302">
        <v>0</v>
      </c>
      <c r="N236" s="303"/>
      <c r="O236" s="302">
        <v>12</v>
      </c>
      <c r="P236" s="302"/>
      <c r="Q236" s="303"/>
      <c r="R236" s="302">
        <f t="shared" si="3"/>
        <v>15</v>
      </c>
    </row>
    <row r="237" spans="1:18" ht="19.5" customHeight="1">
      <c r="A237" s="304" t="s">
        <v>5737</v>
      </c>
      <c r="B237" s="305" t="s">
        <v>568</v>
      </c>
      <c r="C237" s="305"/>
      <c r="D237" s="305"/>
      <c r="E237" s="305" t="s">
        <v>2600</v>
      </c>
      <c r="F237" s="305" t="s">
        <v>7729</v>
      </c>
      <c r="G237" s="305" t="s">
        <v>867</v>
      </c>
      <c r="H237" s="305" t="s">
        <v>570</v>
      </c>
      <c r="I237" s="305" t="s">
        <v>11</v>
      </c>
      <c r="J237" s="116" t="s">
        <v>859</v>
      </c>
      <c r="K237" s="119">
        <v>252</v>
      </c>
      <c r="L237" s="119">
        <v>0</v>
      </c>
      <c r="M237" s="302">
        <f>12000+34300</f>
        <v>46300</v>
      </c>
      <c r="N237" s="303"/>
      <c r="O237" s="302">
        <f>17351+12000</f>
        <v>29351</v>
      </c>
      <c r="P237" s="302"/>
      <c r="Q237" s="303"/>
      <c r="R237" s="302">
        <f t="shared" si="3"/>
        <v>16949</v>
      </c>
    </row>
    <row r="238" spans="1:18" ht="19.5" customHeight="1">
      <c r="A238" s="304" t="s">
        <v>5742</v>
      </c>
      <c r="B238" s="305" t="s">
        <v>1330</v>
      </c>
      <c r="C238" s="305"/>
      <c r="D238" s="305"/>
      <c r="E238" s="305" t="s">
        <v>1330</v>
      </c>
      <c r="F238" s="305" t="s">
        <v>1332</v>
      </c>
      <c r="G238" s="305" t="s">
        <v>7001</v>
      </c>
      <c r="H238" s="305" t="s">
        <v>291</v>
      </c>
      <c r="I238" s="305" t="s">
        <v>11</v>
      </c>
      <c r="J238" s="116" t="s">
        <v>1066</v>
      </c>
      <c r="K238" s="119">
        <v>100</v>
      </c>
      <c r="L238" s="119"/>
      <c r="M238" s="302">
        <f>5000+10000+5000+11006</f>
        <v>31006</v>
      </c>
      <c r="N238" s="303"/>
      <c r="O238" s="302">
        <f>10692+6655</f>
        <v>17347</v>
      </c>
      <c r="P238" s="302"/>
      <c r="Q238" s="303"/>
      <c r="R238" s="302">
        <f t="shared" si="3"/>
        <v>13659</v>
      </c>
    </row>
    <row r="239" spans="1:18" ht="19.5" customHeight="1">
      <c r="A239" s="299" t="s">
        <v>5744</v>
      </c>
      <c r="B239" s="305" t="s">
        <v>1330</v>
      </c>
      <c r="C239" s="305"/>
      <c r="D239" s="305"/>
      <c r="E239" s="305" t="s">
        <v>3929</v>
      </c>
      <c r="F239" s="305" t="s">
        <v>7488</v>
      </c>
      <c r="G239" s="305" t="s">
        <v>2385</v>
      </c>
      <c r="H239" s="305" t="s">
        <v>1580</v>
      </c>
      <c r="I239" s="305" t="s">
        <v>11</v>
      </c>
      <c r="J239" s="305" t="s">
        <v>8977</v>
      </c>
      <c r="K239" s="119">
        <v>140</v>
      </c>
      <c r="L239" s="119"/>
      <c r="M239" s="302">
        <f>15000</f>
        <v>15000</v>
      </c>
      <c r="N239" s="303"/>
      <c r="O239" s="302">
        <v>10000</v>
      </c>
      <c r="P239" s="302"/>
      <c r="Q239" s="303"/>
      <c r="R239" s="302">
        <f t="shared" si="3"/>
        <v>5000</v>
      </c>
    </row>
    <row r="240" spans="1:18" ht="19.5" customHeight="1">
      <c r="A240" s="2">
        <v>47</v>
      </c>
      <c r="B240" s="11" t="s">
        <v>2183</v>
      </c>
      <c r="C240" s="11"/>
      <c r="D240" s="11"/>
      <c r="E240" s="504" t="s">
        <v>68</v>
      </c>
      <c r="F240" s="116" t="s">
        <v>2185</v>
      </c>
      <c r="G240" s="116" t="s">
        <v>867</v>
      </c>
      <c r="H240" s="116" t="s">
        <v>69</v>
      </c>
      <c r="I240" s="116" t="s">
        <v>11</v>
      </c>
      <c r="J240" s="116" t="s">
        <v>2184</v>
      </c>
      <c r="K240" s="63">
        <v>294</v>
      </c>
      <c r="L240" s="63">
        <v>30223</v>
      </c>
      <c r="M240" s="63"/>
      <c r="N240" s="63"/>
      <c r="O240" s="63">
        <v>19101</v>
      </c>
      <c r="P240" s="63"/>
      <c r="Q240" s="63"/>
      <c r="R240" s="302">
        <f t="shared" si="3"/>
        <v>11122</v>
      </c>
    </row>
    <row r="241" spans="1:18" ht="19.5" customHeight="1">
      <c r="A241" s="299" t="s">
        <v>5747</v>
      </c>
      <c r="B241" s="67" t="s">
        <v>653</v>
      </c>
      <c r="C241" s="11"/>
      <c r="D241" s="11"/>
      <c r="E241" s="116" t="s">
        <v>654</v>
      </c>
      <c r="F241" s="116" t="s">
        <v>657</v>
      </c>
      <c r="G241" s="116" t="s">
        <v>245</v>
      </c>
      <c r="H241" s="116" t="s">
        <v>655</v>
      </c>
      <c r="I241" s="116" t="s">
        <v>11</v>
      </c>
      <c r="J241" s="116" t="s">
        <v>656</v>
      </c>
      <c r="K241" s="63">
        <v>714</v>
      </c>
      <c r="L241" s="63">
        <v>725</v>
      </c>
      <c r="M241" s="63">
        <v>0</v>
      </c>
      <c r="N241" s="63"/>
      <c r="O241" s="63">
        <v>725</v>
      </c>
      <c r="P241" s="63">
        <v>397</v>
      </c>
      <c r="Q241" s="63"/>
      <c r="R241" s="302">
        <f t="shared" si="3"/>
        <v>0</v>
      </c>
    </row>
    <row r="242" spans="1:18" ht="19.5" customHeight="1">
      <c r="A242" s="304" t="s">
        <v>5754</v>
      </c>
      <c r="B242" s="65" t="s">
        <v>2472</v>
      </c>
      <c r="C242" s="11"/>
      <c r="D242" s="11"/>
      <c r="E242" s="504" t="s">
        <v>2471</v>
      </c>
      <c r="F242" s="116" t="s">
        <v>2889</v>
      </c>
      <c r="G242" s="116" t="s">
        <v>530</v>
      </c>
      <c r="H242" s="504" t="s">
        <v>1016</v>
      </c>
      <c r="I242" s="504" t="s">
        <v>628</v>
      </c>
      <c r="J242" s="504" t="s">
        <v>2654</v>
      </c>
      <c r="K242" s="119">
        <v>630</v>
      </c>
      <c r="L242" s="63">
        <v>332</v>
      </c>
      <c r="M242" s="63">
        <v>0</v>
      </c>
      <c r="N242" s="63"/>
      <c r="O242" s="63">
        <v>49</v>
      </c>
      <c r="P242" s="63">
        <v>49</v>
      </c>
      <c r="Q242" s="63"/>
      <c r="R242" s="302">
        <f t="shared" si="3"/>
        <v>283</v>
      </c>
    </row>
    <row r="243" spans="1:18" ht="19.5" customHeight="1">
      <c r="A243" s="304" t="s">
        <v>5756</v>
      </c>
      <c r="B243" s="67" t="s">
        <v>2215</v>
      </c>
      <c r="C243" s="11"/>
      <c r="D243" s="11"/>
      <c r="E243" s="502" t="s">
        <v>70</v>
      </c>
      <c r="F243" s="502" t="s">
        <v>2216</v>
      </c>
      <c r="G243" s="502" t="s">
        <v>2217</v>
      </c>
      <c r="H243" s="502" t="s">
        <v>72</v>
      </c>
      <c r="I243" s="116" t="s">
        <v>11</v>
      </c>
      <c r="J243" s="502" t="s">
        <v>647</v>
      </c>
      <c r="K243" s="63">
        <v>1490</v>
      </c>
      <c r="L243" s="63">
        <v>5920</v>
      </c>
      <c r="M243" s="63"/>
      <c r="N243" s="63"/>
      <c r="O243" s="63">
        <v>1514</v>
      </c>
      <c r="P243" s="63"/>
      <c r="Q243" s="63"/>
      <c r="R243" s="302">
        <f t="shared" si="3"/>
        <v>4406</v>
      </c>
    </row>
    <row r="244" spans="1:18" ht="19.5" customHeight="1">
      <c r="A244" s="299" t="s">
        <v>5760</v>
      </c>
      <c r="B244" s="305" t="s">
        <v>3936</v>
      </c>
      <c r="C244" s="305"/>
      <c r="D244" s="305"/>
      <c r="E244" s="305" t="s">
        <v>3935</v>
      </c>
      <c r="F244" s="305" t="s">
        <v>6825</v>
      </c>
      <c r="G244" s="305" t="s">
        <v>1890</v>
      </c>
      <c r="H244" s="305" t="s">
        <v>3937</v>
      </c>
      <c r="I244" s="305" t="s">
        <v>16</v>
      </c>
      <c r="J244" s="305" t="s">
        <v>8978</v>
      </c>
      <c r="K244" s="119">
        <v>5950</v>
      </c>
      <c r="L244" s="119">
        <v>0</v>
      </c>
      <c r="M244" s="302">
        <v>3600</v>
      </c>
      <c r="N244" s="303"/>
      <c r="O244" s="302"/>
      <c r="P244" s="302"/>
      <c r="Q244" s="303"/>
      <c r="R244" s="302">
        <f t="shared" si="3"/>
        <v>3600</v>
      </c>
    </row>
    <row r="245" spans="1:18" ht="19.5" customHeight="1">
      <c r="A245" s="2">
        <v>48</v>
      </c>
      <c r="B245" s="67" t="s">
        <v>939</v>
      </c>
      <c r="C245" s="11"/>
      <c r="D245" s="11"/>
      <c r="E245" s="502" t="s">
        <v>1148</v>
      </c>
      <c r="F245" s="502" t="s">
        <v>1150</v>
      </c>
      <c r="G245" s="502" t="s">
        <v>1151</v>
      </c>
      <c r="H245" s="502" t="s">
        <v>1149</v>
      </c>
      <c r="I245" s="502" t="s">
        <v>520</v>
      </c>
      <c r="J245" s="502" t="s">
        <v>627</v>
      </c>
      <c r="K245" s="63">
        <v>3650</v>
      </c>
      <c r="L245" s="63">
        <v>5540</v>
      </c>
      <c r="M245" s="63">
        <v>0</v>
      </c>
      <c r="N245" s="63"/>
      <c r="O245" s="63">
        <v>5540</v>
      </c>
      <c r="P245" s="63"/>
      <c r="Q245" s="63"/>
      <c r="R245" s="302">
        <f t="shared" si="3"/>
        <v>0</v>
      </c>
    </row>
    <row r="246" spans="1:18" ht="19.5" customHeight="1">
      <c r="A246" s="299" t="s">
        <v>5761</v>
      </c>
      <c r="B246" s="11" t="s">
        <v>719</v>
      </c>
      <c r="C246" s="11"/>
      <c r="D246" s="11"/>
      <c r="E246" s="116" t="s">
        <v>720</v>
      </c>
      <c r="F246" s="116" t="s">
        <v>723</v>
      </c>
      <c r="G246" s="116" t="s">
        <v>718</v>
      </c>
      <c r="H246" s="116" t="s">
        <v>721</v>
      </c>
      <c r="I246" s="116" t="s">
        <v>14</v>
      </c>
      <c r="J246" s="116" t="s">
        <v>722</v>
      </c>
      <c r="K246" s="63">
        <v>134820</v>
      </c>
      <c r="L246" s="63">
        <v>4</v>
      </c>
      <c r="M246" s="63"/>
      <c r="N246" s="63"/>
      <c r="O246" s="63">
        <v>4</v>
      </c>
      <c r="P246" s="63">
        <v>4</v>
      </c>
      <c r="Q246" s="63"/>
      <c r="R246" s="302">
        <f t="shared" si="3"/>
        <v>0</v>
      </c>
    </row>
    <row r="247" spans="1:18" ht="19.5" customHeight="1">
      <c r="A247" s="304" t="s">
        <v>5764</v>
      </c>
      <c r="B247" s="305" t="s">
        <v>719</v>
      </c>
      <c r="C247" s="305"/>
      <c r="D247" s="305"/>
      <c r="E247" s="305" t="s">
        <v>720</v>
      </c>
      <c r="F247" s="305" t="s">
        <v>6161</v>
      </c>
      <c r="G247" s="305" t="s">
        <v>5833</v>
      </c>
      <c r="H247" s="305" t="s">
        <v>721</v>
      </c>
      <c r="I247" s="305" t="s">
        <v>658</v>
      </c>
      <c r="J247" s="305" t="s">
        <v>277</v>
      </c>
      <c r="K247" s="119">
        <v>144900</v>
      </c>
      <c r="L247" s="119"/>
      <c r="M247" s="302">
        <v>10</v>
      </c>
      <c r="N247" s="303"/>
      <c r="O247" s="302"/>
      <c r="P247" s="302"/>
      <c r="Q247" s="303"/>
      <c r="R247" s="302">
        <f t="shared" si="3"/>
        <v>10</v>
      </c>
    </row>
    <row r="248" spans="1:18" s="462" customFormat="1" ht="21.75" customHeight="1">
      <c r="A248" s="304" t="s">
        <v>5768</v>
      </c>
      <c r="B248" s="309" t="s">
        <v>2282</v>
      </c>
      <c r="C248" s="309"/>
      <c r="D248" s="309"/>
      <c r="E248" s="309" t="s">
        <v>2283</v>
      </c>
      <c r="F248" s="309" t="s">
        <v>8811</v>
      </c>
      <c r="G248" s="309" t="s">
        <v>2253</v>
      </c>
      <c r="H248" s="309" t="s">
        <v>2284</v>
      </c>
      <c r="I248" s="309" t="s">
        <v>11</v>
      </c>
      <c r="J248" s="309" t="s">
        <v>9019</v>
      </c>
      <c r="K248" s="63">
        <v>750</v>
      </c>
      <c r="L248" s="310"/>
      <c r="M248" s="302">
        <v>52000</v>
      </c>
      <c r="N248" s="303"/>
      <c r="O248" s="302">
        <v>33353</v>
      </c>
      <c r="P248" s="302"/>
      <c r="Q248" s="303"/>
      <c r="R248" s="302">
        <f t="shared" si="3"/>
        <v>18647</v>
      </c>
    </row>
    <row r="249" spans="1:18" ht="19.5" customHeight="1">
      <c r="A249" s="299" t="s">
        <v>5773</v>
      </c>
      <c r="B249" s="11" t="s">
        <v>1702</v>
      </c>
      <c r="C249" s="11"/>
      <c r="D249" s="11"/>
      <c r="E249" s="116" t="s">
        <v>2475</v>
      </c>
      <c r="F249" s="116" t="s">
        <v>2904</v>
      </c>
      <c r="G249" s="116" t="s">
        <v>2424</v>
      </c>
      <c r="H249" s="116" t="s">
        <v>327</v>
      </c>
      <c r="I249" s="116" t="s">
        <v>11</v>
      </c>
      <c r="J249" s="116" t="s">
        <v>1329</v>
      </c>
      <c r="K249" s="63">
        <v>297</v>
      </c>
      <c r="L249" s="63">
        <v>92</v>
      </c>
      <c r="M249" s="63"/>
      <c r="N249" s="63"/>
      <c r="O249" s="63">
        <v>92</v>
      </c>
      <c r="P249" s="63"/>
      <c r="Q249" s="63"/>
      <c r="R249" s="302">
        <f t="shared" si="3"/>
        <v>0</v>
      </c>
    </row>
    <row r="250" spans="1:18" ht="19.5" customHeight="1">
      <c r="A250" s="2">
        <v>49</v>
      </c>
      <c r="B250" s="11" t="s">
        <v>1397</v>
      </c>
      <c r="C250" s="11"/>
      <c r="D250" s="11"/>
      <c r="E250" s="116" t="s">
        <v>1398</v>
      </c>
      <c r="F250" s="116" t="s">
        <v>1399</v>
      </c>
      <c r="G250" s="116" t="s">
        <v>360</v>
      </c>
      <c r="H250" s="116" t="s">
        <v>291</v>
      </c>
      <c r="I250" s="116" t="s">
        <v>11</v>
      </c>
      <c r="J250" s="116" t="s">
        <v>642</v>
      </c>
      <c r="K250" s="63">
        <v>107</v>
      </c>
      <c r="L250" s="63">
        <v>58</v>
      </c>
      <c r="M250" s="63">
        <v>3</v>
      </c>
      <c r="N250" s="63"/>
      <c r="O250" s="63">
        <v>61</v>
      </c>
      <c r="P250" s="63"/>
      <c r="Q250" s="63"/>
      <c r="R250" s="302">
        <f t="shared" si="3"/>
        <v>0</v>
      </c>
    </row>
    <row r="251" spans="1:18" ht="19.5" customHeight="1">
      <c r="A251" s="299" t="s">
        <v>5776</v>
      </c>
      <c r="B251" s="305" t="s">
        <v>1397</v>
      </c>
      <c r="C251" s="305"/>
      <c r="D251" s="305"/>
      <c r="E251" s="305" t="s">
        <v>1398</v>
      </c>
      <c r="F251" s="305" t="s">
        <v>1399</v>
      </c>
      <c r="G251" s="305" t="s">
        <v>7001</v>
      </c>
      <c r="H251" s="305" t="s">
        <v>291</v>
      </c>
      <c r="I251" s="305" t="s">
        <v>11</v>
      </c>
      <c r="J251" s="116" t="s">
        <v>859</v>
      </c>
      <c r="K251" s="119">
        <v>120</v>
      </c>
      <c r="L251" s="119">
        <v>0</v>
      </c>
      <c r="M251" s="302">
        <v>16000</v>
      </c>
      <c r="N251" s="303"/>
      <c r="O251" s="302">
        <v>857</v>
      </c>
      <c r="P251" s="302"/>
      <c r="Q251" s="303"/>
      <c r="R251" s="302">
        <f t="shared" si="3"/>
        <v>15143</v>
      </c>
    </row>
    <row r="252" spans="1:18" ht="19.5" customHeight="1">
      <c r="A252" s="304" t="s">
        <v>5780</v>
      </c>
      <c r="B252" s="461" t="s">
        <v>246</v>
      </c>
      <c r="C252" s="461"/>
      <c r="D252" s="461"/>
      <c r="E252" s="117" t="s">
        <v>3578</v>
      </c>
      <c r="F252" s="117" t="s">
        <v>5338</v>
      </c>
      <c r="G252" s="117" t="s">
        <v>324</v>
      </c>
      <c r="H252" s="117" t="s">
        <v>248</v>
      </c>
      <c r="I252" s="509" t="s">
        <v>10</v>
      </c>
      <c r="J252" s="116" t="s">
        <v>859</v>
      </c>
      <c r="K252" s="118">
        <v>798</v>
      </c>
      <c r="L252" s="308">
        <v>237</v>
      </c>
      <c r="M252" s="302">
        <v>0</v>
      </c>
      <c r="N252" s="302"/>
      <c r="O252" s="302">
        <v>237</v>
      </c>
      <c r="P252" s="302"/>
      <c r="Q252" s="303"/>
      <c r="R252" s="302">
        <f t="shared" si="3"/>
        <v>0</v>
      </c>
    </row>
    <row r="253" spans="1:18" ht="19.5" customHeight="1">
      <c r="A253" s="304" t="s">
        <v>5788</v>
      </c>
      <c r="B253" s="67" t="s">
        <v>1038</v>
      </c>
      <c r="C253" s="11"/>
      <c r="D253" s="11"/>
      <c r="E253" s="502" t="s">
        <v>1039</v>
      </c>
      <c r="F253" s="502" t="s">
        <v>1042</v>
      </c>
      <c r="G253" s="502" t="s">
        <v>324</v>
      </c>
      <c r="H253" s="502" t="s">
        <v>1040</v>
      </c>
      <c r="I253" s="502" t="s">
        <v>10</v>
      </c>
      <c r="J253" s="502" t="s">
        <v>1041</v>
      </c>
      <c r="K253" s="63">
        <v>1176</v>
      </c>
      <c r="L253" s="63">
        <v>406</v>
      </c>
      <c r="M253" s="63">
        <v>868</v>
      </c>
      <c r="N253" s="63"/>
      <c r="O253" s="63">
        <v>1274</v>
      </c>
      <c r="P253" s="63"/>
      <c r="Q253" s="63"/>
      <c r="R253" s="302">
        <f t="shared" si="3"/>
        <v>0</v>
      </c>
    </row>
    <row r="254" spans="1:18" ht="19.5" customHeight="1">
      <c r="A254" s="299" t="s">
        <v>5795</v>
      </c>
      <c r="B254" s="305" t="s">
        <v>1333</v>
      </c>
      <c r="C254" s="305"/>
      <c r="D254" s="305"/>
      <c r="E254" s="305" t="s">
        <v>3945</v>
      </c>
      <c r="F254" s="305" t="s">
        <v>7961</v>
      </c>
      <c r="G254" s="305" t="s">
        <v>2385</v>
      </c>
      <c r="H254" s="305" t="s">
        <v>238</v>
      </c>
      <c r="I254" s="305" t="s">
        <v>11</v>
      </c>
      <c r="J254" s="116" t="s">
        <v>859</v>
      </c>
      <c r="K254" s="119">
        <v>53</v>
      </c>
      <c r="L254" s="119"/>
      <c r="M254" s="302">
        <v>19500</v>
      </c>
      <c r="N254" s="303"/>
      <c r="O254" s="302">
        <f>7054+1500+5000</f>
        <v>13554</v>
      </c>
      <c r="P254" s="302"/>
      <c r="Q254" s="303"/>
      <c r="R254" s="302">
        <f t="shared" si="3"/>
        <v>5946</v>
      </c>
    </row>
    <row r="255" spans="1:18" ht="19.5" customHeight="1">
      <c r="A255" s="2">
        <v>50</v>
      </c>
      <c r="B255" s="305" t="s">
        <v>1333</v>
      </c>
      <c r="C255" s="305"/>
      <c r="D255" s="305"/>
      <c r="E255" s="305" t="s">
        <v>1538</v>
      </c>
      <c r="F255" s="305" t="s">
        <v>1539</v>
      </c>
      <c r="G255" s="305" t="s">
        <v>458</v>
      </c>
      <c r="H255" s="305" t="s">
        <v>238</v>
      </c>
      <c r="I255" s="305" t="s">
        <v>11</v>
      </c>
      <c r="J255" s="116" t="s">
        <v>1066</v>
      </c>
      <c r="K255" s="119">
        <v>980</v>
      </c>
      <c r="L255" s="119">
        <v>5561</v>
      </c>
      <c r="M255" s="302">
        <v>0</v>
      </c>
      <c r="N255" s="303"/>
      <c r="O255" s="302">
        <v>5261</v>
      </c>
      <c r="P255" s="302"/>
      <c r="Q255" s="303"/>
      <c r="R255" s="302">
        <f t="shared" si="3"/>
        <v>300</v>
      </c>
    </row>
    <row r="256" spans="1:18" ht="19.5" customHeight="1">
      <c r="A256" s="299" t="s">
        <v>5798</v>
      </c>
      <c r="B256" s="305" t="s">
        <v>3953</v>
      </c>
      <c r="C256" s="305"/>
      <c r="D256" s="305"/>
      <c r="E256" s="305" t="s">
        <v>3952</v>
      </c>
      <c r="F256" s="305" t="s">
        <v>8007</v>
      </c>
      <c r="G256" s="305" t="s">
        <v>1151</v>
      </c>
      <c r="H256" s="305" t="s">
        <v>3954</v>
      </c>
      <c r="I256" s="305" t="s">
        <v>520</v>
      </c>
      <c r="J256" s="305" t="s">
        <v>9018</v>
      </c>
      <c r="K256" s="119">
        <v>5500</v>
      </c>
      <c r="L256" s="119">
        <v>0</v>
      </c>
      <c r="M256" s="302">
        <v>3200</v>
      </c>
      <c r="N256" s="303"/>
      <c r="O256" s="302">
        <v>28</v>
      </c>
      <c r="P256" s="302"/>
      <c r="Q256" s="303"/>
      <c r="R256" s="302">
        <f t="shared" si="3"/>
        <v>3172</v>
      </c>
    </row>
    <row r="257" spans="1:18" ht="19.5" customHeight="1">
      <c r="A257" s="304" t="s">
        <v>5808</v>
      </c>
      <c r="B257" s="305" t="s">
        <v>2605</v>
      </c>
      <c r="C257" s="305"/>
      <c r="D257" s="305"/>
      <c r="E257" s="305" t="s">
        <v>2604</v>
      </c>
      <c r="F257" s="305" t="s">
        <v>6164</v>
      </c>
      <c r="G257" s="305" t="s">
        <v>5837</v>
      </c>
      <c r="H257" s="305" t="s">
        <v>3957</v>
      </c>
      <c r="I257" s="305" t="s">
        <v>520</v>
      </c>
      <c r="J257" s="305" t="s">
        <v>8994</v>
      </c>
      <c r="K257" s="119">
        <v>23940</v>
      </c>
      <c r="L257" s="119">
        <v>0</v>
      </c>
      <c r="M257" s="302">
        <v>20</v>
      </c>
      <c r="N257" s="303"/>
      <c r="O257" s="302"/>
      <c r="P257" s="302"/>
      <c r="Q257" s="303"/>
      <c r="R257" s="302">
        <f t="shared" si="3"/>
        <v>20</v>
      </c>
    </row>
    <row r="258" spans="1:18" ht="19.5" customHeight="1">
      <c r="A258" s="304" t="s">
        <v>5815</v>
      </c>
      <c r="B258" s="305" t="s">
        <v>6320</v>
      </c>
      <c r="C258" s="305"/>
      <c r="D258" s="305"/>
      <c r="E258" s="305" t="s">
        <v>3960</v>
      </c>
      <c r="F258" s="305" t="s">
        <v>8052</v>
      </c>
      <c r="G258" s="305" t="s">
        <v>8053</v>
      </c>
      <c r="H258" s="305" t="s">
        <v>3962</v>
      </c>
      <c r="I258" s="305" t="s">
        <v>11</v>
      </c>
      <c r="J258" s="305" t="s">
        <v>541</v>
      </c>
      <c r="K258" s="119">
        <v>3129</v>
      </c>
      <c r="L258" s="119">
        <v>0</v>
      </c>
      <c r="M258" s="302">
        <v>4980</v>
      </c>
      <c r="N258" s="303"/>
      <c r="O258" s="302"/>
      <c r="P258" s="302"/>
      <c r="Q258" s="303"/>
      <c r="R258" s="302">
        <f t="shared" si="3"/>
        <v>4980</v>
      </c>
    </row>
    <row r="259" spans="1:18" ht="19.5" customHeight="1">
      <c r="A259" s="299" t="s">
        <v>5820</v>
      </c>
      <c r="B259" s="67" t="s">
        <v>1051</v>
      </c>
      <c r="C259" s="11"/>
      <c r="D259" s="11"/>
      <c r="E259" s="502" t="s">
        <v>1052</v>
      </c>
      <c r="F259" s="502" t="s">
        <v>1054</v>
      </c>
      <c r="G259" s="116" t="s">
        <v>322</v>
      </c>
      <c r="H259" s="502" t="s">
        <v>1053</v>
      </c>
      <c r="I259" s="502" t="s">
        <v>10</v>
      </c>
      <c r="J259" s="502" t="s">
        <v>1041</v>
      </c>
      <c r="K259" s="63">
        <v>9673</v>
      </c>
      <c r="L259" s="63">
        <v>0</v>
      </c>
      <c r="M259" s="63">
        <v>9673</v>
      </c>
      <c r="N259" s="63"/>
      <c r="O259" s="63"/>
      <c r="P259" s="63"/>
      <c r="Q259" s="63"/>
      <c r="R259" s="302">
        <f t="shared" si="3"/>
        <v>9673</v>
      </c>
    </row>
    <row r="260" spans="1:18" ht="19.5" customHeight="1">
      <c r="A260" s="2">
        <v>51</v>
      </c>
      <c r="B260" s="305" t="s">
        <v>3967</v>
      </c>
      <c r="C260" s="305"/>
      <c r="D260" s="305"/>
      <c r="E260" s="305" t="s">
        <v>1052</v>
      </c>
      <c r="F260" s="305" t="s">
        <v>6973</v>
      </c>
      <c r="G260" s="305" t="s">
        <v>324</v>
      </c>
      <c r="H260" s="305" t="s">
        <v>2005</v>
      </c>
      <c r="I260" s="305" t="s">
        <v>11</v>
      </c>
      <c r="J260" s="305" t="s">
        <v>8981</v>
      </c>
      <c r="K260" s="119">
        <v>1743</v>
      </c>
      <c r="L260" s="119">
        <v>0</v>
      </c>
      <c r="M260" s="302">
        <v>30000</v>
      </c>
      <c r="N260" s="303"/>
      <c r="O260" s="302">
        <v>12620</v>
      </c>
      <c r="P260" s="302">
        <v>58</v>
      </c>
      <c r="Q260" s="303"/>
      <c r="R260" s="302">
        <f t="shared" si="3"/>
        <v>17380</v>
      </c>
    </row>
    <row r="261" spans="1:18" ht="19.5" customHeight="1">
      <c r="A261" s="299" t="s">
        <v>5824</v>
      </c>
      <c r="B261" s="305" t="s">
        <v>639</v>
      </c>
      <c r="C261" s="305"/>
      <c r="D261" s="305"/>
      <c r="E261" s="305" t="s">
        <v>3969</v>
      </c>
      <c r="F261" s="305" t="s">
        <v>7419</v>
      </c>
      <c r="G261" s="305" t="s">
        <v>324</v>
      </c>
      <c r="H261" s="305" t="s">
        <v>334</v>
      </c>
      <c r="I261" s="305" t="s">
        <v>11</v>
      </c>
      <c r="J261" s="116" t="s">
        <v>859</v>
      </c>
      <c r="K261" s="119">
        <v>1300</v>
      </c>
      <c r="L261" s="119">
        <v>0</v>
      </c>
      <c r="M261" s="302">
        <v>600</v>
      </c>
      <c r="N261" s="303"/>
      <c r="O261" s="302">
        <v>600</v>
      </c>
      <c r="P261" s="302"/>
      <c r="Q261" s="303"/>
      <c r="R261" s="302">
        <f t="shared" si="3"/>
        <v>0</v>
      </c>
    </row>
    <row r="262" spans="1:18">
      <c r="A262" s="304" t="s">
        <v>5829</v>
      </c>
      <c r="B262" s="307" t="s">
        <v>374</v>
      </c>
      <c r="C262" s="307"/>
      <c r="D262" s="307"/>
      <c r="E262" s="116" t="s">
        <v>374</v>
      </c>
      <c r="F262" s="116" t="s">
        <v>5406</v>
      </c>
      <c r="G262" s="116" t="s">
        <v>360</v>
      </c>
      <c r="H262" s="116" t="s">
        <v>258</v>
      </c>
      <c r="I262" s="531" t="s">
        <v>10</v>
      </c>
      <c r="J262" s="116" t="s">
        <v>1350</v>
      </c>
      <c r="K262" s="118">
        <v>275</v>
      </c>
      <c r="L262" s="308">
        <v>0</v>
      </c>
      <c r="M262" s="302">
        <v>500</v>
      </c>
      <c r="N262" s="303"/>
      <c r="O262" s="302">
        <v>500</v>
      </c>
      <c r="P262" s="302"/>
      <c r="Q262" s="303"/>
      <c r="R262" s="302">
        <f t="shared" si="3"/>
        <v>0</v>
      </c>
    </row>
    <row r="263" spans="1:18" ht="19.5" customHeight="1">
      <c r="A263" s="304" t="s">
        <v>5834</v>
      </c>
      <c r="B263" s="11" t="s">
        <v>374</v>
      </c>
      <c r="C263" s="11"/>
      <c r="D263" s="11"/>
      <c r="E263" s="116" t="s">
        <v>2479</v>
      </c>
      <c r="F263" s="116" t="s">
        <v>2920</v>
      </c>
      <c r="G263" s="116" t="s">
        <v>2682</v>
      </c>
      <c r="H263" s="116" t="s">
        <v>258</v>
      </c>
      <c r="I263" s="502" t="s">
        <v>10</v>
      </c>
      <c r="J263" s="116" t="s">
        <v>1329</v>
      </c>
      <c r="K263" s="63">
        <v>266</v>
      </c>
      <c r="L263" s="63">
        <v>1365</v>
      </c>
      <c r="M263" s="63">
        <v>0</v>
      </c>
      <c r="N263" s="63"/>
      <c r="O263" s="63">
        <v>1365</v>
      </c>
      <c r="P263" s="63"/>
      <c r="Q263" s="63"/>
      <c r="R263" s="302">
        <f t="shared" si="3"/>
        <v>0</v>
      </c>
    </row>
    <row r="264" spans="1:18" ht="19.5" customHeight="1">
      <c r="A264" s="299" t="s">
        <v>5838</v>
      </c>
      <c r="B264" s="305" t="s">
        <v>1480</v>
      </c>
      <c r="C264" s="305"/>
      <c r="D264" s="305"/>
      <c r="E264" s="305" t="s">
        <v>3971</v>
      </c>
      <c r="F264" s="305" t="s">
        <v>6928</v>
      </c>
      <c r="G264" s="305" t="s">
        <v>6929</v>
      </c>
      <c r="H264" s="305" t="s">
        <v>1512</v>
      </c>
      <c r="I264" s="305" t="s">
        <v>520</v>
      </c>
      <c r="J264" s="305" t="s">
        <v>1788</v>
      </c>
      <c r="K264" s="119">
        <v>3350</v>
      </c>
      <c r="L264" s="119">
        <v>0</v>
      </c>
      <c r="M264" s="302">
        <v>200</v>
      </c>
      <c r="N264" s="303"/>
      <c r="O264" s="302">
        <v>200</v>
      </c>
      <c r="P264" s="302"/>
      <c r="Q264" s="303"/>
      <c r="R264" s="302">
        <f t="shared" si="3"/>
        <v>0</v>
      </c>
    </row>
    <row r="265" spans="1:18" ht="19.5" customHeight="1">
      <c r="A265" s="2">
        <v>52</v>
      </c>
      <c r="B265" s="305" t="s">
        <v>3974</v>
      </c>
      <c r="C265" s="305"/>
      <c r="D265" s="305"/>
      <c r="E265" s="305" t="s">
        <v>3973</v>
      </c>
      <c r="F265" s="305" t="s">
        <v>8320</v>
      </c>
      <c r="G265" s="305" t="s">
        <v>7649</v>
      </c>
      <c r="H265" s="305" t="s">
        <v>229</v>
      </c>
      <c r="I265" s="305" t="s">
        <v>11</v>
      </c>
      <c r="J265" s="116" t="s">
        <v>859</v>
      </c>
      <c r="K265" s="119">
        <v>1050</v>
      </c>
      <c r="L265" s="119">
        <v>0</v>
      </c>
      <c r="M265" s="302">
        <v>5000</v>
      </c>
      <c r="N265" s="303"/>
      <c r="O265" s="302"/>
      <c r="P265" s="302"/>
      <c r="Q265" s="303"/>
      <c r="R265" s="302">
        <f t="shared" si="3"/>
        <v>5000</v>
      </c>
    </row>
    <row r="266" spans="1:18" ht="19.5" customHeight="1">
      <c r="A266" s="299" t="s">
        <v>5843</v>
      </c>
      <c r="B266" s="309" t="s">
        <v>8795</v>
      </c>
      <c r="C266" s="309"/>
      <c r="D266" s="309"/>
      <c r="E266" s="309" t="s">
        <v>77</v>
      </c>
      <c r="F266" s="309" t="s">
        <v>8797</v>
      </c>
      <c r="G266" s="309" t="s">
        <v>8535</v>
      </c>
      <c r="H266" s="309" t="s">
        <v>79</v>
      </c>
      <c r="I266" s="309" t="s">
        <v>4652</v>
      </c>
      <c r="J266" s="309" t="s">
        <v>9031</v>
      </c>
      <c r="K266" s="63">
        <v>3500</v>
      </c>
      <c r="L266" s="310">
        <v>40819</v>
      </c>
      <c r="M266" s="302">
        <v>19860</v>
      </c>
      <c r="N266" s="303"/>
      <c r="O266" s="302">
        <f>40819+8986</f>
        <v>49805</v>
      </c>
      <c r="P266" s="302"/>
      <c r="Q266" s="303"/>
      <c r="R266" s="302">
        <f t="shared" ref="R266:R329" si="4">L266+M266-O266</f>
        <v>10874</v>
      </c>
    </row>
    <row r="267" spans="1:18" ht="19.5" customHeight="1">
      <c r="A267" s="304" t="s">
        <v>5847</v>
      </c>
      <c r="B267" s="11" t="s">
        <v>2186</v>
      </c>
      <c r="C267" s="11"/>
      <c r="D267" s="11"/>
      <c r="E267" s="116" t="s">
        <v>81</v>
      </c>
      <c r="F267" s="116" t="s">
        <v>2188</v>
      </c>
      <c r="G267" s="116" t="s">
        <v>2189</v>
      </c>
      <c r="H267" s="116" t="s">
        <v>82</v>
      </c>
      <c r="I267" s="116" t="s">
        <v>12</v>
      </c>
      <c r="J267" s="116" t="s">
        <v>2187</v>
      </c>
      <c r="K267" s="63">
        <v>10200</v>
      </c>
      <c r="L267" s="63">
        <v>970</v>
      </c>
      <c r="M267" s="63">
        <v>0</v>
      </c>
      <c r="N267" s="63"/>
      <c r="O267" s="63">
        <v>970</v>
      </c>
      <c r="P267" s="63"/>
      <c r="Q267" s="63"/>
      <c r="R267" s="302">
        <f t="shared" si="4"/>
        <v>0</v>
      </c>
    </row>
    <row r="268" spans="1:18" ht="19.5" customHeight="1">
      <c r="A268" s="304" t="s">
        <v>5854</v>
      </c>
      <c r="B268" s="309" t="s">
        <v>4655</v>
      </c>
      <c r="C268" s="309"/>
      <c r="D268" s="309"/>
      <c r="E268" s="309" t="s">
        <v>85</v>
      </c>
      <c r="F268" s="309" t="s">
        <v>8572</v>
      </c>
      <c r="G268" s="309" t="s">
        <v>2182</v>
      </c>
      <c r="H268" s="309" t="s">
        <v>8571</v>
      </c>
      <c r="I268" s="309" t="s">
        <v>11</v>
      </c>
      <c r="J268" s="116" t="s">
        <v>1066</v>
      </c>
      <c r="K268" s="63">
        <v>1260</v>
      </c>
      <c r="L268" s="310">
        <v>1996</v>
      </c>
      <c r="M268" s="302">
        <f>960+9300</f>
        <v>10260</v>
      </c>
      <c r="N268" s="303"/>
      <c r="O268" s="302">
        <f>5897+1996+960</f>
        <v>8853</v>
      </c>
      <c r="P268" s="302"/>
      <c r="Q268" s="303"/>
      <c r="R268" s="302">
        <f t="shared" si="4"/>
        <v>3403</v>
      </c>
    </row>
    <row r="269" spans="1:18" ht="19.5" customHeight="1">
      <c r="A269" s="299" t="s">
        <v>5862</v>
      </c>
      <c r="B269" s="471" t="s">
        <v>11454</v>
      </c>
      <c r="C269" s="541"/>
      <c r="D269" s="541"/>
      <c r="E269" s="469" t="s">
        <v>88</v>
      </c>
      <c r="F269" s="471" t="s">
        <v>2158</v>
      </c>
      <c r="G269" s="469" t="s">
        <v>2152</v>
      </c>
      <c r="H269" s="542" t="s">
        <v>11449</v>
      </c>
      <c r="I269" s="469" t="s">
        <v>12</v>
      </c>
      <c r="J269" s="469" t="s">
        <v>11444</v>
      </c>
      <c r="K269" s="466">
        <v>4000</v>
      </c>
      <c r="L269" s="543">
        <v>2</v>
      </c>
      <c r="M269" s="467">
        <v>0</v>
      </c>
      <c r="N269" s="468"/>
      <c r="O269" s="467">
        <v>2</v>
      </c>
      <c r="P269" s="543"/>
      <c r="Q269" s="543"/>
      <c r="R269" s="302">
        <f t="shared" si="4"/>
        <v>0</v>
      </c>
    </row>
    <row r="270" spans="1:18" ht="19.5" customHeight="1">
      <c r="A270" s="2">
        <v>53</v>
      </c>
      <c r="B270" s="70" t="s">
        <v>2083</v>
      </c>
      <c r="C270" s="11"/>
      <c r="D270" s="11"/>
      <c r="E270" s="116" t="s">
        <v>2084</v>
      </c>
      <c r="F270" s="116" t="s">
        <v>2087</v>
      </c>
      <c r="G270" s="116" t="s">
        <v>2088</v>
      </c>
      <c r="H270" s="116" t="s">
        <v>2085</v>
      </c>
      <c r="I270" s="116" t="s">
        <v>12</v>
      </c>
      <c r="J270" s="116" t="s">
        <v>2086</v>
      </c>
      <c r="K270" s="63">
        <v>2728</v>
      </c>
      <c r="L270" s="63">
        <v>52</v>
      </c>
      <c r="M270" s="63">
        <v>0</v>
      </c>
      <c r="N270" s="63"/>
      <c r="O270" s="63">
        <v>52</v>
      </c>
      <c r="P270" s="63"/>
      <c r="Q270" s="63"/>
      <c r="R270" s="302">
        <f t="shared" si="4"/>
        <v>0</v>
      </c>
    </row>
    <row r="271" spans="1:18" ht="19.5" customHeight="1">
      <c r="A271" s="299" t="s">
        <v>5865</v>
      </c>
      <c r="B271" s="11" t="s">
        <v>1330</v>
      </c>
      <c r="C271" s="11"/>
      <c r="D271" s="11"/>
      <c r="E271" s="116" t="s">
        <v>1746</v>
      </c>
      <c r="F271" s="116" t="s">
        <v>1748</v>
      </c>
      <c r="G271" s="116" t="s">
        <v>1749</v>
      </c>
      <c r="H271" s="116" t="s">
        <v>291</v>
      </c>
      <c r="I271" s="116" t="s">
        <v>11</v>
      </c>
      <c r="J271" s="116" t="s">
        <v>1747</v>
      </c>
      <c r="K271" s="63">
        <v>155</v>
      </c>
      <c r="L271" s="63">
        <v>481</v>
      </c>
      <c r="M271" s="63">
        <v>5</v>
      </c>
      <c r="N271" s="63"/>
      <c r="O271" s="63">
        <v>486</v>
      </c>
      <c r="P271" s="63"/>
      <c r="Q271" s="63"/>
      <c r="R271" s="302">
        <f t="shared" si="4"/>
        <v>0</v>
      </c>
    </row>
    <row r="272" spans="1:18" ht="19.5" customHeight="1">
      <c r="A272" s="304" t="s">
        <v>5869</v>
      </c>
      <c r="B272" s="305" t="s">
        <v>3980</v>
      </c>
      <c r="C272" s="305"/>
      <c r="D272" s="305"/>
      <c r="E272" s="305" t="s">
        <v>1278</v>
      </c>
      <c r="F272" s="305" t="s">
        <v>1280</v>
      </c>
      <c r="G272" s="305" t="s">
        <v>357</v>
      </c>
      <c r="H272" s="305" t="s">
        <v>3981</v>
      </c>
      <c r="I272" s="305" t="s">
        <v>11</v>
      </c>
      <c r="J272" s="116" t="s">
        <v>859</v>
      </c>
      <c r="K272" s="119">
        <v>3485</v>
      </c>
      <c r="L272" s="119">
        <v>0</v>
      </c>
      <c r="M272" s="302">
        <v>5000</v>
      </c>
      <c r="N272" s="303"/>
      <c r="O272" s="302">
        <v>1181</v>
      </c>
      <c r="P272" s="302"/>
      <c r="Q272" s="303"/>
      <c r="R272" s="302">
        <f t="shared" si="4"/>
        <v>3819</v>
      </c>
    </row>
    <row r="273" spans="1:18" ht="19.5" customHeight="1">
      <c r="A273" s="304" t="s">
        <v>5873</v>
      </c>
      <c r="B273" s="305" t="s">
        <v>3980</v>
      </c>
      <c r="C273" s="305"/>
      <c r="D273" s="305"/>
      <c r="E273" s="305" t="s">
        <v>1278</v>
      </c>
      <c r="F273" s="305" t="s">
        <v>1280</v>
      </c>
      <c r="G273" s="305" t="s">
        <v>357</v>
      </c>
      <c r="H273" s="305" t="s">
        <v>3981</v>
      </c>
      <c r="I273" s="305" t="s">
        <v>11</v>
      </c>
      <c r="J273" s="116" t="s">
        <v>859</v>
      </c>
      <c r="K273" s="119">
        <v>3486</v>
      </c>
      <c r="L273" s="119">
        <v>4</v>
      </c>
      <c r="M273" s="302"/>
      <c r="N273" s="303"/>
      <c r="O273" s="302">
        <v>4</v>
      </c>
      <c r="P273" s="302"/>
      <c r="Q273" s="303"/>
      <c r="R273" s="302">
        <f t="shared" si="4"/>
        <v>0</v>
      </c>
    </row>
    <row r="274" spans="1:18" ht="19.5" customHeight="1">
      <c r="A274" s="299" t="s">
        <v>5880</v>
      </c>
      <c r="B274" s="11" t="s">
        <v>1684</v>
      </c>
      <c r="C274" s="11"/>
      <c r="D274" s="11"/>
      <c r="E274" s="116" t="s">
        <v>1685</v>
      </c>
      <c r="F274" s="116" t="s">
        <v>1687</v>
      </c>
      <c r="G274" s="116" t="s">
        <v>1688</v>
      </c>
      <c r="H274" s="116" t="s">
        <v>1686</v>
      </c>
      <c r="I274" s="116" t="s">
        <v>10</v>
      </c>
      <c r="J274" s="116" t="s">
        <v>538</v>
      </c>
      <c r="K274" s="63">
        <v>2900</v>
      </c>
      <c r="L274" s="63">
        <v>5083</v>
      </c>
      <c r="M274" s="63"/>
      <c r="N274" s="63"/>
      <c r="O274" s="63">
        <v>5083</v>
      </c>
      <c r="P274" s="63"/>
      <c r="Q274" s="63"/>
      <c r="R274" s="302">
        <f t="shared" si="4"/>
        <v>0</v>
      </c>
    </row>
    <row r="275" spans="1:18" ht="19.5" customHeight="1">
      <c r="A275" s="2">
        <v>54</v>
      </c>
      <c r="B275" s="307" t="s">
        <v>227</v>
      </c>
      <c r="C275" s="307"/>
      <c r="D275" s="307"/>
      <c r="E275" s="116" t="s">
        <v>4843</v>
      </c>
      <c r="F275" s="116" t="s">
        <v>5511</v>
      </c>
      <c r="G275" s="116" t="s">
        <v>5512</v>
      </c>
      <c r="H275" s="116" t="s">
        <v>225</v>
      </c>
      <c r="I275" s="531" t="s">
        <v>410</v>
      </c>
      <c r="J275" s="116" t="s">
        <v>8971</v>
      </c>
      <c r="K275" s="118">
        <v>790</v>
      </c>
      <c r="L275" s="308">
        <v>0</v>
      </c>
      <c r="M275" s="302">
        <f>7207+6400+8560+7920</f>
        <v>30087</v>
      </c>
      <c r="N275" s="303"/>
      <c r="O275" s="302">
        <f>7207+6400+863</f>
        <v>14470</v>
      </c>
      <c r="P275" s="302">
        <v>96</v>
      </c>
      <c r="Q275" s="303"/>
      <c r="R275" s="302">
        <f t="shared" si="4"/>
        <v>15617</v>
      </c>
    </row>
    <row r="276" spans="1:18" ht="19.5" customHeight="1">
      <c r="A276" s="299" t="s">
        <v>5886</v>
      </c>
      <c r="B276" s="305" t="s">
        <v>560</v>
      </c>
      <c r="C276" s="305"/>
      <c r="D276" s="305"/>
      <c r="E276" s="305" t="s">
        <v>1944</v>
      </c>
      <c r="F276" s="305" t="s">
        <v>1945</v>
      </c>
      <c r="G276" s="305" t="s">
        <v>1946</v>
      </c>
      <c r="H276" s="305" t="s">
        <v>258</v>
      </c>
      <c r="I276" s="305" t="s">
        <v>11</v>
      </c>
      <c r="J276" s="305" t="s">
        <v>3287</v>
      </c>
      <c r="K276" s="119">
        <v>1092</v>
      </c>
      <c r="L276" s="119">
        <v>0</v>
      </c>
      <c r="M276" s="302">
        <v>4200</v>
      </c>
      <c r="N276" s="303"/>
      <c r="O276" s="302">
        <v>1200</v>
      </c>
      <c r="P276" s="302"/>
      <c r="Q276" s="303"/>
      <c r="R276" s="302">
        <f t="shared" si="4"/>
        <v>3000</v>
      </c>
    </row>
    <row r="277" spans="1:18" ht="19.5" customHeight="1">
      <c r="A277" s="304" t="s">
        <v>5895</v>
      </c>
      <c r="B277" s="305" t="s">
        <v>750</v>
      </c>
      <c r="C277" s="305"/>
      <c r="D277" s="305"/>
      <c r="E277" s="305" t="s">
        <v>3987</v>
      </c>
      <c r="F277" s="305" t="s">
        <v>6062</v>
      </c>
      <c r="G277" s="305" t="s">
        <v>6063</v>
      </c>
      <c r="H277" s="305" t="s">
        <v>232</v>
      </c>
      <c r="I277" s="305" t="s">
        <v>11</v>
      </c>
      <c r="J277" s="305" t="s">
        <v>8993</v>
      </c>
      <c r="K277" s="119">
        <v>2258</v>
      </c>
      <c r="L277" s="119">
        <v>0</v>
      </c>
      <c r="M277" s="302">
        <v>200</v>
      </c>
      <c r="N277" s="303"/>
      <c r="O277" s="302">
        <v>40</v>
      </c>
      <c r="P277" s="302">
        <v>40</v>
      </c>
      <c r="Q277" s="303"/>
      <c r="R277" s="302">
        <f t="shared" si="4"/>
        <v>160</v>
      </c>
    </row>
    <row r="278" spans="1:18" ht="19.5" customHeight="1">
      <c r="A278" s="304" t="s">
        <v>5900</v>
      </c>
      <c r="B278" s="11" t="s">
        <v>1070</v>
      </c>
      <c r="C278" s="11"/>
      <c r="D278" s="11"/>
      <c r="E278" s="116" t="s">
        <v>1071</v>
      </c>
      <c r="F278" s="116" t="s">
        <v>1074</v>
      </c>
      <c r="G278" s="116" t="s">
        <v>336</v>
      </c>
      <c r="H278" s="116" t="s">
        <v>1072</v>
      </c>
      <c r="I278" s="116" t="s">
        <v>18</v>
      </c>
      <c r="J278" s="116" t="s">
        <v>1073</v>
      </c>
      <c r="K278" s="63">
        <v>1250</v>
      </c>
      <c r="L278" s="63">
        <v>30</v>
      </c>
      <c r="M278" s="63">
        <v>30</v>
      </c>
      <c r="N278" s="63"/>
      <c r="O278" s="63"/>
      <c r="P278" s="63"/>
      <c r="Q278" s="63"/>
      <c r="R278" s="302">
        <f t="shared" si="4"/>
        <v>60</v>
      </c>
    </row>
    <row r="279" spans="1:18" ht="19.5" customHeight="1">
      <c r="A279" s="299" t="s">
        <v>5907</v>
      </c>
      <c r="B279" s="11" t="s">
        <v>1330</v>
      </c>
      <c r="C279" s="11"/>
      <c r="D279" s="11"/>
      <c r="E279" s="116" t="s">
        <v>2481</v>
      </c>
      <c r="F279" s="116" t="s">
        <v>2938</v>
      </c>
      <c r="G279" s="116" t="s">
        <v>2939</v>
      </c>
      <c r="H279" s="116" t="s">
        <v>1580</v>
      </c>
      <c r="I279" s="116" t="s">
        <v>520</v>
      </c>
      <c r="J279" s="116" t="s">
        <v>2654</v>
      </c>
      <c r="K279" s="63">
        <v>7800</v>
      </c>
      <c r="L279" s="63">
        <v>4</v>
      </c>
      <c r="M279" s="63">
        <v>0</v>
      </c>
      <c r="N279" s="63"/>
      <c r="O279" s="63">
        <v>4</v>
      </c>
      <c r="P279" s="63"/>
      <c r="Q279" s="63"/>
      <c r="R279" s="302">
        <f t="shared" si="4"/>
        <v>0</v>
      </c>
    </row>
    <row r="280" spans="1:18" ht="19.5" customHeight="1">
      <c r="A280" s="2">
        <v>55</v>
      </c>
      <c r="B280" s="305" t="s">
        <v>1330</v>
      </c>
      <c r="C280" s="305"/>
      <c r="D280" s="305"/>
      <c r="E280" s="305" t="s">
        <v>2481</v>
      </c>
      <c r="F280" s="305" t="s">
        <v>6002</v>
      </c>
      <c r="G280" s="305" t="s">
        <v>6003</v>
      </c>
      <c r="H280" s="305" t="s">
        <v>1580</v>
      </c>
      <c r="I280" s="305" t="s">
        <v>520</v>
      </c>
      <c r="J280" s="305" t="s">
        <v>8990</v>
      </c>
      <c r="K280" s="119">
        <v>8900</v>
      </c>
      <c r="L280" s="119">
        <v>0</v>
      </c>
      <c r="M280" s="302">
        <v>606</v>
      </c>
      <c r="N280" s="303"/>
      <c r="O280" s="302">
        <v>232</v>
      </c>
      <c r="P280" s="302">
        <v>20</v>
      </c>
      <c r="Q280" s="303"/>
      <c r="R280" s="302">
        <f t="shared" si="4"/>
        <v>374</v>
      </c>
    </row>
    <row r="281" spans="1:18" ht="19.5" customHeight="1">
      <c r="A281" s="299" t="s">
        <v>5912</v>
      </c>
      <c r="B281" s="65" t="s">
        <v>619</v>
      </c>
      <c r="C281" s="11"/>
      <c r="D281" s="11"/>
      <c r="E281" s="504" t="s">
        <v>2940</v>
      </c>
      <c r="F281" s="116" t="s">
        <v>2941</v>
      </c>
      <c r="G281" s="116" t="s">
        <v>2764</v>
      </c>
      <c r="H281" s="504" t="s">
        <v>299</v>
      </c>
      <c r="I281" s="116" t="s">
        <v>11</v>
      </c>
      <c r="J281" s="116" t="s">
        <v>1329</v>
      </c>
      <c r="K281" s="63">
        <v>350</v>
      </c>
      <c r="L281" s="63">
        <v>1973</v>
      </c>
      <c r="M281" s="63">
        <v>0</v>
      </c>
      <c r="N281" s="63"/>
      <c r="O281" s="63">
        <v>1973</v>
      </c>
      <c r="P281" s="63"/>
      <c r="Q281" s="63"/>
      <c r="R281" s="302">
        <f t="shared" si="4"/>
        <v>0</v>
      </c>
    </row>
    <row r="282" spans="1:18" ht="19.5" customHeight="1">
      <c r="A282" s="304" t="s">
        <v>5916</v>
      </c>
      <c r="B282" s="11" t="s">
        <v>634</v>
      </c>
      <c r="C282" s="11"/>
      <c r="D282" s="11"/>
      <c r="E282" s="116" t="s">
        <v>1795</v>
      </c>
      <c r="F282" s="116" t="s">
        <v>1796</v>
      </c>
      <c r="G282" s="116" t="s">
        <v>1797</v>
      </c>
      <c r="H282" s="116" t="s">
        <v>235</v>
      </c>
      <c r="I282" s="116" t="s">
        <v>11</v>
      </c>
      <c r="J282" s="116" t="s">
        <v>804</v>
      </c>
      <c r="K282" s="63">
        <v>7875</v>
      </c>
      <c r="L282" s="63">
        <v>23</v>
      </c>
      <c r="M282" s="63"/>
      <c r="N282" s="63"/>
      <c r="O282" s="63">
        <v>23</v>
      </c>
      <c r="P282" s="63"/>
      <c r="Q282" s="63"/>
      <c r="R282" s="302">
        <f t="shared" si="4"/>
        <v>0</v>
      </c>
    </row>
    <row r="283" spans="1:18" ht="19.5" customHeight="1">
      <c r="A283" s="304" t="s">
        <v>5921</v>
      </c>
      <c r="B283" s="307" t="s">
        <v>236</v>
      </c>
      <c r="C283" s="307"/>
      <c r="D283" s="307"/>
      <c r="E283" s="116" t="s">
        <v>236</v>
      </c>
      <c r="F283" s="116" t="s">
        <v>375</v>
      </c>
      <c r="G283" s="116" t="s">
        <v>360</v>
      </c>
      <c r="H283" s="116" t="s">
        <v>327</v>
      </c>
      <c r="I283" s="531" t="s">
        <v>10</v>
      </c>
      <c r="J283" s="116" t="s">
        <v>642</v>
      </c>
      <c r="K283" s="118">
        <v>77</v>
      </c>
      <c r="L283" s="308">
        <v>20279</v>
      </c>
      <c r="M283" s="302">
        <f>4500+9000+61000</f>
        <v>74500</v>
      </c>
      <c r="N283" s="303"/>
      <c r="O283" s="302">
        <f>21279+68500+4500</f>
        <v>94279</v>
      </c>
      <c r="P283" s="302">
        <v>100</v>
      </c>
      <c r="Q283" s="303"/>
      <c r="R283" s="302">
        <f t="shared" si="4"/>
        <v>500</v>
      </c>
    </row>
    <row r="284" spans="1:18" ht="19.5" customHeight="1">
      <c r="A284" s="299" t="s">
        <v>5926</v>
      </c>
      <c r="B284" s="305" t="s">
        <v>634</v>
      </c>
      <c r="C284" s="305"/>
      <c r="D284" s="305"/>
      <c r="E284" s="305" t="s">
        <v>3995</v>
      </c>
      <c r="F284" s="305" t="s">
        <v>6785</v>
      </c>
      <c r="G284" s="305" t="s">
        <v>6719</v>
      </c>
      <c r="H284" s="305" t="s">
        <v>235</v>
      </c>
      <c r="I284" s="305" t="s">
        <v>11</v>
      </c>
      <c r="J284" s="305" t="s">
        <v>8977</v>
      </c>
      <c r="K284" s="119">
        <v>1590</v>
      </c>
      <c r="L284" s="119">
        <v>0</v>
      </c>
      <c r="M284" s="302">
        <f>4242+2117</f>
        <v>6359</v>
      </c>
      <c r="N284" s="303"/>
      <c r="O284" s="302">
        <v>2118</v>
      </c>
      <c r="P284" s="302"/>
      <c r="Q284" s="303"/>
      <c r="R284" s="302">
        <f t="shared" si="4"/>
        <v>4241</v>
      </c>
    </row>
    <row r="285" spans="1:18" ht="19.5" customHeight="1">
      <c r="A285" s="2">
        <v>56</v>
      </c>
      <c r="B285" s="305" t="s">
        <v>1335</v>
      </c>
      <c r="C285" s="305"/>
      <c r="D285" s="305"/>
      <c r="E285" s="305" t="s">
        <v>1335</v>
      </c>
      <c r="F285" s="305" t="s">
        <v>7367</v>
      </c>
      <c r="G285" s="305" t="s">
        <v>7001</v>
      </c>
      <c r="H285" s="305" t="s">
        <v>225</v>
      </c>
      <c r="I285" s="305" t="s">
        <v>11</v>
      </c>
      <c r="J285" s="116" t="s">
        <v>1066</v>
      </c>
      <c r="K285" s="119">
        <v>1153</v>
      </c>
      <c r="L285" s="119">
        <v>0</v>
      </c>
      <c r="M285" s="302">
        <v>2800</v>
      </c>
      <c r="N285" s="303"/>
      <c r="O285" s="302">
        <v>2800</v>
      </c>
      <c r="P285" s="302"/>
      <c r="Q285" s="303"/>
      <c r="R285" s="302">
        <f t="shared" si="4"/>
        <v>0</v>
      </c>
    </row>
    <row r="286" spans="1:18" ht="19.5" customHeight="1">
      <c r="A286" s="299" t="s">
        <v>5935</v>
      </c>
      <c r="B286" s="305" t="s">
        <v>1335</v>
      </c>
      <c r="C286" s="305"/>
      <c r="D286" s="305"/>
      <c r="E286" s="305" t="s">
        <v>1335</v>
      </c>
      <c r="F286" s="305" t="s">
        <v>7367</v>
      </c>
      <c r="G286" s="305" t="s">
        <v>7001</v>
      </c>
      <c r="H286" s="305" t="s">
        <v>225</v>
      </c>
      <c r="I286" s="305" t="s">
        <v>11</v>
      </c>
      <c r="J286" s="116" t="s">
        <v>1066</v>
      </c>
      <c r="K286" s="119">
        <v>1185</v>
      </c>
      <c r="L286" s="119">
        <v>2</v>
      </c>
      <c r="M286" s="302">
        <v>0</v>
      </c>
      <c r="N286" s="303"/>
      <c r="O286" s="302">
        <v>0</v>
      </c>
      <c r="P286" s="302"/>
      <c r="Q286" s="303"/>
      <c r="R286" s="302">
        <f t="shared" si="4"/>
        <v>2</v>
      </c>
    </row>
    <row r="287" spans="1:18" ht="19.5" customHeight="1">
      <c r="A287" s="304" t="s">
        <v>5944</v>
      </c>
      <c r="B287" s="305" t="s">
        <v>634</v>
      </c>
      <c r="C287" s="305"/>
      <c r="D287" s="305"/>
      <c r="E287" s="305" t="s">
        <v>3998</v>
      </c>
      <c r="F287" s="305" t="s">
        <v>2960</v>
      </c>
      <c r="G287" s="305" t="s">
        <v>7940</v>
      </c>
      <c r="H287" s="305" t="s">
        <v>235</v>
      </c>
      <c r="I287" s="305" t="s">
        <v>11</v>
      </c>
      <c r="J287" s="305" t="s">
        <v>553</v>
      </c>
      <c r="K287" s="119">
        <v>315</v>
      </c>
      <c r="L287" s="119">
        <v>0</v>
      </c>
      <c r="M287" s="302">
        <v>8016</v>
      </c>
      <c r="N287" s="303"/>
      <c r="O287" s="302">
        <v>8016</v>
      </c>
      <c r="P287" s="302"/>
      <c r="Q287" s="303"/>
      <c r="R287" s="302">
        <f t="shared" si="4"/>
        <v>0</v>
      </c>
    </row>
    <row r="288" spans="1:18" ht="19.5" customHeight="1">
      <c r="A288" s="304" t="s">
        <v>5954</v>
      </c>
      <c r="B288" s="305" t="s">
        <v>1780</v>
      </c>
      <c r="C288" s="305"/>
      <c r="D288" s="305"/>
      <c r="E288" s="305" t="s">
        <v>4000</v>
      </c>
      <c r="F288" s="305" t="s">
        <v>1027</v>
      </c>
      <c r="G288" s="305" t="s">
        <v>1028</v>
      </c>
      <c r="H288" s="305" t="s">
        <v>267</v>
      </c>
      <c r="I288" s="305" t="s">
        <v>11</v>
      </c>
      <c r="J288" s="305" t="s">
        <v>1675</v>
      </c>
      <c r="K288" s="119">
        <v>838</v>
      </c>
      <c r="L288" s="119">
        <v>27772</v>
      </c>
      <c r="M288" s="302">
        <v>1041</v>
      </c>
      <c r="N288" s="303"/>
      <c r="O288" s="302">
        <f>48+24032</f>
        <v>24080</v>
      </c>
      <c r="P288" s="302"/>
      <c r="Q288" s="303"/>
      <c r="R288" s="302">
        <f t="shared" si="4"/>
        <v>4733</v>
      </c>
    </row>
    <row r="289" spans="1:18" ht="19.5" customHeight="1">
      <c r="A289" s="299" t="s">
        <v>5959</v>
      </c>
      <c r="B289" s="67" t="s">
        <v>1019</v>
      </c>
      <c r="C289" s="11"/>
      <c r="D289" s="11"/>
      <c r="E289" s="502" t="s">
        <v>1020</v>
      </c>
      <c r="F289" s="502" t="s">
        <v>1023</v>
      </c>
      <c r="G289" s="502" t="s">
        <v>1001</v>
      </c>
      <c r="H289" s="502" t="s">
        <v>1021</v>
      </c>
      <c r="I289" s="502" t="s">
        <v>18</v>
      </c>
      <c r="J289" s="502" t="s">
        <v>1022</v>
      </c>
      <c r="K289" s="63">
        <v>53300</v>
      </c>
      <c r="L289" s="63">
        <v>1498</v>
      </c>
      <c r="M289" s="63">
        <v>11</v>
      </c>
      <c r="N289" s="63"/>
      <c r="O289" s="63">
        <v>601</v>
      </c>
      <c r="P289" s="63"/>
      <c r="Q289" s="63"/>
      <c r="R289" s="302">
        <f t="shared" si="4"/>
        <v>908</v>
      </c>
    </row>
    <row r="290" spans="1:18" ht="19.5" customHeight="1">
      <c r="A290" s="2">
        <v>57</v>
      </c>
      <c r="B290" s="16" t="s">
        <v>11432</v>
      </c>
      <c r="C290" s="541"/>
      <c r="D290" s="541"/>
      <c r="E290" s="469" t="s">
        <v>4495</v>
      </c>
      <c r="F290" s="469" t="s">
        <v>11434</v>
      </c>
      <c r="G290" s="469" t="s">
        <v>11433</v>
      </c>
      <c r="H290" s="542" t="s">
        <v>258</v>
      </c>
      <c r="I290" s="469" t="s">
        <v>10</v>
      </c>
      <c r="J290" s="469" t="s">
        <v>11445</v>
      </c>
      <c r="K290" s="466">
        <v>7980</v>
      </c>
      <c r="L290" s="543">
        <v>724</v>
      </c>
      <c r="M290" s="467">
        <v>0</v>
      </c>
      <c r="N290" s="468"/>
      <c r="O290" s="467">
        <v>724</v>
      </c>
      <c r="P290" s="543"/>
      <c r="Q290" s="543"/>
      <c r="R290" s="302">
        <f t="shared" si="4"/>
        <v>0</v>
      </c>
    </row>
    <row r="291" spans="1:18" ht="19.5" customHeight="1">
      <c r="A291" s="299" t="s">
        <v>5967</v>
      </c>
      <c r="B291" s="11" t="s">
        <v>802</v>
      </c>
      <c r="C291" s="11"/>
      <c r="D291" s="11"/>
      <c r="E291" s="116" t="s">
        <v>2573</v>
      </c>
      <c r="F291" s="116" t="s">
        <v>2964</v>
      </c>
      <c r="G291" s="116" t="s">
        <v>2965</v>
      </c>
      <c r="H291" s="116" t="s">
        <v>1200</v>
      </c>
      <c r="I291" s="116" t="s">
        <v>11</v>
      </c>
      <c r="J291" s="116" t="s">
        <v>2966</v>
      </c>
      <c r="K291" s="63">
        <v>1183</v>
      </c>
      <c r="L291" s="63">
        <v>775</v>
      </c>
      <c r="M291" s="63"/>
      <c r="N291" s="63"/>
      <c r="O291" s="63">
        <v>775</v>
      </c>
      <c r="P291" s="63"/>
      <c r="Q291" s="63"/>
      <c r="R291" s="302">
        <f t="shared" si="4"/>
        <v>0</v>
      </c>
    </row>
    <row r="292" spans="1:18" ht="19.5" customHeight="1">
      <c r="A292" s="304" t="s">
        <v>5972</v>
      </c>
      <c r="B292" s="305" t="s">
        <v>4007</v>
      </c>
      <c r="C292" s="305"/>
      <c r="D292" s="305"/>
      <c r="E292" s="305" t="s">
        <v>8960</v>
      </c>
      <c r="F292" s="305" t="s">
        <v>8495</v>
      </c>
      <c r="G292" s="305" t="s">
        <v>6594</v>
      </c>
      <c r="H292" s="305" t="s">
        <v>4008</v>
      </c>
      <c r="I292" s="305" t="s">
        <v>658</v>
      </c>
      <c r="J292" s="305" t="s">
        <v>9009</v>
      </c>
      <c r="K292" s="119">
        <v>29715</v>
      </c>
      <c r="L292" s="119">
        <v>0</v>
      </c>
      <c r="M292" s="302">
        <v>300</v>
      </c>
      <c r="N292" s="303"/>
      <c r="O292" s="302">
        <v>165</v>
      </c>
      <c r="P292" s="302"/>
      <c r="Q292" s="303"/>
      <c r="R292" s="302">
        <f t="shared" si="4"/>
        <v>135</v>
      </c>
    </row>
    <row r="293" spans="1:18" ht="19.5" customHeight="1">
      <c r="A293" s="304" t="s">
        <v>5977</v>
      </c>
      <c r="B293" s="305" t="s">
        <v>1510</v>
      </c>
      <c r="C293" s="305"/>
      <c r="D293" s="305"/>
      <c r="E293" s="305" t="s">
        <v>4498</v>
      </c>
      <c r="F293" s="305" t="s">
        <v>5909</v>
      </c>
      <c r="G293" s="305" t="s">
        <v>5910</v>
      </c>
      <c r="H293" s="305" t="s">
        <v>4499</v>
      </c>
      <c r="I293" s="305" t="s">
        <v>658</v>
      </c>
      <c r="J293" s="305" t="s">
        <v>306</v>
      </c>
      <c r="K293" s="119">
        <v>38493</v>
      </c>
      <c r="L293" s="119">
        <v>0</v>
      </c>
      <c r="M293" s="302">
        <v>100</v>
      </c>
      <c r="N293" s="303"/>
      <c r="O293" s="302">
        <v>31</v>
      </c>
      <c r="P293" s="302"/>
      <c r="Q293" s="303"/>
      <c r="R293" s="302">
        <f t="shared" si="4"/>
        <v>69</v>
      </c>
    </row>
    <row r="294" spans="1:18" ht="19.5" customHeight="1">
      <c r="A294" s="299" t="s">
        <v>5981</v>
      </c>
      <c r="B294" s="305" t="s">
        <v>4011</v>
      </c>
      <c r="C294" s="305"/>
      <c r="D294" s="305"/>
      <c r="E294" s="305" t="s">
        <v>4010</v>
      </c>
      <c r="F294" s="305" t="s">
        <v>6015</v>
      </c>
      <c r="G294" s="305" t="s">
        <v>6016</v>
      </c>
      <c r="H294" s="305" t="s">
        <v>4012</v>
      </c>
      <c r="I294" s="305" t="s">
        <v>3670</v>
      </c>
      <c r="J294" s="305" t="s">
        <v>8991</v>
      </c>
      <c r="K294" s="119">
        <v>47500</v>
      </c>
      <c r="L294" s="119"/>
      <c r="M294" s="302">
        <v>80</v>
      </c>
      <c r="N294" s="303"/>
      <c r="O294" s="302">
        <v>45</v>
      </c>
      <c r="P294" s="302"/>
      <c r="Q294" s="303"/>
      <c r="R294" s="302">
        <f t="shared" si="4"/>
        <v>35</v>
      </c>
    </row>
    <row r="295" spans="1:18" ht="19.5" customHeight="1">
      <c r="A295" s="2">
        <v>58</v>
      </c>
      <c r="B295" s="305" t="s">
        <v>5821</v>
      </c>
      <c r="C295" s="305"/>
      <c r="D295" s="305"/>
      <c r="E295" s="305" t="s">
        <v>5012</v>
      </c>
      <c r="F295" s="305" t="s">
        <v>5823</v>
      </c>
      <c r="G295" s="305" t="s">
        <v>2097</v>
      </c>
      <c r="H295" s="305" t="s">
        <v>8962</v>
      </c>
      <c r="I295" s="305" t="s">
        <v>520</v>
      </c>
      <c r="J295" s="305" t="s">
        <v>8987</v>
      </c>
      <c r="K295" s="119">
        <v>5163</v>
      </c>
      <c r="L295" s="119">
        <v>5755</v>
      </c>
      <c r="M295" s="302">
        <v>5400</v>
      </c>
      <c r="N295" s="303"/>
      <c r="O295" s="302">
        <v>5755</v>
      </c>
      <c r="P295" s="302"/>
      <c r="Q295" s="303"/>
      <c r="R295" s="302">
        <f t="shared" si="4"/>
        <v>5400</v>
      </c>
    </row>
    <row r="296" spans="1:18" ht="19.5" customHeight="1">
      <c r="A296" s="299" t="s">
        <v>5992</v>
      </c>
      <c r="B296" s="71" t="s">
        <v>2983</v>
      </c>
      <c r="C296" s="11"/>
      <c r="D296" s="11"/>
      <c r="E296" s="116" t="s">
        <v>1338</v>
      </c>
      <c r="F296" s="116" t="s">
        <v>2987</v>
      </c>
      <c r="G296" s="116" t="s">
        <v>360</v>
      </c>
      <c r="H296" s="116" t="s">
        <v>869</v>
      </c>
      <c r="I296" s="116" t="s">
        <v>11</v>
      </c>
      <c r="J296" s="116" t="s">
        <v>647</v>
      </c>
      <c r="K296" s="63">
        <v>263</v>
      </c>
      <c r="L296" s="63">
        <v>16907</v>
      </c>
      <c r="M296" s="63"/>
      <c r="N296" s="63"/>
      <c r="O296" s="63">
        <v>3207</v>
      </c>
      <c r="P296" s="63">
        <v>150</v>
      </c>
      <c r="Q296" s="63"/>
      <c r="R296" s="302">
        <f t="shared" si="4"/>
        <v>13700</v>
      </c>
    </row>
    <row r="297" spans="1:18" ht="19.5" customHeight="1">
      <c r="A297" s="304" t="s">
        <v>6000</v>
      </c>
      <c r="B297" s="305" t="s">
        <v>4017</v>
      </c>
      <c r="C297" s="305"/>
      <c r="D297" s="305"/>
      <c r="E297" s="305" t="s">
        <v>4016</v>
      </c>
      <c r="F297" s="305" t="s">
        <v>1753</v>
      </c>
      <c r="G297" s="305" t="s">
        <v>6102</v>
      </c>
      <c r="H297" s="305" t="s">
        <v>327</v>
      </c>
      <c r="I297" s="305" t="s">
        <v>11</v>
      </c>
      <c r="J297" s="305" t="s">
        <v>8974</v>
      </c>
      <c r="K297" s="119">
        <v>1400</v>
      </c>
      <c r="L297" s="119">
        <v>0</v>
      </c>
      <c r="M297" s="302">
        <v>12000</v>
      </c>
      <c r="N297" s="303"/>
      <c r="O297" s="302">
        <v>7846</v>
      </c>
      <c r="P297" s="302"/>
      <c r="Q297" s="303"/>
      <c r="R297" s="302">
        <f t="shared" si="4"/>
        <v>4154</v>
      </c>
    </row>
    <row r="298" spans="1:18" ht="19.5" customHeight="1">
      <c r="A298" s="304" t="s">
        <v>6004</v>
      </c>
      <c r="B298" s="11" t="s">
        <v>1750</v>
      </c>
      <c r="C298" s="11"/>
      <c r="D298" s="11"/>
      <c r="E298" s="116" t="s">
        <v>1751</v>
      </c>
      <c r="F298" s="116" t="s">
        <v>1753</v>
      </c>
      <c r="G298" s="116" t="s">
        <v>1170</v>
      </c>
      <c r="H298" s="116" t="s">
        <v>327</v>
      </c>
      <c r="I298" s="116" t="s">
        <v>11</v>
      </c>
      <c r="J298" s="116" t="s">
        <v>1752</v>
      </c>
      <c r="K298" s="63">
        <v>1200</v>
      </c>
      <c r="L298" s="63">
        <v>1000</v>
      </c>
      <c r="M298" s="63">
        <v>0</v>
      </c>
      <c r="N298" s="63"/>
      <c r="O298" s="63">
        <v>1000</v>
      </c>
      <c r="P298" s="63"/>
      <c r="Q298" s="63"/>
      <c r="R298" s="302">
        <f t="shared" si="4"/>
        <v>0</v>
      </c>
    </row>
    <row r="299" spans="1:18" ht="19.5" customHeight="1">
      <c r="A299" s="299" t="s">
        <v>6013</v>
      </c>
      <c r="B299" s="64" t="s">
        <v>376</v>
      </c>
      <c r="C299" s="64"/>
      <c r="D299" s="64"/>
      <c r="E299" s="116" t="s">
        <v>376</v>
      </c>
      <c r="F299" s="116" t="s">
        <v>377</v>
      </c>
      <c r="G299" s="116" t="s">
        <v>360</v>
      </c>
      <c r="H299" s="116" t="s">
        <v>262</v>
      </c>
      <c r="I299" s="116" t="s">
        <v>10</v>
      </c>
      <c r="J299" s="116" t="s">
        <v>1329</v>
      </c>
      <c r="K299" s="63">
        <v>495</v>
      </c>
      <c r="L299" s="63">
        <v>7762</v>
      </c>
      <c r="M299" s="63">
        <v>0</v>
      </c>
      <c r="N299" s="63"/>
      <c r="O299" s="63">
        <v>7711</v>
      </c>
      <c r="P299" s="63"/>
      <c r="Q299" s="63"/>
      <c r="R299" s="302">
        <f t="shared" si="4"/>
        <v>51</v>
      </c>
    </row>
    <row r="300" spans="1:18" ht="19.5" customHeight="1">
      <c r="A300" s="2">
        <v>59</v>
      </c>
      <c r="B300" s="11" t="s">
        <v>376</v>
      </c>
      <c r="C300" s="11"/>
      <c r="D300" s="11"/>
      <c r="E300" s="116" t="s">
        <v>1754</v>
      </c>
      <c r="F300" s="116" t="s">
        <v>1755</v>
      </c>
      <c r="G300" s="116" t="s">
        <v>2699</v>
      </c>
      <c r="H300" s="116" t="s">
        <v>299</v>
      </c>
      <c r="I300" s="116" t="s">
        <v>11</v>
      </c>
      <c r="J300" s="116" t="s">
        <v>1715</v>
      </c>
      <c r="K300" s="63">
        <v>1850</v>
      </c>
      <c r="L300" s="63">
        <v>87</v>
      </c>
      <c r="M300" s="63">
        <v>1</v>
      </c>
      <c r="N300" s="63"/>
      <c r="O300" s="63">
        <v>88</v>
      </c>
      <c r="P300" s="63"/>
      <c r="Q300" s="63"/>
      <c r="R300" s="302">
        <f t="shared" si="4"/>
        <v>0</v>
      </c>
    </row>
    <row r="301" spans="1:18" ht="19.5" customHeight="1">
      <c r="A301" s="299" t="s">
        <v>6017</v>
      </c>
      <c r="B301" s="333" t="s">
        <v>1650</v>
      </c>
      <c r="C301" s="333"/>
      <c r="D301" s="333"/>
      <c r="E301" s="483" t="s">
        <v>1654</v>
      </c>
      <c r="F301" s="483" t="s">
        <v>1655</v>
      </c>
      <c r="G301" s="527" t="s">
        <v>479</v>
      </c>
      <c r="H301" s="483" t="s">
        <v>1340</v>
      </c>
      <c r="I301" s="527" t="s">
        <v>10</v>
      </c>
      <c r="J301" s="483" t="s">
        <v>1642</v>
      </c>
      <c r="K301" s="465">
        <v>1400</v>
      </c>
      <c r="L301" s="465">
        <f>8055+829</f>
        <v>8884</v>
      </c>
      <c r="M301" s="465">
        <v>10</v>
      </c>
      <c r="N301" s="465"/>
      <c r="O301" s="465">
        <f>4106+197</f>
        <v>4303</v>
      </c>
      <c r="P301" s="465">
        <v>11</v>
      </c>
      <c r="Q301" s="465"/>
      <c r="R301" s="302">
        <f t="shared" si="4"/>
        <v>4591</v>
      </c>
    </row>
    <row r="302" spans="1:18" ht="19.5" customHeight="1">
      <c r="A302" s="304" t="s">
        <v>6022</v>
      </c>
      <c r="B302" s="11" t="s">
        <v>1650</v>
      </c>
      <c r="C302" s="11"/>
      <c r="D302" s="11"/>
      <c r="E302" s="116" t="s">
        <v>11402</v>
      </c>
      <c r="F302" s="116" t="s">
        <v>1655</v>
      </c>
      <c r="G302" s="528" t="s">
        <v>479</v>
      </c>
      <c r="H302" s="116" t="s">
        <v>1343</v>
      </c>
      <c r="I302" s="528" t="s">
        <v>10</v>
      </c>
      <c r="J302" s="116" t="s">
        <v>1642</v>
      </c>
      <c r="K302" s="63">
        <v>2690</v>
      </c>
      <c r="L302" s="63">
        <v>11850</v>
      </c>
      <c r="M302" s="63">
        <v>0</v>
      </c>
      <c r="N302" s="63"/>
      <c r="O302" s="63">
        <v>6000</v>
      </c>
      <c r="P302" s="63">
        <v>11</v>
      </c>
      <c r="Q302" s="63"/>
      <c r="R302" s="302">
        <f t="shared" si="4"/>
        <v>5850</v>
      </c>
    </row>
    <row r="303" spans="1:18" ht="19.5" customHeight="1">
      <c r="A303" s="304" t="s">
        <v>6023</v>
      </c>
      <c r="B303" s="309" t="s">
        <v>4659</v>
      </c>
      <c r="C303" s="309"/>
      <c r="D303" s="309"/>
      <c r="E303" s="309" t="s">
        <v>4658</v>
      </c>
      <c r="F303" s="309" t="s">
        <v>8513</v>
      </c>
      <c r="G303" s="309" t="s">
        <v>2253</v>
      </c>
      <c r="H303" s="309" t="s">
        <v>4660</v>
      </c>
      <c r="I303" s="309" t="s">
        <v>15</v>
      </c>
      <c r="J303" s="309" t="s">
        <v>9025</v>
      </c>
      <c r="K303" s="63">
        <v>34000</v>
      </c>
      <c r="L303" s="310">
        <v>0</v>
      </c>
      <c r="M303" s="302">
        <v>150</v>
      </c>
      <c r="N303" s="303"/>
      <c r="O303" s="302">
        <v>26</v>
      </c>
      <c r="P303" s="302"/>
      <c r="Q303" s="303"/>
      <c r="R303" s="302">
        <f t="shared" si="4"/>
        <v>124</v>
      </c>
    </row>
    <row r="304" spans="1:18" ht="19.5" customHeight="1">
      <c r="A304" s="299" t="s">
        <v>6026</v>
      </c>
      <c r="B304" s="67" t="s">
        <v>2286</v>
      </c>
      <c r="C304" s="11"/>
      <c r="D304" s="11"/>
      <c r="E304" s="116" t="s">
        <v>90</v>
      </c>
      <c r="F304" s="116" t="s">
        <v>2288</v>
      </c>
      <c r="G304" s="116" t="s">
        <v>2253</v>
      </c>
      <c r="H304" s="116" t="s">
        <v>2287</v>
      </c>
      <c r="I304" s="116" t="s">
        <v>16</v>
      </c>
      <c r="J304" s="116" t="s">
        <v>1715</v>
      </c>
      <c r="K304" s="63">
        <v>1200</v>
      </c>
      <c r="L304" s="63">
        <v>0</v>
      </c>
      <c r="M304" s="63">
        <v>200</v>
      </c>
      <c r="N304" s="63"/>
      <c r="O304" s="63"/>
      <c r="P304" s="63"/>
      <c r="Q304" s="63"/>
      <c r="R304" s="302">
        <f t="shared" si="4"/>
        <v>200</v>
      </c>
    </row>
    <row r="305" spans="1:18" ht="19.5" customHeight="1">
      <c r="A305" s="2">
        <v>60</v>
      </c>
      <c r="B305" s="67" t="s">
        <v>94</v>
      </c>
      <c r="C305" s="11"/>
      <c r="D305" s="11"/>
      <c r="E305" s="116" t="s">
        <v>93</v>
      </c>
      <c r="F305" s="116" t="s">
        <v>2293</v>
      </c>
      <c r="G305" s="116" t="s">
        <v>2253</v>
      </c>
      <c r="H305" s="116" t="s">
        <v>2291</v>
      </c>
      <c r="I305" s="116" t="s">
        <v>16</v>
      </c>
      <c r="J305" s="116" t="s">
        <v>1715</v>
      </c>
      <c r="K305" s="63">
        <v>4000</v>
      </c>
      <c r="L305" s="63">
        <v>37560</v>
      </c>
      <c r="M305" s="63">
        <v>0</v>
      </c>
      <c r="N305" s="63"/>
      <c r="O305" s="63">
        <v>37560</v>
      </c>
      <c r="P305" s="63"/>
      <c r="Q305" s="63"/>
      <c r="R305" s="302">
        <f t="shared" si="4"/>
        <v>0</v>
      </c>
    </row>
    <row r="306" spans="1:18" ht="19.5" customHeight="1">
      <c r="A306" s="299" t="s">
        <v>6030</v>
      </c>
      <c r="B306" s="309" t="s">
        <v>94</v>
      </c>
      <c r="C306" s="309"/>
      <c r="D306" s="309"/>
      <c r="E306" s="309" t="s">
        <v>93</v>
      </c>
      <c r="F306" s="309" t="s">
        <v>2293</v>
      </c>
      <c r="G306" s="309" t="s">
        <v>2253</v>
      </c>
      <c r="H306" s="309" t="s">
        <v>2291</v>
      </c>
      <c r="I306" s="309" t="s">
        <v>11</v>
      </c>
      <c r="J306" s="309" t="s">
        <v>9019</v>
      </c>
      <c r="K306" s="63">
        <v>4200</v>
      </c>
      <c r="L306" s="310">
        <v>0</v>
      </c>
      <c r="M306" s="302">
        <v>6000</v>
      </c>
      <c r="N306" s="303"/>
      <c r="O306" s="302">
        <v>5999</v>
      </c>
      <c r="P306" s="302"/>
      <c r="Q306" s="303"/>
      <c r="R306" s="302">
        <f t="shared" si="4"/>
        <v>1</v>
      </c>
    </row>
    <row r="307" spans="1:18" ht="27" customHeight="1">
      <c r="A307" s="304" t="s">
        <v>6035</v>
      </c>
      <c r="B307" s="309" t="s">
        <v>8713</v>
      </c>
      <c r="C307" s="309"/>
      <c r="D307" s="309"/>
      <c r="E307" s="309" t="s">
        <v>4667</v>
      </c>
      <c r="F307" s="309" t="s">
        <v>8714</v>
      </c>
      <c r="G307" s="309" t="s">
        <v>2253</v>
      </c>
      <c r="H307" s="309" t="s">
        <v>4669</v>
      </c>
      <c r="I307" s="309" t="s">
        <v>11</v>
      </c>
      <c r="J307" s="309" t="s">
        <v>9019</v>
      </c>
      <c r="K307" s="63">
        <v>1150</v>
      </c>
      <c r="L307" s="310">
        <v>0</v>
      </c>
      <c r="M307" s="302">
        <v>9600</v>
      </c>
      <c r="N307" s="303"/>
      <c r="O307" s="302"/>
      <c r="P307" s="302"/>
      <c r="Q307" s="303"/>
      <c r="R307" s="302">
        <f t="shared" si="4"/>
        <v>9600</v>
      </c>
    </row>
    <row r="308" spans="1:18" ht="19.5" customHeight="1">
      <c r="A308" s="304" t="s">
        <v>6041</v>
      </c>
      <c r="B308" s="305" t="s">
        <v>1780</v>
      </c>
      <c r="C308" s="305"/>
      <c r="D308" s="305"/>
      <c r="E308" s="305" t="s">
        <v>4027</v>
      </c>
      <c r="F308" s="305" t="s">
        <v>8478</v>
      </c>
      <c r="G308" s="305" t="s">
        <v>8479</v>
      </c>
      <c r="H308" s="305" t="s">
        <v>1782</v>
      </c>
      <c r="I308" s="305" t="s">
        <v>15</v>
      </c>
      <c r="J308" s="305" t="s">
        <v>9024</v>
      </c>
      <c r="K308" s="119">
        <v>13650</v>
      </c>
      <c r="L308" s="119">
        <v>0</v>
      </c>
      <c r="M308" s="302">
        <v>100</v>
      </c>
      <c r="N308" s="303"/>
      <c r="O308" s="302">
        <v>20</v>
      </c>
      <c r="P308" s="302"/>
      <c r="Q308" s="303"/>
      <c r="R308" s="302">
        <f t="shared" si="4"/>
        <v>80</v>
      </c>
    </row>
    <row r="309" spans="1:18" ht="19.5" customHeight="1">
      <c r="A309" s="299" t="s">
        <v>6044</v>
      </c>
      <c r="B309" s="123" t="s">
        <v>9917</v>
      </c>
      <c r="C309" s="123"/>
      <c r="D309" s="123"/>
      <c r="E309" s="509" t="s">
        <v>96</v>
      </c>
      <c r="F309" s="509" t="s">
        <v>2307</v>
      </c>
      <c r="G309" s="509" t="s">
        <v>11469</v>
      </c>
      <c r="H309" s="509" t="s">
        <v>9918</v>
      </c>
      <c r="I309" s="509" t="s">
        <v>10</v>
      </c>
      <c r="J309" s="509" t="s">
        <v>9063</v>
      </c>
      <c r="K309" s="99">
        <v>2600</v>
      </c>
      <c r="L309" s="476">
        <v>2170</v>
      </c>
      <c r="M309" s="476">
        <v>0</v>
      </c>
      <c r="N309" s="476"/>
      <c r="O309" s="476">
        <v>2170</v>
      </c>
      <c r="P309" s="476"/>
      <c r="Q309" s="476"/>
      <c r="R309" s="302">
        <f t="shared" si="4"/>
        <v>0</v>
      </c>
    </row>
    <row r="310" spans="1:18" ht="19.5" customHeight="1">
      <c r="A310" s="2">
        <v>61</v>
      </c>
      <c r="B310" s="11" t="s">
        <v>1756</v>
      </c>
      <c r="C310" s="11"/>
      <c r="D310" s="11"/>
      <c r="E310" s="116" t="s">
        <v>1757</v>
      </c>
      <c r="F310" s="116" t="s">
        <v>1758</v>
      </c>
      <c r="G310" s="116" t="s">
        <v>2699</v>
      </c>
      <c r="H310" s="116" t="s">
        <v>232</v>
      </c>
      <c r="I310" s="116" t="s">
        <v>11</v>
      </c>
      <c r="J310" s="116" t="s">
        <v>1715</v>
      </c>
      <c r="K310" s="63">
        <v>10300</v>
      </c>
      <c r="L310" s="63">
        <v>162</v>
      </c>
      <c r="M310" s="63">
        <v>0</v>
      </c>
      <c r="N310" s="63"/>
      <c r="O310" s="63">
        <v>152</v>
      </c>
      <c r="P310" s="63"/>
      <c r="Q310" s="63"/>
      <c r="R310" s="302">
        <f t="shared" si="4"/>
        <v>10</v>
      </c>
    </row>
    <row r="311" spans="1:18" ht="19.5" customHeight="1">
      <c r="A311" s="299" t="s">
        <v>6047</v>
      </c>
      <c r="B311" s="11" t="s">
        <v>1702</v>
      </c>
      <c r="C311" s="4"/>
      <c r="D311" s="4"/>
      <c r="E311" s="116" t="s">
        <v>1759</v>
      </c>
      <c r="F311" s="117" t="s">
        <v>1760</v>
      </c>
      <c r="G311" s="117" t="s">
        <v>1170</v>
      </c>
      <c r="H311" s="117" t="s">
        <v>327</v>
      </c>
      <c r="I311" s="117" t="s">
        <v>11</v>
      </c>
      <c r="J311" s="117" t="s">
        <v>1715</v>
      </c>
      <c r="K311" s="63">
        <v>1500</v>
      </c>
      <c r="L311" s="63">
        <v>25000</v>
      </c>
      <c r="M311" s="63">
        <v>0</v>
      </c>
      <c r="N311" s="63"/>
      <c r="O311" s="63">
        <v>10527</v>
      </c>
      <c r="P311" s="63"/>
      <c r="Q311" s="63"/>
      <c r="R311" s="302">
        <f t="shared" si="4"/>
        <v>14473</v>
      </c>
    </row>
    <row r="312" spans="1:18" s="464" customFormat="1">
      <c r="A312" s="304" t="s">
        <v>6050</v>
      </c>
      <c r="B312" s="67" t="s">
        <v>1180</v>
      </c>
      <c r="C312" s="11"/>
      <c r="D312" s="11"/>
      <c r="E312" s="502" t="s">
        <v>1181</v>
      </c>
      <c r="F312" s="502" t="s">
        <v>1183</v>
      </c>
      <c r="G312" s="502" t="s">
        <v>1151</v>
      </c>
      <c r="H312" s="502" t="s">
        <v>1182</v>
      </c>
      <c r="I312" s="502" t="s">
        <v>520</v>
      </c>
      <c r="J312" s="502" t="s">
        <v>627</v>
      </c>
      <c r="K312" s="63">
        <v>7500</v>
      </c>
      <c r="L312" s="63">
        <f>5542+93</f>
        <v>5635</v>
      </c>
      <c r="M312" s="63">
        <v>6</v>
      </c>
      <c r="N312" s="63"/>
      <c r="O312" s="63">
        <f>99+5542</f>
        <v>5641</v>
      </c>
      <c r="P312" s="63"/>
      <c r="Q312" s="63"/>
      <c r="R312" s="302">
        <f t="shared" si="4"/>
        <v>0</v>
      </c>
    </row>
    <row r="313" spans="1:18" ht="19.5" customHeight="1">
      <c r="A313" s="304" t="s">
        <v>6059</v>
      </c>
      <c r="B313" s="11" t="s">
        <v>1550</v>
      </c>
      <c r="C313" s="11"/>
      <c r="D313" s="11"/>
      <c r="E313" s="116" t="s">
        <v>1551</v>
      </c>
      <c r="F313" s="116" t="s">
        <v>1553</v>
      </c>
      <c r="G313" s="116" t="s">
        <v>458</v>
      </c>
      <c r="H313" s="116" t="s">
        <v>1552</v>
      </c>
      <c r="I313" s="116" t="s">
        <v>10</v>
      </c>
      <c r="J313" s="116" t="s">
        <v>884</v>
      </c>
      <c r="K313" s="63">
        <v>2000</v>
      </c>
      <c r="L313" s="63">
        <v>0</v>
      </c>
      <c r="M313" s="63">
        <v>400</v>
      </c>
      <c r="N313" s="63"/>
      <c r="O313" s="63">
        <v>400</v>
      </c>
      <c r="P313" s="63"/>
      <c r="Q313" s="63"/>
      <c r="R313" s="302">
        <f t="shared" si="4"/>
        <v>0</v>
      </c>
    </row>
    <row r="314" spans="1:18" ht="19.5" customHeight="1">
      <c r="A314" s="299" t="s">
        <v>6060</v>
      </c>
      <c r="B314" s="67" t="s">
        <v>901</v>
      </c>
      <c r="C314" s="11"/>
      <c r="D314" s="11"/>
      <c r="E314" s="502" t="s">
        <v>902</v>
      </c>
      <c r="F314" s="502" t="s">
        <v>905</v>
      </c>
      <c r="G314" s="502" t="s">
        <v>906</v>
      </c>
      <c r="H314" s="502" t="s">
        <v>903</v>
      </c>
      <c r="I314" s="502" t="s">
        <v>18</v>
      </c>
      <c r="J314" s="502" t="s">
        <v>904</v>
      </c>
      <c r="K314" s="63">
        <v>487253</v>
      </c>
      <c r="L314" s="63">
        <v>5</v>
      </c>
      <c r="M314" s="63"/>
      <c r="N314" s="63"/>
      <c r="O314" s="63"/>
      <c r="P314" s="63"/>
      <c r="Q314" s="63"/>
      <c r="R314" s="302">
        <f t="shared" si="4"/>
        <v>5</v>
      </c>
    </row>
    <row r="315" spans="1:18" ht="19.5" customHeight="1">
      <c r="A315" s="2">
        <v>62</v>
      </c>
      <c r="B315" s="67" t="s">
        <v>988</v>
      </c>
      <c r="C315" s="11"/>
      <c r="D315" s="11"/>
      <c r="E315" s="502" t="s">
        <v>989</v>
      </c>
      <c r="F315" s="502" t="s">
        <v>991</v>
      </c>
      <c r="G315" s="502" t="s">
        <v>948</v>
      </c>
      <c r="H315" s="502" t="s">
        <v>990</v>
      </c>
      <c r="I315" s="502" t="s">
        <v>12</v>
      </c>
      <c r="J315" s="502" t="s">
        <v>941</v>
      </c>
      <c r="K315" s="63">
        <v>4275</v>
      </c>
      <c r="L315" s="63">
        <v>94</v>
      </c>
      <c r="M315" s="63">
        <v>0</v>
      </c>
      <c r="N315" s="63"/>
      <c r="O315" s="63">
        <v>94</v>
      </c>
      <c r="P315" s="63"/>
      <c r="Q315" s="63"/>
      <c r="R315" s="302">
        <f t="shared" si="4"/>
        <v>0</v>
      </c>
    </row>
    <row r="316" spans="1:18" ht="19.5" customHeight="1">
      <c r="A316" s="299" t="s">
        <v>6064</v>
      </c>
      <c r="B316" s="80" t="s">
        <v>98</v>
      </c>
      <c r="C316" s="11"/>
      <c r="D316" s="11"/>
      <c r="E316" s="507" t="s">
        <v>97</v>
      </c>
      <c r="F316" s="116" t="s">
        <v>2416</v>
      </c>
      <c r="G316" s="526" t="s">
        <v>2413</v>
      </c>
      <c r="H316" s="526" t="s">
        <v>2415</v>
      </c>
      <c r="I316" s="507" t="s">
        <v>10</v>
      </c>
      <c r="J316" s="507" t="s">
        <v>541</v>
      </c>
      <c r="K316" s="63">
        <v>2783</v>
      </c>
      <c r="L316" s="63">
        <v>2700</v>
      </c>
      <c r="M316" s="63">
        <v>0</v>
      </c>
      <c r="N316" s="63"/>
      <c r="O316" s="63">
        <v>2700</v>
      </c>
      <c r="P316" s="63"/>
      <c r="Q316" s="63"/>
      <c r="R316" s="302">
        <f t="shared" si="4"/>
        <v>0</v>
      </c>
    </row>
    <row r="317" spans="1:18" ht="19.5" customHeight="1">
      <c r="A317" s="304" t="s">
        <v>6070</v>
      </c>
      <c r="B317" s="11" t="s">
        <v>2165</v>
      </c>
      <c r="C317" s="11"/>
      <c r="D317" s="11"/>
      <c r="E317" s="116" t="s">
        <v>99</v>
      </c>
      <c r="F317" s="116" t="s">
        <v>2167</v>
      </c>
      <c r="G317" s="116" t="s">
        <v>2168</v>
      </c>
      <c r="H317" s="116" t="s">
        <v>101</v>
      </c>
      <c r="I317" s="116" t="s">
        <v>10</v>
      </c>
      <c r="J317" s="116" t="s">
        <v>2166</v>
      </c>
      <c r="K317" s="63">
        <v>840</v>
      </c>
      <c r="L317" s="63">
        <v>3826</v>
      </c>
      <c r="M317" s="63"/>
      <c r="N317" s="63"/>
      <c r="O317" s="63">
        <v>3747</v>
      </c>
      <c r="P317" s="63"/>
      <c r="Q317" s="63"/>
      <c r="R317" s="302">
        <f t="shared" si="4"/>
        <v>79</v>
      </c>
    </row>
    <row r="318" spans="1:18" ht="19.5" customHeight="1">
      <c r="A318" s="304" t="s">
        <v>6073</v>
      </c>
      <c r="B318" s="67" t="s">
        <v>659</v>
      </c>
      <c r="C318" s="11"/>
      <c r="D318" s="11"/>
      <c r="E318" s="116" t="s">
        <v>1974</v>
      </c>
      <c r="F318" s="116" t="s">
        <v>1975</v>
      </c>
      <c r="G318" s="116" t="s">
        <v>1946</v>
      </c>
      <c r="H318" s="116" t="s">
        <v>262</v>
      </c>
      <c r="I318" s="116" t="s">
        <v>11</v>
      </c>
      <c r="J318" s="116" t="s">
        <v>804</v>
      </c>
      <c r="K318" s="63">
        <v>2940</v>
      </c>
      <c r="L318" s="63">
        <v>665</v>
      </c>
      <c r="M318" s="63">
        <v>12</v>
      </c>
      <c r="N318" s="63"/>
      <c r="O318" s="63">
        <v>655</v>
      </c>
      <c r="P318" s="63"/>
      <c r="Q318" s="63"/>
      <c r="R318" s="302">
        <f t="shared" si="4"/>
        <v>22</v>
      </c>
    </row>
    <row r="319" spans="1:18" ht="19.5" customHeight="1">
      <c r="A319" s="299" t="s">
        <v>6076</v>
      </c>
      <c r="B319" s="463" t="s">
        <v>659</v>
      </c>
      <c r="C319" s="463"/>
      <c r="D319" s="463"/>
      <c r="E319" s="463" t="s">
        <v>3596</v>
      </c>
      <c r="F319" s="463" t="s">
        <v>6541</v>
      </c>
      <c r="G319" s="463" t="s">
        <v>6526</v>
      </c>
      <c r="H319" s="463" t="s">
        <v>334</v>
      </c>
      <c r="I319" s="463" t="s">
        <v>11</v>
      </c>
      <c r="J319" s="463" t="s">
        <v>541</v>
      </c>
      <c r="K319" s="119">
        <v>6200</v>
      </c>
      <c r="L319" s="119">
        <v>7813</v>
      </c>
      <c r="M319" s="303">
        <v>0</v>
      </c>
      <c r="N319" s="303"/>
      <c r="O319" s="303">
        <v>7813</v>
      </c>
      <c r="P319" s="303"/>
      <c r="Q319" s="303"/>
      <c r="R319" s="302">
        <f t="shared" si="4"/>
        <v>0</v>
      </c>
    </row>
    <row r="320" spans="1:18" ht="19.5" customHeight="1">
      <c r="A320" s="2">
        <v>63</v>
      </c>
      <c r="B320" s="64" t="s">
        <v>506</v>
      </c>
      <c r="C320" s="64"/>
      <c r="D320" s="64"/>
      <c r="E320" s="116" t="s">
        <v>507</v>
      </c>
      <c r="F320" s="116" t="s">
        <v>508</v>
      </c>
      <c r="G320" s="116" t="s">
        <v>509</v>
      </c>
      <c r="H320" s="116" t="s">
        <v>258</v>
      </c>
      <c r="I320" s="116" t="s">
        <v>14</v>
      </c>
      <c r="J320" s="116" t="s">
        <v>483</v>
      </c>
      <c r="K320" s="63">
        <v>7849</v>
      </c>
      <c r="L320" s="63">
        <v>129</v>
      </c>
      <c r="M320" s="63">
        <v>0</v>
      </c>
      <c r="N320" s="63"/>
      <c r="O320" s="63">
        <v>26</v>
      </c>
      <c r="P320" s="63">
        <v>22</v>
      </c>
      <c r="Q320" s="63"/>
      <c r="R320" s="302">
        <f t="shared" si="4"/>
        <v>103</v>
      </c>
    </row>
    <row r="321" spans="1:18" ht="19.5" customHeight="1">
      <c r="A321" s="299" t="s">
        <v>6081</v>
      </c>
      <c r="B321" s="11" t="s">
        <v>1109</v>
      </c>
      <c r="C321" s="11"/>
      <c r="D321" s="11"/>
      <c r="E321" s="116" t="s">
        <v>1486</v>
      </c>
      <c r="F321" s="116" t="s">
        <v>1487</v>
      </c>
      <c r="G321" s="116" t="s">
        <v>1485</v>
      </c>
      <c r="H321" s="116" t="s">
        <v>310</v>
      </c>
      <c r="I321" s="116" t="s">
        <v>10</v>
      </c>
      <c r="J321" s="116" t="s">
        <v>620</v>
      </c>
      <c r="K321" s="63">
        <v>9000</v>
      </c>
      <c r="L321" s="63">
        <v>2214</v>
      </c>
      <c r="M321" s="63">
        <v>0</v>
      </c>
      <c r="N321" s="63"/>
      <c r="O321" s="63">
        <v>2197</v>
      </c>
      <c r="P321" s="63"/>
      <c r="Q321" s="63"/>
      <c r="R321" s="302">
        <f t="shared" si="4"/>
        <v>17</v>
      </c>
    </row>
    <row r="322" spans="1:18" ht="19.5" customHeight="1">
      <c r="A322" s="304" t="s">
        <v>6089</v>
      </c>
      <c r="B322" s="305" t="s">
        <v>1109</v>
      </c>
      <c r="C322" s="305"/>
      <c r="D322" s="305"/>
      <c r="E322" s="305" t="s">
        <v>1486</v>
      </c>
      <c r="F322" s="305" t="s">
        <v>1487</v>
      </c>
      <c r="G322" s="305" t="s">
        <v>6233</v>
      </c>
      <c r="H322" s="305" t="s">
        <v>4040</v>
      </c>
      <c r="I322" s="305" t="s">
        <v>11</v>
      </c>
      <c r="J322" s="305" t="s">
        <v>1350</v>
      </c>
      <c r="K322" s="119">
        <v>9500</v>
      </c>
      <c r="L322" s="119"/>
      <c r="M322" s="302">
        <f>9800+8400</f>
        <v>18200</v>
      </c>
      <c r="N322" s="303"/>
      <c r="O322" s="302">
        <f>9800+4668</f>
        <v>14468</v>
      </c>
      <c r="P322" s="302"/>
      <c r="Q322" s="303"/>
      <c r="R322" s="302">
        <f t="shared" si="4"/>
        <v>3732</v>
      </c>
    </row>
    <row r="323" spans="1:18" ht="19.5" customHeight="1">
      <c r="A323" s="304" t="s">
        <v>6096</v>
      </c>
      <c r="B323" s="67" t="s">
        <v>960</v>
      </c>
      <c r="C323" s="11"/>
      <c r="D323" s="11"/>
      <c r="E323" s="502" t="s">
        <v>961</v>
      </c>
      <c r="F323" s="502" t="s">
        <v>963</v>
      </c>
      <c r="G323" s="502" t="s">
        <v>948</v>
      </c>
      <c r="H323" s="502" t="s">
        <v>962</v>
      </c>
      <c r="I323" s="502" t="s">
        <v>12</v>
      </c>
      <c r="J323" s="502" t="s">
        <v>946</v>
      </c>
      <c r="K323" s="63">
        <v>3053</v>
      </c>
      <c r="L323" s="63">
        <v>5989</v>
      </c>
      <c r="M323" s="63">
        <v>0</v>
      </c>
      <c r="N323" s="63"/>
      <c r="O323" s="63">
        <v>767</v>
      </c>
      <c r="P323" s="63"/>
      <c r="Q323" s="63"/>
      <c r="R323" s="302">
        <f t="shared" si="4"/>
        <v>5222</v>
      </c>
    </row>
    <row r="324" spans="1:18" ht="19.5" customHeight="1">
      <c r="A324" s="299" t="s">
        <v>6100</v>
      </c>
      <c r="B324" s="67" t="s">
        <v>1982</v>
      </c>
      <c r="C324" s="11"/>
      <c r="D324" s="11"/>
      <c r="E324" s="116" t="s">
        <v>1983</v>
      </c>
      <c r="F324" s="116" t="s">
        <v>1986</v>
      </c>
      <c r="G324" s="116" t="s">
        <v>1953</v>
      </c>
      <c r="H324" s="116" t="s">
        <v>1984</v>
      </c>
      <c r="I324" s="116" t="s">
        <v>13</v>
      </c>
      <c r="J324" s="116" t="s">
        <v>10151</v>
      </c>
      <c r="K324" s="63">
        <v>2394</v>
      </c>
      <c r="L324" s="63">
        <v>14846</v>
      </c>
      <c r="M324" s="63">
        <v>810</v>
      </c>
      <c r="N324" s="63"/>
      <c r="O324" s="63">
        <v>15170</v>
      </c>
      <c r="P324" s="63">
        <v>7330</v>
      </c>
      <c r="Q324" s="63"/>
      <c r="R324" s="302">
        <f t="shared" si="4"/>
        <v>486</v>
      </c>
    </row>
    <row r="325" spans="1:18" ht="19.5" customHeight="1">
      <c r="A325" s="2">
        <v>64</v>
      </c>
      <c r="B325" s="67" t="s">
        <v>1982</v>
      </c>
      <c r="C325" s="11"/>
      <c r="D325" s="11"/>
      <c r="E325" s="116" t="s">
        <v>4047</v>
      </c>
      <c r="F325" s="116" t="s">
        <v>1986</v>
      </c>
      <c r="G325" s="116" t="s">
        <v>1953</v>
      </c>
      <c r="H325" s="116" t="s">
        <v>1984</v>
      </c>
      <c r="I325" s="116" t="s">
        <v>13</v>
      </c>
      <c r="J325" s="116" t="s">
        <v>10151</v>
      </c>
      <c r="K325" s="63">
        <v>2900</v>
      </c>
      <c r="L325" s="63">
        <v>16864</v>
      </c>
      <c r="M325" s="63">
        <v>29</v>
      </c>
      <c r="N325" s="63"/>
      <c r="O325" s="63">
        <v>9480</v>
      </c>
      <c r="P325" s="63">
        <v>20</v>
      </c>
      <c r="Q325" s="63"/>
      <c r="R325" s="302">
        <f t="shared" si="4"/>
        <v>7413</v>
      </c>
    </row>
    <row r="326" spans="1:18" ht="19.5" customHeight="1">
      <c r="A326" s="299" t="s">
        <v>6103</v>
      </c>
      <c r="B326" s="305" t="s">
        <v>2513</v>
      </c>
      <c r="C326" s="305"/>
      <c r="D326" s="305"/>
      <c r="E326" s="305" t="s">
        <v>4051</v>
      </c>
      <c r="F326" s="305" t="s">
        <v>6025</v>
      </c>
      <c r="G326" s="305" t="s">
        <v>5814</v>
      </c>
      <c r="H326" s="305" t="s">
        <v>4052</v>
      </c>
      <c r="I326" s="305" t="s">
        <v>891</v>
      </c>
      <c r="J326" s="305" t="s">
        <v>3203</v>
      </c>
      <c r="K326" s="119">
        <v>94999</v>
      </c>
      <c r="L326" s="119">
        <v>0</v>
      </c>
      <c r="M326" s="302">
        <v>12</v>
      </c>
      <c r="N326" s="303"/>
      <c r="O326" s="302">
        <v>5</v>
      </c>
      <c r="P326" s="302">
        <v>0</v>
      </c>
      <c r="Q326" s="303"/>
      <c r="R326" s="302">
        <f t="shared" si="4"/>
        <v>7</v>
      </c>
    </row>
    <row r="327" spans="1:18" ht="19.5" customHeight="1">
      <c r="A327" s="304" t="s">
        <v>6107</v>
      </c>
      <c r="B327" s="333" t="s">
        <v>2417</v>
      </c>
      <c r="C327" s="333"/>
      <c r="D327" s="333"/>
      <c r="E327" s="510" t="s">
        <v>104</v>
      </c>
      <c r="F327" s="483" t="s">
        <v>2418</v>
      </c>
      <c r="G327" s="510" t="s">
        <v>2413</v>
      </c>
      <c r="H327" s="483" t="s">
        <v>106</v>
      </c>
      <c r="I327" s="483" t="s">
        <v>10</v>
      </c>
      <c r="J327" s="533" t="s">
        <v>541</v>
      </c>
      <c r="K327" s="465">
        <v>2783</v>
      </c>
      <c r="L327" s="465">
        <f>49500+5700</f>
        <v>55200</v>
      </c>
      <c r="M327" s="465">
        <v>0</v>
      </c>
      <c r="N327" s="465"/>
      <c r="O327" s="465">
        <f>42166+5700</f>
        <v>47866</v>
      </c>
      <c r="P327" s="465"/>
      <c r="Q327" s="465"/>
      <c r="R327" s="302">
        <f t="shared" si="4"/>
        <v>7334</v>
      </c>
    </row>
    <row r="328" spans="1:18" ht="19.5" customHeight="1">
      <c r="A328" s="304" t="s">
        <v>6111</v>
      </c>
      <c r="B328" s="11" t="s">
        <v>1359</v>
      </c>
      <c r="C328" s="11"/>
      <c r="D328" s="11"/>
      <c r="E328" s="116" t="s">
        <v>1360</v>
      </c>
      <c r="F328" s="116" t="s">
        <v>1361</v>
      </c>
      <c r="G328" s="116" t="s">
        <v>360</v>
      </c>
      <c r="H328" s="116" t="s">
        <v>225</v>
      </c>
      <c r="I328" s="116" t="s">
        <v>11</v>
      </c>
      <c r="J328" s="116" t="s">
        <v>642</v>
      </c>
      <c r="K328" s="63">
        <v>328</v>
      </c>
      <c r="L328" s="63">
        <v>513</v>
      </c>
      <c r="M328" s="63">
        <v>3</v>
      </c>
      <c r="N328" s="63"/>
      <c r="O328" s="63">
        <v>516</v>
      </c>
      <c r="P328" s="63"/>
      <c r="Q328" s="63"/>
      <c r="R328" s="302">
        <f t="shared" si="4"/>
        <v>0</v>
      </c>
    </row>
    <row r="329" spans="1:18" ht="19.5" customHeight="1">
      <c r="A329" s="299" t="s">
        <v>6116</v>
      </c>
      <c r="B329" s="67" t="s">
        <v>2133</v>
      </c>
      <c r="C329" s="11"/>
      <c r="D329" s="11"/>
      <c r="E329" s="116" t="s">
        <v>2134</v>
      </c>
      <c r="F329" s="116" t="s">
        <v>2135</v>
      </c>
      <c r="G329" s="116" t="s">
        <v>2136</v>
      </c>
      <c r="H329" s="116" t="s">
        <v>267</v>
      </c>
      <c r="I329" s="116" t="s">
        <v>10</v>
      </c>
      <c r="J329" s="116" t="s">
        <v>2132</v>
      </c>
      <c r="K329" s="63">
        <v>3500</v>
      </c>
      <c r="L329" s="63">
        <v>11916</v>
      </c>
      <c r="M329" s="63">
        <v>0</v>
      </c>
      <c r="N329" s="63"/>
      <c r="O329" s="63">
        <v>11916</v>
      </c>
      <c r="P329" s="63"/>
      <c r="Q329" s="63"/>
      <c r="R329" s="302">
        <f t="shared" si="4"/>
        <v>0</v>
      </c>
    </row>
    <row r="330" spans="1:18" ht="19.5" customHeight="1">
      <c r="A330" s="2">
        <v>65</v>
      </c>
      <c r="B330" s="11" t="s">
        <v>1813</v>
      </c>
      <c r="C330" s="11"/>
      <c r="D330" s="11"/>
      <c r="E330" s="116" t="s">
        <v>1814</v>
      </c>
      <c r="F330" s="116" t="s">
        <v>1816</v>
      </c>
      <c r="G330" s="116" t="s">
        <v>1817</v>
      </c>
      <c r="H330" s="116" t="s">
        <v>1815</v>
      </c>
      <c r="I330" s="116" t="s">
        <v>10</v>
      </c>
      <c r="J330" s="116" t="s">
        <v>623</v>
      </c>
      <c r="K330" s="63">
        <v>6000</v>
      </c>
      <c r="L330" s="63">
        <f>4868+9000</f>
        <v>13868</v>
      </c>
      <c r="M330" s="63">
        <v>0</v>
      </c>
      <c r="N330" s="63"/>
      <c r="O330" s="63">
        <v>13868</v>
      </c>
      <c r="P330" s="63"/>
      <c r="Q330" s="63"/>
      <c r="R330" s="302">
        <f t="shared" ref="R330:R393" si="5">L330+M330-O330</f>
        <v>0</v>
      </c>
    </row>
    <row r="331" spans="1:18" ht="19.5" customHeight="1">
      <c r="A331" s="299" t="s">
        <v>6124</v>
      </c>
      <c r="B331" s="305" t="s">
        <v>6320</v>
      </c>
      <c r="C331" s="305"/>
      <c r="D331" s="305"/>
      <c r="E331" s="305" t="s">
        <v>4057</v>
      </c>
      <c r="F331" s="305" t="s">
        <v>6322</v>
      </c>
      <c r="G331" s="305" t="s">
        <v>948</v>
      </c>
      <c r="H331" s="305" t="s">
        <v>3962</v>
      </c>
      <c r="I331" s="305" t="s">
        <v>11</v>
      </c>
      <c r="J331" s="305" t="s">
        <v>541</v>
      </c>
      <c r="K331" s="119">
        <v>3238</v>
      </c>
      <c r="L331" s="119">
        <v>0</v>
      </c>
      <c r="M331" s="302">
        <v>1590</v>
      </c>
      <c r="N331" s="303"/>
      <c r="O331" s="302">
        <v>1413</v>
      </c>
      <c r="P331" s="302">
        <v>4</v>
      </c>
      <c r="Q331" s="303"/>
      <c r="R331" s="302">
        <f t="shared" si="5"/>
        <v>177</v>
      </c>
    </row>
    <row r="332" spans="1:18" ht="19.5" customHeight="1">
      <c r="A332" s="304" t="s">
        <v>6128</v>
      </c>
      <c r="B332" s="305" t="s">
        <v>1220</v>
      </c>
      <c r="C332" s="305"/>
      <c r="D332" s="305"/>
      <c r="E332" s="305" t="s">
        <v>4059</v>
      </c>
      <c r="F332" s="305" t="s">
        <v>6764</v>
      </c>
      <c r="G332" s="305" t="s">
        <v>6765</v>
      </c>
      <c r="H332" s="305" t="s">
        <v>267</v>
      </c>
      <c r="I332" s="305" t="s">
        <v>16</v>
      </c>
      <c r="J332" s="305" t="s">
        <v>11458</v>
      </c>
      <c r="K332" s="119">
        <v>2600</v>
      </c>
      <c r="L332" s="119">
        <v>0</v>
      </c>
      <c r="M332" s="302">
        <v>6000</v>
      </c>
      <c r="N332" s="303"/>
      <c r="O332" s="302"/>
      <c r="P332" s="302"/>
      <c r="Q332" s="303"/>
      <c r="R332" s="302">
        <f t="shared" si="5"/>
        <v>6000</v>
      </c>
    </row>
    <row r="333" spans="1:18" ht="19.5" customHeight="1">
      <c r="A333" s="304" t="s">
        <v>6132</v>
      </c>
      <c r="B333" s="4" t="s">
        <v>9996</v>
      </c>
      <c r="C333" s="123"/>
      <c r="D333" s="123"/>
      <c r="E333" s="509" t="s">
        <v>3599</v>
      </c>
      <c r="F333" s="509" t="s">
        <v>9997</v>
      </c>
      <c r="G333" s="509" t="s">
        <v>5273</v>
      </c>
      <c r="H333" s="509" t="s">
        <v>327</v>
      </c>
      <c r="I333" s="509" t="s">
        <v>11</v>
      </c>
      <c r="J333" s="509" t="s">
        <v>9998</v>
      </c>
      <c r="K333" s="99">
        <v>2150</v>
      </c>
      <c r="L333" s="476">
        <v>7700</v>
      </c>
      <c r="M333" s="476">
        <v>0</v>
      </c>
      <c r="N333" s="476"/>
      <c r="O333" s="476">
        <v>7700</v>
      </c>
      <c r="P333" s="476"/>
      <c r="Q333" s="476"/>
      <c r="R333" s="302">
        <f t="shared" si="5"/>
        <v>0</v>
      </c>
    </row>
    <row r="334" spans="1:18" ht="19.5" customHeight="1">
      <c r="A334" s="299" t="s">
        <v>6137</v>
      </c>
      <c r="B334" s="67" t="s">
        <v>1241</v>
      </c>
      <c r="C334" s="11"/>
      <c r="D334" s="11"/>
      <c r="E334" s="502" t="s">
        <v>1243</v>
      </c>
      <c r="F334" s="502" t="s">
        <v>1244</v>
      </c>
      <c r="G334" s="502" t="s">
        <v>1242</v>
      </c>
      <c r="H334" s="502" t="s">
        <v>238</v>
      </c>
      <c r="I334" s="502" t="s">
        <v>11</v>
      </c>
      <c r="J334" s="502" t="s">
        <v>884</v>
      </c>
      <c r="K334" s="63">
        <v>2650</v>
      </c>
      <c r="L334" s="63">
        <v>11121</v>
      </c>
      <c r="M334" s="63">
        <v>0</v>
      </c>
      <c r="N334" s="63"/>
      <c r="O334" s="63">
        <v>11115</v>
      </c>
      <c r="P334" s="63">
        <v>5349</v>
      </c>
      <c r="Q334" s="63"/>
      <c r="R334" s="302">
        <f t="shared" si="5"/>
        <v>6</v>
      </c>
    </row>
    <row r="335" spans="1:18" ht="19.5" customHeight="1">
      <c r="A335" s="2">
        <v>66</v>
      </c>
      <c r="B335" s="64" t="s">
        <v>325</v>
      </c>
      <c r="C335" s="64"/>
      <c r="D335" s="64"/>
      <c r="E335" s="116" t="s">
        <v>326</v>
      </c>
      <c r="F335" s="116" t="s">
        <v>328</v>
      </c>
      <c r="G335" s="116" t="s">
        <v>324</v>
      </c>
      <c r="H335" s="116" t="s">
        <v>327</v>
      </c>
      <c r="I335" s="116" t="s">
        <v>10</v>
      </c>
      <c r="J335" s="116" t="s">
        <v>642</v>
      </c>
      <c r="K335" s="63">
        <v>231</v>
      </c>
      <c r="L335" s="63">
        <v>6526</v>
      </c>
      <c r="M335" s="63">
        <v>0</v>
      </c>
      <c r="N335" s="63"/>
      <c r="O335" s="63">
        <v>6526</v>
      </c>
      <c r="P335" s="63"/>
      <c r="Q335" s="63"/>
      <c r="R335" s="302">
        <f t="shared" si="5"/>
        <v>0</v>
      </c>
    </row>
    <row r="336" spans="1:18" ht="19.5" customHeight="1">
      <c r="A336" s="299" t="s">
        <v>6142</v>
      </c>
      <c r="B336" s="305" t="s">
        <v>583</v>
      </c>
      <c r="C336" s="305"/>
      <c r="D336" s="305"/>
      <c r="E336" s="305" t="s">
        <v>4064</v>
      </c>
      <c r="F336" s="305" t="s">
        <v>8105</v>
      </c>
      <c r="G336" s="305" t="s">
        <v>7211</v>
      </c>
      <c r="H336" s="305" t="s">
        <v>222</v>
      </c>
      <c r="I336" s="305" t="s">
        <v>11</v>
      </c>
      <c r="J336" s="116" t="s">
        <v>859</v>
      </c>
      <c r="K336" s="119">
        <v>245</v>
      </c>
      <c r="L336" s="119">
        <v>0</v>
      </c>
      <c r="M336" s="302">
        <v>19980</v>
      </c>
      <c r="N336" s="303"/>
      <c r="O336" s="302">
        <v>7170</v>
      </c>
      <c r="P336" s="302"/>
      <c r="Q336" s="303"/>
      <c r="R336" s="302">
        <f t="shared" si="5"/>
        <v>12810</v>
      </c>
    </row>
    <row r="337" spans="1:18" ht="19.5" customHeight="1">
      <c r="A337" s="304" t="s">
        <v>6145</v>
      </c>
      <c r="B337" s="67" t="s">
        <v>583</v>
      </c>
      <c r="C337" s="11"/>
      <c r="D337" s="11"/>
      <c r="E337" s="116" t="s">
        <v>1824</v>
      </c>
      <c r="F337" s="116" t="s">
        <v>1825</v>
      </c>
      <c r="G337" s="116" t="s">
        <v>492</v>
      </c>
      <c r="H337" s="116" t="s">
        <v>222</v>
      </c>
      <c r="I337" s="116" t="s">
        <v>10</v>
      </c>
      <c r="J337" s="116" t="s">
        <v>626</v>
      </c>
      <c r="K337" s="63">
        <v>282</v>
      </c>
      <c r="L337" s="63">
        <v>8</v>
      </c>
      <c r="M337" s="63">
        <v>0</v>
      </c>
      <c r="N337" s="63"/>
      <c r="O337" s="63">
        <v>8</v>
      </c>
      <c r="P337" s="63"/>
      <c r="Q337" s="63"/>
      <c r="R337" s="302">
        <f t="shared" si="5"/>
        <v>0</v>
      </c>
    </row>
    <row r="338" spans="1:18" ht="19.5" customHeight="1">
      <c r="A338" s="304" t="s">
        <v>6148</v>
      </c>
      <c r="B338" s="305" t="s">
        <v>1240</v>
      </c>
      <c r="C338" s="305"/>
      <c r="D338" s="305"/>
      <c r="E338" s="305" t="s">
        <v>4067</v>
      </c>
      <c r="F338" s="305" t="s">
        <v>8345</v>
      </c>
      <c r="G338" s="305" t="s">
        <v>8346</v>
      </c>
      <c r="H338" s="305" t="s">
        <v>4068</v>
      </c>
      <c r="I338" s="305" t="s">
        <v>11</v>
      </c>
      <c r="J338" s="116" t="s">
        <v>1066</v>
      </c>
      <c r="K338" s="119">
        <v>2690</v>
      </c>
      <c r="L338" s="119">
        <v>0</v>
      </c>
      <c r="M338" s="302">
        <f>19980+19980+19982</f>
        <v>59942</v>
      </c>
      <c r="N338" s="303"/>
      <c r="O338" s="302">
        <f>19895+19980+19973</f>
        <v>59848</v>
      </c>
      <c r="P338" s="302"/>
      <c r="Q338" s="303"/>
      <c r="R338" s="302">
        <f t="shared" si="5"/>
        <v>94</v>
      </c>
    </row>
    <row r="339" spans="1:18" ht="19.5" customHeight="1">
      <c r="A339" s="299" t="s">
        <v>6150</v>
      </c>
      <c r="B339" s="67" t="s">
        <v>289</v>
      </c>
      <c r="C339" s="11"/>
      <c r="D339" s="11"/>
      <c r="E339" s="502" t="s">
        <v>871</v>
      </c>
      <c r="F339" s="502" t="s">
        <v>872</v>
      </c>
      <c r="G339" s="502" t="s">
        <v>293</v>
      </c>
      <c r="H339" s="502" t="s">
        <v>258</v>
      </c>
      <c r="I339" s="502" t="s">
        <v>10</v>
      </c>
      <c r="J339" s="502" t="s">
        <v>626</v>
      </c>
      <c r="K339" s="63">
        <v>4738</v>
      </c>
      <c r="L339" s="63">
        <v>32532</v>
      </c>
      <c r="M339" s="63">
        <v>0</v>
      </c>
      <c r="N339" s="63"/>
      <c r="O339" s="63">
        <v>32532</v>
      </c>
      <c r="P339" s="63"/>
      <c r="Q339" s="63"/>
      <c r="R339" s="302">
        <f t="shared" si="5"/>
        <v>0</v>
      </c>
    </row>
    <row r="340" spans="1:18" ht="19.5" customHeight="1">
      <c r="A340" s="2">
        <v>67</v>
      </c>
      <c r="B340" s="11" t="s">
        <v>289</v>
      </c>
      <c r="C340" s="11"/>
      <c r="D340" s="11"/>
      <c r="E340" s="116" t="s">
        <v>290</v>
      </c>
      <c r="F340" s="116" t="s">
        <v>292</v>
      </c>
      <c r="G340" s="116" t="s">
        <v>293</v>
      </c>
      <c r="H340" s="116" t="s">
        <v>291</v>
      </c>
      <c r="I340" s="116" t="s">
        <v>10</v>
      </c>
      <c r="J340" s="116" t="s">
        <v>642</v>
      </c>
      <c r="K340" s="63">
        <v>2760</v>
      </c>
      <c r="L340" s="63">
        <v>11</v>
      </c>
      <c r="M340" s="63">
        <v>0</v>
      </c>
      <c r="N340" s="63"/>
      <c r="O340" s="63">
        <v>11</v>
      </c>
      <c r="P340" s="63"/>
      <c r="Q340" s="63"/>
      <c r="R340" s="302">
        <f t="shared" si="5"/>
        <v>0</v>
      </c>
    </row>
    <row r="341" spans="1:18" ht="19.5" customHeight="1">
      <c r="A341" s="299" t="s">
        <v>6157</v>
      </c>
      <c r="B341" s="305" t="s">
        <v>1618</v>
      </c>
      <c r="C341" s="305"/>
      <c r="D341" s="305"/>
      <c r="E341" s="305" t="s">
        <v>4070</v>
      </c>
      <c r="F341" s="305" t="s">
        <v>8130</v>
      </c>
      <c r="G341" s="305" t="s">
        <v>7783</v>
      </c>
      <c r="H341" s="305" t="s">
        <v>225</v>
      </c>
      <c r="I341" s="305" t="s">
        <v>11</v>
      </c>
      <c r="J341" s="116" t="s">
        <v>1066</v>
      </c>
      <c r="K341" s="119">
        <v>154</v>
      </c>
      <c r="L341" s="119">
        <v>0</v>
      </c>
      <c r="M341" s="302">
        <v>30000</v>
      </c>
      <c r="N341" s="303"/>
      <c r="O341" s="302">
        <v>4864</v>
      </c>
      <c r="P341" s="302">
        <v>60</v>
      </c>
      <c r="Q341" s="303"/>
      <c r="R341" s="302">
        <f t="shared" si="5"/>
        <v>25136</v>
      </c>
    </row>
    <row r="342" spans="1:18" ht="19.5" customHeight="1">
      <c r="A342" s="304" t="s">
        <v>6159</v>
      </c>
      <c r="B342" s="305" t="s">
        <v>1618</v>
      </c>
      <c r="C342" s="305"/>
      <c r="D342" s="305"/>
      <c r="E342" s="305" t="s">
        <v>4073</v>
      </c>
      <c r="F342" s="305" t="s">
        <v>8484</v>
      </c>
      <c r="G342" s="305" t="s">
        <v>7783</v>
      </c>
      <c r="H342" s="305" t="s">
        <v>994</v>
      </c>
      <c r="I342" s="305" t="s">
        <v>11</v>
      </c>
      <c r="J342" s="116" t="s">
        <v>1066</v>
      </c>
      <c r="K342" s="119">
        <v>204</v>
      </c>
      <c r="L342" s="119">
        <v>0</v>
      </c>
      <c r="M342" s="302">
        <v>30000</v>
      </c>
      <c r="N342" s="303"/>
      <c r="O342" s="302">
        <v>9290</v>
      </c>
      <c r="P342" s="302"/>
      <c r="Q342" s="303"/>
      <c r="R342" s="302">
        <f t="shared" si="5"/>
        <v>20710</v>
      </c>
    </row>
    <row r="343" spans="1:18" ht="19.5" customHeight="1">
      <c r="A343" s="304" t="s">
        <v>6162</v>
      </c>
      <c r="B343" s="11" t="s">
        <v>729</v>
      </c>
      <c r="C343" s="11"/>
      <c r="D343" s="11"/>
      <c r="E343" s="116" t="s">
        <v>1344</v>
      </c>
      <c r="F343" s="116" t="s">
        <v>1345</v>
      </c>
      <c r="G343" s="116" t="s">
        <v>360</v>
      </c>
      <c r="H343" s="116" t="s">
        <v>272</v>
      </c>
      <c r="I343" s="116" t="s">
        <v>11</v>
      </c>
      <c r="J343" s="116" t="s">
        <v>1329</v>
      </c>
      <c r="K343" s="63">
        <v>203</v>
      </c>
      <c r="L343" s="63">
        <v>1135</v>
      </c>
      <c r="M343" s="63">
        <v>0</v>
      </c>
      <c r="N343" s="63"/>
      <c r="O343" s="63">
        <v>1135</v>
      </c>
      <c r="P343" s="63"/>
      <c r="Q343" s="63"/>
      <c r="R343" s="302">
        <f t="shared" si="5"/>
        <v>0</v>
      </c>
    </row>
    <row r="344" spans="1:18" ht="19.5" customHeight="1">
      <c r="A344" s="299" t="s">
        <v>6165</v>
      </c>
      <c r="B344" s="11" t="s">
        <v>729</v>
      </c>
      <c r="C344" s="11"/>
      <c r="D344" s="11"/>
      <c r="E344" s="116" t="s">
        <v>1346</v>
      </c>
      <c r="F344" s="116" t="s">
        <v>1347</v>
      </c>
      <c r="G344" s="116" t="s">
        <v>360</v>
      </c>
      <c r="H344" s="116" t="s">
        <v>225</v>
      </c>
      <c r="I344" s="116" t="s">
        <v>11</v>
      </c>
      <c r="J344" s="116" t="s">
        <v>647</v>
      </c>
      <c r="K344" s="63">
        <v>208</v>
      </c>
      <c r="L344" s="63">
        <v>6496</v>
      </c>
      <c r="M344" s="63">
        <v>0</v>
      </c>
      <c r="N344" s="63"/>
      <c r="O344" s="63">
        <v>6461</v>
      </c>
      <c r="P344" s="63"/>
      <c r="Q344" s="63"/>
      <c r="R344" s="302">
        <f t="shared" si="5"/>
        <v>35</v>
      </c>
    </row>
    <row r="345" spans="1:18" ht="19.5" customHeight="1">
      <c r="A345" s="2">
        <v>68</v>
      </c>
      <c r="B345" s="11" t="s">
        <v>513</v>
      </c>
      <c r="C345" s="11"/>
      <c r="D345" s="11"/>
      <c r="E345" s="116" t="s">
        <v>1761</v>
      </c>
      <c r="F345" s="116" t="s">
        <v>3027</v>
      </c>
      <c r="G345" s="116" t="s">
        <v>1763</v>
      </c>
      <c r="H345" s="116" t="s">
        <v>2517</v>
      </c>
      <c r="I345" s="116" t="s">
        <v>15</v>
      </c>
      <c r="J345" s="116" t="s">
        <v>1762</v>
      </c>
      <c r="K345" s="63">
        <v>9660</v>
      </c>
      <c r="L345" s="63">
        <v>27</v>
      </c>
      <c r="M345" s="63">
        <v>0</v>
      </c>
      <c r="N345" s="63"/>
      <c r="O345" s="63">
        <v>27</v>
      </c>
      <c r="P345" s="63">
        <v>2</v>
      </c>
      <c r="Q345" s="63"/>
      <c r="R345" s="302">
        <f t="shared" si="5"/>
        <v>0</v>
      </c>
    </row>
    <row r="346" spans="1:18" ht="19.5" customHeight="1">
      <c r="A346" s="299" t="s">
        <v>6171</v>
      </c>
      <c r="B346" s="305" t="s">
        <v>513</v>
      </c>
      <c r="C346" s="305"/>
      <c r="D346" s="305"/>
      <c r="E346" s="305" t="s">
        <v>4077</v>
      </c>
      <c r="F346" s="305" t="s">
        <v>7014</v>
      </c>
      <c r="G346" s="305" t="s">
        <v>7015</v>
      </c>
      <c r="H346" s="305" t="s">
        <v>4078</v>
      </c>
      <c r="I346" s="305" t="s">
        <v>520</v>
      </c>
      <c r="J346" s="305" t="s">
        <v>9004</v>
      </c>
      <c r="K346" s="119">
        <v>966</v>
      </c>
      <c r="L346" s="119">
        <v>0</v>
      </c>
      <c r="M346" s="302">
        <v>1000</v>
      </c>
      <c r="N346" s="303"/>
      <c r="O346" s="302">
        <v>591</v>
      </c>
      <c r="P346" s="302">
        <v>95</v>
      </c>
      <c r="Q346" s="303"/>
      <c r="R346" s="302">
        <f t="shared" si="5"/>
        <v>409</v>
      </c>
    </row>
    <row r="347" spans="1:18" ht="19.5" customHeight="1">
      <c r="A347" s="304" t="s">
        <v>5016</v>
      </c>
      <c r="B347" s="11" t="s">
        <v>513</v>
      </c>
      <c r="C347" s="11"/>
      <c r="D347" s="11"/>
      <c r="E347" s="116" t="s">
        <v>2565</v>
      </c>
      <c r="F347" s="116" t="s">
        <v>3028</v>
      </c>
      <c r="G347" s="116" t="s">
        <v>1763</v>
      </c>
      <c r="H347" s="116" t="s">
        <v>2566</v>
      </c>
      <c r="I347" s="116" t="s">
        <v>15</v>
      </c>
      <c r="J347" s="116" t="s">
        <v>1762</v>
      </c>
      <c r="K347" s="63">
        <v>7350</v>
      </c>
      <c r="L347" s="63">
        <v>19</v>
      </c>
      <c r="M347" s="63">
        <v>0</v>
      </c>
      <c r="N347" s="63"/>
      <c r="O347" s="63">
        <v>19</v>
      </c>
      <c r="P347" s="63"/>
      <c r="Q347" s="63"/>
      <c r="R347" s="302">
        <f t="shared" si="5"/>
        <v>0</v>
      </c>
    </row>
    <row r="348" spans="1:18" ht="19.5" customHeight="1">
      <c r="A348" s="304" t="s">
        <v>6182</v>
      </c>
      <c r="B348" s="11" t="s">
        <v>513</v>
      </c>
      <c r="C348" s="11"/>
      <c r="D348" s="11"/>
      <c r="E348" s="116" t="s">
        <v>2565</v>
      </c>
      <c r="F348" s="116" t="s">
        <v>3028</v>
      </c>
      <c r="G348" s="116" t="s">
        <v>1763</v>
      </c>
      <c r="H348" s="116" t="s">
        <v>2567</v>
      </c>
      <c r="I348" s="116" t="s">
        <v>15</v>
      </c>
      <c r="J348" s="116" t="s">
        <v>1762</v>
      </c>
      <c r="K348" s="63">
        <v>7245</v>
      </c>
      <c r="L348" s="63">
        <v>437</v>
      </c>
      <c r="M348" s="63">
        <v>1</v>
      </c>
      <c r="N348" s="63"/>
      <c r="O348" s="63">
        <v>438</v>
      </c>
      <c r="P348" s="63">
        <v>240</v>
      </c>
      <c r="Q348" s="63"/>
      <c r="R348" s="302">
        <f t="shared" si="5"/>
        <v>0</v>
      </c>
    </row>
    <row r="349" spans="1:18" ht="19.5" customHeight="1">
      <c r="A349" s="299" t="s">
        <v>6186</v>
      </c>
      <c r="B349" s="307" t="s">
        <v>513</v>
      </c>
      <c r="C349" s="307"/>
      <c r="D349" s="307"/>
      <c r="E349" s="116" t="s">
        <v>3604</v>
      </c>
      <c r="F349" s="116" t="s">
        <v>5435</v>
      </c>
      <c r="G349" s="116" t="s">
        <v>514</v>
      </c>
      <c r="H349" s="116" t="s">
        <v>5433</v>
      </c>
      <c r="I349" s="531" t="s">
        <v>18</v>
      </c>
      <c r="J349" s="116" t="s">
        <v>8967</v>
      </c>
      <c r="K349" s="118">
        <v>8715</v>
      </c>
      <c r="L349" s="308">
        <v>0</v>
      </c>
      <c r="M349" s="302">
        <v>302</v>
      </c>
      <c r="N349" s="303"/>
      <c r="O349" s="302">
        <v>276</v>
      </c>
      <c r="P349" s="302">
        <v>39</v>
      </c>
      <c r="Q349" s="303"/>
      <c r="R349" s="302">
        <f t="shared" si="5"/>
        <v>26</v>
      </c>
    </row>
    <row r="350" spans="1:18" ht="19.5" customHeight="1">
      <c r="A350" s="2">
        <v>69</v>
      </c>
      <c r="B350" s="11" t="s">
        <v>513</v>
      </c>
      <c r="C350" s="11"/>
      <c r="D350" s="11"/>
      <c r="E350" s="116" t="s">
        <v>2609</v>
      </c>
      <c r="F350" s="116" t="s">
        <v>3029</v>
      </c>
      <c r="G350" s="116" t="s">
        <v>1763</v>
      </c>
      <c r="H350" s="116" t="s">
        <v>2610</v>
      </c>
      <c r="I350" s="116" t="s">
        <v>15</v>
      </c>
      <c r="J350" s="116" t="s">
        <v>3030</v>
      </c>
      <c r="K350" s="63">
        <v>1103</v>
      </c>
      <c r="L350" s="63">
        <v>35</v>
      </c>
      <c r="M350" s="63">
        <v>0</v>
      </c>
      <c r="N350" s="63"/>
      <c r="O350" s="63">
        <v>35</v>
      </c>
      <c r="P350" s="63">
        <v>30</v>
      </c>
      <c r="Q350" s="63"/>
      <c r="R350" s="302">
        <f t="shared" si="5"/>
        <v>0</v>
      </c>
    </row>
    <row r="351" spans="1:18" ht="19.5" customHeight="1">
      <c r="A351" s="299" t="s">
        <v>6191</v>
      </c>
      <c r="B351" s="11" t="s">
        <v>1618</v>
      </c>
      <c r="C351" s="11"/>
      <c r="D351" s="11"/>
      <c r="E351" s="116" t="s">
        <v>1925</v>
      </c>
      <c r="F351" s="116" t="s">
        <v>1926</v>
      </c>
      <c r="G351" s="116" t="s">
        <v>1913</v>
      </c>
      <c r="H351" s="116" t="s">
        <v>994</v>
      </c>
      <c r="I351" s="116" t="s">
        <v>11</v>
      </c>
      <c r="J351" s="116" t="s">
        <v>585</v>
      </c>
      <c r="K351" s="63">
        <v>200</v>
      </c>
      <c r="L351" s="63">
        <v>3576</v>
      </c>
      <c r="M351" s="63">
        <v>0</v>
      </c>
      <c r="N351" s="63"/>
      <c r="O351" s="63">
        <v>3576</v>
      </c>
      <c r="P351" s="63"/>
      <c r="Q351" s="63"/>
      <c r="R351" s="302">
        <f t="shared" si="5"/>
        <v>0</v>
      </c>
    </row>
    <row r="352" spans="1:18" ht="19.5" customHeight="1">
      <c r="A352" s="304" t="s">
        <v>6193</v>
      </c>
      <c r="B352" s="11" t="s">
        <v>583</v>
      </c>
      <c r="C352" s="11"/>
      <c r="D352" s="11"/>
      <c r="E352" s="116" t="s">
        <v>1100</v>
      </c>
      <c r="F352" s="116" t="s">
        <v>1101</v>
      </c>
      <c r="G352" s="116" t="s">
        <v>1102</v>
      </c>
      <c r="H352" s="116" t="s">
        <v>222</v>
      </c>
      <c r="I352" s="116" t="s">
        <v>11</v>
      </c>
      <c r="J352" s="116" t="s">
        <v>842</v>
      </c>
      <c r="K352" s="63">
        <v>1550</v>
      </c>
      <c r="L352" s="63">
        <v>16712</v>
      </c>
      <c r="M352" s="63">
        <v>0</v>
      </c>
      <c r="N352" s="63"/>
      <c r="O352" s="63">
        <v>16712</v>
      </c>
      <c r="P352" s="63"/>
      <c r="Q352" s="63"/>
      <c r="R352" s="302">
        <f t="shared" si="5"/>
        <v>0</v>
      </c>
    </row>
    <row r="353" spans="1:18" ht="19.5" customHeight="1">
      <c r="A353" s="304" t="s">
        <v>6197</v>
      </c>
      <c r="B353" s="301" t="s">
        <v>583</v>
      </c>
      <c r="C353" s="301"/>
      <c r="D353" s="301"/>
      <c r="E353" s="301" t="s">
        <v>1100</v>
      </c>
      <c r="F353" s="301" t="s">
        <v>1101</v>
      </c>
      <c r="G353" s="301" t="s">
        <v>8332</v>
      </c>
      <c r="H353" s="301" t="s">
        <v>222</v>
      </c>
      <c r="I353" s="301" t="s">
        <v>11</v>
      </c>
      <c r="J353" s="116" t="s">
        <v>859</v>
      </c>
      <c r="K353" s="63">
        <v>1670</v>
      </c>
      <c r="L353" s="63">
        <v>0</v>
      </c>
      <c r="M353" s="302">
        <v>19980</v>
      </c>
      <c r="N353" s="303"/>
      <c r="O353" s="302">
        <v>19980</v>
      </c>
      <c r="P353" s="302"/>
      <c r="Q353" s="303"/>
      <c r="R353" s="302">
        <f t="shared" si="5"/>
        <v>0</v>
      </c>
    </row>
    <row r="354" spans="1:18" ht="19.5" customHeight="1">
      <c r="A354" s="299" t="s">
        <v>6204</v>
      </c>
      <c r="B354" s="11" t="s">
        <v>583</v>
      </c>
      <c r="C354" s="11"/>
      <c r="D354" s="11"/>
      <c r="E354" s="116" t="s">
        <v>1103</v>
      </c>
      <c r="F354" s="116" t="s">
        <v>1104</v>
      </c>
      <c r="G354" s="116" t="s">
        <v>1102</v>
      </c>
      <c r="H354" s="116" t="s">
        <v>390</v>
      </c>
      <c r="I354" s="116" t="s">
        <v>11</v>
      </c>
      <c r="J354" s="116" t="s">
        <v>842</v>
      </c>
      <c r="K354" s="63">
        <v>3600</v>
      </c>
      <c r="L354" s="63">
        <f>19980+1033</f>
        <v>21013</v>
      </c>
      <c r="M354" s="63">
        <v>0</v>
      </c>
      <c r="N354" s="63"/>
      <c r="O354" s="63">
        <v>21013</v>
      </c>
      <c r="P354" s="63"/>
      <c r="Q354" s="63"/>
      <c r="R354" s="302">
        <f t="shared" si="5"/>
        <v>0</v>
      </c>
    </row>
    <row r="355" spans="1:18" ht="19.5" customHeight="1">
      <c r="A355" s="2">
        <v>70</v>
      </c>
      <c r="B355" s="305" t="s">
        <v>1618</v>
      </c>
      <c r="C355" s="305"/>
      <c r="D355" s="305"/>
      <c r="E355" s="305" t="s">
        <v>2494</v>
      </c>
      <c r="F355" s="305" t="s">
        <v>3031</v>
      </c>
      <c r="G355" s="305" t="s">
        <v>7362</v>
      </c>
      <c r="H355" s="305" t="s">
        <v>994</v>
      </c>
      <c r="I355" s="305" t="s">
        <v>11</v>
      </c>
      <c r="J355" s="116" t="s">
        <v>1066</v>
      </c>
      <c r="K355" s="119">
        <v>204</v>
      </c>
      <c r="L355" s="119">
        <v>0</v>
      </c>
      <c r="M355" s="302">
        <v>64000</v>
      </c>
      <c r="N355" s="303"/>
      <c r="O355" s="302">
        <v>64000</v>
      </c>
      <c r="P355" s="302"/>
      <c r="Q355" s="303"/>
      <c r="R355" s="302">
        <f t="shared" si="5"/>
        <v>0</v>
      </c>
    </row>
    <row r="356" spans="1:18" ht="19.5" customHeight="1">
      <c r="A356" s="299" t="s">
        <v>6208</v>
      </c>
      <c r="B356" s="11" t="s">
        <v>1891</v>
      </c>
      <c r="C356" s="11"/>
      <c r="D356" s="11"/>
      <c r="E356" s="116" t="s">
        <v>1892</v>
      </c>
      <c r="F356" s="116" t="s">
        <v>1893</v>
      </c>
      <c r="G356" s="116" t="s">
        <v>3033</v>
      </c>
      <c r="H356" s="116" t="s">
        <v>327</v>
      </c>
      <c r="I356" s="502" t="s">
        <v>10</v>
      </c>
      <c r="J356" s="116" t="s">
        <v>311</v>
      </c>
      <c r="K356" s="63">
        <v>5500</v>
      </c>
      <c r="L356" s="63">
        <v>12347</v>
      </c>
      <c r="M356" s="63">
        <v>0</v>
      </c>
      <c r="N356" s="63"/>
      <c r="O356" s="63">
        <v>12174</v>
      </c>
      <c r="P356" s="63"/>
      <c r="Q356" s="63"/>
      <c r="R356" s="302">
        <f t="shared" si="5"/>
        <v>173</v>
      </c>
    </row>
    <row r="357" spans="1:18" ht="19.5" customHeight="1">
      <c r="A357" s="304" t="s">
        <v>6210</v>
      </c>
      <c r="B357" s="11" t="s">
        <v>309</v>
      </c>
      <c r="C357" s="11"/>
      <c r="D357" s="11"/>
      <c r="E357" s="116" t="s">
        <v>1554</v>
      </c>
      <c r="F357" s="116" t="s">
        <v>1556</v>
      </c>
      <c r="G357" s="116" t="s">
        <v>1557</v>
      </c>
      <c r="H357" s="116" t="s">
        <v>869</v>
      </c>
      <c r="I357" s="116" t="s">
        <v>10</v>
      </c>
      <c r="J357" s="116" t="s">
        <v>1555</v>
      </c>
      <c r="K357" s="63">
        <v>3000</v>
      </c>
      <c r="L357" s="63">
        <v>29498</v>
      </c>
      <c r="M357" s="63">
        <v>0</v>
      </c>
      <c r="N357" s="63"/>
      <c r="O357" s="63">
        <v>29498</v>
      </c>
      <c r="P357" s="63"/>
      <c r="Q357" s="63"/>
      <c r="R357" s="302">
        <f t="shared" si="5"/>
        <v>0</v>
      </c>
    </row>
    <row r="358" spans="1:18" ht="19.5" customHeight="1">
      <c r="A358" s="304" t="s">
        <v>6217</v>
      </c>
      <c r="B358" s="11" t="s">
        <v>731</v>
      </c>
      <c r="C358" s="11"/>
      <c r="D358" s="11"/>
      <c r="E358" s="116" t="s">
        <v>732</v>
      </c>
      <c r="F358" s="116" t="s">
        <v>735</v>
      </c>
      <c r="G358" s="116" t="s">
        <v>718</v>
      </c>
      <c r="H358" s="116" t="s">
        <v>733</v>
      </c>
      <c r="I358" s="116" t="s">
        <v>628</v>
      </c>
      <c r="J358" s="116" t="s">
        <v>734</v>
      </c>
      <c r="K358" s="63">
        <v>72975</v>
      </c>
      <c r="L358" s="63">
        <v>20</v>
      </c>
      <c r="M358" s="63"/>
      <c r="N358" s="63"/>
      <c r="O358" s="63"/>
      <c r="P358" s="63"/>
      <c r="Q358" s="63"/>
      <c r="R358" s="302">
        <f t="shared" si="5"/>
        <v>20</v>
      </c>
    </row>
    <row r="359" spans="1:18" ht="19.5" customHeight="1">
      <c r="A359" s="299" t="s">
        <v>6223</v>
      </c>
      <c r="B359" s="305" t="s">
        <v>309</v>
      </c>
      <c r="C359" s="305"/>
      <c r="D359" s="305"/>
      <c r="E359" s="305" t="s">
        <v>4091</v>
      </c>
      <c r="F359" s="305" t="s">
        <v>8323</v>
      </c>
      <c r="G359" s="305" t="s">
        <v>8324</v>
      </c>
      <c r="H359" s="305" t="s">
        <v>229</v>
      </c>
      <c r="I359" s="305" t="s">
        <v>11</v>
      </c>
      <c r="J359" s="116" t="s">
        <v>859</v>
      </c>
      <c r="K359" s="119">
        <v>2880</v>
      </c>
      <c r="L359" s="119">
        <v>0</v>
      </c>
      <c r="M359" s="302">
        <v>30000</v>
      </c>
      <c r="N359" s="303"/>
      <c r="O359" s="302">
        <v>4578</v>
      </c>
      <c r="P359" s="302"/>
      <c r="Q359" s="303"/>
      <c r="R359" s="302">
        <f t="shared" si="5"/>
        <v>25422</v>
      </c>
    </row>
    <row r="360" spans="1:18" ht="19.5" customHeight="1">
      <c r="A360" s="2">
        <v>71</v>
      </c>
      <c r="B360" s="67" t="s">
        <v>544</v>
      </c>
      <c r="C360" s="4"/>
      <c r="D360" s="4"/>
      <c r="E360" s="116" t="s">
        <v>545</v>
      </c>
      <c r="F360" s="117" t="s">
        <v>548</v>
      </c>
      <c r="G360" s="117" t="s">
        <v>215</v>
      </c>
      <c r="H360" s="117" t="s">
        <v>546</v>
      </c>
      <c r="I360" s="117" t="s">
        <v>11</v>
      </c>
      <c r="J360" s="117" t="s">
        <v>547</v>
      </c>
      <c r="K360" s="63">
        <v>210</v>
      </c>
      <c r="L360" s="63">
        <v>719</v>
      </c>
      <c r="M360" s="63">
        <v>0</v>
      </c>
      <c r="N360" s="63"/>
      <c r="O360" s="63">
        <v>303</v>
      </c>
      <c r="P360" s="63"/>
      <c r="Q360" s="63"/>
      <c r="R360" s="302">
        <f t="shared" si="5"/>
        <v>416</v>
      </c>
    </row>
    <row r="361" spans="1:18" ht="19.5" customHeight="1">
      <c r="A361" s="299" t="s">
        <v>6229</v>
      </c>
      <c r="B361" s="67" t="s">
        <v>1585</v>
      </c>
      <c r="C361" s="11"/>
      <c r="D361" s="11"/>
      <c r="E361" s="116" t="s">
        <v>1586</v>
      </c>
      <c r="F361" s="116" t="s">
        <v>1589</v>
      </c>
      <c r="G361" s="116" t="s">
        <v>772</v>
      </c>
      <c r="H361" s="116" t="s">
        <v>1587</v>
      </c>
      <c r="I361" s="116" t="s">
        <v>13</v>
      </c>
      <c r="J361" s="116" t="s">
        <v>1588</v>
      </c>
      <c r="K361" s="63">
        <v>7900</v>
      </c>
      <c r="L361" s="63">
        <f>1911+6700</f>
        <v>8611</v>
      </c>
      <c r="M361" s="63">
        <v>13</v>
      </c>
      <c r="N361" s="63"/>
      <c r="O361" s="63">
        <f>1923+1664</f>
        <v>3587</v>
      </c>
      <c r="P361" s="63">
        <v>160</v>
      </c>
      <c r="Q361" s="63"/>
      <c r="R361" s="302">
        <f t="shared" si="5"/>
        <v>5037</v>
      </c>
    </row>
    <row r="362" spans="1:18" ht="19.5" customHeight="1">
      <c r="A362" s="304" t="s">
        <v>6235</v>
      </c>
      <c r="B362" s="11" t="s">
        <v>736</v>
      </c>
      <c r="C362" s="11"/>
      <c r="D362" s="11"/>
      <c r="E362" s="116" t="s">
        <v>1671</v>
      </c>
      <c r="F362" s="116" t="s">
        <v>1673</v>
      </c>
      <c r="G362" s="116" t="s">
        <v>1667</v>
      </c>
      <c r="H362" s="116" t="s">
        <v>1672</v>
      </c>
      <c r="I362" s="116" t="s">
        <v>12</v>
      </c>
      <c r="J362" s="116" t="s">
        <v>3037</v>
      </c>
      <c r="K362" s="63">
        <v>2900</v>
      </c>
      <c r="L362" s="63">
        <v>16</v>
      </c>
      <c r="M362" s="63">
        <v>0</v>
      </c>
      <c r="N362" s="63"/>
      <c r="O362" s="63">
        <v>16</v>
      </c>
      <c r="P362" s="63">
        <v>16</v>
      </c>
      <c r="Q362" s="63"/>
      <c r="R362" s="302">
        <f t="shared" si="5"/>
        <v>0</v>
      </c>
    </row>
    <row r="363" spans="1:18" ht="19.5" customHeight="1">
      <c r="A363" s="304" t="s">
        <v>6242</v>
      </c>
      <c r="B363" s="67" t="s">
        <v>779</v>
      </c>
      <c r="C363" s="11"/>
      <c r="D363" s="11"/>
      <c r="E363" s="116" t="s">
        <v>780</v>
      </c>
      <c r="F363" s="116" t="s">
        <v>782</v>
      </c>
      <c r="G363" s="116" t="s">
        <v>783</v>
      </c>
      <c r="H363" s="116" t="s">
        <v>435</v>
      </c>
      <c r="I363" s="116" t="s">
        <v>15</v>
      </c>
      <c r="J363" s="116" t="s">
        <v>781</v>
      </c>
      <c r="K363" s="63">
        <v>30000</v>
      </c>
      <c r="L363" s="63">
        <v>10</v>
      </c>
      <c r="M363" s="63">
        <v>0</v>
      </c>
      <c r="N363" s="63"/>
      <c r="O363" s="63">
        <v>10</v>
      </c>
      <c r="P363" s="63"/>
      <c r="Q363" s="63"/>
      <c r="R363" s="302">
        <f t="shared" si="5"/>
        <v>0</v>
      </c>
    </row>
    <row r="364" spans="1:18" ht="19.5" customHeight="1">
      <c r="A364" s="299" t="s">
        <v>6247</v>
      </c>
      <c r="B364" s="11" t="s">
        <v>1562</v>
      </c>
      <c r="C364" s="11"/>
      <c r="D364" s="11"/>
      <c r="E364" s="116" t="s">
        <v>1628</v>
      </c>
      <c r="F364" s="116" t="s">
        <v>1630</v>
      </c>
      <c r="G364" s="116" t="s">
        <v>473</v>
      </c>
      <c r="H364" s="116" t="s">
        <v>232</v>
      </c>
      <c r="I364" s="116" t="s">
        <v>13</v>
      </c>
      <c r="J364" s="116" t="s">
        <v>1629</v>
      </c>
      <c r="K364" s="63">
        <v>900</v>
      </c>
      <c r="L364" s="63">
        <f>8075+1781</f>
        <v>9856</v>
      </c>
      <c r="M364" s="63">
        <v>0</v>
      </c>
      <c r="N364" s="63"/>
      <c r="O364" s="63">
        <f>8043+1781</f>
        <v>9824</v>
      </c>
      <c r="P364" s="63"/>
      <c r="Q364" s="63"/>
      <c r="R364" s="302">
        <f t="shared" si="5"/>
        <v>32</v>
      </c>
    </row>
    <row r="365" spans="1:18" ht="19.5" customHeight="1">
      <c r="A365" s="2">
        <v>72</v>
      </c>
      <c r="B365" s="67" t="s">
        <v>1439</v>
      </c>
      <c r="C365" s="11"/>
      <c r="D365" s="11"/>
      <c r="E365" s="116" t="s">
        <v>1440</v>
      </c>
      <c r="F365" s="116" t="s">
        <v>1442</v>
      </c>
      <c r="G365" s="116" t="s">
        <v>1429</v>
      </c>
      <c r="H365" s="116">
        <v>0.05</v>
      </c>
      <c r="I365" s="116" t="s">
        <v>1144</v>
      </c>
      <c r="J365" s="116" t="s">
        <v>1441</v>
      </c>
      <c r="K365" s="63">
        <v>7320</v>
      </c>
      <c r="L365" s="63">
        <v>107</v>
      </c>
      <c r="M365" s="63">
        <v>0</v>
      </c>
      <c r="N365" s="63"/>
      <c r="O365" s="63">
        <v>91</v>
      </c>
      <c r="P365" s="63"/>
      <c r="Q365" s="63"/>
      <c r="R365" s="302">
        <f t="shared" si="5"/>
        <v>16</v>
      </c>
    </row>
    <row r="366" spans="1:18" ht="19.5" customHeight="1">
      <c r="A366" s="299" t="s">
        <v>6255</v>
      </c>
      <c r="B366" s="11" t="s">
        <v>1439</v>
      </c>
      <c r="C366" s="11"/>
      <c r="D366" s="11"/>
      <c r="E366" s="116" t="s">
        <v>1923</v>
      </c>
      <c r="F366" s="116" t="s">
        <v>1924</v>
      </c>
      <c r="G366" s="116" t="s">
        <v>1913</v>
      </c>
      <c r="H366" s="116" t="s">
        <v>225</v>
      </c>
      <c r="I366" s="116" t="s">
        <v>11</v>
      </c>
      <c r="J366" s="116" t="s">
        <v>585</v>
      </c>
      <c r="K366" s="63">
        <v>1197</v>
      </c>
      <c r="L366" s="63">
        <v>1300</v>
      </c>
      <c r="M366" s="63">
        <v>0</v>
      </c>
      <c r="N366" s="63"/>
      <c r="O366" s="63">
        <v>688</v>
      </c>
      <c r="P366" s="63"/>
      <c r="Q366" s="63"/>
      <c r="R366" s="302">
        <f t="shared" si="5"/>
        <v>612</v>
      </c>
    </row>
    <row r="367" spans="1:18" ht="19.5" customHeight="1">
      <c r="A367" s="304" t="s">
        <v>6258</v>
      </c>
      <c r="B367" s="305" t="s">
        <v>1439</v>
      </c>
      <c r="C367" s="305"/>
      <c r="D367" s="305"/>
      <c r="E367" s="305" t="s">
        <v>1923</v>
      </c>
      <c r="F367" s="305" t="s">
        <v>1924</v>
      </c>
      <c r="G367" s="305" t="s">
        <v>1913</v>
      </c>
      <c r="H367" s="305" t="s">
        <v>225</v>
      </c>
      <c r="I367" s="305" t="s">
        <v>11</v>
      </c>
      <c r="J367" s="116" t="s">
        <v>859</v>
      </c>
      <c r="K367" s="119">
        <v>1208</v>
      </c>
      <c r="L367" s="119">
        <v>0</v>
      </c>
      <c r="M367" s="302">
        <v>700</v>
      </c>
      <c r="N367" s="303"/>
      <c r="O367" s="302">
        <v>200</v>
      </c>
      <c r="P367" s="302"/>
      <c r="Q367" s="303"/>
      <c r="R367" s="302">
        <f t="shared" si="5"/>
        <v>500</v>
      </c>
    </row>
    <row r="368" spans="1:18" ht="19.5" customHeight="1">
      <c r="A368" s="304" t="s">
        <v>6265</v>
      </c>
      <c r="B368" s="11" t="s">
        <v>1470</v>
      </c>
      <c r="C368" s="11"/>
      <c r="D368" s="11"/>
      <c r="E368" s="116" t="s">
        <v>1471</v>
      </c>
      <c r="F368" s="116" t="s">
        <v>1474</v>
      </c>
      <c r="G368" s="116" t="s">
        <v>1475</v>
      </c>
      <c r="H368" s="116" t="s">
        <v>1472</v>
      </c>
      <c r="I368" s="116" t="s">
        <v>1476</v>
      </c>
      <c r="J368" s="116" t="s">
        <v>1473</v>
      </c>
      <c r="K368" s="63">
        <v>13300</v>
      </c>
      <c r="L368" s="63">
        <v>165</v>
      </c>
      <c r="M368" s="63">
        <v>0</v>
      </c>
      <c r="N368" s="63"/>
      <c r="O368" s="63">
        <v>163</v>
      </c>
      <c r="P368" s="63">
        <v>135</v>
      </c>
      <c r="Q368" s="63"/>
      <c r="R368" s="302">
        <f t="shared" si="5"/>
        <v>2</v>
      </c>
    </row>
    <row r="369" spans="1:18" ht="19.5" customHeight="1">
      <c r="A369" s="299" t="s">
        <v>6270</v>
      </c>
      <c r="B369" s="305" t="s">
        <v>706</v>
      </c>
      <c r="C369" s="305"/>
      <c r="D369" s="305"/>
      <c r="E369" s="305" t="s">
        <v>4098</v>
      </c>
      <c r="F369" s="305" t="s">
        <v>7673</v>
      </c>
      <c r="G369" s="305" t="s">
        <v>7674</v>
      </c>
      <c r="H369" s="305" t="s">
        <v>369</v>
      </c>
      <c r="I369" s="305" t="s">
        <v>11</v>
      </c>
      <c r="J369" s="116" t="s">
        <v>859</v>
      </c>
      <c r="K369" s="119">
        <v>639</v>
      </c>
      <c r="L369" s="119">
        <v>0</v>
      </c>
      <c r="M369" s="302">
        <f>9990</f>
        <v>9990</v>
      </c>
      <c r="N369" s="303"/>
      <c r="O369" s="302">
        <v>7292</v>
      </c>
      <c r="P369" s="302"/>
      <c r="Q369" s="303"/>
      <c r="R369" s="302">
        <f t="shared" si="5"/>
        <v>2698</v>
      </c>
    </row>
    <row r="370" spans="1:18" ht="19.5" customHeight="1">
      <c r="A370" s="2">
        <v>73</v>
      </c>
      <c r="B370" s="472" t="s">
        <v>11435</v>
      </c>
      <c r="C370" s="541"/>
      <c r="D370" s="541"/>
      <c r="E370" s="469" t="s">
        <v>4508</v>
      </c>
      <c r="F370" s="469" t="s">
        <v>11437</v>
      </c>
      <c r="G370" s="469" t="s">
        <v>11436</v>
      </c>
      <c r="H370" s="542" t="s">
        <v>232</v>
      </c>
      <c r="I370" s="469" t="s">
        <v>10</v>
      </c>
      <c r="J370" s="469" t="s">
        <v>11445</v>
      </c>
      <c r="K370" s="473">
        <v>34350</v>
      </c>
      <c r="L370" s="543">
        <v>300</v>
      </c>
      <c r="M370" s="467">
        <v>0</v>
      </c>
      <c r="N370" s="125"/>
      <c r="O370" s="467">
        <v>140</v>
      </c>
      <c r="P370" s="543"/>
      <c r="Q370" s="543"/>
      <c r="R370" s="302">
        <f t="shared" si="5"/>
        <v>160</v>
      </c>
    </row>
    <row r="371" spans="1:18" ht="19.5" customHeight="1">
      <c r="A371" s="299" t="s">
        <v>6273</v>
      </c>
      <c r="B371" s="472" t="s">
        <v>11438</v>
      </c>
      <c r="C371" s="541"/>
      <c r="D371" s="541"/>
      <c r="E371" s="469" t="s">
        <v>4100</v>
      </c>
      <c r="F371" s="469" t="s">
        <v>11440</v>
      </c>
      <c r="G371" s="469" t="s">
        <v>11439</v>
      </c>
      <c r="H371" s="542" t="s">
        <v>11450</v>
      </c>
      <c r="I371" s="469" t="s">
        <v>628</v>
      </c>
      <c r="J371" s="469" t="s">
        <v>11446</v>
      </c>
      <c r="K371" s="473">
        <v>8967</v>
      </c>
      <c r="L371" s="543">
        <v>55</v>
      </c>
      <c r="M371" s="467">
        <v>3</v>
      </c>
      <c r="N371" s="125"/>
      <c r="O371" s="467">
        <v>58</v>
      </c>
      <c r="P371" s="543"/>
      <c r="Q371" s="543"/>
      <c r="R371" s="302">
        <f t="shared" si="5"/>
        <v>0</v>
      </c>
    </row>
    <row r="372" spans="1:18" ht="19.5" customHeight="1">
      <c r="A372" s="304" t="s">
        <v>6275</v>
      </c>
      <c r="B372" s="305" t="s">
        <v>376</v>
      </c>
      <c r="C372" s="305"/>
      <c r="D372" s="305"/>
      <c r="E372" s="305" t="s">
        <v>4102</v>
      </c>
      <c r="F372" s="305" t="s">
        <v>7778</v>
      </c>
      <c r="G372" s="305" t="s">
        <v>1946</v>
      </c>
      <c r="H372" s="305" t="s">
        <v>4103</v>
      </c>
      <c r="I372" s="305" t="s">
        <v>11</v>
      </c>
      <c r="J372" s="116" t="s">
        <v>1066</v>
      </c>
      <c r="K372" s="119">
        <v>3150</v>
      </c>
      <c r="L372" s="119">
        <v>0</v>
      </c>
      <c r="M372" s="302">
        <v>10980</v>
      </c>
      <c r="N372" s="303"/>
      <c r="O372" s="302">
        <v>2724</v>
      </c>
      <c r="P372" s="302"/>
      <c r="Q372" s="303"/>
      <c r="R372" s="302">
        <f t="shared" si="5"/>
        <v>8256</v>
      </c>
    </row>
    <row r="373" spans="1:18" ht="19.5" customHeight="1">
      <c r="A373" s="304" t="s">
        <v>6276</v>
      </c>
      <c r="B373" s="67" t="s">
        <v>411</v>
      </c>
      <c r="C373" s="11"/>
      <c r="D373" s="11"/>
      <c r="E373" s="116" t="s">
        <v>1192</v>
      </c>
      <c r="F373" s="116" t="s">
        <v>1194</v>
      </c>
      <c r="G373" s="116" t="s">
        <v>352</v>
      </c>
      <c r="H373" s="116" t="s">
        <v>272</v>
      </c>
      <c r="I373" s="116" t="s">
        <v>13</v>
      </c>
      <c r="J373" s="116" t="s">
        <v>1193</v>
      </c>
      <c r="K373" s="63">
        <v>536</v>
      </c>
      <c r="L373" s="63">
        <v>1</v>
      </c>
      <c r="M373" s="63">
        <v>0</v>
      </c>
      <c r="N373" s="63"/>
      <c r="O373" s="63">
        <v>1</v>
      </c>
      <c r="P373" s="63"/>
      <c r="Q373" s="63"/>
      <c r="R373" s="302">
        <f t="shared" si="5"/>
        <v>0</v>
      </c>
    </row>
    <row r="374" spans="1:18" ht="19.5" customHeight="1">
      <c r="A374" s="299" t="s">
        <v>6281</v>
      </c>
      <c r="B374" s="11" t="s">
        <v>3039</v>
      </c>
      <c r="C374" s="11"/>
      <c r="D374" s="11"/>
      <c r="E374" s="116" t="s">
        <v>107</v>
      </c>
      <c r="F374" s="512" t="s">
        <v>2396</v>
      </c>
      <c r="G374" s="116" t="s">
        <v>2397</v>
      </c>
      <c r="H374" s="116" t="s">
        <v>109</v>
      </c>
      <c r="I374" s="116" t="s">
        <v>10</v>
      </c>
      <c r="J374" s="116" t="s">
        <v>620</v>
      </c>
      <c r="K374" s="63">
        <v>830</v>
      </c>
      <c r="L374" s="63"/>
      <c r="M374" s="63">
        <v>10000</v>
      </c>
      <c r="N374" s="63"/>
      <c r="O374" s="63">
        <v>3952</v>
      </c>
      <c r="P374" s="63"/>
      <c r="Q374" s="63"/>
      <c r="R374" s="302">
        <f t="shared" si="5"/>
        <v>6048</v>
      </c>
    </row>
    <row r="375" spans="1:18" ht="19.5" customHeight="1">
      <c r="A375" s="2">
        <v>74</v>
      </c>
      <c r="B375" s="67" t="s">
        <v>1240</v>
      </c>
      <c r="C375" s="11"/>
      <c r="D375" s="11"/>
      <c r="E375" s="116" t="s">
        <v>1987</v>
      </c>
      <c r="F375" s="116" t="s">
        <v>1989</v>
      </c>
      <c r="G375" s="116" t="s">
        <v>1946</v>
      </c>
      <c r="H375" s="116" t="s">
        <v>1988</v>
      </c>
      <c r="I375" s="116" t="s">
        <v>11</v>
      </c>
      <c r="J375" s="116" t="s">
        <v>814</v>
      </c>
      <c r="K375" s="63">
        <v>798</v>
      </c>
      <c r="L375" s="63">
        <f>369+9</f>
        <v>378</v>
      </c>
      <c r="M375" s="63">
        <v>0</v>
      </c>
      <c r="N375" s="63"/>
      <c r="O375" s="63">
        <v>378</v>
      </c>
      <c r="P375" s="63"/>
      <c r="Q375" s="63"/>
      <c r="R375" s="302">
        <f t="shared" si="5"/>
        <v>0</v>
      </c>
    </row>
    <row r="376" spans="1:18" ht="19.5" customHeight="1">
      <c r="A376" s="299" t="s">
        <v>6287</v>
      </c>
      <c r="B376" s="64" t="s">
        <v>289</v>
      </c>
      <c r="C376" s="64"/>
      <c r="D376" s="64"/>
      <c r="E376" s="116" t="s">
        <v>500</v>
      </c>
      <c r="F376" s="116" t="s">
        <v>501</v>
      </c>
      <c r="G376" s="116" t="s">
        <v>1946</v>
      </c>
      <c r="H376" s="116" t="s">
        <v>291</v>
      </c>
      <c r="I376" s="116" t="s">
        <v>10</v>
      </c>
      <c r="J376" s="116" t="s">
        <v>642</v>
      </c>
      <c r="K376" s="63">
        <v>798</v>
      </c>
      <c r="L376" s="63">
        <f>292+29469</f>
        <v>29761</v>
      </c>
      <c r="M376" s="63">
        <f>180000</f>
        <v>180000</v>
      </c>
      <c r="N376" s="63"/>
      <c r="O376" s="63">
        <f>2601+29469+20000+60000+79804+292</f>
        <v>192166</v>
      </c>
      <c r="P376" s="63"/>
      <c r="Q376" s="63"/>
      <c r="R376" s="302">
        <f t="shared" si="5"/>
        <v>17595</v>
      </c>
    </row>
    <row r="377" spans="1:18" ht="19.5" customHeight="1">
      <c r="A377" s="304" t="s">
        <v>6294</v>
      </c>
      <c r="B377" s="11" t="s">
        <v>592</v>
      </c>
      <c r="C377" s="11"/>
      <c r="D377" s="11"/>
      <c r="E377" s="116" t="s">
        <v>1400</v>
      </c>
      <c r="F377" s="116" t="s">
        <v>1401</v>
      </c>
      <c r="G377" s="116" t="s">
        <v>360</v>
      </c>
      <c r="H377" s="116" t="s">
        <v>235</v>
      </c>
      <c r="I377" s="116" t="s">
        <v>11</v>
      </c>
      <c r="J377" s="116" t="s">
        <v>647</v>
      </c>
      <c r="K377" s="63">
        <v>82</v>
      </c>
      <c r="L377" s="63">
        <v>594</v>
      </c>
      <c r="M377" s="63">
        <v>0</v>
      </c>
      <c r="N377" s="63"/>
      <c r="O377" s="63">
        <v>594</v>
      </c>
      <c r="P377" s="63"/>
      <c r="Q377" s="63"/>
      <c r="R377" s="302">
        <f t="shared" si="5"/>
        <v>0</v>
      </c>
    </row>
    <row r="378" spans="1:18" ht="19.5" customHeight="1">
      <c r="A378" s="304" t="s">
        <v>6300</v>
      </c>
      <c r="B378" s="305" t="s">
        <v>592</v>
      </c>
      <c r="C378" s="305"/>
      <c r="D378" s="305"/>
      <c r="E378" s="305" t="s">
        <v>1400</v>
      </c>
      <c r="F378" s="305" t="s">
        <v>7602</v>
      </c>
      <c r="G378" s="305" t="s">
        <v>7001</v>
      </c>
      <c r="H378" s="305" t="s">
        <v>235</v>
      </c>
      <c r="I378" s="305" t="s">
        <v>11</v>
      </c>
      <c r="J378" s="116" t="s">
        <v>1066</v>
      </c>
      <c r="K378" s="119">
        <v>95</v>
      </c>
      <c r="L378" s="119">
        <v>0</v>
      </c>
      <c r="M378" s="302">
        <v>50600</v>
      </c>
      <c r="N378" s="303"/>
      <c r="O378" s="302">
        <f>8244+25000</f>
        <v>33244</v>
      </c>
      <c r="P378" s="302">
        <v>20</v>
      </c>
      <c r="Q378" s="303"/>
      <c r="R378" s="302">
        <f t="shared" si="5"/>
        <v>17356</v>
      </c>
    </row>
    <row r="379" spans="1:18" ht="19.5" customHeight="1">
      <c r="A379" s="299" t="s">
        <v>6304</v>
      </c>
      <c r="B379" s="11" t="s">
        <v>2191</v>
      </c>
      <c r="C379" s="11"/>
      <c r="D379" s="11"/>
      <c r="E379" s="116" t="s">
        <v>110</v>
      </c>
      <c r="F379" s="116" t="s">
        <v>2193</v>
      </c>
      <c r="G379" s="116" t="s">
        <v>2194</v>
      </c>
      <c r="H379" s="116" t="s">
        <v>112</v>
      </c>
      <c r="I379" s="116" t="s">
        <v>12</v>
      </c>
      <c r="J379" s="116" t="s">
        <v>2192</v>
      </c>
      <c r="K379" s="63">
        <v>9600</v>
      </c>
      <c r="L379" s="63">
        <v>1925</v>
      </c>
      <c r="M379" s="63">
        <v>0</v>
      </c>
      <c r="N379" s="63"/>
      <c r="O379" s="63">
        <v>1925</v>
      </c>
      <c r="P379" s="63"/>
      <c r="Q379" s="63"/>
      <c r="R379" s="302">
        <f t="shared" si="5"/>
        <v>0</v>
      </c>
    </row>
    <row r="380" spans="1:18" ht="19.5" customHeight="1">
      <c r="A380" s="2">
        <v>75</v>
      </c>
      <c r="B380" s="309" t="s">
        <v>111</v>
      </c>
      <c r="C380" s="309"/>
      <c r="D380" s="309"/>
      <c r="E380" s="309" t="s">
        <v>8879</v>
      </c>
      <c r="F380" s="309" t="s">
        <v>2193</v>
      </c>
      <c r="G380" s="309" t="s">
        <v>8881</v>
      </c>
      <c r="H380" s="309" t="s">
        <v>8878</v>
      </c>
      <c r="I380" s="309" t="s">
        <v>13</v>
      </c>
      <c r="J380" s="309" t="s">
        <v>9033</v>
      </c>
      <c r="K380" s="63">
        <v>12000</v>
      </c>
      <c r="L380" s="310"/>
      <c r="M380" s="302">
        <v>2000</v>
      </c>
      <c r="N380" s="303"/>
      <c r="O380" s="302">
        <v>708</v>
      </c>
      <c r="P380" s="302"/>
      <c r="Q380" s="303"/>
      <c r="R380" s="302">
        <f t="shared" si="5"/>
        <v>1292</v>
      </c>
    </row>
    <row r="381" spans="1:18" ht="19.5" customHeight="1">
      <c r="A381" s="299" t="s">
        <v>6307</v>
      </c>
      <c r="B381" s="11" t="s">
        <v>2347</v>
      </c>
      <c r="C381" s="11"/>
      <c r="D381" s="11"/>
      <c r="E381" s="116" t="s">
        <v>113</v>
      </c>
      <c r="F381" s="116" t="s">
        <v>2349</v>
      </c>
      <c r="G381" s="116" t="s">
        <v>3050</v>
      </c>
      <c r="H381" s="116" t="s">
        <v>114</v>
      </c>
      <c r="I381" s="116" t="s">
        <v>115</v>
      </c>
      <c r="J381" s="116" t="s">
        <v>2348</v>
      </c>
      <c r="K381" s="63">
        <v>175</v>
      </c>
      <c r="L381" s="63">
        <f>5320+8640</f>
        <v>13960</v>
      </c>
      <c r="M381" s="63">
        <v>0</v>
      </c>
      <c r="N381" s="63"/>
      <c r="O381" s="63">
        <f>5320+8640</f>
        <v>13960</v>
      </c>
      <c r="P381" s="63"/>
      <c r="Q381" s="63"/>
      <c r="R381" s="302">
        <f t="shared" si="5"/>
        <v>0</v>
      </c>
    </row>
    <row r="382" spans="1:18" ht="19.5" customHeight="1">
      <c r="A382" s="304" t="s">
        <v>6310</v>
      </c>
      <c r="B382" s="11" t="s">
        <v>2350</v>
      </c>
      <c r="C382" s="11"/>
      <c r="D382" s="11"/>
      <c r="E382" s="116" t="s">
        <v>118</v>
      </c>
      <c r="F382" s="520" t="s">
        <v>2351</v>
      </c>
      <c r="G382" s="520" t="s">
        <v>1567</v>
      </c>
      <c r="H382" s="116" t="s">
        <v>120</v>
      </c>
      <c r="I382" s="116" t="s">
        <v>115</v>
      </c>
      <c r="J382" s="116" t="s">
        <v>2348</v>
      </c>
      <c r="K382" s="63">
        <v>175</v>
      </c>
      <c r="L382" s="63">
        <v>18600</v>
      </c>
      <c r="M382" s="63">
        <v>12000</v>
      </c>
      <c r="N382" s="63"/>
      <c r="O382" s="63">
        <f>18600+8840</f>
        <v>27440</v>
      </c>
      <c r="P382" s="63"/>
      <c r="Q382" s="63"/>
      <c r="R382" s="302">
        <f t="shared" si="5"/>
        <v>3160</v>
      </c>
    </row>
    <row r="383" spans="1:18" ht="19.5" customHeight="1">
      <c r="A383" s="304" t="s">
        <v>6319</v>
      </c>
      <c r="B383" s="67" t="s">
        <v>2222</v>
      </c>
      <c r="C383" s="11"/>
      <c r="D383" s="11"/>
      <c r="E383" s="502" t="s">
        <v>121</v>
      </c>
      <c r="F383" s="502" t="s">
        <v>2223</v>
      </c>
      <c r="G383" s="502" t="s">
        <v>2210</v>
      </c>
      <c r="H383" s="502" t="s">
        <v>122</v>
      </c>
      <c r="I383" s="116" t="s">
        <v>13</v>
      </c>
      <c r="J383" s="502" t="s">
        <v>2208</v>
      </c>
      <c r="K383" s="63">
        <v>3650</v>
      </c>
      <c r="L383" s="63">
        <v>5455</v>
      </c>
      <c r="M383" s="63">
        <v>0</v>
      </c>
      <c r="N383" s="63"/>
      <c r="O383" s="63">
        <v>5455</v>
      </c>
      <c r="P383" s="63"/>
      <c r="Q383" s="63"/>
      <c r="R383" s="302">
        <f t="shared" si="5"/>
        <v>0</v>
      </c>
    </row>
    <row r="384" spans="1:18" ht="19.5" customHeight="1">
      <c r="A384" s="299" t="s">
        <v>6323</v>
      </c>
      <c r="B384" s="78" t="s">
        <v>2222</v>
      </c>
      <c r="C384" s="4"/>
      <c r="D384" s="4"/>
      <c r="E384" s="511" t="s">
        <v>121</v>
      </c>
      <c r="F384" s="511" t="s">
        <v>2223</v>
      </c>
      <c r="G384" s="511" t="s">
        <v>2210</v>
      </c>
      <c r="H384" s="511" t="s">
        <v>122</v>
      </c>
      <c r="I384" s="117" t="s">
        <v>11</v>
      </c>
      <c r="J384" s="511" t="s">
        <v>2208</v>
      </c>
      <c r="K384" s="63">
        <v>263</v>
      </c>
      <c r="L384" s="63">
        <v>18720</v>
      </c>
      <c r="M384" s="63">
        <v>0</v>
      </c>
      <c r="N384" s="63"/>
      <c r="O384" s="63">
        <v>18720</v>
      </c>
      <c r="P384" s="63"/>
      <c r="Q384" s="478"/>
      <c r="R384" s="302">
        <f t="shared" si="5"/>
        <v>0</v>
      </c>
    </row>
    <row r="385" spans="1:18" ht="19.5" customHeight="1">
      <c r="A385" s="2">
        <v>76</v>
      </c>
      <c r="B385" s="11" t="s">
        <v>2352</v>
      </c>
      <c r="C385" s="11"/>
      <c r="D385" s="11"/>
      <c r="E385" s="116" t="s">
        <v>123</v>
      </c>
      <c r="F385" s="520" t="s">
        <v>2354</v>
      </c>
      <c r="G385" s="520" t="s">
        <v>1567</v>
      </c>
      <c r="H385" s="116" t="s">
        <v>125</v>
      </c>
      <c r="I385" s="116" t="s">
        <v>18</v>
      </c>
      <c r="J385" s="116" t="s">
        <v>2353</v>
      </c>
      <c r="K385" s="63">
        <v>31600</v>
      </c>
      <c r="L385" s="63">
        <v>16</v>
      </c>
      <c r="M385" s="63">
        <v>0</v>
      </c>
      <c r="N385" s="63"/>
      <c r="O385" s="63">
        <v>16</v>
      </c>
      <c r="P385" s="63"/>
      <c r="Q385" s="63"/>
      <c r="R385" s="302">
        <f t="shared" si="5"/>
        <v>0</v>
      </c>
    </row>
    <row r="386" spans="1:18" ht="19.5" customHeight="1">
      <c r="A386" s="299" t="s">
        <v>6326</v>
      </c>
      <c r="B386" s="309" t="s">
        <v>124</v>
      </c>
      <c r="C386" s="309"/>
      <c r="D386" s="309"/>
      <c r="E386" s="309" t="s">
        <v>4681</v>
      </c>
      <c r="F386" s="309" t="s">
        <v>2354</v>
      </c>
      <c r="G386" s="309" t="s">
        <v>8598</v>
      </c>
      <c r="H386" s="309" t="s">
        <v>8596</v>
      </c>
      <c r="I386" s="309" t="s">
        <v>15</v>
      </c>
      <c r="J386" s="309" t="s">
        <v>9027</v>
      </c>
      <c r="K386" s="63">
        <v>33075</v>
      </c>
      <c r="L386" s="310">
        <v>0</v>
      </c>
      <c r="M386" s="302">
        <v>1470</v>
      </c>
      <c r="N386" s="303"/>
      <c r="O386" s="302">
        <v>396</v>
      </c>
      <c r="P386" s="302"/>
      <c r="Q386" s="303"/>
      <c r="R386" s="302">
        <f t="shared" si="5"/>
        <v>1074</v>
      </c>
    </row>
    <row r="387" spans="1:18" ht="19.5" customHeight="1">
      <c r="A387" s="304" t="s">
        <v>6331</v>
      </c>
      <c r="B387" s="309" t="s">
        <v>8543</v>
      </c>
      <c r="C387" s="309"/>
      <c r="D387" s="309"/>
      <c r="E387" s="309" t="s">
        <v>8545</v>
      </c>
      <c r="F387" s="309" t="s">
        <v>8547</v>
      </c>
      <c r="G387" s="309" t="s">
        <v>2253</v>
      </c>
      <c r="H387" s="309" t="s">
        <v>8544</v>
      </c>
      <c r="I387" s="309" t="s">
        <v>11</v>
      </c>
      <c r="J387" s="309" t="s">
        <v>9026</v>
      </c>
      <c r="K387" s="63">
        <v>580</v>
      </c>
      <c r="L387" s="310"/>
      <c r="M387" s="302">
        <v>58000</v>
      </c>
      <c r="N387" s="303"/>
      <c r="O387" s="302">
        <v>38452</v>
      </c>
      <c r="P387" s="302"/>
      <c r="Q387" s="303"/>
      <c r="R387" s="302">
        <f t="shared" si="5"/>
        <v>19548</v>
      </c>
    </row>
    <row r="388" spans="1:18" ht="19.5" customHeight="1">
      <c r="A388" s="304" t="s">
        <v>6336</v>
      </c>
      <c r="B388" s="309" t="s">
        <v>8537</v>
      </c>
      <c r="C388" s="309"/>
      <c r="D388" s="309"/>
      <c r="E388" s="309" t="s">
        <v>4688</v>
      </c>
      <c r="F388" s="309" t="s">
        <v>8540</v>
      </c>
      <c r="G388" s="309" t="s">
        <v>8541</v>
      </c>
      <c r="H388" s="309" t="s">
        <v>8538</v>
      </c>
      <c r="I388" s="309" t="s">
        <v>11</v>
      </c>
      <c r="J388" s="116" t="s">
        <v>1066</v>
      </c>
      <c r="K388" s="63">
        <v>315</v>
      </c>
      <c r="L388" s="310"/>
      <c r="M388" s="302">
        <v>12000</v>
      </c>
      <c r="N388" s="303"/>
      <c r="O388" s="302">
        <v>12000</v>
      </c>
      <c r="P388" s="302"/>
      <c r="Q388" s="303"/>
      <c r="R388" s="302">
        <f t="shared" si="5"/>
        <v>0</v>
      </c>
    </row>
    <row r="389" spans="1:18" ht="22.5" customHeight="1">
      <c r="A389" s="299" t="s">
        <v>6338</v>
      </c>
      <c r="B389" s="309" t="s">
        <v>130</v>
      </c>
      <c r="C389" s="309"/>
      <c r="D389" s="309"/>
      <c r="E389" s="309" t="s">
        <v>129</v>
      </c>
      <c r="F389" s="309" t="s">
        <v>8650</v>
      </c>
      <c r="G389" s="309" t="s">
        <v>8651</v>
      </c>
      <c r="H389" s="309" t="s">
        <v>8648</v>
      </c>
      <c r="I389" s="309" t="s">
        <v>15</v>
      </c>
      <c r="J389" s="309" t="s">
        <v>9025</v>
      </c>
      <c r="K389" s="63">
        <v>44000</v>
      </c>
      <c r="L389" s="310">
        <v>0</v>
      </c>
      <c r="M389" s="302">
        <v>300</v>
      </c>
      <c r="N389" s="303"/>
      <c r="O389" s="302">
        <v>70</v>
      </c>
      <c r="P389" s="302"/>
      <c r="Q389" s="303"/>
      <c r="R389" s="302">
        <f t="shared" si="5"/>
        <v>230</v>
      </c>
    </row>
    <row r="390" spans="1:18" ht="19.5" customHeight="1">
      <c r="A390" s="2">
        <v>77</v>
      </c>
      <c r="B390" s="67" t="s">
        <v>3057</v>
      </c>
      <c r="C390" s="11"/>
      <c r="D390" s="11"/>
      <c r="E390" s="502" t="s">
        <v>1175</v>
      </c>
      <c r="F390" s="502" t="s">
        <v>3058</v>
      </c>
      <c r="G390" s="502" t="s">
        <v>1159</v>
      </c>
      <c r="H390" s="502" t="s">
        <v>3059</v>
      </c>
      <c r="I390" s="502" t="s">
        <v>13</v>
      </c>
      <c r="J390" s="502" t="s">
        <v>632</v>
      </c>
      <c r="K390" s="63">
        <v>3000</v>
      </c>
      <c r="L390" s="63">
        <v>18690</v>
      </c>
      <c r="M390" s="63">
        <v>720</v>
      </c>
      <c r="N390" s="63"/>
      <c r="O390" s="63">
        <v>14342</v>
      </c>
      <c r="P390" s="63"/>
      <c r="Q390" s="63"/>
      <c r="R390" s="302">
        <f t="shared" si="5"/>
        <v>5068</v>
      </c>
    </row>
    <row r="391" spans="1:18" ht="19.5" customHeight="1">
      <c r="A391" s="299" t="s">
        <v>6340</v>
      </c>
      <c r="B391" s="305" t="s">
        <v>1550</v>
      </c>
      <c r="C391" s="305"/>
      <c r="D391" s="305"/>
      <c r="E391" s="305" t="s">
        <v>5020</v>
      </c>
      <c r="F391" s="305" t="s">
        <v>7528</v>
      </c>
      <c r="G391" s="305" t="s">
        <v>7161</v>
      </c>
      <c r="H391" s="305" t="s">
        <v>5021</v>
      </c>
      <c r="I391" s="305" t="s">
        <v>11</v>
      </c>
      <c r="J391" s="305" t="s">
        <v>9012</v>
      </c>
      <c r="K391" s="119">
        <v>470</v>
      </c>
      <c r="L391" s="119">
        <v>0</v>
      </c>
      <c r="M391" s="302">
        <v>3500</v>
      </c>
      <c r="N391" s="303"/>
      <c r="O391" s="302">
        <v>3500</v>
      </c>
      <c r="P391" s="302"/>
      <c r="Q391" s="303"/>
      <c r="R391" s="302">
        <f t="shared" si="5"/>
        <v>0</v>
      </c>
    </row>
    <row r="392" spans="1:18" ht="19.5" customHeight="1">
      <c r="A392" s="304" t="s">
        <v>6347</v>
      </c>
      <c r="B392" s="64" t="s">
        <v>402</v>
      </c>
      <c r="C392" s="64"/>
      <c r="D392" s="64"/>
      <c r="E392" s="116" t="s">
        <v>403</v>
      </c>
      <c r="F392" s="116" t="s">
        <v>404</v>
      </c>
      <c r="G392" s="116" t="s">
        <v>360</v>
      </c>
      <c r="H392" s="116" t="s">
        <v>327</v>
      </c>
      <c r="I392" s="116" t="s">
        <v>10</v>
      </c>
      <c r="J392" s="116" t="s">
        <v>642</v>
      </c>
      <c r="K392" s="63">
        <v>95</v>
      </c>
      <c r="L392" s="63">
        <f>2580+1245</f>
        <v>3825</v>
      </c>
      <c r="M392" s="63">
        <f>3001+15000+30000+12500+11000</f>
        <v>71501</v>
      </c>
      <c r="N392" s="63"/>
      <c r="O392" s="63">
        <f>5581+14091+30000+8000+1245</f>
        <v>58917</v>
      </c>
      <c r="P392" s="63"/>
      <c r="Q392" s="63"/>
      <c r="R392" s="302">
        <f t="shared" si="5"/>
        <v>16409</v>
      </c>
    </row>
    <row r="393" spans="1:18" ht="19.5" customHeight="1">
      <c r="A393" s="304" t="s">
        <v>6350</v>
      </c>
      <c r="B393" s="305" t="s">
        <v>4110</v>
      </c>
      <c r="C393" s="305"/>
      <c r="D393" s="305"/>
      <c r="E393" s="305" t="s">
        <v>403</v>
      </c>
      <c r="F393" s="305" t="s">
        <v>8082</v>
      </c>
      <c r="G393" s="305" t="s">
        <v>7001</v>
      </c>
      <c r="H393" s="305" t="s">
        <v>327</v>
      </c>
      <c r="I393" s="305" t="s">
        <v>11</v>
      </c>
      <c r="J393" s="116" t="s">
        <v>859</v>
      </c>
      <c r="K393" s="119">
        <v>102</v>
      </c>
      <c r="L393" s="119">
        <v>0</v>
      </c>
      <c r="M393" s="302">
        <v>10000</v>
      </c>
      <c r="N393" s="303"/>
      <c r="O393" s="302">
        <v>9568</v>
      </c>
      <c r="P393" s="302"/>
      <c r="Q393" s="303"/>
      <c r="R393" s="302">
        <f t="shared" si="5"/>
        <v>432</v>
      </c>
    </row>
    <row r="394" spans="1:18" ht="19.5" customHeight="1">
      <c r="A394" s="299" t="s">
        <v>6358</v>
      </c>
      <c r="B394" s="64" t="s">
        <v>378</v>
      </c>
      <c r="C394" s="64"/>
      <c r="D394" s="64"/>
      <c r="E394" s="116" t="s">
        <v>378</v>
      </c>
      <c r="F394" s="116" t="s">
        <v>379</v>
      </c>
      <c r="G394" s="116" t="s">
        <v>360</v>
      </c>
      <c r="H394" s="116" t="s">
        <v>334</v>
      </c>
      <c r="I394" s="116" t="s">
        <v>10</v>
      </c>
      <c r="J394" s="116" t="s">
        <v>647</v>
      </c>
      <c r="K394" s="63">
        <v>234</v>
      </c>
      <c r="L394" s="63">
        <v>168</v>
      </c>
      <c r="M394" s="63">
        <f>25000+32500+15000</f>
        <v>72500</v>
      </c>
      <c r="N394" s="63"/>
      <c r="O394" s="63">
        <f>20263+13+32500+1986</f>
        <v>54762</v>
      </c>
      <c r="P394" s="63"/>
      <c r="Q394" s="63"/>
      <c r="R394" s="302">
        <f t="shared" ref="R394:R457" si="6">L394+M394-O394</f>
        <v>17906</v>
      </c>
    </row>
    <row r="395" spans="1:18" ht="19.5" customHeight="1">
      <c r="A395" s="2">
        <v>78</v>
      </c>
      <c r="B395" s="305" t="s">
        <v>2501</v>
      </c>
      <c r="C395" s="305"/>
      <c r="D395" s="305"/>
      <c r="E395" s="305" t="s">
        <v>4112</v>
      </c>
      <c r="F395" s="305" t="s">
        <v>3068</v>
      </c>
      <c r="G395" s="305" t="s">
        <v>712</v>
      </c>
      <c r="H395" s="305" t="s">
        <v>299</v>
      </c>
      <c r="I395" s="305" t="s">
        <v>11</v>
      </c>
      <c r="J395" s="116" t="s">
        <v>859</v>
      </c>
      <c r="K395" s="119">
        <v>3150</v>
      </c>
      <c r="L395" s="119">
        <v>0</v>
      </c>
      <c r="M395" s="302">
        <f>6300+11000</f>
        <v>17300</v>
      </c>
      <c r="N395" s="303"/>
      <c r="O395" s="302">
        <v>4297</v>
      </c>
      <c r="P395" s="302">
        <v>100</v>
      </c>
      <c r="Q395" s="303"/>
      <c r="R395" s="302">
        <f t="shared" si="6"/>
        <v>13003</v>
      </c>
    </row>
    <row r="396" spans="1:18" ht="19.5" customHeight="1">
      <c r="A396" s="299" t="s">
        <v>6365</v>
      </c>
      <c r="B396" s="65" t="s">
        <v>2501</v>
      </c>
      <c r="C396" s="11"/>
      <c r="D396" s="11"/>
      <c r="E396" s="504" t="s">
        <v>3067</v>
      </c>
      <c r="F396" s="116" t="s">
        <v>3068</v>
      </c>
      <c r="G396" s="116" t="s">
        <v>3069</v>
      </c>
      <c r="H396" s="504" t="s">
        <v>299</v>
      </c>
      <c r="I396" s="116" t="s">
        <v>10</v>
      </c>
      <c r="J396" s="116" t="s">
        <v>842</v>
      </c>
      <c r="K396" s="63">
        <v>2520</v>
      </c>
      <c r="L396" s="63">
        <v>260</v>
      </c>
      <c r="M396" s="63">
        <v>0</v>
      </c>
      <c r="N396" s="63"/>
      <c r="O396" s="63">
        <v>260</v>
      </c>
      <c r="P396" s="63"/>
      <c r="Q396" s="63"/>
      <c r="R396" s="302">
        <f t="shared" si="6"/>
        <v>0</v>
      </c>
    </row>
    <row r="397" spans="1:18" ht="19.5" customHeight="1">
      <c r="A397" s="304" t="s">
        <v>6369</v>
      </c>
      <c r="B397" s="305" t="s">
        <v>2503</v>
      </c>
      <c r="C397" s="305"/>
      <c r="D397" s="305"/>
      <c r="E397" s="305" t="s">
        <v>2504</v>
      </c>
      <c r="F397" s="305" t="s">
        <v>3072</v>
      </c>
      <c r="G397" s="305" t="s">
        <v>7783</v>
      </c>
      <c r="H397" s="305" t="s">
        <v>327</v>
      </c>
      <c r="I397" s="305" t="s">
        <v>11</v>
      </c>
      <c r="J397" s="116" t="s">
        <v>859</v>
      </c>
      <c r="K397" s="119">
        <v>3500</v>
      </c>
      <c r="L397" s="119"/>
      <c r="M397" s="302">
        <v>3000</v>
      </c>
      <c r="N397" s="303"/>
      <c r="O397" s="302"/>
      <c r="P397" s="302"/>
      <c r="Q397" s="303"/>
      <c r="R397" s="302">
        <f t="shared" si="6"/>
        <v>3000</v>
      </c>
    </row>
    <row r="398" spans="1:18" ht="19.5" customHeight="1">
      <c r="A398" s="304" t="s">
        <v>6372</v>
      </c>
      <c r="B398" s="305" t="s">
        <v>555</v>
      </c>
      <c r="C398" s="305"/>
      <c r="D398" s="305"/>
      <c r="E398" s="305" t="s">
        <v>4117</v>
      </c>
      <c r="F398" s="305" t="s">
        <v>7686</v>
      </c>
      <c r="G398" s="305" t="s">
        <v>7211</v>
      </c>
      <c r="H398" s="305" t="s">
        <v>232</v>
      </c>
      <c r="I398" s="305" t="s">
        <v>11</v>
      </c>
      <c r="J398" s="116" t="s">
        <v>1066</v>
      </c>
      <c r="K398" s="119">
        <v>410</v>
      </c>
      <c r="L398" s="119">
        <v>0</v>
      </c>
      <c r="M398" s="302">
        <f>7980+4980+16980</f>
        <v>29940</v>
      </c>
      <c r="N398" s="303"/>
      <c r="O398" s="302">
        <v>29940</v>
      </c>
      <c r="P398" s="302"/>
      <c r="Q398" s="303"/>
      <c r="R398" s="302">
        <f t="shared" si="6"/>
        <v>0</v>
      </c>
    </row>
    <row r="399" spans="1:18" ht="19.5" customHeight="1">
      <c r="A399" s="299" t="s">
        <v>6374</v>
      </c>
      <c r="B399" s="301" t="s">
        <v>702</v>
      </c>
      <c r="C399" s="301"/>
      <c r="D399" s="301"/>
      <c r="E399" s="301" t="s">
        <v>5023</v>
      </c>
      <c r="F399" s="301" t="s">
        <v>7097</v>
      </c>
      <c r="G399" s="301" t="s">
        <v>7098</v>
      </c>
      <c r="H399" s="301" t="s">
        <v>232</v>
      </c>
      <c r="I399" s="301" t="s">
        <v>11</v>
      </c>
      <c r="J399" s="301" t="s">
        <v>1872</v>
      </c>
      <c r="K399" s="63">
        <v>650</v>
      </c>
      <c r="L399" s="63">
        <v>0</v>
      </c>
      <c r="M399" s="302">
        <v>500</v>
      </c>
      <c r="N399" s="303"/>
      <c r="O399" s="302">
        <v>500</v>
      </c>
      <c r="P399" s="302"/>
      <c r="Q399" s="303"/>
      <c r="R399" s="302">
        <f t="shared" si="6"/>
        <v>0</v>
      </c>
    </row>
    <row r="400" spans="1:18" ht="19.5" customHeight="1">
      <c r="A400" s="2">
        <v>79</v>
      </c>
      <c r="B400" s="67" t="s">
        <v>992</v>
      </c>
      <c r="C400" s="11"/>
      <c r="D400" s="11"/>
      <c r="E400" s="116" t="s">
        <v>1145</v>
      </c>
      <c r="F400" s="116" t="s">
        <v>1146</v>
      </c>
      <c r="G400" s="116" t="s">
        <v>1147</v>
      </c>
      <c r="H400" s="116" t="s">
        <v>225</v>
      </c>
      <c r="I400" s="116" t="s">
        <v>11</v>
      </c>
      <c r="J400" s="116" t="s">
        <v>815</v>
      </c>
      <c r="K400" s="63">
        <v>390</v>
      </c>
      <c r="L400" s="63">
        <v>227</v>
      </c>
      <c r="M400" s="63">
        <v>0</v>
      </c>
      <c r="N400" s="63"/>
      <c r="O400" s="63">
        <v>204</v>
      </c>
      <c r="P400" s="63"/>
      <c r="Q400" s="63"/>
      <c r="R400" s="302">
        <f t="shared" si="6"/>
        <v>23</v>
      </c>
    </row>
    <row r="401" spans="1:18" ht="19.5" customHeight="1">
      <c r="A401" s="299" t="s">
        <v>5015</v>
      </c>
      <c r="B401" s="305" t="s">
        <v>555</v>
      </c>
      <c r="C401" s="305"/>
      <c r="D401" s="305"/>
      <c r="E401" s="305" t="s">
        <v>4119</v>
      </c>
      <c r="F401" s="305" t="s">
        <v>8293</v>
      </c>
      <c r="G401" s="305" t="s">
        <v>8294</v>
      </c>
      <c r="H401" s="305" t="s">
        <v>262</v>
      </c>
      <c r="I401" s="305" t="s">
        <v>11</v>
      </c>
      <c r="J401" s="116" t="s">
        <v>1066</v>
      </c>
      <c r="K401" s="119">
        <v>6800</v>
      </c>
      <c r="L401" s="119">
        <v>0</v>
      </c>
      <c r="M401" s="302">
        <v>9996</v>
      </c>
      <c r="N401" s="303"/>
      <c r="O401" s="302">
        <v>1956</v>
      </c>
      <c r="P401" s="302"/>
      <c r="Q401" s="303"/>
      <c r="R401" s="302">
        <f t="shared" si="6"/>
        <v>8040</v>
      </c>
    </row>
    <row r="402" spans="1:18" ht="19.5" customHeight="1">
      <c r="A402" s="304" t="s">
        <v>6387</v>
      </c>
      <c r="B402" s="305" t="s">
        <v>1668</v>
      </c>
      <c r="C402" s="305"/>
      <c r="D402" s="305"/>
      <c r="E402" s="305" t="s">
        <v>4121</v>
      </c>
      <c r="F402" s="305" t="s">
        <v>6019</v>
      </c>
      <c r="G402" s="305" t="s">
        <v>6020</v>
      </c>
      <c r="H402" s="305" t="s">
        <v>869</v>
      </c>
      <c r="I402" s="305" t="s">
        <v>11</v>
      </c>
      <c r="J402" s="305" t="s">
        <v>547</v>
      </c>
      <c r="K402" s="119">
        <v>4620</v>
      </c>
      <c r="L402" s="119">
        <v>0</v>
      </c>
      <c r="M402" s="302">
        <v>6000</v>
      </c>
      <c r="N402" s="303"/>
      <c r="O402" s="302">
        <v>1000</v>
      </c>
      <c r="P402" s="302"/>
      <c r="Q402" s="303"/>
      <c r="R402" s="302">
        <f t="shared" si="6"/>
        <v>5000</v>
      </c>
    </row>
    <row r="403" spans="1:18" ht="19.5" customHeight="1">
      <c r="A403" s="304" t="s">
        <v>6392</v>
      </c>
      <c r="B403" s="305" t="s">
        <v>855</v>
      </c>
      <c r="C403" s="305"/>
      <c r="D403" s="305"/>
      <c r="E403" s="305" t="s">
        <v>1374</v>
      </c>
      <c r="F403" s="305" t="s">
        <v>7800</v>
      </c>
      <c r="G403" s="305" t="s">
        <v>7001</v>
      </c>
      <c r="H403" s="305" t="s">
        <v>641</v>
      </c>
      <c r="I403" s="305" t="s">
        <v>11</v>
      </c>
      <c r="J403" s="116" t="s">
        <v>1066</v>
      </c>
      <c r="K403" s="119">
        <v>309</v>
      </c>
      <c r="L403" s="119">
        <v>0</v>
      </c>
      <c r="M403" s="302">
        <v>20006</v>
      </c>
      <c r="N403" s="303"/>
      <c r="O403" s="302">
        <f>6000+4006+5526</f>
        <v>15532</v>
      </c>
      <c r="P403" s="302">
        <v>500</v>
      </c>
      <c r="Q403" s="303"/>
      <c r="R403" s="302">
        <f t="shared" si="6"/>
        <v>4474</v>
      </c>
    </row>
    <row r="404" spans="1:18" ht="19.5" customHeight="1">
      <c r="A404" s="299" t="s">
        <v>6398</v>
      </c>
      <c r="B404" s="11" t="s">
        <v>1376</v>
      </c>
      <c r="C404" s="11"/>
      <c r="D404" s="11"/>
      <c r="E404" s="116" t="s">
        <v>1377</v>
      </c>
      <c r="F404" s="116" t="s">
        <v>1379</v>
      </c>
      <c r="G404" s="116" t="s">
        <v>360</v>
      </c>
      <c r="H404" s="116" t="s">
        <v>1378</v>
      </c>
      <c r="I404" s="116" t="s">
        <v>11</v>
      </c>
      <c r="J404" s="116" t="s">
        <v>647</v>
      </c>
      <c r="K404" s="63">
        <v>258</v>
      </c>
      <c r="L404" s="63">
        <v>39</v>
      </c>
      <c r="M404" s="63">
        <v>0</v>
      </c>
      <c r="N404" s="63"/>
      <c r="O404" s="63">
        <v>39</v>
      </c>
      <c r="P404" s="63"/>
      <c r="Q404" s="63"/>
      <c r="R404" s="302">
        <f t="shared" si="6"/>
        <v>0</v>
      </c>
    </row>
    <row r="405" spans="1:18" ht="19.5" customHeight="1">
      <c r="A405" s="2">
        <v>80</v>
      </c>
      <c r="B405" s="64" t="s">
        <v>392</v>
      </c>
      <c r="C405" s="64"/>
      <c r="D405" s="64"/>
      <c r="E405" s="116" t="s">
        <v>393</v>
      </c>
      <c r="F405" s="116" t="s">
        <v>394</v>
      </c>
      <c r="G405" s="116" t="s">
        <v>360</v>
      </c>
      <c r="H405" s="116" t="s">
        <v>235</v>
      </c>
      <c r="I405" s="116" t="s">
        <v>10</v>
      </c>
      <c r="J405" s="116" t="s">
        <v>1329</v>
      </c>
      <c r="K405" s="63">
        <v>131</v>
      </c>
      <c r="L405" s="63">
        <f>1125+176</f>
        <v>1301</v>
      </c>
      <c r="M405" s="63">
        <f>9+1500+20500+20000+9500+5</f>
        <v>51514</v>
      </c>
      <c r="N405" s="63"/>
      <c r="O405" s="63">
        <f>1052+20500+20000+20+181</f>
        <v>41753</v>
      </c>
      <c r="P405" s="63">
        <v>520</v>
      </c>
      <c r="Q405" s="63"/>
      <c r="R405" s="302">
        <f t="shared" si="6"/>
        <v>11062</v>
      </c>
    </row>
    <row r="406" spans="1:18" ht="19.5" customHeight="1">
      <c r="A406" s="299" t="s">
        <v>6402</v>
      </c>
      <c r="B406" s="67" t="s">
        <v>2138</v>
      </c>
      <c r="C406" s="11"/>
      <c r="D406" s="11"/>
      <c r="E406" s="116" t="s">
        <v>2139</v>
      </c>
      <c r="F406" s="116" t="s">
        <v>2141</v>
      </c>
      <c r="G406" s="116" t="s">
        <v>2142</v>
      </c>
      <c r="H406" s="116" t="s">
        <v>1290</v>
      </c>
      <c r="I406" s="116" t="s">
        <v>10</v>
      </c>
      <c r="J406" s="116" t="s">
        <v>2140</v>
      </c>
      <c r="K406" s="63">
        <v>1701</v>
      </c>
      <c r="L406" s="63">
        <v>4</v>
      </c>
      <c r="M406" s="63">
        <v>0</v>
      </c>
      <c r="N406" s="63"/>
      <c r="O406" s="63">
        <v>4</v>
      </c>
      <c r="P406" s="63"/>
      <c r="Q406" s="63"/>
      <c r="R406" s="302">
        <f t="shared" si="6"/>
        <v>0</v>
      </c>
    </row>
    <row r="407" spans="1:18" ht="19.5" customHeight="1">
      <c r="A407" s="304" t="s">
        <v>6411</v>
      </c>
      <c r="B407" s="307" t="s">
        <v>353</v>
      </c>
      <c r="C407" s="307"/>
      <c r="D407" s="307"/>
      <c r="E407" s="116" t="s">
        <v>383</v>
      </c>
      <c r="F407" s="116" t="s">
        <v>385</v>
      </c>
      <c r="G407" s="116" t="s">
        <v>360</v>
      </c>
      <c r="H407" s="116" t="s">
        <v>384</v>
      </c>
      <c r="I407" s="531" t="s">
        <v>10</v>
      </c>
      <c r="J407" s="116" t="s">
        <v>547</v>
      </c>
      <c r="K407" s="118">
        <v>120</v>
      </c>
      <c r="L407" s="308"/>
      <c r="M407" s="302">
        <f>15500</f>
        <v>15500</v>
      </c>
      <c r="N407" s="303"/>
      <c r="O407" s="302">
        <v>15500</v>
      </c>
      <c r="P407" s="302"/>
      <c r="Q407" s="303"/>
      <c r="R407" s="302">
        <f t="shared" si="6"/>
        <v>0</v>
      </c>
    </row>
    <row r="408" spans="1:18" ht="19.5" customHeight="1">
      <c r="A408" s="304" t="s">
        <v>6415</v>
      </c>
      <c r="B408" s="11" t="s">
        <v>841</v>
      </c>
      <c r="C408" s="11"/>
      <c r="D408" s="11"/>
      <c r="E408" s="116" t="s">
        <v>2578</v>
      </c>
      <c r="F408" s="116" t="s">
        <v>3089</v>
      </c>
      <c r="G408" s="116" t="s">
        <v>360</v>
      </c>
      <c r="H408" s="116" t="s">
        <v>2579</v>
      </c>
      <c r="I408" s="116" t="s">
        <v>11</v>
      </c>
      <c r="J408" s="116" t="s">
        <v>647</v>
      </c>
      <c r="K408" s="63">
        <v>475</v>
      </c>
      <c r="L408" s="63">
        <v>410</v>
      </c>
      <c r="M408" s="63">
        <v>0</v>
      </c>
      <c r="N408" s="63"/>
      <c r="O408" s="63">
        <v>410</v>
      </c>
      <c r="P408" s="63"/>
      <c r="Q408" s="63"/>
      <c r="R408" s="302">
        <f t="shared" si="6"/>
        <v>0</v>
      </c>
    </row>
    <row r="409" spans="1:18" ht="19.5" customHeight="1">
      <c r="A409" s="299" t="s">
        <v>6421</v>
      </c>
      <c r="B409" s="11" t="s">
        <v>1390</v>
      </c>
      <c r="C409" s="11"/>
      <c r="D409" s="11"/>
      <c r="E409" s="116" t="s">
        <v>1391</v>
      </c>
      <c r="F409" s="116" t="s">
        <v>1393</v>
      </c>
      <c r="G409" s="116" t="s">
        <v>360</v>
      </c>
      <c r="H409" s="116" t="s">
        <v>1392</v>
      </c>
      <c r="I409" s="116" t="s">
        <v>11</v>
      </c>
      <c r="J409" s="116" t="s">
        <v>647</v>
      </c>
      <c r="K409" s="63">
        <v>743</v>
      </c>
      <c r="L409" s="63">
        <v>441</v>
      </c>
      <c r="M409" s="63">
        <v>0</v>
      </c>
      <c r="N409" s="63"/>
      <c r="O409" s="63">
        <v>441</v>
      </c>
      <c r="P409" s="63"/>
      <c r="Q409" s="63"/>
      <c r="R409" s="302">
        <f t="shared" si="6"/>
        <v>0</v>
      </c>
    </row>
    <row r="410" spans="1:18" ht="19.5" customHeight="1">
      <c r="A410" s="2">
        <v>81</v>
      </c>
      <c r="B410" s="11" t="s">
        <v>1390</v>
      </c>
      <c r="C410" s="11"/>
      <c r="D410" s="11"/>
      <c r="E410" s="116" t="s">
        <v>1394</v>
      </c>
      <c r="F410" s="116" t="s">
        <v>1396</v>
      </c>
      <c r="G410" s="116" t="s">
        <v>360</v>
      </c>
      <c r="H410" s="116" t="s">
        <v>1395</v>
      </c>
      <c r="I410" s="116" t="s">
        <v>11</v>
      </c>
      <c r="J410" s="116" t="s">
        <v>647</v>
      </c>
      <c r="K410" s="63">
        <v>1740</v>
      </c>
      <c r="L410" s="63">
        <v>833</v>
      </c>
      <c r="M410" s="63">
        <v>0</v>
      </c>
      <c r="N410" s="63"/>
      <c r="O410" s="63">
        <v>832</v>
      </c>
      <c r="P410" s="63"/>
      <c r="Q410" s="63"/>
      <c r="R410" s="302">
        <f t="shared" si="6"/>
        <v>1</v>
      </c>
    </row>
    <row r="411" spans="1:18" ht="19.5" customHeight="1">
      <c r="A411" s="299" t="s">
        <v>6424</v>
      </c>
      <c r="B411" s="305" t="s">
        <v>1390</v>
      </c>
      <c r="C411" s="305"/>
      <c r="D411" s="305"/>
      <c r="E411" s="305" t="s">
        <v>1394</v>
      </c>
      <c r="F411" s="305" t="s">
        <v>1396</v>
      </c>
      <c r="G411" s="305" t="s">
        <v>7001</v>
      </c>
      <c r="H411" s="305" t="s">
        <v>2916</v>
      </c>
      <c r="I411" s="305" t="s">
        <v>11</v>
      </c>
      <c r="J411" s="116" t="s">
        <v>1066</v>
      </c>
      <c r="K411" s="119">
        <v>1690</v>
      </c>
      <c r="L411" s="119"/>
      <c r="M411" s="302">
        <v>13500</v>
      </c>
      <c r="N411" s="303"/>
      <c r="O411" s="302">
        <v>9000</v>
      </c>
      <c r="P411" s="302"/>
      <c r="Q411" s="303"/>
      <c r="R411" s="302">
        <f t="shared" si="6"/>
        <v>4500</v>
      </c>
    </row>
    <row r="412" spans="1:18" ht="19.5" customHeight="1">
      <c r="A412" s="304" t="s">
        <v>6430</v>
      </c>
      <c r="B412" s="11" t="s">
        <v>1356</v>
      </c>
      <c r="C412" s="11"/>
      <c r="D412" s="11"/>
      <c r="E412" s="116" t="s">
        <v>1357</v>
      </c>
      <c r="F412" s="116" t="s">
        <v>1358</v>
      </c>
      <c r="G412" s="116" t="s">
        <v>360</v>
      </c>
      <c r="H412" s="116" t="s">
        <v>238</v>
      </c>
      <c r="I412" s="116" t="s">
        <v>11</v>
      </c>
      <c r="J412" s="116" t="s">
        <v>642</v>
      </c>
      <c r="K412" s="63">
        <v>98</v>
      </c>
      <c r="L412" s="63">
        <v>270</v>
      </c>
      <c r="M412" s="63">
        <v>1200</v>
      </c>
      <c r="N412" s="63"/>
      <c r="O412" s="63">
        <v>430</v>
      </c>
      <c r="P412" s="63">
        <v>110</v>
      </c>
      <c r="Q412" s="63"/>
      <c r="R412" s="302">
        <f t="shared" si="6"/>
        <v>1040</v>
      </c>
    </row>
    <row r="413" spans="1:18" ht="19.5" customHeight="1">
      <c r="A413" s="304" t="s">
        <v>6436</v>
      </c>
      <c r="B413" s="305" t="s">
        <v>1311</v>
      </c>
      <c r="C413" s="305"/>
      <c r="D413" s="305"/>
      <c r="E413" s="305" t="s">
        <v>1312</v>
      </c>
      <c r="F413" s="305" t="s">
        <v>7926</v>
      </c>
      <c r="G413" s="305" t="s">
        <v>7001</v>
      </c>
      <c r="H413" s="305" t="s">
        <v>1313</v>
      </c>
      <c r="I413" s="305" t="s">
        <v>11</v>
      </c>
      <c r="J413" s="116" t="s">
        <v>859</v>
      </c>
      <c r="K413" s="119">
        <v>118</v>
      </c>
      <c r="L413" s="119">
        <v>0</v>
      </c>
      <c r="M413" s="302">
        <f>23400+1950</f>
        <v>25350</v>
      </c>
      <c r="N413" s="303"/>
      <c r="O413" s="302">
        <f>23400+1350</f>
        <v>24750</v>
      </c>
      <c r="P413" s="302">
        <v>100</v>
      </c>
      <c r="Q413" s="303"/>
      <c r="R413" s="302">
        <f t="shared" si="6"/>
        <v>600</v>
      </c>
    </row>
    <row r="414" spans="1:18" ht="19.5" customHeight="1">
      <c r="A414" s="299" t="s">
        <v>6444</v>
      </c>
      <c r="B414" s="307" t="s">
        <v>347</v>
      </c>
      <c r="C414" s="307"/>
      <c r="D414" s="307"/>
      <c r="E414" s="116" t="s">
        <v>361</v>
      </c>
      <c r="F414" s="116" t="s">
        <v>362</v>
      </c>
      <c r="G414" s="116" t="s">
        <v>360</v>
      </c>
      <c r="H414" s="116" t="s">
        <v>327</v>
      </c>
      <c r="I414" s="531" t="s">
        <v>10</v>
      </c>
      <c r="J414" s="116" t="s">
        <v>547</v>
      </c>
      <c r="K414" s="118">
        <v>81</v>
      </c>
      <c r="L414" s="308"/>
      <c r="M414" s="302">
        <v>69000</v>
      </c>
      <c r="N414" s="303"/>
      <c r="O414" s="302">
        <v>69000</v>
      </c>
      <c r="P414" s="302">
        <v>100</v>
      </c>
      <c r="Q414" s="303"/>
      <c r="R414" s="302">
        <f t="shared" si="6"/>
        <v>0</v>
      </c>
    </row>
    <row r="415" spans="1:18" ht="19.5" customHeight="1">
      <c r="A415" s="2">
        <v>82</v>
      </c>
      <c r="B415" s="11" t="s">
        <v>639</v>
      </c>
      <c r="C415" s="4"/>
      <c r="D415" s="4"/>
      <c r="E415" s="116" t="s">
        <v>677</v>
      </c>
      <c r="F415" s="117" t="s">
        <v>680</v>
      </c>
      <c r="G415" s="117" t="s">
        <v>681</v>
      </c>
      <c r="H415" s="117" t="s">
        <v>678</v>
      </c>
      <c r="I415" s="117" t="s">
        <v>682</v>
      </c>
      <c r="J415" s="117" t="s">
        <v>679</v>
      </c>
      <c r="K415" s="63">
        <v>5250</v>
      </c>
      <c r="L415" s="63">
        <v>192</v>
      </c>
      <c r="M415" s="63">
        <v>0</v>
      </c>
      <c r="N415" s="63"/>
      <c r="O415" s="63">
        <v>192</v>
      </c>
      <c r="P415" s="63">
        <v>51</v>
      </c>
      <c r="Q415" s="63"/>
      <c r="R415" s="302">
        <f t="shared" si="6"/>
        <v>0</v>
      </c>
    </row>
    <row r="416" spans="1:18" ht="19.5" customHeight="1">
      <c r="A416" s="299" t="s">
        <v>6451</v>
      </c>
      <c r="B416" s="11" t="s">
        <v>639</v>
      </c>
      <c r="C416" s="11"/>
      <c r="D416" s="11"/>
      <c r="E416" s="116" t="s">
        <v>673</v>
      </c>
      <c r="F416" s="116" t="s">
        <v>675</v>
      </c>
      <c r="G416" s="116" t="s">
        <v>676</v>
      </c>
      <c r="H416" s="116" t="s">
        <v>641</v>
      </c>
      <c r="I416" s="116" t="s">
        <v>10</v>
      </c>
      <c r="J416" s="116" t="s">
        <v>674</v>
      </c>
      <c r="K416" s="63">
        <v>12850</v>
      </c>
      <c r="L416" s="63">
        <v>3067</v>
      </c>
      <c r="M416" s="63">
        <v>0</v>
      </c>
      <c r="N416" s="63"/>
      <c r="O416" s="63">
        <v>2203</v>
      </c>
      <c r="P416" s="63"/>
      <c r="Q416" s="63"/>
      <c r="R416" s="302">
        <f t="shared" si="6"/>
        <v>864</v>
      </c>
    </row>
    <row r="417" spans="1:18" ht="19.5" customHeight="1">
      <c r="A417" s="304" t="s">
        <v>4568</v>
      </c>
      <c r="B417" s="67" t="s">
        <v>2329</v>
      </c>
      <c r="C417" s="11"/>
      <c r="D417" s="11"/>
      <c r="E417" s="116" t="s">
        <v>132</v>
      </c>
      <c r="F417" s="116" t="s">
        <v>2330</v>
      </c>
      <c r="G417" s="116" t="s">
        <v>2331</v>
      </c>
      <c r="H417" s="116" t="s">
        <v>134</v>
      </c>
      <c r="I417" s="116" t="s">
        <v>11</v>
      </c>
      <c r="J417" s="116" t="s">
        <v>1675</v>
      </c>
      <c r="K417" s="63">
        <v>1386</v>
      </c>
      <c r="L417" s="63">
        <v>15018</v>
      </c>
      <c r="M417" s="63">
        <v>0</v>
      </c>
      <c r="N417" s="63"/>
      <c r="O417" s="63">
        <v>15018</v>
      </c>
      <c r="P417" s="63"/>
      <c r="Q417" s="63"/>
      <c r="R417" s="302">
        <f t="shared" si="6"/>
        <v>0</v>
      </c>
    </row>
    <row r="418" spans="1:18" ht="19.5" customHeight="1">
      <c r="A418" s="304" t="s">
        <v>6464</v>
      </c>
      <c r="B418" s="309" t="s">
        <v>133</v>
      </c>
      <c r="C418" s="309"/>
      <c r="D418" s="309"/>
      <c r="E418" s="309" t="s">
        <v>132</v>
      </c>
      <c r="F418" s="309" t="s">
        <v>2330</v>
      </c>
      <c r="G418" s="309" t="s">
        <v>8736</v>
      </c>
      <c r="H418" s="309" t="s">
        <v>8734</v>
      </c>
      <c r="I418" s="309" t="s">
        <v>11</v>
      </c>
      <c r="J418" s="309" t="s">
        <v>8969</v>
      </c>
      <c r="K418" s="63">
        <v>1407</v>
      </c>
      <c r="L418" s="310">
        <v>0</v>
      </c>
      <c r="M418" s="302">
        <v>19980</v>
      </c>
      <c r="N418" s="303"/>
      <c r="O418" s="302">
        <v>5002</v>
      </c>
      <c r="P418" s="302"/>
      <c r="Q418" s="303"/>
      <c r="R418" s="302">
        <f t="shared" si="6"/>
        <v>14978</v>
      </c>
    </row>
    <row r="419" spans="1:18" ht="19.5" customHeight="1">
      <c r="A419" s="299" t="s">
        <v>6469</v>
      </c>
      <c r="B419" s="305" t="s">
        <v>1140</v>
      </c>
      <c r="C419" s="305"/>
      <c r="D419" s="305"/>
      <c r="E419" s="305" t="s">
        <v>4519</v>
      </c>
      <c r="F419" s="305" t="s">
        <v>7456</v>
      </c>
      <c r="G419" s="305" t="s">
        <v>7413</v>
      </c>
      <c r="H419" s="305" t="s">
        <v>4520</v>
      </c>
      <c r="I419" s="305" t="s">
        <v>4240</v>
      </c>
      <c r="J419" s="305" t="s">
        <v>9010</v>
      </c>
      <c r="K419" s="119">
        <v>6500</v>
      </c>
      <c r="L419" s="119"/>
      <c r="M419" s="302">
        <v>200</v>
      </c>
      <c r="N419" s="303"/>
      <c r="O419" s="302">
        <v>101</v>
      </c>
      <c r="P419" s="302"/>
      <c r="Q419" s="303"/>
      <c r="R419" s="302">
        <f t="shared" si="6"/>
        <v>99</v>
      </c>
    </row>
    <row r="420" spans="1:18" ht="19.5" customHeight="1">
      <c r="A420" s="2">
        <v>83</v>
      </c>
      <c r="B420" s="67" t="s">
        <v>2308</v>
      </c>
      <c r="C420" s="11"/>
      <c r="D420" s="11"/>
      <c r="E420" s="502" t="s">
        <v>135</v>
      </c>
      <c r="F420" s="502" t="s">
        <v>2309</v>
      </c>
      <c r="G420" s="502" t="s">
        <v>2310</v>
      </c>
      <c r="H420" s="502" t="s">
        <v>137</v>
      </c>
      <c r="I420" s="502" t="s">
        <v>10</v>
      </c>
      <c r="J420" s="502" t="s">
        <v>2306</v>
      </c>
      <c r="K420" s="63">
        <v>2200</v>
      </c>
      <c r="L420" s="63">
        <v>17000</v>
      </c>
      <c r="M420" s="63">
        <v>0</v>
      </c>
      <c r="N420" s="63"/>
      <c r="O420" s="63">
        <v>17000</v>
      </c>
      <c r="P420" s="63"/>
      <c r="Q420" s="63"/>
      <c r="R420" s="302">
        <f t="shared" si="6"/>
        <v>0</v>
      </c>
    </row>
    <row r="421" spans="1:18" ht="19.5" customHeight="1">
      <c r="A421" s="299" t="s">
        <v>6474</v>
      </c>
      <c r="B421" s="309" t="s">
        <v>2308</v>
      </c>
      <c r="C421" s="309"/>
      <c r="D421" s="309"/>
      <c r="E421" s="309" t="s">
        <v>135</v>
      </c>
      <c r="F421" s="309" t="s">
        <v>2309</v>
      </c>
      <c r="G421" s="309" t="s">
        <v>2310</v>
      </c>
      <c r="H421" s="309" t="s">
        <v>137</v>
      </c>
      <c r="I421" s="309" t="s">
        <v>11</v>
      </c>
      <c r="J421" s="309" t="s">
        <v>9019</v>
      </c>
      <c r="K421" s="63">
        <v>2047</v>
      </c>
      <c r="L421" s="310">
        <v>0</v>
      </c>
      <c r="M421" s="302">
        <v>5000</v>
      </c>
      <c r="N421" s="303"/>
      <c r="O421" s="302">
        <v>4982</v>
      </c>
      <c r="P421" s="302"/>
      <c r="Q421" s="303"/>
      <c r="R421" s="302">
        <f t="shared" si="6"/>
        <v>18</v>
      </c>
    </row>
    <row r="422" spans="1:18" ht="19.5" customHeight="1">
      <c r="A422" s="304" t="s">
        <v>6476</v>
      </c>
      <c r="B422" s="309" t="s">
        <v>2313</v>
      </c>
      <c r="C422" s="309"/>
      <c r="D422" s="309"/>
      <c r="E422" s="309" t="s">
        <v>8731</v>
      </c>
      <c r="F422" s="309" t="s">
        <v>8733</v>
      </c>
      <c r="G422" s="309" t="s">
        <v>2310</v>
      </c>
      <c r="H422" s="309" t="s">
        <v>8730</v>
      </c>
      <c r="I422" s="309" t="s">
        <v>11</v>
      </c>
      <c r="J422" s="309" t="s">
        <v>9019</v>
      </c>
      <c r="K422" s="63">
        <v>2280</v>
      </c>
      <c r="L422" s="310">
        <v>0</v>
      </c>
      <c r="M422" s="302">
        <v>10000</v>
      </c>
      <c r="N422" s="303"/>
      <c r="O422" s="302">
        <v>1564</v>
      </c>
      <c r="P422" s="302"/>
      <c r="Q422" s="303"/>
      <c r="R422" s="302">
        <f t="shared" si="6"/>
        <v>8436</v>
      </c>
    </row>
    <row r="423" spans="1:18" ht="19.5" customHeight="1">
      <c r="A423" s="304" t="s">
        <v>6477</v>
      </c>
      <c r="B423" s="11" t="s">
        <v>2195</v>
      </c>
      <c r="C423" s="11"/>
      <c r="D423" s="11"/>
      <c r="E423" s="116" t="s">
        <v>138</v>
      </c>
      <c r="F423" s="116" t="s">
        <v>2197</v>
      </c>
      <c r="G423" s="116" t="s">
        <v>2194</v>
      </c>
      <c r="H423" s="116" t="s">
        <v>139</v>
      </c>
      <c r="I423" s="116" t="s">
        <v>10</v>
      </c>
      <c r="J423" s="116" t="s">
        <v>2196</v>
      </c>
      <c r="K423" s="63">
        <v>154</v>
      </c>
      <c r="L423" s="63">
        <v>74400</v>
      </c>
      <c r="M423" s="63">
        <v>0</v>
      </c>
      <c r="N423" s="63"/>
      <c r="O423" s="63">
        <v>74400</v>
      </c>
      <c r="P423" s="63"/>
      <c r="Q423" s="63"/>
      <c r="R423" s="302">
        <f t="shared" si="6"/>
        <v>0</v>
      </c>
    </row>
    <row r="424" spans="1:18" ht="19.5" customHeight="1">
      <c r="A424" s="299" t="s">
        <v>6480</v>
      </c>
      <c r="B424" s="11" t="s">
        <v>11404</v>
      </c>
      <c r="C424" s="4"/>
      <c r="D424" s="4"/>
      <c r="E424" s="116" t="s">
        <v>2170</v>
      </c>
      <c r="F424" s="117" t="s">
        <v>2173</v>
      </c>
      <c r="G424" s="117" t="s">
        <v>2174</v>
      </c>
      <c r="H424" s="117" t="s">
        <v>142</v>
      </c>
      <c r="I424" s="117" t="s">
        <v>10</v>
      </c>
      <c r="J424" s="117" t="s">
        <v>2172</v>
      </c>
      <c r="K424" s="63">
        <v>635</v>
      </c>
      <c r="L424" s="63">
        <v>84000</v>
      </c>
      <c r="M424" s="63">
        <v>0</v>
      </c>
      <c r="N424" s="63"/>
      <c r="O424" s="63">
        <v>47365</v>
      </c>
      <c r="P424" s="63"/>
      <c r="Q424" s="63"/>
      <c r="R424" s="302">
        <f t="shared" si="6"/>
        <v>36635</v>
      </c>
    </row>
    <row r="425" spans="1:18" ht="19.5" customHeight="1">
      <c r="A425" s="2">
        <v>84</v>
      </c>
      <c r="B425" s="67" t="s">
        <v>2311</v>
      </c>
      <c r="C425" s="11"/>
      <c r="D425" s="11"/>
      <c r="E425" s="116" t="s">
        <v>140</v>
      </c>
      <c r="F425" s="502" t="s">
        <v>2312</v>
      </c>
      <c r="G425" s="502" t="s">
        <v>2310</v>
      </c>
      <c r="H425" s="502" t="s">
        <v>142</v>
      </c>
      <c r="I425" s="502" t="s">
        <v>10</v>
      </c>
      <c r="J425" s="502" t="s">
        <v>2306</v>
      </c>
      <c r="K425" s="63">
        <v>1490</v>
      </c>
      <c r="L425" s="63">
        <v>25810</v>
      </c>
      <c r="M425" s="63">
        <v>0</v>
      </c>
      <c r="N425" s="63"/>
      <c r="O425" s="63">
        <v>25810</v>
      </c>
      <c r="P425" s="63"/>
      <c r="Q425" s="63"/>
      <c r="R425" s="302">
        <f t="shared" si="6"/>
        <v>0</v>
      </c>
    </row>
    <row r="426" spans="1:18" ht="19.5" customHeight="1">
      <c r="A426" s="299" t="s">
        <v>6482</v>
      </c>
      <c r="B426" s="309" t="s">
        <v>8708</v>
      </c>
      <c r="C426" s="309"/>
      <c r="D426" s="309"/>
      <c r="E426" s="309" t="s">
        <v>8710</v>
      </c>
      <c r="F426" s="309" t="s">
        <v>8712</v>
      </c>
      <c r="G426" s="309" t="s">
        <v>2310</v>
      </c>
      <c r="H426" s="309" t="s">
        <v>8709</v>
      </c>
      <c r="I426" s="309" t="s">
        <v>13</v>
      </c>
      <c r="J426" s="309" t="s">
        <v>9025</v>
      </c>
      <c r="K426" s="63">
        <v>7000</v>
      </c>
      <c r="L426" s="310">
        <v>0</v>
      </c>
      <c r="M426" s="302">
        <v>3000</v>
      </c>
      <c r="N426" s="303"/>
      <c r="O426" s="302">
        <v>1391</v>
      </c>
      <c r="P426" s="302"/>
      <c r="Q426" s="303"/>
      <c r="R426" s="302">
        <f t="shared" si="6"/>
        <v>1609</v>
      </c>
    </row>
    <row r="427" spans="1:18" ht="19.5" customHeight="1">
      <c r="A427" s="304" t="s">
        <v>6485</v>
      </c>
      <c r="B427" s="305" t="s">
        <v>4131</v>
      </c>
      <c r="C427" s="305"/>
      <c r="D427" s="305"/>
      <c r="E427" s="305" t="s">
        <v>4130</v>
      </c>
      <c r="F427" s="305" t="s">
        <v>6675</v>
      </c>
      <c r="G427" s="305" t="s">
        <v>6676</v>
      </c>
      <c r="H427" s="305" t="s">
        <v>753</v>
      </c>
      <c r="I427" s="305" t="s">
        <v>11</v>
      </c>
      <c r="J427" s="305" t="s">
        <v>8976</v>
      </c>
      <c r="K427" s="119">
        <v>4200</v>
      </c>
      <c r="L427" s="119">
        <v>0</v>
      </c>
      <c r="M427" s="302">
        <v>5000</v>
      </c>
      <c r="N427" s="303"/>
      <c r="O427" s="302">
        <v>57</v>
      </c>
      <c r="P427" s="302"/>
      <c r="Q427" s="303"/>
      <c r="R427" s="302">
        <f t="shared" si="6"/>
        <v>4943</v>
      </c>
    </row>
    <row r="428" spans="1:18" ht="19.5" customHeight="1">
      <c r="A428" s="304" t="s">
        <v>6490</v>
      </c>
      <c r="B428" s="67" t="s">
        <v>2507</v>
      </c>
      <c r="C428" s="11"/>
      <c r="D428" s="11"/>
      <c r="E428" s="116" t="s">
        <v>1950</v>
      </c>
      <c r="F428" s="116" t="s">
        <v>1952</v>
      </c>
      <c r="G428" s="116" t="s">
        <v>1953</v>
      </c>
      <c r="H428" s="116" t="s">
        <v>1951</v>
      </c>
      <c r="I428" s="116" t="s">
        <v>13</v>
      </c>
      <c r="J428" s="116" t="s">
        <v>1106</v>
      </c>
      <c r="K428" s="63">
        <v>2184</v>
      </c>
      <c r="L428" s="63">
        <v>4026</v>
      </c>
      <c r="M428" s="63">
        <v>20</v>
      </c>
      <c r="N428" s="63"/>
      <c r="O428" s="63">
        <v>4046</v>
      </c>
      <c r="P428" s="63"/>
      <c r="Q428" s="63"/>
      <c r="R428" s="302">
        <f t="shared" si="6"/>
        <v>0</v>
      </c>
    </row>
    <row r="429" spans="1:18" ht="19.5" customHeight="1">
      <c r="A429" s="299" t="s">
        <v>6494</v>
      </c>
      <c r="B429" s="305" t="s">
        <v>3793</v>
      </c>
      <c r="C429" s="305"/>
      <c r="D429" s="305"/>
      <c r="E429" s="305" t="s">
        <v>8036</v>
      </c>
      <c r="F429" s="305" t="s">
        <v>8038</v>
      </c>
      <c r="G429" s="305" t="s">
        <v>7011</v>
      </c>
      <c r="H429" s="305" t="s">
        <v>4134</v>
      </c>
      <c r="I429" s="305" t="s">
        <v>12</v>
      </c>
      <c r="J429" s="305" t="s">
        <v>2660</v>
      </c>
      <c r="K429" s="119">
        <v>720</v>
      </c>
      <c r="L429" s="119">
        <v>0</v>
      </c>
      <c r="M429" s="302">
        <v>4000</v>
      </c>
      <c r="N429" s="303"/>
      <c r="O429" s="302">
        <v>4000</v>
      </c>
      <c r="P429" s="302"/>
      <c r="Q429" s="303"/>
      <c r="R429" s="302">
        <f t="shared" si="6"/>
        <v>0</v>
      </c>
    </row>
    <row r="430" spans="1:18" ht="19.5" customHeight="1">
      <c r="A430" s="2">
        <v>85</v>
      </c>
      <c r="B430" s="11" t="s">
        <v>3101</v>
      </c>
      <c r="C430" s="11"/>
      <c r="D430" s="11"/>
      <c r="E430" s="116" t="s">
        <v>2568</v>
      </c>
      <c r="F430" s="116" t="s">
        <v>3102</v>
      </c>
      <c r="G430" s="116" t="s">
        <v>3103</v>
      </c>
      <c r="H430" s="116" t="s">
        <v>759</v>
      </c>
      <c r="I430" s="116" t="s">
        <v>15</v>
      </c>
      <c r="J430" s="116" t="s">
        <v>3104</v>
      </c>
      <c r="K430" s="63">
        <v>6790</v>
      </c>
      <c r="L430" s="63">
        <v>302</v>
      </c>
      <c r="M430" s="63">
        <v>1</v>
      </c>
      <c r="N430" s="63"/>
      <c r="O430" s="63">
        <v>303</v>
      </c>
      <c r="P430" s="63"/>
      <c r="Q430" s="63"/>
      <c r="R430" s="302">
        <f t="shared" si="6"/>
        <v>0</v>
      </c>
    </row>
    <row r="431" spans="1:18" ht="19.5" customHeight="1">
      <c r="A431" s="299" t="s">
        <v>6497</v>
      </c>
      <c r="B431" s="305" t="s">
        <v>6412</v>
      </c>
      <c r="C431" s="305"/>
      <c r="D431" s="305"/>
      <c r="E431" s="305" t="s">
        <v>4136</v>
      </c>
      <c r="F431" s="305" t="s">
        <v>896</v>
      </c>
      <c r="G431" s="305" t="s">
        <v>6414</v>
      </c>
      <c r="H431" s="305" t="s">
        <v>4138</v>
      </c>
      <c r="I431" s="305" t="s">
        <v>4139</v>
      </c>
      <c r="J431" s="305" t="s">
        <v>8997</v>
      </c>
      <c r="K431" s="119">
        <v>276500</v>
      </c>
      <c r="L431" s="119">
        <v>0</v>
      </c>
      <c r="M431" s="302">
        <v>1300</v>
      </c>
      <c r="N431" s="303"/>
      <c r="O431" s="302">
        <v>832</v>
      </c>
      <c r="P431" s="302"/>
      <c r="Q431" s="303"/>
      <c r="R431" s="302">
        <f t="shared" si="6"/>
        <v>468</v>
      </c>
    </row>
    <row r="432" spans="1:18" ht="19.5" customHeight="1">
      <c r="A432" s="304" t="s">
        <v>6499</v>
      </c>
      <c r="B432" s="67" t="s">
        <v>893</v>
      </c>
      <c r="C432" s="11"/>
      <c r="D432" s="11"/>
      <c r="E432" s="502" t="s">
        <v>982</v>
      </c>
      <c r="F432" s="502" t="s">
        <v>896</v>
      </c>
      <c r="G432" s="502" t="s">
        <v>897</v>
      </c>
      <c r="H432" s="502" t="s">
        <v>894</v>
      </c>
      <c r="I432" s="502" t="s">
        <v>898</v>
      </c>
      <c r="J432" s="502" t="s">
        <v>895</v>
      </c>
      <c r="K432" s="63">
        <v>277000</v>
      </c>
      <c r="L432" s="63">
        <v>417</v>
      </c>
      <c r="M432" s="63">
        <v>0</v>
      </c>
      <c r="N432" s="63"/>
      <c r="O432" s="63">
        <v>417</v>
      </c>
      <c r="P432" s="63"/>
      <c r="Q432" s="63"/>
      <c r="R432" s="302">
        <f t="shared" si="6"/>
        <v>0</v>
      </c>
    </row>
    <row r="433" spans="1:18" ht="19.5" customHeight="1">
      <c r="A433" s="304" t="s">
        <v>6507</v>
      </c>
      <c r="B433" s="65" t="s">
        <v>622</v>
      </c>
      <c r="C433" s="11"/>
      <c r="D433" s="11"/>
      <c r="E433" s="504" t="s">
        <v>3105</v>
      </c>
      <c r="F433" s="116" t="s">
        <v>3106</v>
      </c>
      <c r="G433" s="116" t="s">
        <v>3107</v>
      </c>
      <c r="H433" s="504" t="s">
        <v>299</v>
      </c>
      <c r="I433" s="116" t="s">
        <v>11</v>
      </c>
      <c r="J433" s="116" t="s">
        <v>842</v>
      </c>
      <c r="K433" s="63">
        <v>2270</v>
      </c>
      <c r="L433" s="63">
        <v>171</v>
      </c>
      <c r="M433" s="63">
        <v>0</v>
      </c>
      <c r="N433" s="63"/>
      <c r="O433" s="63">
        <v>171</v>
      </c>
      <c r="P433" s="63"/>
      <c r="Q433" s="63"/>
      <c r="R433" s="302">
        <f t="shared" si="6"/>
        <v>0</v>
      </c>
    </row>
    <row r="434" spans="1:18" ht="19.5" customHeight="1">
      <c r="A434" s="299" t="s">
        <v>6511</v>
      </c>
      <c r="B434" s="11" t="s">
        <v>1352</v>
      </c>
      <c r="C434" s="4"/>
      <c r="D434" s="4"/>
      <c r="E434" s="116" t="s">
        <v>1798</v>
      </c>
      <c r="F434" s="117" t="s">
        <v>1799</v>
      </c>
      <c r="G434" s="117" t="s">
        <v>1797</v>
      </c>
      <c r="H434" s="117" t="s">
        <v>327</v>
      </c>
      <c r="I434" s="117" t="s">
        <v>11</v>
      </c>
      <c r="J434" s="117" t="s">
        <v>647</v>
      </c>
      <c r="K434" s="63">
        <v>5985</v>
      </c>
      <c r="L434" s="63">
        <v>4980</v>
      </c>
      <c r="M434" s="63">
        <v>0</v>
      </c>
      <c r="N434" s="63"/>
      <c r="O434" s="63">
        <v>4979</v>
      </c>
      <c r="P434" s="63"/>
      <c r="Q434" s="63"/>
      <c r="R434" s="302">
        <f t="shared" si="6"/>
        <v>1</v>
      </c>
    </row>
    <row r="435" spans="1:18" ht="19.5" customHeight="1">
      <c r="A435" s="2">
        <v>86</v>
      </c>
      <c r="B435" s="305" t="s">
        <v>4145</v>
      </c>
      <c r="C435" s="305"/>
      <c r="D435" s="305"/>
      <c r="E435" s="305" t="s">
        <v>4144</v>
      </c>
      <c r="F435" s="305" t="s">
        <v>5836</v>
      </c>
      <c r="G435" s="305" t="s">
        <v>5837</v>
      </c>
      <c r="H435" s="305" t="s">
        <v>733</v>
      </c>
      <c r="I435" s="305" t="s">
        <v>520</v>
      </c>
      <c r="J435" s="305" t="s">
        <v>8988</v>
      </c>
      <c r="K435" s="119">
        <v>35000</v>
      </c>
      <c r="L435" s="119">
        <v>0</v>
      </c>
      <c r="M435" s="302">
        <v>11</v>
      </c>
      <c r="N435" s="303"/>
      <c r="O435" s="302">
        <v>11</v>
      </c>
      <c r="P435" s="302"/>
      <c r="Q435" s="303"/>
      <c r="R435" s="302">
        <f t="shared" si="6"/>
        <v>0</v>
      </c>
    </row>
    <row r="436" spans="1:18" ht="19.5" customHeight="1">
      <c r="A436" s="299" t="s">
        <v>6512</v>
      </c>
      <c r="B436" s="307" t="s">
        <v>5237</v>
      </c>
      <c r="C436" s="307"/>
      <c r="D436" s="307"/>
      <c r="E436" s="116" t="s">
        <v>3621</v>
      </c>
      <c r="F436" s="116" t="s">
        <v>420</v>
      </c>
      <c r="G436" s="116" t="s">
        <v>414</v>
      </c>
      <c r="H436" s="116" t="s">
        <v>4868</v>
      </c>
      <c r="I436" s="531" t="s">
        <v>18</v>
      </c>
      <c r="J436" s="116" t="s">
        <v>241</v>
      </c>
      <c r="K436" s="118">
        <v>438</v>
      </c>
      <c r="L436" s="308">
        <v>771</v>
      </c>
      <c r="M436" s="302">
        <v>2500</v>
      </c>
      <c r="N436" s="303"/>
      <c r="O436" s="302">
        <f>761+1169+500</f>
        <v>2430</v>
      </c>
      <c r="P436" s="302">
        <f>500+595+300</f>
        <v>1395</v>
      </c>
      <c r="Q436" s="303"/>
      <c r="R436" s="302">
        <f t="shared" si="6"/>
        <v>841</v>
      </c>
    </row>
    <row r="437" spans="1:18" ht="19.5" customHeight="1">
      <c r="A437" s="304" t="s">
        <v>6516</v>
      </c>
      <c r="B437" s="11" t="s">
        <v>2509</v>
      </c>
      <c r="C437" s="11"/>
      <c r="D437" s="11"/>
      <c r="E437" s="116" t="s">
        <v>2508</v>
      </c>
      <c r="F437" s="116" t="s">
        <v>420</v>
      </c>
      <c r="G437" s="116" t="s">
        <v>414</v>
      </c>
      <c r="H437" s="116" t="s">
        <v>2510</v>
      </c>
      <c r="I437" s="116" t="s">
        <v>520</v>
      </c>
      <c r="J437" s="116" t="s">
        <v>3108</v>
      </c>
      <c r="K437" s="63">
        <v>503</v>
      </c>
      <c r="L437" s="63">
        <v>10</v>
      </c>
      <c r="M437" s="63">
        <v>0</v>
      </c>
      <c r="N437" s="63"/>
      <c r="O437" s="63">
        <v>10</v>
      </c>
      <c r="P437" s="63"/>
      <c r="Q437" s="63"/>
      <c r="R437" s="302">
        <f t="shared" si="6"/>
        <v>0</v>
      </c>
    </row>
    <row r="438" spans="1:18" ht="19.5" customHeight="1">
      <c r="A438" s="304" t="s">
        <v>6523</v>
      </c>
      <c r="B438" s="309" t="s">
        <v>2294</v>
      </c>
      <c r="C438" s="309"/>
      <c r="D438" s="309"/>
      <c r="E438" s="309" t="s">
        <v>145</v>
      </c>
      <c r="F438" s="309" t="s">
        <v>2295</v>
      </c>
      <c r="G438" s="309" t="s">
        <v>2253</v>
      </c>
      <c r="H438" s="309" t="s">
        <v>147</v>
      </c>
      <c r="I438" s="309" t="s">
        <v>11</v>
      </c>
      <c r="J438" s="309" t="s">
        <v>9019</v>
      </c>
      <c r="K438" s="63">
        <v>1200</v>
      </c>
      <c r="L438" s="310">
        <v>3</v>
      </c>
      <c r="M438" s="302">
        <v>9600</v>
      </c>
      <c r="N438" s="303"/>
      <c r="O438" s="302">
        <v>3450</v>
      </c>
      <c r="P438" s="302"/>
      <c r="Q438" s="303"/>
      <c r="R438" s="302">
        <f t="shared" si="6"/>
        <v>6153</v>
      </c>
    </row>
    <row r="439" spans="1:18" ht="19.5" customHeight="1">
      <c r="A439" s="299" t="s">
        <v>6528</v>
      </c>
      <c r="B439" s="67" t="s">
        <v>556</v>
      </c>
      <c r="C439" s="11"/>
      <c r="D439" s="11"/>
      <c r="E439" s="116" t="s">
        <v>1980</v>
      </c>
      <c r="F439" s="116" t="s">
        <v>1981</v>
      </c>
      <c r="G439" s="116" t="s">
        <v>1946</v>
      </c>
      <c r="H439" s="116" t="s">
        <v>238</v>
      </c>
      <c r="I439" s="116" t="s">
        <v>11</v>
      </c>
      <c r="J439" s="116" t="s">
        <v>842</v>
      </c>
      <c r="K439" s="63">
        <v>460</v>
      </c>
      <c r="L439" s="63">
        <v>1375</v>
      </c>
      <c r="M439" s="63">
        <v>0</v>
      </c>
      <c r="N439" s="63"/>
      <c r="O439" s="63">
        <v>1375</v>
      </c>
      <c r="P439" s="63"/>
      <c r="Q439" s="63"/>
      <c r="R439" s="302">
        <f t="shared" si="6"/>
        <v>0</v>
      </c>
    </row>
    <row r="440" spans="1:18" ht="19.5" customHeight="1">
      <c r="A440" s="2">
        <v>87</v>
      </c>
      <c r="B440" s="463" t="s">
        <v>556</v>
      </c>
      <c r="C440" s="463"/>
      <c r="D440" s="463"/>
      <c r="E440" s="463" t="s">
        <v>3622</v>
      </c>
      <c r="F440" s="463" t="s">
        <v>6114</v>
      </c>
      <c r="G440" s="463" t="s">
        <v>6115</v>
      </c>
      <c r="H440" s="463" t="s">
        <v>238</v>
      </c>
      <c r="I440" s="463" t="s">
        <v>11</v>
      </c>
      <c r="J440" s="463" t="s">
        <v>642</v>
      </c>
      <c r="K440" s="119">
        <v>2300</v>
      </c>
      <c r="L440" s="119">
        <v>9846</v>
      </c>
      <c r="M440" s="303">
        <v>0</v>
      </c>
      <c r="N440" s="303"/>
      <c r="O440" s="303">
        <v>9846</v>
      </c>
      <c r="P440" s="303"/>
      <c r="Q440" s="303"/>
      <c r="R440" s="302">
        <f t="shared" si="6"/>
        <v>0</v>
      </c>
    </row>
    <row r="441" spans="1:18" ht="19.5" customHeight="1">
      <c r="A441" s="299" t="s">
        <v>6533</v>
      </c>
      <c r="B441" s="305" t="s">
        <v>649</v>
      </c>
      <c r="C441" s="305"/>
      <c r="D441" s="305"/>
      <c r="E441" s="305" t="s">
        <v>650</v>
      </c>
      <c r="F441" s="305" t="s">
        <v>6075</v>
      </c>
      <c r="G441" s="305" t="s">
        <v>245</v>
      </c>
      <c r="H441" s="305" t="s">
        <v>651</v>
      </c>
      <c r="I441" s="305" t="s">
        <v>11</v>
      </c>
      <c r="J441" s="116" t="s">
        <v>859</v>
      </c>
      <c r="K441" s="119">
        <v>4725</v>
      </c>
      <c r="L441" s="119">
        <v>0</v>
      </c>
      <c r="M441" s="302">
        <v>3000</v>
      </c>
      <c r="N441" s="303"/>
      <c r="O441" s="302">
        <v>2563</v>
      </c>
      <c r="P441" s="302"/>
      <c r="Q441" s="303"/>
      <c r="R441" s="302">
        <f t="shared" si="6"/>
        <v>437</v>
      </c>
    </row>
    <row r="442" spans="1:18" ht="19.5" customHeight="1">
      <c r="A442" s="304" t="s">
        <v>6537</v>
      </c>
      <c r="B442" s="307" t="s">
        <v>221</v>
      </c>
      <c r="C442" s="307"/>
      <c r="D442" s="307"/>
      <c r="E442" s="116" t="s">
        <v>4873</v>
      </c>
      <c r="F442" s="116" t="s">
        <v>223</v>
      </c>
      <c r="G442" s="116" t="s">
        <v>215</v>
      </c>
      <c r="H442" s="116" t="s">
        <v>222</v>
      </c>
      <c r="I442" s="531" t="s">
        <v>10</v>
      </c>
      <c r="J442" s="116" t="s">
        <v>1329</v>
      </c>
      <c r="K442" s="118">
        <v>115</v>
      </c>
      <c r="L442" s="308">
        <v>122</v>
      </c>
      <c r="M442" s="302">
        <v>2200</v>
      </c>
      <c r="N442" s="303"/>
      <c r="O442" s="302">
        <v>2322</v>
      </c>
      <c r="P442" s="302"/>
      <c r="Q442" s="303"/>
      <c r="R442" s="302">
        <f t="shared" si="6"/>
        <v>0</v>
      </c>
    </row>
    <row r="443" spans="1:18" ht="19.5" customHeight="1">
      <c r="A443" s="304" t="s">
        <v>6542</v>
      </c>
      <c r="B443" s="307" t="s">
        <v>221</v>
      </c>
      <c r="C443" s="307"/>
      <c r="D443" s="307"/>
      <c r="E443" s="116" t="s">
        <v>221</v>
      </c>
      <c r="F443" s="116" t="s">
        <v>380</v>
      </c>
      <c r="G443" s="116" t="s">
        <v>360</v>
      </c>
      <c r="H443" s="116" t="s">
        <v>222</v>
      </c>
      <c r="I443" s="531" t="s">
        <v>10</v>
      </c>
      <c r="J443" s="116" t="s">
        <v>1329</v>
      </c>
      <c r="K443" s="118">
        <v>123</v>
      </c>
      <c r="L443" s="308">
        <v>2741</v>
      </c>
      <c r="M443" s="302">
        <v>3600</v>
      </c>
      <c r="N443" s="303"/>
      <c r="O443" s="302">
        <f>2006+300+2300</f>
        <v>4606</v>
      </c>
      <c r="P443" s="302">
        <v>157</v>
      </c>
      <c r="Q443" s="303"/>
      <c r="R443" s="302">
        <f t="shared" si="6"/>
        <v>1735</v>
      </c>
    </row>
    <row r="444" spans="1:18" ht="19.5" customHeight="1">
      <c r="A444" s="299" t="s">
        <v>6547</v>
      </c>
      <c r="B444" s="11" t="s">
        <v>1488</v>
      </c>
      <c r="C444" s="11"/>
      <c r="D444" s="11"/>
      <c r="E444" s="116" t="s">
        <v>1489</v>
      </c>
      <c r="F444" s="116" t="s">
        <v>1490</v>
      </c>
      <c r="G444" s="116" t="s">
        <v>1485</v>
      </c>
      <c r="H444" s="116" t="s">
        <v>1173</v>
      </c>
      <c r="I444" s="116" t="s">
        <v>10</v>
      </c>
      <c r="J444" s="116" t="s">
        <v>623</v>
      </c>
      <c r="K444" s="63">
        <v>4925</v>
      </c>
      <c r="L444" s="63">
        <v>134</v>
      </c>
      <c r="M444" s="63">
        <v>6</v>
      </c>
      <c r="N444" s="63"/>
      <c r="O444" s="63">
        <v>140</v>
      </c>
      <c r="P444" s="63"/>
      <c r="Q444" s="63"/>
      <c r="R444" s="302">
        <f t="shared" si="6"/>
        <v>0</v>
      </c>
    </row>
    <row r="445" spans="1:18" ht="19.5" customHeight="1">
      <c r="A445" s="2">
        <v>88</v>
      </c>
      <c r="B445" s="67" t="s">
        <v>645</v>
      </c>
      <c r="C445" s="11"/>
      <c r="D445" s="11"/>
      <c r="E445" s="116" t="s">
        <v>646</v>
      </c>
      <c r="F445" s="116" t="s">
        <v>648</v>
      </c>
      <c r="G445" s="116" t="s">
        <v>644</v>
      </c>
      <c r="H445" s="116" t="s">
        <v>248</v>
      </c>
      <c r="I445" s="116" t="s">
        <v>10</v>
      </c>
      <c r="J445" s="116" t="s">
        <v>647</v>
      </c>
      <c r="K445" s="63">
        <v>225</v>
      </c>
      <c r="L445" s="63">
        <v>28</v>
      </c>
      <c r="M445" s="63"/>
      <c r="N445" s="63"/>
      <c r="O445" s="63"/>
      <c r="P445" s="63"/>
      <c r="Q445" s="63"/>
      <c r="R445" s="302">
        <f t="shared" si="6"/>
        <v>28</v>
      </c>
    </row>
    <row r="446" spans="1:18" ht="19.5" customHeight="1">
      <c r="A446" s="299" t="s">
        <v>6553</v>
      </c>
      <c r="B446" s="11" t="s">
        <v>645</v>
      </c>
      <c r="C446" s="11"/>
      <c r="D446" s="11"/>
      <c r="E446" s="116" t="s">
        <v>1286</v>
      </c>
      <c r="F446" s="116" t="s">
        <v>1287</v>
      </c>
      <c r="G446" s="116" t="s">
        <v>1288</v>
      </c>
      <c r="H446" s="116" t="s">
        <v>248</v>
      </c>
      <c r="I446" s="116" t="s">
        <v>10</v>
      </c>
      <c r="J446" s="116" t="s">
        <v>647</v>
      </c>
      <c r="K446" s="63">
        <v>750</v>
      </c>
      <c r="L446" s="63">
        <v>277</v>
      </c>
      <c r="M446" s="63">
        <v>1</v>
      </c>
      <c r="N446" s="63"/>
      <c r="O446" s="63">
        <v>278</v>
      </c>
      <c r="P446" s="63"/>
      <c r="Q446" s="63"/>
      <c r="R446" s="302">
        <f t="shared" si="6"/>
        <v>0</v>
      </c>
    </row>
    <row r="447" spans="1:18" ht="19.5" customHeight="1">
      <c r="A447" s="304" t="s">
        <v>6558</v>
      </c>
      <c r="B447" s="305" t="s">
        <v>645</v>
      </c>
      <c r="C447" s="305"/>
      <c r="D447" s="305"/>
      <c r="E447" s="305" t="s">
        <v>4149</v>
      </c>
      <c r="F447" s="305" t="s">
        <v>6724</v>
      </c>
      <c r="G447" s="305" t="s">
        <v>6102</v>
      </c>
      <c r="H447" s="305" t="s">
        <v>248</v>
      </c>
      <c r="I447" s="305" t="s">
        <v>11</v>
      </c>
      <c r="J447" s="116" t="s">
        <v>1066</v>
      </c>
      <c r="K447" s="119">
        <v>700</v>
      </c>
      <c r="L447" s="119">
        <v>0</v>
      </c>
      <c r="M447" s="302">
        <f>1200+3780</f>
        <v>4980</v>
      </c>
      <c r="N447" s="303"/>
      <c r="O447" s="302">
        <f>1200+3780</f>
        <v>4980</v>
      </c>
      <c r="P447" s="302"/>
      <c r="Q447" s="303"/>
      <c r="R447" s="302">
        <f t="shared" si="6"/>
        <v>0</v>
      </c>
    </row>
    <row r="448" spans="1:18" ht="19.5" customHeight="1">
      <c r="A448" s="304" t="s">
        <v>6565</v>
      </c>
      <c r="B448" s="11" t="s">
        <v>256</v>
      </c>
      <c r="C448" s="4"/>
      <c r="D448" s="4"/>
      <c r="E448" s="116" t="s">
        <v>1274</v>
      </c>
      <c r="F448" s="117" t="s">
        <v>1275</v>
      </c>
      <c r="G448" s="117" t="s">
        <v>1276</v>
      </c>
      <c r="H448" s="117" t="s">
        <v>296</v>
      </c>
      <c r="I448" s="117" t="s">
        <v>12</v>
      </c>
      <c r="J448" s="117" t="s">
        <v>1267</v>
      </c>
      <c r="K448" s="63">
        <v>6800</v>
      </c>
      <c r="L448" s="63">
        <f>10400+4655</f>
        <v>15055</v>
      </c>
      <c r="M448" s="63">
        <v>0</v>
      </c>
      <c r="N448" s="63"/>
      <c r="O448" s="63">
        <f>4615+2201</f>
        <v>6816</v>
      </c>
      <c r="P448" s="63"/>
      <c r="Q448" s="63"/>
      <c r="R448" s="302">
        <f t="shared" si="6"/>
        <v>8239</v>
      </c>
    </row>
    <row r="449" spans="1:18" ht="19.5" customHeight="1">
      <c r="A449" s="299" t="s">
        <v>6569</v>
      </c>
      <c r="B449" s="305" t="s">
        <v>1668</v>
      </c>
      <c r="C449" s="305"/>
      <c r="D449" s="305"/>
      <c r="E449" s="305" t="s">
        <v>4151</v>
      </c>
      <c r="F449" s="305" t="s">
        <v>7516</v>
      </c>
      <c r="G449" s="305" t="s">
        <v>1449</v>
      </c>
      <c r="H449" s="305" t="s">
        <v>869</v>
      </c>
      <c r="I449" s="305" t="s">
        <v>11</v>
      </c>
      <c r="J449" s="116" t="s">
        <v>859</v>
      </c>
      <c r="K449" s="119">
        <v>542</v>
      </c>
      <c r="L449" s="119">
        <v>0</v>
      </c>
      <c r="M449" s="302">
        <v>13000</v>
      </c>
      <c r="N449" s="303"/>
      <c r="O449" s="302">
        <v>10000</v>
      </c>
      <c r="P449" s="302"/>
      <c r="Q449" s="303"/>
      <c r="R449" s="302">
        <f t="shared" si="6"/>
        <v>3000</v>
      </c>
    </row>
    <row r="450" spans="1:18" ht="19.5" customHeight="1">
      <c r="A450" s="2">
        <v>89</v>
      </c>
      <c r="B450" s="305" t="s">
        <v>7047</v>
      </c>
      <c r="C450" s="305"/>
      <c r="D450" s="305"/>
      <c r="E450" s="305" t="s">
        <v>4154</v>
      </c>
      <c r="F450" s="305" t="s">
        <v>7049</v>
      </c>
      <c r="G450" s="305" t="s">
        <v>6510</v>
      </c>
      <c r="H450" s="305" t="s">
        <v>4156</v>
      </c>
      <c r="I450" s="305" t="s">
        <v>520</v>
      </c>
      <c r="J450" s="305" t="s">
        <v>8990</v>
      </c>
      <c r="K450" s="119">
        <v>2415</v>
      </c>
      <c r="L450" s="119">
        <v>0</v>
      </c>
      <c r="M450" s="302">
        <v>53</v>
      </c>
      <c r="N450" s="303"/>
      <c r="O450" s="302">
        <v>3</v>
      </c>
      <c r="P450" s="302"/>
      <c r="Q450" s="303"/>
      <c r="R450" s="302">
        <f t="shared" si="6"/>
        <v>50</v>
      </c>
    </row>
    <row r="451" spans="1:18" ht="19.5" customHeight="1">
      <c r="A451" s="299" t="s">
        <v>6572</v>
      </c>
      <c r="B451" s="305" t="s">
        <v>1636</v>
      </c>
      <c r="C451" s="305"/>
      <c r="D451" s="305"/>
      <c r="E451" s="305" t="s">
        <v>5025</v>
      </c>
      <c r="F451" s="305" t="s">
        <v>7173</v>
      </c>
      <c r="G451" s="305" t="s">
        <v>7174</v>
      </c>
      <c r="H451" s="305" t="s">
        <v>5026</v>
      </c>
      <c r="I451" s="305" t="s">
        <v>11</v>
      </c>
      <c r="J451" s="116" t="s">
        <v>1066</v>
      </c>
      <c r="K451" s="119">
        <v>125</v>
      </c>
      <c r="L451" s="119">
        <v>0</v>
      </c>
      <c r="M451" s="302">
        <v>89017</v>
      </c>
      <c r="N451" s="303"/>
      <c r="O451" s="302">
        <v>58497</v>
      </c>
      <c r="P451" s="302">
        <v>1146</v>
      </c>
      <c r="Q451" s="303"/>
      <c r="R451" s="302">
        <f t="shared" si="6"/>
        <v>30520</v>
      </c>
    </row>
    <row r="452" spans="1:18" ht="19.5" customHeight="1">
      <c r="A452" s="304" t="s">
        <v>6576</v>
      </c>
      <c r="B452" s="65" t="s">
        <v>2612</v>
      </c>
      <c r="C452" s="11"/>
      <c r="D452" s="11"/>
      <c r="E452" s="504" t="s">
        <v>3129</v>
      </c>
      <c r="F452" s="117" t="s">
        <v>3130</v>
      </c>
      <c r="G452" s="117" t="s">
        <v>2056</v>
      </c>
      <c r="H452" s="504" t="s">
        <v>2613</v>
      </c>
      <c r="I452" s="117" t="s">
        <v>520</v>
      </c>
      <c r="J452" s="117" t="s">
        <v>3131</v>
      </c>
      <c r="K452" s="478">
        <v>6600</v>
      </c>
      <c r="L452" s="478">
        <v>35</v>
      </c>
      <c r="M452" s="478">
        <v>0</v>
      </c>
      <c r="N452" s="478"/>
      <c r="O452" s="478">
        <v>35</v>
      </c>
      <c r="P452" s="478">
        <v>35</v>
      </c>
      <c r="Q452" s="478"/>
      <c r="R452" s="302">
        <f t="shared" si="6"/>
        <v>0</v>
      </c>
    </row>
    <row r="453" spans="1:18" ht="19.5" customHeight="1">
      <c r="A453" s="304" t="s">
        <v>6579</v>
      </c>
      <c r="B453" s="11" t="s">
        <v>2516</v>
      </c>
      <c r="C453" s="11"/>
      <c r="D453" s="11"/>
      <c r="E453" s="116" t="s">
        <v>2515</v>
      </c>
      <c r="F453" s="116" t="s">
        <v>3132</v>
      </c>
      <c r="G453" s="116" t="s">
        <v>3133</v>
      </c>
      <c r="H453" s="116" t="s">
        <v>2517</v>
      </c>
      <c r="I453" s="116" t="s">
        <v>15</v>
      </c>
      <c r="J453" s="116" t="s">
        <v>3131</v>
      </c>
      <c r="K453" s="63">
        <v>17010</v>
      </c>
      <c r="L453" s="63">
        <v>69</v>
      </c>
      <c r="M453" s="63">
        <v>0</v>
      </c>
      <c r="N453" s="63"/>
      <c r="O453" s="63">
        <v>69</v>
      </c>
      <c r="P453" s="63">
        <v>61</v>
      </c>
      <c r="Q453" s="63"/>
      <c r="R453" s="302">
        <f t="shared" si="6"/>
        <v>0</v>
      </c>
    </row>
    <row r="454" spans="1:18" ht="19.5" customHeight="1">
      <c r="A454" s="299" t="s">
        <v>6581</v>
      </c>
      <c r="B454" s="305" t="s">
        <v>2516</v>
      </c>
      <c r="C454" s="305"/>
      <c r="D454" s="305"/>
      <c r="E454" s="305" t="s">
        <v>2515</v>
      </c>
      <c r="F454" s="305" t="s">
        <v>3132</v>
      </c>
      <c r="G454" s="305" t="s">
        <v>6510</v>
      </c>
      <c r="H454" s="305" t="s">
        <v>4447</v>
      </c>
      <c r="I454" s="305" t="s">
        <v>15</v>
      </c>
      <c r="J454" s="305" t="s">
        <v>8999</v>
      </c>
      <c r="K454" s="119">
        <v>18900</v>
      </c>
      <c r="L454" s="119">
        <v>0</v>
      </c>
      <c r="M454" s="302">
        <v>50</v>
      </c>
      <c r="N454" s="303"/>
      <c r="O454" s="302">
        <v>10</v>
      </c>
      <c r="P454" s="302"/>
      <c r="Q454" s="303"/>
      <c r="R454" s="302">
        <f t="shared" si="6"/>
        <v>40</v>
      </c>
    </row>
    <row r="455" spans="1:18" ht="19.5" customHeight="1">
      <c r="A455" s="2">
        <v>90</v>
      </c>
      <c r="B455" s="305" t="s">
        <v>3793</v>
      </c>
      <c r="C455" s="305"/>
      <c r="D455" s="305"/>
      <c r="E455" s="305" t="s">
        <v>4158</v>
      </c>
      <c r="F455" s="305" t="s">
        <v>8034</v>
      </c>
      <c r="G455" s="305" t="s">
        <v>1953</v>
      </c>
      <c r="H455" s="305" t="s">
        <v>4159</v>
      </c>
      <c r="I455" s="305" t="s">
        <v>13</v>
      </c>
      <c r="J455" s="305" t="s">
        <v>2660</v>
      </c>
      <c r="K455" s="119">
        <v>1932</v>
      </c>
      <c r="L455" s="119">
        <v>0</v>
      </c>
      <c r="M455" s="302">
        <f>8103+600+3000</f>
        <v>11703</v>
      </c>
      <c r="N455" s="303"/>
      <c r="O455" s="302">
        <f>7096+600</f>
        <v>7696</v>
      </c>
      <c r="P455" s="302"/>
      <c r="Q455" s="303"/>
      <c r="R455" s="302">
        <f t="shared" si="6"/>
        <v>4007</v>
      </c>
    </row>
    <row r="456" spans="1:18" ht="19.5" customHeight="1">
      <c r="A456" s="299" t="s">
        <v>6588</v>
      </c>
      <c r="B456" s="463" t="s">
        <v>3793</v>
      </c>
      <c r="C456" s="463"/>
      <c r="D456" s="463"/>
      <c r="E456" s="463" t="s">
        <v>4158</v>
      </c>
      <c r="F456" s="463" t="s">
        <v>8034</v>
      </c>
      <c r="G456" s="463" t="s">
        <v>1953</v>
      </c>
      <c r="H456" s="463" t="s">
        <v>4159</v>
      </c>
      <c r="I456" s="463" t="s">
        <v>13</v>
      </c>
      <c r="J456" s="463" t="s">
        <v>2660</v>
      </c>
      <c r="K456" s="119">
        <v>1995</v>
      </c>
      <c r="L456" s="119">
        <v>24039</v>
      </c>
      <c r="M456" s="302">
        <v>33</v>
      </c>
      <c r="N456" s="302"/>
      <c r="O456" s="302">
        <v>24072</v>
      </c>
      <c r="P456" s="302">
        <v>9012</v>
      </c>
      <c r="Q456" s="545"/>
      <c r="R456" s="302">
        <f t="shared" si="6"/>
        <v>0</v>
      </c>
    </row>
    <row r="457" spans="1:18" ht="19.5" customHeight="1">
      <c r="A457" s="304" t="s">
        <v>6595</v>
      </c>
      <c r="B457" s="309" t="s">
        <v>4711</v>
      </c>
      <c r="C457" s="309"/>
      <c r="D457" s="309"/>
      <c r="E457" s="309" t="s">
        <v>4710</v>
      </c>
      <c r="F457" s="309" t="s">
        <v>8602</v>
      </c>
      <c r="G457" s="309" t="s">
        <v>8603</v>
      </c>
      <c r="H457" s="309" t="s">
        <v>8600</v>
      </c>
      <c r="I457" s="309" t="s">
        <v>658</v>
      </c>
      <c r="J457" s="309" t="s">
        <v>9027</v>
      </c>
      <c r="K457" s="63">
        <v>25850</v>
      </c>
      <c r="L457" s="310">
        <v>0</v>
      </c>
      <c r="M457" s="302">
        <v>300</v>
      </c>
      <c r="N457" s="303"/>
      <c r="O457" s="302">
        <v>26</v>
      </c>
      <c r="P457" s="302"/>
      <c r="Q457" s="303"/>
      <c r="R457" s="302">
        <f t="shared" si="6"/>
        <v>274</v>
      </c>
    </row>
    <row r="458" spans="1:18" ht="24" customHeight="1">
      <c r="A458" s="304" t="s">
        <v>6601</v>
      </c>
      <c r="B458" s="483" t="s">
        <v>4969</v>
      </c>
      <c r="C458" s="483"/>
      <c r="D458" s="483"/>
      <c r="E458" s="483" t="s">
        <v>4968</v>
      </c>
      <c r="F458" s="521" t="s">
        <v>8936</v>
      </c>
      <c r="G458" s="483" t="s">
        <v>8937</v>
      </c>
      <c r="H458" s="483" t="s">
        <v>8934</v>
      </c>
      <c r="I458" s="483" t="s">
        <v>14</v>
      </c>
      <c r="J458" s="483" t="s">
        <v>9034</v>
      </c>
      <c r="K458" s="485">
        <v>137550</v>
      </c>
      <c r="L458" s="355">
        <v>0</v>
      </c>
      <c r="M458" s="479">
        <v>100</v>
      </c>
      <c r="N458" s="480"/>
      <c r="O458" s="479">
        <v>100</v>
      </c>
      <c r="P458" s="479">
        <v>100</v>
      </c>
      <c r="Q458" s="480"/>
      <c r="R458" s="302">
        <f t="shared" ref="R458:R521" si="7">L458+M458-O458</f>
        <v>0</v>
      </c>
    </row>
    <row r="459" spans="1:18" ht="19.5" customHeight="1">
      <c r="A459" s="299" t="s">
        <v>6607</v>
      </c>
      <c r="B459" s="305" t="s">
        <v>1289</v>
      </c>
      <c r="C459" s="305"/>
      <c r="D459" s="305"/>
      <c r="E459" s="305" t="s">
        <v>3146</v>
      </c>
      <c r="F459" s="305" t="s">
        <v>6525</v>
      </c>
      <c r="G459" s="305" t="s">
        <v>6526</v>
      </c>
      <c r="H459" s="305" t="s">
        <v>1290</v>
      </c>
      <c r="I459" s="305" t="s">
        <v>11</v>
      </c>
      <c r="J459" s="116" t="s">
        <v>1066</v>
      </c>
      <c r="K459" s="119">
        <v>1500</v>
      </c>
      <c r="L459" s="119">
        <v>0</v>
      </c>
      <c r="M459" s="302">
        <v>4980</v>
      </c>
      <c r="N459" s="303"/>
      <c r="O459" s="302">
        <v>4980</v>
      </c>
      <c r="P459" s="302">
        <v>4980</v>
      </c>
      <c r="Q459" s="303"/>
      <c r="R459" s="302">
        <f t="shared" si="7"/>
        <v>0</v>
      </c>
    </row>
    <row r="460" spans="1:18" ht="19.5" customHeight="1">
      <c r="A460" s="2">
        <v>91</v>
      </c>
      <c r="B460" s="64" t="s">
        <v>224</v>
      </c>
      <c r="C460" s="64"/>
      <c r="D460" s="64"/>
      <c r="E460" s="512" t="s">
        <v>224</v>
      </c>
      <c r="F460" s="116" t="s">
        <v>226</v>
      </c>
      <c r="G460" s="116" t="s">
        <v>215</v>
      </c>
      <c r="H460" s="116" t="s">
        <v>225</v>
      </c>
      <c r="I460" s="116" t="s">
        <v>10</v>
      </c>
      <c r="J460" s="116" t="s">
        <v>647</v>
      </c>
      <c r="K460" s="63">
        <v>1450</v>
      </c>
      <c r="L460" s="63">
        <v>16</v>
      </c>
      <c r="M460" s="63">
        <v>250</v>
      </c>
      <c r="N460" s="63"/>
      <c r="O460" s="63">
        <v>121</v>
      </c>
      <c r="P460" s="63"/>
      <c r="Q460" s="63"/>
      <c r="R460" s="302">
        <f t="shared" si="7"/>
        <v>145</v>
      </c>
    </row>
    <row r="461" spans="1:18" ht="19.5" customHeight="1">
      <c r="A461" s="299" t="s">
        <v>6612</v>
      </c>
      <c r="B461" s="65" t="s">
        <v>1119</v>
      </c>
      <c r="C461" s="11"/>
      <c r="D461" s="11"/>
      <c r="E461" s="504" t="s">
        <v>1120</v>
      </c>
      <c r="F461" s="116" t="s">
        <v>1121</v>
      </c>
      <c r="G461" s="116" t="s">
        <v>1122</v>
      </c>
      <c r="H461" s="504" t="s">
        <v>17</v>
      </c>
      <c r="I461" s="116" t="s">
        <v>11</v>
      </c>
      <c r="J461" s="116" t="s">
        <v>814</v>
      </c>
      <c r="K461" s="63">
        <v>6750</v>
      </c>
      <c r="L461" s="63">
        <v>19980</v>
      </c>
      <c r="M461" s="63">
        <v>0</v>
      </c>
      <c r="N461" s="63"/>
      <c r="O461" s="63">
        <v>10560</v>
      </c>
      <c r="P461" s="63"/>
      <c r="Q461" s="63"/>
      <c r="R461" s="302">
        <f t="shared" si="7"/>
        <v>9420</v>
      </c>
    </row>
    <row r="462" spans="1:18" ht="19.5" customHeight="1">
      <c r="A462" s="304" t="s">
        <v>6614</v>
      </c>
      <c r="B462" s="65" t="s">
        <v>1119</v>
      </c>
      <c r="C462" s="11"/>
      <c r="D462" s="11"/>
      <c r="E462" s="504" t="s">
        <v>1120</v>
      </c>
      <c r="F462" s="116" t="s">
        <v>1121</v>
      </c>
      <c r="G462" s="116" t="s">
        <v>1122</v>
      </c>
      <c r="H462" s="504" t="s">
        <v>17</v>
      </c>
      <c r="I462" s="116" t="s">
        <v>11</v>
      </c>
      <c r="J462" s="116" t="s">
        <v>814</v>
      </c>
      <c r="K462" s="63">
        <v>6700</v>
      </c>
      <c r="L462" s="63">
        <v>4175</v>
      </c>
      <c r="M462" s="63">
        <v>0</v>
      </c>
      <c r="N462" s="63"/>
      <c r="O462" s="63">
        <v>4175</v>
      </c>
      <c r="P462" s="63"/>
      <c r="Q462" s="63"/>
      <c r="R462" s="302">
        <f t="shared" si="7"/>
        <v>0</v>
      </c>
    </row>
    <row r="463" spans="1:18" ht="19.5" customHeight="1">
      <c r="A463" s="304" t="s">
        <v>6619</v>
      </c>
      <c r="B463" s="71" t="s">
        <v>1522</v>
      </c>
      <c r="C463" s="71"/>
      <c r="D463" s="71"/>
      <c r="E463" s="513" t="s">
        <v>1711</v>
      </c>
      <c r="F463" s="513" t="s">
        <v>1712</v>
      </c>
      <c r="G463" s="513" t="s">
        <v>1698</v>
      </c>
      <c r="H463" s="513" t="s">
        <v>17</v>
      </c>
      <c r="I463" s="513" t="s">
        <v>10</v>
      </c>
      <c r="J463" s="513" t="s">
        <v>1710</v>
      </c>
      <c r="K463" s="63">
        <v>1407</v>
      </c>
      <c r="L463" s="63">
        <f>298+27824</f>
        <v>28122</v>
      </c>
      <c r="M463" s="63">
        <v>0</v>
      </c>
      <c r="N463" s="63"/>
      <c r="O463" s="63">
        <f>27804+235</f>
        <v>28039</v>
      </c>
      <c r="P463" s="63"/>
      <c r="Q463" s="63"/>
      <c r="R463" s="302">
        <f t="shared" si="7"/>
        <v>83</v>
      </c>
    </row>
    <row r="464" spans="1:18" s="134" customFormat="1" ht="15.75">
      <c r="A464" s="299" t="s">
        <v>6629</v>
      </c>
      <c r="B464" s="305" t="s">
        <v>765</v>
      </c>
      <c r="C464" s="305"/>
      <c r="D464" s="305"/>
      <c r="E464" s="305" t="s">
        <v>4165</v>
      </c>
      <c r="F464" s="305" t="s">
        <v>7565</v>
      </c>
      <c r="G464" s="305" t="s">
        <v>7566</v>
      </c>
      <c r="H464" s="305" t="s">
        <v>272</v>
      </c>
      <c r="I464" s="305" t="s">
        <v>11</v>
      </c>
      <c r="J464" s="305" t="s">
        <v>1350</v>
      </c>
      <c r="K464" s="119">
        <v>1620</v>
      </c>
      <c r="L464" s="119">
        <v>0</v>
      </c>
      <c r="M464" s="302">
        <v>1002</v>
      </c>
      <c r="N464" s="303"/>
      <c r="O464" s="302">
        <v>605</v>
      </c>
      <c r="P464" s="302"/>
      <c r="Q464" s="303"/>
      <c r="R464" s="302">
        <f t="shared" si="7"/>
        <v>397</v>
      </c>
    </row>
    <row r="465" spans="1:18" ht="19.5" customHeight="1">
      <c r="A465" s="2">
        <v>92</v>
      </c>
      <c r="B465" s="11" t="s">
        <v>765</v>
      </c>
      <c r="C465" s="11"/>
      <c r="D465" s="11"/>
      <c r="E465" s="116" t="s">
        <v>766</v>
      </c>
      <c r="F465" s="116" t="s">
        <v>3164</v>
      </c>
      <c r="G465" s="116" t="s">
        <v>769</v>
      </c>
      <c r="H465" s="116" t="s">
        <v>767</v>
      </c>
      <c r="I465" s="116" t="s">
        <v>520</v>
      </c>
      <c r="J465" s="116" t="s">
        <v>768</v>
      </c>
      <c r="K465" s="63">
        <v>10100</v>
      </c>
      <c r="L465" s="63">
        <v>8</v>
      </c>
      <c r="M465" s="63">
        <v>0</v>
      </c>
      <c r="N465" s="63"/>
      <c r="O465" s="63">
        <v>8</v>
      </c>
      <c r="P465" s="63"/>
      <c r="Q465" s="63"/>
      <c r="R465" s="302">
        <f t="shared" si="7"/>
        <v>0</v>
      </c>
    </row>
    <row r="466" spans="1:18" ht="19.5" customHeight="1">
      <c r="A466" s="299" t="s">
        <v>6635</v>
      </c>
      <c r="B466" s="11" t="s">
        <v>765</v>
      </c>
      <c r="C466" s="11"/>
      <c r="D466" s="11"/>
      <c r="E466" s="116" t="s">
        <v>766</v>
      </c>
      <c r="F466" s="116" t="s">
        <v>3164</v>
      </c>
      <c r="G466" s="116" t="s">
        <v>769</v>
      </c>
      <c r="H466" s="116" t="s">
        <v>767</v>
      </c>
      <c r="I466" s="116" t="s">
        <v>520</v>
      </c>
      <c r="J466" s="116" t="s">
        <v>768</v>
      </c>
      <c r="K466" s="63">
        <v>9430</v>
      </c>
      <c r="L466" s="63">
        <v>100</v>
      </c>
      <c r="M466" s="63">
        <v>0</v>
      </c>
      <c r="N466" s="63"/>
      <c r="O466" s="63">
        <v>12</v>
      </c>
      <c r="P466" s="63"/>
      <c r="Q466" s="63"/>
      <c r="R466" s="302">
        <f t="shared" si="7"/>
        <v>88</v>
      </c>
    </row>
    <row r="467" spans="1:18" ht="19.5" customHeight="1">
      <c r="A467" s="304" t="s">
        <v>6638</v>
      </c>
      <c r="B467" s="67" t="s">
        <v>639</v>
      </c>
      <c r="C467" s="11"/>
      <c r="D467" s="11"/>
      <c r="E467" s="116" t="s">
        <v>1189</v>
      </c>
      <c r="F467" s="116" t="s">
        <v>1191</v>
      </c>
      <c r="G467" s="116" t="s">
        <v>352</v>
      </c>
      <c r="H467" s="116" t="s">
        <v>334</v>
      </c>
      <c r="I467" s="116" t="s">
        <v>11</v>
      </c>
      <c r="J467" s="116" t="s">
        <v>1190</v>
      </c>
      <c r="K467" s="63">
        <v>798</v>
      </c>
      <c r="L467" s="63">
        <v>37</v>
      </c>
      <c r="M467" s="63">
        <v>0</v>
      </c>
      <c r="N467" s="63"/>
      <c r="O467" s="63">
        <v>37</v>
      </c>
      <c r="P467" s="63"/>
      <c r="Q467" s="63"/>
      <c r="R467" s="302">
        <f t="shared" si="7"/>
        <v>0</v>
      </c>
    </row>
    <row r="468" spans="1:18" ht="19.5" customHeight="1">
      <c r="A468" s="304" t="s">
        <v>6646</v>
      </c>
      <c r="B468" s="67" t="s">
        <v>992</v>
      </c>
      <c r="C468" s="11"/>
      <c r="D468" s="11"/>
      <c r="E468" s="502" t="s">
        <v>993</v>
      </c>
      <c r="F468" s="502" t="s">
        <v>995</v>
      </c>
      <c r="G468" s="502" t="s">
        <v>979</v>
      </c>
      <c r="H468" s="502" t="s">
        <v>994</v>
      </c>
      <c r="I468" s="502" t="s">
        <v>10</v>
      </c>
      <c r="J468" s="502" t="s">
        <v>623</v>
      </c>
      <c r="K468" s="63">
        <v>780</v>
      </c>
      <c r="L468" s="63">
        <v>4353</v>
      </c>
      <c r="M468" s="63">
        <v>0</v>
      </c>
      <c r="N468" s="63"/>
      <c r="O468" s="63">
        <v>4338</v>
      </c>
      <c r="P468" s="63"/>
      <c r="Q468" s="63"/>
      <c r="R468" s="302">
        <f t="shared" si="7"/>
        <v>15</v>
      </c>
    </row>
    <row r="469" spans="1:18" ht="19.5" customHeight="1">
      <c r="A469" s="299" t="s">
        <v>6653</v>
      </c>
      <c r="B469" s="307" t="s">
        <v>353</v>
      </c>
      <c r="C469" s="307"/>
      <c r="D469" s="307"/>
      <c r="E469" s="116" t="s">
        <v>461</v>
      </c>
      <c r="F469" s="116" t="s">
        <v>462</v>
      </c>
      <c r="G469" s="116" t="s">
        <v>458</v>
      </c>
      <c r="H469" s="116" t="s">
        <v>381</v>
      </c>
      <c r="I469" s="531" t="s">
        <v>10</v>
      </c>
      <c r="J469" s="116" t="s">
        <v>642</v>
      </c>
      <c r="K469" s="118">
        <v>1410</v>
      </c>
      <c r="L469" s="308">
        <v>129</v>
      </c>
      <c r="M469" s="302">
        <f>40440+7560+3000+5</f>
        <v>51005</v>
      </c>
      <c r="N469" s="303"/>
      <c r="O469" s="302">
        <f>94+30000+331+2195</f>
        <v>32620</v>
      </c>
      <c r="P469" s="302">
        <v>384</v>
      </c>
      <c r="Q469" s="303"/>
      <c r="R469" s="302">
        <f t="shared" si="7"/>
        <v>18514</v>
      </c>
    </row>
    <row r="470" spans="1:18" ht="19.5" customHeight="1">
      <c r="A470" s="2">
        <v>93</v>
      </c>
      <c r="B470" s="307" t="s">
        <v>353</v>
      </c>
      <c r="C470" s="307"/>
      <c r="D470" s="307"/>
      <c r="E470" s="116" t="s">
        <v>353</v>
      </c>
      <c r="F470" s="116" t="s">
        <v>382</v>
      </c>
      <c r="G470" s="116" t="s">
        <v>360</v>
      </c>
      <c r="H470" s="116" t="s">
        <v>381</v>
      </c>
      <c r="I470" s="531" t="s">
        <v>10</v>
      </c>
      <c r="J470" s="116" t="s">
        <v>547</v>
      </c>
      <c r="K470" s="118">
        <v>53</v>
      </c>
      <c r="L470" s="308">
        <v>70</v>
      </c>
      <c r="M470" s="302">
        <f>10000+1500</f>
        <v>11500</v>
      </c>
      <c r="N470" s="303"/>
      <c r="O470" s="302">
        <f>10000+70</f>
        <v>10070</v>
      </c>
      <c r="P470" s="302"/>
      <c r="Q470" s="303"/>
      <c r="R470" s="302">
        <f t="shared" si="7"/>
        <v>1500</v>
      </c>
    </row>
    <row r="471" spans="1:18" ht="19.5" customHeight="1">
      <c r="A471" s="299" t="s">
        <v>6659</v>
      </c>
      <c r="B471" s="307" t="s">
        <v>265</v>
      </c>
      <c r="C471" s="307"/>
      <c r="D471" s="307"/>
      <c r="E471" s="116" t="s">
        <v>4882</v>
      </c>
      <c r="F471" s="116" t="s">
        <v>470</v>
      </c>
      <c r="G471" s="116" t="s">
        <v>463</v>
      </c>
      <c r="H471" s="116" t="s">
        <v>390</v>
      </c>
      <c r="I471" s="531" t="s">
        <v>10</v>
      </c>
      <c r="J471" s="116" t="s">
        <v>859</v>
      </c>
      <c r="K471" s="118">
        <v>900</v>
      </c>
      <c r="L471" s="308">
        <f>272+2262</f>
        <v>2534</v>
      </c>
      <c r="M471" s="302">
        <f>10020+6990+4+1020</f>
        <v>18034</v>
      </c>
      <c r="N471" s="303"/>
      <c r="O471" s="302">
        <f>1020+49+980+2242+10020</f>
        <v>14311</v>
      </c>
      <c r="P471" s="302"/>
      <c r="Q471" s="303"/>
      <c r="R471" s="302">
        <f t="shared" si="7"/>
        <v>6257</v>
      </c>
    </row>
    <row r="472" spans="1:18" ht="19.5" customHeight="1">
      <c r="A472" s="304" t="s">
        <v>6663</v>
      </c>
      <c r="B472" s="305" t="s">
        <v>4528</v>
      </c>
      <c r="C472" s="305"/>
      <c r="D472" s="305"/>
      <c r="E472" s="305" t="s">
        <v>1594</v>
      </c>
      <c r="F472" s="305" t="s">
        <v>1597</v>
      </c>
      <c r="G472" s="305" t="s">
        <v>7335</v>
      </c>
      <c r="H472" s="305" t="s">
        <v>4529</v>
      </c>
      <c r="I472" s="305" t="s">
        <v>658</v>
      </c>
      <c r="J472" s="305" t="s">
        <v>9009</v>
      </c>
      <c r="K472" s="119">
        <v>37000</v>
      </c>
      <c r="L472" s="119">
        <v>8</v>
      </c>
      <c r="M472" s="302">
        <v>330</v>
      </c>
      <c r="N472" s="303"/>
      <c r="O472" s="302">
        <v>234</v>
      </c>
      <c r="P472" s="302"/>
      <c r="Q472" s="303"/>
      <c r="R472" s="302">
        <f t="shared" si="7"/>
        <v>104</v>
      </c>
    </row>
    <row r="473" spans="1:18" ht="19.5" customHeight="1">
      <c r="A473" s="304" t="s">
        <v>6668</v>
      </c>
      <c r="B473" s="67" t="s">
        <v>821</v>
      </c>
      <c r="C473" s="11"/>
      <c r="D473" s="11"/>
      <c r="E473" s="116" t="s">
        <v>822</v>
      </c>
      <c r="F473" s="116" t="s">
        <v>823</v>
      </c>
      <c r="G473" s="116" t="s">
        <v>806</v>
      </c>
      <c r="H473" s="116" t="s">
        <v>272</v>
      </c>
      <c r="I473" s="116" t="s">
        <v>11</v>
      </c>
      <c r="J473" s="116" t="s">
        <v>804</v>
      </c>
      <c r="K473" s="63">
        <v>147</v>
      </c>
      <c r="L473" s="63">
        <v>1850</v>
      </c>
      <c r="M473" s="63">
        <v>0</v>
      </c>
      <c r="N473" s="63"/>
      <c r="O473" s="63">
        <v>185</v>
      </c>
      <c r="P473" s="63"/>
      <c r="Q473" s="63"/>
      <c r="R473" s="302">
        <f t="shared" si="7"/>
        <v>1665</v>
      </c>
    </row>
    <row r="474" spans="1:18" ht="19.5" customHeight="1">
      <c r="A474" s="299" t="s">
        <v>6671</v>
      </c>
      <c r="B474" s="307" t="s">
        <v>265</v>
      </c>
      <c r="C474" s="307"/>
      <c r="D474" s="307"/>
      <c r="E474" s="116" t="s">
        <v>386</v>
      </c>
      <c r="F474" s="116" t="s">
        <v>388</v>
      </c>
      <c r="G474" s="116" t="s">
        <v>360</v>
      </c>
      <c r="H474" s="116" t="s">
        <v>387</v>
      </c>
      <c r="I474" s="531" t="s">
        <v>10</v>
      </c>
      <c r="J474" s="116" t="s">
        <v>547</v>
      </c>
      <c r="K474" s="118">
        <v>677</v>
      </c>
      <c r="L474" s="308">
        <v>0</v>
      </c>
      <c r="M474" s="302">
        <v>2500</v>
      </c>
      <c r="N474" s="303"/>
      <c r="O474" s="302">
        <v>2500</v>
      </c>
      <c r="P474" s="302"/>
      <c r="Q474" s="303"/>
      <c r="R474" s="302">
        <f t="shared" si="7"/>
        <v>0</v>
      </c>
    </row>
    <row r="475" spans="1:18" ht="19.5" customHeight="1">
      <c r="A475" s="2">
        <v>94</v>
      </c>
      <c r="B475" s="307" t="s">
        <v>265</v>
      </c>
      <c r="C475" s="307"/>
      <c r="D475" s="307"/>
      <c r="E475" s="116" t="s">
        <v>389</v>
      </c>
      <c r="F475" s="116" t="s">
        <v>391</v>
      </c>
      <c r="G475" s="116" t="s">
        <v>360</v>
      </c>
      <c r="H475" s="116" t="s">
        <v>390</v>
      </c>
      <c r="I475" s="531" t="s">
        <v>10</v>
      </c>
      <c r="J475" s="116" t="s">
        <v>547</v>
      </c>
      <c r="K475" s="118">
        <v>230</v>
      </c>
      <c r="L475" s="308">
        <v>0</v>
      </c>
      <c r="M475" s="302">
        <f>7500+29000</f>
        <v>36500</v>
      </c>
      <c r="N475" s="303"/>
      <c r="O475" s="302">
        <f>4389+6000+7500</f>
        <v>17889</v>
      </c>
      <c r="P475" s="302">
        <v>120</v>
      </c>
      <c r="Q475" s="303"/>
      <c r="R475" s="302">
        <f t="shared" si="7"/>
        <v>18611</v>
      </c>
    </row>
    <row r="476" spans="1:18" ht="19.5" customHeight="1">
      <c r="A476" s="299" t="s">
        <v>6677</v>
      </c>
      <c r="B476" s="11" t="s">
        <v>1356</v>
      </c>
      <c r="C476" s="11"/>
      <c r="D476" s="11"/>
      <c r="E476" s="116" t="s">
        <v>1766</v>
      </c>
      <c r="F476" s="116" t="s">
        <v>3174</v>
      </c>
      <c r="G476" s="116" t="s">
        <v>1763</v>
      </c>
      <c r="H476" s="116" t="s">
        <v>1767</v>
      </c>
      <c r="I476" s="116" t="s">
        <v>628</v>
      </c>
      <c r="J476" s="116" t="s">
        <v>1743</v>
      </c>
      <c r="K476" s="63">
        <v>1544</v>
      </c>
      <c r="L476" s="63">
        <v>139</v>
      </c>
      <c r="M476" s="63">
        <v>0</v>
      </c>
      <c r="N476" s="63"/>
      <c r="O476" s="63">
        <v>139</v>
      </c>
      <c r="P476" s="63">
        <v>139</v>
      </c>
      <c r="Q476" s="63"/>
      <c r="R476" s="302">
        <f t="shared" si="7"/>
        <v>0</v>
      </c>
    </row>
    <row r="477" spans="1:18" ht="19.5" customHeight="1">
      <c r="A477" s="304" t="s">
        <v>6679</v>
      </c>
      <c r="B477" s="461" t="s">
        <v>442</v>
      </c>
      <c r="C477" s="461"/>
      <c r="D477" s="461"/>
      <c r="E477" s="117" t="s">
        <v>442</v>
      </c>
      <c r="F477" s="117" t="s">
        <v>11456</v>
      </c>
      <c r="G477" s="117" t="s">
        <v>530</v>
      </c>
      <c r="H477" s="117" t="s">
        <v>272</v>
      </c>
      <c r="I477" s="509" t="s">
        <v>10</v>
      </c>
      <c r="J477" s="116" t="s">
        <v>547</v>
      </c>
      <c r="K477" s="308">
        <v>92</v>
      </c>
      <c r="L477" s="308">
        <v>0</v>
      </c>
      <c r="M477" s="302">
        <v>5000</v>
      </c>
      <c r="N477" s="302"/>
      <c r="O477" s="302">
        <v>3489</v>
      </c>
      <c r="P477" s="302"/>
      <c r="Q477" s="303"/>
      <c r="R477" s="302">
        <f t="shared" si="7"/>
        <v>1511</v>
      </c>
    </row>
    <row r="478" spans="1:18" ht="19.5" customHeight="1">
      <c r="A478" s="304" t="s">
        <v>6681</v>
      </c>
      <c r="B478" s="64" t="s">
        <v>442</v>
      </c>
      <c r="C478" s="64"/>
      <c r="D478" s="64"/>
      <c r="E478" s="512" t="s">
        <v>443</v>
      </c>
      <c r="F478" s="116" t="s">
        <v>446</v>
      </c>
      <c r="G478" s="116" t="s">
        <v>437</v>
      </c>
      <c r="H478" s="116" t="s">
        <v>444</v>
      </c>
      <c r="I478" s="116" t="s">
        <v>15</v>
      </c>
      <c r="J478" s="116" t="s">
        <v>445</v>
      </c>
      <c r="K478" s="63">
        <v>8820</v>
      </c>
      <c r="L478" s="63">
        <v>99</v>
      </c>
      <c r="M478" s="63">
        <v>0</v>
      </c>
      <c r="N478" s="63"/>
      <c r="O478" s="63">
        <v>15</v>
      </c>
      <c r="P478" s="63"/>
      <c r="Q478" s="63"/>
      <c r="R478" s="302">
        <f t="shared" si="7"/>
        <v>84</v>
      </c>
    </row>
    <row r="479" spans="1:18" ht="19.5" customHeight="1">
      <c r="A479" s="299" t="s">
        <v>6683</v>
      </c>
      <c r="B479" s="67" t="s">
        <v>1522</v>
      </c>
      <c r="C479" s="11"/>
      <c r="D479" s="11"/>
      <c r="E479" s="116" t="s">
        <v>1523</v>
      </c>
      <c r="F479" s="116" t="s">
        <v>1524</v>
      </c>
      <c r="G479" s="116" t="s">
        <v>1525</v>
      </c>
      <c r="H479" s="116" t="s">
        <v>225</v>
      </c>
      <c r="I479" s="116" t="s">
        <v>10</v>
      </c>
      <c r="J479" s="116" t="s">
        <v>538</v>
      </c>
      <c r="K479" s="63">
        <v>945</v>
      </c>
      <c r="L479" s="63">
        <v>51130</v>
      </c>
      <c r="M479" s="63">
        <v>44</v>
      </c>
      <c r="N479" s="63"/>
      <c r="O479" s="63">
        <v>51174</v>
      </c>
      <c r="P479" s="63">
        <v>30</v>
      </c>
      <c r="Q479" s="63"/>
      <c r="R479" s="302">
        <f t="shared" si="7"/>
        <v>0</v>
      </c>
    </row>
    <row r="480" spans="1:18" ht="19.5" customHeight="1">
      <c r="A480" s="2">
        <v>95</v>
      </c>
      <c r="B480" s="305" t="s">
        <v>4171</v>
      </c>
      <c r="C480" s="305"/>
      <c r="D480" s="305"/>
      <c r="E480" s="305" t="s">
        <v>4170</v>
      </c>
      <c r="F480" s="305" t="s">
        <v>8151</v>
      </c>
      <c r="G480" s="305" t="s">
        <v>8152</v>
      </c>
      <c r="H480" s="305" t="s">
        <v>291</v>
      </c>
      <c r="I480" s="305" t="s">
        <v>11</v>
      </c>
      <c r="J480" s="116" t="s">
        <v>1066</v>
      </c>
      <c r="K480" s="119">
        <v>264</v>
      </c>
      <c r="L480" s="119">
        <v>0</v>
      </c>
      <c r="M480" s="302">
        <v>1000</v>
      </c>
      <c r="N480" s="303"/>
      <c r="O480" s="302">
        <v>1000</v>
      </c>
      <c r="P480" s="302"/>
      <c r="Q480" s="303"/>
      <c r="R480" s="302">
        <f t="shared" si="7"/>
        <v>0</v>
      </c>
    </row>
    <row r="481" spans="1:18" ht="19.5" customHeight="1">
      <c r="A481" s="299" t="s">
        <v>6685</v>
      </c>
      <c r="B481" s="307" t="s">
        <v>236</v>
      </c>
      <c r="C481" s="307"/>
      <c r="D481" s="307"/>
      <c r="E481" s="116" t="s">
        <v>4894</v>
      </c>
      <c r="F481" s="116" t="s">
        <v>239</v>
      </c>
      <c r="G481" s="116" t="s">
        <v>240</v>
      </c>
      <c r="H481" s="116" t="s">
        <v>238</v>
      </c>
      <c r="I481" s="531" t="s">
        <v>10</v>
      </c>
      <c r="J481" s="116" t="s">
        <v>642</v>
      </c>
      <c r="K481" s="118">
        <v>136</v>
      </c>
      <c r="L481" s="308"/>
      <c r="M481" s="302">
        <v>6000</v>
      </c>
      <c r="N481" s="303"/>
      <c r="O481" s="302">
        <v>6000</v>
      </c>
      <c r="P481" s="302"/>
      <c r="Q481" s="303"/>
      <c r="R481" s="302">
        <f t="shared" si="7"/>
        <v>0</v>
      </c>
    </row>
    <row r="482" spans="1:18" ht="19.5" customHeight="1">
      <c r="A482" s="304" t="s">
        <v>6690</v>
      </c>
      <c r="B482" s="305" t="s">
        <v>1550</v>
      </c>
      <c r="C482" s="305"/>
      <c r="D482" s="305"/>
      <c r="E482" s="305" t="s">
        <v>5030</v>
      </c>
      <c r="F482" s="305" t="s">
        <v>7531</v>
      </c>
      <c r="G482" s="305" t="s">
        <v>1268</v>
      </c>
      <c r="H482" s="305" t="s">
        <v>5031</v>
      </c>
      <c r="I482" s="305" t="s">
        <v>11</v>
      </c>
      <c r="J482" s="305" t="s">
        <v>9013</v>
      </c>
      <c r="K482" s="119">
        <v>630</v>
      </c>
      <c r="L482" s="119"/>
      <c r="M482" s="302">
        <v>10560</v>
      </c>
      <c r="N482" s="303"/>
      <c r="O482" s="302">
        <f>50+4875</f>
        <v>4925</v>
      </c>
      <c r="P482" s="302">
        <v>50</v>
      </c>
      <c r="Q482" s="303"/>
      <c r="R482" s="302">
        <f t="shared" si="7"/>
        <v>5635</v>
      </c>
    </row>
    <row r="483" spans="1:18" ht="19.5" customHeight="1">
      <c r="A483" s="304" t="s">
        <v>6695</v>
      </c>
      <c r="B483" s="71" t="s">
        <v>1702</v>
      </c>
      <c r="C483" s="71"/>
      <c r="D483" s="71"/>
      <c r="E483" s="513" t="s">
        <v>1703</v>
      </c>
      <c r="F483" s="513" t="s">
        <v>1704</v>
      </c>
      <c r="G483" s="513" t="s">
        <v>1705</v>
      </c>
      <c r="H483" s="513" t="s">
        <v>238</v>
      </c>
      <c r="I483" s="513" t="s">
        <v>10</v>
      </c>
      <c r="J483" s="513" t="s">
        <v>1239</v>
      </c>
      <c r="K483" s="63">
        <v>735</v>
      </c>
      <c r="L483" s="63">
        <v>14871</v>
      </c>
      <c r="M483" s="63">
        <v>0</v>
      </c>
      <c r="N483" s="63"/>
      <c r="O483" s="63">
        <v>14871</v>
      </c>
      <c r="P483" s="63">
        <v>1380</v>
      </c>
      <c r="Q483" s="63"/>
      <c r="R483" s="302">
        <f t="shared" si="7"/>
        <v>0</v>
      </c>
    </row>
    <row r="484" spans="1:18" ht="19.5" customHeight="1">
      <c r="A484" s="299" t="s">
        <v>6697</v>
      </c>
      <c r="B484" s="306" t="s">
        <v>588</v>
      </c>
      <c r="C484" s="306"/>
      <c r="D484" s="306"/>
      <c r="E484" s="116" t="s">
        <v>4174</v>
      </c>
      <c r="F484" s="116" t="s">
        <v>3184</v>
      </c>
      <c r="G484" s="116" t="s">
        <v>5705</v>
      </c>
      <c r="H484" s="306" t="s">
        <v>267</v>
      </c>
      <c r="I484" s="306" t="s">
        <v>10</v>
      </c>
      <c r="J484" s="116" t="s">
        <v>1066</v>
      </c>
      <c r="K484" s="63">
        <v>9832</v>
      </c>
      <c r="L484" s="63">
        <v>0</v>
      </c>
      <c r="M484" s="302">
        <v>3000</v>
      </c>
      <c r="N484" s="303"/>
      <c r="O484" s="302">
        <v>3000</v>
      </c>
      <c r="P484" s="302"/>
      <c r="Q484" s="303"/>
      <c r="R484" s="302">
        <f t="shared" si="7"/>
        <v>0</v>
      </c>
    </row>
    <row r="485" spans="1:18" ht="19.5" customHeight="1">
      <c r="A485" s="2">
        <v>96</v>
      </c>
      <c r="B485" s="70" t="s">
        <v>2115</v>
      </c>
      <c r="C485" s="11"/>
      <c r="D485" s="11"/>
      <c r="E485" s="116" t="s">
        <v>2116</v>
      </c>
      <c r="F485" s="116" t="s">
        <v>2118</v>
      </c>
      <c r="G485" s="116" t="s">
        <v>2036</v>
      </c>
      <c r="H485" s="116" t="s">
        <v>2117</v>
      </c>
      <c r="I485" s="116" t="s">
        <v>10</v>
      </c>
      <c r="J485" s="116" t="s">
        <v>626</v>
      </c>
      <c r="K485" s="63">
        <v>10387</v>
      </c>
      <c r="L485" s="63">
        <f>90+594</f>
        <v>684</v>
      </c>
      <c r="M485" s="63">
        <v>0</v>
      </c>
      <c r="N485" s="63"/>
      <c r="O485" s="63">
        <f>55+590</f>
        <v>645</v>
      </c>
      <c r="P485" s="63"/>
      <c r="Q485" s="63"/>
      <c r="R485" s="302">
        <f t="shared" si="7"/>
        <v>39</v>
      </c>
    </row>
    <row r="486" spans="1:18" ht="19.5" customHeight="1">
      <c r="A486" s="299" t="s">
        <v>6701</v>
      </c>
      <c r="B486" s="305" t="s">
        <v>683</v>
      </c>
      <c r="C486" s="305"/>
      <c r="D486" s="305"/>
      <c r="E486" s="305" t="s">
        <v>4532</v>
      </c>
      <c r="F486" s="305" t="s">
        <v>7244</v>
      </c>
      <c r="G486" s="305" t="s">
        <v>1449</v>
      </c>
      <c r="H486" s="305" t="s">
        <v>4533</v>
      </c>
      <c r="I486" s="305" t="s">
        <v>12</v>
      </c>
      <c r="J486" s="305" t="s">
        <v>9005</v>
      </c>
      <c r="K486" s="119">
        <v>1717</v>
      </c>
      <c r="L486" s="119">
        <v>0</v>
      </c>
      <c r="M486" s="302">
        <f>3240+1742</f>
        <v>4982</v>
      </c>
      <c r="N486" s="303"/>
      <c r="O486" s="302">
        <f>1527+1349</f>
        <v>2876</v>
      </c>
      <c r="P486" s="302"/>
      <c r="Q486" s="303"/>
      <c r="R486" s="302">
        <f t="shared" si="7"/>
        <v>2106</v>
      </c>
    </row>
    <row r="487" spans="1:18" ht="19.5" customHeight="1">
      <c r="A487" s="304" t="s">
        <v>6706</v>
      </c>
      <c r="B487" s="67" t="s">
        <v>433</v>
      </c>
      <c r="C487" s="4"/>
      <c r="D487" s="4"/>
      <c r="E487" s="116" t="s">
        <v>3635</v>
      </c>
      <c r="F487" s="117" t="s">
        <v>1465</v>
      </c>
      <c r="G487" s="117" t="s">
        <v>1449</v>
      </c>
      <c r="H487" s="117" t="s">
        <v>1200</v>
      </c>
      <c r="I487" s="117" t="s">
        <v>12</v>
      </c>
      <c r="J487" s="117" t="s">
        <v>1464</v>
      </c>
      <c r="K487" s="63">
        <v>1598</v>
      </c>
      <c r="L487" s="63">
        <v>4003</v>
      </c>
      <c r="M487" s="63">
        <v>0</v>
      </c>
      <c r="N487" s="63"/>
      <c r="O487" s="63">
        <v>4001</v>
      </c>
      <c r="P487" s="63"/>
      <c r="Q487" s="63"/>
      <c r="R487" s="302">
        <f t="shared" si="7"/>
        <v>2</v>
      </c>
    </row>
    <row r="488" spans="1:18" ht="19.5" customHeight="1">
      <c r="A488" s="304" t="s">
        <v>6711</v>
      </c>
      <c r="B488" s="11" t="s">
        <v>2618</v>
      </c>
      <c r="C488" s="11"/>
      <c r="D488" s="11"/>
      <c r="E488" s="116" t="s">
        <v>2617</v>
      </c>
      <c r="F488" s="116" t="s">
        <v>3191</v>
      </c>
      <c r="G488" s="116" t="s">
        <v>2909</v>
      </c>
      <c r="H488" s="116" t="s">
        <v>2619</v>
      </c>
      <c r="I488" s="116" t="s">
        <v>628</v>
      </c>
      <c r="J488" s="116" t="s">
        <v>241</v>
      </c>
      <c r="K488" s="63">
        <v>15380</v>
      </c>
      <c r="L488" s="63">
        <v>15</v>
      </c>
      <c r="M488" s="63">
        <v>0</v>
      </c>
      <c r="N488" s="63"/>
      <c r="O488" s="63">
        <v>15</v>
      </c>
      <c r="P488" s="63">
        <v>15</v>
      </c>
      <c r="Q488" s="63"/>
      <c r="R488" s="302">
        <f t="shared" si="7"/>
        <v>0</v>
      </c>
    </row>
    <row r="489" spans="1:18" ht="19.5" customHeight="1">
      <c r="A489" s="299" t="s">
        <v>6715</v>
      </c>
      <c r="B489" s="305" t="s">
        <v>1247</v>
      </c>
      <c r="C489" s="305"/>
      <c r="D489" s="305"/>
      <c r="E489" s="305" t="s">
        <v>4176</v>
      </c>
      <c r="F489" s="305" t="s">
        <v>7760</v>
      </c>
      <c r="G489" s="305" t="s">
        <v>7761</v>
      </c>
      <c r="H489" s="305" t="s">
        <v>1249</v>
      </c>
      <c r="I489" s="305" t="s">
        <v>11</v>
      </c>
      <c r="J489" s="116" t="s">
        <v>1066</v>
      </c>
      <c r="K489" s="119">
        <v>7800</v>
      </c>
      <c r="L489" s="119">
        <v>0</v>
      </c>
      <c r="M489" s="302">
        <v>6000</v>
      </c>
      <c r="N489" s="303"/>
      <c r="O489" s="302">
        <v>6000</v>
      </c>
      <c r="P489" s="302">
        <v>5970</v>
      </c>
      <c r="Q489" s="303"/>
      <c r="R489" s="302">
        <f t="shared" si="7"/>
        <v>0</v>
      </c>
    </row>
    <row r="490" spans="1:18" ht="19.5" customHeight="1">
      <c r="A490" s="2">
        <v>97</v>
      </c>
      <c r="B490" s="67" t="s">
        <v>256</v>
      </c>
      <c r="C490" s="11"/>
      <c r="D490" s="11"/>
      <c r="E490" s="116" t="s">
        <v>1612</v>
      </c>
      <c r="F490" s="116" t="s">
        <v>1614</v>
      </c>
      <c r="G490" s="116" t="s">
        <v>463</v>
      </c>
      <c r="H490" s="116" t="s">
        <v>334</v>
      </c>
      <c r="I490" s="116" t="s">
        <v>11</v>
      </c>
      <c r="J490" s="116" t="s">
        <v>1613</v>
      </c>
      <c r="K490" s="63">
        <v>12600</v>
      </c>
      <c r="L490" s="63">
        <v>16830</v>
      </c>
      <c r="M490" s="63"/>
      <c r="N490" s="63"/>
      <c r="O490" s="63">
        <v>16830</v>
      </c>
      <c r="P490" s="63"/>
      <c r="Q490" s="63"/>
      <c r="R490" s="302">
        <f t="shared" si="7"/>
        <v>0</v>
      </c>
    </row>
    <row r="491" spans="1:18" ht="19.5" customHeight="1">
      <c r="A491" s="299" t="s">
        <v>6720</v>
      </c>
      <c r="B491" s="70" t="s">
        <v>2073</v>
      </c>
      <c r="C491" s="11"/>
      <c r="D491" s="11"/>
      <c r="E491" s="116" t="s">
        <v>2074</v>
      </c>
      <c r="F491" s="116" t="s">
        <v>2076</v>
      </c>
      <c r="G491" s="116" t="s">
        <v>2072</v>
      </c>
      <c r="H491" s="116" t="s">
        <v>2075</v>
      </c>
      <c r="I491" s="116" t="s">
        <v>898</v>
      </c>
      <c r="J491" s="116" t="s">
        <v>2065</v>
      </c>
      <c r="K491" s="63">
        <v>153999</v>
      </c>
      <c r="L491" s="63">
        <v>23</v>
      </c>
      <c r="M491" s="63">
        <v>0</v>
      </c>
      <c r="N491" s="63"/>
      <c r="O491" s="63">
        <v>23</v>
      </c>
      <c r="P491" s="63"/>
      <c r="Q491" s="63"/>
      <c r="R491" s="302">
        <f t="shared" si="7"/>
        <v>0</v>
      </c>
    </row>
    <row r="492" spans="1:18" ht="19.5" customHeight="1">
      <c r="A492" s="304" t="s">
        <v>6723</v>
      </c>
      <c r="B492" s="70" t="s">
        <v>2073</v>
      </c>
      <c r="C492" s="11"/>
      <c r="D492" s="11"/>
      <c r="E492" s="116" t="s">
        <v>2074</v>
      </c>
      <c r="F492" s="116" t="s">
        <v>2076</v>
      </c>
      <c r="G492" s="116" t="s">
        <v>2072</v>
      </c>
      <c r="H492" s="116" t="s">
        <v>2075</v>
      </c>
      <c r="I492" s="116" t="s">
        <v>898</v>
      </c>
      <c r="J492" s="116" t="s">
        <v>2065</v>
      </c>
      <c r="K492" s="63">
        <v>138000</v>
      </c>
      <c r="L492" s="63">
        <v>0</v>
      </c>
      <c r="M492" s="63">
        <v>500</v>
      </c>
      <c r="N492" s="63"/>
      <c r="O492" s="63">
        <v>500</v>
      </c>
      <c r="P492" s="63"/>
      <c r="Q492" s="63"/>
      <c r="R492" s="302">
        <f t="shared" si="7"/>
        <v>0</v>
      </c>
    </row>
    <row r="493" spans="1:18" ht="19.5" customHeight="1">
      <c r="A493" s="304" t="s">
        <v>6725</v>
      </c>
      <c r="B493" s="11" t="s">
        <v>702</v>
      </c>
      <c r="C493" s="11"/>
      <c r="D493" s="11"/>
      <c r="E493" s="116" t="s">
        <v>703</v>
      </c>
      <c r="F493" s="116" t="s">
        <v>705</v>
      </c>
      <c r="G493" s="116" t="s">
        <v>700</v>
      </c>
      <c r="H493" s="116" t="s">
        <v>704</v>
      </c>
      <c r="I493" s="116" t="s">
        <v>701</v>
      </c>
      <c r="J493" s="116" t="s">
        <v>698</v>
      </c>
      <c r="K493" s="63">
        <v>3500</v>
      </c>
      <c r="L493" s="63">
        <f>43+45+408</f>
        <v>496</v>
      </c>
      <c r="M493" s="63">
        <v>0</v>
      </c>
      <c r="N493" s="63"/>
      <c r="O493" s="63">
        <v>408</v>
      </c>
      <c r="P493" s="63"/>
      <c r="Q493" s="63"/>
      <c r="R493" s="302">
        <f t="shared" si="7"/>
        <v>88</v>
      </c>
    </row>
    <row r="494" spans="1:18" ht="19.5" customHeight="1">
      <c r="A494" s="299" t="s">
        <v>6729</v>
      </c>
      <c r="B494" s="305" t="s">
        <v>659</v>
      </c>
      <c r="C494" s="305"/>
      <c r="D494" s="305"/>
      <c r="E494" s="305" t="s">
        <v>4181</v>
      </c>
      <c r="F494" s="305" t="s">
        <v>7216</v>
      </c>
      <c r="G494" s="305" t="s">
        <v>7217</v>
      </c>
      <c r="H494" s="305" t="s">
        <v>334</v>
      </c>
      <c r="I494" s="305" t="s">
        <v>11</v>
      </c>
      <c r="J494" s="305" t="s">
        <v>1350</v>
      </c>
      <c r="K494" s="119">
        <v>2890</v>
      </c>
      <c r="L494" s="119">
        <v>0</v>
      </c>
      <c r="M494" s="302">
        <v>4800</v>
      </c>
      <c r="N494" s="303"/>
      <c r="O494" s="302">
        <v>949</v>
      </c>
      <c r="P494" s="302"/>
      <c r="Q494" s="303"/>
      <c r="R494" s="302">
        <f t="shared" si="7"/>
        <v>3851</v>
      </c>
    </row>
    <row r="495" spans="1:18" ht="19.5" customHeight="1">
      <c r="A495" s="2">
        <v>98</v>
      </c>
      <c r="B495" s="305" t="s">
        <v>1522</v>
      </c>
      <c r="C495" s="305"/>
      <c r="D495" s="305"/>
      <c r="E495" s="305" t="s">
        <v>4184</v>
      </c>
      <c r="F495" s="305" t="s">
        <v>6822</v>
      </c>
      <c r="G495" s="305" t="s">
        <v>1859</v>
      </c>
      <c r="H495" s="305" t="s">
        <v>225</v>
      </c>
      <c r="I495" s="305" t="s">
        <v>11</v>
      </c>
      <c r="J495" s="116" t="s">
        <v>859</v>
      </c>
      <c r="K495" s="119">
        <v>1890</v>
      </c>
      <c r="L495" s="119">
        <v>0</v>
      </c>
      <c r="M495" s="302">
        <v>20000</v>
      </c>
      <c r="N495" s="303"/>
      <c r="O495" s="302">
        <v>1738</v>
      </c>
      <c r="P495" s="302"/>
      <c r="Q495" s="303"/>
      <c r="R495" s="302">
        <f t="shared" si="7"/>
        <v>18262</v>
      </c>
    </row>
    <row r="496" spans="1:18" s="462" customFormat="1" ht="23.25" customHeight="1">
      <c r="A496" s="299" t="s">
        <v>6733</v>
      </c>
      <c r="B496" s="11" t="s">
        <v>683</v>
      </c>
      <c r="C496" s="4"/>
      <c r="D496" s="4"/>
      <c r="E496" s="116" t="s">
        <v>684</v>
      </c>
      <c r="F496" s="117" t="s">
        <v>687</v>
      </c>
      <c r="G496" s="117" t="s">
        <v>688</v>
      </c>
      <c r="H496" s="117" t="s">
        <v>685</v>
      </c>
      <c r="I496" s="117" t="s">
        <v>10</v>
      </c>
      <c r="J496" s="117" t="s">
        <v>11459</v>
      </c>
      <c r="K496" s="63">
        <v>3500</v>
      </c>
      <c r="L496" s="63">
        <v>1</v>
      </c>
      <c r="M496" s="63">
        <v>0</v>
      </c>
      <c r="N496" s="63"/>
      <c r="O496" s="63">
        <v>1</v>
      </c>
      <c r="P496" s="63"/>
      <c r="Q496" s="63"/>
      <c r="R496" s="302">
        <f t="shared" si="7"/>
        <v>0</v>
      </c>
    </row>
    <row r="497" spans="1:18" ht="19.5" customHeight="1">
      <c r="A497" s="304" t="s">
        <v>6739</v>
      </c>
      <c r="B497" s="11" t="s">
        <v>742</v>
      </c>
      <c r="C497" s="11"/>
      <c r="D497" s="11"/>
      <c r="E497" s="116" t="s">
        <v>743</v>
      </c>
      <c r="F497" s="116" t="s">
        <v>746</v>
      </c>
      <c r="G497" s="116" t="s">
        <v>718</v>
      </c>
      <c r="H497" s="116" t="s">
        <v>744</v>
      </c>
      <c r="I497" s="116" t="s">
        <v>628</v>
      </c>
      <c r="J497" s="116" t="s">
        <v>745</v>
      </c>
      <c r="K497" s="63">
        <v>39900</v>
      </c>
      <c r="L497" s="63">
        <v>18</v>
      </c>
      <c r="M497" s="63">
        <v>0</v>
      </c>
      <c r="N497" s="63"/>
      <c r="O497" s="63">
        <v>18</v>
      </c>
      <c r="P497" s="63">
        <v>18</v>
      </c>
      <c r="Q497" s="63"/>
      <c r="R497" s="302">
        <f t="shared" si="7"/>
        <v>0</v>
      </c>
    </row>
    <row r="498" spans="1:18" ht="19.5" customHeight="1">
      <c r="A498" s="304" t="s">
        <v>6746</v>
      </c>
      <c r="B498" s="305" t="s">
        <v>742</v>
      </c>
      <c r="C498" s="305"/>
      <c r="D498" s="305"/>
      <c r="E498" s="305" t="s">
        <v>743</v>
      </c>
      <c r="F498" s="305" t="s">
        <v>5832</v>
      </c>
      <c r="G498" s="305" t="s">
        <v>5833</v>
      </c>
      <c r="H498" s="305" t="s">
        <v>4187</v>
      </c>
      <c r="I498" s="305" t="s">
        <v>520</v>
      </c>
      <c r="J498" s="305" t="s">
        <v>241</v>
      </c>
      <c r="K498" s="119">
        <v>43995</v>
      </c>
      <c r="L498" s="119">
        <v>0</v>
      </c>
      <c r="M498" s="302">
        <v>10</v>
      </c>
      <c r="N498" s="303"/>
      <c r="O498" s="302">
        <v>0</v>
      </c>
      <c r="P498" s="302"/>
      <c r="Q498" s="303"/>
      <c r="R498" s="302">
        <f t="shared" si="7"/>
        <v>10</v>
      </c>
    </row>
    <row r="499" spans="1:18" ht="19.5" customHeight="1">
      <c r="A499" s="299" t="s">
        <v>6750</v>
      </c>
      <c r="B499" s="11" t="s">
        <v>760</v>
      </c>
      <c r="C499" s="11"/>
      <c r="D499" s="11"/>
      <c r="E499" s="116" t="s">
        <v>2523</v>
      </c>
      <c r="F499" s="116" t="s">
        <v>3220</v>
      </c>
      <c r="G499" s="116" t="s">
        <v>449</v>
      </c>
      <c r="H499" s="116" t="s">
        <v>2524</v>
      </c>
      <c r="I499" s="504" t="s">
        <v>10</v>
      </c>
      <c r="J499" s="116" t="s">
        <v>647</v>
      </c>
      <c r="K499" s="63">
        <v>350</v>
      </c>
      <c r="L499" s="63">
        <v>5</v>
      </c>
      <c r="M499" s="63">
        <v>0</v>
      </c>
      <c r="N499" s="63"/>
      <c r="O499" s="63">
        <v>5</v>
      </c>
      <c r="P499" s="63">
        <v>5</v>
      </c>
      <c r="Q499" s="63"/>
      <c r="R499" s="302">
        <f t="shared" si="7"/>
        <v>0</v>
      </c>
    </row>
    <row r="500" spans="1:18" ht="19.5" customHeight="1">
      <c r="A500" s="2">
        <v>99</v>
      </c>
      <c r="B500" s="305" t="s">
        <v>747</v>
      </c>
      <c r="C500" s="305"/>
      <c r="D500" s="305"/>
      <c r="E500" s="305" t="s">
        <v>4190</v>
      </c>
      <c r="F500" s="305" t="s">
        <v>8187</v>
      </c>
      <c r="G500" s="305" t="s">
        <v>8188</v>
      </c>
      <c r="H500" s="305" t="s">
        <v>4191</v>
      </c>
      <c r="I500" s="305" t="s">
        <v>15</v>
      </c>
      <c r="J500" s="305" t="s">
        <v>9021</v>
      </c>
      <c r="K500" s="119">
        <v>23400</v>
      </c>
      <c r="L500" s="119">
        <v>0</v>
      </c>
      <c r="M500" s="302">
        <v>500</v>
      </c>
      <c r="N500" s="303"/>
      <c r="O500" s="302">
        <v>22</v>
      </c>
      <c r="P500" s="302"/>
      <c r="Q500" s="303"/>
      <c r="R500" s="302">
        <f t="shared" si="7"/>
        <v>478</v>
      </c>
    </row>
    <row r="501" spans="1:18" ht="19.5" customHeight="1">
      <c r="A501" s="299" t="s">
        <v>6755</v>
      </c>
      <c r="B501" s="11" t="s">
        <v>747</v>
      </c>
      <c r="C501" s="11"/>
      <c r="D501" s="11"/>
      <c r="E501" s="116" t="s">
        <v>1068</v>
      </c>
      <c r="F501" s="116" t="s">
        <v>3224</v>
      </c>
      <c r="G501" s="116" t="s">
        <v>255</v>
      </c>
      <c r="H501" s="116" t="s">
        <v>2525</v>
      </c>
      <c r="I501" s="116" t="s">
        <v>18</v>
      </c>
      <c r="J501" s="116" t="s">
        <v>1069</v>
      </c>
      <c r="K501" s="63">
        <v>11886</v>
      </c>
      <c r="L501" s="63">
        <v>36</v>
      </c>
      <c r="M501" s="63">
        <v>4</v>
      </c>
      <c r="N501" s="63"/>
      <c r="O501" s="63">
        <v>35</v>
      </c>
      <c r="P501" s="63">
        <v>21</v>
      </c>
      <c r="Q501" s="63"/>
      <c r="R501" s="302">
        <f t="shared" si="7"/>
        <v>5</v>
      </c>
    </row>
    <row r="502" spans="1:18" ht="19.5" customHeight="1">
      <c r="A502" s="304" t="s">
        <v>6759</v>
      </c>
      <c r="B502" s="305" t="s">
        <v>747</v>
      </c>
      <c r="C502" s="305"/>
      <c r="D502" s="305"/>
      <c r="E502" s="305" t="s">
        <v>1068</v>
      </c>
      <c r="F502" s="305" t="s">
        <v>6509</v>
      </c>
      <c r="G502" s="305" t="s">
        <v>6510</v>
      </c>
      <c r="H502" s="305" t="s">
        <v>4449</v>
      </c>
      <c r="I502" s="305" t="s">
        <v>15</v>
      </c>
      <c r="J502" s="305" t="s">
        <v>8999</v>
      </c>
      <c r="K502" s="119">
        <v>8820</v>
      </c>
      <c r="L502" s="119">
        <v>0</v>
      </c>
      <c r="M502" s="302">
        <f>502+501+400+100</f>
        <v>1503</v>
      </c>
      <c r="N502" s="303"/>
      <c r="O502" s="302">
        <f>502+501+232</f>
        <v>1235</v>
      </c>
      <c r="P502" s="302">
        <v>25</v>
      </c>
      <c r="Q502" s="303"/>
      <c r="R502" s="302">
        <f t="shared" si="7"/>
        <v>268</v>
      </c>
    </row>
    <row r="503" spans="1:18" ht="19.5" customHeight="1">
      <c r="A503" s="304" t="s">
        <v>6762</v>
      </c>
      <c r="B503" s="305" t="s">
        <v>747</v>
      </c>
      <c r="C503" s="305"/>
      <c r="D503" s="305"/>
      <c r="E503" s="305" t="s">
        <v>1068</v>
      </c>
      <c r="F503" s="305" t="s">
        <v>3221</v>
      </c>
      <c r="G503" s="305" t="s">
        <v>1449</v>
      </c>
      <c r="H503" s="305" t="s">
        <v>4193</v>
      </c>
      <c r="I503" s="305" t="s">
        <v>658</v>
      </c>
      <c r="J503" s="305" t="s">
        <v>9021</v>
      </c>
      <c r="K503" s="119">
        <v>1320</v>
      </c>
      <c r="L503" s="119"/>
      <c r="M503" s="302">
        <v>940</v>
      </c>
      <c r="N503" s="303"/>
      <c r="O503" s="302">
        <f>684+60</f>
        <v>744</v>
      </c>
      <c r="P503" s="302"/>
      <c r="Q503" s="303"/>
      <c r="R503" s="302">
        <f t="shared" si="7"/>
        <v>196</v>
      </c>
    </row>
    <row r="504" spans="1:18" ht="19.5" customHeight="1">
      <c r="A504" s="299" t="s">
        <v>6766</v>
      </c>
      <c r="B504" s="306" t="s">
        <v>4199</v>
      </c>
      <c r="C504" s="306"/>
      <c r="D504" s="306"/>
      <c r="E504" s="116" t="s">
        <v>4198</v>
      </c>
      <c r="F504" s="116" t="s">
        <v>1000</v>
      </c>
      <c r="G504" s="116" t="s">
        <v>5696</v>
      </c>
      <c r="H504" s="306" t="s">
        <v>327</v>
      </c>
      <c r="I504" s="306" t="s">
        <v>10</v>
      </c>
      <c r="J504" s="116" t="s">
        <v>859</v>
      </c>
      <c r="K504" s="63">
        <v>7600</v>
      </c>
      <c r="L504" s="63">
        <v>0</v>
      </c>
      <c r="M504" s="302">
        <f>4032+1568+2800+7000</f>
        <v>15400</v>
      </c>
      <c r="N504" s="303"/>
      <c r="O504" s="302">
        <f>3836+1516</f>
        <v>5352</v>
      </c>
      <c r="P504" s="302"/>
      <c r="Q504" s="303"/>
      <c r="R504" s="302">
        <f t="shared" si="7"/>
        <v>10048</v>
      </c>
    </row>
    <row r="505" spans="1:18" ht="19.5" customHeight="1">
      <c r="A505" s="2">
        <v>100</v>
      </c>
      <c r="B505" s="64" t="s">
        <v>433</v>
      </c>
      <c r="C505" s="64"/>
      <c r="D505" s="64"/>
      <c r="E505" s="116" t="s">
        <v>464</v>
      </c>
      <c r="F505" s="116" t="s">
        <v>465</v>
      </c>
      <c r="G505" s="116" t="s">
        <v>463</v>
      </c>
      <c r="H505" s="116" t="s">
        <v>225</v>
      </c>
      <c r="I505" s="116" t="s">
        <v>10</v>
      </c>
      <c r="J505" s="116" t="s">
        <v>647</v>
      </c>
      <c r="K505" s="63">
        <v>9600</v>
      </c>
      <c r="L505" s="63">
        <f>157+32320</f>
        <v>32477</v>
      </c>
      <c r="M505" s="63">
        <v>17</v>
      </c>
      <c r="N505" s="63"/>
      <c r="O505" s="63">
        <f>2923+161</f>
        <v>3084</v>
      </c>
      <c r="P505" s="63"/>
      <c r="Q505" s="63"/>
      <c r="R505" s="302">
        <f t="shared" si="7"/>
        <v>29410</v>
      </c>
    </row>
    <row r="506" spans="1:18" ht="19.5" customHeight="1">
      <c r="A506" s="299" t="s">
        <v>6769</v>
      </c>
      <c r="B506" s="305" t="s">
        <v>4540</v>
      </c>
      <c r="C506" s="305"/>
      <c r="D506" s="305"/>
      <c r="E506" s="305" t="s">
        <v>3229</v>
      </c>
      <c r="F506" s="305" t="s">
        <v>7331</v>
      </c>
      <c r="G506" s="305" t="s">
        <v>7332</v>
      </c>
      <c r="H506" s="305" t="s">
        <v>4541</v>
      </c>
      <c r="I506" s="305" t="s">
        <v>15</v>
      </c>
      <c r="J506" s="305" t="s">
        <v>9009</v>
      </c>
      <c r="K506" s="119">
        <v>2982</v>
      </c>
      <c r="L506" s="119">
        <v>0</v>
      </c>
      <c r="M506" s="302">
        <v>100</v>
      </c>
      <c r="N506" s="303"/>
      <c r="O506" s="302">
        <v>62</v>
      </c>
      <c r="P506" s="302"/>
      <c r="Q506" s="303"/>
      <c r="R506" s="302">
        <f t="shared" si="7"/>
        <v>38</v>
      </c>
    </row>
    <row r="507" spans="1:18" ht="19.5" customHeight="1">
      <c r="A507" s="304" t="s">
        <v>6772</v>
      </c>
      <c r="B507" s="67" t="s">
        <v>2003</v>
      </c>
      <c r="C507" s="11"/>
      <c r="D507" s="11"/>
      <c r="E507" s="502" t="s">
        <v>2004</v>
      </c>
      <c r="F507" s="502" t="s">
        <v>2006</v>
      </c>
      <c r="G507" s="502" t="s">
        <v>2007</v>
      </c>
      <c r="H507" s="502" t="s">
        <v>2005</v>
      </c>
      <c r="I507" s="502" t="s">
        <v>10</v>
      </c>
      <c r="J507" s="502" t="s">
        <v>1041</v>
      </c>
      <c r="K507" s="63">
        <v>3585</v>
      </c>
      <c r="L507" s="63">
        <v>21657</v>
      </c>
      <c r="M507" s="63">
        <v>8</v>
      </c>
      <c r="N507" s="63"/>
      <c r="O507" s="63">
        <f>1662+19271</f>
        <v>20933</v>
      </c>
      <c r="P507" s="63">
        <v>8400</v>
      </c>
      <c r="Q507" s="63"/>
      <c r="R507" s="302">
        <f t="shared" si="7"/>
        <v>732</v>
      </c>
    </row>
    <row r="508" spans="1:18" ht="19.5" customHeight="1">
      <c r="A508" s="304" t="s">
        <v>6776</v>
      </c>
      <c r="B508" s="65" t="s">
        <v>2615</v>
      </c>
      <c r="C508" s="11"/>
      <c r="D508" s="11"/>
      <c r="E508" s="116" t="s">
        <v>3645</v>
      </c>
      <c r="F508" s="116" t="s">
        <v>3233</v>
      </c>
      <c r="G508" s="116" t="s">
        <v>3234</v>
      </c>
      <c r="H508" s="116" t="s">
        <v>594</v>
      </c>
      <c r="I508" s="116" t="s">
        <v>10</v>
      </c>
      <c r="J508" s="116" t="s">
        <v>538</v>
      </c>
      <c r="K508" s="63">
        <v>436</v>
      </c>
      <c r="L508" s="63">
        <v>279</v>
      </c>
      <c r="M508" s="63">
        <v>7</v>
      </c>
      <c r="N508" s="63"/>
      <c r="O508" s="63">
        <v>286</v>
      </c>
      <c r="P508" s="63"/>
      <c r="Q508" s="63"/>
      <c r="R508" s="302">
        <f t="shared" si="7"/>
        <v>0</v>
      </c>
    </row>
    <row r="509" spans="1:18" ht="19.5" customHeight="1">
      <c r="A509" s="299" t="s">
        <v>6777</v>
      </c>
      <c r="B509" s="11" t="s">
        <v>1362</v>
      </c>
      <c r="C509" s="11"/>
      <c r="D509" s="11"/>
      <c r="E509" s="116" t="s">
        <v>1363</v>
      </c>
      <c r="F509" s="116" t="s">
        <v>1364</v>
      </c>
      <c r="G509" s="116" t="s">
        <v>360</v>
      </c>
      <c r="H509" s="116" t="s">
        <v>225</v>
      </c>
      <c r="I509" s="116" t="s">
        <v>11</v>
      </c>
      <c r="J509" s="116" t="s">
        <v>1336</v>
      </c>
      <c r="K509" s="63">
        <v>623</v>
      </c>
      <c r="L509" s="63">
        <v>126</v>
      </c>
      <c r="M509" s="63">
        <v>0</v>
      </c>
      <c r="N509" s="63"/>
      <c r="O509" s="63">
        <v>126</v>
      </c>
      <c r="P509" s="63">
        <v>57</v>
      </c>
      <c r="Q509" s="63"/>
      <c r="R509" s="302">
        <f t="shared" si="7"/>
        <v>0</v>
      </c>
    </row>
    <row r="510" spans="1:18" ht="19.5" customHeight="1">
      <c r="A510" s="2">
        <v>101</v>
      </c>
      <c r="B510" s="11" t="s">
        <v>1362</v>
      </c>
      <c r="C510" s="11"/>
      <c r="D510" s="11"/>
      <c r="E510" s="116" t="s">
        <v>1363</v>
      </c>
      <c r="F510" s="116" t="s">
        <v>1364</v>
      </c>
      <c r="G510" s="116" t="s">
        <v>360</v>
      </c>
      <c r="H510" s="116" t="s">
        <v>225</v>
      </c>
      <c r="I510" s="116" t="s">
        <v>11</v>
      </c>
      <c r="J510" s="116" t="s">
        <v>1336</v>
      </c>
      <c r="K510" s="63">
        <v>709</v>
      </c>
      <c r="L510" s="63">
        <v>299</v>
      </c>
      <c r="M510" s="63">
        <v>0</v>
      </c>
      <c r="N510" s="63"/>
      <c r="O510" s="63">
        <v>299</v>
      </c>
      <c r="P510" s="63"/>
      <c r="Q510" s="63"/>
      <c r="R510" s="302">
        <f t="shared" si="7"/>
        <v>0</v>
      </c>
    </row>
    <row r="511" spans="1:18" ht="19.5" customHeight="1">
      <c r="A511" s="299" t="s">
        <v>6780</v>
      </c>
      <c r="B511" s="305" t="s">
        <v>1636</v>
      </c>
      <c r="C511" s="305"/>
      <c r="D511" s="305"/>
      <c r="E511" s="305" t="s">
        <v>5039</v>
      </c>
      <c r="F511" s="305" t="s">
        <v>7177</v>
      </c>
      <c r="G511" s="305" t="s">
        <v>1946</v>
      </c>
      <c r="H511" s="305" t="s">
        <v>5026</v>
      </c>
      <c r="I511" s="305" t="s">
        <v>11</v>
      </c>
      <c r="J511" s="305" t="s">
        <v>3287</v>
      </c>
      <c r="K511" s="119">
        <v>1848</v>
      </c>
      <c r="L511" s="119">
        <v>0</v>
      </c>
      <c r="M511" s="302">
        <v>30000</v>
      </c>
      <c r="N511" s="303"/>
      <c r="O511" s="302">
        <v>11119</v>
      </c>
      <c r="P511" s="302"/>
      <c r="Q511" s="303"/>
      <c r="R511" s="302">
        <f t="shared" si="7"/>
        <v>18881</v>
      </c>
    </row>
    <row r="512" spans="1:18" ht="19.5" customHeight="1">
      <c r="A512" s="304" t="s">
        <v>6783</v>
      </c>
      <c r="B512" s="67" t="s">
        <v>2296</v>
      </c>
      <c r="C512" s="11"/>
      <c r="D512" s="11"/>
      <c r="E512" s="116" t="s">
        <v>151</v>
      </c>
      <c r="F512" s="116" t="s">
        <v>2297</v>
      </c>
      <c r="G512" s="116" t="s">
        <v>2253</v>
      </c>
      <c r="H512" s="116" t="s">
        <v>153</v>
      </c>
      <c r="I512" s="116" t="s">
        <v>16</v>
      </c>
      <c r="J512" s="116" t="s">
        <v>1715</v>
      </c>
      <c r="K512" s="63">
        <v>800</v>
      </c>
      <c r="L512" s="63">
        <f>2976+1169</f>
        <v>4145</v>
      </c>
      <c r="M512" s="63">
        <v>0</v>
      </c>
      <c r="N512" s="63"/>
      <c r="O512" s="63">
        <f>2976+1169</f>
        <v>4145</v>
      </c>
      <c r="P512" s="63"/>
      <c r="Q512" s="63"/>
      <c r="R512" s="302">
        <f t="shared" si="7"/>
        <v>0</v>
      </c>
    </row>
    <row r="513" spans="1:18" ht="19.5" customHeight="1">
      <c r="A513" s="304" t="s">
        <v>6786</v>
      </c>
      <c r="B513" s="70" t="s">
        <v>2106</v>
      </c>
      <c r="C513" s="11"/>
      <c r="D513" s="11"/>
      <c r="E513" s="116" t="s">
        <v>2107</v>
      </c>
      <c r="F513" s="116" t="s">
        <v>2109</v>
      </c>
      <c r="G513" s="116" t="s">
        <v>2056</v>
      </c>
      <c r="H513" s="116" t="s">
        <v>2108</v>
      </c>
      <c r="I513" s="116" t="s">
        <v>628</v>
      </c>
      <c r="J513" s="116" t="s">
        <v>1034</v>
      </c>
      <c r="K513" s="63">
        <v>124999</v>
      </c>
      <c r="L513" s="63">
        <v>10</v>
      </c>
      <c r="M513" s="63">
        <v>0</v>
      </c>
      <c r="N513" s="63"/>
      <c r="O513" s="63">
        <v>10</v>
      </c>
      <c r="P513" s="63">
        <v>10</v>
      </c>
      <c r="Q513" s="63"/>
      <c r="R513" s="302">
        <f t="shared" si="7"/>
        <v>0</v>
      </c>
    </row>
    <row r="514" spans="1:18" ht="19.5" customHeight="1">
      <c r="A514" s="299" t="s">
        <v>6796</v>
      </c>
      <c r="B514" s="307" t="s">
        <v>313</v>
      </c>
      <c r="C514" s="307"/>
      <c r="D514" s="307"/>
      <c r="E514" s="116" t="s">
        <v>502</v>
      </c>
      <c r="F514" s="116" t="s">
        <v>504</v>
      </c>
      <c r="G514" s="116" t="s">
        <v>5343</v>
      </c>
      <c r="H514" s="116" t="s">
        <v>235</v>
      </c>
      <c r="I514" s="531" t="s">
        <v>10</v>
      </c>
      <c r="J514" s="116" t="s">
        <v>8968</v>
      </c>
      <c r="K514" s="118">
        <v>473</v>
      </c>
      <c r="L514" s="308">
        <f>53+551</f>
        <v>604</v>
      </c>
      <c r="M514" s="302">
        <f>11500+800+5000+10002+10000+6500+5000</f>
        <v>48802</v>
      </c>
      <c r="N514" s="303"/>
      <c r="O514" s="302">
        <f>11500+53+551+5000+9988+1531+6500+5000</f>
        <v>40123</v>
      </c>
      <c r="P514" s="302">
        <v>114</v>
      </c>
      <c r="Q514" s="303"/>
      <c r="R514" s="302">
        <f t="shared" si="7"/>
        <v>9283</v>
      </c>
    </row>
    <row r="515" spans="1:18" ht="19.5" customHeight="1">
      <c r="A515" s="2">
        <v>102</v>
      </c>
      <c r="B515" s="11" t="s">
        <v>313</v>
      </c>
      <c r="C515" s="11"/>
      <c r="D515" s="11"/>
      <c r="E515" s="116" t="s">
        <v>2528</v>
      </c>
      <c r="F515" s="116" t="s">
        <v>3244</v>
      </c>
      <c r="G515" s="116" t="s">
        <v>3245</v>
      </c>
      <c r="H515" s="116" t="s">
        <v>315</v>
      </c>
      <c r="I515" s="116" t="s">
        <v>11</v>
      </c>
      <c r="J515" s="116" t="s">
        <v>503</v>
      </c>
      <c r="K515" s="63">
        <v>700</v>
      </c>
      <c r="L515" s="63">
        <v>6</v>
      </c>
      <c r="M515" s="63">
        <v>0</v>
      </c>
      <c r="N515" s="63"/>
      <c r="O515" s="63">
        <v>6</v>
      </c>
      <c r="P515" s="63"/>
      <c r="Q515" s="63"/>
      <c r="R515" s="302">
        <f t="shared" si="7"/>
        <v>0</v>
      </c>
    </row>
    <row r="516" spans="1:18" ht="19.5" customHeight="1">
      <c r="A516" s="299" t="s">
        <v>6801</v>
      </c>
      <c r="B516" s="11" t="s">
        <v>1365</v>
      </c>
      <c r="C516" s="11"/>
      <c r="D516" s="11"/>
      <c r="E516" s="116" t="s">
        <v>1366</v>
      </c>
      <c r="F516" s="116" t="s">
        <v>1367</v>
      </c>
      <c r="G516" s="116" t="s">
        <v>360</v>
      </c>
      <c r="H516" s="116" t="s">
        <v>310</v>
      </c>
      <c r="I516" s="116" t="s">
        <v>11</v>
      </c>
      <c r="J516" s="116" t="s">
        <v>1329</v>
      </c>
      <c r="K516" s="63">
        <v>245</v>
      </c>
      <c r="L516" s="63">
        <f>2950+1928</f>
        <v>4878</v>
      </c>
      <c r="M516" s="63">
        <v>0</v>
      </c>
      <c r="N516" s="63"/>
      <c r="O516" s="63">
        <f>2880+1464</f>
        <v>4344</v>
      </c>
      <c r="P516" s="63"/>
      <c r="Q516" s="63"/>
      <c r="R516" s="302">
        <f t="shared" si="7"/>
        <v>534</v>
      </c>
    </row>
    <row r="517" spans="1:18" ht="19.5" customHeight="1">
      <c r="A517" s="304" t="s">
        <v>6807</v>
      </c>
      <c r="B517" s="67" t="s">
        <v>2022</v>
      </c>
      <c r="C517" s="11"/>
      <c r="D517" s="11"/>
      <c r="E517" s="502" t="s">
        <v>2023</v>
      </c>
      <c r="F517" s="502" t="s">
        <v>2025</v>
      </c>
      <c r="G517" s="502" t="s">
        <v>505</v>
      </c>
      <c r="H517" s="502" t="s">
        <v>1807</v>
      </c>
      <c r="I517" s="502" t="s">
        <v>10</v>
      </c>
      <c r="J517" s="502" t="s">
        <v>2024</v>
      </c>
      <c r="K517" s="63">
        <v>1700</v>
      </c>
      <c r="L517" s="63">
        <v>1057</v>
      </c>
      <c r="M517" s="63">
        <v>20</v>
      </c>
      <c r="N517" s="63"/>
      <c r="O517" s="63">
        <v>1077</v>
      </c>
      <c r="P517" s="63"/>
      <c r="Q517" s="63"/>
      <c r="R517" s="302">
        <f t="shared" si="7"/>
        <v>0</v>
      </c>
    </row>
    <row r="518" spans="1:18" ht="19.5" customHeight="1">
      <c r="A518" s="304" t="s">
        <v>6811</v>
      </c>
      <c r="B518" s="305" t="s">
        <v>1140</v>
      </c>
      <c r="C518" s="305"/>
      <c r="D518" s="305"/>
      <c r="E518" s="305" t="s">
        <v>4544</v>
      </c>
      <c r="F518" s="305" t="s">
        <v>6616</v>
      </c>
      <c r="G518" s="305" t="s">
        <v>6617</v>
      </c>
      <c r="H518" s="305" t="s">
        <v>4545</v>
      </c>
      <c r="I518" s="305" t="s">
        <v>4240</v>
      </c>
      <c r="J518" s="305" t="s">
        <v>11460</v>
      </c>
      <c r="K518" s="119">
        <v>28400</v>
      </c>
      <c r="L518" s="119">
        <v>0</v>
      </c>
      <c r="M518" s="302">
        <v>150</v>
      </c>
      <c r="N518" s="303"/>
      <c r="O518" s="302">
        <v>6</v>
      </c>
      <c r="P518" s="302"/>
      <c r="Q518" s="303"/>
      <c r="R518" s="302">
        <f t="shared" si="7"/>
        <v>144</v>
      </c>
    </row>
    <row r="519" spans="1:18" ht="19.5" customHeight="1">
      <c r="A519" s="299" t="s">
        <v>6815</v>
      </c>
      <c r="B519" s="306" t="s">
        <v>882</v>
      </c>
      <c r="C519" s="306"/>
      <c r="D519" s="306"/>
      <c r="E519" s="116" t="s">
        <v>4210</v>
      </c>
      <c r="F519" s="116" t="s">
        <v>5603</v>
      </c>
      <c r="G519" s="116" t="s">
        <v>5604</v>
      </c>
      <c r="H519" s="306" t="s">
        <v>1580</v>
      </c>
      <c r="I519" s="306" t="s">
        <v>10</v>
      </c>
      <c r="J519" s="116" t="s">
        <v>859</v>
      </c>
      <c r="K519" s="63">
        <v>659</v>
      </c>
      <c r="L519" s="63">
        <v>0</v>
      </c>
      <c r="M519" s="302">
        <v>15990</v>
      </c>
      <c r="N519" s="303"/>
      <c r="O519" s="302">
        <v>4246</v>
      </c>
      <c r="P519" s="302"/>
      <c r="Q519" s="303"/>
      <c r="R519" s="302">
        <f t="shared" si="7"/>
        <v>11744</v>
      </c>
    </row>
    <row r="520" spans="1:18">
      <c r="A520" s="2">
        <v>103</v>
      </c>
      <c r="B520" s="11" t="s">
        <v>433</v>
      </c>
      <c r="C520" s="11"/>
      <c r="D520" s="11"/>
      <c r="E520" s="116" t="s">
        <v>2589</v>
      </c>
      <c r="F520" s="116" t="s">
        <v>3249</v>
      </c>
      <c r="G520" s="116" t="s">
        <v>3250</v>
      </c>
      <c r="H520" s="116" t="s">
        <v>272</v>
      </c>
      <c r="I520" s="116" t="s">
        <v>11</v>
      </c>
      <c r="J520" s="116" t="s">
        <v>642</v>
      </c>
      <c r="K520" s="63">
        <v>1370</v>
      </c>
      <c r="L520" s="63">
        <v>3199</v>
      </c>
      <c r="M520" s="63">
        <v>0</v>
      </c>
      <c r="N520" s="63"/>
      <c r="O520" s="63">
        <v>3199</v>
      </c>
      <c r="P520" s="63"/>
      <c r="Q520" s="63"/>
      <c r="R520" s="302">
        <f t="shared" si="7"/>
        <v>0</v>
      </c>
    </row>
    <row r="521" spans="1:18" ht="18" customHeight="1">
      <c r="A521" s="299" t="s">
        <v>6818</v>
      </c>
      <c r="B521" s="11" t="s">
        <v>1692</v>
      </c>
      <c r="C521" s="11"/>
      <c r="D521" s="11"/>
      <c r="E521" s="116" t="s">
        <v>1693</v>
      </c>
      <c r="F521" s="116" t="s">
        <v>1696</v>
      </c>
      <c r="G521" s="116" t="s">
        <v>255</v>
      </c>
      <c r="H521" s="116" t="s">
        <v>1694</v>
      </c>
      <c r="I521" s="116" t="s">
        <v>10</v>
      </c>
      <c r="J521" s="116" t="s">
        <v>1695</v>
      </c>
      <c r="K521" s="63">
        <v>4494</v>
      </c>
      <c r="L521" s="63">
        <f>2051+402+10000</f>
        <v>12453</v>
      </c>
      <c r="M521" s="63">
        <v>0</v>
      </c>
      <c r="N521" s="63"/>
      <c r="O521" s="63">
        <f>2051+402+10000</f>
        <v>12453</v>
      </c>
      <c r="P521" s="63"/>
      <c r="Q521" s="63"/>
      <c r="R521" s="302">
        <f t="shared" si="7"/>
        <v>0</v>
      </c>
    </row>
    <row r="522" spans="1:18" ht="19.5" customHeight="1">
      <c r="A522" s="304" t="s">
        <v>6823</v>
      </c>
      <c r="B522" s="305" t="s">
        <v>6388</v>
      </c>
      <c r="C522" s="305"/>
      <c r="D522" s="305"/>
      <c r="E522" s="305" t="s">
        <v>4213</v>
      </c>
      <c r="F522" s="305" t="s">
        <v>6390</v>
      </c>
      <c r="G522" s="305" t="s">
        <v>2072</v>
      </c>
      <c r="H522" s="305" t="s">
        <v>4215</v>
      </c>
      <c r="I522" s="305" t="s">
        <v>4139</v>
      </c>
      <c r="J522" s="305" t="s">
        <v>8996</v>
      </c>
      <c r="K522" s="119">
        <v>227850</v>
      </c>
      <c r="L522" s="119">
        <v>0</v>
      </c>
      <c r="M522" s="302">
        <v>2500</v>
      </c>
      <c r="N522" s="303"/>
      <c r="O522" s="302">
        <f>500+996+490+500</f>
        <v>2486</v>
      </c>
      <c r="P522" s="302"/>
      <c r="Q522" s="303"/>
      <c r="R522" s="302">
        <f t="shared" ref="R522:R585" si="8">L522+M522-O522</f>
        <v>14</v>
      </c>
    </row>
    <row r="523" spans="1:18" ht="19.5" customHeight="1">
      <c r="A523" s="304" t="s">
        <v>6826</v>
      </c>
      <c r="B523" s="64" t="s">
        <v>341</v>
      </c>
      <c r="C523" s="64"/>
      <c r="D523" s="64"/>
      <c r="E523" s="116" t="s">
        <v>2530</v>
      </c>
      <c r="F523" s="116" t="s">
        <v>343</v>
      </c>
      <c r="G523" s="116" t="s">
        <v>336</v>
      </c>
      <c r="H523" s="116" t="s">
        <v>342</v>
      </c>
      <c r="I523" s="116" t="s">
        <v>520</v>
      </c>
      <c r="J523" s="116" t="s">
        <v>3257</v>
      </c>
      <c r="K523" s="63">
        <v>499</v>
      </c>
      <c r="L523" s="63">
        <f>13+681</f>
        <v>694</v>
      </c>
      <c r="M523" s="63">
        <v>0</v>
      </c>
      <c r="N523" s="63"/>
      <c r="O523" s="63">
        <v>674</v>
      </c>
      <c r="P523" s="63">
        <v>220</v>
      </c>
      <c r="Q523" s="63"/>
      <c r="R523" s="302">
        <f t="shared" si="8"/>
        <v>20</v>
      </c>
    </row>
    <row r="524" spans="1:18" ht="19.5" customHeight="1">
      <c r="A524" s="299" t="s">
        <v>6828</v>
      </c>
      <c r="B524" s="307" t="s">
        <v>341</v>
      </c>
      <c r="C524" s="307"/>
      <c r="D524" s="307"/>
      <c r="E524" s="116" t="s">
        <v>421</v>
      </c>
      <c r="F524" s="116" t="s">
        <v>424</v>
      </c>
      <c r="G524" s="116" t="s">
        <v>414</v>
      </c>
      <c r="H524" s="116" t="s">
        <v>422</v>
      </c>
      <c r="I524" s="531" t="s">
        <v>520</v>
      </c>
      <c r="J524" s="116" t="s">
        <v>423</v>
      </c>
      <c r="K524" s="118">
        <v>980</v>
      </c>
      <c r="L524" s="308">
        <f>16+2+477</f>
        <v>495</v>
      </c>
      <c r="M524" s="302">
        <f>450+22</f>
        <v>472</v>
      </c>
      <c r="N524" s="303"/>
      <c r="O524" s="302">
        <f>187+2+499</f>
        <v>688</v>
      </c>
      <c r="P524" s="302">
        <f>110+49+420</f>
        <v>579</v>
      </c>
      <c r="Q524" s="303"/>
      <c r="R524" s="302">
        <f t="shared" si="8"/>
        <v>279</v>
      </c>
    </row>
    <row r="525" spans="1:18" ht="19.5" customHeight="1">
      <c r="A525" s="2">
        <v>104</v>
      </c>
      <c r="B525" s="67" t="s">
        <v>564</v>
      </c>
      <c r="C525" s="11"/>
      <c r="D525" s="11"/>
      <c r="E525" s="116" t="s">
        <v>565</v>
      </c>
      <c r="F525" s="116" t="s">
        <v>567</v>
      </c>
      <c r="G525" s="116" t="s">
        <v>215</v>
      </c>
      <c r="H525" s="116" t="s">
        <v>566</v>
      </c>
      <c r="I525" s="116" t="s">
        <v>11</v>
      </c>
      <c r="J525" s="116" t="s">
        <v>538</v>
      </c>
      <c r="K525" s="63">
        <v>620</v>
      </c>
      <c r="L525" s="63">
        <v>724</v>
      </c>
      <c r="M525" s="63">
        <v>420</v>
      </c>
      <c r="N525" s="63"/>
      <c r="O525" s="63">
        <f>724+420</f>
        <v>1144</v>
      </c>
      <c r="P525" s="63">
        <f>420+349</f>
        <v>769</v>
      </c>
      <c r="Q525" s="63"/>
      <c r="R525" s="302">
        <f t="shared" si="8"/>
        <v>0</v>
      </c>
    </row>
    <row r="526" spans="1:18" ht="19.5" customHeight="1">
      <c r="A526" s="299" t="s">
        <v>6831</v>
      </c>
      <c r="B526" s="305" t="s">
        <v>564</v>
      </c>
      <c r="C526" s="305"/>
      <c r="D526" s="305"/>
      <c r="E526" s="305" t="s">
        <v>4550</v>
      </c>
      <c r="F526" s="305" t="s">
        <v>1078</v>
      </c>
      <c r="G526" s="305" t="s">
        <v>336</v>
      </c>
      <c r="H526" s="305" t="s">
        <v>2532</v>
      </c>
      <c r="I526" s="305" t="s">
        <v>13</v>
      </c>
      <c r="J526" s="305" t="s">
        <v>9011</v>
      </c>
      <c r="K526" s="119">
        <v>980</v>
      </c>
      <c r="L526" s="119">
        <v>0</v>
      </c>
      <c r="M526" s="302">
        <v>500</v>
      </c>
      <c r="N526" s="303"/>
      <c r="O526" s="302"/>
      <c r="P526" s="302"/>
      <c r="Q526" s="303"/>
      <c r="R526" s="302">
        <f t="shared" si="8"/>
        <v>500</v>
      </c>
    </row>
    <row r="527" spans="1:18" ht="19.5" customHeight="1">
      <c r="A527" s="304" t="s">
        <v>6839</v>
      </c>
      <c r="B527" s="11" t="s">
        <v>564</v>
      </c>
      <c r="C527" s="11"/>
      <c r="D527" s="11"/>
      <c r="E527" s="116" t="s">
        <v>1075</v>
      </c>
      <c r="F527" s="116" t="s">
        <v>1078</v>
      </c>
      <c r="G527" s="116" t="s">
        <v>336</v>
      </c>
      <c r="H527" s="116" t="s">
        <v>1076</v>
      </c>
      <c r="I527" s="116" t="s">
        <v>1079</v>
      </c>
      <c r="J527" s="116" t="s">
        <v>1077</v>
      </c>
      <c r="K527" s="63">
        <v>1050</v>
      </c>
      <c r="L527" s="63">
        <v>274</v>
      </c>
      <c r="M527" s="63">
        <v>6</v>
      </c>
      <c r="N527" s="63"/>
      <c r="O527" s="63">
        <v>272</v>
      </c>
      <c r="P527" s="63"/>
      <c r="Q527" s="63"/>
      <c r="R527" s="302">
        <f t="shared" si="8"/>
        <v>8</v>
      </c>
    </row>
    <row r="528" spans="1:18" ht="19.5" customHeight="1">
      <c r="A528" s="304" t="s">
        <v>6840</v>
      </c>
      <c r="B528" s="305" t="s">
        <v>564</v>
      </c>
      <c r="C528" s="305"/>
      <c r="D528" s="305"/>
      <c r="E528" s="305" t="s">
        <v>4552</v>
      </c>
      <c r="F528" s="305" t="s">
        <v>7461</v>
      </c>
      <c r="G528" s="305" t="s">
        <v>1913</v>
      </c>
      <c r="H528" s="305" t="s">
        <v>566</v>
      </c>
      <c r="I528" s="305" t="s">
        <v>11</v>
      </c>
      <c r="J528" s="305" t="s">
        <v>2394</v>
      </c>
      <c r="K528" s="119">
        <v>651</v>
      </c>
      <c r="L528" s="119">
        <v>0</v>
      </c>
      <c r="M528" s="302">
        <v>80</v>
      </c>
      <c r="N528" s="303"/>
      <c r="O528" s="302">
        <v>80</v>
      </c>
      <c r="P528" s="302"/>
      <c r="Q528" s="303"/>
      <c r="R528" s="302">
        <f t="shared" si="8"/>
        <v>0</v>
      </c>
    </row>
    <row r="529" spans="1:18" ht="19.5" customHeight="1">
      <c r="A529" s="299" t="s">
        <v>6845</v>
      </c>
      <c r="B529" s="305" t="s">
        <v>392</v>
      </c>
      <c r="C529" s="305"/>
      <c r="D529" s="305"/>
      <c r="E529" s="305" t="s">
        <v>2147</v>
      </c>
      <c r="F529" s="305" t="s">
        <v>6779</v>
      </c>
      <c r="G529" s="305" t="s">
        <v>350</v>
      </c>
      <c r="H529" s="305" t="s">
        <v>267</v>
      </c>
      <c r="I529" s="305" t="s">
        <v>658</v>
      </c>
      <c r="J529" s="305" t="s">
        <v>9001</v>
      </c>
      <c r="K529" s="119">
        <v>19600</v>
      </c>
      <c r="L529" s="119">
        <v>0</v>
      </c>
      <c r="M529" s="302">
        <v>300</v>
      </c>
      <c r="N529" s="303"/>
      <c r="O529" s="302">
        <v>8</v>
      </c>
      <c r="P529" s="302"/>
      <c r="Q529" s="303"/>
      <c r="R529" s="302">
        <f t="shared" si="8"/>
        <v>292</v>
      </c>
    </row>
    <row r="530" spans="1:18" ht="19.5" customHeight="1">
      <c r="A530" s="2">
        <v>105</v>
      </c>
      <c r="B530" s="305" t="s">
        <v>4220</v>
      </c>
      <c r="C530" s="305"/>
      <c r="D530" s="305"/>
      <c r="E530" s="305" t="s">
        <v>913</v>
      </c>
      <c r="F530" s="305" t="s">
        <v>6328</v>
      </c>
      <c r="G530" s="305" t="s">
        <v>6329</v>
      </c>
      <c r="H530" s="305" t="s">
        <v>4221</v>
      </c>
      <c r="I530" s="305" t="s">
        <v>520</v>
      </c>
      <c r="J530" s="305" t="s">
        <v>8995</v>
      </c>
      <c r="K530" s="119">
        <v>88788</v>
      </c>
      <c r="L530" s="119">
        <v>0</v>
      </c>
      <c r="M530" s="302">
        <v>20</v>
      </c>
      <c r="N530" s="303"/>
      <c r="O530" s="302">
        <v>1</v>
      </c>
      <c r="P530" s="302"/>
      <c r="Q530" s="303"/>
      <c r="R530" s="302">
        <f t="shared" si="8"/>
        <v>19</v>
      </c>
    </row>
    <row r="531" spans="1:18" ht="19.5" customHeight="1">
      <c r="A531" s="299" t="s">
        <v>6849</v>
      </c>
      <c r="B531" s="11" t="s">
        <v>737</v>
      </c>
      <c r="C531" s="11"/>
      <c r="D531" s="11"/>
      <c r="E531" s="116" t="s">
        <v>738</v>
      </c>
      <c r="F531" s="116" t="s">
        <v>741</v>
      </c>
      <c r="G531" s="116" t="s">
        <v>718</v>
      </c>
      <c r="H531" s="116" t="s">
        <v>739</v>
      </c>
      <c r="I531" s="116" t="s">
        <v>628</v>
      </c>
      <c r="J531" s="116" t="s">
        <v>740</v>
      </c>
      <c r="K531" s="63">
        <v>27930</v>
      </c>
      <c r="L531" s="63">
        <f>15+637</f>
        <v>652</v>
      </c>
      <c r="M531" s="63">
        <v>0</v>
      </c>
      <c r="N531" s="63"/>
      <c r="O531" s="63">
        <v>235</v>
      </c>
      <c r="P531" s="63">
        <v>235</v>
      </c>
      <c r="Q531" s="63"/>
      <c r="R531" s="302">
        <f t="shared" si="8"/>
        <v>417</v>
      </c>
    </row>
    <row r="532" spans="1:18" ht="19.5" customHeight="1">
      <c r="A532" s="304" t="s">
        <v>6852</v>
      </c>
      <c r="B532" s="11" t="s">
        <v>2535</v>
      </c>
      <c r="C532" s="11"/>
      <c r="D532" s="11"/>
      <c r="E532" s="116" t="s">
        <v>1559</v>
      </c>
      <c r="F532" s="116" t="s">
        <v>1561</v>
      </c>
      <c r="G532" s="116" t="s">
        <v>1558</v>
      </c>
      <c r="H532" s="116" t="s">
        <v>3274</v>
      </c>
      <c r="I532" s="502" t="s">
        <v>12</v>
      </c>
      <c r="J532" s="116" t="s">
        <v>1560</v>
      </c>
      <c r="K532" s="63">
        <v>2800</v>
      </c>
      <c r="L532" s="63">
        <v>5</v>
      </c>
      <c r="M532" s="63">
        <v>0</v>
      </c>
      <c r="N532" s="63"/>
      <c r="O532" s="63">
        <v>0</v>
      </c>
      <c r="P532" s="63"/>
      <c r="Q532" s="63"/>
      <c r="R532" s="302">
        <f t="shared" si="8"/>
        <v>5</v>
      </c>
    </row>
    <row r="533" spans="1:18" ht="19.5" customHeight="1">
      <c r="A533" s="304" t="s">
        <v>6860</v>
      </c>
      <c r="B533" s="64" t="s">
        <v>256</v>
      </c>
      <c r="C533" s="64"/>
      <c r="D533" s="64"/>
      <c r="E533" s="116" t="s">
        <v>490</v>
      </c>
      <c r="F533" s="116" t="s">
        <v>491</v>
      </c>
      <c r="G533" s="116" t="s">
        <v>492</v>
      </c>
      <c r="H533" s="116" t="s">
        <v>299</v>
      </c>
      <c r="I533" s="116" t="s">
        <v>10</v>
      </c>
      <c r="J533" s="116" t="s">
        <v>1350</v>
      </c>
      <c r="K533" s="63">
        <v>998</v>
      </c>
      <c r="L533" s="63">
        <v>128</v>
      </c>
      <c r="M533" s="63">
        <v>10</v>
      </c>
      <c r="N533" s="63"/>
      <c r="O533" s="63">
        <v>88</v>
      </c>
      <c r="P533" s="63"/>
      <c r="Q533" s="63"/>
      <c r="R533" s="302">
        <f t="shared" si="8"/>
        <v>50</v>
      </c>
    </row>
    <row r="534" spans="1:18" ht="19.5" customHeight="1">
      <c r="A534" s="299" t="s">
        <v>6862</v>
      </c>
      <c r="B534" s="305" t="s">
        <v>7008</v>
      </c>
      <c r="C534" s="305"/>
      <c r="D534" s="305"/>
      <c r="E534" s="305" t="s">
        <v>4227</v>
      </c>
      <c r="F534" s="305" t="s">
        <v>7010</v>
      </c>
      <c r="G534" s="305" t="s">
        <v>7011</v>
      </c>
      <c r="H534" s="305" t="s">
        <v>4229</v>
      </c>
      <c r="I534" s="305" t="s">
        <v>12</v>
      </c>
      <c r="J534" s="305" t="s">
        <v>2660</v>
      </c>
      <c r="K534" s="119">
        <v>1386</v>
      </c>
      <c r="L534" s="119">
        <v>0</v>
      </c>
      <c r="M534" s="302">
        <v>1152</v>
      </c>
      <c r="N534" s="303"/>
      <c r="O534" s="302">
        <v>745</v>
      </c>
      <c r="P534" s="302"/>
      <c r="Q534" s="303"/>
      <c r="R534" s="302">
        <f t="shared" si="8"/>
        <v>407</v>
      </c>
    </row>
    <row r="535" spans="1:18" ht="19.5" customHeight="1">
      <c r="A535" s="2">
        <v>106</v>
      </c>
      <c r="B535" s="70" t="s">
        <v>2089</v>
      </c>
      <c r="C535" s="11"/>
      <c r="D535" s="11"/>
      <c r="E535" s="116" t="s">
        <v>2090</v>
      </c>
      <c r="F535" s="116" t="s">
        <v>2091</v>
      </c>
      <c r="G535" s="116" t="s">
        <v>2092</v>
      </c>
      <c r="H535" s="116" t="s">
        <v>327</v>
      </c>
      <c r="I535" s="116" t="s">
        <v>10</v>
      </c>
      <c r="J535" s="116" t="s">
        <v>626</v>
      </c>
      <c r="K535" s="63">
        <v>1900</v>
      </c>
      <c r="L535" s="63">
        <f>386+390</f>
        <v>776</v>
      </c>
      <c r="M535" s="63">
        <v>0</v>
      </c>
      <c r="N535" s="63"/>
      <c r="O535" s="63">
        <v>226</v>
      </c>
      <c r="P535" s="63"/>
      <c r="Q535" s="63"/>
      <c r="R535" s="302">
        <f t="shared" si="8"/>
        <v>550</v>
      </c>
    </row>
    <row r="536" spans="1:18" ht="19.5" customHeight="1">
      <c r="A536" s="299" t="s">
        <v>6864</v>
      </c>
      <c r="B536" s="305" t="s">
        <v>560</v>
      </c>
      <c r="C536" s="305"/>
      <c r="D536" s="305"/>
      <c r="E536" s="305" t="s">
        <v>4234</v>
      </c>
      <c r="F536" s="305" t="s">
        <v>6995</v>
      </c>
      <c r="G536" s="305" t="s">
        <v>6996</v>
      </c>
      <c r="H536" s="305" t="s">
        <v>4235</v>
      </c>
      <c r="I536" s="305" t="s">
        <v>520</v>
      </c>
      <c r="J536" s="305" t="s">
        <v>9003</v>
      </c>
      <c r="K536" s="119">
        <v>2200</v>
      </c>
      <c r="L536" s="119">
        <v>0</v>
      </c>
      <c r="M536" s="302">
        <v>9984</v>
      </c>
      <c r="N536" s="303"/>
      <c r="O536" s="302">
        <v>7101</v>
      </c>
      <c r="P536" s="302"/>
      <c r="Q536" s="303"/>
      <c r="R536" s="302">
        <f t="shared" si="8"/>
        <v>2883</v>
      </c>
    </row>
    <row r="537" spans="1:18" ht="19.5" customHeight="1">
      <c r="A537" s="304" t="s">
        <v>6868</v>
      </c>
      <c r="B537" s="11" t="s">
        <v>729</v>
      </c>
      <c r="C537" s="11"/>
      <c r="D537" s="11"/>
      <c r="E537" s="116" t="s">
        <v>1105</v>
      </c>
      <c r="F537" s="116" t="s">
        <v>1107</v>
      </c>
      <c r="G537" s="116" t="s">
        <v>1108</v>
      </c>
      <c r="H537" s="116" t="s">
        <v>849</v>
      </c>
      <c r="I537" s="116" t="s">
        <v>13</v>
      </c>
      <c r="J537" s="116" t="s">
        <v>1106</v>
      </c>
      <c r="K537" s="63">
        <v>3300</v>
      </c>
      <c r="L537" s="63">
        <v>1951</v>
      </c>
      <c r="M537" s="63">
        <v>0</v>
      </c>
      <c r="N537" s="63"/>
      <c r="O537" s="63">
        <v>1951</v>
      </c>
      <c r="P537" s="63"/>
      <c r="Q537" s="63"/>
      <c r="R537" s="302">
        <f t="shared" si="8"/>
        <v>0</v>
      </c>
    </row>
    <row r="538" spans="1:18" ht="19.5" customHeight="1">
      <c r="A538" s="304" t="s">
        <v>6870</v>
      </c>
      <c r="B538" s="305" t="s">
        <v>1800</v>
      </c>
      <c r="C538" s="305"/>
      <c r="D538" s="305"/>
      <c r="E538" s="305" t="s">
        <v>4237</v>
      </c>
      <c r="F538" s="305" t="s">
        <v>8307</v>
      </c>
      <c r="G538" s="305" t="s">
        <v>6102</v>
      </c>
      <c r="H538" s="305" t="s">
        <v>229</v>
      </c>
      <c r="I538" s="305" t="s">
        <v>11</v>
      </c>
      <c r="J538" s="116" t="s">
        <v>1066</v>
      </c>
      <c r="K538" s="119">
        <v>2500</v>
      </c>
      <c r="L538" s="119">
        <v>0</v>
      </c>
      <c r="M538" s="302">
        <v>3000</v>
      </c>
      <c r="N538" s="303"/>
      <c r="O538" s="302"/>
      <c r="P538" s="302"/>
      <c r="Q538" s="303"/>
      <c r="R538" s="302">
        <f t="shared" si="8"/>
        <v>3000</v>
      </c>
    </row>
    <row r="539" spans="1:18" ht="19.5" customHeight="1">
      <c r="A539" s="299" t="s">
        <v>6871</v>
      </c>
      <c r="B539" s="307" t="s">
        <v>242</v>
      </c>
      <c r="C539" s="307"/>
      <c r="D539" s="307"/>
      <c r="E539" s="116" t="s">
        <v>4903</v>
      </c>
      <c r="F539" s="116" t="s">
        <v>244</v>
      </c>
      <c r="G539" s="116" t="s">
        <v>245</v>
      </c>
      <c r="H539" s="116" t="s">
        <v>243</v>
      </c>
      <c r="I539" s="531" t="s">
        <v>520</v>
      </c>
      <c r="J539" s="116" t="s">
        <v>241</v>
      </c>
      <c r="K539" s="118">
        <v>3255</v>
      </c>
      <c r="L539" s="308">
        <v>192</v>
      </c>
      <c r="M539" s="302">
        <v>100</v>
      </c>
      <c r="N539" s="303"/>
      <c r="O539" s="302">
        <v>136</v>
      </c>
      <c r="P539" s="302">
        <v>50</v>
      </c>
      <c r="Q539" s="303"/>
      <c r="R539" s="302">
        <f t="shared" si="8"/>
        <v>156</v>
      </c>
    </row>
    <row r="540" spans="1:18" ht="19.5" customHeight="1">
      <c r="A540" s="2">
        <v>107</v>
      </c>
      <c r="B540" s="305" t="s">
        <v>639</v>
      </c>
      <c r="C540" s="305"/>
      <c r="D540" s="305"/>
      <c r="E540" s="305" t="s">
        <v>4239</v>
      </c>
      <c r="F540" s="305" t="s">
        <v>7412</v>
      </c>
      <c r="G540" s="305" t="s">
        <v>7413</v>
      </c>
      <c r="H540" s="305" t="s">
        <v>2435</v>
      </c>
      <c r="I540" s="305" t="s">
        <v>4240</v>
      </c>
      <c r="J540" s="305" t="s">
        <v>9010</v>
      </c>
      <c r="K540" s="119">
        <v>4095</v>
      </c>
      <c r="L540" s="119">
        <v>0</v>
      </c>
      <c r="M540" s="302">
        <v>40</v>
      </c>
      <c r="N540" s="303"/>
      <c r="O540" s="302">
        <v>40</v>
      </c>
      <c r="P540" s="302"/>
      <c r="Q540" s="303"/>
      <c r="R540" s="302">
        <f t="shared" si="8"/>
        <v>0</v>
      </c>
    </row>
    <row r="541" spans="1:18" ht="19.5" customHeight="1">
      <c r="A541" s="299" t="s">
        <v>6880</v>
      </c>
      <c r="B541" s="11" t="s">
        <v>750</v>
      </c>
      <c r="C541" s="11"/>
      <c r="D541" s="11"/>
      <c r="E541" s="116" t="s">
        <v>1369</v>
      </c>
      <c r="F541" s="116" t="s">
        <v>1372</v>
      </c>
      <c r="G541" s="116" t="s">
        <v>360</v>
      </c>
      <c r="H541" s="116" t="s">
        <v>1370</v>
      </c>
      <c r="I541" s="116" t="s">
        <v>11</v>
      </c>
      <c r="J541" s="116" t="s">
        <v>1371</v>
      </c>
      <c r="K541" s="63">
        <v>61</v>
      </c>
      <c r="L541" s="63">
        <v>3</v>
      </c>
      <c r="M541" s="63">
        <v>0</v>
      </c>
      <c r="N541" s="63"/>
      <c r="O541" s="63">
        <v>3</v>
      </c>
      <c r="P541" s="63"/>
      <c r="Q541" s="63"/>
      <c r="R541" s="302">
        <f t="shared" si="8"/>
        <v>0</v>
      </c>
    </row>
    <row r="542" spans="1:18" ht="19.5" customHeight="1">
      <c r="A542" s="304" t="s">
        <v>6887</v>
      </c>
      <c r="B542" s="305" t="s">
        <v>750</v>
      </c>
      <c r="C542" s="305"/>
      <c r="D542" s="305"/>
      <c r="E542" s="305" t="s">
        <v>1369</v>
      </c>
      <c r="F542" s="305" t="s">
        <v>7605</v>
      </c>
      <c r="G542" s="305" t="s">
        <v>7001</v>
      </c>
      <c r="H542" s="305" t="s">
        <v>833</v>
      </c>
      <c r="I542" s="305" t="s">
        <v>11</v>
      </c>
      <c r="J542" s="116" t="s">
        <v>859</v>
      </c>
      <c r="K542" s="119">
        <v>84</v>
      </c>
      <c r="L542" s="119">
        <v>0</v>
      </c>
      <c r="M542" s="302">
        <f>9990+18010+15000</f>
        <v>43000</v>
      </c>
      <c r="N542" s="303"/>
      <c r="O542" s="302">
        <f>5000+9511+15000</f>
        <v>29511</v>
      </c>
      <c r="P542" s="302"/>
      <c r="Q542" s="303"/>
      <c r="R542" s="302">
        <f t="shared" si="8"/>
        <v>13489</v>
      </c>
    </row>
    <row r="543" spans="1:18" ht="19.5" customHeight="1">
      <c r="A543" s="304" t="s">
        <v>6890</v>
      </c>
      <c r="B543" s="307" t="s">
        <v>227</v>
      </c>
      <c r="C543" s="307"/>
      <c r="D543" s="307"/>
      <c r="E543" s="116" t="s">
        <v>397</v>
      </c>
      <c r="F543" s="116" t="s">
        <v>399</v>
      </c>
      <c r="G543" s="116" t="s">
        <v>360</v>
      </c>
      <c r="H543" s="116" t="s">
        <v>398</v>
      </c>
      <c r="I543" s="531" t="s">
        <v>10</v>
      </c>
      <c r="J543" s="116" t="s">
        <v>859</v>
      </c>
      <c r="K543" s="118">
        <v>89</v>
      </c>
      <c r="L543" s="308">
        <v>0</v>
      </c>
      <c r="M543" s="302">
        <f>48042+24000+24000+24068+10000+23000+50000+24000</f>
        <v>227110</v>
      </c>
      <c r="N543" s="303"/>
      <c r="O543" s="302">
        <f>48042+24000+24000+24068+10000+32000+24000</f>
        <v>186110</v>
      </c>
      <c r="P543" s="302"/>
      <c r="Q543" s="303"/>
      <c r="R543" s="302">
        <f t="shared" si="8"/>
        <v>41000</v>
      </c>
    </row>
    <row r="544" spans="1:18" ht="19.5" customHeight="1">
      <c r="A544" s="299" t="s">
        <v>6896</v>
      </c>
      <c r="B544" s="307" t="s">
        <v>227</v>
      </c>
      <c r="C544" s="307"/>
      <c r="D544" s="307"/>
      <c r="E544" s="116" t="s">
        <v>527</v>
      </c>
      <c r="F544" s="116" t="s">
        <v>528</v>
      </c>
      <c r="G544" s="116" t="s">
        <v>529</v>
      </c>
      <c r="H544" s="116" t="s">
        <v>225</v>
      </c>
      <c r="I544" s="531" t="s">
        <v>410</v>
      </c>
      <c r="J544" s="116" t="s">
        <v>8964</v>
      </c>
      <c r="K544" s="118">
        <v>1954</v>
      </c>
      <c r="L544" s="308">
        <v>4353</v>
      </c>
      <c r="M544" s="302">
        <f>26+10045</f>
        <v>10071</v>
      </c>
      <c r="N544" s="303"/>
      <c r="O544" s="302">
        <f>4379+3606</f>
        <v>7985</v>
      </c>
      <c r="P544" s="302">
        <v>90</v>
      </c>
      <c r="Q544" s="303"/>
      <c r="R544" s="302">
        <f t="shared" si="8"/>
        <v>6439</v>
      </c>
    </row>
    <row r="545" spans="1:18" ht="19.5" customHeight="1">
      <c r="A545" s="2">
        <v>108</v>
      </c>
      <c r="B545" s="67" t="s">
        <v>661</v>
      </c>
      <c r="C545" s="11"/>
      <c r="D545" s="11"/>
      <c r="E545" s="116" t="s">
        <v>662</v>
      </c>
      <c r="F545" s="116" t="s">
        <v>664</v>
      </c>
      <c r="G545" s="116" t="s">
        <v>245</v>
      </c>
      <c r="H545" s="116" t="s">
        <v>663</v>
      </c>
      <c r="I545" s="116" t="s">
        <v>11</v>
      </c>
      <c r="J545" s="116" t="s">
        <v>538</v>
      </c>
      <c r="K545" s="63">
        <v>1554</v>
      </c>
      <c r="L545" s="63">
        <v>3289</v>
      </c>
      <c r="M545" s="63">
        <v>4</v>
      </c>
      <c r="N545" s="63"/>
      <c r="O545" s="63">
        <v>3169</v>
      </c>
      <c r="P545" s="63"/>
      <c r="Q545" s="63"/>
      <c r="R545" s="302">
        <f t="shared" si="8"/>
        <v>124</v>
      </c>
    </row>
    <row r="546" spans="1:18" ht="19.5" customHeight="1">
      <c r="A546" s="299" t="s">
        <v>6901</v>
      </c>
      <c r="B546" s="67" t="s">
        <v>996</v>
      </c>
      <c r="C546" s="11"/>
      <c r="D546" s="11"/>
      <c r="E546" s="116" t="s">
        <v>2143</v>
      </c>
      <c r="F546" s="116" t="s">
        <v>2145</v>
      </c>
      <c r="G546" s="116" t="s">
        <v>2137</v>
      </c>
      <c r="H546" s="116" t="s">
        <v>17</v>
      </c>
      <c r="I546" s="116" t="s">
        <v>10</v>
      </c>
      <c r="J546" s="116" t="s">
        <v>2144</v>
      </c>
      <c r="K546" s="63">
        <v>1900</v>
      </c>
      <c r="L546" s="63">
        <v>2</v>
      </c>
      <c r="M546" s="63">
        <v>0</v>
      </c>
      <c r="N546" s="63"/>
      <c r="O546" s="63">
        <v>2</v>
      </c>
      <c r="P546" s="63"/>
      <c r="Q546" s="63"/>
      <c r="R546" s="302">
        <f t="shared" si="8"/>
        <v>0</v>
      </c>
    </row>
    <row r="547" spans="1:18" ht="19.5" customHeight="1">
      <c r="A547" s="304" t="s">
        <v>6908</v>
      </c>
      <c r="B547" s="64" t="s">
        <v>395</v>
      </c>
      <c r="C547" s="64"/>
      <c r="D547" s="64"/>
      <c r="E547" s="116" t="s">
        <v>395</v>
      </c>
      <c r="F547" s="116" t="s">
        <v>396</v>
      </c>
      <c r="G547" s="116" t="s">
        <v>360</v>
      </c>
      <c r="H547" s="116" t="s">
        <v>267</v>
      </c>
      <c r="I547" s="116" t="s">
        <v>10</v>
      </c>
      <c r="J547" s="116" t="s">
        <v>1329</v>
      </c>
      <c r="K547" s="63">
        <v>326</v>
      </c>
      <c r="L547" s="63">
        <v>0</v>
      </c>
      <c r="M547" s="63">
        <v>30000</v>
      </c>
      <c r="N547" s="63"/>
      <c r="O547" s="63">
        <v>29679</v>
      </c>
      <c r="P547" s="63">
        <v>140</v>
      </c>
      <c r="Q547" s="63"/>
      <c r="R547" s="302">
        <f t="shared" si="8"/>
        <v>321</v>
      </c>
    </row>
    <row r="548" spans="1:18" ht="19.5" customHeight="1">
      <c r="A548" s="304" t="s">
        <v>6911</v>
      </c>
      <c r="B548" s="307" t="s">
        <v>227</v>
      </c>
      <c r="C548" s="307"/>
      <c r="D548" s="307"/>
      <c r="E548" s="116" t="s">
        <v>4912</v>
      </c>
      <c r="F548" s="116" t="s">
        <v>478</v>
      </c>
      <c r="G548" s="116" t="s">
        <v>473</v>
      </c>
      <c r="H548" s="116" t="s">
        <v>225</v>
      </c>
      <c r="I548" s="531" t="s">
        <v>10</v>
      </c>
      <c r="J548" s="116" t="s">
        <v>547</v>
      </c>
      <c r="K548" s="118">
        <v>76</v>
      </c>
      <c r="L548" s="308">
        <v>0</v>
      </c>
      <c r="M548" s="302">
        <v>28000</v>
      </c>
      <c r="N548" s="303"/>
      <c r="O548" s="302">
        <v>23000</v>
      </c>
      <c r="P548" s="302"/>
      <c r="Q548" s="303"/>
      <c r="R548" s="302">
        <f t="shared" si="8"/>
        <v>5000</v>
      </c>
    </row>
    <row r="549" spans="1:18" ht="19.5" customHeight="1">
      <c r="A549" s="299" t="s">
        <v>6917</v>
      </c>
      <c r="B549" s="305" t="s">
        <v>750</v>
      </c>
      <c r="C549" s="305"/>
      <c r="D549" s="305"/>
      <c r="E549" s="305" t="s">
        <v>1771</v>
      </c>
      <c r="F549" s="305" t="s">
        <v>1773</v>
      </c>
      <c r="G549" s="305" t="s">
        <v>6510</v>
      </c>
      <c r="H549" s="305" t="s">
        <v>1772</v>
      </c>
      <c r="I549" s="305" t="s">
        <v>15</v>
      </c>
      <c r="J549" s="305" t="s">
        <v>9000</v>
      </c>
      <c r="K549" s="119">
        <v>15740</v>
      </c>
      <c r="L549" s="119">
        <v>0</v>
      </c>
      <c r="M549" s="302">
        <f>480+40+440</f>
        <v>960</v>
      </c>
      <c r="N549" s="303"/>
      <c r="O549" s="302">
        <f>233+36</f>
        <v>269</v>
      </c>
      <c r="P549" s="302">
        <v>10</v>
      </c>
      <c r="Q549" s="303"/>
      <c r="R549" s="302">
        <f t="shared" si="8"/>
        <v>691</v>
      </c>
    </row>
    <row r="550" spans="1:18" ht="19.5" customHeight="1">
      <c r="A550" s="2">
        <v>109</v>
      </c>
      <c r="B550" s="64" t="s">
        <v>227</v>
      </c>
      <c r="C550" s="64"/>
      <c r="D550" s="64"/>
      <c r="E550" s="116" t="s">
        <v>450</v>
      </c>
      <c r="F550" s="116" t="s">
        <v>452</v>
      </c>
      <c r="G550" s="116" t="s">
        <v>449</v>
      </c>
      <c r="H550" s="116" t="s">
        <v>272</v>
      </c>
      <c r="I550" s="116" t="s">
        <v>12</v>
      </c>
      <c r="J550" s="116" t="s">
        <v>451</v>
      </c>
      <c r="K550" s="63">
        <v>1235</v>
      </c>
      <c r="L550" s="63">
        <v>4332</v>
      </c>
      <c r="M550" s="63">
        <v>13</v>
      </c>
      <c r="N550" s="63"/>
      <c r="O550" s="63">
        <v>4345</v>
      </c>
      <c r="P550" s="63"/>
      <c r="Q550" s="63"/>
      <c r="R550" s="302">
        <f t="shared" si="8"/>
        <v>0</v>
      </c>
    </row>
    <row r="551" spans="1:18" ht="19.5" customHeight="1">
      <c r="A551" s="299" t="s">
        <v>6924</v>
      </c>
      <c r="B551" s="11" t="s">
        <v>751</v>
      </c>
      <c r="C551" s="11"/>
      <c r="D551" s="11"/>
      <c r="E551" s="116" t="s">
        <v>752</v>
      </c>
      <c r="F551" s="116" t="s">
        <v>755</v>
      </c>
      <c r="G551" s="116" t="s">
        <v>756</v>
      </c>
      <c r="H551" s="116" t="s">
        <v>753</v>
      </c>
      <c r="I551" s="116" t="s">
        <v>10</v>
      </c>
      <c r="J551" s="116" t="s">
        <v>754</v>
      </c>
      <c r="K551" s="63">
        <v>7350</v>
      </c>
      <c r="L551" s="63">
        <v>3251</v>
      </c>
      <c r="M551" s="63">
        <v>45</v>
      </c>
      <c r="N551" s="63"/>
      <c r="O551" s="63">
        <v>3296</v>
      </c>
      <c r="P551" s="63"/>
      <c r="Q551" s="63"/>
      <c r="R551" s="302">
        <f t="shared" si="8"/>
        <v>0</v>
      </c>
    </row>
    <row r="552" spans="1:18" ht="19.5" customHeight="1">
      <c r="A552" s="304" t="s">
        <v>6930</v>
      </c>
      <c r="B552" s="305" t="s">
        <v>4248</v>
      </c>
      <c r="C552" s="305"/>
      <c r="D552" s="305"/>
      <c r="E552" s="305" t="s">
        <v>4247</v>
      </c>
      <c r="F552" s="305" t="s">
        <v>7624</v>
      </c>
      <c r="G552" s="305" t="s">
        <v>7625</v>
      </c>
      <c r="H552" s="305" t="s">
        <v>4249</v>
      </c>
      <c r="I552" s="305" t="s">
        <v>11</v>
      </c>
      <c r="J552" s="116" t="s">
        <v>859</v>
      </c>
      <c r="K552" s="119">
        <v>1974</v>
      </c>
      <c r="L552" s="119">
        <v>0</v>
      </c>
      <c r="M552" s="302">
        <v>30000</v>
      </c>
      <c r="N552" s="303"/>
      <c r="O552" s="302">
        <v>27948</v>
      </c>
      <c r="P552" s="302">
        <v>20</v>
      </c>
      <c r="Q552" s="303"/>
      <c r="R552" s="302">
        <f t="shared" si="8"/>
        <v>2052</v>
      </c>
    </row>
    <row r="553" spans="1:18" ht="19.5" customHeight="1">
      <c r="A553" s="304" t="s">
        <v>6934</v>
      </c>
      <c r="B553" s="305" t="s">
        <v>788</v>
      </c>
      <c r="C553" s="305"/>
      <c r="D553" s="305"/>
      <c r="E553" s="305" t="s">
        <v>4252</v>
      </c>
      <c r="F553" s="305" t="s">
        <v>6144</v>
      </c>
      <c r="G553" s="305" t="s">
        <v>954</v>
      </c>
      <c r="H553" s="305" t="s">
        <v>390</v>
      </c>
      <c r="I553" s="305" t="s">
        <v>11</v>
      </c>
      <c r="J553" s="116" t="s">
        <v>859</v>
      </c>
      <c r="K553" s="119">
        <v>1515</v>
      </c>
      <c r="L553" s="119">
        <v>0</v>
      </c>
      <c r="M553" s="302">
        <v>3000</v>
      </c>
      <c r="N553" s="303"/>
      <c r="O553" s="302">
        <v>196</v>
      </c>
      <c r="P553" s="302"/>
      <c r="Q553" s="303"/>
      <c r="R553" s="302">
        <f t="shared" si="8"/>
        <v>2804</v>
      </c>
    </row>
    <row r="554" spans="1:18" ht="19.5" customHeight="1">
      <c r="A554" s="299" t="s">
        <v>6937</v>
      </c>
      <c r="B554" s="11" t="s">
        <v>1514</v>
      </c>
      <c r="C554" s="11"/>
      <c r="D554" s="11"/>
      <c r="E554" s="116" t="s">
        <v>1515</v>
      </c>
      <c r="F554" s="116" t="s">
        <v>1518</v>
      </c>
      <c r="G554" s="116" t="s">
        <v>1519</v>
      </c>
      <c r="H554" s="116" t="s">
        <v>1516</v>
      </c>
      <c r="I554" s="116" t="s">
        <v>10</v>
      </c>
      <c r="J554" s="116" t="s">
        <v>1517</v>
      </c>
      <c r="K554" s="63">
        <v>3900</v>
      </c>
      <c r="L554" s="63">
        <v>10</v>
      </c>
      <c r="M554" s="63"/>
      <c r="N554" s="63"/>
      <c r="O554" s="63">
        <v>10</v>
      </c>
      <c r="P554" s="63"/>
      <c r="Q554" s="63"/>
      <c r="R554" s="302">
        <f t="shared" si="8"/>
        <v>0</v>
      </c>
    </row>
    <row r="555" spans="1:18" ht="19.5" customHeight="1">
      <c r="A555" s="2">
        <v>110</v>
      </c>
      <c r="B555" s="67" t="s">
        <v>1163</v>
      </c>
      <c r="C555" s="11"/>
      <c r="D555" s="11"/>
      <c r="E555" s="502" t="s">
        <v>1164</v>
      </c>
      <c r="F555" s="502" t="s">
        <v>1166</v>
      </c>
      <c r="G555" s="502" t="s">
        <v>1159</v>
      </c>
      <c r="H555" s="502" t="s">
        <v>1165</v>
      </c>
      <c r="I555" s="502" t="s">
        <v>11</v>
      </c>
      <c r="J555" s="502" t="s">
        <v>623</v>
      </c>
      <c r="K555" s="63">
        <v>3990</v>
      </c>
      <c r="L555" s="63">
        <v>4454</v>
      </c>
      <c r="M555" s="63">
        <v>0</v>
      </c>
      <c r="N555" s="63"/>
      <c r="O555" s="63">
        <v>4454</v>
      </c>
      <c r="P555" s="63"/>
      <c r="Q555" s="63"/>
      <c r="R555" s="302">
        <f t="shared" si="8"/>
        <v>0</v>
      </c>
    </row>
    <row r="556" spans="1:18" ht="19.5" customHeight="1">
      <c r="A556" s="299" t="s">
        <v>6943</v>
      </c>
      <c r="B556" s="11" t="s">
        <v>1376</v>
      </c>
      <c r="C556" s="11"/>
      <c r="D556" s="11"/>
      <c r="E556" s="116" t="s">
        <v>1407</v>
      </c>
      <c r="F556" s="116" t="s">
        <v>1409</v>
      </c>
      <c r="G556" s="116" t="s">
        <v>407</v>
      </c>
      <c r="H556" s="116" t="s">
        <v>1408</v>
      </c>
      <c r="I556" s="116" t="s">
        <v>11</v>
      </c>
      <c r="J556" s="116" t="s">
        <v>1237</v>
      </c>
      <c r="K556" s="63">
        <v>2800</v>
      </c>
      <c r="L556" s="63">
        <v>2131</v>
      </c>
      <c r="M556" s="63">
        <v>34</v>
      </c>
      <c r="N556" s="63"/>
      <c r="O556" s="63">
        <v>2165</v>
      </c>
      <c r="P556" s="63"/>
      <c r="Q556" s="63"/>
      <c r="R556" s="302">
        <f t="shared" si="8"/>
        <v>0</v>
      </c>
    </row>
    <row r="557" spans="1:18" ht="19.5" customHeight="1">
      <c r="A557" s="304" t="s">
        <v>6947</v>
      </c>
      <c r="B557" s="309" t="s">
        <v>155</v>
      </c>
      <c r="C557" s="309"/>
      <c r="D557" s="309"/>
      <c r="E557" s="309" t="s">
        <v>8874</v>
      </c>
      <c r="F557" s="309" t="s">
        <v>2199</v>
      </c>
      <c r="G557" s="309" t="s">
        <v>8876</v>
      </c>
      <c r="H557" s="309" t="s">
        <v>8873</v>
      </c>
      <c r="I557" s="309" t="s">
        <v>4717</v>
      </c>
      <c r="J557" s="309" t="s">
        <v>9032</v>
      </c>
      <c r="K557" s="63">
        <v>6000</v>
      </c>
      <c r="L557" s="310">
        <v>0</v>
      </c>
      <c r="M557" s="302">
        <v>2997</v>
      </c>
      <c r="N557" s="303"/>
      <c r="O557" s="302">
        <v>1579</v>
      </c>
      <c r="P557" s="302"/>
      <c r="Q557" s="303"/>
      <c r="R557" s="302">
        <f t="shared" si="8"/>
        <v>1418</v>
      </c>
    </row>
    <row r="558" spans="1:18" ht="19.5" customHeight="1">
      <c r="A558" s="304" t="s">
        <v>6955</v>
      </c>
      <c r="B558" s="309" t="s">
        <v>8812</v>
      </c>
      <c r="C558" s="309"/>
      <c r="D558" s="309"/>
      <c r="E558" s="309" t="s">
        <v>4719</v>
      </c>
      <c r="F558" s="309" t="s">
        <v>8814</v>
      </c>
      <c r="G558" s="309" t="s">
        <v>2253</v>
      </c>
      <c r="H558" s="309" t="s">
        <v>8813</v>
      </c>
      <c r="I558" s="309" t="s">
        <v>15</v>
      </c>
      <c r="J558" s="309" t="s">
        <v>9025</v>
      </c>
      <c r="K558" s="63">
        <v>32000</v>
      </c>
      <c r="L558" s="310"/>
      <c r="M558" s="302">
        <v>600</v>
      </c>
      <c r="N558" s="303"/>
      <c r="O558" s="302">
        <v>310</v>
      </c>
      <c r="P558" s="302"/>
      <c r="Q558" s="303"/>
      <c r="R558" s="302">
        <f t="shared" si="8"/>
        <v>290</v>
      </c>
    </row>
    <row r="559" spans="1:18" ht="19.5" customHeight="1">
      <c r="A559" s="299" t="s">
        <v>6961</v>
      </c>
      <c r="B559" s="78" t="s">
        <v>2159</v>
      </c>
      <c r="C559" s="4"/>
      <c r="D559" s="4"/>
      <c r="E559" s="117" t="s">
        <v>11403</v>
      </c>
      <c r="F559" s="117" t="s">
        <v>2160</v>
      </c>
      <c r="G559" s="117" t="s">
        <v>2161</v>
      </c>
      <c r="H559" s="117" t="s">
        <v>158</v>
      </c>
      <c r="I559" s="117" t="s">
        <v>11</v>
      </c>
      <c r="J559" s="117" t="s">
        <v>660</v>
      </c>
      <c r="K559" s="63">
        <v>4500</v>
      </c>
      <c r="L559" s="478">
        <v>7</v>
      </c>
      <c r="M559" s="478">
        <v>0</v>
      </c>
      <c r="N559" s="478"/>
      <c r="O559" s="478">
        <v>7</v>
      </c>
      <c r="P559" s="478"/>
      <c r="Q559" s="478"/>
      <c r="R559" s="302">
        <f t="shared" si="8"/>
        <v>0</v>
      </c>
    </row>
    <row r="560" spans="1:18" ht="19.5" customHeight="1">
      <c r="A560" s="2">
        <v>111</v>
      </c>
      <c r="B560" s="67" t="s">
        <v>2228</v>
      </c>
      <c r="C560" s="4"/>
      <c r="D560" s="4"/>
      <c r="E560" s="502" t="s">
        <v>159</v>
      </c>
      <c r="F560" s="511" t="s">
        <v>2230</v>
      </c>
      <c r="G560" s="511" t="s">
        <v>2227</v>
      </c>
      <c r="H560" s="511" t="s">
        <v>160</v>
      </c>
      <c r="I560" s="117" t="s">
        <v>14</v>
      </c>
      <c r="J560" s="511" t="s">
        <v>2229</v>
      </c>
      <c r="K560" s="63">
        <v>44400</v>
      </c>
      <c r="L560" s="63">
        <v>1484</v>
      </c>
      <c r="M560" s="63">
        <v>0</v>
      </c>
      <c r="N560" s="63"/>
      <c r="O560" s="63">
        <v>1484</v>
      </c>
      <c r="P560" s="63"/>
      <c r="Q560" s="63"/>
      <c r="R560" s="302">
        <f t="shared" si="8"/>
        <v>0</v>
      </c>
    </row>
    <row r="561" spans="1:18" ht="19.5" customHeight="1">
      <c r="A561" s="299" t="s">
        <v>6964</v>
      </c>
      <c r="B561" s="309" t="s">
        <v>162</v>
      </c>
      <c r="C561" s="309"/>
      <c r="D561" s="309"/>
      <c r="E561" s="309" t="s">
        <v>161</v>
      </c>
      <c r="F561" s="309" t="s">
        <v>8763</v>
      </c>
      <c r="G561" s="309" t="s">
        <v>2397</v>
      </c>
      <c r="H561" s="309" t="s">
        <v>3297</v>
      </c>
      <c r="I561" s="309" t="s">
        <v>11</v>
      </c>
      <c r="J561" s="309" t="s">
        <v>9019</v>
      </c>
      <c r="K561" s="63">
        <v>1680</v>
      </c>
      <c r="L561" s="310">
        <v>3324</v>
      </c>
      <c r="M561" s="302">
        <v>5000</v>
      </c>
      <c r="N561" s="303"/>
      <c r="O561" s="302">
        <f>3324+28</f>
        <v>3352</v>
      </c>
      <c r="P561" s="302"/>
      <c r="Q561" s="303"/>
      <c r="R561" s="302">
        <f t="shared" si="8"/>
        <v>4972</v>
      </c>
    </row>
    <row r="562" spans="1:18" ht="19.5" customHeight="1">
      <c r="A562" s="304" t="s">
        <v>6969</v>
      </c>
      <c r="B562" s="67" t="s">
        <v>792</v>
      </c>
      <c r="C562" s="11"/>
      <c r="D562" s="11"/>
      <c r="E562" s="116" t="s">
        <v>793</v>
      </c>
      <c r="F562" s="116" t="s">
        <v>795</v>
      </c>
      <c r="G562" s="116" t="s">
        <v>796</v>
      </c>
      <c r="H562" s="116" t="s">
        <v>794</v>
      </c>
      <c r="I562" s="116" t="s">
        <v>520</v>
      </c>
      <c r="J562" s="116" t="s">
        <v>241</v>
      </c>
      <c r="K562" s="63">
        <v>13500</v>
      </c>
      <c r="L562" s="63">
        <v>86</v>
      </c>
      <c r="M562" s="63">
        <v>1</v>
      </c>
      <c r="N562" s="63"/>
      <c r="O562" s="63">
        <v>77</v>
      </c>
      <c r="P562" s="63"/>
      <c r="Q562" s="63"/>
      <c r="R562" s="302">
        <f t="shared" si="8"/>
        <v>10</v>
      </c>
    </row>
    <row r="563" spans="1:18" ht="19.5" customHeight="1">
      <c r="A563" s="304" t="s">
        <v>6971</v>
      </c>
      <c r="B563" s="305" t="s">
        <v>792</v>
      </c>
      <c r="C563" s="305"/>
      <c r="D563" s="305"/>
      <c r="E563" s="305" t="s">
        <v>793</v>
      </c>
      <c r="F563" s="305" t="s">
        <v>795</v>
      </c>
      <c r="G563" s="305" t="s">
        <v>505</v>
      </c>
      <c r="H563" s="305" t="s">
        <v>794</v>
      </c>
      <c r="I563" s="305" t="s">
        <v>520</v>
      </c>
      <c r="J563" s="305" t="s">
        <v>8998</v>
      </c>
      <c r="K563" s="119">
        <v>13520</v>
      </c>
      <c r="L563" s="119">
        <v>0</v>
      </c>
      <c r="M563" s="302">
        <v>200</v>
      </c>
      <c r="N563" s="303"/>
      <c r="O563" s="302"/>
      <c r="P563" s="302"/>
      <c r="Q563" s="303"/>
      <c r="R563" s="302">
        <f t="shared" si="8"/>
        <v>200</v>
      </c>
    </row>
    <row r="564" spans="1:18" ht="19.5" customHeight="1">
      <c r="A564" s="299" t="s">
        <v>6974</v>
      </c>
      <c r="B564" s="11" t="s">
        <v>855</v>
      </c>
      <c r="C564" s="11"/>
      <c r="D564" s="11"/>
      <c r="E564" s="116" t="s">
        <v>855</v>
      </c>
      <c r="F564" s="116" t="s">
        <v>1373</v>
      </c>
      <c r="G564" s="116" t="s">
        <v>360</v>
      </c>
      <c r="H564" s="116" t="s">
        <v>334</v>
      </c>
      <c r="I564" s="116" t="s">
        <v>11</v>
      </c>
      <c r="J564" s="116" t="s">
        <v>1329</v>
      </c>
      <c r="K564" s="63">
        <v>200</v>
      </c>
      <c r="L564" s="63">
        <f>21+999+1110</f>
        <v>2130</v>
      </c>
      <c r="M564" s="63">
        <v>0</v>
      </c>
      <c r="N564" s="63"/>
      <c r="O564" s="63">
        <f>21+999+1110</f>
        <v>2130</v>
      </c>
      <c r="P564" s="63"/>
      <c r="Q564" s="63"/>
      <c r="R564" s="302">
        <f t="shared" si="8"/>
        <v>0</v>
      </c>
    </row>
    <row r="565" spans="1:18" ht="19.5" customHeight="1">
      <c r="A565" s="2">
        <v>112</v>
      </c>
      <c r="B565" s="305" t="s">
        <v>855</v>
      </c>
      <c r="C565" s="305"/>
      <c r="D565" s="305"/>
      <c r="E565" s="305" t="s">
        <v>855</v>
      </c>
      <c r="F565" s="305" t="s">
        <v>7807</v>
      </c>
      <c r="G565" s="305" t="s">
        <v>7001</v>
      </c>
      <c r="H565" s="305" t="s">
        <v>334</v>
      </c>
      <c r="I565" s="305" t="s">
        <v>11</v>
      </c>
      <c r="J565" s="305" t="s">
        <v>553</v>
      </c>
      <c r="K565" s="119">
        <v>190</v>
      </c>
      <c r="L565" s="119">
        <v>0</v>
      </c>
      <c r="M565" s="302">
        <f>12444+7000+1056</f>
        <v>20500</v>
      </c>
      <c r="N565" s="303"/>
      <c r="O565" s="302">
        <f>12444+7000+1056</f>
        <v>20500</v>
      </c>
      <c r="P565" s="302"/>
      <c r="Q565" s="303"/>
      <c r="R565" s="302">
        <f t="shared" si="8"/>
        <v>0</v>
      </c>
    </row>
    <row r="566" spans="1:18" ht="19.5" customHeight="1">
      <c r="A566" s="299" t="s">
        <v>6980</v>
      </c>
      <c r="B566" s="11" t="s">
        <v>855</v>
      </c>
      <c r="C566" s="11"/>
      <c r="D566" s="11"/>
      <c r="E566" s="116" t="s">
        <v>1808</v>
      </c>
      <c r="F566" s="116" t="s">
        <v>1811</v>
      </c>
      <c r="G566" s="116" t="s">
        <v>1812</v>
      </c>
      <c r="H566" s="116" t="s">
        <v>1809</v>
      </c>
      <c r="I566" s="116" t="s">
        <v>520</v>
      </c>
      <c r="J566" s="116" t="s">
        <v>1810</v>
      </c>
      <c r="K566" s="63">
        <v>29900</v>
      </c>
      <c r="L566" s="63">
        <v>147</v>
      </c>
      <c r="M566" s="63">
        <v>3</v>
      </c>
      <c r="N566" s="63"/>
      <c r="O566" s="63">
        <v>150</v>
      </c>
      <c r="P566" s="63"/>
      <c r="Q566" s="63"/>
      <c r="R566" s="302">
        <f t="shared" si="8"/>
        <v>0</v>
      </c>
    </row>
    <row r="567" spans="1:18" ht="19.5" customHeight="1">
      <c r="A567" s="304" t="s">
        <v>6984</v>
      </c>
      <c r="B567" s="307" t="s">
        <v>400</v>
      </c>
      <c r="C567" s="307"/>
      <c r="D567" s="307"/>
      <c r="E567" s="116" t="s">
        <v>400</v>
      </c>
      <c r="F567" s="116" t="s">
        <v>401</v>
      </c>
      <c r="G567" s="116" t="s">
        <v>360</v>
      </c>
      <c r="H567" s="116" t="s">
        <v>235</v>
      </c>
      <c r="I567" s="531" t="s">
        <v>10</v>
      </c>
      <c r="J567" s="116" t="s">
        <v>8972</v>
      </c>
      <c r="K567" s="118">
        <v>146</v>
      </c>
      <c r="L567" s="308">
        <v>2988</v>
      </c>
      <c r="M567" s="302">
        <f>2100+7000+4000</f>
        <v>13100</v>
      </c>
      <c r="N567" s="303"/>
      <c r="O567" s="302">
        <f>2100+7000+4000+2988</f>
        <v>16088</v>
      </c>
      <c r="P567" s="302"/>
      <c r="Q567" s="303"/>
      <c r="R567" s="302">
        <f t="shared" si="8"/>
        <v>0</v>
      </c>
    </row>
    <row r="568" spans="1:18" ht="19.5" customHeight="1">
      <c r="A568" s="304" t="s">
        <v>6985</v>
      </c>
      <c r="B568" s="306" t="s">
        <v>882</v>
      </c>
      <c r="C568" s="306"/>
      <c r="D568" s="306"/>
      <c r="E568" s="116" t="s">
        <v>4260</v>
      </c>
      <c r="F568" s="116" t="s">
        <v>885</v>
      </c>
      <c r="G568" s="116" t="s">
        <v>298</v>
      </c>
      <c r="H568" s="306" t="s">
        <v>262</v>
      </c>
      <c r="I568" s="306" t="s">
        <v>10</v>
      </c>
      <c r="J568" s="116" t="s">
        <v>1066</v>
      </c>
      <c r="K568" s="63">
        <v>58240</v>
      </c>
      <c r="L568" s="63">
        <v>0</v>
      </c>
      <c r="M568" s="302">
        <v>120</v>
      </c>
      <c r="N568" s="303"/>
      <c r="O568" s="302">
        <v>61</v>
      </c>
      <c r="P568" s="302"/>
      <c r="Q568" s="303"/>
      <c r="R568" s="302">
        <f t="shared" si="8"/>
        <v>59</v>
      </c>
    </row>
    <row r="569" spans="1:18" ht="19.5" customHeight="1">
      <c r="A569" s="299" t="s">
        <v>6991</v>
      </c>
      <c r="B569" s="305" t="s">
        <v>847</v>
      </c>
      <c r="C569" s="305"/>
      <c r="D569" s="305"/>
      <c r="E569" s="305" t="s">
        <v>4555</v>
      </c>
      <c r="F569" s="305" t="s">
        <v>1875</v>
      </c>
      <c r="G569" s="305" t="s">
        <v>8258</v>
      </c>
      <c r="H569" s="305" t="s">
        <v>225</v>
      </c>
      <c r="I569" s="305" t="s">
        <v>11</v>
      </c>
      <c r="J569" s="305" t="s">
        <v>9022</v>
      </c>
      <c r="K569" s="119">
        <v>2510</v>
      </c>
      <c r="L569" s="119">
        <v>0</v>
      </c>
      <c r="M569" s="302">
        <v>20388</v>
      </c>
      <c r="N569" s="303"/>
      <c r="O569" s="302">
        <v>19563</v>
      </c>
      <c r="P569" s="302">
        <v>99</v>
      </c>
      <c r="Q569" s="303"/>
      <c r="R569" s="302">
        <f t="shared" si="8"/>
        <v>825</v>
      </c>
    </row>
    <row r="570" spans="1:18" ht="19.5" customHeight="1">
      <c r="A570" s="2">
        <v>113</v>
      </c>
      <c r="B570" s="11" t="s">
        <v>847</v>
      </c>
      <c r="C570" s="11"/>
      <c r="D570" s="11"/>
      <c r="E570" s="116" t="s">
        <v>1874</v>
      </c>
      <c r="F570" s="116" t="s">
        <v>1875</v>
      </c>
      <c r="G570" s="116" t="s">
        <v>1876</v>
      </c>
      <c r="H570" s="116" t="s">
        <v>225</v>
      </c>
      <c r="I570" s="502" t="s">
        <v>10</v>
      </c>
      <c r="J570" s="116" t="s">
        <v>1350</v>
      </c>
      <c r="K570" s="63">
        <v>2970</v>
      </c>
      <c r="L570" s="63">
        <v>240</v>
      </c>
      <c r="M570" s="63">
        <v>0</v>
      </c>
      <c r="N570" s="63"/>
      <c r="O570" s="63">
        <v>240</v>
      </c>
      <c r="P570" s="63"/>
      <c r="Q570" s="63"/>
      <c r="R570" s="302">
        <f t="shared" si="8"/>
        <v>0</v>
      </c>
    </row>
    <row r="571" spans="1:18" ht="19.5" customHeight="1">
      <c r="A571" s="299" t="s">
        <v>6993</v>
      </c>
      <c r="B571" s="305" t="s">
        <v>555</v>
      </c>
      <c r="C571" s="305"/>
      <c r="D571" s="305"/>
      <c r="E571" s="305" t="s">
        <v>4263</v>
      </c>
      <c r="F571" s="305" t="s">
        <v>6105</v>
      </c>
      <c r="G571" s="305" t="s">
        <v>6106</v>
      </c>
      <c r="H571" s="305" t="s">
        <v>262</v>
      </c>
      <c r="I571" s="305" t="s">
        <v>11</v>
      </c>
      <c r="J571" s="116" t="s">
        <v>859</v>
      </c>
      <c r="K571" s="119">
        <v>6500</v>
      </c>
      <c r="L571" s="119">
        <v>0</v>
      </c>
      <c r="M571" s="302">
        <v>10000</v>
      </c>
      <c r="N571" s="303"/>
      <c r="O571" s="302"/>
      <c r="P571" s="302"/>
      <c r="Q571" s="303"/>
      <c r="R571" s="302">
        <f t="shared" si="8"/>
        <v>10000</v>
      </c>
    </row>
    <row r="572" spans="1:18" ht="19.5" customHeight="1">
      <c r="A572" s="304" t="s">
        <v>6997</v>
      </c>
      <c r="B572" s="306" t="s">
        <v>1302</v>
      </c>
      <c r="C572" s="306"/>
      <c r="D572" s="306"/>
      <c r="E572" s="116" t="s">
        <v>4266</v>
      </c>
      <c r="F572" s="116" t="s">
        <v>5731</v>
      </c>
      <c r="G572" s="116" t="s">
        <v>5732</v>
      </c>
      <c r="H572" s="306" t="s">
        <v>235</v>
      </c>
      <c r="I572" s="306" t="s">
        <v>10</v>
      </c>
      <c r="J572" s="116" t="s">
        <v>859</v>
      </c>
      <c r="K572" s="63">
        <v>2540</v>
      </c>
      <c r="L572" s="63">
        <v>0</v>
      </c>
      <c r="M572" s="302">
        <v>5000</v>
      </c>
      <c r="N572" s="303"/>
      <c r="O572" s="302">
        <v>4974</v>
      </c>
      <c r="P572" s="302"/>
      <c r="Q572" s="303"/>
      <c r="R572" s="302">
        <f t="shared" si="8"/>
        <v>26</v>
      </c>
    </row>
    <row r="573" spans="1:18" ht="19.5" customHeight="1">
      <c r="A573" s="304" t="s">
        <v>7002</v>
      </c>
      <c r="B573" s="305" t="s">
        <v>661</v>
      </c>
      <c r="C573" s="305"/>
      <c r="D573" s="305"/>
      <c r="E573" s="305" t="s">
        <v>4268</v>
      </c>
      <c r="F573" s="305" t="s">
        <v>7006</v>
      </c>
      <c r="G573" s="305" t="s">
        <v>1268</v>
      </c>
      <c r="H573" s="305" t="s">
        <v>663</v>
      </c>
      <c r="I573" s="305" t="s">
        <v>11</v>
      </c>
      <c r="J573" s="116" t="s">
        <v>1066</v>
      </c>
      <c r="K573" s="119">
        <v>1050</v>
      </c>
      <c r="L573" s="119">
        <v>0</v>
      </c>
      <c r="M573" s="302">
        <v>3000</v>
      </c>
      <c r="N573" s="303"/>
      <c r="O573" s="302"/>
      <c r="P573" s="302"/>
      <c r="Q573" s="303"/>
      <c r="R573" s="302">
        <f t="shared" si="8"/>
        <v>3000</v>
      </c>
    </row>
    <row r="574" spans="1:18" ht="19.5" customHeight="1">
      <c r="A574" s="299" t="s">
        <v>7004</v>
      </c>
      <c r="B574" s="67" t="s">
        <v>1500</v>
      </c>
      <c r="C574" s="11"/>
      <c r="D574" s="11"/>
      <c r="E574" s="116" t="s">
        <v>1501</v>
      </c>
      <c r="F574" s="116" t="s">
        <v>1503</v>
      </c>
      <c r="G574" s="116" t="s">
        <v>1504</v>
      </c>
      <c r="H574" s="116" t="s">
        <v>1502</v>
      </c>
      <c r="I574" s="116" t="s">
        <v>14</v>
      </c>
      <c r="J574" s="116" t="s">
        <v>306</v>
      </c>
      <c r="K574" s="63">
        <v>29400</v>
      </c>
      <c r="L574" s="63">
        <v>9</v>
      </c>
      <c r="M574" s="63"/>
      <c r="N574" s="63"/>
      <c r="O574" s="63">
        <v>9</v>
      </c>
      <c r="P574" s="63"/>
      <c r="Q574" s="63"/>
      <c r="R574" s="302">
        <f t="shared" si="8"/>
        <v>0</v>
      </c>
    </row>
    <row r="575" spans="1:18" ht="19.5" customHeight="1">
      <c r="A575" s="2">
        <v>114</v>
      </c>
      <c r="B575" s="305" t="s">
        <v>870</v>
      </c>
      <c r="C575" s="305"/>
      <c r="D575" s="305"/>
      <c r="E575" s="305" t="s">
        <v>7856</v>
      </c>
      <c r="F575" s="305" t="s">
        <v>7858</v>
      </c>
      <c r="G575" s="305" t="s">
        <v>2168</v>
      </c>
      <c r="H575" s="305" t="s">
        <v>1568</v>
      </c>
      <c r="I575" s="305" t="s">
        <v>658</v>
      </c>
      <c r="J575" s="305" t="s">
        <v>9016</v>
      </c>
      <c r="K575" s="119">
        <v>10500</v>
      </c>
      <c r="L575" s="119">
        <v>0</v>
      </c>
      <c r="M575" s="302">
        <v>4980</v>
      </c>
      <c r="N575" s="303"/>
      <c r="O575" s="302">
        <v>1993</v>
      </c>
      <c r="P575" s="302"/>
      <c r="Q575" s="303"/>
      <c r="R575" s="302">
        <f t="shared" si="8"/>
        <v>2987</v>
      </c>
    </row>
    <row r="576" spans="1:18" ht="19.5" customHeight="1">
      <c r="A576" s="299" t="s">
        <v>7007</v>
      </c>
      <c r="B576" s="67" t="s">
        <v>855</v>
      </c>
      <c r="C576" s="11"/>
      <c r="D576" s="11"/>
      <c r="E576" s="502" t="s">
        <v>1176</v>
      </c>
      <c r="F576" s="502" t="s">
        <v>1178</v>
      </c>
      <c r="G576" s="502" t="s">
        <v>1170</v>
      </c>
      <c r="H576" s="502" t="s">
        <v>1177</v>
      </c>
      <c r="I576" s="502" t="s">
        <v>11</v>
      </c>
      <c r="J576" s="502" t="s">
        <v>623</v>
      </c>
      <c r="K576" s="63">
        <v>2690</v>
      </c>
      <c r="L576" s="63">
        <v>16356</v>
      </c>
      <c r="M576" s="63">
        <v>0</v>
      </c>
      <c r="N576" s="63"/>
      <c r="O576" s="63">
        <v>16356</v>
      </c>
      <c r="P576" s="63"/>
      <c r="Q576" s="63"/>
      <c r="R576" s="302">
        <f t="shared" si="8"/>
        <v>0</v>
      </c>
    </row>
    <row r="577" spans="1:18" ht="19.5" customHeight="1">
      <c r="A577" s="304" t="s">
        <v>7012</v>
      </c>
      <c r="B577" s="305" t="s">
        <v>855</v>
      </c>
      <c r="C577" s="305"/>
      <c r="D577" s="305"/>
      <c r="E577" s="305" t="s">
        <v>4273</v>
      </c>
      <c r="F577" s="305" t="s">
        <v>6768</v>
      </c>
      <c r="G577" s="305" t="s">
        <v>6102</v>
      </c>
      <c r="H577" s="305" t="s">
        <v>334</v>
      </c>
      <c r="I577" s="305" t="s">
        <v>11</v>
      </c>
      <c r="J577" s="116" t="s">
        <v>1066</v>
      </c>
      <c r="K577" s="119">
        <v>900</v>
      </c>
      <c r="L577" s="119">
        <v>0</v>
      </c>
      <c r="M577" s="302">
        <v>5200</v>
      </c>
      <c r="N577" s="303"/>
      <c r="O577" s="302">
        <v>2263</v>
      </c>
      <c r="P577" s="302"/>
      <c r="Q577" s="303"/>
      <c r="R577" s="302">
        <f t="shared" si="8"/>
        <v>2937</v>
      </c>
    </row>
    <row r="578" spans="1:18" ht="19.5" customHeight="1">
      <c r="A578" s="304" t="s">
        <v>7016</v>
      </c>
      <c r="B578" s="11" t="s">
        <v>855</v>
      </c>
      <c r="C578" s="11"/>
      <c r="D578" s="11"/>
      <c r="E578" s="116" t="s">
        <v>1774</v>
      </c>
      <c r="F578" s="116" t="s">
        <v>1775</v>
      </c>
      <c r="G578" s="116" t="s">
        <v>1170</v>
      </c>
      <c r="H578" s="116" t="s">
        <v>641</v>
      </c>
      <c r="I578" s="116" t="s">
        <v>11</v>
      </c>
      <c r="J578" s="116" t="s">
        <v>1736</v>
      </c>
      <c r="K578" s="63">
        <v>1400</v>
      </c>
      <c r="L578" s="63">
        <f>261+5598</f>
        <v>5859</v>
      </c>
      <c r="M578" s="63">
        <v>0</v>
      </c>
      <c r="N578" s="63"/>
      <c r="O578" s="63">
        <f>261+5598</f>
        <v>5859</v>
      </c>
      <c r="P578" s="63"/>
      <c r="Q578" s="63"/>
      <c r="R578" s="302">
        <f t="shared" si="8"/>
        <v>0</v>
      </c>
    </row>
    <row r="579" spans="1:18" ht="19.5" customHeight="1">
      <c r="A579" s="299" t="s">
        <v>7022</v>
      </c>
      <c r="B579" s="67" t="s">
        <v>634</v>
      </c>
      <c r="C579" s="11"/>
      <c r="D579" s="11"/>
      <c r="E579" s="116" t="s">
        <v>1822</v>
      </c>
      <c r="F579" s="116" t="s">
        <v>1823</v>
      </c>
      <c r="G579" s="116" t="s">
        <v>492</v>
      </c>
      <c r="H579" s="116" t="s">
        <v>267</v>
      </c>
      <c r="I579" s="116" t="s">
        <v>10</v>
      </c>
      <c r="J579" s="116" t="s">
        <v>620</v>
      </c>
      <c r="K579" s="63">
        <v>955</v>
      </c>
      <c r="L579" s="63">
        <v>99</v>
      </c>
      <c r="M579" s="63">
        <v>0</v>
      </c>
      <c r="N579" s="63"/>
      <c r="O579" s="63">
        <v>99</v>
      </c>
      <c r="P579" s="63"/>
      <c r="Q579" s="63"/>
      <c r="R579" s="302">
        <f t="shared" si="8"/>
        <v>0</v>
      </c>
    </row>
    <row r="580" spans="1:18" ht="19.5" customHeight="1">
      <c r="A580" s="2">
        <v>115</v>
      </c>
      <c r="B580" s="11" t="s">
        <v>265</v>
      </c>
      <c r="C580" s="11"/>
      <c r="D580" s="11"/>
      <c r="E580" s="116" t="s">
        <v>2542</v>
      </c>
      <c r="F580" s="116" t="s">
        <v>3306</v>
      </c>
      <c r="G580" s="116" t="s">
        <v>3307</v>
      </c>
      <c r="H580" s="116" t="s">
        <v>387</v>
      </c>
      <c r="I580" s="504" t="s">
        <v>11</v>
      </c>
      <c r="J580" s="116" t="s">
        <v>642</v>
      </c>
      <c r="K580" s="63">
        <v>2079</v>
      </c>
      <c r="L580" s="63">
        <v>2970</v>
      </c>
      <c r="M580" s="63">
        <v>9</v>
      </c>
      <c r="N580" s="63"/>
      <c r="O580" s="63">
        <v>2979</v>
      </c>
      <c r="P580" s="63"/>
      <c r="Q580" s="63"/>
      <c r="R580" s="302">
        <f t="shared" si="8"/>
        <v>0</v>
      </c>
    </row>
    <row r="581" spans="1:18" ht="19.5" customHeight="1">
      <c r="A581" s="299" t="s">
        <v>7027</v>
      </c>
      <c r="B581" s="67" t="s">
        <v>1179</v>
      </c>
      <c r="C581" s="11"/>
      <c r="D581" s="11"/>
      <c r="E581" s="116" t="s">
        <v>1598</v>
      </c>
      <c r="F581" s="116" t="s">
        <v>1599</v>
      </c>
      <c r="G581" s="116" t="s">
        <v>1765</v>
      </c>
      <c r="H581" s="116" t="s">
        <v>258</v>
      </c>
      <c r="I581" s="116" t="s">
        <v>10</v>
      </c>
      <c r="J581" s="116" t="s">
        <v>1350</v>
      </c>
      <c r="K581" s="63">
        <v>9500</v>
      </c>
      <c r="L581" s="63">
        <v>3797</v>
      </c>
      <c r="M581" s="63">
        <v>0</v>
      </c>
      <c r="N581" s="63"/>
      <c r="O581" s="63">
        <v>3797</v>
      </c>
      <c r="P581" s="63"/>
      <c r="Q581" s="63"/>
      <c r="R581" s="302">
        <f t="shared" si="8"/>
        <v>0</v>
      </c>
    </row>
    <row r="582" spans="1:18" ht="19.5" customHeight="1">
      <c r="A582" s="304" t="s">
        <v>7031</v>
      </c>
      <c r="B582" s="11" t="s">
        <v>1356</v>
      </c>
      <c r="C582" s="11"/>
      <c r="D582" s="11"/>
      <c r="E582" s="116" t="s">
        <v>2543</v>
      </c>
      <c r="F582" s="116" t="s">
        <v>3308</v>
      </c>
      <c r="G582" s="116" t="s">
        <v>3309</v>
      </c>
      <c r="H582" s="116" t="s">
        <v>238</v>
      </c>
      <c r="I582" s="504" t="s">
        <v>10</v>
      </c>
      <c r="J582" s="116" t="s">
        <v>642</v>
      </c>
      <c r="K582" s="63">
        <v>1831</v>
      </c>
      <c r="L582" s="63">
        <v>84</v>
      </c>
      <c r="M582" s="63">
        <v>0</v>
      </c>
      <c r="N582" s="63"/>
      <c r="O582" s="63">
        <v>84</v>
      </c>
      <c r="P582" s="63"/>
      <c r="Q582" s="63"/>
      <c r="R582" s="302">
        <f t="shared" si="8"/>
        <v>0</v>
      </c>
    </row>
    <row r="583" spans="1:18" ht="19.5" customHeight="1">
      <c r="A583" s="304" t="s">
        <v>7035</v>
      </c>
      <c r="B583" s="11" t="s">
        <v>792</v>
      </c>
      <c r="C583" s="11"/>
      <c r="D583" s="11"/>
      <c r="E583" s="116" t="s">
        <v>1934</v>
      </c>
      <c r="F583" s="116" t="s">
        <v>1937</v>
      </c>
      <c r="G583" s="116" t="s">
        <v>1913</v>
      </c>
      <c r="H583" s="116" t="s">
        <v>1935</v>
      </c>
      <c r="I583" s="116" t="s">
        <v>15</v>
      </c>
      <c r="J583" s="116" t="s">
        <v>1936</v>
      </c>
      <c r="K583" s="63">
        <v>9440</v>
      </c>
      <c r="L583" s="63">
        <v>62</v>
      </c>
      <c r="M583" s="63">
        <v>0</v>
      </c>
      <c r="N583" s="63"/>
      <c r="O583" s="63">
        <v>62</v>
      </c>
      <c r="P583" s="63"/>
      <c r="Q583" s="63"/>
      <c r="R583" s="302">
        <f t="shared" si="8"/>
        <v>0</v>
      </c>
    </row>
    <row r="584" spans="1:18" ht="19.5" customHeight="1">
      <c r="A584" s="299" t="s">
        <v>7040</v>
      </c>
      <c r="B584" s="305" t="s">
        <v>792</v>
      </c>
      <c r="C584" s="305"/>
      <c r="D584" s="305"/>
      <c r="E584" s="305" t="s">
        <v>1934</v>
      </c>
      <c r="F584" s="305" t="s">
        <v>8242</v>
      </c>
      <c r="G584" s="305" t="s">
        <v>1913</v>
      </c>
      <c r="H584" s="305" t="s">
        <v>4275</v>
      </c>
      <c r="I584" s="305" t="s">
        <v>15</v>
      </c>
      <c r="J584" s="305" t="s">
        <v>2659</v>
      </c>
      <c r="K584" s="119">
        <v>9345</v>
      </c>
      <c r="L584" s="119">
        <v>0</v>
      </c>
      <c r="M584" s="302">
        <v>310</v>
      </c>
      <c r="N584" s="303"/>
      <c r="O584" s="302">
        <v>34</v>
      </c>
      <c r="P584" s="302"/>
      <c r="Q584" s="303"/>
      <c r="R584" s="302">
        <f t="shared" si="8"/>
        <v>276</v>
      </c>
    </row>
    <row r="585" spans="1:18" ht="19.5" customHeight="1">
      <c r="A585" s="2">
        <v>116</v>
      </c>
      <c r="B585" s="67" t="s">
        <v>876</v>
      </c>
      <c r="C585" s="11"/>
      <c r="D585" s="11"/>
      <c r="E585" s="502" t="s">
        <v>877</v>
      </c>
      <c r="F585" s="502" t="s">
        <v>880</v>
      </c>
      <c r="G585" s="502" t="s">
        <v>881</v>
      </c>
      <c r="H585" s="502" t="s">
        <v>878</v>
      </c>
      <c r="I585" s="502" t="s">
        <v>628</v>
      </c>
      <c r="J585" s="502" t="s">
        <v>879</v>
      </c>
      <c r="K585" s="63">
        <v>13834</v>
      </c>
      <c r="L585" s="63">
        <v>75</v>
      </c>
      <c r="M585" s="63">
        <v>16</v>
      </c>
      <c r="N585" s="63"/>
      <c r="O585" s="63">
        <v>91</v>
      </c>
      <c r="P585" s="63">
        <v>7</v>
      </c>
      <c r="Q585" s="63"/>
      <c r="R585" s="302">
        <f t="shared" si="8"/>
        <v>0</v>
      </c>
    </row>
    <row r="586" spans="1:18" ht="19.5" customHeight="1">
      <c r="A586" s="299" t="s">
        <v>7046</v>
      </c>
      <c r="B586" s="11" t="s">
        <v>870</v>
      </c>
      <c r="C586" s="11"/>
      <c r="D586" s="11"/>
      <c r="E586" s="116" t="s">
        <v>2544</v>
      </c>
      <c r="F586" s="116" t="s">
        <v>3315</v>
      </c>
      <c r="G586" s="116" t="s">
        <v>863</v>
      </c>
      <c r="H586" s="116" t="s">
        <v>2545</v>
      </c>
      <c r="I586" s="504" t="s">
        <v>14</v>
      </c>
      <c r="J586" s="116" t="s">
        <v>3316</v>
      </c>
      <c r="K586" s="63">
        <v>42300</v>
      </c>
      <c r="L586" s="63">
        <v>47</v>
      </c>
      <c r="M586" s="63">
        <v>0</v>
      </c>
      <c r="N586" s="63"/>
      <c r="O586" s="63">
        <v>24</v>
      </c>
      <c r="P586" s="63">
        <v>15</v>
      </c>
      <c r="Q586" s="63"/>
      <c r="R586" s="302">
        <f t="shared" ref="R586:R649" si="9">L586+M586-O586</f>
        <v>23</v>
      </c>
    </row>
    <row r="587" spans="1:18" ht="19.5" customHeight="1">
      <c r="A587" s="304" t="s">
        <v>7050</v>
      </c>
      <c r="B587" s="11" t="s">
        <v>870</v>
      </c>
      <c r="C587" s="11"/>
      <c r="D587" s="11"/>
      <c r="E587" s="116" t="s">
        <v>2544</v>
      </c>
      <c r="F587" s="116" t="s">
        <v>3315</v>
      </c>
      <c r="G587" s="116" t="s">
        <v>863</v>
      </c>
      <c r="H587" s="116" t="s">
        <v>2546</v>
      </c>
      <c r="I587" s="504" t="s">
        <v>14</v>
      </c>
      <c r="J587" s="116" t="s">
        <v>3316</v>
      </c>
      <c r="K587" s="63">
        <v>3080</v>
      </c>
      <c r="L587" s="63">
        <v>27</v>
      </c>
      <c r="M587" s="63">
        <v>0</v>
      </c>
      <c r="N587" s="63"/>
      <c r="O587" s="63">
        <v>27</v>
      </c>
      <c r="P587" s="63">
        <v>27</v>
      </c>
      <c r="Q587" s="63"/>
      <c r="R587" s="302">
        <f t="shared" si="9"/>
        <v>0</v>
      </c>
    </row>
    <row r="588" spans="1:18" ht="19.5" customHeight="1">
      <c r="A588" s="304" t="s">
        <v>7052</v>
      </c>
      <c r="B588" s="67" t="s">
        <v>802</v>
      </c>
      <c r="C588" s="11"/>
      <c r="D588" s="11"/>
      <c r="E588" s="116" t="s">
        <v>1605</v>
      </c>
      <c r="F588" s="116" t="s">
        <v>1606</v>
      </c>
      <c r="G588" s="116" t="s">
        <v>463</v>
      </c>
      <c r="H588" s="116" t="s">
        <v>272</v>
      </c>
      <c r="I588" s="116" t="s">
        <v>11</v>
      </c>
      <c r="J588" s="116" t="s">
        <v>1600</v>
      </c>
      <c r="K588" s="63">
        <v>3890</v>
      </c>
      <c r="L588" s="63">
        <f>224+10389</f>
        <v>10613</v>
      </c>
      <c r="M588" s="63">
        <v>0</v>
      </c>
      <c r="N588" s="63"/>
      <c r="O588" s="63">
        <f>224+10369</f>
        <v>10593</v>
      </c>
      <c r="P588" s="63"/>
      <c r="Q588" s="63"/>
      <c r="R588" s="302">
        <f t="shared" si="9"/>
        <v>20</v>
      </c>
    </row>
    <row r="589" spans="1:18" ht="19.5" customHeight="1">
      <c r="A589" s="299" t="s">
        <v>7058</v>
      </c>
      <c r="B589" s="307" t="s">
        <v>309</v>
      </c>
      <c r="C589" s="307"/>
      <c r="D589" s="307"/>
      <c r="E589" s="116" t="s">
        <v>4916</v>
      </c>
      <c r="F589" s="116" t="s">
        <v>468</v>
      </c>
      <c r="G589" s="116" t="s">
        <v>463</v>
      </c>
      <c r="H589" s="116" t="s">
        <v>310</v>
      </c>
      <c r="I589" s="531" t="s">
        <v>10</v>
      </c>
      <c r="J589" s="116" t="s">
        <v>8966</v>
      </c>
      <c r="K589" s="118">
        <v>420</v>
      </c>
      <c r="L589" s="308">
        <v>0</v>
      </c>
      <c r="M589" s="302">
        <v>60000</v>
      </c>
      <c r="N589" s="303"/>
      <c r="O589" s="302">
        <v>40755</v>
      </c>
      <c r="P589" s="302"/>
      <c r="Q589" s="303"/>
      <c r="R589" s="302">
        <f t="shared" si="9"/>
        <v>19245</v>
      </c>
    </row>
    <row r="590" spans="1:18" ht="19.5" customHeight="1">
      <c r="A590" s="2">
        <v>117</v>
      </c>
      <c r="B590" s="4" t="s">
        <v>3361</v>
      </c>
      <c r="C590" s="123"/>
      <c r="D590" s="123"/>
      <c r="E590" s="509" t="s">
        <v>11405</v>
      </c>
      <c r="F590" s="509" t="s">
        <v>2698</v>
      </c>
      <c r="G590" s="509" t="s">
        <v>6694</v>
      </c>
      <c r="H590" s="509" t="s">
        <v>272</v>
      </c>
      <c r="I590" s="509" t="s">
        <v>11</v>
      </c>
      <c r="J590" s="509" t="s">
        <v>2204</v>
      </c>
      <c r="K590" s="476">
        <v>2900</v>
      </c>
      <c r="L590" s="476">
        <v>478</v>
      </c>
      <c r="M590" s="476">
        <v>0</v>
      </c>
      <c r="N590" s="476"/>
      <c r="O590" s="476">
        <v>478</v>
      </c>
      <c r="P590" s="476"/>
      <c r="Q590" s="476"/>
      <c r="R590" s="302">
        <f t="shared" si="9"/>
        <v>0</v>
      </c>
    </row>
    <row r="591" spans="1:18" ht="19.5" customHeight="1">
      <c r="A591" s="299" t="s">
        <v>7064</v>
      </c>
      <c r="B591" s="307" t="s">
        <v>313</v>
      </c>
      <c r="C591" s="307"/>
      <c r="D591" s="307"/>
      <c r="E591" s="116" t="s">
        <v>4918</v>
      </c>
      <c r="F591" s="116" t="s">
        <v>5481</v>
      </c>
      <c r="G591" s="116" t="s">
        <v>463</v>
      </c>
      <c r="H591" s="116" t="s">
        <v>238</v>
      </c>
      <c r="I591" s="531" t="s">
        <v>10</v>
      </c>
      <c r="J591" s="116" t="s">
        <v>8969</v>
      </c>
      <c r="K591" s="118">
        <v>980</v>
      </c>
      <c r="L591" s="308">
        <v>0</v>
      </c>
      <c r="M591" s="302">
        <v>1000</v>
      </c>
      <c r="N591" s="303"/>
      <c r="O591" s="302">
        <v>978</v>
      </c>
      <c r="P591" s="302"/>
      <c r="Q591" s="303"/>
      <c r="R591" s="302">
        <f t="shared" si="9"/>
        <v>22</v>
      </c>
    </row>
    <row r="592" spans="1:18" ht="19.5" customHeight="1">
      <c r="A592" s="304" t="s">
        <v>7067</v>
      </c>
      <c r="B592" s="67" t="s">
        <v>645</v>
      </c>
      <c r="C592" s="11"/>
      <c r="D592" s="11"/>
      <c r="E592" s="116" t="s">
        <v>1615</v>
      </c>
      <c r="F592" s="116" t="s">
        <v>1617</v>
      </c>
      <c r="G592" s="116" t="s">
        <v>463</v>
      </c>
      <c r="H592" s="116" t="s">
        <v>291</v>
      </c>
      <c r="I592" s="116" t="s">
        <v>11</v>
      </c>
      <c r="J592" s="116" t="s">
        <v>1616</v>
      </c>
      <c r="K592" s="63">
        <v>2250</v>
      </c>
      <c r="L592" s="63">
        <v>469</v>
      </c>
      <c r="M592" s="63">
        <v>3</v>
      </c>
      <c r="N592" s="63"/>
      <c r="O592" s="63">
        <v>472</v>
      </c>
      <c r="P592" s="63"/>
      <c r="Q592" s="63"/>
      <c r="R592" s="302">
        <f t="shared" si="9"/>
        <v>0</v>
      </c>
    </row>
    <row r="593" spans="1:18" ht="19.5" customHeight="1">
      <c r="A593" s="304" t="s">
        <v>7069</v>
      </c>
      <c r="B593" s="305" t="s">
        <v>645</v>
      </c>
      <c r="C593" s="305"/>
      <c r="D593" s="305"/>
      <c r="E593" s="305" t="s">
        <v>4282</v>
      </c>
      <c r="F593" s="305" t="s">
        <v>8297</v>
      </c>
      <c r="G593" s="305" t="s">
        <v>463</v>
      </c>
      <c r="H593" s="305" t="s">
        <v>248</v>
      </c>
      <c r="I593" s="305" t="s">
        <v>11</v>
      </c>
      <c r="J593" s="116" t="s">
        <v>1066</v>
      </c>
      <c r="K593" s="119">
        <v>2090</v>
      </c>
      <c r="L593" s="119">
        <v>0</v>
      </c>
      <c r="M593" s="302">
        <v>9000</v>
      </c>
      <c r="N593" s="303"/>
      <c r="O593" s="302">
        <v>2961</v>
      </c>
      <c r="P593" s="302"/>
      <c r="Q593" s="303"/>
      <c r="R593" s="302">
        <f t="shared" si="9"/>
        <v>6039</v>
      </c>
    </row>
    <row r="594" spans="1:18" ht="19.5" customHeight="1">
      <c r="A594" s="299" t="s">
        <v>7072</v>
      </c>
      <c r="B594" s="305" t="s">
        <v>337</v>
      </c>
      <c r="C594" s="305"/>
      <c r="D594" s="305"/>
      <c r="E594" s="305" t="s">
        <v>4558</v>
      </c>
      <c r="F594" s="305" t="s">
        <v>3319</v>
      </c>
      <c r="G594" s="305" t="s">
        <v>7362</v>
      </c>
      <c r="H594" s="305" t="s">
        <v>272</v>
      </c>
      <c r="I594" s="305" t="s">
        <v>11</v>
      </c>
      <c r="J594" s="305" t="s">
        <v>541</v>
      </c>
      <c r="K594" s="119">
        <v>1638</v>
      </c>
      <c r="L594" s="119">
        <v>0</v>
      </c>
      <c r="M594" s="302">
        <v>3000</v>
      </c>
      <c r="N594" s="303"/>
      <c r="O594" s="302">
        <v>70</v>
      </c>
      <c r="P594" s="302">
        <v>20</v>
      </c>
      <c r="Q594" s="303"/>
      <c r="R594" s="302">
        <f t="shared" si="9"/>
        <v>2930</v>
      </c>
    </row>
    <row r="595" spans="1:18" ht="19.5" customHeight="1">
      <c r="A595" s="2">
        <v>118</v>
      </c>
      <c r="B595" s="67" t="s">
        <v>572</v>
      </c>
      <c r="C595" s="11"/>
      <c r="D595" s="11"/>
      <c r="E595" s="116" t="s">
        <v>573</v>
      </c>
      <c r="F595" s="116" t="s">
        <v>575</v>
      </c>
      <c r="G595" s="116" t="s">
        <v>215</v>
      </c>
      <c r="H595" s="116" t="s">
        <v>235</v>
      </c>
      <c r="I595" s="116" t="s">
        <v>11</v>
      </c>
      <c r="J595" s="116" t="s">
        <v>574</v>
      </c>
      <c r="K595" s="63">
        <v>680</v>
      </c>
      <c r="L595" s="63">
        <v>14</v>
      </c>
      <c r="M595" s="63">
        <v>1</v>
      </c>
      <c r="N595" s="63"/>
      <c r="O595" s="63">
        <v>15</v>
      </c>
      <c r="P595" s="63"/>
      <c r="Q595" s="63"/>
      <c r="R595" s="302">
        <f t="shared" si="9"/>
        <v>0</v>
      </c>
    </row>
    <row r="596" spans="1:18" ht="19.5" customHeight="1">
      <c r="A596" s="299" t="s">
        <v>7078</v>
      </c>
      <c r="B596" s="305" t="s">
        <v>4285</v>
      </c>
      <c r="C596" s="305"/>
      <c r="D596" s="305"/>
      <c r="E596" s="305" t="s">
        <v>4284</v>
      </c>
      <c r="F596" s="305" t="s">
        <v>6154</v>
      </c>
      <c r="G596" s="305" t="s">
        <v>6155</v>
      </c>
      <c r="H596" s="305" t="s">
        <v>327</v>
      </c>
      <c r="I596" s="305" t="s">
        <v>11</v>
      </c>
      <c r="J596" s="305" t="s">
        <v>541</v>
      </c>
      <c r="K596" s="119">
        <v>5481</v>
      </c>
      <c r="L596" s="119">
        <v>0</v>
      </c>
      <c r="M596" s="302">
        <f>2072+1848+2968+2968</f>
        <v>9856</v>
      </c>
      <c r="N596" s="303"/>
      <c r="O596" s="302">
        <f>2968+2968+1848+747</f>
        <v>8531</v>
      </c>
      <c r="P596" s="302"/>
      <c r="Q596" s="303"/>
      <c r="R596" s="302">
        <f t="shared" si="9"/>
        <v>1325</v>
      </c>
    </row>
    <row r="597" spans="1:18" ht="19.5" customHeight="1">
      <c r="A597" s="304" t="s">
        <v>7079</v>
      </c>
      <c r="B597" s="307" t="s">
        <v>329</v>
      </c>
      <c r="C597" s="307"/>
      <c r="D597" s="307"/>
      <c r="E597" s="116" t="s">
        <v>329</v>
      </c>
      <c r="F597" s="116" t="s">
        <v>5522</v>
      </c>
      <c r="G597" s="116" t="s">
        <v>360</v>
      </c>
      <c r="H597" s="116" t="s">
        <v>232</v>
      </c>
      <c r="I597" s="531" t="s">
        <v>10</v>
      </c>
      <c r="J597" s="116" t="s">
        <v>1066</v>
      </c>
      <c r="K597" s="118">
        <v>220</v>
      </c>
      <c r="L597" s="308">
        <v>0</v>
      </c>
      <c r="M597" s="302">
        <v>4000</v>
      </c>
      <c r="N597" s="303"/>
      <c r="O597" s="302">
        <v>4000</v>
      </c>
      <c r="P597" s="302"/>
      <c r="Q597" s="303"/>
      <c r="R597" s="302">
        <f t="shared" si="9"/>
        <v>0</v>
      </c>
    </row>
    <row r="598" spans="1:18" ht="19.5" customHeight="1">
      <c r="A598" s="304" t="s">
        <v>7086</v>
      </c>
      <c r="B598" s="307" t="s">
        <v>329</v>
      </c>
      <c r="C598" s="307"/>
      <c r="D598" s="307"/>
      <c r="E598" s="116" t="s">
        <v>330</v>
      </c>
      <c r="F598" s="116" t="s">
        <v>331</v>
      </c>
      <c r="G598" s="116" t="s">
        <v>324</v>
      </c>
      <c r="H598" s="116" t="s">
        <v>262</v>
      </c>
      <c r="I598" s="531" t="s">
        <v>10</v>
      </c>
      <c r="J598" s="116" t="s">
        <v>1066</v>
      </c>
      <c r="K598" s="118">
        <v>400</v>
      </c>
      <c r="L598" s="308">
        <v>0</v>
      </c>
      <c r="M598" s="302">
        <f>1980+990</f>
        <v>2970</v>
      </c>
      <c r="N598" s="303"/>
      <c r="O598" s="302">
        <v>2970</v>
      </c>
      <c r="P598" s="302"/>
      <c r="Q598" s="303"/>
      <c r="R598" s="302">
        <f t="shared" si="9"/>
        <v>0</v>
      </c>
    </row>
    <row r="599" spans="1:18" ht="19.5" customHeight="1">
      <c r="A599" s="299" t="s">
        <v>7089</v>
      </c>
      <c r="B599" s="67" t="s">
        <v>2014</v>
      </c>
      <c r="C599" s="11"/>
      <c r="D599" s="11"/>
      <c r="E599" s="502" t="s">
        <v>2015</v>
      </c>
      <c r="F599" s="502" t="s">
        <v>2018</v>
      </c>
      <c r="G599" s="502" t="s">
        <v>2013</v>
      </c>
      <c r="H599" s="502" t="s">
        <v>2016</v>
      </c>
      <c r="I599" s="502" t="s">
        <v>18</v>
      </c>
      <c r="J599" s="502" t="s">
        <v>2017</v>
      </c>
      <c r="K599" s="63">
        <v>138000</v>
      </c>
      <c r="L599" s="63">
        <v>5</v>
      </c>
      <c r="M599" s="63">
        <v>0</v>
      </c>
      <c r="N599" s="63"/>
      <c r="O599" s="63">
        <v>0</v>
      </c>
      <c r="P599" s="63"/>
      <c r="Q599" s="63"/>
      <c r="R599" s="302">
        <f t="shared" si="9"/>
        <v>5</v>
      </c>
    </row>
    <row r="600" spans="1:18" ht="19.5" customHeight="1">
      <c r="A600" s="2">
        <v>119</v>
      </c>
      <c r="B600" s="72" t="s">
        <v>10381</v>
      </c>
      <c r="C600" s="475"/>
      <c r="D600" s="475"/>
      <c r="E600" s="117" t="s">
        <v>4288</v>
      </c>
      <c r="F600" s="117" t="s">
        <v>10382</v>
      </c>
      <c r="G600" s="117" t="s">
        <v>6694</v>
      </c>
      <c r="H600" s="117" t="s">
        <v>225</v>
      </c>
      <c r="I600" s="117" t="s">
        <v>11</v>
      </c>
      <c r="J600" s="117" t="s">
        <v>814</v>
      </c>
      <c r="K600" s="78">
        <v>2900</v>
      </c>
      <c r="L600" s="78">
        <v>9980</v>
      </c>
      <c r="M600" s="78">
        <v>0</v>
      </c>
      <c r="N600" s="476"/>
      <c r="O600" s="476">
        <v>9980</v>
      </c>
      <c r="P600" s="78"/>
      <c r="Q600" s="78"/>
      <c r="R600" s="302">
        <f t="shared" si="9"/>
        <v>0</v>
      </c>
    </row>
    <row r="601" spans="1:18" ht="19.5" customHeight="1">
      <c r="A601" s="299" t="s">
        <v>7091</v>
      </c>
      <c r="B601" s="64" t="s">
        <v>347</v>
      </c>
      <c r="C601" s="64"/>
      <c r="D601" s="64"/>
      <c r="E601" s="116" t="s">
        <v>459</v>
      </c>
      <c r="F601" s="116" t="s">
        <v>460</v>
      </c>
      <c r="G601" s="116" t="s">
        <v>458</v>
      </c>
      <c r="H601" s="116" t="s">
        <v>327</v>
      </c>
      <c r="I601" s="116" t="s">
        <v>10</v>
      </c>
      <c r="J601" s="116" t="s">
        <v>642</v>
      </c>
      <c r="K601" s="63">
        <v>596</v>
      </c>
      <c r="L601" s="63">
        <v>388</v>
      </c>
      <c r="M601" s="63">
        <v>13</v>
      </c>
      <c r="N601" s="63"/>
      <c r="O601" s="63">
        <v>401</v>
      </c>
      <c r="P601" s="63"/>
      <c r="Q601" s="63"/>
      <c r="R601" s="302">
        <f t="shared" si="9"/>
        <v>0</v>
      </c>
    </row>
    <row r="602" spans="1:18" ht="19.5" customHeight="1">
      <c r="A602" s="304" t="s">
        <v>7095</v>
      </c>
      <c r="B602" s="307" t="s">
        <v>236</v>
      </c>
      <c r="C602" s="307"/>
      <c r="D602" s="307"/>
      <c r="E602" s="116" t="s">
        <v>408</v>
      </c>
      <c r="F602" s="116" t="s">
        <v>409</v>
      </c>
      <c r="G602" s="116" t="s">
        <v>407</v>
      </c>
      <c r="H602" s="116" t="s">
        <v>238</v>
      </c>
      <c r="I602" s="531" t="s">
        <v>10</v>
      </c>
      <c r="J602" s="116" t="s">
        <v>642</v>
      </c>
      <c r="K602" s="118">
        <v>530</v>
      </c>
      <c r="L602" s="308">
        <v>0</v>
      </c>
      <c r="M602" s="302">
        <v>2940</v>
      </c>
      <c r="N602" s="303"/>
      <c r="O602" s="302">
        <v>2940</v>
      </c>
      <c r="P602" s="302"/>
      <c r="Q602" s="303"/>
      <c r="R602" s="302">
        <f t="shared" si="9"/>
        <v>0</v>
      </c>
    </row>
    <row r="603" spans="1:18" ht="19.5" customHeight="1">
      <c r="A603" s="304" t="s">
        <v>7099</v>
      </c>
      <c r="B603" s="307" t="s">
        <v>236</v>
      </c>
      <c r="C603" s="307"/>
      <c r="D603" s="307"/>
      <c r="E603" s="116" t="s">
        <v>405</v>
      </c>
      <c r="F603" s="116" t="s">
        <v>406</v>
      </c>
      <c r="G603" s="116" t="s">
        <v>407</v>
      </c>
      <c r="H603" s="116" t="s">
        <v>327</v>
      </c>
      <c r="I603" s="531" t="s">
        <v>10</v>
      </c>
      <c r="J603" s="116" t="s">
        <v>642</v>
      </c>
      <c r="K603" s="118">
        <v>428</v>
      </c>
      <c r="L603" s="308">
        <v>0</v>
      </c>
      <c r="M603" s="302">
        <f>39984+29988+14420</f>
        <v>84392</v>
      </c>
      <c r="N603" s="303"/>
      <c r="O603" s="302">
        <f>39984+29719+13081</f>
        <v>82784</v>
      </c>
      <c r="P603" s="302">
        <v>9</v>
      </c>
      <c r="Q603" s="303"/>
      <c r="R603" s="302">
        <f t="shared" si="9"/>
        <v>1608</v>
      </c>
    </row>
    <row r="604" spans="1:18" ht="19.5" customHeight="1">
      <c r="A604" s="299" t="s">
        <v>7104</v>
      </c>
      <c r="B604" s="309" t="s">
        <v>2298</v>
      </c>
      <c r="C604" s="309"/>
      <c r="D604" s="309"/>
      <c r="E604" s="309" t="s">
        <v>163</v>
      </c>
      <c r="F604" s="309" t="s">
        <v>8815</v>
      </c>
      <c r="G604" s="309" t="s">
        <v>2253</v>
      </c>
      <c r="H604" s="309" t="s">
        <v>165</v>
      </c>
      <c r="I604" s="309" t="s">
        <v>11</v>
      </c>
      <c r="J604" s="309" t="s">
        <v>9019</v>
      </c>
      <c r="K604" s="63">
        <v>950</v>
      </c>
      <c r="L604" s="310">
        <v>0</v>
      </c>
      <c r="M604" s="302">
        <v>9600</v>
      </c>
      <c r="N604" s="303"/>
      <c r="O604" s="302">
        <v>5291</v>
      </c>
      <c r="P604" s="302"/>
      <c r="Q604" s="303"/>
      <c r="R604" s="302">
        <f t="shared" si="9"/>
        <v>4309</v>
      </c>
    </row>
    <row r="605" spans="1:18" ht="19.5" customHeight="1">
      <c r="A605" s="2">
        <v>120</v>
      </c>
      <c r="B605" s="72" t="s">
        <v>9058</v>
      </c>
      <c r="C605" s="475"/>
      <c r="D605" s="475"/>
      <c r="E605" s="117" t="s">
        <v>10902</v>
      </c>
      <c r="F605" s="117" t="s">
        <v>10903</v>
      </c>
      <c r="G605" s="117" t="s">
        <v>5105</v>
      </c>
      <c r="H605" s="117" t="s">
        <v>9880</v>
      </c>
      <c r="I605" s="117" t="s">
        <v>15</v>
      </c>
      <c r="J605" s="117" t="s">
        <v>3104</v>
      </c>
      <c r="K605" s="78">
        <v>44100</v>
      </c>
      <c r="L605" s="78">
        <v>279</v>
      </c>
      <c r="M605" s="78">
        <v>2</v>
      </c>
      <c r="N605" s="476"/>
      <c r="O605" s="476">
        <v>280</v>
      </c>
      <c r="P605" s="78"/>
      <c r="Q605" s="78"/>
      <c r="R605" s="302">
        <f t="shared" si="9"/>
        <v>1</v>
      </c>
    </row>
    <row r="606" spans="1:18" ht="19.5" customHeight="1">
      <c r="A606" s="299" t="s">
        <v>7108</v>
      </c>
      <c r="B606" s="11" t="s">
        <v>758</v>
      </c>
      <c r="C606" s="11"/>
      <c r="D606" s="11"/>
      <c r="E606" s="116" t="s">
        <v>2569</v>
      </c>
      <c r="F606" s="116" t="s">
        <v>3332</v>
      </c>
      <c r="G606" s="116" t="s">
        <v>3333</v>
      </c>
      <c r="H606" s="116" t="s">
        <v>3334</v>
      </c>
      <c r="I606" s="504" t="s">
        <v>15</v>
      </c>
      <c r="J606" s="116" t="s">
        <v>277</v>
      </c>
      <c r="K606" s="63">
        <v>6930</v>
      </c>
      <c r="L606" s="63">
        <v>378</v>
      </c>
      <c r="M606" s="63">
        <v>0</v>
      </c>
      <c r="N606" s="63"/>
      <c r="O606" s="63">
        <v>378</v>
      </c>
      <c r="P606" s="63">
        <v>300</v>
      </c>
      <c r="Q606" s="63"/>
      <c r="R606" s="302">
        <f t="shared" si="9"/>
        <v>0</v>
      </c>
    </row>
    <row r="607" spans="1:18" ht="19.5" customHeight="1">
      <c r="A607" s="304" t="s">
        <v>7115</v>
      </c>
      <c r="B607" s="305" t="s">
        <v>758</v>
      </c>
      <c r="C607" s="305"/>
      <c r="D607" s="305"/>
      <c r="E607" s="305" t="s">
        <v>2569</v>
      </c>
      <c r="F607" s="305" t="s">
        <v>3332</v>
      </c>
      <c r="G607" s="305" t="s">
        <v>6510</v>
      </c>
      <c r="H607" s="305" t="s">
        <v>759</v>
      </c>
      <c r="I607" s="305" t="s">
        <v>15</v>
      </c>
      <c r="J607" s="305" t="s">
        <v>8999</v>
      </c>
      <c r="K607" s="119">
        <v>8925</v>
      </c>
      <c r="L607" s="119">
        <v>0</v>
      </c>
      <c r="M607" s="302">
        <f>201+300+302</f>
        <v>803</v>
      </c>
      <c r="N607" s="303"/>
      <c r="O607" s="302">
        <f>114+277</f>
        <v>391</v>
      </c>
      <c r="P607" s="302">
        <v>32</v>
      </c>
      <c r="Q607" s="303"/>
      <c r="R607" s="302">
        <f t="shared" si="9"/>
        <v>412</v>
      </c>
    </row>
    <row r="608" spans="1:18" ht="19.5" customHeight="1">
      <c r="A608" s="304" t="s">
        <v>7121</v>
      </c>
      <c r="B608" s="11" t="s">
        <v>708</v>
      </c>
      <c r="C608" s="11"/>
      <c r="D608" s="11"/>
      <c r="E608" s="116" t="s">
        <v>709</v>
      </c>
      <c r="F608" s="116" t="s">
        <v>711</v>
      </c>
      <c r="G608" s="116" t="s">
        <v>712</v>
      </c>
      <c r="H608" s="116" t="s">
        <v>272</v>
      </c>
      <c r="I608" s="116" t="s">
        <v>12</v>
      </c>
      <c r="J608" s="116" t="s">
        <v>710</v>
      </c>
      <c r="K608" s="63">
        <v>3150</v>
      </c>
      <c r="L608" s="63">
        <f>1608+10400</f>
        <v>12008</v>
      </c>
      <c r="M608" s="63">
        <v>0</v>
      </c>
      <c r="N608" s="63"/>
      <c r="O608" s="63">
        <f>1608+5076</f>
        <v>6684</v>
      </c>
      <c r="P608" s="63"/>
      <c r="Q608" s="63"/>
      <c r="R608" s="302">
        <f t="shared" si="9"/>
        <v>5324</v>
      </c>
    </row>
    <row r="609" spans="1:18" ht="19.5" customHeight="1">
      <c r="A609" s="299" t="s">
        <v>7124</v>
      </c>
      <c r="B609" s="67" t="s">
        <v>1302</v>
      </c>
      <c r="C609" s="11"/>
      <c r="D609" s="11"/>
      <c r="E609" s="116" t="s">
        <v>1994</v>
      </c>
      <c r="F609" s="116" t="s">
        <v>1996</v>
      </c>
      <c r="G609" s="116" t="s">
        <v>1946</v>
      </c>
      <c r="H609" s="116" t="s">
        <v>1995</v>
      </c>
      <c r="I609" s="116" t="s">
        <v>11</v>
      </c>
      <c r="J609" s="116" t="s">
        <v>842</v>
      </c>
      <c r="K609" s="63">
        <v>2583</v>
      </c>
      <c r="L609" s="63">
        <v>90</v>
      </c>
      <c r="M609" s="63">
        <v>1</v>
      </c>
      <c r="N609" s="63"/>
      <c r="O609" s="63">
        <v>73</v>
      </c>
      <c r="P609" s="63"/>
      <c r="Q609" s="63"/>
      <c r="R609" s="302">
        <f t="shared" si="9"/>
        <v>18</v>
      </c>
    </row>
    <row r="610" spans="1:18" ht="19.5" customHeight="1">
      <c r="A610" s="2">
        <v>121</v>
      </c>
      <c r="B610" s="306" t="s">
        <v>1302</v>
      </c>
      <c r="C610" s="306"/>
      <c r="D610" s="306"/>
      <c r="E610" s="116" t="s">
        <v>1994</v>
      </c>
      <c r="F610" s="116" t="s">
        <v>5729</v>
      </c>
      <c r="G610" s="116" t="s">
        <v>5722</v>
      </c>
      <c r="H610" s="306" t="s">
        <v>238</v>
      </c>
      <c r="I610" s="306" t="s">
        <v>10</v>
      </c>
      <c r="J610" s="116" t="s">
        <v>1066</v>
      </c>
      <c r="K610" s="63">
        <v>924</v>
      </c>
      <c r="L610" s="63"/>
      <c r="M610" s="302">
        <f>6412+39984+13440+20160</f>
        <v>79996</v>
      </c>
      <c r="N610" s="303"/>
      <c r="O610" s="302">
        <f>5858+39984+13440+20160</f>
        <v>79442</v>
      </c>
      <c r="P610" s="302"/>
      <c r="Q610" s="303"/>
      <c r="R610" s="302">
        <f t="shared" si="9"/>
        <v>554</v>
      </c>
    </row>
    <row r="611" spans="1:18" ht="19.5" customHeight="1">
      <c r="A611" s="299" t="s">
        <v>7130</v>
      </c>
      <c r="B611" s="11" t="s">
        <v>1380</v>
      </c>
      <c r="C611" s="11"/>
      <c r="D611" s="11"/>
      <c r="E611" s="116" t="s">
        <v>1381</v>
      </c>
      <c r="F611" s="116" t="s">
        <v>1382</v>
      </c>
      <c r="G611" s="116" t="s">
        <v>360</v>
      </c>
      <c r="H611" s="116" t="s">
        <v>310</v>
      </c>
      <c r="I611" s="116" t="s">
        <v>11</v>
      </c>
      <c r="J611" s="116" t="s">
        <v>642</v>
      </c>
      <c r="K611" s="63">
        <v>268</v>
      </c>
      <c r="L611" s="63">
        <v>703</v>
      </c>
      <c r="M611" s="63">
        <v>7</v>
      </c>
      <c r="N611" s="63"/>
      <c r="O611" s="63">
        <v>710</v>
      </c>
      <c r="P611" s="63"/>
      <c r="Q611" s="63"/>
      <c r="R611" s="302">
        <f t="shared" si="9"/>
        <v>0</v>
      </c>
    </row>
    <row r="612" spans="1:18" ht="19.5" customHeight="1">
      <c r="A612" s="304" t="s">
        <v>7133</v>
      </c>
      <c r="B612" s="305" t="s">
        <v>1380</v>
      </c>
      <c r="C612" s="305"/>
      <c r="D612" s="305"/>
      <c r="E612" s="305" t="s">
        <v>1381</v>
      </c>
      <c r="F612" s="305" t="s">
        <v>1382</v>
      </c>
      <c r="G612" s="305" t="s">
        <v>7001</v>
      </c>
      <c r="H612" s="305" t="s">
        <v>310</v>
      </c>
      <c r="I612" s="305" t="s">
        <v>11</v>
      </c>
      <c r="J612" s="116" t="s">
        <v>859</v>
      </c>
      <c r="K612" s="119">
        <v>312</v>
      </c>
      <c r="L612" s="119">
        <v>0</v>
      </c>
      <c r="M612" s="302">
        <f>2400+5300</f>
        <v>7700</v>
      </c>
      <c r="N612" s="303"/>
      <c r="O612" s="302">
        <v>2966</v>
      </c>
      <c r="P612" s="302"/>
      <c r="Q612" s="303"/>
      <c r="R612" s="302">
        <f t="shared" si="9"/>
        <v>4734</v>
      </c>
    </row>
    <row r="613" spans="1:18" ht="19.5" customHeight="1">
      <c r="A613" s="304" t="s">
        <v>7137</v>
      </c>
      <c r="B613" s="11" t="s">
        <v>1380</v>
      </c>
      <c r="C613" s="11"/>
      <c r="D613" s="11"/>
      <c r="E613" s="116" t="s">
        <v>1383</v>
      </c>
      <c r="F613" s="116" t="s">
        <v>1384</v>
      </c>
      <c r="G613" s="116" t="s">
        <v>360</v>
      </c>
      <c r="H613" s="116" t="s">
        <v>869</v>
      </c>
      <c r="I613" s="116" t="s">
        <v>11</v>
      </c>
      <c r="J613" s="116" t="s">
        <v>642</v>
      </c>
      <c r="K613" s="63">
        <v>532</v>
      </c>
      <c r="L613" s="63">
        <v>0</v>
      </c>
      <c r="M613" s="63">
        <v>273</v>
      </c>
      <c r="N613" s="63"/>
      <c r="O613" s="63">
        <v>273</v>
      </c>
      <c r="P613" s="63"/>
      <c r="Q613" s="63"/>
      <c r="R613" s="302">
        <f t="shared" si="9"/>
        <v>0</v>
      </c>
    </row>
    <row r="614" spans="1:18" ht="19.5" customHeight="1">
      <c r="A614" s="299" t="s">
        <v>7141</v>
      </c>
      <c r="B614" s="305" t="s">
        <v>1380</v>
      </c>
      <c r="C614" s="305"/>
      <c r="D614" s="305"/>
      <c r="E614" s="305" t="s">
        <v>1383</v>
      </c>
      <c r="F614" s="305" t="s">
        <v>8239</v>
      </c>
      <c r="G614" s="305" t="s">
        <v>7001</v>
      </c>
      <c r="H614" s="305" t="s">
        <v>869</v>
      </c>
      <c r="I614" s="305" t="s">
        <v>11</v>
      </c>
      <c r="J614" s="116" t="s">
        <v>859</v>
      </c>
      <c r="K614" s="119">
        <v>599</v>
      </c>
      <c r="L614" s="119">
        <v>0</v>
      </c>
      <c r="M614" s="302">
        <f>11000+17006</f>
        <v>28006</v>
      </c>
      <c r="N614" s="303"/>
      <c r="O614" s="302">
        <v>13742</v>
      </c>
      <c r="P614" s="302"/>
      <c r="Q614" s="303"/>
      <c r="R614" s="302">
        <f t="shared" si="9"/>
        <v>14264</v>
      </c>
    </row>
    <row r="615" spans="1:18" ht="19.5" customHeight="1">
      <c r="A615" s="2">
        <v>122</v>
      </c>
      <c r="B615" s="11" t="s">
        <v>1235</v>
      </c>
      <c r="C615" s="11"/>
      <c r="D615" s="11"/>
      <c r="E615" s="116" t="s">
        <v>1877</v>
      </c>
      <c r="F615" s="116" t="s">
        <v>1879</v>
      </c>
      <c r="G615" s="116" t="s">
        <v>1880</v>
      </c>
      <c r="H615" s="116" t="s">
        <v>272</v>
      </c>
      <c r="I615" s="502" t="s">
        <v>12</v>
      </c>
      <c r="J615" s="116" t="s">
        <v>1878</v>
      </c>
      <c r="K615" s="63">
        <v>9030</v>
      </c>
      <c r="L615" s="63">
        <v>15207</v>
      </c>
      <c r="M615" s="63">
        <v>0</v>
      </c>
      <c r="N615" s="63"/>
      <c r="O615" s="63">
        <v>15207</v>
      </c>
      <c r="P615" s="63"/>
      <c r="Q615" s="63"/>
      <c r="R615" s="302">
        <f t="shared" si="9"/>
        <v>0</v>
      </c>
    </row>
    <row r="616" spans="1:18" ht="19.5" customHeight="1">
      <c r="A616" s="299" t="s">
        <v>7144</v>
      </c>
      <c r="B616" s="67" t="s">
        <v>1424</v>
      </c>
      <c r="C616" s="11"/>
      <c r="D616" s="11"/>
      <c r="E616" s="116" t="s">
        <v>1425</v>
      </c>
      <c r="F616" s="116" t="s">
        <v>1428</v>
      </c>
      <c r="G616" s="116" t="s">
        <v>1429</v>
      </c>
      <c r="H616" s="116" t="s">
        <v>1426</v>
      </c>
      <c r="I616" s="116" t="s">
        <v>10</v>
      </c>
      <c r="J616" s="116" t="s">
        <v>1427</v>
      </c>
      <c r="K616" s="63">
        <v>220</v>
      </c>
      <c r="L616" s="63">
        <v>8092</v>
      </c>
      <c r="M616" s="63">
        <v>0</v>
      </c>
      <c r="N616" s="63"/>
      <c r="O616" s="63">
        <v>8092</v>
      </c>
      <c r="P616" s="63"/>
      <c r="Q616" s="63"/>
      <c r="R616" s="302">
        <f t="shared" si="9"/>
        <v>0</v>
      </c>
    </row>
    <row r="617" spans="1:18" ht="19.5" customHeight="1">
      <c r="A617" s="304" t="s">
        <v>7149</v>
      </c>
      <c r="B617" s="67" t="s">
        <v>1167</v>
      </c>
      <c r="C617" s="11"/>
      <c r="D617" s="11"/>
      <c r="E617" s="502" t="s">
        <v>1168</v>
      </c>
      <c r="F617" s="502" t="s">
        <v>1169</v>
      </c>
      <c r="G617" s="502" t="s">
        <v>1159</v>
      </c>
      <c r="H617" s="502" t="s">
        <v>258</v>
      </c>
      <c r="I617" s="502" t="s">
        <v>11</v>
      </c>
      <c r="J617" s="502" t="s">
        <v>620</v>
      </c>
      <c r="K617" s="63">
        <v>4500</v>
      </c>
      <c r="L617" s="63">
        <v>8741</v>
      </c>
      <c r="M617" s="63">
        <v>0</v>
      </c>
      <c r="N617" s="63"/>
      <c r="O617" s="63">
        <v>8741</v>
      </c>
      <c r="P617" s="63">
        <v>100</v>
      </c>
      <c r="Q617" s="63"/>
      <c r="R617" s="302">
        <f t="shared" si="9"/>
        <v>0</v>
      </c>
    </row>
    <row r="618" spans="1:18" ht="19.5" customHeight="1">
      <c r="A618" s="304" t="s">
        <v>7153</v>
      </c>
      <c r="B618" s="305" t="s">
        <v>1167</v>
      </c>
      <c r="C618" s="305"/>
      <c r="D618" s="305"/>
      <c r="E618" s="305" t="s">
        <v>1168</v>
      </c>
      <c r="F618" s="305" t="s">
        <v>7825</v>
      </c>
      <c r="G618" s="305" t="s">
        <v>7674</v>
      </c>
      <c r="H618" s="305" t="s">
        <v>258</v>
      </c>
      <c r="I618" s="305" t="s">
        <v>11</v>
      </c>
      <c r="J618" s="305" t="s">
        <v>1350</v>
      </c>
      <c r="K618" s="119">
        <v>3990</v>
      </c>
      <c r="L618" s="119">
        <v>0</v>
      </c>
      <c r="M618" s="302">
        <v>3000</v>
      </c>
      <c r="N618" s="303"/>
      <c r="O618" s="302">
        <f>120+1962</f>
        <v>2082</v>
      </c>
      <c r="P618" s="302"/>
      <c r="Q618" s="303"/>
      <c r="R618" s="302">
        <f t="shared" si="9"/>
        <v>918</v>
      </c>
    </row>
    <row r="619" spans="1:18" ht="19.5" customHeight="1">
      <c r="A619" s="299" t="s">
        <v>7156</v>
      </c>
      <c r="B619" s="307" t="s">
        <v>359</v>
      </c>
      <c r="C619" s="307"/>
      <c r="D619" s="307"/>
      <c r="E619" s="116" t="s">
        <v>456</v>
      </c>
      <c r="F619" s="116" t="s">
        <v>457</v>
      </c>
      <c r="G619" s="116" t="s">
        <v>458</v>
      </c>
      <c r="H619" s="116" t="s">
        <v>262</v>
      </c>
      <c r="I619" s="531" t="s">
        <v>10</v>
      </c>
      <c r="J619" s="116" t="s">
        <v>642</v>
      </c>
      <c r="K619" s="118">
        <v>1780</v>
      </c>
      <c r="L619" s="308">
        <v>1058</v>
      </c>
      <c r="M619" s="302">
        <f>3210+900</f>
        <v>4110</v>
      </c>
      <c r="N619" s="303"/>
      <c r="O619" s="302">
        <f>995+1918</f>
        <v>2913</v>
      </c>
      <c r="P619" s="302">
        <v>20</v>
      </c>
      <c r="Q619" s="303"/>
      <c r="R619" s="302">
        <f t="shared" si="9"/>
        <v>2255</v>
      </c>
    </row>
    <row r="620" spans="1:18" ht="19.5" customHeight="1">
      <c r="A620" s="2">
        <v>123</v>
      </c>
      <c r="B620" s="67" t="s">
        <v>913</v>
      </c>
      <c r="C620" s="11"/>
      <c r="D620" s="11"/>
      <c r="E620" s="502" t="s">
        <v>914</v>
      </c>
      <c r="F620" s="502" t="s">
        <v>917</v>
      </c>
      <c r="G620" s="502" t="s">
        <v>918</v>
      </c>
      <c r="H620" s="502" t="s">
        <v>915</v>
      </c>
      <c r="I620" s="502" t="s">
        <v>628</v>
      </c>
      <c r="J620" s="502" t="s">
        <v>916</v>
      </c>
      <c r="K620" s="63">
        <v>241525</v>
      </c>
      <c r="L620" s="63">
        <v>58</v>
      </c>
      <c r="M620" s="63">
        <v>0</v>
      </c>
      <c r="N620" s="63"/>
      <c r="O620" s="63">
        <v>58</v>
      </c>
      <c r="P620" s="63">
        <v>58</v>
      </c>
      <c r="Q620" s="63"/>
      <c r="R620" s="302">
        <f t="shared" si="9"/>
        <v>0</v>
      </c>
    </row>
    <row r="621" spans="1:18" ht="19.5" customHeight="1">
      <c r="A621" s="299" t="s">
        <v>7162</v>
      </c>
      <c r="B621" s="309" t="s">
        <v>8745</v>
      </c>
      <c r="C621" s="309"/>
      <c r="D621" s="309"/>
      <c r="E621" s="309" t="s">
        <v>8742</v>
      </c>
      <c r="F621" s="309" t="s">
        <v>8747</v>
      </c>
      <c r="G621" s="309" t="s">
        <v>8535</v>
      </c>
      <c r="H621" s="309" t="s">
        <v>4730</v>
      </c>
      <c r="I621" s="309" t="s">
        <v>11</v>
      </c>
      <c r="J621" s="309" t="s">
        <v>8969</v>
      </c>
      <c r="K621" s="63">
        <v>2067</v>
      </c>
      <c r="L621" s="310">
        <v>0</v>
      </c>
      <c r="M621" s="302">
        <v>3000</v>
      </c>
      <c r="N621" s="303"/>
      <c r="O621" s="302">
        <v>52</v>
      </c>
      <c r="P621" s="302"/>
      <c r="Q621" s="303"/>
      <c r="R621" s="302">
        <f t="shared" si="9"/>
        <v>2948</v>
      </c>
    </row>
    <row r="622" spans="1:18" ht="19.5" customHeight="1">
      <c r="A622" s="304" t="s">
        <v>7164</v>
      </c>
      <c r="B622" s="11" t="s">
        <v>1127</v>
      </c>
      <c r="C622" s="11"/>
      <c r="D622" s="11"/>
      <c r="E622" s="116" t="s">
        <v>1128</v>
      </c>
      <c r="F622" s="116" t="s">
        <v>1130</v>
      </c>
      <c r="G622" s="116" t="s">
        <v>1093</v>
      </c>
      <c r="H622" s="116" t="s">
        <v>1129</v>
      </c>
      <c r="I622" s="116" t="s">
        <v>11</v>
      </c>
      <c r="J622" s="116" t="s">
        <v>815</v>
      </c>
      <c r="K622" s="63">
        <v>1495</v>
      </c>
      <c r="L622" s="63">
        <v>1140</v>
      </c>
      <c r="M622" s="63">
        <v>12</v>
      </c>
      <c r="N622" s="63"/>
      <c r="O622" s="63">
        <v>1152</v>
      </c>
      <c r="P622" s="63"/>
      <c r="Q622" s="63"/>
      <c r="R622" s="302">
        <f t="shared" si="9"/>
        <v>0</v>
      </c>
    </row>
    <row r="623" spans="1:18" ht="19.5" customHeight="1">
      <c r="A623" s="304" t="s">
        <v>7170</v>
      </c>
      <c r="B623" s="301" t="s">
        <v>289</v>
      </c>
      <c r="C623" s="301"/>
      <c r="D623" s="301"/>
      <c r="E623" s="301" t="s">
        <v>4301</v>
      </c>
      <c r="F623" s="301" t="s">
        <v>6830</v>
      </c>
      <c r="G623" s="301" t="s">
        <v>6532</v>
      </c>
      <c r="H623" s="301" t="s">
        <v>258</v>
      </c>
      <c r="I623" s="305" t="s">
        <v>11</v>
      </c>
      <c r="J623" s="116" t="s">
        <v>1066</v>
      </c>
      <c r="K623" s="63">
        <v>4000</v>
      </c>
      <c r="L623" s="63">
        <v>0</v>
      </c>
      <c r="M623" s="302">
        <v>14004</v>
      </c>
      <c r="N623" s="303"/>
      <c r="O623" s="302">
        <v>6314</v>
      </c>
      <c r="P623" s="302">
        <v>100</v>
      </c>
      <c r="Q623" s="303"/>
      <c r="R623" s="302">
        <f t="shared" si="9"/>
        <v>7690</v>
      </c>
    </row>
    <row r="624" spans="1:18" ht="19.5" customHeight="1">
      <c r="A624" s="299" t="s">
        <v>7175</v>
      </c>
      <c r="B624" s="305" t="s">
        <v>706</v>
      </c>
      <c r="C624" s="305"/>
      <c r="D624" s="305"/>
      <c r="E624" s="305" t="s">
        <v>4302</v>
      </c>
      <c r="F624" s="305" t="s">
        <v>6696</v>
      </c>
      <c r="G624" s="305" t="s">
        <v>6552</v>
      </c>
      <c r="H624" s="305" t="s">
        <v>390</v>
      </c>
      <c r="I624" s="305" t="s">
        <v>11</v>
      </c>
      <c r="J624" s="116" t="s">
        <v>1066</v>
      </c>
      <c r="K624" s="119">
        <v>1530</v>
      </c>
      <c r="L624" s="119">
        <v>0</v>
      </c>
      <c r="M624" s="302">
        <v>9990</v>
      </c>
      <c r="N624" s="303"/>
      <c r="O624" s="302">
        <v>7441</v>
      </c>
      <c r="P624" s="302"/>
      <c r="Q624" s="303"/>
      <c r="R624" s="302">
        <f t="shared" si="9"/>
        <v>2549</v>
      </c>
    </row>
    <row r="625" spans="1:18" ht="19.5" customHeight="1">
      <c r="A625" s="2">
        <v>124</v>
      </c>
      <c r="B625" s="11" t="s">
        <v>4171</v>
      </c>
      <c r="C625" s="11"/>
      <c r="D625" s="11"/>
      <c r="E625" s="116" t="s">
        <v>11406</v>
      </c>
      <c r="F625" s="116" t="s">
        <v>3363</v>
      </c>
      <c r="G625" s="116" t="s">
        <v>862</v>
      </c>
      <c r="H625" s="116" t="s">
        <v>291</v>
      </c>
      <c r="I625" s="116" t="s">
        <v>11</v>
      </c>
      <c r="J625" s="116" t="s">
        <v>1659</v>
      </c>
      <c r="K625" s="63">
        <v>1100</v>
      </c>
      <c r="L625" s="63">
        <v>7000</v>
      </c>
      <c r="M625" s="63">
        <v>0</v>
      </c>
      <c r="N625" s="63"/>
      <c r="O625" s="63">
        <v>5500</v>
      </c>
      <c r="P625" s="63"/>
      <c r="Q625" s="63"/>
      <c r="R625" s="302">
        <f t="shared" si="9"/>
        <v>1500</v>
      </c>
    </row>
    <row r="626" spans="1:18" ht="19.5" customHeight="1">
      <c r="A626" s="299" t="s">
        <v>7178</v>
      </c>
      <c r="B626" s="305" t="s">
        <v>555</v>
      </c>
      <c r="C626" s="305"/>
      <c r="D626" s="305"/>
      <c r="E626" s="305" t="s">
        <v>4304</v>
      </c>
      <c r="F626" s="305" t="s">
        <v>6718</v>
      </c>
      <c r="G626" s="305" t="s">
        <v>6719</v>
      </c>
      <c r="H626" s="305" t="s">
        <v>262</v>
      </c>
      <c r="I626" s="305" t="s">
        <v>11</v>
      </c>
      <c r="J626" s="116" t="s">
        <v>1066</v>
      </c>
      <c r="K626" s="119">
        <v>4200</v>
      </c>
      <c r="L626" s="119">
        <v>10249</v>
      </c>
      <c r="M626" s="302">
        <v>0</v>
      </c>
      <c r="N626" s="303"/>
      <c r="O626" s="302">
        <v>10249</v>
      </c>
      <c r="P626" s="302"/>
      <c r="Q626" s="303"/>
      <c r="R626" s="302">
        <f t="shared" si="9"/>
        <v>0</v>
      </c>
    </row>
    <row r="627" spans="1:18" ht="19.5" customHeight="1">
      <c r="A627" s="304" t="s">
        <v>7181</v>
      </c>
      <c r="B627" s="305" t="s">
        <v>555</v>
      </c>
      <c r="C627" s="305"/>
      <c r="D627" s="305"/>
      <c r="E627" s="305" t="s">
        <v>4304</v>
      </c>
      <c r="F627" s="305" t="s">
        <v>6718</v>
      </c>
      <c r="G627" s="305" t="s">
        <v>6719</v>
      </c>
      <c r="H627" s="305" t="s">
        <v>262</v>
      </c>
      <c r="I627" s="305" t="s">
        <v>11</v>
      </c>
      <c r="J627" s="116" t="s">
        <v>1066</v>
      </c>
      <c r="K627" s="119">
        <v>2480</v>
      </c>
      <c r="L627" s="119">
        <v>0</v>
      </c>
      <c r="M627" s="302">
        <v>11490</v>
      </c>
      <c r="N627" s="303"/>
      <c r="O627" s="302">
        <v>11467</v>
      </c>
      <c r="P627" s="302">
        <v>1500</v>
      </c>
      <c r="Q627" s="303"/>
      <c r="R627" s="302">
        <f t="shared" si="9"/>
        <v>23</v>
      </c>
    </row>
    <row r="628" spans="1:18" ht="19.5" customHeight="1">
      <c r="A628" s="304" t="s">
        <v>7184</v>
      </c>
      <c r="B628" s="305" t="s">
        <v>645</v>
      </c>
      <c r="C628" s="305"/>
      <c r="D628" s="305"/>
      <c r="E628" s="305" t="s">
        <v>4306</v>
      </c>
      <c r="F628" s="305" t="s">
        <v>8299</v>
      </c>
      <c r="G628" s="305" t="s">
        <v>6552</v>
      </c>
      <c r="H628" s="305" t="s">
        <v>291</v>
      </c>
      <c r="I628" s="305" t="s">
        <v>11</v>
      </c>
      <c r="J628" s="116" t="s">
        <v>1066</v>
      </c>
      <c r="K628" s="119">
        <v>990</v>
      </c>
      <c r="L628" s="119">
        <v>0</v>
      </c>
      <c r="M628" s="302">
        <v>9990</v>
      </c>
      <c r="N628" s="303"/>
      <c r="O628" s="302">
        <v>4198</v>
      </c>
      <c r="P628" s="302"/>
      <c r="Q628" s="303"/>
      <c r="R628" s="302">
        <f t="shared" si="9"/>
        <v>5792</v>
      </c>
    </row>
    <row r="629" spans="1:18" ht="19.5" customHeight="1">
      <c r="A629" s="299" t="s">
        <v>7186</v>
      </c>
      <c r="B629" s="305" t="s">
        <v>557</v>
      </c>
      <c r="C629" s="305"/>
      <c r="D629" s="305"/>
      <c r="E629" s="305" t="s">
        <v>4308</v>
      </c>
      <c r="F629" s="305" t="s">
        <v>6861</v>
      </c>
      <c r="G629" s="305" t="s">
        <v>6719</v>
      </c>
      <c r="H629" s="305" t="s">
        <v>272</v>
      </c>
      <c r="I629" s="305" t="s">
        <v>11</v>
      </c>
      <c r="J629" s="116" t="s">
        <v>1066</v>
      </c>
      <c r="K629" s="119">
        <v>725</v>
      </c>
      <c r="L629" s="119">
        <v>0</v>
      </c>
      <c r="M629" s="302">
        <v>11500</v>
      </c>
      <c r="N629" s="303"/>
      <c r="O629" s="302">
        <v>10500</v>
      </c>
      <c r="P629" s="302">
        <v>100</v>
      </c>
      <c r="Q629" s="303"/>
      <c r="R629" s="302">
        <f t="shared" si="9"/>
        <v>1000</v>
      </c>
    </row>
    <row r="630" spans="1:18" ht="19.5" customHeight="1">
      <c r="A630" s="2">
        <v>125</v>
      </c>
      <c r="B630" s="305" t="s">
        <v>557</v>
      </c>
      <c r="C630" s="305"/>
      <c r="D630" s="305"/>
      <c r="E630" s="305" t="s">
        <v>4310</v>
      </c>
      <c r="F630" s="305" t="s">
        <v>6863</v>
      </c>
      <c r="G630" s="305" t="s">
        <v>6719</v>
      </c>
      <c r="H630" s="305" t="s">
        <v>225</v>
      </c>
      <c r="I630" s="305" t="s">
        <v>11</v>
      </c>
      <c r="J630" s="116" t="s">
        <v>1066</v>
      </c>
      <c r="K630" s="119">
        <v>1390</v>
      </c>
      <c r="L630" s="119">
        <v>0</v>
      </c>
      <c r="M630" s="302">
        <v>4140</v>
      </c>
      <c r="N630" s="303"/>
      <c r="O630" s="302">
        <v>4140</v>
      </c>
      <c r="P630" s="302"/>
      <c r="Q630" s="303"/>
      <c r="R630" s="302">
        <f t="shared" si="9"/>
        <v>0</v>
      </c>
    </row>
    <row r="631" spans="1:18" ht="19.5" customHeight="1">
      <c r="A631" s="299" t="s">
        <v>7193</v>
      </c>
      <c r="B631" s="307" t="s">
        <v>395</v>
      </c>
      <c r="C631" s="307"/>
      <c r="D631" s="307"/>
      <c r="E631" s="116" t="s">
        <v>4929</v>
      </c>
      <c r="F631" s="116" t="s">
        <v>5304</v>
      </c>
      <c r="G631" s="116" t="s">
        <v>479</v>
      </c>
      <c r="H631" s="116" t="s">
        <v>267</v>
      </c>
      <c r="I631" s="531" t="s">
        <v>10</v>
      </c>
      <c r="J631" s="116" t="s">
        <v>8965</v>
      </c>
      <c r="K631" s="118">
        <v>1095</v>
      </c>
      <c r="L631" s="308">
        <v>6629</v>
      </c>
      <c r="M631" s="302">
        <v>10003</v>
      </c>
      <c r="N631" s="303"/>
      <c r="O631" s="302">
        <f>6518+597</f>
        <v>7115</v>
      </c>
      <c r="P631" s="302"/>
      <c r="Q631" s="303"/>
      <c r="R631" s="302">
        <f t="shared" si="9"/>
        <v>9517</v>
      </c>
    </row>
    <row r="632" spans="1:18" ht="19.5" customHeight="1">
      <c r="A632" s="304" t="s">
        <v>7195</v>
      </c>
      <c r="B632" s="305" t="s">
        <v>592</v>
      </c>
      <c r="C632" s="305"/>
      <c r="D632" s="305"/>
      <c r="E632" s="305" t="s">
        <v>3368</v>
      </c>
      <c r="F632" s="305" t="s">
        <v>6670</v>
      </c>
      <c r="G632" s="305" t="s">
        <v>6552</v>
      </c>
      <c r="H632" s="305" t="s">
        <v>594</v>
      </c>
      <c r="I632" s="305" t="s">
        <v>11</v>
      </c>
      <c r="J632" s="305" t="s">
        <v>8975</v>
      </c>
      <c r="K632" s="119">
        <v>599</v>
      </c>
      <c r="L632" s="119">
        <v>0</v>
      </c>
      <c r="M632" s="302">
        <f>9990+9990</f>
        <v>19980</v>
      </c>
      <c r="N632" s="303"/>
      <c r="O632" s="302">
        <f>9990+1980</f>
        <v>11970</v>
      </c>
      <c r="P632" s="302"/>
      <c r="Q632" s="303"/>
      <c r="R632" s="302">
        <f t="shared" si="9"/>
        <v>8010</v>
      </c>
    </row>
    <row r="633" spans="1:18" ht="19.5" customHeight="1">
      <c r="A633" s="304" t="s">
        <v>7198</v>
      </c>
      <c r="B633" s="11" t="s">
        <v>1647</v>
      </c>
      <c r="C633" s="11"/>
      <c r="D633" s="11"/>
      <c r="E633" s="116" t="s">
        <v>1648</v>
      </c>
      <c r="F633" s="116" t="s">
        <v>1649</v>
      </c>
      <c r="G633" s="528" t="s">
        <v>479</v>
      </c>
      <c r="H633" s="116" t="s">
        <v>327</v>
      </c>
      <c r="I633" s="528" t="s">
        <v>10</v>
      </c>
      <c r="J633" s="116" t="s">
        <v>1642</v>
      </c>
      <c r="K633" s="63">
        <v>1530</v>
      </c>
      <c r="L633" s="63">
        <f>5912+19980</f>
        <v>25892</v>
      </c>
      <c r="M633" s="63">
        <v>0</v>
      </c>
      <c r="N633" s="63"/>
      <c r="O633" s="63">
        <f>5912+8093</f>
        <v>14005</v>
      </c>
      <c r="P633" s="63"/>
      <c r="Q633" s="63"/>
      <c r="R633" s="302">
        <f t="shared" si="9"/>
        <v>11887</v>
      </c>
    </row>
    <row r="634" spans="1:18" ht="19.5" customHeight="1">
      <c r="A634" s="299" t="s">
        <v>7202</v>
      </c>
      <c r="B634" s="11" t="s">
        <v>1650</v>
      </c>
      <c r="C634" s="11"/>
      <c r="D634" s="11"/>
      <c r="E634" s="116" t="s">
        <v>1651</v>
      </c>
      <c r="F634" s="116" t="s">
        <v>1653</v>
      </c>
      <c r="G634" s="528" t="s">
        <v>479</v>
      </c>
      <c r="H634" s="116" t="s">
        <v>869</v>
      </c>
      <c r="I634" s="528" t="s">
        <v>10</v>
      </c>
      <c r="J634" s="116" t="s">
        <v>1652</v>
      </c>
      <c r="K634" s="63">
        <v>1090</v>
      </c>
      <c r="L634" s="63">
        <v>113</v>
      </c>
      <c r="M634" s="63">
        <v>0</v>
      </c>
      <c r="N634" s="63"/>
      <c r="O634" s="63">
        <v>113</v>
      </c>
      <c r="P634" s="63"/>
      <c r="Q634" s="63"/>
      <c r="R634" s="302">
        <f t="shared" si="9"/>
        <v>0</v>
      </c>
    </row>
    <row r="635" spans="1:18" ht="19.5" customHeight="1">
      <c r="A635" s="2">
        <v>126</v>
      </c>
      <c r="B635" s="307" t="s">
        <v>227</v>
      </c>
      <c r="C635" s="307"/>
      <c r="D635" s="307"/>
      <c r="E635" s="116" t="s">
        <v>344</v>
      </c>
      <c r="F635" s="116" t="s">
        <v>345</v>
      </c>
      <c r="G635" s="116" t="s">
        <v>346</v>
      </c>
      <c r="H635" s="116" t="s">
        <v>225</v>
      </c>
      <c r="I635" s="531" t="s">
        <v>10</v>
      </c>
      <c r="J635" s="116" t="s">
        <v>8965</v>
      </c>
      <c r="K635" s="118">
        <v>420</v>
      </c>
      <c r="L635" s="308">
        <v>0</v>
      </c>
      <c r="M635" s="302">
        <v>100000</v>
      </c>
      <c r="N635" s="303"/>
      <c r="O635" s="302">
        <v>76189</v>
      </c>
      <c r="P635" s="302">
        <v>600</v>
      </c>
      <c r="Q635" s="303"/>
      <c r="R635" s="302">
        <f t="shared" si="9"/>
        <v>23811</v>
      </c>
    </row>
    <row r="636" spans="1:18" ht="19.5" customHeight="1">
      <c r="A636" s="299" t="s">
        <v>7206</v>
      </c>
      <c r="B636" s="11" t="s">
        <v>1109</v>
      </c>
      <c r="C636" s="4"/>
      <c r="D636" s="4"/>
      <c r="E636" s="116" t="s">
        <v>1110</v>
      </c>
      <c r="F636" s="117" t="s">
        <v>1112</v>
      </c>
      <c r="G636" s="117" t="s">
        <v>1113</v>
      </c>
      <c r="H636" s="117" t="s">
        <v>384</v>
      </c>
      <c r="I636" s="117" t="s">
        <v>11</v>
      </c>
      <c r="J636" s="117" t="s">
        <v>1111</v>
      </c>
      <c r="K636" s="63">
        <v>4990</v>
      </c>
      <c r="L636" s="63">
        <v>11922</v>
      </c>
      <c r="M636" s="63">
        <v>0</v>
      </c>
      <c r="N636" s="63"/>
      <c r="O636" s="63">
        <v>11922</v>
      </c>
      <c r="P636" s="63"/>
      <c r="Q636" s="63"/>
      <c r="R636" s="302">
        <f t="shared" si="9"/>
        <v>0</v>
      </c>
    </row>
    <row r="637" spans="1:18" ht="19.5" customHeight="1">
      <c r="A637" s="304" t="s">
        <v>7212</v>
      </c>
      <c r="B637" s="305" t="s">
        <v>713</v>
      </c>
      <c r="C637" s="305"/>
      <c r="D637" s="305"/>
      <c r="E637" s="305" t="s">
        <v>4965</v>
      </c>
      <c r="F637" s="305" t="s">
        <v>6479</v>
      </c>
      <c r="G637" s="305" t="s">
        <v>245</v>
      </c>
      <c r="H637" s="305" t="s">
        <v>327</v>
      </c>
      <c r="I637" s="305" t="s">
        <v>11</v>
      </c>
      <c r="J637" s="116" t="s">
        <v>859</v>
      </c>
      <c r="K637" s="119">
        <v>630</v>
      </c>
      <c r="L637" s="119">
        <v>0</v>
      </c>
      <c r="M637" s="302">
        <v>3101</v>
      </c>
      <c r="N637" s="303"/>
      <c r="O637" s="302">
        <v>82</v>
      </c>
      <c r="P637" s="302">
        <v>10</v>
      </c>
      <c r="Q637" s="303"/>
      <c r="R637" s="302">
        <f t="shared" si="9"/>
        <v>3019</v>
      </c>
    </row>
    <row r="638" spans="1:18" ht="19.5" customHeight="1">
      <c r="A638" s="304" t="s">
        <v>7218</v>
      </c>
      <c r="B638" s="67" t="s">
        <v>930</v>
      </c>
      <c r="C638" s="11"/>
      <c r="D638" s="11"/>
      <c r="E638" s="502" t="s">
        <v>936</v>
      </c>
      <c r="F638" s="502" t="s">
        <v>938</v>
      </c>
      <c r="G638" s="502" t="s">
        <v>935</v>
      </c>
      <c r="H638" s="502" t="s">
        <v>937</v>
      </c>
      <c r="I638" s="502" t="s">
        <v>892</v>
      </c>
      <c r="J638" s="502" t="s">
        <v>933</v>
      </c>
      <c r="K638" s="63">
        <v>278090</v>
      </c>
      <c r="L638" s="63">
        <v>7</v>
      </c>
      <c r="M638" s="63">
        <v>0</v>
      </c>
      <c r="N638" s="63"/>
      <c r="O638" s="63">
        <v>7</v>
      </c>
      <c r="P638" s="63"/>
      <c r="Q638" s="63"/>
      <c r="R638" s="302">
        <f t="shared" si="9"/>
        <v>0</v>
      </c>
    </row>
    <row r="639" spans="1:18" ht="19.5" customHeight="1">
      <c r="A639" s="299" t="s">
        <v>7225</v>
      </c>
      <c r="B639" s="67" t="s">
        <v>930</v>
      </c>
      <c r="C639" s="11"/>
      <c r="D639" s="11"/>
      <c r="E639" s="502" t="s">
        <v>931</v>
      </c>
      <c r="F639" s="502" t="s">
        <v>934</v>
      </c>
      <c r="G639" s="502" t="s">
        <v>935</v>
      </c>
      <c r="H639" s="502" t="s">
        <v>932</v>
      </c>
      <c r="I639" s="502" t="s">
        <v>892</v>
      </c>
      <c r="J639" s="502" t="s">
        <v>933</v>
      </c>
      <c r="K639" s="63">
        <v>225996</v>
      </c>
      <c r="L639" s="63">
        <v>0</v>
      </c>
      <c r="M639" s="63">
        <v>10</v>
      </c>
      <c r="N639" s="63"/>
      <c r="O639" s="63">
        <v>8</v>
      </c>
      <c r="P639" s="63"/>
      <c r="Q639" s="63"/>
      <c r="R639" s="302">
        <f t="shared" si="9"/>
        <v>2</v>
      </c>
    </row>
    <row r="640" spans="1:18" ht="19.5" customHeight="1">
      <c r="A640" s="2">
        <v>127</v>
      </c>
      <c r="B640" s="116" t="s">
        <v>5634</v>
      </c>
      <c r="C640" s="116"/>
      <c r="D640" s="116"/>
      <c r="E640" s="116" t="s">
        <v>4323</v>
      </c>
      <c r="F640" s="116" t="s">
        <v>5644</v>
      </c>
      <c r="G640" s="116" t="s">
        <v>935</v>
      </c>
      <c r="H640" s="116" t="s">
        <v>5642</v>
      </c>
      <c r="I640" s="116" t="s">
        <v>658</v>
      </c>
      <c r="J640" s="116" t="s">
        <v>8983</v>
      </c>
      <c r="K640" s="119">
        <v>278090</v>
      </c>
      <c r="L640" s="312">
        <v>0</v>
      </c>
      <c r="M640" s="302">
        <v>350</v>
      </c>
      <c r="N640" s="303"/>
      <c r="O640" s="302">
        <f>39+123</f>
        <v>162</v>
      </c>
      <c r="P640" s="302"/>
      <c r="Q640" s="303"/>
      <c r="R640" s="302">
        <f t="shared" si="9"/>
        <v>188</v>
      </c>
    </row>
    <row r="641" spans="1:18" ht="19.5" customHeight="1">
      <c r="A641" s="299" t="s">
        <v>7232</v>
      </c>
      <c r="B641" s="305" t="s">
        <v>1702</v>
      </c>
      <c r="C641" s="305"/>
      <c r="D641" s="305"/>
      <c r="E641" s="305" t="s">
        <v>4328</v>
      </c>
      <c r="F641" s="305" t="s">
        <v>7500</v>
      </c>
      <c r="G641" s="305" t="s">
        <v>7501</v>
      </c>
      <c r="H641" s="305" t="s">
        <v>238</v>
      </c>
      <c r="I641" s="305" t="s">
        <v>11</v>
      </c>
      <c r="J641" s="116" t="s">
        <v>859</v>
      </c>
      <c r="K641" s="119">
        <v>475</v>
      </c>
      <c r="L641" s="119"/>
      <c r="M641" s="302">
        <v>300</v>
      </c>
      <c r="N641" s="303"/>
      <c r="O641" s="302">
        <v>300</v>
      </c>
      <c r="P641" s="302"/>
      <c r="Q641" s="303"/>
      <c r="R641" s="302">
        <f t="shared" si="9"/>
        <v>0</v>
      </c>
    </row>
    <row r="642" spans="1:18" ht="19.5" customHeight="1">
      <c r="A642" s="304" t="s">
        <v>7234</v>
      </c>
      <c r="B642" s="67" t="s">
        <v>1618</v>
      </c>
      <c r="C642" s="11"/>
      <c r="D642" s="11"/>
      <c r="E642" s="502" t="s">
        <v>2019</v>
      </c>
      <c r="F642" s="502" t="s">
        <v>2020</v>
      </c>
      <c r="G642" s="502" t="s">
        <v>2021</v>
      </c>
      <c r="H642" s="502" t="s">
        <v>225</v>
      </c>
      <c r="I642" s="502" t="s">
        <v>10</v>
      </c>
      <c r="J642" s="502" t="s">
        <v>623</v>
      </c>
      <c r="K642" s="63">
        <v>900</v>
      </c>
      <c r="L642" s="63">
        <v>56</v>
      </c>
      <c r="M642" s="63"/>
      <c r="N642" s="63"/>
      <c r="O642" s="63"/>
      <c r="P642" s="63"/>
      <c r="Q642" s="63"/>
      <c r="R642" s="302">
        <f t="shared" si="9"/>
        <v>56</v>
      </c>
    </row>
    <row r="643" spans="1:18" ht="19.5" customHeight="1">
      <c r="A643" s="304" t="s">
        <v>7240</v>
      </c>
      <c r="B643" s="309" t="s">
        <v>8832</v>
      </c>
      <c r="C643" s="309"/>
      <c r="D643" s="309"/>
      <c r="E643" s="309" t="s">
        <v>11407</v>
      </c>
      <c r="F643" s="309" t="s">
        <v>8835</v>
      </c>
      <c r="G643" s="309" t="s">
        <v>8826</v>
      </c>
      <c r="H643" s="309" t="s">
        <v>4735</v>
      </c>
      <c r="I643" s="309" t="s">
        <v>658</v>
      </c>
      <c r="J643" s="309" t="s">
        <v>9027</v>
      </c>
      <c r="K643" s="63">
        <v>28500</v>
      </c>
      <c r="L643" s="310">
        <v>0</v>
      </c>
      <c r="M643" s="302">
        <v>350</v>
      </c>
      <c r="N643" s="303"/>
      <c r="O643" s="302">
        <v>130</v>
      </c>
      <c r="P643" s="302"/>
      <c r="Q643" s="303"/>
      <c r="R643" s="302">
        <f t="shared" si="9"/>
        <v>220</v>
      </c>
    </row>
    <row r="644" spans="1:18" ht="19.5" customHeight="1">
      <c r="A644" s="299" t="s">
        <v>7245</v>
      </c>
      <c r="B644" s="305" t="s">
        <v>4333</v>
      </c>
      <c r="C644" s="305"/>
      <c r="D644" s="305"/>
      <c r="E644" s="305" t="s">
        <v>4332</v>
      </c>
      <c r="F644" s="305" t="s">
        <v>8135</v>
      </c>
      <c r="G644" s="305" t="s">
        <v>7211</v>
      </c>
      <c r="H644" s="305" t="s">
        <v>291</v>
      </c>
      <c r="I644" s="305" t="s">
        <v>11</v>
      </c>
      <c r="J644" s="116" t="s">
        <v>1066</v>
      </c>
      <c r="K644" s="119">
        <v>4095</v>
      </c>
      <c r="L644" s="119">
        <v>0</v>
      </c>
      <c r="M644" s="302">
        <f>4984+4984</f>
        <v>9968</v>
      </c>
      <c r="N644" s="303"/>
      <c r="O644" s="302">
        <f>584+4938</f>
        <v>5522</v>
      </c>
      <c r="P644" s="302"/>
      <c r="Q644" s="303"/>
      <c r="R644" s="302">
        <f t="shared" si="9"/>
        <v>4446</v>
      </c>
    </row>
    <row r="645" spans="1:18" ht="19.5" customHeight="1">
      <c r="A645" s="2">
        <v>128</v>
      </c>
      <c r="B645" s="11" t="s">
        <v>1562</v>
      </c>
      <c r="C645" s="11"/>
      <c r="D645" s="11"/>
      <c r="E645" s="116" t="s">
        <v>1563</v>
      </c>
      <c r="F645" s="116" t="s">
        <v>1565</v>
      </c>
      <c r="G645" s="116" t="s">
        <v>1566</v>
      </c>
      <c r="H645" s="116" t="s">
        <v>1564</v>
      </c>
      <c r="I645" s="116" t="s">
        <v>12</v>
      </c>
      <c r="J645" s="116" t="s">
        <v>1560</v>
      </c>
      <c r="K645" s="63">
        <v>1470</v>
      </c>
      <c r="L645" s="63">
        <v>8121</v>
      </c>
      <c r="M645" s="63">
        <v>0</v>
      </c>
      <c r="N645" s="63"/>
      <c r="O645" s="63">
        <v>5599</v>
      </c>
      <c r="P645" s="63"/>
      <c r="Q645" s="63"/>
      <c r="R645" s="302">
        <f t="shared" si="9"/>
        <v>2522</v>
      </c>
    </row>
    <row r="646" spans="1:18" ht="19.5" customHeight="1">
      <c r="A646" s="299" t="s">
        <v>7249</v>
      </c>
      <c r="B646" s="67" t="s">
        <v>967</v>
      </c>
      <c r="C646" s="11"/>
      <c r="D646" s="11"/>
      <c r="E646" s="502" t="s">
        <v>968</v>
      </c>
      <c r="F646" s="502" t="s">
        <v>970</v>
      </c>
      <c r="G646" s="502" t="s">
        <v>971</v>
      </c>
      <c r="H646" s="502" t="s">
        <v>945</v>
      </c>
      <c r="I646" s="502" t="s">
        <v>12</v>
      </c>
      <c r="J646" s="502" t="s">
        <v>969</v>
      </c>
      <c r="K646" s="63">
        <v>3475</v>
      </c>
      <c r="L646" s="63">
        <f>1302+440</f>
        <v>1742</v>
      </c>
      <c r="M646" s="63">
        <v>9</v>
      </c>
      <c r="N646" s="63"/>
      <c r="O646" s="63">
        <f>1302+449</f>
        <v>1751</v>
      </c>
      <c r="P646" s="63">
        <v>600</v>
      </c>
      <c r="Q646" s="63"/>
      <c r="R646" s="302">
        <f t="shared" si="9"/>
        <v>0</v>
      </c>
    </row>
    <row r="647" spans="1:18" ht="19.5" customHeight="1">
      <c r="A647" s="304" t="s">
        <v>7251</v>
      </c>
      <c r="B647" s="11" t="s">
        <v>1235</v>
      </c>
      <c r="C647" s="11"/>
      <c r="D647" s="11"/>
      <c r="E647" s="116" t="s">
        <v>1731</v>
      </c>
      <c r="F647" s="116" t="s">
        <v>1733</v>
      </c>
      <c r="G647" s="116" t="s">
        <v>1734</v>
      </c>
      <c r="H647" s="116" t="s">
        <v>1200</v>
      </c>
      <c r="I647" s="116" t="s">
        <v>13</v>
      </c>
      <c r="J647" s="116" t="s">
        <v>1732</v>
      </c>
      <c r="K647" s="63">
        <v>1850</v>
      </c>
      <c r="L647" s="63">
        <v>103</v>
      </c>
      <c r="M647" s="63">
        <v>8</v>
      </c>
      <c r="N647" s="63"/>
      <c r="O647" s="63">
        <v>111</v>
      </c>
      <c r="P647" s="63"/>
      <c r="Q647" s="63"/>
      <c r="R647" s="302">
        <f t="shared" si="9"/>
        <v>0</v>
      </c>
    </row>
    <row r="648" spans="1:18" ht="19.5" customHeight="1">
      <c r="A648" s="304" t="s">
        <v>7254</v>
      </c>
      <c r="B648" s="4" t="s">
        <v>10573</v>
      </c>
      <c r="C648" s="123"/>
      <c r="D648" s="123"/>
      <c r="E648" s="509" t="s">
        <v>11026</v>
      </c>
      <c r="F648" s="509" t="s">
        <v>11027</v>
      </c>
      <c r="G648" s="509" t="s">
        <v>6694</v>
      </c>
      <c r="H648" s="509" t="s">
        <v>4449</v>
      </c>
      <c r="I648" s="509" t="s">
        <v>15</v>
      </c>
      <c r="J648" s="509" t="s">
        <v>10023</v>
      </c>
      <c r="K648" s="476">
        <v>8000</v>
      </c>
      <c r="L648" s="476">
        <v>11</v>
      </c>
      <c r="M648" s="476">
        <v>0</v>
      </c>
      <c r="N648" s="476"/>
      <c r="O648" s="476">
        <v>11</v>
      </c>
      <c r="P648" s="476">
        <v>10</v>
      </c>
      <c r="Q648" s="476"/>
      <c r="R648" s="302">
        <f t="shared" si="9"/>
        <v>0</v>
      </c>
    </row>
    <row r="649" spans="1:18" ht="19.5" customHeight="1">
      <c r="A649" s="299" t="s">
        <v>7257</v>
      </c>
      <c r="B649" s="64" t="s">
        <v>265</v>
      </c>
      <c r="C649" s="64"/>
      <c r="D649" s="64"/>
      <c r="E649" s="116" t="s">
        <v>266</v>
      </c>
      <c r="F649" s="116" t="s">
        <v>269</v>
      </c>
      <c r="G649" s="116" t="s">
        <v>255</v>
      </c>
      <c r="H649" s="116" t="s">
        <v>267</v>
      </c>
      <c r="I649" s="116" t="s">
        <v>14</v>
      </c>
      <c r="J649" s="116" t="s">
        <v>268</v>
      </c>
      <c r="K649" s="63">
        <v>8988</v>
      </c>
      <c r="L649" s="63">
        <f>6+148</f>
        <v>154</v>
      </c>
      <c r="M649" s="63">
        <f>7+304</f>
        <v>311</v>
      </c>
      <c r="N649" s="63"/>
      <c r="O649" s="63">
        <f>155+229</f>
        <v>384</v>
      </c>
      <c r="P649" s="63">
        <v>8</v>
      </c>
      <c r="Q649" s="63"/>
      <c r="R649" s="302">
        <f t="shared" si="9"/>
        <v>81</v>
      </c>
    </row>
    <row r="650" spans="1:18" ht="19.5" customHeight="1">
      <c r="A650" s="2">
        <v>129</v>
      </c>
      <c r="B650" s="309" t="s">
        <v>2300</v>
      </c>
      <c r="C650" s="309"/>
      <c r="D650" s="309"/>
      <c r="E650" s="309" t="s">
        <v>166</v>
      </c>
      <c r="F650" s="309" t="s">
        <v>8624</v>
      </c>
      <c r="G650" s="309" t="s">
        <v>2253</v>
      </c>
      <c r="H650" s="309" t="s">
        <v>168</v>
      </c>
      <c r="I650" s="309" t="s">
        <v>11</v>
      </c>
      <c r="J650" s="309" t="s">
        <v>9019</v>
      </c>
      <c r="K650" s="63">
        <v>1200</v>
      </c>
      <c r="L650" s="310">
        <v>0</v>
      </c>
      <c r="M650" s="302">
        <v>9600</v>
      </c>
      <c r="N650" s="303"/>
      <c r="O650" s="302">
        <v>1540</v>
      </c>
      <c r="P650" s="302"/>
      <c r="Q650" s="303"/>
      <c r="R650" s="302">
        <f t="shared" ref="R650:R713" si="10">L650+M650-O650</f>
        <v>8060</v>
      </c>
    </row>
    <row r="651" spans="1:18" ht="19.5" customHeight="1">
      <c r="A651" s="299" t="s">
        <v>7261</v>
      </c>
      <c r="B651" s="11" t="s">
        <v>1631</v>
      </c>
      <c r="C651" s="11"/>
      <c r="D651" s="11"/>
      <c r="E651" s="116" t="s">
        <v>1631</v>
      </c>
      <c r="F651" s="116" t="s">
        <v>3389</v>
      </c>
      <c r="G651" s="116" t="s">
        <v>3390</v>
      </c>
      <c r="H651" s="116" t="s">
        <v>1632</v>
      </c>
      <c r="I651" s="116" t="s">
        <v>12</v>
      </c>
      <c r="J651" s="116" t="s">
        <v>2660</v>
      </c>
      <c r="K651" s="63">
        <v>399</v>
      </c>
      <c r="L651" s="63">
        <v>541</v>
      </c>
      <c r="M651" s="63">
        <v>3</v>
      </c>
      <c r="N651" s="63"/>
      <c r="O651" s="63">
        <v>544</v>
      </c>
      <c r="P651" s="63"/>
      <c r="Q651" s="63"/>
      <c r="R651" s="302">
        <f t="shared" si="10"/>
        <v>0</v>
      </c>
    </row>
    <row r="652" spans="1:18" ht="19.5" customHeight="1">
      <c r="A652" s="304" t="s">
        <v>7264</v>
      </c>
      <c r="B652" s="305" t="s">
        <v>1631</v>
      </c>
      <c r="C652" s="305"/>
      <c r="D652" s="305"/>
      <c r="E652" s="305" t="s">
        <v>3667</v>
      </c>
      <c r="F652" s="305" t="s">
        <v>8004</v>
      </c>
      <c r="G652" s="305" t="s">
        <v>867</v>
      </c>
      <c r="H652" s="305" t="s">
        <v>1632</v>
      </c>
      <c r="I652" s="305" t="s">
        <v>12</v>
      </c>
      <c r="J652" s="305" t="s">
        <v>9020</v>
      </c>
      <c r="K652" s="119">
        <v>390</v>
      </c>
      <c r="L652" s="119">
        <v>0</v>
      </c>
      <c r="M652" s="302">
        <f>11882+140+1500+1500</f>
        <v>15022</v>
      </c>
      <c r="N652" s="303"/>
      <c r="O652" s="302">
        <f>9540+140+740</f>
        <v>10420</v>
      </c>
      <c r="P652" s="302">
        <v>60</v>
      </c>
      <c r="Q652" s="303"/>
      <c r="R652" s="302">
        <f t="shared" si="10"/>
        <v>4602</v>
      </c>
    </row>
    <row r="653" spans="1:18" ht="19.5" customHeight="1">
      <c r="A653" s="304" t="s">
        <v>7266</v>
      </c>
      <c r="B653" s="11" t="s">
        <v>750</v>
      </c>
      <c r="C653" s="11"/>
      <c r="D653" s="11"/>
      <c r="E653" s="116" t="s">
        <v>1625</v>
      </c>
      <c r="F653" s="116" t="s">
        <v>1627</v>
      </c>
      <c r="G653" s="116" t="s">
        <v>473</v>
      </c>
      <c r="H653" s="116" t="s">
        <v>1370</v>
      </c>
      <c r="I653" s="116" t="s">
        <v>11</v>
      </c>
      <c r="J653" s="116" t="s">
        <v>11461</v>
      </c>
      <c r="K653" s="63">
        <v>59</v>
      </c>
      <c r="L653" s="63">
        <f>70+168</f>
        <v>238</v>
      </c>
      <c r="M653" s="63">
        <v>6</v>
      </c>
      <c r="N653" s="63"/>
      <c r="O653" s="63">
        <f>76+99</f>
        <v>175</v>
      </c>
      <c r="P653" s="63"/>
      <c r="Q653" s="63"/>
      <c r="R653" s="302">
        <f t="shared" si="10"/>
        <v>69</v>
      </c>
    </row>
    <row r="654" spans="1:18" ht="19.5" customHeight="1">
      <c r="A654" s="299" t="s">
        <v>3813</v>
      </c>
      <c r="B654" s="305" t="s">
        <v>4345</v>
      </c>
      <c r="C654" s="305"/>
      <c r="D654" s="305"/>
      <c r="E654" s="305" t="s">
        <v>4344</v>
      </c>
      <c r="F654" s="305" t="s">
        <v>7978</v>
      </c>
      <c r="G654" s="305" t="s">
        <v>7211</v>
      </c>
      <c r="H654" s="305" t="s">
        <v>869</v>
      </c>
      <c r="I654" s="305" t="s">
        <v>11</v>
      </c>
      <c r="J654" s="305" t="s">
        <v>9019</v>
      </c>
      <c r="K654" s="119">
        <v>465</v>
      </c>
      <c r="L654" s="119">
        <v>0</v>
      </c>
      <c r="M654" s="302">
        <f>600+600+4200</f>
        <v>5400</v>
      </c>
      <c r="N654" s="303"/>
      <c r="O654" s="302">
        <f>600+600+4048</f>
        <v>5248</v>
      </c>
      <c r="P654" s="302"/>
      <c r="Q654" s="303"/>
      <c r="R654" s="302">
        <f t="shared" si="10"/>
        <v>152</v>
      </c>
    </row>
    <row r="655" spans="1:18" ht="19.5" customHeight="1">
      <c r="A655" s="2">
        <v>130</v>
      </c>
      <c r="B655" s="305" t="s">
        <v>1029</v>
      </c>
      <c r="C655" s="305"/>
      <c r="D655" s="305"/>
      <c r="E655" s="305" t="s">
        <v>1385</v>
      </c>
      <c r="F655" s="305" t="s">
        <v>7379</v>
      </c>
      <c r="G655" s="305" t="s">
        <v>7001</v>
      </c>
      <c r="H655" s="305" t="s">
        <v>4561</v>
      </c>
      <c r="I655" s="305" t="s">
        <v>11</v>
      </c>
      <c r="J655" s="116" t="s">
        <v>1066</v>
      </c>
      <c r="K655" s="119">
        <v>1195</v>
      </c>
      <c r="L655" s="119">
        <v>0</v>
      </c>
      <c r="M655" s="302">
        <f>11500+3500</f>
        <v>15000</v>
      </c>
      <c r="N655" s="303"/>
      <c r="O655" s="302">
        <v>9500</v>
      </c>
      <c r="P655" s="302"/>
      <c r="Q655" s="303"/>
      <c r="R655" s="302">
        <f t="shared" si="10"/>
        <v>5500</v>
      </c>
    </row>
    <row r="656" spans="1:18" ht="19.5" customHeight="1">
      <c r="A656" s="299" t="s">
        <v>7275</v>
      </c>
      <c r="B656" s="305" t="s">
        <v>1029</v>
      </c>
      <c r="C656" s="305"/>
      <c r="D656" s="305"/>
      <c r="E656" s="305" t="s">
        <v>1385</v>
      </c>
      <c r="F656" s="305" t="s">
        <v>7379</v>
      </c>
      <c r="G656" s="305" t="s">
        <v>7001</v>
      </c>
      <c r="H656" s="305" t="s">
        <v>4561</v>
      </c>
      <c r="I656" s="305" t="s">
        <v>11</v>
      </c>
      <c r="J656" s="116" t="s">
        <v>1066</v>
      </c>
      <c r="K656" s="119">
        <v>1245</v>
      </c>
      <c r="L656" s="119">
        <v>2047</v>
      </c>
      <c r="M656" s="302">
        <v>0</v>
      </c>
      <c r="N656" s="303"/>
      <c r="O656" s="302">
        <v>2023</v>
      </c>
      <c r="P656" s="302"/>
      <c r="Q656" s="303"/>
      <c r="R656" s="302">
        <f t="shared" si="10"/>
        <v>24</v>
      </c>
    </row>
    <row r="657" spans="1:18" ht="19.5" customHeight="1">
      <c r="A657" s="304" t="s">
        <v>7280</v>
      </c>
      <c r="B657" s="11" t="s">
        <v>1029</v>
      </c>
      <c r="C657" s="11"/>
      <c r="D657" s="11"/>
      <c r="E657" s="116" t="s">
        <v>1387</v>
      </c>
      <c r="F657" s="116" t="s">
        <v>1389</v>
      </c>
      <c r="G657" s="116" t="s">
        <v>360</v>
      </c>
      <c r="H657" s="116" t="s">
        <v>1388</v>
      </c>
      <c r="I657" s="116" t="s">
        <v>11</v>
      </c>
      <c r="J657" s="116" t="s">
        <v>1336</v>
      </c>
      <c r="K657" s="63">
        <v>2370</v>
      </c>
      <c r="L657" s="63">
        <v>41</v>
      </c>
      <c r="M657" s="63">
        <v>0</v>
      </c>
      <c r="N657" s="63"/>
      <c r="O657" s="63">
        <v>9</v>
      </c>
      <c r="P657" s="63"/>
      <c r="Q657" s="63"/>
      <c r="R657" s="302">
        <f t="shared" si="10"/>
        <v>32</v>
      </c>
    </row>
    <row r="658" spans="1:18" ht="19.5" customHeight="1">
      <c r="A658" s="304" t="s">
        <v>7285</v>
      </c>
      <c r="B658" s="305" t="s">
        <v>1029</v>
      </c>
      <c r="C658" s="305"/>
      <c r="D658" s="305"/>
      <c r="E658" s="305" t="s">
        <v>4564</v>
      </c>
      <c r="F658" s="305" t="s">
        <v>7382</v>
      </c>
      <c r="G658" s="305" t="s">
        <v>7001</v>
      </c>
      <c r="H658" s="305" t="s">
        <v>4565</v>
      </c>
      <c r="I658" s="305" t="s">
        <v>11</v>
      </c>
      <c r="J658" s="116" t="s">
        <v>1066</v>
      </c>
      <c r="K658" s="119">
        <v>2337</v>
      </c>
      <c r="L658" s="119">
        <v>0</v>
      </c>
      <c r="M658" s="302">
        <f>2500+19000</f>
        <v>21500</v>
      </c>
      <c r="N658" s="303"/>
      <c r="O658" s="302">
        <v>17700</v>
      </c>
      <c r="P658" s="302"/>
      <c r="Q658" s="303"/>
      <c r="R658" s="302">
        <f t="shared" si="10"/>
        <v>3800</v>
      </c>
    </row>
    <row r="659" spans="1:18" ht="19.5" customHeight="1">
      <c r="A659" s="299" t="s">
        <v>7289</v>
      </c>
      <c r="B659" s="64" t="s">
        <v>428</v>
      </c>
      <c r="C659" s="64"/>
      <c r="D659" s="64"/>
      <c r="E659" s="116" t="s">
        <v>3408</v>
      </c>
      <c r="F659" s="116" t="s">
        <v>431</v>
      </c>
      <c r="G659" s="116" t="s">
        <v>432</v>
      </c>
      <c r="H659" s="116" t="s">
        <v>429</v>
      </c>
      <c r="I659" s="116" t="s">
        <v>14</v>
      </c>
      <c r="J659" s="116" t="s">
        <v>430</v>
      </c>
      <c r="K659" s="63">
        <v>6845</v>
      </c>
      <c r="L659" s="63">
        <v>98</v>
      </c>
      <c r="M659" s="63">
        <v>204</v>
      </c>
      <c r="N659" s="63"/>
      <c r="O659" s="63">
        <v>233</v>
      </c>
      <c r="P659" s="63">
        <v>233</v>
      </c>
      <c r="Q659" s="63"/>
      <c r="R659" s="302">
        <f t="shared" si="10"/>
        <v>69</v>
      </c>
    </row>
    <row r="660" spans="1:18" ht="19.5" customHeight="1">
      <c r="A660" s="2">
        <v>131</v>
      </c>
      <c r="B660" s="11" t="s">
        <v>855</v>
      </c>
      <c r="C660" s="11"/>
      <c r="D660" s="11"/>
      <c r="E660" s="503" t="s">
        <v>856</v>
      </c>
      <c r="F660" s="116" t="s">
        <v>857</v>
      </c>
      <c r="G660" s="116" t="s">
        <v>2785</v>
      </c>
      <c r="H660" s="116" t="s">
        <v>641</v>
      </c>
      <c r="I660" s="116" t="s">
        <v>11</v>
      </c>
      <c r="J660" s="116" t="s">
        <v>647</v>
      </c>
      <c r="K660" s="63">
        <v>2450</v>
      </c>
      <c r="L660" s="63">
        <v>24900</v>
      </c>
      <c r="M660" s="63">
        <v>0</v>
      </c>
      <c r="N660" s="63"/>
      <c r="O660" s="63">
        <v>24400</v>
      </c>
      <c r="P660" s="63">
        <v>100</v>
      </c>
      <c r="Q660" s="63"/>
      <c r="R660" s="302">
        <f t="shared" si="10"/>
        <v>500</v>
      </c>
    </row>
    <row r="661" spans="1:18" ht="19.5" customHeight="1">
      <c r="A661" s="299" t="s">
        <v>7294</v>
      </c>
      <c r="B661" s="305" t="s">
        <v>1311</v>
      </c>
      <c r="C661" s="305"/>
      <c r="D661" s="305"/>
      <c r="E661" s="305" t="s">
        <v>1720</v>
      </c>
      <c r="F661" s="305" t="s">
        <v>1721</v>
      </c>
      <c r="G661" s="305" t="s">
        <v>6102</v>
      </c>
      <c r="H661" s="305" t="s">
        <v>1313</v>
      </c>
      <c r="I661" s="305" t="s">
        <v>11</v>
      </c>
      <c r="J661" s="116" t="s">
        <v>859</v>
      </c>
      <c r="K661" s="119">
        <v>1000</v>
      </c>
      <c r="L661" s="119">
        <v>0</v>
      </c>
      <c r="M661" s="302">
        <v>22000</v>
      </c>
      <c r="N661" s="303"/>
      <c r="O661" s="302">
        <f>4681+4696</f>
        <v>9377</v>
      </c>
      <c r="P661" s="302">
        <v>30</v>
      </c>
      <c r="Q661" s="303"/>
      <c r="R661" s="302">
        <f t="shared" si="10"/>
        <v>12623</v>
      </c>
    </row>
    <row r="662" spans="1:18" ht="19.5" customHeight="1">
      <c r="A662" s="304" t="s">
        <v>7298</v>
      </c>
      <c r="B662" s="67" t="s">
        <v>638</v>
      </c>
      <c r="C662" s="11"/>
      <c r="D662" s="11"/>
      <c r="E662" s="116" t="s">
        <v>1997</v>
      </c>
      <c r="F662" s="116" t="s">
        <v>1998</v>
      </c>
      <c r="G662" s="116" t="s">
        <v>1946</v>
      </c>
      <c r="H662" s="116" t="s">
        <v>429</v>
      </c>
      <c r="I662" s="116" t="s">
        <v>1258</v>
      </c>
      <c r="J662" s="116" t="s">
        <v>1948</v>
      </c>
      <c r="K662" s="63">
        <v>1550</v>
      </c>
      <c r="L662" s="63">
        <f>150+1510+1+2010+12</f>
        <v>3683</v>
      </c>
      <c r="M662" s="63">
        <v>0</v>
      </c>
      <c r="N662" s="63"/>
      <c r="O662" s="63">
        <f>150+1510+1+2010+12</f>
        <v>3683</v>
      </c>
      <c r="P662" s="63"/>
      <c r="Q662" s="63"/>
      <c r="R662" s="302">
        <f t="shared" si="10"/>
        <v>0</v>
      </c>
    </row>
    <row r="663" spans="1:18" ht="19.5" customHeight="1">
      <c r="A663" s="304" t="s">
        <v>7304</v>
      </c>
      <c r="B663" s="4" t="s">
        <v>11091</v>
      </c>
      <c r="C663" s="123"/>
      <c r="D663" s="123"/>
      <c r="E663" s="509" t="s">
        <v>11408</v>
      </c>
      <c r="F663" s="509" t="s">
        <v>11116</v>
      </c>
      <c r="G663" s="509" t="s">
        <v>6694</v>
      </c>
      <c r="H663" s="509" t="s">
        <v>291</v>
      </c>
      <c r="I663" s="509" t="s">
        <v>11</v>
      </c>
      <c r="J663" s="509" t="s">
        <v>842</v>
      </c>
      <c r="K663" s="476">
        <v>220</v>
      </c>
      <c r="L663" s="476">
        <v>9674</v>
      </c>
      <c r="M663" s="476">
        <v>0</v>
      </c>
      <c r="N663" s="476"/>
      <c r="O663" s="476">
        <v>9674</v>
      </c>
      <c r="P663" s="63">
        <v>16</v>
      </c>
      <c r="Q663" s="476"/>
      <c r="R663" s="302">
        <f t="shared" si="10"/>
        <v>0</v>
      </c>
    </row>
    <row r="664" spans="1:18" ht="19.5" customHeight="1">
      <c r="A664" s="299" t="s">
        <v>7311</v>
      </c>
      <c r="B664" s="305" t="s">
        <v>634</v>
      </c>
      <c r="C664" s="305"/>
      <c r="D664" s="305"/>
      <c r="E664" s="305" t="s">
        <v>4355</v>
      </c>
      <c r="F664" s="305" t="s">
        <v>6782</v>
      </c>
      <c r="G664" s="305" t="s">
        <v>3418</v>
      </c>
      <c r="H664" s="305" t="s">
        <v>1282</v>
      </c>
      <c r="I664" s="305" t="s">
        <v>658</v>
      </c>
      <c r="J664" s="305" t="s">
        <v>9035</v>
      </c>
      <c r="K664" s="119">
        <v>46200</v>
      </c>
      <c r="L664" s="119">
        <v>0</v>
      </c>
      <c r="M664" s="302">
        <v>201</v>
      </c>
      <c r="N664" s="303"/>
      <c r="O664" s="302">
        <v>201</v>
      </c>
      <c r="P664" s="302"/>
      <c r="Q664" s="303"/>
      <c r="R664" s="302">
        <f t="shared" si="10"/>
        <v>0</v>
      </c>
    </row>
    <row r="665" spans="1:18" ht="19.5" customHeight="1">
      <c r="A665" s="2">
        <v>132</v>
      </c>
      <c r="B665" s="64" t="s">
        <v>531</v>
      </c>
      <c r="C665" s="64"/>
      <c r="D665" s="64"/>
      <c r="E665" s="116" t="s">
        <v>535</v>
      </c>
      <c r="F665" s="116" t="s">
        <v>536</v>
      </c>
      <c r="G665" s="116" t="s">
        <v>537</v>
      </c>
      <c r="H665" s="116" t="s">
        <v>533</v>
      </c>
      <c r="I665" s="116" t="s">
        <v>520</v>
      </c>
      <c r="J665" s="116" t="s">
        <v>2654</v>
      </c>
      <c r="K665" s="63">
        <v>4500</v>
      </c>
      <c r="L665" s="63">
        <f>73+34</f>
        <v>107</v>
      </c>
      <c r="M665" s="63">
        <v>0</v>
      </c>
      <c r="N665" s="63"/>
      <c r="O665" s="63">
        <f>73+34</f>
        <v>107</v>
      </c>
      <c r="P665" s="63"/>
      <c r="Q665" s="63"/>
      <c r="R665" s="302">
        <f t="shared" si="10"/>
        <v>0</v>
      </c>
    </row>
    <row r="666" spans="1:18" ht="19.5" customHeight="1">
      <c r="A666" s="299" t="s">
        <v>7316</v>
      </c>
      <c r="B666" s="305" t="s">
        <v>4589</v>
      </c>
      <c r="C666" s="305"/>
      <c r="D666" s="305"/>
      <c r="E666" s="305" t="s">
        <v>4588</v>
      </c>
      <c r="F666" s="305" t="s">
        <v>5667</v>
      </c>
      <c r="G666" s="305" t="s">
        <v>881</v>
      </c>
      <c r="H666" s="305" t="s">
        <v>4590</v>
      </c>
      <c r="I666" s="305" t="s">
        <v>2780</v>
      </c>
      <c r="J666" s="305" t="s">
        <v>8984</v>
      </c>
      <c r="K666" s="119">
        <v>286440</v>
      </c>
      <c r="L666" s="119">
        <v>0</v>
      </c>
      <c r="M666" s="302">
        <v>50</v>
      </c>
      <c r="N666" s="303"/>
      <c r="O666" s="302">
        <v>6</v>
      </c>
      <c r="P666" s="302"/>
      <c r="Q666" s="303"/>
      <c r="R666" s="302">
        <f t="shared" si="10"/>
        <v>44</v>
      </c>
    </row>
    <row r="667" spans="1:18" ht="19.5" customHeight="1">
      <c r="A667" s="304" t="s">
        <v>7321</v>
      </c>
      <c r="B667" s="305" t="s">
        <v>8173</v>
      </c>
      <c r="C667" s="305"/>
      <c r="D667" s="305"/>
      <c r="E667" s="305" t="s">
        <v>4357</v>
      </c>
      <c r="F667" s="305" t="s">
        <v>8175</v>
      </c>
      <c r="G667" s="305" t="s">
        <v>7335</v>
      </c>
      <c r="H667" s="305" t="s">
        <v>4359</v>
      </c>
      <c r="I667" s="305" t="s">
        <v>658</v>
      </c>
      <c r="J667" s="305" t="s">
        <v>9009</v>
      </c>
      <c r="K667" s="119">
        <v>30000</v>
      </c>
      <c r="L667" s="119"/>
      <c r="M667" s="302">
        <v>100</v>
      </c>
      <c r="N667" s="303"/>
      <c r="O667" s="302">
        <v>2</v>
      </c>
      <c r="P667" s="302"/>
      <c r="Q667" s="303"/>
      <c r="R667" s="302">
        <f t="shared" si="10"/>
        <v>98</v>
      </c>
    </row>
    <row r="668" spans="1:18" ht="19.5" customHeight="1">
      <c r="A668" s="304" t="s">
        <v>7323</v>
      </c>
      <c r="B668" s="309" t="s">
        <v>2323</v>
      </c>
      <c r="C668" s="309"/>
      <c r="D668" s="309"/>
      <c r="E668" s="309" t="s">
        <v>169</v>
      </c>
      <c r="F668" s="309" t="s">
        <v>2324</v>
      </c>
      <c r="G668" s="309" t="s">
        <v>2325</v>
      </c>
      <c r="H668" s="309" t="s">
        <v>171</v>
      </c>
      <c r="I668" s="309" t="s">
        <v>11</v>
      </c>
      <c r="J668" s="116" t="s">
        <v>1066</v>
      </c>
      <c r="K668" s="63">
        <v>3450</v>
      </c>
      <c r="L668" s="310">
        <v>22249</v>
      </c>
      <c r="M668" s="302">
        <v>15120</v>
      </c>
      <c r="N668" s="303"/>
      <c r="O668" s="302">
        <f>1442+22249</f>
        <v>23691</v>
      </c>
      <c r="P668" s="302"/>
      <c r="Q668" s="303"/>
      <c r="R668" s="302">
        <f t="shared" si="10"/>
        <v>13678</v>
      </c>
    </row>
    <row r="669" spans="1:18" ht="19.5" customHeight="1">
      <c r="A669" s="299" t="s">
        <v>7328</v>
      </c>
      <c r="B669" s="307" t="s">
        <v>371</v>
      </c>
      <c r="C669" s="307"/>
      <c r="D669" s="307"/>
      <c r="E669" s="116" t="s">
        <v>486</v>
      </c>
      <c r="F669" s="116" t="s">
        <v>487</v>
      </c>
      <c r="G669" s="116" t="s">
        <v>488</v>
      </c>
      <c r="H669" s="116" t="s">
        <v>248</v>
      </c>
      <c r="I669" s="531" t="s">
        <v>10</v>
      </c>
      <c r="J669" s="116" t="s">
        <v>642</v>
      </c>
      <c r="K669" s="118">
        <v>399</v>
      </c>
      <c r="L669" s="308">
        <v>1072</v>
      </c>
      <c r="M669" s="302">
        <f>999+8507</f>
        <v>9506</v>
      </c>
      <c r="N669" s="303"/>
      <c r="O669" s="302">
        <f>2071+8507</f>
        <v>10578</v>
      </c>
      <c r="P669" s="302">
        <v>400</v>
      </c>
      <c r="Q669" s="303"/>
      <c r="R669" s="302">
        <f t="shared" si="10"/>
        <v>0</v>
      </c>
    </row>
    <row r="670" spans="1:18" ht="19.5" customHeight="1">
      <c r="A670" s="2">
        <v>133</v>
      </c>
      <c r="B670" s="11" t="s">
        <v>2360</v>
      </c>
      <c r="C670" s="11"/>
      <c r="D670" s="11"/>
      <c r="E670" s="116" t="s">
        <v>172</v>
      </c>
      <c r="F670" s="520" t="s">
        <v>2361</v>
      </c>
      <c r="G670" s="520" t="s">
        <v>1567</v>
      </c>
      <c r="H670" s="116" t="s">
        <v>17</v>
      </c>
      <c r="I670" s="116" t="s">
        <v>10</v>
      </c>
      <c r="J670" s="116" t="s">
        <v>1026</v>
      </c>
      <c r="K670" s="63">
        <v>6300</v>
      </c>
      <c r="L670" s="63">
        <f>503+17600</f>
        <v>18103</v>
      </c>
      <c r="M670" s="63">
        <v>1000</v>
      </c>
      <c r="N670" s="63"/>
      <c r="O670" s="63">
        <f>503+18600</f>
        <v>19103</v>
      </c>
      <c r="P670" s="63"/>
      <c r="Q670" s="63"/>
      <c r="R670" s="302">
        <f t="shared" si="10"/>
        <v>0</v>
      </c>
    </row>
    <row r="671" spans="1:18" ht="19.5" customHeight="1">
      <c r="A671" s="299" t="s">
        <v>7333</v>
      </c>
      <c r="B671" s="70" t="s">
        <v>2043</v>
      </c>
      <c r="C671" s="11"/>
      <c r="D671" s="11"/>
      <c r="E671" s="116" t="s">
        <v>2044</v>
      </c>
      <c r="F671" s="116" t="s">
        <v>2045</v>
      </c>
      <c r="G671" s="116" t="s">
        <v>2046</v>
      </c>
      <c r="H671" s="116" t="s">
        <v>225</v>
      </c>
      <c r="I671" s="116" t="s">
        <v>10</v>
      </c>
      <c r="J671" s="116" t="s">
        <v>626</v>
      </c>
      <c r="K671" s="63">
        <v>4612</v>
      </c>
      <c r="L671" s="63">
        <v>0</v>
      </c>
      <c r="M671" s="63">
        <v>3033</v>
      </c>
      <c r="N671" s="63"/>
      <c r="O671" s="63">
        <v>1391</v>
      </c>
      <c r="P671" s="63"/>
      <c r="Q671" s="63"/>
      <c r="R671" s="302">
        <f t="shared" si="10"/>
        <v>1642</v>
      </c>
    </row>
    <row r="672" spans="1:18" ht="19.5" customHeight="1">
      <c r="A672" s="304" t="s">
        <v>7336</v>
      </c>
      <c r="B672" s="70" t="s">
        <v>2038</v>
      </c>
      <c r="C672" s="11"/>
      <c r="D672" s="11"/>
      <c r="E672" s="116" t="s">
        <v>2039</v>
      </c>
      <c r="F672" s="116" t="s">
        <v>2041</v>
      </c>
      <c r="G672" s="116" t="s">
        <v>2042</v>
      </c>
      <c r="H672" s="116" t="s">
        <v>770</v>
      </c>
      <c r="I672" s="116" t="s">
        <v>628</v>
      </c>
      <c r="J672" s="116" t="s">
        <v>2040</v>
      </c>
      <c r="K672" s="63">
        <v>13698</v>
      </c>
      <c r="L672" s="63">
        <v>0</v>
      </c>
      <c r="M672" s="63">
        <v>375</v>
      </c>
      <c r="N672" s="63"/>
      <c r="O672" s="63">
        <v>375</v>
      </c>
      <c r="P672" s="63">
        <v>225</v>
      </c>
      <c r="Q672" s="63"/>
      <c r="R672" s="302">
        <f t="shared" si="10"/>
        <v>0</v>
      </c>
    </row>
    <row r="673" spans="1:18" ht="19.5" customHeight="1">
      <c r="A673" s="304" t="s">
        <v>7339</v>
      </c>
      <c r="B673" s="482" t="s">
        <v>227</v>
      </c>
      <c r="C673" s="482"/>
      <c r="D673" s="482"/>
      <c r="E673" s="483" t="s">
        <v>4942</v>
      </c>
      <c r="F673" s="483" t="s">
        <v>472</v>
      </c>
      <c r="G673" s="483" t="s">
        <v>463</v>
      </c>
      <c r="H673" s="483" t="s">
        <v>225</v>
      </c>
      <c r="I673" s="521" t="s">
        <v>10</v>
      </c>
      <c r="J673" s="483" t="s">
        <v>1066</v>
      </c>
      <c r="K673" s="484">
        <v>420</v>
      </c>
      <c r="L673" s="487">
        <v>443</v>
      </c>
      <c r="M673" s="479">
        <f>17000+63000+126057+3+26021+64600</f>
        <v>296681</v>
      </c>
      <c r="N673" s="480"/>
      <c r="O673" s="479">
        <f>17000+63000+126057+446+25839+8496</f>
        <v>240838</v>
      </c>
      <c r="P673" s="479">
        <v>396</v>
      </c>
      <c r="Q673" s="480"/>
      <c r="R673" s="302">
        <f t="shared" si="10"/>
        <v>56286</v>
      </c>
    </row>
    <row r="674" spans="1:18" ht="19.5" customHeight="1">
      <c r="A674" s="299" t="s">
        <v>7342</v>
      </c>
      <c r="B674" s="305" t="s">
        <v>1999</v>
      </c>
      <c r="C674" s="305"/>
      <c r="D674" s="305"/>
      <c r="E674" s="305" t="s">
        <v>4365</v>
      </c>
      <c r="F674" s="305" t="s">
        <v>7757</v>
      </c>
      <c r="G674" s="305" t="s">
        <v>7649</v>
      </c>
      <c r="H674" s="305" t="s">
        <v>4366</v>
      </c>
      <c r="I674" s="305" t="s">
        <v>11</v>
      </c>
      <c r="J674" s="116" t="s">
        <v>859</v>
      </c>
      <c r="K674" s="119">
        <v>1995</v>
      </c>
      <c r="L674" s="119">
        <v>0</v>
      </c>
      <c r="M674" s="302">
        <v>6000</v>
      </c>
      <c r="N674" s="303"/>
      <c r="O674" s="302"/>
      <c r="P674" s="302"/>
      <c r="Q674" s="303"/>
      <c r="R674" s="302">
        <f t="shared" si="10"/>
        <v>6000</v>
      </c>
    </row>
    <row r="675" spans="1:18" ht="19.5" customHeight="1">
      <c r="A675" s="2">
        <v>134</v>
      </c>
      <c r="B675" s="11" t="s">
        <v>1902</v>
      </c>
      <c r="C675" s="11"/>
      <c r="D675" s="11"/>
      <c r="E675" s="116" t="s">
        <v>1903</v>
      </c>
      <c r="F675" s="116" t="s">
        <v>1905</v>
      </c>
      <c r="G675" s="116" t="s">
        <v>1867</v>
      </c>
      <c r="H675" s="116" t="s">
        <v>1904</v>
      </c>
      <c r="I675" s="116" t="s">
        <v>10</v>
      </c>
      <c r="J675" s="116" t="s">
        <v>647</v>
      </c>
      <c r="K675" s="63">
        <v>229</v>
      </c>
      <c r="L675" s="63">
        <v>2400</v>
      </c>
      <c r="M675" s="63">
        <v>0</v>
      </c>
      <c r="N675" s="63"/>
      <c r="O675" s="63">
        <v>2400</v>
      </c>
      <c r="P675" s="63"/>
      <c r="Q675" s="63"/>
      <c r="R675" s="302">
        <f t="shared" si="10"/>
        <v>0</v>
      </c>
    </row>
    <row r="676" spans="1:18" ht="19.5" customHeight="1">
      <c r="A676" s="299" t="s">
        <v>7345</v>
      </c>
      <c r="B676" s="11" t="s">
        <v>1938</v>
      </c>
      <c r="C676" s="11"/>
      <c r="D676" s="11"/>
      <c r="E676" s="116" t="s">
        <v>1939</v>
      </c>
      <c r="F676" s="116" t="s">
        <v>3424</v>
      </c>
      <c r="G676" s="116" t="s">
        <v>3032</v>
      </c>
      <c r="H676" s="116" t="s">
        <v>2591</v>
      </c>
      <c r="I676" s="116" t="s">
        <v>11</v>
      </c>
      <c r="J676" s="116" t="s">
        <v>3425</v>
      </c>
      <c r="K676" s="63">
        <v>3570</v>
      </c>
      <c r="L676" s="63">
        <v>10</v>
      </c>
      <c r="M676" s="63">
        <v>0</v>
      </c>
      <c r="N676" s="63"/>
      <c r="O676" s="63">
        <v>10</v>
      </c>
      <c r="P676" s="63"/>
      <c r="Q676" s="63"/>
      <c r="R676" s="302">
        <f t="shared" si="10"/>
        <v>0</v>
      </c>
    </row>
    <row r="677" spans="1:18" ht="19.5" customHeight="1">
      <c r="A677" s="304" t="s">
        <v>7354</v>
      </c>
      <c r="B677" s="11" t="s">
        <v>1938</v>
      </c>
      <c r="C677" s="11"/>
      <c r="D677" s="11"/>
      <c r="E677" s="116" t="s">
        <v>1939</v>
      </c>
      <c r="F677" s="116" t="s">
        <v>3424</v>
      </c>
      <c r="G677" s="116" t="s">
        <v>3032</v>
      </c>
      <c r="H677" s="116" t="s">
        <v>2591</v>
      </c>
      <c r="I677" s="116" t="s">
        <v>11</v>
      </c>
      <c r="J677" s="116" t="s">
        <v>3425</v>
      </c>
      <c r="K677" s="63">
        <v>4998</v>
      </c>
      <c r="L677" s="63">
        <v>20</v>
      </c>
      <c r="M677" s="63">
        <v>0</v>
      </c>
      <c r="N677" s="63"/>
      <c r="O677" s="63">
        <v>9</v>
      </c>
      <c r="P677" s="63"/>
      <c r="Q677" s="63"/>
      <c r="R677" s="302">
        <f t="shared" si="10"/>
        <v>11</v>
      </c>
    </row>
    <row r="678" spans="1:18" ht="19.5" customHeight="1">
      <c r="A678" s="304" t="s">
        <v>7358</v>
      </c>
      <c r="B678" s="11" t="s">
        <v>3427</v>
      </c>
      <c r="C678" s="11"/>
      <c r="D678" s="11"/>
      <c r="E678" s="116" t="s">
        <v>3428</v>
      </c>
      <c r="F678" s="117" t="s">
        <v>2302</v>
      </c>
      <c r="G678" s="117" t="s">
        <v>2253</v>
      </c>
      <c r="H678" s="117" t="s">
        <v>3429</v>
      </c>
      <c r="I678" s="117" t="s">
        <v>11</v>
      </c>
      <c r="J678" s="117" t="s">
        <v>1350</v>
      </c>
      <c r="K678" s="63">
        <v>800</v>
      </c>
      <c r="L678" s="63">
        <v>18990</v>
      </c>
      <c r="M678" s="63">
        <v>0</v>
      </c>
      <c r="N678" s="63"/>
      <c r="O678" s="63">
        <v>18990</v>
      </c>
      <c r="P678" s="63"/>
      <c r="Q678" s="63"/>
      <c r="R678" s="302">
        <f t="shared" si="10"/>
        <v>0</v>
      </c>
    </row>
    <row r="679" spans="1:18" ht="19.5" customHeight="1">
      <c r="A679" s="299" t="s">
        <v>7363</v>
      </c>
      <c r="B679" s="309" t="s">
        <v>8822</v>
      </c>
      <c r="C679" s="309"/>
      <c r="D679" s="309"/>
      <c r="E679" s="309" t="s">
        <v>8823</v>
      </c>
      <c r="F679" s="309" t="s">
        <v>8825</v>
      </c>
      <c r="G679" s="309" t="s">
        <v>8826</v>
      </c>
      <c r="H679" s="309" t="s">
        <v>4743</v>
      </c>
      <c r="I679" s="309" t="s">
        <v>1258</v>
      </c>
      <c r="J679" s="309" t="s">
        <v>9029</v>
      </c>
      <c r="K679" s="63">
        <v>4990</v>
      </c>
      <c r="L679" s="310">
        <v>0</v>
      </c>
      <c r="M679" s="302">
        <v>500</v>
      </c>
      <c r="N679" s="303"/>
      <c r="O679" s="302">
        <v>500</v>
      </c>
      <c r="P679" s="302"/>
      <c r="Q679" s="303"/>
      <c r="R679" s="302">
        <f t="shared" si="10"/>
        <v>0</v>
      </c>
    </row>
    <row r="680" spans="1:18" ht="19.5" customHeight="1">
      <c r="A680" s="2">
        <v>135</v>
      </c>
      <c r="B680" s="309" t="s">
        <v>8611</v>
      </c>
      <c r="C680" s="309"/>
      <c r="D680" s="309"/>
      <c r="E680" s="309" t="s">
        <v>175</v>
      </c>
      <c r="F680" s="309" t="s">
        <v>8614</v>
      </c>
      <c r="G680" s="309" t="s">
        <v>8598</v>
      </c>
      <c r="H680" s="309" t="s">
        <v>8612</v>
      </c>
      <c r="I680" s="309" t="s">
        <v>13</v>
      </c>
      <c r="J680" s="309" t="s">
        <v>9029</v>
      </c>
      <c r="K680" s="63">
        <v>2750</v>
      </c>
      <c r="L680" s="310">
        <v>0</v>
      </c>
      <c r="M680" s="302">
        <v>960</v>
      </c>
      <c r="N680" s="303"/>
      <c r="O680" s="302"/>
      <c r="P680" s="63"/>
      <c r="Q680" s="303"/>
      <c r="R680" s="302">
        <f t="shared" si="10"/>
        <v>960</v>
      </c>
    </row>
    <row r="681" spans="1:18" ht="19.5" customHeight="1">
      <c r="A681" s="299" t="s">
        <v>7366</v>
      </c>
      <c r="B681" s="11" t="s">
        <v>1307</v>
      </c>
      <c r="C681" s="11"/>
      <c r="D681" s="11"/>
      <c r="E681" s="116" t="s">
        <v>1308</v>
      </c>
      <c r="F681" s="116" t="s">
        <v>1309</v>
      </c>
      <c r="G681" s="116" t="s">
        <v>360</v>
      </c>
      <c r="H681" s="116" t="s">
        <v>327</v>
      </c>
      <c r="I681" s="116" t="s">
        <v>11</v>
      </c>
      <c r="J681" s="116" t="s">
        <v>647</v>
      </c>
      <c r="K681" s="63">
        <v>72</v>
      </c>
      <c r="L681" s="63">
        <v>5</v>
      </c>
      <c r="M681" s="63">
        <v>0</v>
      </c>
      <c r="N681" s="63"/>
      <c r="O681" s="63">
        <v>5</v>
      </c>
      <c r="P681" s="63"/>
      <c r="Q681" s="63"/>
      <c r="R681" s="302">
        <f t="shared" si="10"/>
        <v>0</v>
      </c>
    </row>
    <row r="682" spans="1:18" ht="19.5" customHeight="1">
      <c r="A682" s="304" t="s">
        <v>7368</v>
      </c>
      <c r="B682" s="305" t="s">
        <v>4371</v>
      </c>
      <c r="C682" s="305"/>
      <c r="D682" s="305"/>
      <c r="E682" s="305" t="s">
        <v>4370</v>
      </c>
      <c r="F682" s="305" t="s">
        <v>5763</v>
      </c>
      <c r="G682" s="305" t="s">
        <v>2042</v>
      </c>
      <c r="H682" s="305" t="s">
        <v>258</v>
      </c>
      <c r="I682" s="305" t="s">
        <v>11</v>
      </c>
      <c r="J682" s="305" t="s">
        <v>8973</v>
      </c>
      <c r="K682" s="119">
        <v>1636</v>
      </c>
      <c r="L682" s="119">
        <v>173</v>
      </c>
      <c r="M682" s="302">
        <v>3096</v>
      </c>
      <c r="N682" s="303"/>
      <c r="O682" s="302">
        <f>2549+179</f>
        <v>2728</v>
      </c>
      <c r="P682" s="63"/>
      <c r="Q682" s="303"/>
      <c r="R682" s="302">
        <f t="shared" si="10"/>
        <v>541</v>
      </c>
    </row>
    <row r="683" spans="1:18" ht="19.5" customHeight="1">
      <c r="A683" s="304" t="s">
        <v>7374</v>
      </c>
      <c r="B683" s="463" t="s">
        <v>4371</v>
      </c>
      <c r="C683" s="463"/>
      <c r="D683" s="463"/>
      <c r="E683" s="463" t="s">
        <v>5765</v>
      </c>
      <c r="F683" s="463" t="s">
        <v>5767</v>
      </c>
      <c r="G683" s="463" t="s">
        <v>2042</v>
      </c>
      <c r="H683" s="463" t="s">
        <v>262</v>
      </c>
      <c r="I683" s="463" t="s">
        <v>11</v>
      </c>
      <c r="J683" s="463" t="s">
        <v>11462</v>
      </c>
      <c r="K683" s="119">
        <v>2579</v>
      </c>
      <c r="L683" s="119">
        <v>552</v>
      </c>
      <c r="M683" s="303">
        <v>0</v>
      </c>
      <c r="N683" s="303"/>
      <c r="O683" s="302">
        <v>552</v>
      </c>
      <c r="P683" s="303"/>
      <c r="Q683" s="303"/>
      <c r="R683" s="302">
        <f t="shared" si="10"/>
        <v>0</v>
      </c>
    </row>
    <row r="684" spans="1:18" ht="19.5" customHeight="1">
      <c r="A684" s="299" t="s">
        <v>7378</v>
      </c>
      <c r="B684" s="305" t="s">
        <v>4374</v>
      </c>
      <c r="C684" s="305"/>
      <c r="D684" s="305"/>
      <c r="E684" s="305" t="s">
        <v>4376</v>
      </c>
      <c r="F684" s="305" t="s">
        <v>7866</v>
      </c>
      <c r="G684" s="305" t="s">
        <v>7332</v>
      </c>
      <c r="H684" s="305" t="s">
        <v>248</v>
      </c>
      <c r="I684" s="305" t="s">
        <v>11</v>
      </c>
      <c r="J684" s="116" t="s">
        <v>859</v>
      </c>
      <c r="K684" s="119">
        <v>149</v>
      </c>
      <c r="L684" s="119">
        <v>0</v>
      </c>
      <c r="M684" s="302">
        <v>3100</v>
      </c>
      <c r="N684" s="303"/>
      <c r="O684" s="302">
        <v>110</v>
      </c>
      <c r="P684" s="302">
        <v>10</v>
      </c>
      <c r="Q684" s="303"/>
      <c r="R684" s="302">
        <f t="shared" si="10"/>
        <v>2990</v>
      </c>
    </row>
    <row r="685" spans="1:18" ht="19.5" customHeight="1">
      <c r="A685" s="2">
        <v>136</v>
      </c>
      <c r="B685" s="67" t="s">
        <v>1137</v>
      </c>
      <c r="C685" s="11"/>
      <c r="D685" s="11"/>
      <c r="E685" s="116" t="s">
        <v>1138</v>
      </c>
      <c r="F685" s="116" t="s">
        <v>1139</v>
      </c>
      <c r="G685" s="116" t="s">
        <v>1136</v>
      </c>
      <c r="H685" s="116" t="s">
        <v>248</v>
      </c>
      <c r="I685" s="116" t="s">
        <v>10</v>
      </c>
      <c r="J685" s="116" t="s">
        <v>547</v>
      </c>
      <c r="K685" s="63">
        <v>157</v>
      </c>
      <c r="L685" s="63">
        <f>99+3+2</f>
        <v>104</v>
      </c>
      <c r="M685" s="63">
        <v>0</v>
      </c>
      <c r="N685" s="63"/>
      <c r="O685" s="63">
        <v>14</v>
      </c>
      <c r="P685" s="63"/>
      <c r="Q685" s="63"/>
      <c r="R685" s="302">
        <f t="shared" si="10"/>
        <v>90</v>
      </c>
    </row>
    <row r="686" spans="1:18" ht="19.5" customHeight="1">
      <c r="A686" s="299" t="s">
        <v>7380</v>
      </c>
      <c r="B686" s="309" t="s">
        <v>8722</v>
      </c>
      <c r="C686" s="309"/>
      <c r="D686" s="309"/>
      <c r="E686" s="309" t="s">
        <v>4747</v>
      </c>
      <c r="F686" s="309" t="s">
        <v>8724</v>
      </c>
      <c r="G686" s="309" t="s">
        <v>8725</v>
      </c>
      <c r="H686" s="309" t="s">
        <v>4749</v>
      </c>
      <c r="I686" s="309" t="s">
        <v>658</v>
      </c>
      <c r="J686" s="309" t="s">
        <v>9030</v>
      </c>
      <c r="K686" s="63">
        <v>39900</v>
      </c>
      <c r="L686" s="310">
        <v>0</v>
      </c>
      <c r="M686" s="302">
        <v>100</v>
      </c>
      <c r="N686" s="303"/>
      <c r="O686" s="302">
        <v>2</v>
      </c>
      <c r="P686" s="302"/>
      <c r="Q686" s="303"/>
      <c r="R686" s="302">
        <f t="shared" si="10"/>
        <v>98</v>
      </c>
    </row>
    <row r="687" spans="1:18" ht="19.5" customHeight="1">
      <c r="A687" s="304" t="s">
        <v>7383</v>
      </c>
      <c r="B687" s="481" t="s">
        <v>8726</v>
      </c>
      <c r="C687" s="481"/>
      <c r="D687" s="481"/>
      <c r="E687" s="481" t="s">
        <v>4752</v>
      </c>
      <c r="F687" s="481" t="s">
        <v>8729</v>
      </c>
      <c r="G687" s="481" t="s">
        <v>8563</v>
      </c>
      <c r="H687" s="481" t="s">
        <v>8727</v>
      </c>
      <c r="I687" s="481" t="s">
        <v>11</v>
      </c>
      <c r="J687" s="481" t="s">
        <v>8970</v>
      </c>
      <c r="K687" s="465">
        <v>1900</v>
      </c>
      <c r="L687" s="486">
        <v>0</v>
      </c>
      <c r="M687" s="479">
        <v>5000</v>
      </c>
      <c r="N687" s="480"/>
      <c r="O687" s="479">
        <v>228</v>
      </c>
      <c r="P687" s="479"/>
      <c r="Q687" s="480"/>
      <c r="R687" s="302">
        <f t="shared" si="10"/>
        <v>4772</v>
      </c>
    </row>
    <row r="688" spans="1:18" ht="19.5" customHeight="1">
      <c r="A688" s="304" t="s">
        <v>7384</v>
      </c>
      <c r="B688" s="309" t="s">
        <v>4758</v>
      </c>
      <c r="C688" s="309"/>
      <c r="D688" s="309"/>
      <c r="E688" s="309" t="s">
        <v>4757</v>
      </c>
      <c r="F688" s="309" t="s">
        <v>8610</v>
      </c>
      <c r="G688" s="309" t="s">
        <v>8598</v>
      </c>
      <c r="H688" s="309" t="s">
        <v>8609</v>
      </c>
      <c r="I688" s="309" t="s">
        <v>15</v>
      </c>
      <c r="J688" s="309" t="s">
        <v>9028</v>
      </c>
      <c r="K688" s="63">
        <v>23100</v>
      </c>
      <c r="L688" s="310">
        <v>0</v>
      </c>
      <c r="M688" s="302">
        <v>960</v>
      </c>
      <c r="N688" s="303"/>
      <c r="O688" s="302">
        <v>374</v>
      </c>
      <c r="P688" s="302"/>
      <c r="Q688" s="303"/>
      <c r="R688" s="302">
        <f t="shared" si="10"/>
        <v>586</v>
      </c>
    </row>
    <row r="689" spans="1:18" ht="19.5" customHeight="1">
      <c r="A689" s="299" t="s">
        <v>7391</v>
      </c>
      <c r="B689" s="67" t="s">
        <v>2303</v>
      </c>
      <c r="C689" s="11"/>
      <c r="D689" s="11"/>
      <c r="E689" s="116" t="s">
        <v>188</v>
      </c>
      <c r="F689" s="116" t="s">
        <v>2305</v>
      </c>
      <c r="G689" s="116" t="s">
        <v>2253</v>
      </c>
      <c r="H689" s="116" t="s">
        <v>2304</v>
      </c>
      <c r="I689" s="116" t="s">
        <v>16</v>
      </c>
      <c r="J689" s="116" t="s">
        <v>1715</v>
      </c>
      <c r="K689" s="63">
        <v>1200</v>
      </c>
      <c r="L689" s="63">
        <f>334+10900</f>
        <v>11234</v>
      </c>
      <c r="M689" s="63">
        <v>0</v>
      </c>
      <c r="N689" s="63"/>
      <c r="O689" s="63">
        <v>11234</v>
      </c>
      <c r="P689" s="63"/>
      <c r="Q689" s="63"/>
      <c r="R689" s="302">
        <f t="shared" si="10"/>
        <v>0</v>
      </c>
    </row>
    <row r="690" spans="1:18" ht="19.5" customHeight="1">
      <c r="A690" s="2">
        <v>137</v>
      </c>
      <c r="B690" s="305" t="s">
        <v>4491</v>
      </c>
      <c r="C690" s="305"/>
      <c r="D690" s="305"/>
      <c r="E690" s="305" t="s">
        <v>4573</v>
      </c>
      <c r="F690" s="305" t="s">
        <v>7341</v>
      </c>
      <c r="G690" s="305" t="s">
        <v>7011</v>
      </c>
      <c r="H690" s="305" t="s">
        <v>4574</v>
      </c>
      <c r="I690" s="305" t="s">
        <v>658</v>
      </c>
      <c r="J690" s="305" t="s">
        <v>9009</v>
      </c>
      <c r="K690" s="119">
        <v>5985</v>
      </c>
      <c r="L690" s="119">
        <v>0</v>
      </c>
      <c r="M690" s="302">
        <v>370</v>
      </c>
      <c r="N690" s="303"/>
      <c r="O690" s="302">
        <v>240</v>
      </c>
      <c r="P690" s="302"/>
      <c r="Q690" s="303"/>
      <c r="R690" s="302">
        <f t="shared" si="10"/>
        <v>130</v>
      </c>
    </row>
    <row r="691" spans="1:18" ht="19.5" customHeight="1">
      <c r="A691" s="299" t="s">
        <v>7396</v>
      </c>
      <c r="B691" s="305" t="s">
        <v>1510</v>
      </c>
      <c r="C691" s="305"/>
      <c r="D691" s="305"/>
      <c r="E691" s="305" t="s">
        <v>4577</v>
      </c>
      <c r="F691" s="305" t="s">
        <v>7338</v>
      </c>
      <c r="G691" s="305" t="s">
        <v>1449</v>
      </c>
      <c r="H691" s="305" t="s">
        <v>4499</v>
      </c>
      <c r="I691" s="305" t="s">
        <v>658</v>
      </c>
      <c r="J691" s="305" t="s">
        <v>9009</v>
      </c>
      <c r="K691" s="119">
        <v>2945</v>
      </c>
      <c r="L691" s="119">
        <v>0</v>
      </c>
      <c r="M691" s="302">
        <v>240</v>
      </c>
      <c r="N691" s="303"/>
      <c r="O691" s="302">
        <v>44</v>
      </c>
      <c r="P691" s="302"/>
      <c r="Q691" s="303"/>
      <c r="R691" s="302">
        <f t="shared" si="10"/>
        <v>196</v>
      </c>
    </row>
    <row r="692" spans="1:18" ht="19.5" customHeight="1">
      <c r="A692" s="304" t="s">
        <v>7399</v>
      </c>
      <c r="B692" s="70" t="s">
        <v>2127</v>
      </c>
      <c r="C692" s="11"/>
      <c r="D692" s="11"/>
      <c r="E692" s="116" t="s">
        <v>2128</v>
      </c>
      <c r="F692" s="116" t="s">
        <v>2131</v>
      </c>
      <c r="G692" s="116" t="s">
        <v>2126</v>
      </c>
      <c r="H692" s="116" t="s">
        <v>2129</v>
      </c>
      <c r="I692" s="116" t="s">
        <v>14</v>
      </c>
      <c r="J692" s="116" t="s">
        <v>2130</v>
      </c>
      <c r="K692" s="63">
        <v>39000</v>
      </c>
      <c r="L692" s="63">
        <v>2</v>
      </c>
      <c r="M692" s="63">
        <v>1</v>
      </c>
      <c r="N692" s="63"/>
      <c r="O692" s="63">
        <v>3</v>
      </c>
      <c r="P692" s="63"/>
      <c r="Q692" s="63"/>
      <c r="R692" s="302">
        <f t="shared" si="10"/>
        <v>0</v>
      </c>
    </row>
    <row r="693" spans="1:18" ht="19.5" customHeight="1">
      <c r="A693" s="304" t="s">
        <v>7405</v>
      </c>
      <c r="B693" s="305" t="s">
        <v>4381</v>
      </c>
      <c r="C693" s="305"/>
      <c r="D693" s="305"/>
      <c r="E693" s="305" t="s">
        <v>4380</v>
      </c>
      <c r="F693" s="305" t="s">
        <v>8151</v>
      </c>
      <c r="G693" s="305" t="s">
        <v>8152</v>
      </c>
      <c r="H693" s="305" t="s">
        <v>232</v>
      </c>
      <c r="I693" s="305" t="s">
        <v>11</v>
      </c>
      <c r="J693" s="116" t="s">
        <v>1066</v>
      </c>
      <c r="K693" s="119">
        <v>714</v>
      </c>
      <c r="L693" s="119">
        <v>1982</v>
      </c>
      <c r="M693" s="302">
        <v>0</v>
      </c>
      <c r="N693" s="303"/>
      <c r="O693" s="302">
        <v>73</v>
      </c>
      <c r="P693" s="302"/>
      <c r="Q693" s="303"/>
      <c r="R693" s="302">
        <f t="shared" si="10"/>
        <v>1909</v>
      </c>
    </row>
    <row r="694" spans="1:18" ht="19.5" customHeight="1">
      <c r="A694" s="299" t="s">
        <v>7408</v>
      </c>
      <c r="B694" s="67" t="s">
        <v>3454</v>
      </c>
      <c r="C694" s="11"/>
      <c r="D694" s="11"/>
      <c r="E694" s="116" t="s">
        <v>827</v>
      </c>
      <c r="F694" s="116" t="s">
        <v>828</v>
      </c>
      <c r="G694" s="116" t="s">
        <v>806</v>
      </c>
      <c r="H694" s="116" t="s">
        <v>3455</v>
      </c>
      <c r="I694" s="116" t="s">
        <v>11</v>
      </c>
      <c r="J694" s="116" t="s">
        <v>804</v>
      </c>
      <c r="K694" s="63">
        <v>181</v>
      </c>
      <c r="L694" s="63">
        <v>69817</v>
      </c>
      <c r="M694" s="63">
        <v>23</v>
      </c>
      <c r="N694" s="63"/>
      <c r="O694" s="63">
        <v>69687</v>
      </c>
      <c r="P694" s="63"/>
      <c r="Q694" s="63"/>
      <c r="R694" s="302">
        <f t="shared" si="10"/>
        <v>153</v>
      </c>
    </row>
    <row r="695" spans="1:18" ht="19.5" customHeight="1">
      <c r="A695" s="2">
        <v>138</v>
      </c>
      <c r="B695" s="67" t="s">
        <v>736</v>
      </c>
      <c r="C695" s="11"/>
      <c r="D695" s="11"/>
      <c r="E695" s="116" t="s">
        <v>4388</v>
      </c>
      <c r="F695" s="116" t="s">
        <v>1593</v>
      </c>
      <c r="G695" s="116" t="s">
        <v>772</v>
      </c>
      <c r="H695" s="116" t="s">
        <v>11229</v>
      </c>
      <c r="I695" s="116" t="s">
        <v>13</v>
      </c>
      <c r="J695" s="116" t="s">
        <v>1588</v>
      </c>
      <c r="K695" s="63">
        <v>3950</v>
      </c>
      <c r="L695" s="63">
        <v>59985</v>
      </c>
      <c r="M695" s="63">
        <v>0</v>
      </c>
      <c r="N695" s="63"/>
      <c r="O695" s="63">
        <f>20000+22792</f>
        <v>42792</v>
      </c>
      <c r="P695" s="63">
        <v>450</v>
      </c>
      <c r="Q695" s="63"/>
      <c r="R695" s="302">
        <f t="shared" si="10"/>
        <v>17193</v>
      </c>
    </row>
    <row r="696" spans="1:18" ht="19.5" customHeight="1">
      <c r="A696" s="299" t="s">
        <v>7414</v>
      </c>
      <c r="B696" s="305" t="s">
        <v>592</v>
      </c>
      <c r="C696" s="305"/>
      <c r="D696" s="305"/>
      <c r="E696" s="305" t="s">
        <v>1415</v>
      </c>
      <c r="F696" s="305" t="s">
        <v>1417</v>
      </c>
      <c r="G696" s="305" t="s">
        <v>1418</v>
      </c>
      <c r="H696" s="305" t="s">
        <v>594</v>
      </c>
      <c r="I696" s="305" t="s">
        <v>11</v>
      </c>
      <c r="J696" s="305" t="s">
        <v>8980</v>
      </c>
      <c r="K696" s="119">
        <v>2590</v>
      </c>
      <c r="L696" s="119">
        <v>0</v>
      </c>
      <c r="M696" s="302">
        <v>9960</v>
      </c>
      <c r="N696" s="303"/>
      <c r="O696" s="302">
        <v>4910</v>
      </c>
      <c r="P696" s="302"/>
      <c r="Q696" s="303"/>
      <c r="R696" s="302">
        <f t="shared" si="10"/>
        <v>5050</v>
      </c>
    </row>
    <row r="697" spans="1:18" ht="19.5" customHeight="1">
      <c r="A697" s="304" t="s">
        <v>7417</v>
      </c>
      <c r="B697" s="11" t="s">
        <v>2407</v>
      </c>
      <c r="C697" s="11"/>
      <c r="D697" s="11"/>
      <c r="E697" s="514" t="s">
        <v>194</v>
      </c>
      <c r="F697" s="514" t="s">
        <v>2409</v>
      </c>
      <c r="G697" s="514" t="s">
        <v>2410</v>
      </c>
      <c r="H697" s="116" t="s">
        <v>195</v>
      </c>
      <c r="I697" s="116" t="s">
        <v>11</v>
      </c>
      <c r="J697" s="116" t="s">
        <v>2408</v>
      </c>
      <c r="K697" s="63">
        <v>2916</v>
      </c>
      <c r="L697" s="63">
        <v>9012</v>
      </c>
      <c r="M697" s="63">
        <v>0</v>
      </c>
      <c r="N697" s="63"/>
      <c r="O697" s="63">
        <v>9012</v>
      </c>
      <c r="P697" s="63"/>
      <c r="Q697" s="63"/>
      <c r="R697" s="302">
        <f t="shared" si="10"/>
        <v>0</v>
      </c>
    </row>
    <row r="698" spans="1:18" ht="19.5" customHeight="1">
      <c r="A698" s="304" t="s">
        <v>7420</v>
      </c>
      <c r="B698" s="305" t="s">
        <v>4392</v>
      </c>
      <c r="C698" s="305"/>
      <c r="D698" s="305"/>
      <c r="E698" s="305" t="s">
        <v>1882</v>
      </c>
      <c r="F698" s="305" t="s">
        <v>1883</v>
      </c>
      <c r="G698" s="305" t="s">
        <v>2385</v>
      </c>
      <c r="H698" s="305" t="s">
        <v>291</v>
      </c>
      <c r="I698" s="305" t="s">
        <v>11</v>
      </c>
      <c r="J698" s="116" t="s">
        <v>859</v>
      </c>
      <c r="K698" s="119">
        <v>276</v>
      </c>
      <c r="L698" s="119">
        <v>9000</v>
      </c>
      <c r="M698" s="302">
        <v>0</v>
      </c>
      <c r="N698" s="303"/>
      <c r="O698" s="302">
        <v>9000</v>
      </c>
      <c r="P698" s="302"/>
      <c r="Q698" s="303"/>
      <c r="R698" s="302">
        <f t="shared" si="10"/>
        <v>0</v>
      </c>
    </row>
    <row r="699" spans="1:18" ht="19.5" customHeight="1">
      <c r="A699" s="299" t="s">
        <v>7424</v>
      </c>
      <c r="B699" s="474" t="s">
        <v>4392</v>
      </c>
      <c r="C699" s="474"/>
      <c r="D699" s="474"/>
      <c r="E699" s="474" t="s">
        <v>1882</v>
      </c>
      <c r="F699" s="474" t="s">
        <v>1883</v>
      </c>
      <c r="G699" s="474" t="s">
        <v>2385</v>
      </c>
      <c r="H699" s="474" t="s">
        <v>291</v>
      </c>
      <c r="I699" s="474" t="s">
        <v>11</v>
      </c>
      <c r="J699" s="483" t="s">
        <v>859</v>
      </c>
      <c r="K699" s="477">
        <v>508</v>
      </c>
      <c r="L699" s="477">
        <v>0</v>
      </c>
      <c r="M699" s="479">
        <v>2500</v>
      </c>
      <c r="N699" s="480"/>
      <c r="O699" s="479">
        <v>500</v>
      </c>
      <c r="P699" s="479"/>
      <c r="Q699" s="480"/>
      <c r="R699" s="302">
        <f t="shared" si="10"/>
        <v>2000</v>
      </c>
    </row>
    <row r="700" spans="1:18" ht="19.5" customHeight="1">
      <c r="A700" s="2">
        <v>139</v>
      </c>
      <c r="B700" s="305" t="s">
        <v>1307</v>
      </c>
      <c r="C700" s="305"/>
      <c r="D700" s="305"/>
      <c r="E700" s="305" t="s">
        <v>4394</v>
      </c>
      <c r="F700" s="305" t="s">
        <v>8091</v>
      </c>
      <c r="G700" s="305" t="s">
        <v>2385</v>
      </c>
      <c r="H700" s="305" t="s">
        <v>1004</v>
      </c>
      <c r="I700" s="305" t="s">
        <v>11</v>
      </c>
      <c r="J700" s="116" t="s">
        <v>1066</v>
      </c>
      <c r="K700" s="119">
        <v>72</v>
      </c>
      <c r="L700" s="119">
        <v>0</v>
      </c>
      <c r="M700" s="302">
        <v>37000</v>
      </c>
      <c r="N700" s="303"/>
      <c r="O700" s="302">
        <v>24837</v>
      </c>
      <c r="P700" s="302"/>
      <c r="Q700" s="303"/>
      <c r="R700" s="302">
        <f t="shared" si="10"/>
        <v>12163</v>
      </c>
    </row>
    <row r="701" spans="1:18" ht="19.5" customHeight="1">
      <c r="A701" s="299" t="s">
        <v>7427</v>
      </c>
      <c r="B701" s="11" t="s">
        <v>2175</v>
      </c>
      <c r="C701" s="11"/>
      <c r="D701" s="11"/>
      <c r="E701" s="116" t="s">
        <v>196</v>
      </c>
      <c r="F701" s="116" t="s">
        <v>2177</v>
      </c>
      <c r="G701" s="116" t="s">
        <v>2178</v>
      </c>
      <c r="H701" s="116" t="s">
        <v>198</v>
      </c>
      <c r="I701" s="116" t="s">
        <v>10</v>
      </c>
      <c r="J701" s="116" t="s">
        <v>2176</v>
      </c>
      <c r="K701" s="63">
        <v>378</v>
      </c>
      <c r="L701" s="63">
        <v>3</v>
      </c>
      <c r="M701" s="63">
        <v>0</v>
      </c>
      <c r="N701" s="63"/>
      <c r="O701" s="63">
        <v>3</v>
      </c>
      <c r="P701" s="63"/>
      <c r="Q701" s="63"/>
      <c r="R701" s="302">
        <f t="shared" si="10"/>
        <v>0</v>
      </c>
    </row>
    <row r="702" spans="1:18" ht="19.5" customHeight="1">
      <c r="A702" s="304" t="s">
        <v>7432</v>
      </c>
      <c r="B702" s="305" t="s">
        <v>8439</v>
      </c>
      <c r="C702" s="305"/>
      <c r="D702" s="305"/>
      <c r="E702" s="305" t="s">
        <v>4398</v>
      </c>
      <c r="F702" s="305" t="s">
        <v>8441</v>
      </c>
      <c r="G702" s="305" t="s">
        <v>2114</v>
      </c>
      <c r="H702" s="305" t="s">
        <v>4400</v>
      </c>
      <c r="I702" s="305" t="s">
        <v>11</v>
      </c>
      <c r="J702" s="116" t="s">
        <v>859</v>
      </c>
      <c r="K702" s="119">
        <v>12482</v>
      </c>
      <c r="L702" s="119">
        <f>56+697</f>
        <v>753</v>
      </c>
      <c r="M702" s="302">
        <v>2940</v>
      </c>
      <c r="N702" s="303"/>
      <c r="O702" s="302">
        <f>56+697+980</f>
        <v>1733</v>
      </c>
      <c r="P702" s="302"/>
      <c r="Q702" s="303"/>
      <c r="R702" s="302">
        <f t="shared" si="10"/>
        <v>1960</v>
      </c>
    </row>
    <row r="703" spans="1:18" ht="19.5" customHeight="1">
      <c r="A703" s="304" t="s">
        <v>7435</v>
      </c>
      <c r="B703" s="11" t="s">
        <v>689</v>
      </c>
      <c r="C703" s="11"/>
      <c r="D703" s="11"/>
      <c r="E703" s="116" t="s">
        <v>1264</v>
      </c>
      <c r="F703" s="116" t="s">
        <v>1266</v>
      </c>
      <c r="G703" s="116" t="s">
        <v>1263</v>
      </c>
      <c r="H703" s="116" t="s">
        <v>1265</v>
      </c>
      <c r="I703" s="116" t="s">
        <v>10</v>
      </c>
      <c r="J703" s="116" t="s">
        <v>1261</v>
      </c>
      <c r="K703" s="63">
        <v>7090</v>
      </c>
      <c r="L703" s="63">
        <v>12232</v>
      </c>
      <c r="M703" s="63">
        <v>33</v>
      </c>
      <c r="N703" s="63"/>
      <c r="O703" s="63">
        <v>12265</v>
      </c>
      <c r="P703" s="63"/>
      <c r="Q703" s="63"/>
      <c r="R703" s="302">
        <f t="shared" si="10"/>
        <v>0</v>
      </c>
    </row>
    <row r="704" spans="1:18" ht="19.5" customHeight="1">
      <c r="A704" s="299" t="s">
        <v>7438</v>
      </c>
      <c r="B704" s="463" t="s">
        <v>4403</v>
      </c>
      <c r="C704" s="463"/>
      <c r="D704" s="463"/>
      <c r="E704" s="463" t="s">
        <v>11409</v>
      </c>
      <c r="F704" s="463" t="s">
        <v>6362</v>
      </c>
      <c r="G704" s="463" t="s">
        <v>6363</v>
      </c>
      <c r="H704" s="463" t="s">
        <v>299</v>
      </c>
      <c r="I704" s="463" t="s">
        <v>11</v>
      </c>
      <c r="J704" s="463" t="s">
        <v>11463</v>
      </c>
      <c r="K704" s="119">
        <v>13000</v>
      </c>
      <c r="L704" s="119">
        <v>264</v>
      </c>
      <c r="M704" s="302">
        <v>0</v>
      </c>
      <c r="N704" s="302"/>
      <c r="O704" s="302">
        <v>192</v>
      </c>
      <c r="P704" s="303"/>
      <c r="Q704" s="303"/>
      <c r="R704" s="302">
        <f t="shared" si="10"/>
        <v>72</v>
      </c>
    </row>
    <row r="705" spans="1:18" ht="19.5" customHeight="1">
      <c r="A705" s="2">
        <v>140</v>
      </c>
      <c r="B705" s="309" t="s">
        <v>8802</v>
      </c>
      <c r="C705" s="309"/>
      <c r="D705" s="309"/>
      <c r="E705" s="309" t="s">
        <v>199</v>
      </c>
      <c r="F705" s="309" t="s">
        <v>8804</v>
      </c>
      <c r="G705" s="309" t="s">
        <v>2397</v>
      </c>
      <c r="H705" s="309" t="s">
        <v>8803</v>
      </c>
      <c r="I705" s="309" t="s">
        <v>11</v>
      </c>
      <c r="J705" s="116" t="s">
        <v>1066</v>
      </c>
      <c r="K705" s="63">
        <v>720</v>
      </c>
      <c r="L705" s="310">
        <v>0</v>
      </c>
      <c r="M705" s="302">
        <v>12000</v>
      </c>
      <c r="N705" s="303"/>
      <c r="O705" s="302">
        <v>2000</v>
      </c>
      <c r="P705" s="302"/>
      <c r="Q705" s="303"/>
      <c r="R705" s="302">
        <f t="shared" si="10"/>
        <v>10000</v>
      </c>
    </row>
    <row r="706" spans="1:18" ht="19.5" customHeight="1">
      <c r="A706" s="299" t="s">
        <v>7445</v>
      </c>
      <c r="B706" s="305" t="s">
        <v>1326</v>
      </c>
      <c r="C706" s="305"/>
      <c r="D706" s="305"/>
      <c r="E706" s="305" t="s">
        <v>4405</v>
      </c>
      <c r="F706" s="305" t="s">
        <v>8154</v>
      </c>
      <c r="G706" s="305" t="s">
        <v>2385</v>
      </c>
      <c r="H706" s="305" t="s">
        <v>222</v>
      </c>
      <c r="I706" s="305" t="s">
        <v>11</v>
      </c>
      <c r="J706" s="116" t="s">
        <v>859</v>
      </c>
      <c r="K706" s="119">
        <v>47</v>
      </c>
      <c r="L706" s="119">
        <v>0</v>
      </c>
      <c r="M706" s="302">
        <v>23000</v>
      </c>
      <c r="N706" s="303"/>
      <c r="O706" s="302">
        <v>23000</v>
      </c>
      <c r="P706" s="302"/>
      <c r="Q706" s="303"/>
      <c r="R706" s="302">
        <f t="shared" si="10"/>
        <v>0</v>
      </c>
    </row>
    <row r="707" spans="1:18" ht="19.5" customHeight="1">
      <c r="A707" s="304" t="s">
        <v>7446</v>
      </c>
      <c r="B707" s="305" t="s">
        <v>1127</v>
      </c>
      <c r="C707" s="305"/>
      <c r="D707" s="305"/>
      <c r="E707" s="305" t="s">
        <v>5045</v>
      </c>
      <c r="F707" s="305" t="s">
        <v>7152</v>
      </c>
      <c r="G707" s="305" t="s">
        <v>2385</v>
      </c>
      <c r="H707" s="305" t="s">
        <v>5046</v>
      </c>
      <c r="I707" s="305" t="s">
        <v>11</v>
      </c>
      <c r="J707" s="116" t="s">
        <v>1066</v>
      </c>
      <c r="K707" s="119">
        <v>378</v>
      </c>
      <c r="L707" s="119">
        <v>0</v>
      </c>
      <c r="M707" s="302">
        <v>32000</v>
      </c>
      <c r="N707" s="303"/>
      <c r="O707" s="302">
        <f>22000+4318</f>
        <v>26318</v>
      </c>
      <c r="P707" s="302">
        <v>800</v>
      </c>
      <c r="Q707" s="303"/>
      <c r="R707" s="302">
        <f t="shared" si="10"/>
        <v>5682</v>
      </c>
    </row>
    <row r="708" spans="1:18" ht="19.5" customHeight="1">
      <c r="A708" s="304" t="s">
        <v>7452</v>
      </c>
      <c r="B708" s="305" t="s">
        <v>1212</v>
      </c>
      <c r="C708" s="305"/>
      <c r="D708" s="305"/>
      <c r="E708" s="305" t="s">
        <v>4407</v>
      </c>
      <c r="F708" s="305" t="s">
        <v>8023</v>
      </c>
      <c r="G708" s="305" t="s">
        <v>2385</v>
      </c>
      <c r="H708" s="305" t="s">
        <v>945</v>
      </c>
      <c r="I708" s="305" t="s">
        <v>12</v>
      </c>
      <c r="J708" s="305" t="s">
        <v>2386</v>
      </c>
      <c r="K708" s="119">
        <v>728</v>
      </c>
      <c r="L708" s="119">
        <v>0</v>
      </c>
      <c r="M708" s="302">
        <f>4600+1800</f>
        <v>6400</v>
      </c>
      <c r="N708" s="303"/>
      <c r="O708" s="302">
        <f>4600+1800</f>
        <v>6400</v>
      </c>
      <c r="P708" s="302"/>
      <c r="Q708" s="303"/>
      <c r="R708" s="302">
        <f t="shared" si="10"/>
        <v>0</v>
      </c>
    </row>
    <row r="709" spans="1:18" ht="19.5" customHeight="1">
      <c r="A709" s="299" t="s">
        <v>7454</v>
      </c>
      <c r="B709" s="11" t="s">
        <v>939</v>
      </c>
      <c r="C709" s="11"/>
      <c r="D709" s="11"/>
      <c r="E709" s="116" t="s">
        <v>1864</v>
      </c>
      <c r="F709" s="116" t="s">
        <v>1866</v>
      </c>
      <c r="G709" s="116" t="s">
        <v>1867</v>
      </c>
      <c r="H709" s="116" t="s">
        <v>258</v>
      </c>
      <c r="I709" s="116" t="s">
        <v>12</v>
      </c>
      <c r="J709" s="116" t="s">
        <v>1865</v>
      </c>
      <c r="K709" s="63">
        <v>433</v>
      </c>
      <c r="L709" s="63">
        <f>552+997</f>
        <v>1549</v>
      </c>
      <c r="M709" s="63">
        <v>2</v>
      </c>
      <c r="N709" s="63"/>
      <c r="O709" s="63">
        <f>554+997</f>
        <v>1551</v>
      </c>
      <c r="P709" s="63"/>
      <c r="Q709" s="63"/>
      <c r="R709" s="302">
        <f t="shared" si="10"/>
        <v>0</v>
      </c>
    </row>
    <row r="710" spans="1:18" ht="19.5" customHeight="1">
      <c r="A710" s="2">
        <v>141</v>
      </c>
      <c r="B710" s="305" t="s">
        <v>1289</v>
      </c>
      <c r="C710" s="305"/>
      <c r="D710" s="305"/>
      <c r="E710" s="305" t="s">
        <v>4409</v>
      </c>
      <c r="F710" s="305" t="s">
        <v>7132</v>
      </c>
      <c r="G710" s="305" t="s">
        <v>2385</v>
      </c>
      <c r="H710" s="305" t="s">
        <v>1290</v>
      </c>
      <c r="I710" s="305" t="s">
        <v>11</v>
      </c>
      <c r="J710" s="116" t="s">
        <v>1066</v>
      </c>
      <c r="K710" s="119">
        <v>434</v>
      </c>
      <c r="L710" s="119">
        <v>0</v>
      </c>
      <c r="M710" s="302">
        <v>10000</v>
      </c>
      <c r="N710" s="303"/>
      <c r="O710" s="302">
        <v>1894</v>
      </c>
      <c r="P710" s="302">
        <v>40</v>
      </c>
      <c r="Q710" s="303"/>
      <c r="R710" s="302">
        <f t="shared" si="10"/>
        <v>8106</v>
      </c>
    </row>
    <row r="711" spans="1:18" ht="19.5" customHeight="1">
      <c r="A711" s="299" t="s">
        <v>7457</v>
      </c>
      <c r="B711" s="305" t="s">
        <v>392</v>
      </c>
      <c r="C711" s="305"/>
      <c r="D711" s="305"/>
      <c r="E711" s="305" t="s">
        <v>11410</v>
      </c>
      <c r="F711" s="305" t="s">
        <v>7935</v>
      </c>
      <c r="G711" s="305" t="s">
        <v>2385</v>
      </c>
      <c r="H711" s="305" t="s">
        <v>235</v>
      </c>
      <c r="I711" s="305" t="s">
        <v>11</v>
      </c>
      <c r="J711" s="305" t="s">
        <v>9017</v>
      </c>
      <c r="K711" s="119">
        <v>434</v>
      </c>
      <c r="L711" s="119">
        <v>1000</v>
      </c>
      <c r="M711" s="302">
        <v>0</v>
      </c>
      <c r="N711" s="303"/>
      <c r="O711" s="302">
        <v>1000</v>
      </c>
      <c r="P711" s="302"/>
      <c r="Q711" s="303"/>
      <c r="R711" s="302">
        <f t="shared" si="10"/>
        <v>0</v>
      </c>
    </row>
    <row r="712" spans="1:18" ht="19.5" customHeight="1">
      <c r="A712" s="304" t="s">
        <v>7459</v>
      </c>
      <c r="B712" s="305" t="s">
        <v>392</v>
      </c>
      <c r="C712" s="305"/>
      <c r="D712" s="305"/>
      <c r="E712" s="305" t="s">
        <v>3472</v>
      </c>
      <c r="F712" s="305" t="s">
        <v>7935</v>
      </c>
      <c r="G712" s="305" t="s">
        <v>2385</v>
      </c>
      <c r="H712" s="305" t="s">
        <v>267</v>
      </c>
      <c r="I712" s="305" t="s">
        <v>11</v>
      </c>
      <c r="J712" s="305" t="s">
        <v>9017</v>
      </c>
      <c r="K712" s="119">
        <v>287</v>
      </c>
      <c r="L712" s="119">
        <v>0</v>
      </c>
      <c r="M712" s="302">
        <v>500</v>
      </c>
      <c r="N712" s="303"/>
      <c r="O712" s="302">
        <v>500</v>
      </c>
      <c r="P712" s="302"/>
      <c r="Q712" s="303"/>
      <c r="R712" s="302">
        <f t="shared" si="10"/>
        <v>0</v>
      </c>
    </row>
    <row r="713" spans="1:18" ht="19.5" customHeight="1">
      <c r="A713" s="304" t="s">
        <v>7462</v>
      </c>
      <c r="B713" s="305" t="s">
        <v>7613</v>
      </c>
      <c r="C713" s="305"/>
      <c r="D713" s="305"/>
      <c r="E713" s="305" t="s">
        <v>4413</v>
      </c>
      <c r="F713" s="305" t="s">
        <v>7614</v>
      </c>
      <c r="G713" s="305" t="s">
        <v>2385</v>
      </c>
      <c r="H713" s="305" t="s">
        <v>4415</v>
      </c>
      <c r="I713" s="305" t="s">
        <v>11</v>
      </c>
      <c r="J713" s="116" t="s">
        <v>859</v>
      </c>
      <c r="K713" s="119">
        <v>348</v>
      </c>
      <c r="L713" s="119">
        <v>0</v>
      </c>
      <c r="M713" s="302">
        <v>22000</v>
      </c>
      <c r="N713" s="303"/>
      <c r="O713" s="302"/>
      <c r="P713" s="302"/>
      <c r="Q713" s="303"/>
      <c r="R713" s="302">
        <f t="shared" si="10"/>
        <v>22000</v>
      </c>
    </row>
    <row r="714" spans="1:18" ht="19.5" customHeight="1">
      <c r="A714" s="299" t="s">
        <v>7471</v>
      </c>
      <c r="B714" s="305" t="s">
        <v>592</v>
      </c>
      <c r="C714" s="305"/>
      <c r="D714" s="305"/>
      <c r="E714" s="305" t="s">
        <v>4416</v>
      </c>
      <c r="F714" s="305" t="s">
        <v>7599</v>
      </c>
      <c r="G714" s="305" t="s">
        <v>1946</v>
      </c>
      <c r="H714" s="305" t="s">
        <v>594</v>
      </c>
      <c r="I714" s="305" t="s">
        <v>11</v>
      </c>
      <c r="J714" s="305" t="s">
        <v>8979</v>
      </c>
      <c r="K714" s="119">
        <v>357</v>
      </c>
      <c r="L714" s="119">
        <v>0</v>
      </c>
      <c r="M714" s="302">
        <f>29987+19984</f>
        <v>49971</v>
      </c>
      <c r="N714" s="303"/>
      <c r="O714" s="302">
        <f>29580+19984</f>
        <v>49564</v>
      </c>
      <c r="P714" s="302">
        <v>294</v>
      </c>
      <c r="Q714" s="303"/>
      <c r="R714" s="302">
        <f t="shared" ref="R714:R757" si="11">L714+M714-O714</f>
        <v>407</v>
      </c>
    </row>
    <row r="715" spans="1:18" ht="19.5" customHeight="1">
      <c r="A715" s="2">
        <v>142</v>
      </c>
      <c r="B715" s="305" t="s">
        <v>729</v>
      </c>
      <c r="C715" s="305"/>
      <c r="D715" s="305"/>
      <c r="E715" s="305" t="s">
        <v>4419</v>
      </c>
      <c r="F715" s="305" t="s">
        <v>7829</v>
      </c>
      <c r="G715" s="305" t="s">
        <v>2385</v>
      </c>
      <c r="H715" s="305" t="s">
        <v>17</v>
      </c>
      <c r="I715" s="305" t="s">
        <v>11</v>
      </c>
      <c r="J715" s="116" t="s">
        <v>1066</v>
      </c>
      <c r="K715" s="119">
        <v>443</v>
      </c>
      <c r="L715" s="119">
        <v>0</v>
      </c>
      <c r="M715" s="302">
        <v>10000</v>
      </c>
      <c r="N715" s="303"/>
      <c r="O715" s="302"/>
      <c r="P715" s="302"/>
      <c r="Q715" s="303"/>
      <c r="R715" s="302">
        <f t="shared" si="11"/>
        <v>10000</v>
      </c>
    </row>
    <row r="716" spans="1:18" ht="19.5" customHeight="1">
      <c r="A716" s="299" t="s">
        <v>7474</v>
      </c>
      <c r="B716" s="305" t="s">
        <v>729</v>
      </c>
      <c r="C716" s="305"/>
      <c r="D716" s="305"/>
      <c r="E716" s="305" t="s">
        <v>4419</v>
      </c>
      <c r="F716" s="305" t="s">
        <v>7829</v>
      </c>
      <c r="G716" s="305" t="s">
        <v>2385</v>
      </c>
      <c r="H716" s="305" t="s">
        <v>17</v>
      </c>
      <c r="I716" s="305" t="s">
        <v>11</v>
      </c>
      <c r="J716" s="116" t="s">
        <v>1066</v>
      </c>
      <c r="K716" s="119">
        <v>428</v>
      </c>
      <c r="L716" s="119">
        <v>20000</v>
      </c>
      <c r="M716" s="302">
        <v>0</v>
      </c>
      <c r="N716" s="303"/>
      <c r="O716" s="302">
        <v>16498</v>
      </c>
      <c r="P716" s="302">
        <v>1340</v>
      </c>
      <c r="Q716" s="303"/>
      <c r="R716" s="302">
        <f t="shared" si="11"/>
        <v>3502</v>
      </c>
    </row>
    <row r="717" spans="1:18" ht="19.5" customHeight="1">
      <c r="A717" s="304" t="s">
        <v>7479</v>
      </c>
      <c r="B717" s="305" t="s">
        <v>1215</v>
      </c>
      <c r="C717" s="305"/>
      <c r="D717" s="305"/>
      <c r="E717" s="305" t="s">
        <v>4421</v>
      </c>
      <c r="F717" s="305" t="s">
        <v>6325</v>
      </c>
      <c r="G717" s="305" t="s">
        <v>1536</v>
      </c>
      <c r="H717" s="305" t="s">
        <v>1217</v>
      </c>
      <c r="I717" s="305" t="s">
        <v>11</v>
      </c>
      <c r="J717" s="116" t="s">
        <v>1066</v>
      </c>
      <c r="K717" s="119">
        <v>2990</v>
      </c>
      <c r="L717" s="119">
        <v>0</v>
      </c>
      <c r="M717" s="302">
        <v>4980</v>
      </c>
      <c r="N717" s="303"/>
      <c r="O717" s="302">
        <v>1173</v>
      </c>
      <c r="P717" s="302"/>
      <c r="Q717" s="303"/>
      <c r="R717" s="302">
        <f t="shared" si="11"/>
        <v>3807</v>
      </c>
    </row>
    <row r="718" spans="1:18" ht="19.5" customHeight="1">
      <c r="A718" s="304" t="s">
        <v>7484</v>
      </c>
      <c r="B718" s="67" t="s">
        <v>1184</v>
      </c>
      <c r="C718" s="11"/>
      <c r="D718" s="11"/>
      <c r="E718" s="502" t="s">
        <v>1185</v>
      </c>
      <c r="F718" s="502" t="s">
        <v>1187</v>
      </c>
      <c r="G718" s="502" t="s">
        <v>1188</v>
      </c>
      <c r="H718" s="502" t="s">
        <v>1186</v>
      </c>
      <c r="I718" s="502" t="s">
        <v>11</v>
      </c>
      <c r="J718" s="502" t="s">
        <v>623</v>
      </c>
      <c r="K718" s="63">
        <v>2650</v>
      </c>
      <c r="L718" s="63">
        <f>1599+3540</f>
        <v>5139</v>
      </c>
      <c r="M718" s="63">
        <v>10</v>
      </c>
      <c r="N718" s="63"/>
      <c r="O718" s="63">
        <f>1603+3482</f>
        <v>5085</v>
      </c>
      <c r="P718" s="63"/>
      <c r="Q718" s="63"/>
      <c r="R718" s="302">
        <f t="shared" si="11"/>
        <v>64</v>
      </c>
    </row>
    <row r="719" spans="1:18" ht="19.5" customHeight="1">
      <c r="A719" s="299" t="s">
        <v>7486</v>
      </c>
      <c r="B719" s="11" t="s">
        <v>638</v>
      </c>
      <c r="C719" s="11"/>
      <c r="D719" s="11"/>
      <c r="E719" s="116" t="s">
        <v>1491</v>
      </c>
      <c r="F719" s="116" t="s">
        <v>1493</v>
      </c>
      <c r="G719" s="116" t="s">
        <v>1485</v>
      </c>
      <c r="H719" s="116" t="s">
        <v>429</v>
      </c>
      <c r="I719" s="116" t="s">
        <v>12</v>
      </c>
      <c r="J719" s="116" t="s">
        <v>1492</v>
      </c>
      <c r="K719" s="63">
        <v>4800</v>
      </c>
      <c r="L719" s="63">
        <f>56+17986</f>
        <v>18042</v>
      </c>
      <c r="M719" s="63">
        <v>1</v>
      </c>
      <c r="N719" s="63"/>
      <c r="O719" s="63">
        <f>56+13815</f>
        <v>13871</v>
      </c>
      <c r="P719" s="63"/>
      <c r="Q719" s="63"/>
      <c r="R719" s="302">
        <f t="shared" si="11"/>
        <v>4172</v>
      </c>
    </row>
    <row r="720" spans="1:18" ht="19.5" customHeight="1">
      <c r="A720" s="2">
        <v>143</v>
      </c>
      <c r="B720" s="305" t="s">
        <v>1526</v>
      </c>
      <c r="C720" s="305"/>
      <c r="D720" s="305"/>
      <c r="E720" s="305" t="s">
        <v>4426</v>
      </c>
      <c r="F720" s="305" t="s">
        <v>923</v>
      </c>
      <c r="G720" s="305" t="s">
        <v>5758</v>
      </c>
      <c r="H720" s="305" t="s">
        <v>4427</v>
      </c>
      <c r="I720" s="305" t="s">
        <v>658</v>
      </c>
      <c r="J720" s="305" t="s">
        <v>8985</v>
      </c>
      <c r="K720" s="119">
        <v>76379</v>
      </c>
      <c r="L720" s="119">
        <v>3</v>
      </c>
      <c r="M720" s="302">
        <v>100</v>
      </c>
      <c r="N720" s="303"/>
      <c r="O720" s="302">
        <v>21</v>
      </c>
      <c r="P720" s="302"/>
      <c r="Q720" s="303"/>
      <c r="R720" s="302">
        <f t="shared" si="11"/>
        <v>82</v>
      </c>
    </row>
    <row r="721" spans="1:18" ht="19.5" customHeight="1">
      <c r="A721" s="299" t="s">
        <v>7489</v>
      </c>
      <c r="B721" s="67" t="s">
        <v>919</v>
      </c>
      <c r="C721" s="11"/>
      <c r="D721" s="11"/>
      <c r="E721" s="502" t="s">
        <v>925</v>
      </c>
      <c r="F721" s="502" t="s">
        <v>1018</v>
      </c>
      <c r="G721" s="502" t="s">
        <v>929</v>
      </c>
      <c r="H721" s="502" t="s">
        <v>1017</v>
      </c>
      <c r="I721" s="502" t="s">
        <v>628</v>
      </c>
      <c r="J721" s="502" t="s">
        <v>927</v>
      </c>
      <c r="K721" s="63">
        <v>4575</v>
      </c>
      <c r="L721" s="63">
        <v>1869</v>
      </c>
      <c r="M721" s="63">
        <v>0</v>
      </c>
      <c r="N721" s="63"/>
      <c r="O721" s="63">
        <v>551</v>
      </c>
      <c r="P721" s="63">
        <v>450</v>
      </c>
      <c r="Q721" s="63"/>
      <c r="R721" s="302">
        <f t="shared" si="11"/>
        <v>1318</v>
      </c>
    </row>
    <row r="722" spans="1:18" ht="19.5" customHeight="1">
      <c r="A722" s="304" t="s">
        <v>7492</v>
      </c>
      <c r="B722" s="67" t="s">
        <v>919</v>
      </c>
      <c r="C722" s="11"/>
      <c r="D722" s="11"/>
      <c r="E722" s="502" t="s">
        <v>925</v>
      </c>
      <c r="F722" s="502" t="s">
        <v>928</v>
      </c>
      <c r="G722" s="502" t="s">
        <v>929</v>
      </c>
      <c r="H722" s="502" t="s">
        <v>926</v>
      </c>
      <c r="I722" s="502" t="s">
        <v>628</v>
      </c>
      <c r="J722" s="502" t="s">
        <v>927</v>
      </c>
      <c r="K722" s="63">
        <v>8513</v>
      </c>
      <c r="L722" s="63">
        <v>3636</v>
      </c>
      <c r="M722" s="63">
        <v>72</v>
      </c>
      <c r="N722" s="63"/>
      <c r="O722" s="63">
        <v>2337</v>
      </c>
      <c r="P722" s="63">
        <v>900</v>
      </c>
      <c r="Q722" s="63"/>
      <c r="R722" s="302">
        <f t="shared" si="11"/>
        <v>1371</v>
      </c>
    </row>
    <row r="723" spans="1:18" ht="19.5" customHeight="1">
      <c r="A723" s="304" t="s">
        <v>7496</v>
      </c>
      <c r="B723" s="67" t="s">
        <v>246</v>
      </c>
      <c r="C723" s="11"/>
      <c r="D723" s="11"/>
      <c r="E723" s="116" t="s">
        <v>665</v>
      </c>
      <c r="F723" s="116" t="s">
        <v>666</v>
      </c>
      <c r="G723" s="116" t="s">
        <v>245</v>
      </c>
      <c r="H723" s="116" t="s">
        <v>291</v>
      </c>
      <c r="I723" s="116" t="s">
        <v>11</v>
      </c>
      <c r="J723" s="116" t="s">
        <v>553</v>
      </c>
      <c r="K723" s="63">
        <v>3990</v>
      </c>
      <c r="L723" s="63">
        <f>1592+1500</f>
        <v>3092</v>
      </c>
      <c r="M723" s="63">
        <v>0</v>
      </c>
      <c r="N723" s="63"/>
      <c r="O723" s="63">
        <f>1592+1500</f>
        <v>3092</v>
      </c>
      <c r="P723" s="63"/>
      <c r="Q723" s="63"/>
      <c r="R723" s="302">
        <f t="shared" si="11"/>
        <v>0</v>
      </c>
    </row>
    <row r="724" spans="1:18" ht="19.5" customHeight="1">
      <c r="A724" s="299" t="s">
        <v>7499</v>
      </c>
      <c r="B724" s="307" t="s">
        <v>246</v>
      </c>
      <c r="C724" s="307"/>
      <c r="D724" s="307"/>
      <c r="E724" s="116" t="s">
        <v>4945</v>
      </c>
      <c r="F724" s="116" t="s">
        <v>249</v>
      </c>
      <c r="G724" s="116" t="s">
        <v>245</v>
      </c>
      <c r="H724" s="116" t="s">
        <v>248</v>
      </c>
      <c r="I724" s="531" t="s">
        <v>10</v>
      </c>
      <c r="J724" s="116" t="s">
        <v>642</v>
      </c>
      <c r="K724" s="118">
        <v>1785</v>
      </c>
      <c r="L724" s="308">
        <v>35</v>
      </c>
      <c r="M724" s="302">
        <v>5004</v>
      </c>
      <c r="N724" s="303"/>
      <c r="O724" s="302">
        <f>23+3+813</f>
        <v>839</v>
      </c>
      <c r="P724" s="302"/>
      <c r="Q724" s="303"/>
      <c r="R724" s="302">
        <f t="shared" si="11"/>
        <v>4200</v>
      </c>
    </row>
    <row r="725" spans="1:18" ht="19.5" customHeight="1">
      <c r="A725" s="2">
        <v>144</v>
      </c>
      <c r="B725" s="67" t="s">
        <v>202</v>
      </c>
      <c r="C725" s="11"/>
      <c r="D725" s="11"/>
      <c r="E725" s="116" t="s">
        <v>201</v>
      </c>
      <c r="F725" s="116" t="s">
        <v>2328</v>
      </c>
      <c r="G725" s="116" t="s">
        <v>2325</v>
      </c>
      <c r="H725" s="116" t="s">
        <v>203</v>
      </c>
      <c r="I725" s="116" t="s">
        <v>10</v>
      </c>
      <c r="J725" s="116" t="s">
        <v>2327</v>
      </c>
      <c r="K725" s="63">
        <v>968</v>
      </c>
      <c r="L725" s="63">
        <v>55730</v>
      </c>
      <c r="M725" s="63">
        <v>0</v>
      </c>
      <c r="N725" s="63"/>
      <c r="O725" s="63">
        <v>22824</v>
      </c>
      <c r="P725" s="63"/>
      <c r="Q725" s="63"/>
      <c r="R725" s="302">
        <f t="shared" si="11"/>
        <v>32906</v>
      </c>
    </row>
    <row r="726" spans="1:18" ht="19.5" customHeight="1">
      <c r="A726" s="299" t="s">
        <v>7502</v>
      </c>
      <c r="B726" s="67" t="s">
        <v>816</v>
      </c>
      <c r="C726" s="4"/>
      <c r="D726" s="4"/>
      <c r="E726" s="116" t="s">
        <v>819</v>
      </c>
      <c r="F726" s="117" t="s">
        <v>820</v>
      </c>
      <c r="G726" s="117" t="s">
        <v>806</v>
      </c>
      <c r="H726" s="117" t="s">
        <v>299</v>
      </c>
      <c r="I726" s="117" t="s">
        <v>11</v>
      </c>
      <c r="J726" s="117" t="s">
        <v>804</v>
      </c>
      <c r="K726" s="63">
        <v>357</v>
      </c>
      <c r="L726" s="63">
        <v>9990</v>
      </c>
      <c r="M726" s="63">
        <v>0</v>
      </c>
      <c r="N726" s="63"/>
      <c r="O726" s="63">
        <v>9860</v>
      </c>
      <c r="P726" s="63">
        <v>40</v>
      </c>
      <c r="Q726" s="63"/>
      <c r="R726" s="302">
        <f t="shared" si="11"/>
        <v>130</v>
      </c>
    </row>
    <row r="727" spans="1:18" ht="19.5" customHeight="1">
      <c r="A727" s="304" t="s">
        <v>7506</v>
      </c>
      <c r="B727" s="309" t="s">
        <v>8637</v>
      </c>
      <c r="C727" s="309"/>
      <c r="D727" s="309"/>
      <c r="E727" s="309" t="s">
        <v>8639</v>
      </c>
      <c r="F727" s="309" t="s">
        <v>8640</v>
      </c>
      <c r="G727" s="309" t="s">
        <v>8559</v>
      </c>
      <c r="H727" s="309" t="s">
        <v>8638</v>
      </c>
      <c r="I727" s="309" t="s">
        <v>11</v>
      </c>
      <c r="J727" s="309" t="s">
        <v>9019</v>
      </c>
      <c r="K727" s="63">
        <v>900</v>
      </c>
      <c r="L727" s="310">
        <v>0</v>
      </c>
      <c r="M727" s="302">
        <v>10200</v>
      </c>
      <c r="N727" s="303"/>
      <c r="O727" s="302">
        <v>2950</v>
      </c>
      <c r="P727" s="302"/>
      <c r="Q727" s="303"/>
      <c r="R727" s="302">
        <f t="shared" si="11"/>
        <v>7250</v>
      </c>
    </row>
    <row r="728" spans="1:18" ht="19.5" customHeight="1">
      <c r="A728" s="304" t="s">
        <v>7508</v>
      </c>
      <c r="B728" s="309" t="s">
        <v>8737</v>
      </c>
      <c r="C728" s="309"/>
      <c r="D728" s="309"/>
      <c r="E728" s="309" t="s">
        <v>2320</v>
      </c>
      <c r="F728" s="309" t="s">
        <v>8738</v>
      </c>
      <c r="G728" s="309" t="s">
        <v>8505</v>
      </c>
      <c r="H728" s="309" t="s">
        <v>4772</v>
      </c>
      <c r="I728" s="309" t="s">
        <v>11</v>
      </c>
      <c r="J728" s="309" t="s">
        <v>9019</v>
      </c>
      <c r="K728" s="63">
        <v>714</v>
      </c>
      <c r="L728" s="310">
        <v>0</v>
      </c>
      <c r="M728" s="302">
        <v>5000</v>
      </c>
      <c r="N728" s="303"/>
      <c r="O728" s="302">
        <v>688</v>
      </c>
      <c r="P728" s="302"/>
      <c r="Q728" s="303"/>
      <c r="R728" s="302">
        <f t="shared" si="11"/>
        <v>4312</v>
      </c>
    </row>
    <row r="729" spans="1:18" ht="19.5" customHeight="1">
      <c r="A729" s="299" t="s">
        <v>7514</v>
      </c>
      <c r="B729" s="11" t="s">
        <v>2362</v>
      </c>
      <c r="C729" s="11"/>
      <c r="D729" s="11"/>
      <c r="E729" s="116" t="s">
        <v>204</v>
      </c>
      <c r="F729" s="520" t="s">
        <v>2363</v>
      </c>
      <c r="G729" s="520" t="s">
        <v>1567</v>
      </c>
      <c r="H729" s="116" t="s">
        <v>205</v>
      </c>
      <c r="I729" s="116" t="s">
        <v>10</v>
      </c>
      <c r="J729" s="116" t="s">
        <v>884</v>
      </c>
      <c r="K729" s="63">
        <v>1260</v>
      </c>
      <c r="L729" s="63">
        <v>4534</v>
      </c>
      <c r="M729" s="63">
        <v>0</v>
      </c>
      <c r="N729" s="63"/>
      <c r="O729" s="63">
        <v>4534</v>
      </c>
      <c r="P729" s="63"/>
      <c r="Q729" s="63"/>
      <c r="R729" s="302">
        <f t="shared" si="11"/>
        <v>0</v>
      </c>
    </row>
    <row r="730" spans="1:18" ht="19.5" customHeight="1">
      <c r="A730" s="2">
        <v>145</v>
      </c>
      <c r="B730" s="309" t="s">
        <v>8507</v>
      </c>
      <c r="C730" s="309"/>
      <c r="D730" s="309"/>
      <c r="E730" s="309" t="s">
        <v>4775</v>
      </c>
      <c r="F730" s="309" t="s">
        <v>8510</v>
      </c>
      <c r="G730" s="309" t="s">
        <v>8505</v>
      </c>
      <c r="H730" s="309" t="s">
        <v>8508</v>
      </c>
      <c r="I730" s="309" t="s">
        <v>11</v>
      </c>
      <c r="J730" s="309" t="s">
        <v>9019</v>
      </c>
      <c r="K730" s="63">
        <v>850</v>
      </c>
      <c r="L730" s="310">
        <v>0</v>
      </c>
      <c r="M730" s="302">
        <v>5580</v>
      </c>
      <c r="N730" s="303"/>
      <c r="O730" s="302">
        <v>1292</v>
      </c>
      <c r="P730" s="302"/>
      <c r="Q730" s="303"/>
      <c r="R730" s="302">
        <f t="shared" si="11"/>
        <v>4288</v>
      </c>
    </row>
    <row r="731" spans="1:18" ht="19.5" customHeight="1">
      <c r="A731" s="299" t="s">
        <v>7517</v>
      </c>
      <c r="B731" s="67" t="s">
        <v>2314</v>
      </c>
      <c r="C731" s="11"/>
      <c r="D731" s="11"/>
      <c r="E731" s="502" t="s">
        <v>206</v>
      </c>
      <c r="F731" s="502" t="s">
        <v>3487</v>
      </c>
      <c r="G731" s="502" t="s">
        <v>2310</v>
      </c>
      <c r="H731" s="502" t="s">
        <v>3488</v>
      </c>
      <c r="I731" s="502" t="s">
        <v>10</v>
      </c>
      <c r="J731" s="502" t="s">
        <v>2306</v>
      </c>
      <c r="K731" s="63">
        <v>5500</v>
      </c>
      <c r="L731" s="63">
        <v>4942</v>
      </c>
      <c r="M731" s="63">
        <v>0</v>
      </c>
      <c r="N731" s="63"/>
      <c r="O731" s="63">
        <v>4942</v>
      </c>
      <c r="P731" s="63"/>
      <c r="Q731" s="63"/>
      <c r="R731" s="302">
        <f t="shared" si="11"/>
        <v>0</v>
      </c>
    </row>
    <row r="732" spans="1:18" ht="19.5" customHeight="1">
      <c r="A732" s="304" t="s">
        <v>7524</v>
      </c>
      <c r="B732" s="309" t="s">
        <v>8507</v>
      </c>
      <c r="C732" s="309"/>
      <c r="D732" s="309"/>
      <c r="E732" s="309" t="s">
        <v>208</v>
      </c>
      <c r="F732" s="309" t="s">
        <v>8510</v>
      </c>
      <c r="G732" s="309" t="s">
        <v>8505</v>
      </c>
      <c r="H732" s="309" t="s">
        <v>11411</v>
      </c>
      <c r="I732" s="309" t="s">
        <v>11</v>
      </c>
      <c r="J732" s="309" t="s">
        <v>9019</v>
      </c>
      <c r="K732" s="63">
        <v>710</v>
      </c>
      <c r="L732" s="310">
        <v>4094</v>
      </c>
      <c r="M732" s="302">
        <v>0</v>
      </c>
      <c r="N732" s="303"/>
      <c r="O732" s="302">
        <v>4094</v>
      </c>
      <c r="P732" s="302"/>
      <c r="Q732" s="303"/>
      <c r="R732" s="302">
        <f t="shared" si="11"/>
        <v>0</v>
      </c>
    </row>
    <row r="733" spans="1:18" ht="19.5" customHeight="1">
      <c r="A733" s="304" t="s">
        <v>7526</v>
      </c>
      <c r="B733" s="11" t="s">
        <v>2165</v>
      </c>
      <c r="C733" s="11"/>
      <c r="D733" s="11"/>
      <c r="E733" s="116" t="s">
        <v>209</v>
      </c>
      <c r="F733" s="116" t="s">
        <v>2167</v>
      </c>
      <c r="G733" s="116" t="s">
        <v>2168</v>
      </c>
      <c r="H733" s="116" t="s">
        <v>101</v>
      </c>
      <c r="I733" s="116" t="s">
        <v>10</v>
      </c>
      <c r="J733" s="116" t="s">
        <v>2166</v>
      </c>
      <c r="K733" s="63">
        <v>630</v>
      </c>
      <c r="L733" s="63">
        <v>10000</v>
      </c>
      <c r="M733" s="63">
        <v>0</v>
      </c>
      <c r="N733" s="63"/>
      <c r="O733" s="63">
        <v>10000</v>
      </c>
      <c r="P733" s="63"/>
      <c r="Q733" s="63"/>
      <c r="R733" s="302">
        <f t="shared" si="11"/>
        <v>0</v>
      </c>
    </row>
    <row r="734" spans="1:18" ht="19.5" customHeight="1">
      <c r="A734" s="299" t="s">
        <v>7529</v>
      </c>
      <c r="B734" s="305" t="s">
        <v>5050</v>
      </c>
      <c r="C734" s="305"/>
      <c r="D734" s="305"/>
      <c r="E734" s="305" t="s">
        <v>5049</v>
      </c>
      <c r="F734" s="305" t="s">
        <v>7194</v>
      </c>
      <c r="G734" s="305" t="s">
        <v>7015</v>
      </c>
      <c r="H734" s="305" t="s">
        <v>1862</v>
      </c>
      <c r="I734" s="305" t="s">
        <v>11</v>
      </c>
      <c r="J734" s="305" t="s">
        <v>9006</v>
      </c>
      <c r="K734" s="119">
        <v>480</v>
      </c>
      <c r="L734" s="119">
        <v>0</v>
      </c>
      <c r="M734" s="302">
        <v>1000</v>
      </c>
      <c r="N734" s="303"/>
      <c r="O734" s="302">
        <v>1000</v>
      </c>
      <c r="P734" s="302"/>
      <c r="Q734" s="303"/>
      <c r="R734" s="302">
        <f t="shared" si="11"/>
        <v>0</v>
      </c>
    </row>
    <row r="735" spans="1:18" ht="19.5" customHeight="1">
      <c r="A735" s="2">
        <v>146</v>
      </c>
      <c r="B735" s="307" t="s">
        <v>5445</v>
      </c>
      <c r="C735" s="307"/>
      <c r="D735" s="307"/>
      <c r="E735" s="116" t="s">
        <v>4949</v>
      </c>
      <c r="F735" s="116" t="s">
        <v>5447</v>
      </c>
      <c r="G735" s="116" t="s">
        <v>530</v>
      </c>
      <c r="H735" s="116" t="s">
        <v>4951</v>
      </c>
      <c r="I735" s="531" t="s">
        <v>520</v>
      </c>
      <c r="J735" s="116" t="s">
        <v>241</v>
      </c>
      <c r="K735" s="118">
        <v>8274</v>
      </c>
      <c r="L735" s="308">
        <v>0</v>
      </c>
      <c r="M735" s="302">
        <v>100</v>
      </c>
      <c r="N735" s="303"/>
      <c r="O735" s="302"/>
      <c r="P735" s="302"/>
      <c r="Q735" s="303"/>
      <c r="R735" s="302">
        <f t="shared" si="11"/>
        <v>100</v>
      </c>
    </row>
    <row r="736" spans="1:18" ht="19.5" customHeight="1">
      <c r="A736" s="299" t="s">
        <v>7532</v>
      </c>
      <c r="B736" s="305" t="s">
        <v>1321</v>
      </c>
      <c r="C736" s="305"/>
      <c r="D736" s="305"/>
      <c r="E736" s="305" t="s">
        <v>4436</v>
      </c>
      <c r="F736" s="305" t="s">
        <v>8103</v>
      </c>
      <c r="G736" s="305" t="s">
        <v>7015</v>
      </c>
      <c r="H736" s="305" t="s">
        <v>248</v>
      </c>
      <c r="I736" s="305" t="s">
        <v>11</v>
      </c>
      <c r="J736" s="116" t="s">
        <v>859</v>
      </c>
      <c r="K736" s="119">
        <v>45</v>
      </c>
      <c r="L736" s="119">
        <v>0</v>
      </c>
      <c r="M736" s="302">
        <v>15000</v>
      </c>
      <c r="N736" s="303"/>
      <c r="O736" s="302">
        <v>15000</v>
      </c>
      <c r="P736" s="302"/>
      <c r="Q736" s="303"/>
      <c r="R736" s="302">
        <f t="shared" si="11"/>
        <v>0</v>
      </c>
    </row>
    <row r="737" spans="1:18" ht="19.5" customHeight="1">
      <c r="A737" s="304" t="s">
        <v>7540</v>
      </c>
      <c r="B737" s="64" t="s">
        <v>531</v>
      </c>
      <c r="C737" s="64"/>
      <c r="D737" s="64"/>
      <c r="E737" s="116" t="s">
        <v>532</v>
      </c>
      <c r="F737" s="116" t="s">
        <v>3490</v>
      </c>
      <c r="G737" s="116" t="s">
        <v>530</v>
      </c>
      <c r="H737" s="116" t="s">
        <v>533</v>
      </c>
      <c r="I737" s="116" t="s">
        <v>520</v>
      </c>
      <c r="J737" s="116" t="s">
        <v>642</v>
      </c>
      <c r="K737" s="63">
        <v>1176</v>
      </c>
      <c r="L737" s="63">
        <v>0</v>
      </c>
      <c r="M737" s="63">
        <v>500</v>
      </c>
      <c r="N737" s="63"/>
      <c r="O737" s="63">
        <v>363</v>
      </c>
      <c r="P737" s="63">
        <v>15</v>
      </c>
      <c r="Q737" s="63"/>
      <c r="R737" s="302">
        <f t="shared" si="11"/>
        <v>137</v>
      </c>
    </row>
    <row r="738" spans="1:18" ht="19.5" customHeight="1">
      <c r="A738" s="304" t="s">
        <v>7546</v>
      </c>
      <c r="B738" s="307" t="s">
        <v>531</v>
      </c>
      <c r="C738" s="307"/>
      <c r="D738" s="307"/>
      <c r="E738" s="116" t="s">
        <v>532</v>
      </c>
      <c r="F738" s="116" t="s">
        <v>8961</v>
      </c>
      <c r="G738" s="116" t="s">
        <v>530</v>
      </c>
      <c r="H738" s="116" t="s">
        <v>534</v>
      </c>
      <c r="I738" s="531" t="s">
        <v>10</v>
      </c>
      <c r="J738" s="116" t="s">
        <v>642</v>
      </c>
      <c r="K738" s="118">
        <v>115</v>
      </c>
      <c r="L738" s="308">
        <v>2433</v>
      </c>
      <c r="M738" s="302">
        <f>13+5000+10250</f>
        <v>15263</v>
      </c>
      <c r="N738" s="303"/>
      <c r="O738" s="302">
        <f>2446+4948+352</f>
        <v>7746</v>
      </c>
      <c r="P738" s="302">
        <v>10</v>
      </c>
      <c r="Q738" s="303"/>
      <c r="R738" s="302">
        <f t="shared" si="11"/>
        <v>9950</v>
      </c>
    </row>
    <row r="739" spans="1:18" ht="19.5" customHeight="1">
      <c r="A739" s="299" t="s">
        <v>7553</v>
      </c>
      <c r="B739" s="4" t="s">
        <v>9487</v>
      </c>
      <c r="C739" s="123"/>
      <c r="D739" s="123"/>
      <c r="E739" s="509" t="s">
        <v>3680</v>
      </c>
      <c r="F739" s="509" t="s">
        <v>11333</v>
      </c>
      <c r="G739" s="509" t="s">
        <v>6694</v>
      </c>
      <c r="H739" s="509" t="s">
        <v>299</v>
      </c>
      <c r="I739" s="509" t="s">
        <v>11</v>
      </c>
      <c r="J739" s="509" t="s">
        <v>842</v>
      </c>
      <c r="K739" s="476">
        <v>1835</v>
      </c>
      <c r="L739" s="476">
        <v>30000</v>
      </c>
      <c r="M739" s="476">
        <v>0</v>
      </c>
      <c r="N739" s="476"/>
      <c r="O739" s="476">
        <v>15752</v>
      </c>
      <c r="P739" s="476">
        <v>0</v>
      </c>
      <c r="Q739" s="476"/>
      <c r="R739" s="302">
        <f t="shared" si="11"/>
        <v>14248</v>
      </c>
    </row>
    <row r="740" spans="1:18" ht="19.5" customHeight="1">
      <c r="A740" s="2">
        <v>147</v>
      </c>
      <c r="B740" s="307" t="s">
        <v>265</v>
      </c>
      <c r="C740" s="307"/>
      <c r="D740" s="307"/>
      <c r="E740" s="116" t="s">
        <v>4956</v>
      </c>
      <c r="F740" s="116" t="s">
        <v>5539</v>
      </c>
      <c r="G740" s="116" t="s">
        <v>5343</v>
      </c>
      <c r="H740" s="116" t="s">
        <v>387</v>
      </c>
      <c r="I740" s="531" t="s">
        <v>10</v>
      </c>
      <c r="J740" s="116" t="s">
        <v>859</v>
      </c>
      <c r="K740" s="118">
        <v>1900</v>
      </c>
      <c r="L740" s="308">
        <v>0</v>
      </c>
      <c r="M740" s="302">
        <f>10000+10000+10002+20009</f>
        <v>50011</v>
      </c>
      <c r="N740" s="303"/>
      <c r="O740" s="302">
        <f>10000+10002+18226</f>
        <v>38228</v>
      </c>
      <c r="P740" s="302">
        <v>20</v>
      </c>
      <c r="Q740" s="303"/>
      <c r="R740" s="302">
        <f t="shared" si="11"/>
        <v>11783</v>
      </c>
    </row>
    <row r="741" spans="1:18" ht="19.5" customHeight="1">
      <c r="A741" s="299" t="s">
        <v>7556</v>
      </c>
      <c r="B741" s="305" t="s">
        <v>1127</v>
      </c>
      <c r="C741" s="305"/>
      <c r="D741" s="305"/>
      <c r="E741" s="305" t="s">
        <v>5052</v>
      </c>
      <c r="F741" s="305" t="s">
        <v>7155</v>
      </c>
      <c r="G741" s="305" t="s">
        <v>7085</v>
      </c>
      <c r="H741" s="305" t="s">
        <v>5053</v>
      </c>
      <c r="I741" s="305" t="s">
        <v>11</v>
      </c>
      <c r="J741" s="305" t="s">
        <v>538</v>
      </c>
      <c r="K741" s="119">
        <v>714</v>
      </c>
      <c r="L741" s="119">
        <v>0</v>
      </c>
      <c r="M741" s="302">
        <v>9509</v>
      </c>
      <c r="N741" s="303"/>
      <c r="O741" s="302">
        <v>323</v>
      </c>
      <c r="P741" s="302">
        <v>20</v>
      </c>
      <c r="Q741" s="303"/>
      <c r="R741" s="302">
        <f t="shared" si="11"/>
        <v>9186</v>
      </c>
    </row>
    <row r="742" spans="1:18" ht="19.5" customHeight="1">
      <c r="A742" s="304" t="s">
        <v>7561</v>
      </c>
      <c r="B742" s="67" t="s">
        <v>1834</v>
      </c>
      <c r="C742" s="11"/>
      <c r="D742" s="11"/>
      <c r="E742" s="116" t="s">
        <v>1835</v>
      </c>
      <c r="F742" s="116" t="s">
        <v>1837</v>
      </c>
      <c r="G742" s="116" t="s">
        <v>492</v>
      </c>
      <c r="H742" s="116" t="s">
        <v>1836</v>
      </c>
      <c r="I742" s="116" t="s">
        <v>10</v>
      </c>
      <c r="J742" s="116" t="s">
        <v>1153</v>
      </c>
      <c r="K742" s="63">
        <v>179</v>
      </c>
      <c r="L742" s="63">
        <v>24</v>
      </c>
      <c r="M742" s="63">
        <v>0</v>
      </c>
      <c r="N742" s="63"/>
      <c r="O742" s="63">
        <v>24</v>
      </c>
      <c r="P742" s="63"/>
      <c r="Q742" s="63"/>
      <c r="R742" s="302">
        <f t="shared" si="11"/>
        <v>0</v>
      </c>
    </row>
    <row r="743" spans="1:18" ht="19.5" customHeight="1">
      <c r="A743" s="304" t="s">
        <v>7567</v>
      </c>
      <c r="B743" s="305" t="s">
        <v>7138</v>
      </c>
      <c r="C743" s="305"/>
      <c r="D743" s="305"/>
      <c r="E743" s="305" t="s">
        <v>5056</v>
      </c>
      <c r="F743" s="305" t="s">
        <v>7140</v>
      </c>
      <c r="G743" s="305" t="s">
        <v>1263</v>
      </c>
      <c r="H743" s="305" t="s">
        <v>2949</v>
      </c>
      <c r="I743" s="305" t="s">
        <v>11</v>
      </c>
      <c r="J743" s="305" t="s">
        <v>1675</v>
      </c>
      <c r="K743" s="119">
        <v>180</v>
      </c>
      <c r="L743" s="119"/>
      <c r="M743" s="302">
        <v>5850</v>
      </c>
      <c r="N743" s="303"/>
      <c r="O743" s="302">
        <v>3478</v>
      </c>
      <c r="P743" s="302">
        <v>90</v>
      </c>
      <c r="Q743" s="303"/>
      <c r="R743" s="302">
        <f t="shared" si="11"/>
        <v>2372</v>
      </c>
    </row>
    <row r="744" spans="1:18" ht="19.5" customHeight="1">
      <c r="A744" s="299" t="s">
        <v>7571</v>
      </c>
      <c r="B744" s="305" t="s">
        <v>5059</v>
      </c>
      <c r="C744" s="305"/>
      <c r="D744" s="305"/>
      <c r="E744" s="305" t="s">
        <v>5059</v>
      </c>
      <c r="F744" s="305" t="s">
        <v>7143</v>
      </c>
      <c r="G744" s="305" t="s">
        <v>7001</v>
      </c>
      <c r="H744" s="305" t="s">
        <v>272</v>
      </c>
      <c r="I744" s="305" t="s">
        <v>11</v>
      </c>
      <c r="J744" s="116" t="s">
        <v>859</v>
      </c>
      <c r="K744" s="119">
        <v>340</v>
      </c>
      <c r="L744" s="119"/>
      <c r="M744" s="302">
        <v>11000</v>
      </c>
      <c r="N744" s="303"/>
      <c r="O744" s="302">
        <v>3302</v>
      </c>
      <c r="P744" s="302"/>
      <c r="Q744" s="303"/>
      <c r="R744" s="302">
        <f t="shared" si="11"/>
        <v>7698</v>
      </c>
    </row>
    <row r="745" spans="1:18" ht="19.5" customHeight="1">
      <c r="A745" s="2">
        <v>148</v>
      </c>
      <c r="B745" s="305" t="s">
        <v>1443</v>
      </c>
      <c r="C745" s="305"/>
      <c r="D745" s="305"/>
      <c r="E745" s="305" t="s">
        <v>5063</v>
      </c>
      <c r="F745" s="305" t="s">
        <v>7163</v>
      </c>
      <c r="G745" s="305" t="s">
        <v>2385</v>
      </c>
      <c r="H745" s="305" t="s">
        <v>272</v>
      </c>
      <c r="I745" s="305" t="s">
        <v>11</v>
      </c>
      <c r="J745" s="116" t="s">
        <v>1066</v>
      </c>
      <c r="K745" s="119">
        <v>343</v>
      </c>
      <c r="L745" s="119">
        <v>0</v>
      </c>
      <c r="M745" s="302">
        <v>18500</v>
      </c>
      <c r="N745" s="303"/>
      <c r="O745" s="302">
        <f>7491+1950</f>
        <v>9441</v>
      </c>
      <c r="P745" s="302">
        <v>50</v>
      </c>
      <c r="Q745" s="303"/>
      <c r="R745" s="302">
        <f t="shared" si="11"/>
        <v>9059</v>
      </c>
    </row>
    <row r="746" spans="1:18" ht="19.5" customHeight="1">
      <c r="A746" s="299" t="s">
        <v>7576</v>
      </c>
      <c r="B746" s="67" t="s">
        <v>1443</v>
      </c>
      <c r="C746" s="11"/>
      <c r="D746" s="11"/>
      <c r="E746" s="116" t="s">
        <v>1444</v>
      </c>
      <c r="F746" s="116" t="s">
        <v>1445</v>
      </c>
      <c r="G746" s="116" t="s">
        <v>1429</v>
      </c>
      <c r="H746" s="116" t="s">
        <v>272</v>
      </c>
      <c r="I746" s="116" t="s">
        <v>10</v>
      </c>
      <c r="J746" s="116" t="s">
        <v>1427</v>
      </c>
      <c r="K746" s="63">
        <v>478</v>
      </c>
      <c r="L746" s="63">
        <f>196+9804</f>
        <v>10000</v>
      </c>
      <c r="M746" s="63">
        <v>0</v>
      </c>
      <c r="N746" s="63"/>
      <c r="O746" s="63">
        <f>196+9801</f>
        <v>9997</v>
      </c>
      <c r="P746" s="63"/>
      <c r="Q746" s="63"/>
      <c r="R746" s="302">
        <f t="shared" si="11"/>
        <v>3</v>
      </c>
    </row>
    <row r="747" spans="1:18" ht="19.5" customHeight="1">
      <c r="A747" s="304" t="s">
        <v>7581</v>
      </c>
      <c r="B747" s="305" t="s">
        <v>843</v>
      </c>
      <c r="C747" s="305"/>
      <c r="D747" s="305"/>
      <c r="E747" s="305" t="s">
        <v>843</v>
      </c>
      <c r="F747" s="305" t="s">
        <v>7185</v>
      </c>
      <c r="G747" s="305" t="s">
        <v>7001</v>
      </c>
      <c r="H747" s="305" t="s">
        <v>225</v>
      </c>
      <c r="I747" s="305" t="s">
        <v>11</v>
      </c>
      <c r="J747" s="305" t="s">
        <v>553</v>
      </c>
      <c r="K747" s="119">
        <v>154</v>
      </c>
      <c r="L747" s="119">
        <v>0</v>
      </c>
      <c r="M747" s="302">
        <f>21574+4600+10028</f>
        <v>36202</v>
      </c>
      <c r="N747" s="303"/>
      <c r="O747" s="302">
        <f>18817+20+10028</f>
        <v>28865</v>
      </c>
      <c r="P747" s="302">
        <v>220</v>
      </c>
      <c r="Q747" s="303"/>
      <c r="R747" s="302">
        <f t="shared" si="11"/>
        <v>7337</v>
      </c>
    </row>
    <row r="748" spans="1:18" ht="19.5" customHeight="1">
      <c r="A748" s="304" t="s">
        <v>7586</v>
      </c>
      <c r="B748" s="67" t="s">
        <v>843</v>
      </c>
      <c r="C748" s="11"/>
      <c r="D748" s="11"/>
      <c r="E748" s="116" t="s">
        <v>844</v>
      </c>
      <c r="F748" s="116" t="s">
        <v>846</v>
      </c>
      <c r="G748" s="116" t="s">
        <v>806</v>
      </c>
      <c r="H748" s="116" t="s">
        <v>272</v>
      </c>
      <c r="I748" s="116" t="s">
        <v>11</v>
      </c>
      <c r="J748" s="116" t="s">
        <v>845</v>
      </c>
      <c r="K748" s="63">
        <v>155</v>
      </c>
      <c r="L748" s="63">
        <f>31+409</f>
        <v>440</v>
      </c>
      <c r="M748" s="63">
        <v>0</v>
      </c>
      <c r="N748" s="63"/>
      <c r="O748" s="63">
        <f>31+409</f>
        <v>440</v>
      </c>
      <c r="P748" s="63"/>
      <c r="Q748" s="63"/>
      <c r="R748" s="302">
        <f t="shared" si="11"/>
        <v>0</v>
      </c>
    </row>
    <row r="749" spans="1:18" ht="19.5" customHeight="1">
      <c r="A749" s="299" t="s">
        <v>7590</v>
      </c>
      <c r="B749" s="305" t="s">
        <v>843</v>
      </c>
      <c r="C749" s="305"/>
      <c r="D749" s="305"/>
      <c r="E749" s="305" t="s">
        <v>844</v>
      </c>
      <c r="F749" s="305" t="s">
        <v>7183</v>
      </c>
      <c r="G749" s="305" t="s">
        <v>7001</v>
      </c>
      <c r="H749" s="305" t="s">
        <v>272</v>
      </c>
      <c r="I749" s="305" t="s">
        <v>11</v>
      </c>
      <c r="J749" s="305" t="s">
        <v>553</v>
      </c>
      <c r="K749" s="119">
        <v>113</v>
      </c>
      <c r="L749" s="119">
        <v>0</v>
      </c>
      <c r="M749" s="302">
        <f>10107+2400+13493</f>
        <v>26000</v>
      </c>
      <c r="N749" s="303"/>
      <c r="O749" s="302">
        <f>7989+13493</f>
        <v>21482</v>
      </c>
      <c r="P749" s="302"/>
      <c r="Q749" s="303"/>
      <c r="R749" s="302">
        <f t="shared" si="11"/>
        <v>4518</v>
      </c>
    </row>
    <row r="750" spans="1:18" ht="19.5" customHeight="1">
      <c r="A750" s="2">
        <v>149</v>
      </c>
      <c r="B750" s="11" t="s">
        <v>1402</v>
      </c>
      <c r="C750" s="11"/>
      <c r="D750" s="11"/>
      <c r="E750" s="116" t="s">
        <v>1402</v>
      </c>
      <c r="F750" s="116" t="s">
        <v>1403</v>
      </c>
      <c r="G750" s="116" t="s">
        <v>360</v>
      </c>
      <c r="H750" s="116" t="s">
        <v>225</v>
      </c>
      <c r="I750" s="116" t="s">
        <v>11</v>
      </c>
      <c r="J750" s="116" t="s">
        <v>647</v>
      </c>
      <c r="K750" s="63">
        <v>165</v>
      </c>
      <c r="L750" s="63">
        <f>268+274</f>
        <v>542</v>
      </c>
      <c r="M750" s="63">
        <v>6</v>
      </c>
      <c r="N750" s="63"/>
      <c r="O750" s="63">
        <f>19+274</f>
        <v>293</v>
      </c>
      <c r="P750" s="63"/>
      <c r="Q750" s="63"/>
      <c r="R750" s="302">
        <f t="shared" si="11"/>
        <v>255</v>
      </c>
    </row>
    <row r="751" spans="1:18" ht="19.5" customHeight="1">
      <c r="A751" s="299" t="s">
        <v>7597</v>
      </c>
      <c r="B751" s="305" t="s">
        <v>1402</v>
      </c>
      <c r="C751" s="305"/>
      <c r="D751" s="305"/>
      <c r="E751" s="305" t="s">
        <v>1402</v>
      </c>
      <c r="F751" s="305" t="s">
        <v>7197</v>
      </c>
      <c r="G751" s="305" t="s">
        <v>7001</v>
      </c>
      <c r="H751" s="305" t="s">
        <v>225</v>
      </c>
      <c r="I751" s="305" t="s">
        <v>11</v>
      </c>
      <c r="J751" s="116" t="s">
        <v>1066</v>
      </c>
      <c r="K751" s="119">
        <v>162</v>
      </c>
      <c r="L751" s="119">
        <v>0</v>
      </c>
      <c r="M751" s="302">
        <f>10000+7400+600</f>
        <v>18000</v>
      </c>
      <c r="N751" s="303"/>
      <c r="O751" s="302">
        <f>8428+2400</f>
        <v>10828</v>
      </c>
      <c r="P751" s="302"/>
      <c r="Q751" s="303"/>
      <c r="R751" s="302">
        <f t="shared" si="11"/>
        <v>7172</v>
      </c>
    </row>
    <row r="752" spans="1:18" ht="19.5" customHeight="1">
      <c r="A752" s="304" t="s">
        <v>7600</v>
      </c>
      <c r="B752" s="305" t="s">
        <v>337</v>
      </c>
      <c r="C752" s="305"/>
      <c r="D752" s="305"/>
      <c r="E752" s="305" t="s">
        <v>1947</v>
      </c>
      <c r="F752" s="305" t="s">
        <v>1949</v>
      </c>
      <c r="G752" s="305" t="s">
        <v>1946</v>
      </c>
      <c r="H752" s="305" t="s">
        <v>1200</v>
      </c>
      <c r="I752" s="305" t="s">
        <v>13</v>
      </c>
      <c r="J752" s="305" t="s">
        <v>9023</v>
      </c>
      <c r="K752" s="119">
        <v>2499</v>
      </c>
      <c r="L752" s="119">
        <v>4980</v>
      </c>
      <c r="M752" s="302">
        <f>1200+3000</f>
        <v>4200</v>
      </c>
      <c r="N752" s="303"/>
      <c r="O752" s="302">
        <f>1200+644+4957</f>
        <v>6801</v>
      </c>
      <c r="P752" s="302"/>
      <c r="Q752" s="303"/>
      <c r="R752" s="302">
        <f t="shared" si="11"/>
        <v>2379</v>
      </c>
    </row>
    <row r="753" spans="1:18" ht="19.5" customHeight="1">
      <c r="A753" s="304" t="s">
        <v>7603</v>
      </c>
      <c r="B753" s="11" t="s">
        <v>1330</v>
      </c>
      <c r="C753" s="11"/>
      <c r="D753" s="11"/>
      <c r="E753" s="116" t="s">
        <v>1742</v>
      </c>
      <c r="F753" s="116" t="s">
        <v>1744</v>
      </c>
      <c r="G753" s="116" t="s">
        <v>1745</v>
      </c>
      <c r="H753" s="116" t="s">
        <v>1580</v>
      </c>
      <c r="I753" s="116" t="s">
        <v>520</v>
      </c>
      <c r="J753" s="116" t="s">
        <v>1743</v>
      </c>
      <c r="K753" s="63">
        <v>7920</v>
      </c>
      <c r="L753" s="63">
        <v>744</v>
      </c>
      <c r="M753" s="63">
        <v>3</v>
      </c>
      <c r="N753" s="63"/>
      <c r="O753" s="63">
        <v>747</v>
      </c>
      <c r="P753" s="63">
        <v>600</v>
      </c>
      <c r="Q753" s="63"/>
      <c r="R753" s="302">
        <f t="shared" si="11"/>
        <v>0</v>
      </c>
    </row>
    <row r="754" spans="1:18" ht="19.5" customHeight="1">
      <c r="A754" s="299" t="s">
        <v>7606</v>
      </c>
      <c r="B754" s="67" t="s">
        <v>1829</v>
      </c>
      <c r="C754" s="11"/>
      <c r="D754" s="11"/>
      <c r="E754" s="116" t="s">
        <v>1830</v>
      </c>
      <c r="F754" s="116" t="s">
        <v>1833</v>
      </c>
      <c r="G754" s="116" t="s">
        <v>492</v>
      </c>
      <c r="H754" s="116" t="s">
        <v>1831</v>
      </c>
      <c r="I754" s="116" t="s">
        <v>10</v>
      </c>
      <c r="J754" s="116" t="s">
        <v>1832</v>
      </c>
      <c r="K754" s="63">
        <v>325</v>
      </c>
      <c r="L754" s="63">
        <v>301</v>
      </c>
      <c r="M754" s="63">
        <v>0</v>
      </c>
      <c r="N754" s="63"/>
      <c r="O754" s="63">
        <v>301</v>
      </c>
      <c r="P754" s="63"/>
      <c r="Q754" s="63"/>
      <c r="R754" s="302">
        <f t="shared" si="11"/>
        <v>0</v>
      </c>
    </row>
    <row r="755" spans="1:18" ht="19.5" customHeight="1">
      <c r="A755" s="2">
        <v>150</v>
      </c>
      <c r="B755" s="305" t="s">
        <v>543</v>
      </c>
      <c r="C755" s="305"/>
      <c r="D755" s="305"/>
      <c r="E755" s="305" t="s">
        <v>4438</v>
      </c>
      <c r="F755" s="305" t="s">
        <v>7434</v>
      </c>
      <c r="G755" s="305" t="s">
        <v>7211</v>
      </c>
      <c r="H755" s="305" t="s">
        <v>225</v>
      </c>
      <c r="I755" s="305" t="s">
        <v>11</v>
      </c>
      <c r="J755" s="116" t="s">
        <v>859</v>
      </c>
      <c r="K755" s="119">
        <v>4350</v>
      </c>
      <c r="L755" s="119">
        <v>0</v>
      </c>
      <c r="M755" s="302">
        <v>350</v>
      </c>
      <c r="N755" s="303"/>
      <c r="O755" s="302">
        <v>87</v>
      </c>
      <c r="P755" s="302"/>
      <c r="Q755" s="303"/>
      <c r="R755" s="302">
        <f t="shared" si="11"/>
        <v>263</v>
      </c>
    </row>
    <row r="756" spans="1:18" ht="19.5" customHeight="1">
      <c r="A756" s="299" t="s">
        <v>7612</v>
      </c>
      <c r="B756" s="463" t="s">
        <v>4333</v>
      </c>
      <c r="C756" s="463"/>
      <c r="D756" s="463"/>
      <c r="E756" s="463" t="s">
        <v>11412</v>
      </c>
      <c r="F756" s="463" t="s">
        <v>8135</v>
      </c>
      <c r="G756" s="463" t="s">
        <v>7211</v>
      </c>
      <c r="H756" s="463" t="s">
        <v>291</v>
      </c>
      <c r="I756" s="463" t="s">
        <v>11</v>
      </c>
      <c r="J756" s="463" t="s">
        <v>1066</v>
      </c>
      <c r="K756" s="119">
        <v>8500</v>
      </c>
      <c r="L756" s="119">
        <v>3585</v>
      </c>
      <c r="M756" s="302"/>
      <c r="N756" s="302"/>
      <c r="O756" s="302">
        <v>3585</v>
      </c>
      <c r="P756" s="303"/>
      <c r="Q756" s="303"/>
      <c r="R756" s="302">
        <f t="shared" si="11"/>
        <v>0</v>
      </c>
    </row>
    <row r="757" spans="1:18" ht="19.5" customHeight="1">
      <c r="A757" s="304" t="s">
        <v>7615</v>
      </c>
      <c r="B757" s="532" t="s">
        <v>1302</v>
      </c>
      <c r="C757" s="532"/>
      <c r="D757" s="532"/>
      <c r="E757" s="117" t="s">
        <v>4440</v>
      </c>
      <c r="F757" s="117" t="s">
        <v>5736</v>
      </c>
      <c r="G757" s="117" t="s">
        <v>5604</v>
      </c>
      <c r="H757" s="532" t="s">
        <v>235</v>
      </c>
      <c r="I757" s="532" t="s">
        <v>10</v>
      </c>
      <c r="J757" s="532" t="s">
        <v>11464</v>
      </c>
      <c r="K757" s="63">
        <v>2579</v>
      </c>
      <c r="L757" s="63">
        <v>88</v>
      </c>
      <c r="M757" s="302">
        <v>0</v>
      </c>
      <c r="N757" s="302"/>
      <c r="O757" s="302">
        <v>88</v>
      </c>
      <c r="P757" s="303"/>
      <c r="Q757" s="303"/>
      <c r="R757" s="302">
        <f t="shared" si="11"/>
        <v>0</v>
      </c>
    </row>
    <row r="758" spans="1:18" s="37" customFormat="1" ht="19.5" customHeight="1">
      <c r="A758" s="2"/>
      <c r="B758" s="67"/>
      <c r="C758" s="8"/>
      <c r="D758" s="8"/>
      <c r="E758" s="116"/>
      <c r="F758" s="116"/>
      <c r="G758" s="116"/>
      <c r="H758" s="116"/>
      <c r="I758" s="116"/>
      <c r="J758" s="116"/>
      <c r="K758" s="63"/>
      <c r="L758" s="63"/>
      <c r="M758" s="99"/>
      <c r="N758" s="99"/>
      <c r="O758" s="99"/>
      <c r="P758" s="99"/>
      <c r="Q758" s="99"/>
      <c r="R758" s="63"/>
    </row>
    <row r="759" spans="1:18" s="498" customFormat="1" ht="22.5" customHeight="1">
      <c r="A759" s="488"/>
      <c r="B759" s="489"/>
      <c r="C759" s="490"/>
      <c r="D759" s="491"/>
      <c r="E759" s="515"/>
      <c r="F759" s="515"/>
      <c r="G759" s="515"/>
      <c r="H759" s="515"/>
      <c r="I759" s="515"/>
      <c r="J759" s="515"/>
      <c r="K759" s="492"/>
      <c r="L759" s="493"/>
      <c r="M759" s="494"/>
      <c r="N759" s="495"/>
      <c r="O759" s="494"/>
      <c r="P759" s="494"/>
      <c r="Q759" s="496"/>
      <c r="R759" s="497"/>
    </row>
    <row r="760" spans="1:18">
      <c r="K760" s="499"/>
      <c r="L760" s="499"/>
      <c r="M760" s="500"/>
      <c r="N760" s="500"/>
      <c r="O760" s="500"/>
      <c r="P760" s="500"/>
      <c r="Q760" s="500"/>
      <c r="R760" s="52"/>
    </row>
    <row r="761" spans="1:18" s="41" customFormat="1" ht="18.75">
      <c r="A761" s="24"/>
      <c r="B761" s="61"/>
      <c r="C761" s="61"/>
      <c r="D761" s="121"/>
      <c r="E761" s="517" t="s">
        <v>9</v>
      </c>
      <c r="F761" s="522"/>
      <c r="G761" s="517"/>
      <c r="H761" s="517"/>
      <c r="I761" s="517"/>
      <c r="J761" s="517"/>
      <c r="K761" s="314"/>
      <c r="L761" s="53"/>
      <c r="M761" s="54"/>
      <c r="N761" s="54"/>
      <c r="O761" s="54"/>
      <c r="P761" s="54"/>
      <c r="Q761" s="50"/>
      <c r="R761" s="43"/>
    </row>
    <row r="762" spans="1:18">
      <c r="K762" s="314"/>
    </row>
    <row r="763" spans="1:18" ht="18.75">
      <c r="K763" s="122"/>
      <c r="L763" s="49"/>
      <c r="M763" s="44"/>
      <c r="N763" s="50"/>
      <c r="O763" s="44"/>
      <c r="P763" s="44"/>
    </row>
    <row r="766" spans="1:18" s="41" customFormat="1" ht="18.75">
      <c r="A766" s="24"/>
      <c r="B766" s="61"/>
      <c r="C766" s="61"/>
      <c r="D766" s="121"/>
      <c r="E766" s="517" t="s">
        <v>3520</v>
      </c>
      <c r="F766" s="517"/>
      <c r="G766" s="517"/>
      <c r="H766" s="517"/>
      <c r="I766" s="517"/>
      <c r="J766" s="517"/>
      <c r="K766" s="315"/>
      <c r="L766" s="53"/>
      <c r="M766" s="54"/>
      <c r="N766" s="54"/>
      <c r="O766" s="54"/>
      <c r="P766" s="54"/>
      <c r="Q766" s="50"/>
      <c r="R766" s="43"/>
    </row>
    <row r="768" spans="1:18">
      <c r="D768" s="60"/>
    </row>
    <row r="769" spans="1:18">
      <c r="D769" s="60"/>
    </row>
    <row r="770" spans="1:18">
      <c r="D770" s="60"/>
      <c r="K770" s="54"/>
    </row>
    <row r="771" spans="1:18">
      <c r="D771" s="60"/>
      <c r="K771" s="54"/>
    </row>
    <row r="772" spans="1:18">
      <c r="D772" s="60"/>
      <c r="K772" s="54"/>
    </row>
    <row r="773" spans="1:18">
      <c r="C773" s="60"/>
      <c r="D773" s="60"/>
      <c r="K773" s="54"/>
    </row>
    <row r="774" spans="1:18">
      <c r="C774" s="60"/>
      <c r="D774" s="60"/>
      <c r="K774" s="54"/>
    </row>
    <row r="775" spans="1:18" s="42" customFormat="1">
      <c r="A775" s="39"/>
      <c r="B775" s="60"/>
      <c r="C775" s="60"/>
      <c r="D775" s="60"/>
      <c r="E775" s="516"/>
      <c r="F775" s="516"/>
      <c r="G775" s="516"/>
      <c r="H775" s="516"/>
      <c r="I775" s="516"/>
      <c r="J775" s="516"/>
      <c r="K775" s="54"/>
      <c r="L775" s="53"/>
      <c r="M775" s="54"/>
      <c r="N775" s="54"/>
      <c r="O775" s="54"/>
      <c r="P775" s="54"/>
      <c r="Q775" s="54"/>
      <c r="R775" s="53"/>
    </row>
    <row r="776" spans="1:18" s="42" customFormat="1">
      <c r="A776" s="39"/>
      <c r="B776" s="60"/>
      <c r="C776" s="60"/>
      <c r="D776" s="60"/>
      <c r="E776" s="516"/>
      <c r="F776" s="516"/>
      <c r="G776" s="516"/>
      <c r="H776" s="516"/>
      <c r="I776" s="516"/>
      <c r="J776" s="516"/>
      <c r="K776" s="54"/>
      <c r="L776" s="53"/>
      <c r="M776" s="54"/>
      <c r="N776" s="54"/>
      <c r="O776" s="54"/>
      <c r="P776" s="54"/>
      <c r="Q776" s="54"/>
      <c r="R776" s="53"/>
    </row>
    <row r="777" spans="1:18" s="42" customFormat="1">
      <c r="A777" s="39"/>
      <c r="B777" s="60"/>
      <c r="C777" s="60"/>
      <c r="D777" s="60"/>
      <c r="E777" s="516"/>
      <c r="F777" s="516"/>
      <c r="G777" s="516"/>
      <c r="H777" s="516"/>
      <c r="I777" s="516"/>
      <c r="J777" s="516"/>
      <c r="K777" s="54"/>
      <c r="L777" s="53"/>
      <c r="M777" s="54"/>
      <c r="N777" s="54"/>
      <c r="O777" s="54"/>
      <c r="P777" s="54"/>
      <c r="Q777" s="54"/>
      <c r="R777" s="53"/>
    </row>
    <row r="778" spans="1:18" s="42" customFormat="1">
      <c r="A778" s="39"/>
      <c r="B778" s="60"/>
      <c r="C778" s="60"/>
      <c r="D778" s="60"/>
      <c r="E778" s="516"/>
      <c r="F778" s="516"/>
      <c r="G778" s="516"/>
      <c r="H778" s="516"/>
      <c r="I778" s="516"/>
      <c r="J778" s="516"/>
      <c r="K778" s="54"/>
      <c r="L778" s="53"/>
      <c r="M778" s="54"/>
      <c r="N778" s="54"/>
      <c r="O778" s="54"/>
      <c r="P778" s="54"/>
      <c r="Q778" s="54"/>
      <c r="R778" s="53"/>
    </row>
    <row r="779" spans="1:18" s="42" customFormat="1">
      <c r="A779" s="39"/>
      <c r="B779" s="60"/>
      <c r="C779" s="60"/>
      <c r="D779" s="60"/>
      <c r="E779" s="516"/>
      <c r="F779" s="516"/>
      <c r="G779" s="516"/>
      <c r="H779" s="516"/>
      <c r="I779" s="516"/>
      <c r="J779" s="516"/>
      <c r="K779" s="54"/>
      <c r="L779" s="53"/>
      <c r="M779" s="54"/>
      <c r="N779" s="54"/>
      <c r="O779" s="54"/>
      <c r="P779" s="54"/>
      <c r="Q779" s="54"/>
      <c r="R779" s="53"/>
    </row>
    <row r="780" spans="1:18" s="42" customFormat="1">
      <c r="A780" s="39"/>
      <c r="B780" s="60"/>
      <c r="C780" s="60"/>
      <c r="D780" s="60"/>
      <c r="E780" s="516"/>
      <c r="F780" s="516"/>
      <c r="G780" s="516"/>
      <c r="H780" s="516"/>
      <c r="I780" s="516"/>
      <c r="J780" s="516"/>
      <c r="K780" s="54"/>
      <c r="L780" s="53"/>
      <c r="M780" s="54"/>
      <c r="N780" s="54"/>
      <c r="O780" s="54"/>
      <c r="P780" s="54"/>
      <c r="Q780" s="54"/>
      <c r="R780" s="53"/>
    </row>
    <row r="781" spans="1:18" s="42" customFormat="1">
      <c r="A781" s="39"/>
      <c r="B781" s="60"/>
      <c r="C781" s="60"/>
      <c r="D781" s="60"/>
      <c r="E781" s="516"/>
      <c r="F781" s="516"/>
      <c r="G781" s="516"/>
      <c r="H781" s="516"/>
      <c r="I781" s="516"/>
      <c r="J781" s="516"/>
      <c r="K781" s="54"/>
      <c r="L781" s="53"/>
      <c r="M781" s="54"/>
      <c r="N781" s="54"/>
      <c r="O781" s="54"/>
      <c r="P781" s="54"/>
      <c r="Q781" s="54"/>
      <c r="R781" s="53"/>
    </row>
    <row r="782" spans="1:18" s="42" customFormat="1">
      <c r="A782" s="39"/>
      <c r="B782" s="60"/>
      <c r="C782" s="60"/>
      <c r="D782" s="60"/>
      <c r="E782" s="516"/>
      <c r="F782" s="516"/>
      <c r="G782" s="516"/>
      <c r="H782" s="516"/>
      <c r="I782" s="516"/>
      <c r="J782" s="516"/>
      <c r="K782" s="54"/>
      <c r="L782" s="53"/>
      <c r="M782" s="54"/>
      <c r="N782" s="54"/>
      <c r="O782" s="54"/>
      <c r="P782" s="54"/>
      <c r="Q782" s="54"/>
      <c r="R782" s="53"/>
    </row>
    <row r="783" spans="1:18" s="42" customFormat="1">
      <c r="A783" s="39"/>
      <c r="B783" s="60"/>
      <c r="C783" s="60"/>
      <c r="D783" s="60"/>
      <c r="E783" s="516"/>
      <c r="F783" s="516"/>
      <c r="G783" s="516"/>
      <c r="H783" s="516"/>
      <c r="I783" s="516"/>
      <c r="J783" s="516"/>
      <c r="K783" s="54"/>
      <c r="L783" s="53"/>
      <c r="M783" s="54"/>
      <c r="N783" s="54"/>
      <c r="O783" s="54"/>
      <c r="P783" s="54"/>
      <c r="Q783" s="54"/>
      <c r="R783" s="53"/>
    </row>
    <row r="784" spans="1:18" s="42" customFormat="1">
      <c r="A784" s="39"/>
      <c r="B784" s="60"/>
      <c r="C784" s="60"/>
      <c r="D784" s="60"/>
      <c r="E784" s="516"/>
      <c r="F784" s="516"/>
      <c r="G784" s="516"/>
      <c r="H784" s="516"/>
      <c r="I784" s="516"/>
      <c r="J784" s="516"/>
      <c r="K784" s="54"/>
      <c r="L784" s="53"/>
      <c r="M784" s="54"/>
      <c r="N784" s="54"/>
      <c r="O784" s="54"/>
      <c r="P784" s="54"/>
      <c r="Q784" s="54"/>
      <c r="R784" s="53"/>
    </row>
    <row r="785" spans="1:18" s="42" customFormat="1">
      <c r="A785" s="39"/>
      <c r="B785" s="60"/>
      <c r="C785" s="60"/>
      <c r="D785" s="60"/>
      <c r="E785" s="516"/>
      <c r="F785" s="516"/>
      <c r="G785" s="516"/>
      <c r="H785" s="516"/>
      <c r="I785" s="516"/>
      <c r="J785" s="516"/>
      <c r="K785" s="54"/>
      <c r="L785" s="53"/>
      <c r="M785" s="54"/>
      <c r="N785" s="54"/>
      <c r="O785" s="54"/>
      <c r="P785" s="54"/>
      <c r="Q785" s="54"/>
      <c r="R785" s="53"/>
    </row>
    <row r="786" spans="1:18" s="42" customFormat="1">
      <c r="A786" s="39"/>
      <c r="B786" s="60"/>
      <c r="C786" s="60"/>
      <c r="D786" s="60"/>
      <c r="E786" s="516"/>
      <c r="F786" s="516"/>
      <c r="G786" s="516"/>
      <c r="H786" s="516"/>
      <c r="I786" s="516"/>
      <c r="J786" s="516"/>
      <c r="K786" s="54"/>
      <c r="L786" s="53"/>
      <c r="M786" s="54"/>
      <c r="N786" s="54"/>
      <c r="O786" s="54"/>
      <c r="P786" s="54"/>
      <c r="Q786" s="54"/>
      <c r="R786" s="53"/>
    </row>
    <row r="787" spans="1:18" s="42" customFormat="1">
      <c r="A787" s="39"/>
      <c r="B787" s="60"/>
      <c r="C787" s="60"/>
      <c r="D787" s="60"/>
      <c r="E787" s="516"/>
      <c r="F787" s="516"/>
      <c r="G787" s="516"/>
      <c r="H787" s="516"/>
      <c r="I787" s="516"/>
      <c r="J787" s="516"/>
      <c r="K787" s="54"/>
      <c r="L787" s="53"/>
      <c r="M787" s="54"/>
      <c r="N787" s="54"/>
      <c r="O787" s="54"/>
      <c r="P787" s="54"/>
      <c r="Q787" s="54"/>
      <c r="R787" s="53"/>
    </row>
    <row r="788" spans="1:18" s="42" customFormat="1">
      <c r="A788" s="39"/>
      <c r="B788" s="60"/>
      <c r="C788" s="60"/>
      <c r="D788" s="60"/>
      <c r="E788" s="516"/>
      <c r="F788" s="516"/>
      <c r="G788" s="516"/>
      <c r="H788" s="516"/>
      <c r="I788" s="516"/>
      <c r="J788" s="516"/>
      <c r="K788" s="54"/>
      <c r="L788" s="53"/>
      <c r="M788" s="54"/>
      <c r="N788" s="54"/>
      <c r="O788" s="54"/>
      <c r="P788" s="54"/>
      <c r="Q788" s="54"/>
      <c r="R788" s="53"/>
    </row>
    <row r="789" spans="1:18" s="42" customFormat="1">
      <c r="A789" s="39"/>
      <c r="B789" s="60"/>
      <c r="C789" s="60"/>
      <c r="D789" s="60"/>
      <c r="E789" s="516"/>
      <c r="F789" s="516"/>
      <c r="G789" s="516"/>
      <c r="H789" s="516"/>
      <c r="I789" s="516"/>
      <c r="J789" s="516"/>
      <c r="K789" s="54"/>
      <c r="L789" s="53"/>
      <c r="M789" s="54"/>
      <c r="N789" s="54"/>
      <c r="O789" s="54"/>
      <c r="P789" s="54"/>
      <c r="Q789" s="54"/>
      <c r="R789" s="53"/>
    </row>
    <row r="790" spans="1:18" s="42" customFormat="1">
      <c r="A790" s="39"/>
      <c r="B790" s="60"/>
      <c r="C790" s="60"/>
      <c r="D790" s="60"/>
      <c r="E790" s="516"/>
      <c r="F790" s="516"/>
      <c r="G790" s="516"/>
      <c r="H790" s="516"/>
      <c r="I790" s="516"/>
      <c r="J790" s="516"/>
      <c r="K790" s="54"/>
      <c r="L790" s="53"/>
      <c r="M790" s="54"/>
      <c r="N790" s="54"/>
      <c r="O790" s="54"/>
      <c r="P790" s="54"/>
      <c r="Q790" s="54"/>
      <c r="R790" s="53"/>
    </row>
    <row r="791" spans="1:18" s="42" customFormat="1">
      <c r="A791" s="39"/>
      <c r="B791" s="60"/>
      <c r="C791" s="60"/>
      <c r="D791" s="121"/>
      <c r="E791" s="516"/>
      <c r="F791" s="516"/>
      <c r="G791" s="516"/>
      <c r="H791" s="516"/>
      <c r="I791" s="516"/>
      <c r="J791" s="516"/>
      <c r="K791" s="54"/>
      <c r="L791" s="53"/>
      <c r="M791" s="54"/>
      <c r="N791" s="54"/>
      <c r="O791" s="54"/>
      <c r="P791" s="54"/>
      <c r="Q791" s="54"/>
      <c r="R791" s="53"/>
    </row>
    <row r="792" spans="1:18" s="42" customFormat="1">
      <c r="A792" s="39"/>
      <c r="B792" s="60"/>
      <c r="C792" s="60"/>
      <c r="D792" s="121"/>
      <c r="E792" s="516"/>
      <c r="F792" s="516"/>
      <c r="G792" s="516"/>
      <c r="H792" s="516"/>
      <c r="I792" s="516"/>
      <c r="J792" s="516"/>
      <c r="K792" s="54"/>
      <c r="L792" s="53"/>
      <c r="M792" s="54"/>
      <c r="N792" s="54"/>
      <c r="O792" s="54"/>
      <c r="P792" s="54"/>
      <c r="Q792" s="54"/>
      <c r="R792" s="53"/>
    </row>
    <row r="793" spans="1:18" s="42" customFormat="1">
      <c r="A793" s="39"/>
      <c r="B793" s="60"/>
      <c r="C793" s="60"/>
      <c r="D793" s="121"/>
      <c r="E793" s="516"/>
      <c r="F793" s="516"/>
      <c r="G793" s="516"/>
      <c r="H793" s="516"/>
      <c r="I793" s="516"/>
      <c r="J793" s="516"/>
      <c r="K793" s="315"/>
      <c r="L793" s="53"/>
      <c r="M793" s="54"/>
      <c r="N793" s="54"/>
      <c r="O793" s="54"/>
      <c r="P793" s="54"/>
      <c r="Q793" s="54"/>
      <c r="R793" s="53"/>
    </row>
    <row r="794" spans="1:18" s="42" customFormat="1">
      <c r="A794" s="39"/>
      <c r="B794" s="60"/>
      <c r="C794" s="60"/>
      <c r="D794" s="121"/>
      <c r="E794" s="516"/>
      <c r="F794" s="516"/>
      <c r="G794" s="516"/>
      <c r="H794" s="516"/>
      <c r="I794" s="516"/>
      <c r="J794" s="516"/>
      <c r="K794" s="315"/>
      <c r="L794" s="53"/>
      <c r="M794" s="54"/>
      <c r="N794" s="54"/>
      <c r="O794" s="54"/>
      <c r="P794" s="54"/>
      <c r="Q794" s="54"/>
      <c r="R794" s="53"/>
    </row>
    <row r="795" spans="1:18" s="42" customFormat="1">
      <c r="A795" s="39"/>
      <c r="B795" s="60"/>
      <c r="C795" s="60"/>
      <c r="D795" s="121"/>
      <c r="E795" s="516"/>
      <c r="F795" s="516"/>
      <c r="G795" s="516"/>
      <c r="H795" s="516"/>
      <c r="I795" s="516"/>
      <c r="J795" s="516"/>
      <c r="K795" s="315"/>
      <c r="L795" s="53"/>
      <c r="M795" s="54"/>
      <c r="N795" s="54"/>
      <c r="O795" s="54"/>
      <c r="P795" s="54"/>
      <c r="Q795" s="54"/>
      <c r="R795" s="5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BB1057"/>
  <sheetViews>
    <sheetView topLeftCell="A881" zoomScale="64" zoomScaleNormal="64" workbookViewId="0">
      <selection activeCell="C942" sqref="C942"/>
    </sheetView>
  </sheetViews>
  <sheetFormatPr defaultRowHeight="15.75"/>
  <cols>
    <col min="1" max="1" width="6.125" style="287" customWidth="1"/>
    <col min="2" max="4" width="27.75" style="276" customWidth="1"/>
    <col min="5" max="5" width="21.25" style="276" customWidth="1"/>
    <col min="6" max="6" width="21.125" style="134" customWidth="1"/>
    <col min="7" max="7" width="30.375" style="134" customWidth="1"/>
    <col min="8" max="8" width="22.625" style="277" customWidth="1"/>
    <col min="9" max="9" width="8.875" style="277" customWidth="1"/>
    <col min="10" max="10" width="31.25" style="134" customWidth="1"/>
    <col min="11" max="12" width="12.5" style="131" customWidth="1"/>
    <col min="13" max="18" width="11.125" style="289" customWidth="1"/>
    <col min="19" max="19" width="32" style="276" customWidth="1"/>
    <col min="20" max="20" width="17.75" style="276" customWidth="1"/>
    <col min="21" max="21" width="13.75" style="277" customWidth="1"/>
    <col min="22" max="22" width="12.25" style="134" bestFit="1" customWidth="1"/>
    <col min="23" max="23" width="9.125" style="134" customWidth="1"/>
    <col min="24" max="24" width="10.375" style="277" customWidth="1"/>
    <col min="25" max="25" width="12.5" style="131" customWidth="1"/>
    <col min="26" max="26" width="13.125" style="131" customWidth="1"/>
    <col min="27" max="27" width="16" style="131" customWidth="1"/>
    <col min="28" max="28" width="14.25" style="132" customWidth="1"/>
    <col min="29" max="29" width="14.25" style="288" customWidth="1"/>
    <col min="30" max="30" width="15.5" style="289" customWidth="1"/>
    <col min="31" max="31" width="11.5" style="281" hidden="1" customWidth="1"/>
    <col min="32" max="32" width="14.75" style="281" hidden="1" customWidth="1"/>
    <col min="33" max="33" width="10.625" style="282" hidden="1" customWidth="1"/>
    <col min="34" max="34" width="13.625" style="282" hidden="1" customWidth="1"/>
    <col min="35" max="35" width="10.125" style="283" hidden="1" customWidth="1"/>
    <col min="36" max="36" width="17.75" style="283" hidden="1" customWidth="1"/>
    <col min="37" max="37" width="10.125" style="284" hidden="1" customWidth="1"/>
    <col min="38" max="38" width="14.625" style="284" hidden="1" customWidth="1"/>
    <col min="39" max="39" width="10.125" style="282" hidden="1" customWidth="1"/>
    <col min="40" max="40" width="14" style="282" hidden="1" customWidth="1"/>
    <col min="41" max="41" width="10.125" style="281" hidden="1" customWidth="1"/>
    <col min="42" max="42" width="17.75" style="281" hidden="1" customWidth="1"/>
    <col min="43" max="43" width="11.5" style="283" hidden="1" customWidth="1"/>
    <col min="44" max="44" width="14.75" style="283" hidden="1" customWidth="1"/>
    <col min="45" max="45" width="10.625" style="285" hidden="1" customWidth="1"/>
    <col min="46" max="46" width="13.625" style="285" hidden="1" customWidth="1"/>
    <col min="47" max="47" width="10.125" style="284" hidden="1" customWidth="1"/>
    <col min="48" max="48" width="17.75" style="284" hidden="1" customWidth="1"/>
    <col min="49" max="49" width="10.125" style="283" hidden="1" customWidth="1"/>
    <col min="50" max="50" width="14.625" style="283" hidden="1" customWidth="1"/>
    <col min="51" max="51" width="10.125" style="286" hidden="1" customWidth="1"/>
    <col min="52" max="52" width="13.25" style="286" hidden="1" customWidth="1"/>
    <col min="53" max="53" width="10.125" style="281" hidden="1" customWidth="1"/>
    <col min="54" max="54" width="17.75" style="281" hidden="1" customWidth="1"/>
    <col min="55" max="55" width="8" style="134" customWidth="1"/>
    <col min="56" max="16384" width="9" style="134"/>
  </cols>
  <sheetData>
    <row r="1" spans="1:54" ht="18.75">
      <c r="A1" s="126"/>
      <c r="B1" s="129"/>
      <c r="C1" s="129"/>
      <c r="D1" s="129"/>
      <c r="E1" s="129"/>
      <c r="F1" s="130"/>
      <c r="G1" s="130"/>
      <c r="H1" s="128"/>
      <c r="I1" s="128"/>
      <c r="J1" s="130"/>
      <c r="K1" s="130"/>
      <c r="L1" s="130"/>
      <c r="M1" s="133"/>
      <c r="N1" s="133"/>
      <c r="O1" s="133"/>
      <c r="P1" s="133"/>
      <c r="Q1" s="133"/>
      <c r="R1" s="133"/>
      <c r="S1" s="127" t="s">
        <v>5074</v>
      </c>
      <c r="T1" s="127"/>
      <c r="U1" s="128"/>
      <c r="V1" s="130"/>
      <c r="W1" s="130"/>
      <c r="X1" s="128"/>
      <c r="Y1" s="130"/>
      <c r="AC1" s="133"/>
      <c r="AD1" s="133"/>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row>
    <row r="2" spans="1:54" ht="21.75" customHeight="1">
      <c r="A2" s="135"/>
      <c r="B2" s="136"/>
      <c r="C2" s="136"/>
      <c r="D2" s="136"/>
      <c r="E2" s="136"/>
      <c r="F2" s="138"/>
      <c r="G2" s="138"/>
      <c r="H2" s="137"/>
      <c r="I2" s="137"/>
      <c r="J2" s="138"/>
      <c r="K2" s="139"/>
      <c r="L2" s="139"/>
      <c r="M2" s="140"/>
      <c r="N2" s="295"/>
      <c r="O2" s="295"/>
      <c r="P2" s="295"/>
      <c r="Q2" s="295"/>
      <c r="R2" s="295"/>
      <c r="S2" s="136"/>
      <c r="T2" s="136"/>
      <c r="U2" s="137"/>
      <c r="V2" s="138"/>
      <c r="W2" s="138"/>
      <c r="X2" s="137"/>
      <c r="Y2" s="139"/>
      <c r="AC2" s="133"/>
      <c r="AD2" s="140"/>
      <c r="AE2" s="140" t="s">
        <v>5075</v>
      </c>
      <c r="AF2" s="140"/>
      <c r="AG2" s="140" t="s">
        <v>5075</v>
      </c>
      <c r="AH2" s="140"/>
      <c r="AI2" s="140" t="s">
        <v>5075</v>
      </c>
      <c r="AJ2" s="140"/>
      <c r="AK2" s="140" t="s">
        <v>5075</v>
      </c>
      <c r="AL2" s="140"/>
      <c r="AM2" s="140" t="s">
        <v>5075</v>
      </c>
      <c r="AN2" s="140"/>
      <c r="AO2" s="140" t="s">
        <v>5075</v>
      </c>
      <c r="AP2" s="140"/>
      <c r="AQ2" s="140" t="s">
        <v>5075</v>
      </c>
      <c r="AR2" s="140"/>
      <c r="AS2" s="140" t="s">
        <v>5075</v>
      </c>
      <c r="AT2" s="140"/>
      <c r="AU2" s="140" t="s">
        <v>5075</v>
      </c>
      <c r="AV2" s="140"/>
      <c r="AW2" s="140" t="s">
        <v>5075</v>
      </c>
      <c r="AX2" s="140"/>
      <c r="AY2" s="140" t="s">
        <v>5075</v>
      </c>
      <c r="AZ2" s="140"/>
      <c r="BA2" s="140" t="s">
        <v>5075</v>
      </c>
      <c r="BB2" s="140"/>
    </row>
    <row r="3" spans="1:54" ht="61.5" customHeight="1">
      <c r="A3" s="290" t="s">
        <v>2628</v>
      </c>
      <c r="B3" s="291" t="s">
        <v>8947</v>
      </c>
      <c r="C3" s="290" t="s">
        <v>8949</v>
      </c>
      <c r="D3" s="290" t="s">
        <v>8950</v>
      </c>
      <c r="E3" s="291" t="s">
        <v>8948</v>
      </c>
      <c r="F3" s="290" t="s">
        <v>8951</v>
      </c>
      <c r="G3" s="290" t="s">
        <v>8952</v>
      </c>
      <c r="H3" s="290" t="s">
        <v>8953</v>
      </c>
      <c r="I3" s="290" t="s">
        <v>8954</v>
      </c>
      <c r="J3" s="290" t="s">
        <v>8955</v>
      </c>
      <c r="K3" s="292" t="s">
        <v>8956</v>
      </c>
      <c r="L3" s="293" t="s">
        <v>8957</v>
      </c>
      <c r="M3" s="294" t="s">
        <v>8958</v>
      </c>
      <c r="N3" s="294" t="s">
        <v>2640</v>
      </c>
      <c r="O3" s="294" t="s">
        <v>2641</v>
      </c>
      <c r="P3" s="294" t="s">
        <v>2642</v>
      </c>
      <c r="Q3" s="293" t="s">
        <v>2643</v>
      </c>
      <c r="R3" s="293"/>
      <c r="S3" s="141" t="s">
        <v>5088</v>
      </c>
      <c r="T3" s="141" t="s">
        <v>5089</v>
      </c>
      <c r="U3" s="142" t="s">
        <v>5090</v>
      </c>
      <c r="V3" s="142" t="s">
        <v>5091</v>
      </c>
      <c r="W3" s="142" t="s">
        <v>5092</v>
      </c>
      <c r="X3" s="142" t="s">
        <v>5093</v>
      </c>
      <c r="Y3" s="143" t="s">
        <v>5094</v>
      </c>
      <c r="Z3" s="144" t="s">
        <v>5095</v>
      </c>
      <c r="AA3" s="144" t="s">
        <v>5096</v>
      </c>
      <c r="AB3" s="145" t="s">
        <v>8959</v>
      </c>
      <c r="AC3" s="146" t="s">
        <v>5097</v>
      </c>
      <c r="AD3" s="147" t="s">
        <v>8</v>
      </c>
      <c r="AE3" s="708" t="s">
        <v>5076</v>
      </c>
      <c r="AF3" s="709"/>
      <c r="AG3" s="708" t="s">
        <v>5077</v>
      </c>
      <c r="AH3" s="709"/>
      <c r="AI3" s="708" t="s">
        <v>5078</v>
      </c>
      <c r="AJ3" s="709"/>
      <c r="AK3" s="708" t="s">
        <v>5079</v>
      </c>
      <c r="AL3" s="709"/>
      <c r="AM3" s="708" t="s">
        <v>5080</v>
      </c>
      <c r="AN3" s="709"/>
      <c r="AO3" s="708" t="s">
        <v>5081</v>
      </c>
      <c r="AP3" s="709"/>
      <c r="AQ3" s="708" t="s">
        <v>5082</v>
      </c>
      <c r="AR3" s="709"/>
      <c r="AS3" s="708" t="s">
        <v>5083</v>
      </c>
      <c r="AT3" s="709"/>
      <c r="AU3" s="708" t="s">
        <v>5084</v>
      </c>
      <c r="AV3" s="709"/>
      <c r="AW3" s="708" t="s">
        <v>5085</v>
      </c>
      <c r="AX3" s="709"/>
      <c r="AY3" s="708" t="s">
        <v>5086</v>
      </c>
      <c r="AZ3" s="709"/>
      <c r="BA3" s="708" t="s">
        <v>5087</v>
      </c>
      <c r="BB3" s="709"/>
    </row>
    <row r="4" spans="1:54" s="171" customFormat="1" ht="31.5">
      <c r="A4" s="148" t="s">
        <v>5098</v>
      </c>
      <c r="B4" s="150" t="s">
        <v>289</v>
      </c>
      <c r="C4" s="150"/>
      <c r="D4" s="150"/>
      <c r="E4" s="150" t="s">
        <v>290</v>
      </c>
      <c r="F4" s="151" t="s">
        <v>292</v>
      </c>
      <c r="G4" s="151" t="s">
        <v>293</v>
      </c>
      <c r="H4" s="151" t="s">
        <v>291</v>
      </c>
      <c r="I4" s="151" t="s">
        <v>10</v>
      </c>
      <c r="J4" s="153" t="s">
        <v>5103</v>
      </c>
      <c r="K4" s="155">
        <v>2760</v>
      </c>
      <c r="L4" s="155"/>
      <c r="M4" s="159">
        <f t="shared" ref="M4:M67" si="0">AE4+AG4+AI4+AK4+AM4+AO4+AQ4+AS4+AU4+AW4+AY4+BA4</f>
        <v>0</v>
      </c>
      <c r="N4" s="159"/>
      <c r="O4" s="159"/>
      <c r="P4" s="159"/>
      <c r="Q4" s="159"/>
      <c r="R4" s="159"/>
      <c r="S4" s="149" t="s">
        <v>5099</v>
      </c>
      <c r="T4" s="150" t="s">
        <v>5100</v>
      </c>
      <c r="U4" s="151" t="s">
        <v>5101</v>
      </c>
      <c r="V4" s="152" t="s">
        <v>5102</v>
      </c>
      <c r="W4" s="151" t="s">
        <v>5104</v>
      </c>
      <c r="X4" s="151" t="s">
        <v>5105</v>
      </c>
      <c r="Y4" s="154">
        <v>2761</v>
      </c>
      <c r="Z4" s="154">
        <v>230000</v>
      </c>
      <c r="AA4" s="156">
        <f t="shared" ref="AA4:AA67" si="1">Z4*K4</f>
        <v>634800000</v>
      </c>
      <c r="AB4" s="157">
        <v>220000</v>
      </c>
      <c r="AC4" s="158">
        <f t="shared" ref="AC4:AC67" si="2">AB4-M4</f>
        <v>220000</v>
      </c>
      <c r="AD4" s="159">
        <f t="shared" ref="AD4:AD67" si="3">M4*K4</f>
        <v>0</v>
      </c>
      <c r="AE4" s="160"/>
      <c r="AF4" s="160">
        <f t="shared" ref="AF4:AF67" si="4">AE4*K4</f>
        <v>0</v>
      </c>
      <c r="AG4" s="161"/>
      <c r="AH4" s="161">
        <f t="shared" ref="AH4:AH67" si="5">AG4*K4</f>
        <v>0</v>
      </c>
      <c r="AI4" s="162"/>
      <c r="AJ4" s="162">
        <f t="shared" ref="AJ4:AJ67" si="6">AI4*K4</f>
        <v>0</v>
      </c>
      <c r="AK4" s="163"/>
      <c r="AL4" s="164">
        <f t="shared" ref="AL4:AL67" si="7">AK4*K4</f>
        <v>0</v>
      </c>
      <c r="AM4" s="161"/>
      <c r="AN4" s="165">
        <f t="shared" ref="AN4:AN67" si="8">AM4*K4</f>
        <v>0</v>
      </c>
      <c r="AO4" s="160">
        <v>0</v>
      </c>
      <c r="AP4" s="166">
        <f t="shared" ref="AP4:AP67" si="9">AO4*K4</f>
        <v>0</v>
      </c>
      <c r="AQ4" s="162"/>
      <c r="AR4" s="162">
        <f t="shared" ref="AR4:AR67" si="10">AQ4*K4</f>
        <v>0</v>
      </c>
      <c r="AS4" s="167"/>
      <c r="AT4" s="167">
        <f t="shared" ref="AT4:AT67" si="11">AS4*K4</f>
        <v>0</v>
      </c>
      <c r="AU4" s="163"/>
      <c r="AV4" s="163">
        <f t="shared" ref="AV4:AV67" si="12">AU4*K4</f>
        <v>0</v>
      </c>
      <c r="AW4" s="162"/>
      <c r="AX4" s="168">
        <f t="shared" ref="AX4:AX67" si="13">AW4*K4</f>
        <v>0</v>
      </c>
      <c r="AY4" s="169"/>
      <c r="AZ4" s="170">
        <f t="shared" ref="AZ4:AZ67" si="14">AY4*K4</f>
        <v>0</v>
      </c>
      <c r="BA4" s="160"/>
      <c r="BB4" s="166">
        <f t="shared" ref="BB4:BB67" si="15">BA4*K4</f>
        <v>0</v>
      </c>
    </row>
    <row r="5" spans="1:54" s="171" customFormat="1" ht="31.5">
      <c r="A5" s="148" t="s">
        <v>5</v>
      </c>
      <c r="B5" s="150" t="s">
        <v>274</v>
      </c>
      <c r="C5" s="150"/>
      <c r="D5" s="150"/>
      <c r="E5" s="150" t="s">
        <v>300</v>
      </c>
      <c r="F5" s="151" t="s">
        <v>301</v>
      </c>
      <c r="G5" s="151" t="s">
        <v>293</v>
      </c>
      <c r="H5" s="151" t="s">
        <v>225</v>
      </c>
      <c r="I5" s="151" t="s">
        <v>10</v>
      </c>
      <c r="J5" s="153" t="s">
        <v>5107</v>
      </c>
      <c r="K5" s="155">
        <v>13913</v>
      </c>
      <c r="L5" s="155"/>
      <c r="M5" s="159">
        <f t="shared" si="0"/>
        <v>0</v>
      </c>
      <c r="N5" s="159"/>
      <c r="O5" s="159"/>
      <c r="P5" s="159"/>
      <c r="Q5" s="159"/>
      <c r="R5" s="159"/>
      <c r="S5" s="149" t="s">
        <v>5099</v>
      </c>
      <c r="T5" s="150" t="s">
        <v>5100</v>
      </c>
      <c r="U5" s="151" t="s">
        <v>5106</v>
      </c>
      <c r="V5" s="152" t="s">
        <v>5102</v>
      </c>
      <c r="W5" s="151" t="s">
        <v>5108</v>
      </c>
      <c r="X5" s="151" t="s">
        <v>5105</v>
      </c>
      <c r="Y5" s="154">
        <v>13913</v>
      </c>
      <c r="Z5" s="154">
        <v>37000</v>
      </c>
      <c r="AA5" s="156">
        <f t="shared" si="1"/>
        <v>514781000</v>
      </c>
      <c r="AB5" s="157">
        <v>36000</v>
      </c>
      <c r="AC5" s="158">
        <f t="shared" si="2"/>
        <v>36000</v>
      </c>
      <c r="AD5" s="159">
        <f t="shared" si="3"/>
        <v>0</v>
      </c>
      <c r="AE5" s="160"/>
      <c r="AF5" s="160">
        <f t="shared" si="4"/>
        <v>0</v>
      </c>
      <c r="AG5" s="161"/>
      <c r="AH5" s="161">
        <f t="shared" si="5"/>
        <v>0</v>
      </c>
      <c r="AI5" s="162"/>
      <c r="AJ5" s="162">
        <f t="shared" si="6"/>
        <v>0</v>
      </c>
      <c r="AK5" s="164"/>
      <c r="AL5" s="164">
        <f t="shared" si="7"/>
        <v>0</v>
      </c>
      <c r="AM5" s="165"/>
      <c r="AN5" s="165">
        <f t="shared" si="8"/>
        <v>0</v>
      </c>
      <c r="AO5" s="166">
        <v>0</v>
      </c>
      <c r="AP5" s="166">
        <f t="shared" si="9"/>
        <v>0</v>
      </c>
      <c r="AQ5" s="162"/>
      <c r="AR5" s="162">
        <f t="shared" si="10"/>
        <v>0</v>
      </c>
      <c r="AS5" s="167"/>
      <c r="AT5" s="167">
        <f t="shared" si="11"/>
        <v>0</v>
      </c>
      <c r="AU5" s="163"/>
      <c r="AV5" s="163">
        <f t="shared" si="12"/>
        <v>0</v>
      </c>
      <c r="AW5" s="168"/>
      <c r="AX5" s="168">
        <f t="shared" si="13"/>
        <v>0</v>
      </c>
      <c r="AY5" s="170"/>
      <c r="AZ5" s="170">
        <f t="shared" si="14"/>
        <v>0</v>
      </c>
      <c r="BA5" s="166"/>
      <c r="BB5" s="166">
        <f t="shared" si="15"/>
        <v>0</v>
      </c>
    </row>
    <row r="6" spans="1:54" s="171" customFormat="1" ht="31.5">
      <c r="A6" s="172" t="s">
        <v>6</v>
      </c>
      <c r="B6" s="150" t="s">
        <v>274</v>
      </c>
      <c r="C6" s="150"/>
      <c r="D6" s="150"/>
      <c r="E6" s="150" t="s">
        <v>302</v>
      </c>
      <c r="F6" s="151" t="s">
        <v>303</v>
      </c>
      <c r="G6" s="151" t="s">
        <v>293</v>
      </c>
      <c r="H6" s="151" t="s">
        <v>5109</v>
      </c>
      <c r="I6" s="151" t="s">
        <v>14</v>
      </c>
      <c r="J6" s="153" t="s">
        <v>5110</v>
      </c>
      <c r="K6" s="155">
        <v>246960</v>
      </c>
      <c r="L6" s="155"/>
      <c r="M6" s="159">
        <f t="shared" si="0"/>
        <v>0</v>
      </c>
      <c r="N6" s="159"/>
      <c r="O6" s="159"/>
      <c r="P6" s="159"/>
      <c r="Q6" s="159"/>
      <c r="R6" s="159"/>
      <c r="S6" s="149" t="s">
        <v>5099</v>
      </c>
      <c r="T6" s="150" t="s">
        <v>5100</v>
      </c>
      <c r="U6" s="151" t="s">
        <v>4827</v>
      </c>
      <c r="V6" s="152" t="s">
        <v>5102</v>
      </c>
      <c r="W6" s="151" t="s">
        <v>5111</v>
      </c>
      <c r="X6" s="151" t="s">
        <v>5105</v>
      </c>
      <c r="Y6" s="154">
        <v>246960</v>
      </c>
      <c r="Z6" s="154">
        <v>1900</v>
      </c>
      <c r="AA6" s="156">
        <f t="shared" si="1"/>
        <v>469224000</v>
      </c>
      <c r="AB6" s="157">
        <v>1700</v>
      </c>
      <c r="AC6" s="158">
        <f t="shared" si="2"/>
        <v>1700</v>
      </c>
      <c r="AD6" s="159">
        <f t="shared" si="3"/>
        <v>0</v>
      </c>
      <c r="AE6" s="160"/>
      <c r="AF6" s="160">
        <f t="shared" si="4"/>
        <v>0</v>
      </c>
      <c r="AG6" s="161"/>
      <c r="AH6" s="161">
        <f t="shared" si="5"/>
        <v>0</v>
      </c>
      <c r="AI6" s="162"/>
      <c r="AJ6" s="162">
        <f t="shared" si="6"/>
        <v>0</v>
      </c>
      <c r="AK6" s="164"/>
      <c r="AL6" s="164">
        <f t="shared" si="7"/>
        <v>0</v>
      </c>
      <c r="AM6" s="165"/>
      <c r="AN6" s="165">
        <f t="shared" si="8"/>
        <v>0</v>
      </c>
      <c r="AO6" s="166">
        <v>0</v>
      </c>
      <c r="AP6" s="166">
        <f t="shared" si="9"/>
        <v>0</v>
      </c>
      <c r="AQ6" s="162"/>
      <c r="AR6" s="162">
        <f t="shared" si="10"/>
        <v>0</v>
      </c>
      <c r="AS6" s="167"/>
      <c r="AT6" s="167">
        <f t="shared" si="11"/>
        <v>0</v>
      </c>
      <c r="AU6" s="163"/>
      <c r="AV6" s="163">
        <f t="shared" si="12"/>
        <v>0</v>
      </c>
      <c r="AW6" s="168"/>
      <c r="AX6" s="168">
        <f t="shared" si="13"/>
        <v>0</v>
      </c>
      <c r="AY6" s="170"/>
      <c r="AZ6" s="170">
        <f t="shared" si="14"/>
        <v>0</v>
      </c>
      <c r="BA6" s="166"/>
      <c r="BB6" s="166">
        <f t="shared" si="15"/>
        <v>0</v>
      </c>
    </row>
    <row r="7" spans="1:54" s="171" customFormat="1" ht="31.5">
      <c r="A7" s="148" t="s">
        <v>7</v>
      </c>
      <c r="B7" s="150" t="s">
        <v>309</v>
      </c>
      <c r="C7" s="150"/>
      <c r="D7" s="150"/>
      <c r="E7" s="150" t="s">
        <v>5113</v>
      </c>
      <c r="F7" s="151" t="s">
        <v>5115</v>
      </c>
      <c r="G7" s="151" t="s">
        <v>312</v>
      </c>
      <c r="H7" s="151" t="s">
        <v>310</v>
      </c>
      <c r="I7" s="151" t="s">
        <v>10</v>
      </c>
      <c r="J7" s="153" t="s">
        <v>5114</v>
      </c>
      <c r="K7" s="155">
        <v>2865</v>
      </c>
      <c r="L7" s="155"/>
      <c r="M7" s="159">
        <f t="shared" si="0"/>
        <v>0</v>
      </c>
      <c r="N7" s="159"/>
      <c r="O7" s="159"/>
      <c r="P7" s="159"/>
      <c r="Q7" s="159"/>
      <c r="R7" s="159"/>
      <c r="S7" s="149" t="s">
        <v>5099</v>
      </c>
      <c r="T7" s="150" t="s">
        <v>5100</v>
      </c>
      <c r="U7" s="151" t="s">
        <v>5112</v>
      </c>
      <c r="V7" s="152" t="s">
        <v>5102</v>
      </c>
      <c r="W7" s="151" t="s">
        <v>5104</v>
      </c>
      <c r="X7" s="151" t="s">
        <v>5116</v>
      </c>
      <c r="Y7" s="154">
        <v>2865</v>
      </c>
      <c r="Z7" s="154">
        <v>120000</v>
      </c>
      <c r="AA7" s="156">
        <f t="shared" si="1"/>
        <v>343800000</v>
      </c>
      <c r="AB7" s="157">
        <v>120000</v>
      </c>
      <c r="AC7" s="158">
        <f t="shared" si="2"/>
        <v>120000</v>
      </c>
      <c r="AD7" s="159">
        <f t="shared" si="3"/>
        <v>0</v>
      </c>
      <c r="AE7" s="160"/>
      <c r="AF7" s="160">
        <f t="shared" si="4"/>
        <v>0</v>
      </c>
      <c r="AG7" s="165"/>
      <c r="AH7" s="161">
        <f t="shared" si="5"/>
        <v>0</v>
      </c>
      <c r="AI7" s="162"/>
      <c r="AJ7" s="162">
        <f t="shared" si="6"/>
        <v>0</v>
      </c>
      <c r="AK7" s="164"/>
      <c r="AL7" s="164">
        <f t="shared" si="7"/>
        <v>0</v>
      </c>
      <c r="AM7" s="165"/>
      <c r="AN7" s="165">
        <f t="shared" si="8"/>
        <v>0</v>
      </c>
      <c r="AO7" s="166">
        <v>0</v>
      </c>
      <c r="AP7" s="166">
        <f t="shared" si="9"/>
        <v>0</v>
      </c>
      <c r="AQ7" s="162"/>
      <c r="AR7" s="162">
        <f t="shared" si="10"/>
        <v>0</v>
      </c>
      <c r="AS7" s="173"/>
      <c r="AT7" s="167">
        <f t="shared" si="11"/>
        <v>0</v>
      </c>
      <c r="AU7" s="163"/>
      <c r="AV7" s="163">
        <f t="shared" si="12"/>
        <v>0</v>
      </c>
      <c r="AW7" s="168"/>
      <c r="AX7" s="168">
        <f t="shared" si="13"/>
        <v>0</v>
      </c>
      <c r="AY7" s="170"/>
      <c r="AZ7" s="170">
        <f t="shared" si="14"/>
        <v>0</v>
      </c>
      <c r="BA7" s="166"/>
      <c r="BB7" s="166">
        <f t="shared" si="15"/>
        <v>0</v>
      </c>
    </row>
    <row r="8" spans="1:54" s="171" customFormat="1" ht="31.5">
      <c r="A8" s="148" t="s">
        <v>5117</v>
      </c>
      <c r="B8" s="150" t="s">
        <v>515</v>
      </c>
      <c r="C8" s="150"/>
      <c r="D8" s="150"/>
      <c r="E8" s="150" t="s">
        <v>516</v>
      </c>
      <c r="F8" s="151" t="s">
        <v>518</v>
      </c>
      <c r="G8" s="151" t="s">
        <v>519</v>
      </c>
      <c r="H8" s="151" t="s">
        <v>517</v>
      </c>
      <c r="I8" s="151" t="s">
        <v>520</v>
      </c>
      <c r="J8" s="153" t="s">
        <v>5120</v>
      </c>
      <c r="K8" s="155">
        <v>8376</v>
      </c>
      <c r="L8" s="155"/>
      <c r="M8" s="159">
        <f t="shared" si="0"/>
        <v>300</v>
      </c>
      <c r="N8" s="159"/>
      <c r="O8" s="159"/>
      <c r="P8" s="159"/>
      <c r="Q8" s="159"/>
      <c r="R8" s="159"/>
      <c r="S8" s="150" t="s">
        <v>5118</v>
      </c>
      <c r="T8" s="150" t="s">
        <v>5119</v>
      </c>
      <c r="U8" s="151" t="s">
        <v>4816</v>
      </c>
      <c r="V8" s="152" t="s">
        <v>5102</v>
      </c>
      <c r="W8" s="151">
        <v>60</v>
      </c>
      <c r="X8" s="151" t="s">
        <v>5121</v>
      </c>
      <c r="Y8" s="154">
        <v>8377</v>
      </c>
      <c r="Z8" s="154">
        <v>7500</v>
      </c>
      <c r="AA8" s="156">
        <f t="shared" si="1"/>
        <v>62820000</v>
      </c>
      <c r="AB8" s="157">
        <v>6200</v>
      </c>
      <c r="AC8" s="158">
        <f t="shared" si="2"/>
        <v>5900</v>
      </c>
      <c r="AD8" s="159">
        <f t="shared" si="3"/>
        <v>2512800</v>
      </c>
      <c r="AE8" s="160"/>
      <c r="AF8" s="160">
        <f t="shared" si="4"/>
        <v>0</v>
      </c>
      <c r="AG8" s="165"/>
      <c r="AH8" s="161">
        <f t="shared" si="5"/>
        <v>0</v>
      </c>
      <c r="AI8" s="162"/>
      <c r="AJ8" s="162">
        <f t="shared" si="6"/>
        <v>0</v>
      </c>
      <c r="AK8" s="164"/>
      <c r="AL8" s="164">
        <f t="shared" si="7"/>
        <v>0</v>
      </c>
      <c r="AM8" s="165"/>
      <c r="AN8" s="165">
        <f t="shared" si="8"/>
        <v>0</v>
      </c>
      <c r="AO8" s="166">
        <v>300</v>
      </c>
      <c r="AP8" s="166">
        <f t="shared" si="9"/>
        <v>2512800</v>
      </c>
      <c r="AQ8" s="162"/>
      <c r="AR8" s="162">
        <f t="shared" si="10"/>
        <v>0</v>
      </c>
      <c r="AS8" s="173"/>
      <c r="AT8" s="167">
        <f t="shared" si="11"/>
        <v>0</v>
      </c>
      <c r="AU8" s="163"/>
      <c r="AV8" s="163">
        <f t="shared" si="12"/>
        <v>0</v>
      </c>
      <c r="AW8" s="168"/>
      <c r="AX8" s="168">
        <f t="shared" si="13"/>
        <v>0</v>
      </c>
      <c r="AY8" s="170"/>
      <c r="AZ8" s="170">
        <f t="shared" si="14"/>
        <v>0</v>
      </c>
      <c r="BA8" s="166"/>
      <c r="BB8" s="166">
        <f t="shared" si="15"/>
        <v>0</v>
      </c>
    </row>
    <row r="9" spans="1:54" s="171" customFormat="1" ht="47.25">
      <c r="A9" s="172" t="s">
        <v>5122</v>
      </c>
      <c r="B9" s="150" t="s">
        <v>294</v>
      </c>
      <c r="C9" s="150"/>
      <c r="D9" s="150"/>
      <c r="E9" s="150" t="s">
        <v>5123</v>
      </c>
      <c r="F9" s="151" t="s">
        <v>297</v>
      </c>
      <c r="G9" s="151" t="s">
        <v>298</v>
      </c>
      <c r="H9" s="151" t="s">
        <v>296</v>
      </c>
      <c r="I9" s="151" t="s">
        <v>10</v>
      </c>
      <c r="J9" s="153" t="s">
        <v>5124</v>
      </c>
      <c r="K9" s="155">
        <v>6750</v>
      </c>
      <c r="L9" s="155"/>
      <c r="M9" s="159">
        <f t="shared" si="0"/>
        <v>300</v>
      </c>
      <c r="N9" s="159"/>
      <c r="O9" s="159"/>
      <c r="P9" s="159"/>
      <c r="Q9" s="159"/>
      <c r="R9" s="159"/>
      <c r="S9" s="149" t="s">
        <v>5099</v>
      </c>
      <c r="T9" s="150" t="s">
        <v>5100</v>
      </c>
      <c r="U9" s="151" t="s">
        <v>4839</v>
      </c>
      <c r="V9" s="152" t="s">
        <v>5102</v>
      </c>
      <c r="W9" s="151" t="s">
        <v>253</v>
      </c>
      <c r="X9" s="151" t="s">
        <v>5116</v>
      </c>
      <c r="Y9" s="154">
        <v>6753</v>
      </c>
      <c r="Z9" s="154">
        <v>19000</v>
      </c>
      <c r="AA9" s="156">
        <f t="shared" si="1"/>
        <v>128250000</v>
      </c>
      <c r="AB9" s="157">
        <v>18850</v>
      </c>
      <c r="AC9" s="158">
        <f t="shared" si="2"/>
        <v>18550</v>
      </c>
      <c r="AD9" s="159">
        <f t="shared" si="3"/>
        <v>2025000</v>
      </c>
      <c r="AE9" s="160"/>
      <c r="AF9" s="160">
        <f t="shared" si="4"/>
        <v>0</v>
      </c>
      <c r="AG9" s="161">
        <v>300</v>
      </c>
      <c r="AH9" s="161">
        <f t="shared" si="5"/>
        <v>2025000</v>
      </c>
      <c r="AI9" s="162"/>
      <c r="AJ9" s="162">
        <f t="shared" si="6"/>
        <v>0</v>
      </c>
      <c r="AK9" s="164"/>
      <c r="AL9" s="164">
        <f t="shared" si="7"/>
        <v>0</v>
      </c>
      <c r="AM9" s="165"/>
      <c r="AN9" s="165">
        <f t="shared" si="8"/>
        <v>0</v>
      </c>
      <c r="AO9" s="166">
        <v>0</v>
      </c>
      <c r="AP9" s="166">
        <f t="shared" si="9"/>
        <v>0</v>
      </c>
      <c r="AQ9" s="162"/>
      <c r="AR9" s="162">
        <f t="shared" si="10"/>
        <v>0</v>
      </c>
      <c r="AS9" s="167"/>
      <c r="AT9" s="167">
        <f t="shared" si="11"/>
        <v>0</v>
      </c>
      <c r="AU9" s="163"/>
      <c r="AV9" s="163">
        <f t="shared" si="12"/>
        <v>0</v>
      </c>
      <c r="AW9" s="168"/>
      <c r="AX9" s="168">
        <f t="shared" si="13"/>
        <v>0</v>
      </c>
      <c r="AY9" s="170"/>
      <c r="AZ9" s="170">
        <f t="shared" si="14"/>
        <v>0</v>
      </c>
      <c r="BA9" s="166"/>
      <c r="BB9" s="166">
        <f t="shared" si="15"/>
        <v>0</v>
      </c>
    </row>
    <row r="10" spans="1:54" s="171" customFormat="1" ht="31.5">
      <c r="A10" s="148" t="s">
        <v>5125</v>
      </c>
      <c r="B10" s="150" t="s">
        <v>313</v>
      </c>
      <c r="C10" s="150"/>
      <c r="D10" s="150"/>
      <c r="E10" s="150" t="s">
        <v>314</v>
      </c>
      <c r="F10" s="151" t="s">
        <v>317</v>
      </c>
      <c r="G10" s="151" t="s">
        <v>293</v>
      </c>
      <c r="H10" s="151" t="s">
        <v>315</v>
      </c>
      <c r="I10" s="151" t="s">
        <v>10</v>
      </c>
      <c r="J10" s="153" t="s">
        <v>5127</v>
      </c>
      <c r="K10" s="155">
        <v>5950</v>
      </c>
      <c r="L10" s="155"/>
      <c r="M10" s="159">
        <f t="shared" si="0"/>
        <v>0</v>
      </c>
      <c r="N10" s="159"/>
      <c r="O10" s="159"/>
      <c r="P10" s="159"/>
      <c r="Q10" s="159"/>
      <c r="R10" s="159"/>
      <c r="S10" s="149" t="s">
        <v>5099</v>
      </c>
      <c r="T10" s="150" t="s">
        <v>5100</v>
      </c>
      <c r="U10" s="151" t="s">
        <v>5126</v>
      </c>
      <c r="V10" s="152" t="s">
        <v>5102</v>
      </c>
      <c r="W10" s="151" t="s">
        <v>5104</v>
      </c>
      <c r="X10" s="151" t="s">
        <v>5105</v>
      </c>
      <c r="Y10" s="154">
        <v>6017</v>
      </c>
      <c r="Z10" s="154">
        <v>43000</v>
      </c>
      <c r="AA10" s="156">
        <f t="shared" si="1"/>
        <v>255850000</v>
      </c>
      <c r="AB10" s="157">
        <v>40000</v>
      </c>
      <c r="AC10" s="158">
        <f t="shared" si="2"/>
        <v>40000</v>
      </c>
      <c r="AD10" s="159">
        <f t="shared" si="3"/>
        <v>0</v>
      </c>
      <c r="AE10" s="160"/>
      <c r="AF10" s="160">
        <f t="shared" si="4"/>
        <v>0</v>
      </c>
      <c r="AG10" s="165"/>
      <c r="AH10" s="161">
        <f t="shared" si="5"/>
        <v>0</v>
      </c>
      <c r="AI10" s="162"/>
      <c r="AJ10" s="162">
        <f t="shared" si="6"/>
        <v>0</v>
      </c>
      <c r="AK10" s="164"/>
      <c r="AL10" s="164">
        <f t="shared" si="7"/>
        <v>0</v>
      </c>
      <c r="AM10" s="165"/>
      <c r="AN10" s="165">
        <f t="shared" si="8"/>
        <v>0</v>
      </c>
      <c r="AO10" s="166">
        <v>0</v>
      </c>
      <c r="AP10" s="166">
        <f t="shared" si="9"/>
        <v>0</v>
      </c>
      <c r="AQ10" s="162"/>
      <c r="AR10" s="162">
        <f t="shared" si="10"/>
        <v>0</v>
      </c>
      <c r="AS10" s="173"/>
      <c r="AT10" s="167">
        <f t="shared" si="11"/>
        <v>0</v>
      </c>
      <c r="AU10" s="163"/>
      <c r="AV10" s="163">
        <f t="shared" si="12"/>
        <v>0</v>
      </c>
      <c r="AW10" s="168"/>
      <c r="AX10" s="168">
        <f t="shared" si="13"/>
        <v>0</v>
      </c>
      <c r="AY10" s="170"/>
      <c r="AZ10" s="170">
        <f t="shared" si="14"/>
        <v>0</v>
      </c>
      <c r="BA10" s="166"/>
      <c r="BB10" s="166">
        <f t="shared" si="15"/>
        <v>0</v>
      </c>
    </row>
    <row r="11" spans="1:54" s="171" customFormat="1" ht="31.5">
      <c r="A11" s="148" t="s">
        <v>5128</v>
      </c>
      <c r="B11" s="150" t="s">
        <v>313</v>
      </c>
      <c r="C11" s="150"/>
      <c r="D11" s="150"/>
      <c r="E11" s="150" t="s">
        <v>318</v>
      </c>
      <c r="F11" s="151" t="s">
        <v>319</v>
      </c>
      <c r="G11" s="151" t="s">
        <v>320</v>
      </c>
      <c r="H11" s="151" t="s">
        <v>238</v>
      </c>
      <c r="I11" s="151" t="s">
        <v>10</v>
      </c>
      <c r="J11" s="153" t="s">
        <v>5130</v>
      </c>
      <c r="K11" s="155">
        <v>2253</v>
      </c>
      <c r="L11" s="155"/>
      <c r="M11" s="159">
        <f t="shared" si="0"/>
        <v>0</v>
      </c>
      <c r="N11" s="159"/>
      <c r="O11" s="159"/>
      <c r="P11" s="159"/>
      <c r="Q11" s="159"/>
      <c r="R11" s="159"/>
      <c r="S11" s="149" t="s">
        <v>5099</v>
      </c>
      <c r="T11" s="150" t="s">
        <v>5100</v>
      </c>
      <c r="U11" s="151" t="s">
        <v>5129</v>
      </c>
      <c r="V11" s="152" t="s">
        <v>5102</v>
      </c>
      <c r="W11" s="151" t="s">
        <v>5104</v>
      </c>
      <c r="X11" s="151" t="s">
        <v>5105</v>
      </c>
      <c r="Y11" s="154">
        <v>2254</v>
      </c>
      <c r="Z11" s="154">
        <v>21000</v>
      </c>
      <c r="AA11" s="156">
        <f t="shared" si="1"/>
        <v>47313000</v>
      </c>
      <c r="AB11" s="157">
        <v>19800</v>
      </c>
      <c r="AC11" s="158">
        <f t="shared" si="2"/>
        <v>19800</v>
      </c>
      <c r="AD11" s="159">
        <f t="shared" si="3"/>
        <v>0</v>
      </c>
      <c r="AE11" s="160"/>
      <c r="AF11" s="160">
        <f t="shared" si="4"/>
        <v>0</v>
      </c>
      <c r="AG11" s="165"/>
      <c r="AH11" s="161">
        <f t="shared" si="5"/>
        <v>0</v>
      </c>
      <c r="AI11" s="162"/>
      <c r="AJ11" s="162">
        <f t="shared" si="6"/>
        <v>0</v>
      </c>
      <c r="AK11" s="164"/>
      <c r="AL11" s="164">
        <f t="shared" si="7"/>
        <v>0</v>
      </c>
      <c r="AM11" s="165"/>
      <c r="AN11" s="165">
        <f t="shared" si="8"/>
        <v>0</v>
      </c>
      <c r="AO11" s="166">
        <v>0</v>
      </c>
      <c r="AP11" s="166">
        <f t="shared" si="9"/>
        <v>0</v>
      </c>
      <c r="AQ11" s="162"/>
      <c r="AR11" s="162">
        <f t="shared" si="10"/>
        <v>0</v>
      </c>
      <c r="AS11" s="173"/>
      <c r="AT11" s="167">
        <f t="shared" si="11"/>
        <v>0</v>
      </c>
      <c r="AU11" s="163"/>
      <c r="AV11" s="163">
        <f t="shared" si="12"/>
        <v>0</v>
      </c>
      <c r="AW11" s="168"/>
      <c r="AX11" s="168">
        <f t="shared" si="13"/>
        <v>0</v>
      </c>
      <c r="AY11" s="170"/>
      <c r="AZ11" s="170">
        <f t="shared" si="14"/>
        <v>0</v>
      </c>
      <c r="BA11" s="166"/>
      <c r="BB11" s="166">
        <f t="shared" si="15"/>
        <v>0</v>
      </c>
    </row>
    <row r="12" spans="1:54" s="171" customFormat="1" ht="31.5">
      <c r="A12" s="172" t="s">
        <v>5131</v>
      </c>
      <c r="B12" s="175" t="s">
        <v>5135</v>
      </c>
      <c r="C12" s="175"/>
      <c r="D12" s="175"/>
      <c r="E12" s="150" t="s">
        <v>5137</v>
      </c>
      <c r="F12" s="151" t="s">
        <v>5139</v>
      </c>
      <c r="G12" s="151" t="s">
        <v>5140</v>
      </c>
      <c r="H12" s="151" t="s">
        <v>5136</v>
      </c>
      <c r="I12" s="152" t="s">
        <v>5141</v>
      </c>
      <c r="J12" s="153" t="s">
        <v>5138</v>
      </c>
      <c r="K12" s="177">
        <v>14900</v>
      </c>
      <c r="L12" s="177"/>
      <c r="M12" s="159">
        <f t="shared" si="0"/>
        <v>0</v>
      </c>
      <c r="N12" s="159"/>
      <c r="O12" s="159"/>
      <c r="P12" s="159"/>
      <c r="Q12" s="159"/>
      <c r="R12" s="159"/>
      <c r="S12" s="149" t="s">
        <v>5132</v>
      </c>
      <c r="T12" s="149" t="s">
        <v>5133</v>
      </c>
      <c r="U12" s="174" t="s">
        <v>5134</v>
      </c>
      <c r="V12" s="174" t="s">
        <v>211</v>
      </c>
      <c r="W12" s="151" t="s">
        <v>5104</v>
      </c>
      <c r="X12" s="152" t="s">
        <v>5116</v>
      </c>
      <c r="Y12" s="176">
        <v>14930</v>
      </c>
      <c r="Z12" s="176">
        <v>900</v>
      </c>
      <c r="AA12" s="156">
        <f t="shared" si="1"/>
        <v>13410000</v>
      </c>
      <c r="AB12" s="157">
        <v>900</v>
      </c>
      <c r="AC12" s="158">
        <f t="shared" si="2"/>
        <v>900</v>
      </c>
      <c r="AD12" s="159">
        <f t="shared" si="3"/>
        <v>0</v>
      </c>
      <c r="AE12" s="160"/>
      <c r="AF12" s="160">
        <f t="shared" si="4"/>
        <v>0</v>
      </c>
      <c r="AG12" s="165"/>
      <c r="AH12" s="161">
        <f t="shared" si="5"/>
        <v>0</v>
      </c>
      <c r="AI12" s="162"/>
      <c r="AJ12" s="162">
        <f t="shared" si="6"/>
        <v>0</v>
      </c>
      <c r="AK12" s="164"/>
      <c r="AL12" s="164">
        <f t="shared" si="7"/>
        <v>0</v>
      </c>
      <c r="AM12" s="165"/>
      <c r="AN12" s="165">
        <f t="shared" si="8"/>
        <v>0</v>
      </c>
      <c r="AO12" s="166">
        <v>0</v>
      </c>
      <c r="AP12" s="166">
        <f t="shared" si="9"/>
        <v>0</v>
      </c>
      <c r="AQ12" s="162"/>
      <c r="AR12" s="162">
        <f t="shared" si="10"/>
        <v>0</v>
      </c>
      <c r="AS12" s="173"/>
      <c r="AT12" s="167">
        <f t="shared" si="11"/>
        <v>0</v>
      </c>
      <c r="AU12" s="163"/>
      <c r="AV12" s="163">
        <f t="shared" si="12"/>
        <v>0</v>
      </c>
      <c r="AW12" s="168"/>
      <c r="AX12" s="168">
        <f t="shared" si="13"/>
        <v>0</v>
      </c>
      <c r="AY12" s="170"/>
      <c r="AZ12" s="170">
        <f t="shared" si="14"/>
        <v>0</v>
      </c>
      <c r="BA12" s="166"/>
      <c r="BB12" s="166">
        <f t="shared" si="15"/>
        <v>0</v>
      </c>
    </row>
    <row r="13" spans="1:54" s="171" customFormat="1" ht="31.5">
      <c r="A13" s="148" t="s">
        <v>5142</v>
      </c>
      <c r="B13" s="175" t="s">
        <v>234</v>
      </c>
      <c r="C13" s="175"/>
      <c r="D13" s="175"/>
      <c r="E13" s="150" t="s">
        <v>5144</v>
      </c>
      <c r="F13" s="151" t="s">
        <v>5146</v>
      </c>
      <c r="G13" s="151" t="s">
        <v>321</v>
      </c>
      <c r="H13" s="151" t="s">
        <v>235</v>
      </c>
      <c r="I13" s="152" t="s">
        <v>10</v>
      </c>
      <c r="J13" s="153" t="s">
        <v>5145</v>
      </c>
      <c r="K13" s="177">
        <v>1580</v>
      </c>
      <c r="L13" s="177"/>
      <c r="M13" s="159">
        <f t="shared" si="0"/>
        <v>0</v>
      </c>
      <c r="N13" s="159"/>
      <c r="O13" s="159"/>
      <c r="P13" s="159"/>
      <c r="Q13" s="159"/>
      <c r="R13" s="159"/>
      <c r="S13" s="149" t="s">
        <v>5099</v>
      </c>
      <c r="T13" s="150" t="s">
        <v>5100</v>
      </c>
      <c r="U13" s="174" t="s">
        <v>5143</v>
      </c>
      <c r="V13" s="174" t="s">
        <v>211</v>
      </c>
      <c r="W13" s="151" t="s">
        <v>5104</v>
      </c>
      <c r="X13" s="152" t="s">
        <v>5105</v>
      </c>
      <c r="Y13" s="176">
        <v>2917</v>
      </c>
      <c r="Z13" s="176">
        <v>37000</v>
      </c>
      <c r="AA13" s="156">
        <f t="shared" si="1"/>
        <v>58460000</v>
      </c>
      <c r="AB13" s="157">
        <v>37000</v>
      </c>
      <c r="AC13" s="158">
        <f t="shared" si="2"/>
        <v>37000</v>
      </c>
      <c r="AD13" s="159">
        <f t="shared" si="3"/>
        <v>0</v>
      </c>
      <c r="AE13" s="160"/>
      <c r="AF13" s="160">
        <f t="shared" si="4"/>
        <v>0</v>
      </c>
      <c r="AG13" s="165"/>
      <c r="AH13" s="161">
        <f t="shared" si="5"/>
        <v>0</v>
      </c>
      <c r="AI13" s="162"/>
      <c r="AJ13" s="162">
        <f t="shared" si="6"/>
        <v>0</v>
      </c>
      <c r="AK13" s="164"/>
      <c r="AL13" s="164">
        <f t="shared" si="7"/>
        <v>0</v>
      </c>
      <c r="AM13" s="165"/>
      <c r="AN13" s="165">
        <f t="shared" si="8"/>
        <v>0</v>
      </c>
      <c r="AO13" s="166">
        <v>0</v>
      </c>
      <c r="AP13" s="166">
        <f t="shared" si="9"/>
        <v>0</v>
      </c>
      <c r="AQ13" s="162"/>
      <c r="AR13" s="162">
        <f t="shared" si="10"/>
        <v>0</v>
      </c>
      <c r="AS13" s="173"/>
      <c r="AT13" s="167">
        <f t="shared" si="11"/>
        <v>0</v>
      </c>
      <c r="AU13" s="163"/>
      <c r="AV13" s="163">
        <f t="shared" si="12"/>
        <v>0</v>
      </c>
      <c r="AW13" s="168"/>
      <c r="AX13" s="168">
        <f t="shared" si="13"/>
        <v>0</v>
      </c>
      <c r="AY13" s="170"/>
      <c r="AZ13" s="170">
        <f t="shared" si="14"/>
        <v>0</v>
      </c>
      <c r="BA13" s="166"/>
      <c r="BB13" s="166">
        <f t="shared" si="15"/>
        <v>0</v>
      </c>
    </row>
    <row r="14" spans="1:54" ht="31.5">
      <c r="A14" s="148" t="s">
        <v>5147</v>
      </c>
      <c r="B14" s="175" t="s">
        <v>234</v>
      </c>
      <c r="C14" s="175"/>
      <c r="D14" s="175"/>
      <c r="E14" s="150" t="s">
        <v>5149</v>
      </c>
      <c r="F14" s="151" t="s">
        <v>5151</v>
      </c>
      <c r="G14" s="151" t="s">
        <v>321</v>
      </c>
      <c r="H14" s="151" t="s">
        <v>238</v>
      </c>
      <c r="I14" s="152" t="s">
        <v>10</v>
      </c>
      <c r="J14" s="153" t="s">
        <v>5150</v>
      </c>
      <c r="K14" s="177">
        <v>1280</v>
      </c>
      <c r="L14" s="177"/>
      <c r="M14" s="159">
        <f t="shared" si="0"/>
        <v>0</v>
      </c>
      <c r="N14" s="159"/>
      <c r="O14" s="159"/>
      <c r="P14" s="159"/>
      <c r="Q14" s="159"/>
      <c r="R14" s="159"/>
      <c r="S14" s="149" t="s">
        <v>5099</v>
      </c>
      <c r="T14" s="150" t="s">
        <v>5100</v>
      </c>
      <c r="U14" s="174" t="s">
        <v>5148</v>
      </c>
      <c r="V14" s="174" t="s">
        <v>211</v>
      </c>
      <c r="W14" s="151" t="s">
        <v>5104</v>
      </c>
      <c r="X14" s="152" t="s">
        <v>5105</v>
      </c>
      <c r="Y14" s="176">
        <v>2311</v>
      </c>
      <c r="Z14" s="176">
        <v>37000</v>
      </c>
      <c r="AA14" s="156">
        <f t="shared" si="1"/>
        <v>47360000</v>
      </c>
      <c r="AB14" s="157">
        <v>37000</v>
      </c>
      <c r="AC14" s="158">
        <f t="shared" si="2"/>
        <v>37000</v>
      </c>
      <c r="AD14" s="159">
        <f t="shared" si="3"/>
        <v>0</v>
      </c>
      <c r="AE14" s="160"/>
      <c r="AF14" s="160">
        <f t="shared" si="4"/>
        <v>0</v>
      </c>
      <c r="AG14" s="165"/>
      <c r="AH14" s="161">
        <f t="shared" si="5"/>
        <v>0</v>
      </c>
      <c r="AI14" s="162"/>
      <c r="AJ14" s="162">
        <f t="shared" si="6"/>
        <v>0</v>
      </c>
      <c r="AK14" s="164"/>
      <c r="AL14" s="164">
        <f t="shared" si="7"/>
        <v>0</v>
      </c>
      <c r="AM14" s="165"/>
      <c r="AN14" s="165">
        <f t="shared" si="8"/>
        <v>0</v>
      </c>
      <c r="AO14" s="166">
        <v>0</v>
      </c>
      <c r="AP14" s="166">
        <f t="shared" si="9"/>
        <v>0</v>
      </c>
      <c r="AQ14" s="162"/>
      <c r="AR14" s="162">
        <f t="shared" si="10"/>
        <v>0</v>
      </c>
      <c r="AS14" s="173"/>
      <c r="AT14" s="167">
        <f t="shared" si="11"/>
        <v>0</v>
      </c>
      <c r="AU14" s="163"/>
      <c r="AV14" s="163">
        <f t="shared" si="12"/>
        <v>0</v>
      </c>
      <c r="AW14" s="168"/>
      <c r="AX14" s="168">
        <f t="shared" si="13"/>
        <v>0</v>
      </c>
      <c r="AY14" s="170"/>
      <c r="AZ14" s="170">
        <f t="shared" si="14"/>
        <v>0</v>
      </c>
      <c r="BA14" s="166"/>
      <c r="BB14" s="166">
        <f t="shared" si="15"/>
        <v>0</v>
      </c>
    </row>
    <row r="15" spans="1:54" s="115" customFormat="1">
      <c r="A15" s="172" t="s">
        <v>5152</v>
      </c>
      <c r="B15" s="175" t="s">
        <v>246</v>
      </c>
      <c r="C15" s="175"/>
      <c r="D15" s="175"/>
      <c r="E15" s="150" t="s">
        <v>4945</v>
      </c>
      <c r="F15" s="151" t="s">
        <v>249</v>
      </c>
      <c r="G15" s="151" t="s">
        <v>245</v>
      </c>
      <c r="H15" s="151" t="s">
        <v>248</v>
      </c>
      <c r="I15" s="152" t="s">
        <v>10</v>
      </c>
      <c r="J15" s="153" t="s">
        <v>5155</v>
      </c>
      <c r="K15" s="177">
        <v>1785</v>
      </c>
      <c r="L15" s="177"/>
      <c r="M15" s="159">
        <f t="shared" si="0"/>
        <v>5000</v>
      </c>
      <c r="N15" s="159"/>
      <c r="O15" s="159"/>
      <c r="P15" s="159"/>
      <c r="Q15" s="159"/>
      <c r="R15" s="159"/>
      <c r="S15" s="150" t="s">
        <v>5153</v>
      </c>
      <c r="T15" s="150" t="s">
        <v>5154</v>
      </c>
      <c r="U15" s="174" t="s">
        <v>4944</v>
      </c>
      <c r="V15" s="174" t="s">
        <v>211</v>
      </c>
      <c r="W15" s="151" t="s">
        <v>5104</v>
      </c>
      <c r="X15" s="152" t="s">
        <v>5156</v>
      </c>
      <c r="Y15" s="176">
        <v>2844</v>
      </c>
      <c r="Z15" s="176">
        <v>21000</v>
      </c>
      <c r="AA15" s="156">
        <f t="shared" si="1"/>
        <v>37485000</v>
      </c>
      <c r="AB15" s="157">
        <v>14500</v>
      </c>
      <c r="AC15" s="158">
        <f t="shared" si="2"/>
        <v>9500</v>
      </c>
      <c r="AD15" s="159">
        <f t="shared" si="3"/>
        <v>8925000</v>
      </c>
      <c r="AE15" s="160"/>
      <c r="AF15" s="160">
        <f t="shared" si="4"/>
        <v>0</v>
      </c>
      <c r="AG15" s="165">
        <v>5000</v>
      </c>
      <c r="AH15" s="161">
        <f t="shared" si="5"/>
        <v>8925000</v>
      </c>
      <c r="AI15" s="162"/>
      <c r="AJ15" s="162">
        <f t="shared" si="6"/>
        <v>0</v>
      </c>
      <c r="AK15" s="164"/>
      <c r="AL15" s="164">
        <f t="shared" si="7"/>
        <v>0</v>
      </c>
      <c r="AM15" s="165"/>
      <c r="AN15" s="165">
        <f t="shared" si="8"/>
        <v>0</v>
      </c>
      <c r="AO15" s="166">
        <v>0</v>
      </c>
      <c r="AP15" s="166">
        <f t="shared" si="9"/>
        <v>0</v>
      </c>
      <c r="AQ15" s="162"/>
      <c r="AR15" s="162">
        <f t="shared" si="10"/>
        <v>0</v>
      </c>
      <c r="AS15" s="173"/>
      <c r="AT15" s="167">
        <f t="shared" si="11"/>
        <v>0</v>
      </c>
      <c r="AU15" s="163"/>
      <c r="AV15" s="163">
        <f t="shared" si="12"/>
        <v>0</v>
      </c>
      <c r="AW15" s="168"/>
      <c r="AX15" s="168">
        <f t="shared" si="13"/>
        <v>0</v>
      </c>
      <c r="AY15" s="170"/>
      <c r="AZ15" s="170">
        <f t="shared" si="14"/>
        <v>0</v>
      </c>
      <c r="BA15" s="166"/>
      <c r="BB15" s="166">
        <f t="shared" si="15"/>
        <v>0</v>
      </c>
    </row>
    <row r="16" spans="1:54" s="115" customFormat="1" ht="31.5">
      <c r="A16" s="148" t="s">
        <v>5157</v>
      </c>
      <c r="B16" s="175" t="s">
        <v>368</v>
      </c>
      <c r="C16" s="175"/>
      <c r="D16" s="175"/>
      <c r="E16" s="150" t="s">
        <v>4813</v>
      </c>
      <c r="F16" s="151" t="s">
        <v>454</v>
      </c>
      <c r="G16" s="151" t="s">
        <v>455</v>
      </c>
      <c r="H16" s="151" t="s">
        <v>369</v>
      </c>
      <c r="I16" s="152" t="s">
        <v>10</v>
      </c>
      <c r="J16" s="153" t="s">
        <v>5159</v>
      </c>
      <c r="K16" s="177">
        <v>786</v>
      </c>
      <c r="L16" s="177"/>
      <c r="M16" s="159">
        <f t="shared" si="0"/>
        <v>0</v>
      </c>
      <c r="N16" s="159"/>
      <c r="O16" s="159"/>
      <c r="P16" s="159"/>
      <c r="Q16" s="159"/>
      <c r="R16" s="159"/>
      <c r="S16" s="149" t="s">
        <v>2332</v>
      </c>
      <c r="T16" s="150" t="s">
        <v>5158</v>
      </c>
      <c r="U16" s="174" t="s">
        <v>4812</v>
      </c>
      <c r="V16" s="174" t="s">
        <v>211</v>
      </c>
      <c r="W16" s="151" t="s">
        <v>5104</v>
      </c>
      <c r="X16" s="152" t="s">
        <v>5160</v>
      </c>
      <c r="Y16" s="176">
        <v>860</v>
      </c>
      <c r="Z16" s="176">
        <v>300000</v>
      </c>
      <c r="AA16" s="156">
        <f t="shared" si="1"/>
        <v>235800000</v>
      </c>
      <c r="AB16" s="157">
        <v>260000</v>
      </c>
      <c r="AC16" s="158">
        <f t="shared" si="2"/>
        <v>260000</v>
      </c>
      <c r="AD16" s="159">
        <f t="shared" si="3"/>
        <v>0</v>
      </c>
      <c r="AE16" s="160"/>
      <c r="AF16" s="160">
        <f t="shared" si="4"/>
        <v>0</v>
      </c>
      <c r="AG16" s="165"/>
      <c r="AH16" s="161">
        <f t="shared" si="5"/>
        <v>0</v>
      </c>
      <c r="AI16" s="162"/>
      <c r="AJ16" s="162">
        <f t="shared" si="6"/>
        <v>0</v>
      </c>
      <c r="AK16" s="164"/>
      <c r="AL16" s="164">
        <f t="shared" si="7"/>
        <v>0</v>
      </c>
      <c r="AM16" s="165"/>
      <c r="AN16" s="165">
        <f t="shared" si="8"/>
        <v>0</v>
      </c>
      <c r="AO16" s="166">
        <v>0</v>
      </c>
      <c r="AP16" s="166">
        <f t="shared" si="9"/>
        <v>0</v>
      </c>
      <c r="AQ16" s="162"/>
      <c r="AR16" s="162">
        <f t="shared" si="10"/>
        <v>0</v>
      </c>
      <c r="AS16" s="173"/>
      <c r="AT16" s="167">
        <f t="shared" si="11"/>
        <v>0</v>
      </c>
      <c r="AU16" s="163"/>
      <c r="AV16" s="163">
        <f t="shared" si="12"/>
        <v>0</v>
      </c>
      <c r="AW16" s="168"/>
      <c r="AX16" s="168">
        <f t="shared" si="13"/>
        <v>0</v>
      </c>
      <c r="AY16" s="170"/>
      <c r="AZ16" s="170">
        <f t="shared" si="14"/>
        <v>0</v>
      </c>
      <c r="BA16" s="166"/>
      <c r="BB16" s="166">
        <f t="shared" si="15"/>
        <v>0</v>
      </c>
    </row>
    <row r="17" spans="1:54" s="115" customFormat="1" ht="47.25">
      <c r="A17" s="148" t="s">
        <v>5161</v>
      </c>
      <c r="B17" s="175" t="s">
        <v>280</v>
      </c>
      <c r="C17" s="175"/>
      <c r="D17" s="175"/>
      <c r="E17" s="150" t="s">
        <v>281</v>
      </c>
      <c r="F17" s="151" t="s">
        <v>284</v>
      </c>
      <c r="G17" s="151" t="s">
        <v>285</v>
      </c>
      <c r="H17" s="151" t="s">
        <v>282</v>
      </c>
      <c r="I17" s="152" t="s">
        <v>5141</v>
      </c>
      <c r="J17" s="153" t="s">
        <v>5164</v>
      </c>
      <c r="K17" s="177">
        <v>37360</v>
      </c>
      <c r="L17" s="177"/>
      <c r="M17" s="159">
        <f t="shared" si="0"/>
        <v>0</v>
      </c>
      <c r="N17" s="159"/>
      <c r="O17" s="159"/>
      <c r="P17" s="159"/>
      <c r="Q17" s="159"/>
      <c r="R17" s="159"/>
      <c r="S17" s="150" t="s">
        <v>5162</v>
      </c>
      <c r="T17" s="150" t="s">
        <v>5163</v>
      </c>
      <c r="U17" s="174" t="s">
        <v>4814</v>
      </c>
      <c r="V17" s="174" t="s">
        <v>211</v>
      </c>
      <c r="W17" s="151">
        <v>24</v>
      </c>
      <c r="X17" s="152" t="s">
        <v>5165</v>
      </c>
      <c r="Y17" s="176">
        <v>42000</v>
      </c>
      <c r="Z17" s="176">
        <v>750</v>
      </c>
      <c r="AA17" s="156">
        <f t="shared" si="1"/>
        <v>28020000</v>
      </c>
      <c r="AB17" s="157">
        <v>730</v>
      </c>
      <c r="AC17" s="158">
        <f t="shared" si="2"/>
        <v>730</v>
      </c>
      <c r="AD17" s="159">
        <f t="shared" si="3"/>
        <v>0</v>
      </c>
      <c r="AE17" s="160"/>
      <c r="AF17" s="160">
        <f t="shared" si="4"/>
        <v>0</v>
      </c>
      <c r="AG17" s="165"/>
      <c r="AH17" s="161">
        <f t="shared" si="5"/>
        <v>0</v>
      </c>
      <c r="AI17" s="162"/>
      <c r="AJ17" s="162">
        <f t="shared" si="6"/>
        <v>0</v>
      </c>
      <c r="AK17" s="163"/>
      <c r="AL17" s="164">
        <f t="shared" si="7"/>
        <v>0</v>
      </c>
      <c r="AM17" s="161"/>
      <c r="AN17" s="165">
        <f t="shared" si="8"/>
        <v>0</v>
      </c>
      <c r="AO17" s="160">
        <v>0</v>
      </c>
      <c r="AP17" s="166">
        <f t="shared" si="9"/>
        <v>0</v>
      </c>
      <c r="AQ17" s="162"/>
      <c r="AR17" s="162">
        <f t="shared" si="10"/>
        <v>0</v>
      </c>
      <c r="AS17" s="173"/>
      <c r="AT17" s="167">
        <f t="shared" si="11"/>
        <v>0</v>
      </c>
      <c r="AU17" s="163"/>
      <c r="AV17" s="163">
        <f t="shared" si="12"/>
        <v>0</v>
      </c>
      <c r="AW17" s="162"/>
      <c r="AX17" s="168">
        <f t="shared" si="13"/>
        <v>0</v>
      </c>
      <c r="AY17" s="169"/>
      <c r="AZ17" s="170">
        <f t="shared" si="14"/>
        <v>0</v>
      </c>
      <c r="BA17" s="160"/>
      <c r="BB17" s="166">
        <f t="shared" si="15"/>
        <v>0</v>
      </c>
    </row>
    <row r="18" spans="1:54" s="115" customFormat="1" ht="31.5">
      <c r="A18" s="172" t="s">
        <v>4578</v>
      </c>
      <c r="B18" s="175" t="s">
        <v>280</v>
      </c>
      <c r="C18" s="175"/>
      <c r="D18" s="175"/>
      <c r="E18" s="150" t="s">
        <v>5168</v>
      </c>
      <c r="F18" s="151" t="s">
        <v>5170</v>
      </c>
      <c r="G18" s="151" t="s">
        <v>5171</v>
      </c>
      <c r="H18" s="151" t="s">
        <v>5167</v>
      </c>
      <c r="I18" s="152" t="s">
        <v>5141</v>
      </c>
      <c r="J18" s="153" t="s">
        <v>5169</v>
      </c>
      <c r="K18" s="177">
        <v>42000</v>
      </c>
      <c r="L18" s="177"/>
      <c r="M18" s="159">
        <f t="shared" si="0"/>
        <v>0</v>
      </c>
      <c r="N18" s="159"/>
      <c r="O18" s="159"/>
      <c r="P18" s="159"/>
      <c r="Q18" s="159"/>
      <c r="R18" s="159"/>
      <c r="S18" s="150" t="s">
        <v>5118</v>
      </c>
      <c r="T18" s="150" t="s">
        <v>5119</v>
      </c>
      <c r="U18" s="174" t="s">
        <v>5166</v>
      </c>
      <c r="V18" s="174" t="s">
        <v>211</v>
      </c>
      <c r="W18" s="151">
        <v>36</v>
      </c>
      <c r="X18" s="152" t="s">
        <v>5116</v>
      </c>
      <c r="Y18" s="176">
        <v>46000</v>
      </c>
      <c r="Z18" s="176">
        <v>750</v>
      </c>
      <c r="AA18" s="156">
        <f t="shared" si="1"/>
        <v>31500000</v>
      </c>
      <c r="AB18" s="157">
        <v>750</v>
      </c>
      <c r="AC18" s="158">
        <f t="shared" si="2"/>
        <v>750</v>
      </c>
      <c r="AD18" s="159">
        <f t="shared" si="3"/>
        <v>0</v>
      </c>
      <c r="AE18" s="160"/>
      <c r="AF18" s="160">
        <f t="shared" si="4"/>
        <v>0</v>
      </c>
      <c r="AG18" s="161"/>
      <c r="AH18" s="161">
        <f t="shared" si="5"/>
        <v>0</v>
      </c>
      <c r="AI18" s="162"/>
      <c r="AJ18" s="162">
        <f t="shared" si="6"/>
        <v>0</v>
      </c>
      <c r="AK18" s="163"/>
      <c r="AL18" s="164">
        <f t="shared" si="7"/>
        <v>0</v>
      </c>
      <c r="AM18" s="161"/>
      <c r="AN18" s="165">
        <f t="shared" si="8"/>
        <v>0</v>
      </c>
      <c r="AO18" s="160">
        <v>0</v>
      </c>
      <c r="AP18" s="166">
        <f t="shared" si="9"/>
        <v>0</v>
      </c>
      <c r="AQ18" s="162"/>
      <c r="AR18" s="162">
        <f t="shared" si="10"/>
        <v>0</v>
      </c>
      <c r="AS18" s="167"/>
      <c r="AT18" s="167">
        <f t="shared" si="11"/>
        <v>0</v>
      </c>
      <c r="AU18" s="163"/>
      <c r="AV18" s="163">
        <f t="shared" si="12"/>
        <v>0</v>
      </c>
      <c r="AW18" s="162"/>
      <c r="AX18" s="168">
        <f t="shared" si="13"/>
        <v>0</v>
      </c>
      <c r="AY18" s="169"/>
      <c r="AZ18" s="170">
        <f t="shared" si="14"/>
        <v>0</v>
      </c>
      <c r="BA18" s="160"/>
      <c r="BB18" s="166">
        <f t="shared" si="15"/>
        <v>0</v>
      </c>
    </row>
    <row r="19" spans="1:54" s="115" customFormat="1" ht="31.5">
      <c r="A19" s="148" t="s">
        <v>5172</v>
      </c>
      <c r="B19" s="175" t="s">
        <v>5174</v>
      </c>
      <c r="C19" s="175"/>
      <c r="D19" s="175"/>
      <c r="E19" s="150" t="s">
        <v>5175</v>
      </c>
      <c r="F19" s="151" t="s">
        <v>5177</v>
      </c>
      <c r="G19" s="151" t="s">
        <v>5178</v>
      </c>
      <c r="H19" s="151" t="s">
        <v>299</v>
      </c>
      <c r="I19" s="152" t="s">
        <v>10</v>
      </c>
      <c r="J19" s="153" t="s">
        <v>5176</v>
      </c>
      <c r="K19" s="177">
        <v>3662</v>
      </c>
      <c r="L19" s="177"/>
      <c r="M19" s="159">
        <f t="shared" si="0"/>
        <v>0</v>
      </c>
      <c r="N19" s="159"/>
      <c r="O19" s="159"/>
      <c r="P19" s="159"/>
      <c r="Q19" s="159"/>
      <c r="R19" s="159"/>
      <c r="S19" s="149" t="s">
        <v>5099</v>
      </c>
      <c r="T19" s="150" t="s">
        <v>5100</v>
      </c>
      <c r="U19" s="174" t="s">
        <v>5173</v>
      </c>
      <c r="V19" s="174" t="s">
        <v>211</v>
      </c>
      <c r="W19" s="151" t="s">
        <v>253</v>
      </c>
      <c r="X19" s="152" t="s">
        <v>5179</v>
      </c>
      <c r="Y19" s="176">
        <v>4028</v>
      </c>
      <c r="Z19" s="176">
        <v>1850</v>
      </c>
      <c r="AA19" s="156">
        <f t="shared" si="1"/>
        <v>6774700</v>
      </c>
      <c r="AB19" s="157">
        <v>1850</v>
      </c>
      <c r="AC19" s="158">
        <f t="shared" si="2"/>
        <v>1850</v>
      </c>
      <c r="AD19" s="159">
        <f t="shared" si="3"/>
        <v>0</v>
      </c>
      <c r="AE19" s="160"/>
      <c r="AF19" s="160">
        <f t="shared" si="4"/>
        <v>0</v>
      </c>
      <c r="AG19" s="161"/>
      <c r="AH19" s="161">
        <f t="shared" si="5"/>
        <v>0</v>
      </c>
      <c r="AI19" s="162"/>
      <c r="AJ19" s="162">
        <f t="shared" si="6"/>
        <v>0</v>
      </c>
      <c r="AK19" s="164"/>
      <c r="AL19" s="164">
        <f t="shared" si="7"/>
        <v>0</v>
      </c>
      <c r="AM19" s="165"/>
      <c r="AN19" s="165">
        <f t="shared" si="8"/>
        <v>0</v>
      </c>
      <c r="AO19" s="166">
        <v>0</v>
      </c>
      <c r="AP19" s="166">
        <f t="shared" si="9"/>
        <v>0</v>
      </c>
      <c r="AQ19" s="162"/>
      <c r="AR19" s="162">
        <f t="shared" si="10"/>
        <v>0</v>
      </c>
      <c r="AS19" s="167"/>
      <c r="AT19" s="167">
        <f t="shared" si="11"/>
        <v>0</v>
      </c>
      <c r="AU19" s="163"/>
      <c r="AV19" s="163">
        <f t="shared" si="12"/>
        <v>0</v>
      </c>
      <c r="AW19" s="168"/>
      <c r="AX19" s="168">
        <f t="shared" si="13"/>
        <v>0</v>
      </c>
      <c r="AY19" s="170"/>
      <c r="AZ19" s="170">
        <f t="shared" si="14"/>
        <v>0</v>
      </c>
      <c r="BA19" s="166"/>
      <c r="BB19" s="166">
        <f t="shared" si="15"/>
        <v>0</v>
      </c>
    </row>
    <row r="20" spans="1:54" s="115" customFormat="1" ht="31.5">
      <c r="A20" s="148" t="s">
        <v>5180</v>
      </c>
      <c r="B20" s="175" t="s">
        <v>274</v>
      </c>
      <c r="C20" s="175"/>
      <c r="D20" s="175"/>
      <c r="E20" s="150" t="s">
        <v>275</v>
      </c>
      <c r="F20" s="151" t="s">
        <v>278</v>
      </c>
      <c r="G20" s="151" t="s">
        <v>279</v>
      </c>
      <c r="H20" s="151" t="s">
        <v>276</v>
      </c>
      <c r="I20" s="152" t="s">
        <v>5141</v>
      </c>
      <c r="J20" s="153" t="s">
        <v>5184</v>
      </c>
      <c r="K20" s="177">
        <v>53950</v>
      </c>
      <c r="L20" s="177"/>
      <c r="M20" s="159">
        <f t="shared" si="0"/>
        <v>0</v>
      </c>
      <c r="N20" s="159"/>
      <c r="O20" s="159"/>
      <c r="P20" s="159"/>
      <c r="Q20" s="159"/>
      <c r="R20" s="159"/>
      <c r="S20" s="150" t="s">
        <v>5181</v>
      </c>
      <c r="T20" s="150" t="s">
        <v>5182</v>
      </c>
      <c r="U20" s="174" t="s">
        <v>5183</v>
      </c>
      <c r="V20" s="174" t="s">
        <v>211</v>
      </c>
      <c r="W20" s="151" t="s">
        <v>5104</v>
      </c>
      <c r="X20" s="152" t="s">
        <v>5185</v>
      </c>
      <c r="Y20" s="176">
        <v>90000</v>
      </c>
      <c r="Z20" s="176">
        <v>1850</v>
      </c>
      <c r="AA20" s="156">
        <f t="shared" si="1"/>
        <v>99807500</v>
      </c>
      <c r="AB20" s="157">
        <v>1850</v>
      </c>
      <c r="AC20" s="158">
        <f t="shared" si="2"/>
        <v>1850</v>
      </c>
      <c r="AD20" s="159">
        <f t="shared" si="3"/>
        <v>0</v>
      </c>
      <c r="AE20" s="160"/>
      <c r="AF20" s="160">
        <f t="shared" si="4"/>
        <v>0</v>
      </c>
      <c r="AG20" s="161"/>
      <c r="AH20" s="161">
        <f t="shared" si="5"/>
        <v>0</v>
      </c>
      <c r="AI20" s="162"/>
      <c r="AJ20" s="162">
        <f t="shared" si="6"/>
        <v>0</v>
      </c>
      <c r="AK20" s="164"/>
      <c r="AL20" s="164">
        <f t="shared" si="7"/>
        <v>0</v>
      </c>
      <c r="AM20" s="165"/>
      <c r="AN20" s="165">
        <f t="shared" si="8"/>
        <v>0</v>
      </c>
      <c r="AO20" s="166">
        <v>0</v>
      </c>
      <c r="AP20" s="166">
        <f t="shared" si="9"/>
        <v>0</v>
      </c>
      <c r="AQ20" s="162"/>
      <c r="AR20" s="162">
        <f t="shared" si="10"/>
        <v>0</v>
      </c>
      <c r="AS20" s="167"/>
      <c r="AT20" s="167">
        <f t="shared" si="11"/>
        <v>0</v>
      </c>
      <c r="AU20" s="163"/>
      <c r="AV20" s="163">
        <f t="shared" si="12"/>
        <v>0</v>
      </c>
      <c r="AW20" s="168"/>
      <c r="AX20" s="168">
        <f t="shared" si="13"/>
        <v>0</v>
      </c>
      <c r="AY20" s="170"/>
      <c r="AZ20" s="170">
        <f t="shared" si="14"/>
        <v>0</v>
      </c>
      <c r="BA20" s="166"/>
      <c r="BB20" s="166">
        <f t="shared" si="15"/>
        <v>0</v>
      </c>
    </row>
    <row r="21" spans="1:54" s="115" customFormat="1" ht="31.5">
      <c r="A21" s="172" t="s">
        <v>5186</v>
      </c>
      <c r="B21" s="175" t="s">
        <v>274</v>
      </c>
      <c r="C21" s="175"/>
      <c r="D21" s="175"/>
      <c r="E21" s="150" t="s">
        <v>4825</v>
      </c>
      <c r="F21" s="151" t="s">
        <v>307</v>
      </c>
      <c r="G21" s="151" t="s">
        <v>308</v>
      </c>
      <c r="H21" s="151" t="s">
        <v>305</v>
      </c>
      <c r="I21" s="152" t="s">
        <v>5141</v>
      </c>
      <c r="J21" s="153" t="s">
        <v>5187</v>
      </c>
      <c r="K21" s="177">
        <v>69000</v>
      </c>
      <c r="L21" s="177"/>
      <c r="M21" s="159">
        <f t="shared" si="0"/>
        <v>90</v>
      </c>
      <c r="N21" s="159"/>
      <c r="O21" s="159"/>
      <c r="P21" s="159"/>
      <c r="Q21" s="159"/>
      <c r="R21" s="159"/>
      <c r="S21" s="149" t="s">
        <v>5099</v>
      </c>
      <c r="T21" s="150" t="s">
        <v>5100</v>
      </c>
      <c r="U21" s="174" t="s">
        <v>4824</v>
      </c>
      <c r="V21" s="174" t="s">
        <v>211</v>
      </c>
      <c r="W21" s="151" t="s">
        <v>253</v>
      </c>
      <c r="X21" s="152" t="s">
        <v>5188</v>
      </c>
      <c r="Y21" s="176">
        <v>69000</v>
      </c>
      <c r="Z21" s="176">
        <v>2100</v>
      </c>
      <c r="AA21" s="156">
        <f t="shared" si="1"/>
        <v>144900000</v>
      </c>
      <c r="AB21" s="157">
        <v>1700</v>
      </c>
      <c r="AC21" s="158">
        <f t="shared" si="2"/>
        <v>1610</v>
      </c>
      <c r="AD21" s="159">
        <f t="shared" si="3"/>
        <v>6210000</v>
      </c>
      <c r="AE21" s="160"/>
      <c r="AF21" s="160">
        <f t="shared" si="4"/>
        <v>0</v>
      </c>
      <c r="AG21" s="161"/>
      <c r="AH21" s="161">
        <f t="shared" si="5"/>
        <v>0</v>
      </c>
      <c r="AI21" s="162"/>
      <c r="AJ21" s="162">
        <f t="shared" si="6"/>
        <v>0</v>
      </c>
      <c r="AK21" s="164"/>
      <c r="AL21" s="164">
        <f t="shared" si="7"/>
        <v>0</v>
      </c>
      <c r="AM21" s="165">
        <v>90</v>
      </c>
      <c r="AN21" s="165">
        <f t="shared" si="8"/>
        <v>6210000</v>
      </c>
      <c r="AO21" s="166">
        <v>0</v>
      </c>
      <c r="AP21" s="166">
        <f t="shared" si="9"/>
        <v>0</v>
      </c>
      <c r="AQ21" s="162"/>
      <c r="AR21" s="162">
        <f t="shared" si="10"/>
        <v>0</v>
      </c>
      <c r="AS21" s="167"/>
      <c r="AT21" s="167">
        <f t="shared" si="11"/>
        <v>0</v>
      </c>
      <c r="AU21" s="163"/>
      <c r="AV21" s="163">
        <f t="shared" si="12"/>
        <v>0</v>
      </c>
      <c r="AW21" s="168"/>
      <c r="AX21" s="168">
        <f t="shared" si="13"/>
        <v>0</v>
      </c>
      <c r="AY21" s="170"/>
      <c r="AZ21" s="170">
        <f t="shared" si="14"/>
        <v>0</v>
      </c>
      <c r="BA21" s="166"/>
      <c r="BB21" s="166">
        <f t="shared" si="15"/>
        <v>0</v>
      </c>
    </row>
    <row r="22" spans="1:54" s="115" customFormat="1" ht="31.5">
      <c r="A22" s="148" t="s">
        <v>5189</v>
      </c>
      <c r="B22" s="175" t="s">
        <v>260</v>
      </c>
      <c r="C22" s="175"/>
      <c r="D22" s="175"/>
      <c r="E22" s="150" t="s">
        <v>5194</v>
      </c>
      <c r="F22" s="151" t="s">
        <v>5196</v>
      </c>
      <c r="G22" s="151" t="s">
        <v>5197</v>
      </c>
      <c r="H22" s="151" t="s">
        <v>5193</v>
      </c>
      <c r="I22" s="152" t="s">
        <v>5141</v>
      </c>
      <c r="J22" s="153" t="s">
        <v>5195</v>
      </c>
      <c r="K22" s="177">
        <v>96500</v>
      </c>
      <c r="L22" s="177"/>
      <c r="M22" s="159">
        <f t="shared" si="0"/>
        <v>0</v>
      </c>
      <c r="N22" s="159"/>
      <c r="O22" s="159"/>
      <c r="P22" s="159"/>
      <c r="Q22" s="159"/>
      <c r="R22" s="159"/>
      <c r="S22" s="150" t="s">
        <v>5190</v>
      </c>
      <c r="T22" s="150" t="s">
        <v>5191</v>
      </c>
      <c r="U22" s="174" t="s">
        <v>5192</v>
      </c>
      <c r="V22" s="174" t="s">
        <v>211</v>
      </c>
      <c r="W22" s="151" t="s">
        <v>253</v>
      </c>
      <c r="X22" s="152" t="s">
        <v>5198</v>
      </c>
      <c r="Y22" s="176">
        <v>97000</v>
      </c>
      <c r="Z22" s="176">
        <v>750</v>
      </c>
      <c r="AA22" s="156">
        <f t="shared" si="1"/>
        <v>72375000</v>
      </c>
      <c r="AB22" s="157">
        <v>750</v>
      </c>
      <c r="AC22" s="158">
        <f t="shared" si="2"/>
        <v>750</v>
      </c>
      <c r="AD22" s="159">
        <f t="shared" si="3"/>
        <v>0</v>
      </c>
      <c r="AE22" s="160"/>
      <c r="AF22" s="160">
        <f t="shared" si="4"/>
        <v>0</v>
      </c>
      <c r="AG22" s="161"/>
      <c r="AH22" s="161">
        <f t="shared" si="5"/>
        <v>0</v>
      </c>
      <c r="AI22" s="162"/>
      <c r="AJ22" s="162">
        <f t="shared" si="6"/>
        <v>0</v>
      </c>
      <c r="AK22" s="164"/>
      <c r="AL22" s="164">
        <f t="shared" si="7"/>
        <v>0</v>
      </c>
      <c r="AM22" s="165"/>
      <c r="AN22" s="165">
        <f t="shared" si="8"/>
        <v>0</v>
      </c>
      <c r="AO22" s="166">
        <v>0</v>
      </c>
      <c r="AP22" s="166">
        <f t="shared" si="9"/>
        <v>0</v>
      </c>
      <c r="AQ22" s="162"/>
      <c r="AR22" s="162">
        <f t="shared" si="10"/>
        <v>0</v>
      </c>
      <c r="AS22" s="167"/>
      <c r="AT22" s="167">
        <f t="shared" si="11"/>
        <v>0</v>
      </c>
      <c r="AU22" s="163"/>
      <c r="AV22" s="163">
        <f t="shared" si="12"/>
        <v>0</v>
      </c>
      <c r="AW22" s="168"/>
      <c r="AX22" s="168">
        <f t="shared" si="13"/>
        <v>0</v>
      </c>
      <c r="AY22" s="170"/>
      <c r="AZ22" s="170">
        <f t="shared" si="14"/>
        <v>0</v>
      </c>
      <c r="BA22" s="166"/>
      <c r="BB22" s="166">
        <f t="shared" si="15"/>
        <v>0</v>
      </c>
    </row>
    <row r="23" spans="1:54" s="115" customFormat="1" ht="31.5">
      <c r="A23" s="148" t="s">
        <v>5199</v>
      </c>
      <c r="B23" s="175" t="s">
        <v>260</v>
      </c>
      <c r="C23" s="175"/>
      <c r="D23" s="175"/>
      <c r="E23" s="150" t="s">
        <v>5201</v>
      </c>
      <c r="F23" s="151" t="s">
        <v>5203</v>
      </c>
      <c r="G23" s="151" t="s">
        <v>5204</v>
      </c>
      <c r="H23" s="151" t="s">
        <v>262</v>
      </c>
      <c r="I23" s="152" t="s">
        <v>10</v>
      </c>
      <c r="J23" s="153" t="s">
        <v>5202</v>
      </c>
      <c r="K23" s="177">
        <v>11273</v>
      </c>
      <c r="L23" s="177"/>
      <c r="M23" s="159">
        <f t="shared" si="0"/>
        <v>0</v>
      </c>
      <c r="N23" s="159"/>
      <c r="O23" s="159"/>
      <c r="P23" s="159"/>
      <c r="Q23" s="159"/>
      <c r="R23" s="159"/>
      <c r="S23" s="149" t="s">
        <v>5099</v>
      </c>
      <c r="T23" s="150" t="s">
        <v>5100</v>
      </c>
      <c r="U23" s="174" t="s">
        <v>5200</v>
      </c>
      <c r="V23" s="174" t="s">
        <v>211</v>
      </c>
      <c r="W23" s="151" t="s">
        <v>253</v>
      </c>
      <c r="X23" s="152" t="s">
        <v>5116</v>
      </c>
      <c r="Y23" s="176">
        <v>11273</v>
      </c>
      <c r="Z23" s="176">
        <v>75000</v>
      </c>
      <c r="AA23" s="156">
        <f t="shared" si="1"/>
        <v>845475000</v>
      </c>
      <c r="AB23" s="157">
        <v>75000</v>
      </c>
      <c r="AC23" s="158">
        <f t="shared" si="2"/>
        <v>75000</v>
      </c>
      <c r="AD23" s="159">
        <f t="shared" si="3"/>
        <v>0</v>
      </c>
      <c r="AE23" s="160"/>
      <c r="AF23" s="160">
        <f t="shared" si="4"/>
        <v>0</v>
      </c>
      <c r="AG23" s="161"/>
      <c r="AH23" s="161">
        <f t="shared" si="5"/>
        <v>0</v>
      </c>
      <c r="AI23" s="162"/>
      <c r="AJ23" s="162">
        <f t="shared" si="6"/>
        <v>0</v>
      </c>
      <c r="AK23" s="164"/>
      <c r="AL23" s="164">
        <f t="shared" si="7"/>
        <v>0</v>
      </c>
      <c r="AM23" s="165"/>
      <c r="AN23" s="165">
        <f t="shared" si="8"/>
        <v>0</v>
      </c>
      <c r="AO23" s="166">
        <v>0</v>
      </c>
      <c r="AP23" s="166">
        <f t="shared" si="9"/>
        <v>0</v>
      </c>
      <c r="AQ23" s="162"/>
      <c r="AR23" s="162">
        <f t="shared" si="10"/>
        <v>0</v>
      </c>
      <c r="AS23" s="167"/>
      <c r="AT23" s="167">
        <f t="shared" si="11"/>
        <v>0</v>
      </c>
      <c r="AU23" s="163"/>
      <c r="AV23" s="163">
        <f t="shared" si="12"/>
        <v>0</v>
      </c>
      <c r="AW23" s="168"/>
      <c r="AX23" s="168">
        <f t="shared" si="13"/>
        <v>0</v>
      </c>
      <c r="AY23" s="170"/>
      <c r="AZ23" s="170">
        <f t="shared" si="14"/>
        <v>0</v>
      </c>
      <c r="BA23" s="166"/>
      <c r="BB23" s="166">
        <f t="shared" si="15"/>
        <v>0</v>
      </c>
    </row>
    <row r="24" spans="1:54">
      <c r="A24" s="172" t="s">
        <v>5205</v>
      </c>
      <c r="B24" s="175" t="s">
        <v>236</v>
      </c>
      <c r="C24" s="175"/>
      <c r="D24" s="175"/>
      <c r="E24" s="150" t="s">
        <v>405</v>
      </c>
      <c r="F24" s="151" t="s">
        <v>406</v>
      </c>
      <c r="G24" s="151" t="s">
        <v>407</v>
      </c>
      <c r="H24" s="151" t="s">
        <v>327</v>
      </c>
      <c r="I24" s="152" t="s">
        <v>10</v>
      </c>
      <c r="J24" s="153" t="s">
        <v>5208</v>
      </c>
      <c r="K24" s="177">
        <v>428</v>
      </c>
      <c r="L24" s="177"/>
      <c r="M24" s="159">
        <f t="shared" si="0"/>
        <v>43428</v>
      </c>
      <c r="N24" s="159"/>
      <c r="O24" s="159"/>
      <c r="P24" s="159"/>
      <c r="Q24" s="159"/>
      <c r="R24" s="159"/>
      <c r="S24" s="149" t="s">
        <v>5206</v>
      </c>
      <c r="T24" s="149" t="s">
        <v>5207</v>
      </c>
      <c r="U24" s="174" t="s">
        <v>4922</v>
      </c>
      <c r="V24" s="174" t="s">
        <v>211</v>
      </c>
      <c r="W24" s="151" t="s">
        <v>253</v>
      </c>
      <c r="X24" s="152" t="s">
        <v>5160</v>
      </c>
      <c r="Y24" s="176">
        <v>950</v>
      </c>
      <c r="Z24" s="176">
        <v>546000</v>
      </c>
      <c r="AA24" s="156">
        <f t="shared" si="1"/>
        <v>233688000</v>
      </c>
      <c r="AB24" s="157">
        <v>436576</v>
      </c>
      <c r="AC24" s="158">
        <f t="shared" si="2"/>
        <v>393148</v>
      </c>
      <c r="AD24" s="159">
        <f t="shared" si="3"/>
        <v>18587184</v>
      </c>
      <c r="AE24" s="160"/>
      <c r="AF24" s="160">
        <f t="shared" si="4"/>
        <v>0</v>
      </c>
      <c r="AG24" s="165"/>
      <c r="AH24" s="161">
        <f t="shared" si="5"/>
        <v>0</v>
      </c>
      <c r="AI24" s="162"/>
      <c r="AJ24" s="162">
        <f t="shared" si="6"/>
        <v>0</v>
      </c>
      <c r="AK24" s="163"/>
      <c r="AL24" s="164">
        <f t="shared" si="7"/>
        <v>0</v>
      </c>
      <c r="AM24" s="161">
        <v>29988</v>
      </c>
      <c r="AN24" s="165">
        <f t="shared" si="8"/>
        <v>12834864</v>
      </c>
      <c r="AO24" s="160">
        <v>0</v>
      </c>
      <c r="AP24" s="166">
        <f t="shared" si="9"/>
        <v>0</v>
      </c>
      <c r="AQ24" s="162"/>
      <c r="AR24" s="162">
        <f t="shared" si="10"/>
        <v>0</v>
      </c>
      <c r="AS24" s="173">
        <v>13440</v>
      </c>
      <c r="AT24" s="167">
        <f t="shared" si="11"/>
        <v>5752320</v>
      </c>
      <c r="AU24" s="163"/>
      <c r="AV24" s="163">
        <f t="shared" si="12"/>
        <v>0</v>
      </c>
      <c r="AW24" s="162"/>
      <c r="AX24" s="168">
        <f t="shared" si="13"/>
        <v>0</v>
      </c>
      <c r="AY24" s="169"/>
      <c r="AZ24" s="170">
        <f t="shared" si="14"/>
        <v>0</v>
      </c>
      <c r="BA24" s="160"/>
      <c r="BB24" s="166">
        <f t="shared" si="15"/>
        <v>0</v>
      </c>
    </row>
    <row r="25" spans="1:54" s="131" customFormat="1">
      <c r="A25" s="148" t="s">
        <v>5209</v>
      </c>
      <c r="B25" s="175" t="s">
        <v>236</v>
      </c>
      <c r="C25" s="175"/>
      <c r="D25" s="175"/>
      <c r="E25" s="150" t="s">
        <v>408</v>
      </c>
      <c r="F25" s="151" t="s">
        <v>409</v>
      </c>
      <c r="G25" s="151" t="s">
        <v>407</v>
      </c>
      <c r="H25" s="151" t="s">
        <v>238</v>
      </c>
      <c r="I25" s="152" t="s">
        <v>10</v>
      </c>
      <c r="J25" s="153" t="s">
        <v>5208</v>
      </c>
      <c r="K25" s="177">
        <v>530</v>
      </c>
      <c r="L25" s="177"/>
      <c r="M25" s="159">
        <f t="shared" si="0"/>
        <v>1960</v>
      </c>
      <c r="N25" s="159"/>
      <c r="O25" s="159"/>
      <c r="P25" s="159"/>
      <c r="Q25" s="159"/>
      <c r="R25" s="159"/>
      <c r="S25" s="149" t="s">
        <v>5206</v>
      </c>
      <c r="T25" s="149" t="s">
        <v>5207</v>
      </c>
      <c r="U25" s="174" t="s">
        <v>4921</v>
      </c>
      <c r="V25" s="174" t="s">
        <v>211</v>
      </c>
      <c r="W25" s="151" t="s">
        <v>253</v>
      </c>
      <c r="X25" s="152" t="s">
        <v>5160</v>
      </c>
      <c r="Y25" s="176">
        <v>1100</v>
      </c>
      <c r="Z25" s="176">
        <v>182000</v>
      </c>
      <c r="AA25" s="156">
        <f t="shared" si="1"/>
        <v>96460000</v>
      </c>
      <c r="AB25" s="157">
        <v>154000</v>
      </c>
      <c r="AC25" s="158">
        <f t="shared" si="2"/>
        <v>152040</v>
      </c>
      <c r="AD25" s="159">
        <f t="shared" si="3"/>
        <v>1038800</v>
      </c>
      <c r="AE25" s="160"/>
      <c r="AF25" s="160">
        <f t="shared" si="4"/>
        <v>0</v>
      </c>
      <c r="AG25" s="165"/>
      <c r="AH25" s="161">
        <f t="shared" si="5"/>
        <v>0</v>
      </c>
      <c r="AI25" s="162"/>
      <c r="AJ25" s="162">
        <f t="shared" si="6"/>
        <v>0</v>
      </c>
      <c r="AK25" s="163"/>
      <c r="AL25" s="164">
        <f t="shared" si="7"/>
        <v>0</v>
      </c>
      <c r="AM25" s="161"/>
      <c r="AN25" s="165">
        <f t="shared" si="8"/>
        <v>0</v>
      </c>
      <c r="AO25" s="160">
        <v>0</v>
      </c>
      <c r="AP25" s="166">
        <f t="shared" si="9"/>
        <v>0</v>
      </c>
      <c r="AQ25" s="162"/>
      <c r="AR25" s="162">
        <f t="shared" si="10"/>
        <v>0</v>
      </c>
      <c r="AS25" s="173">
        <v>1960</v>
      </c>
      <c r="AT25" s="167">
        <f t="shared" si="11"/>
        <v>1038800</v>
      </c>
      <c r="AU25" s="163"/>
      <c r="AV25" s="163">
        <f t="shared" si="12"/>
        <v>0</v>
      </c>
      <c r="AW25" s="162"/>
      <c r="AX25" s="168">
        <f t="shared" si="13"/>
        <v>0</v>
      </c>
      <c r="AY25" s="169"/>
      <c r="AZ25" s="170">
        <f t="shared" si="14"/>
        <v>0</v>
      </c>
      <c r="BA25" s="160"/>
      <c r="BB25" s="166">
        <f t="shared" si="15"/>
        <v>0</v>
      </c>
    </row>
    <row r="26" spans="1:54" s="131" customFormat="1" ht="31.5">
      <c r="A26" s="148" t="s">
        <v>5210</v>
      </c>
      <c r="B26" s="175" t="s">
        <v>287</v>
      </c>
      <c r="C26" s="175"/>
      <c r="D26" s="175"/>
      <c r="E26" s="150" t="s">
        <v>5214</v>
      </c>
      <c r="F26" s="151" t="s">
        <v>5216</v>
      </c>
      <c r="G26" s="151" t="s">
        <v>288</v>
      </c>
      <c r="H26" s="151" t="s">
        <v>267</v>
      </c>
      <c r="I26" s="152" t="s">
        <v>10</v>
      </c>
      <c r="J26" s="153" t="s">
        <v>5215</v>
      </c>
      <c r="K26" s="155">
        <v>2900</v>
      </c>
      <c r="L26" s="155"/>
      <c r="M26" s="159">
        <f t="shared" si="0"/>
        <v>0</v>
      </c>
      <c r="N26" s="159"/>
      <c r="O26" s="159"/>
      <c r="P26" s="159"/>
      <c r="Q26" s="159"/>
      <c r="R26" s="159"/>
      <c r="S26" s="149" t="s">
        <v>5211</v>
      </c>
      <c r="T26" s="149" t="s">
        <v>5212</v>
      </c>
      <c r="U26" s="174" t="s">
        <v>5213</v>
      </c>
      <c r="V26" s="174" t="s">
        <v>211</v>
      </c>
      <c r="W26" s="151" t="s">
        <v>253</v>
      </c>
      <c r="X26" s="151" t="s">
        <v>5217</v>
      </c>
      <c r="Y26" s="154">
        <v>3200</v>
      </c>
      <c r="Z26" s="154">
        <v>75000</v>
      </c>
      <c r="AA26" s="156">
        <f t="shared" si="1"/>
        <v>217500000</v>
      </c>
      <c r="AB26" s="157">
        <v>71500</v>
      </c>
      <c r="AC26" s="158">
        <f t="shared" si="2"/>
        <v>71500</v>
      </c>
      <c r="AD26" s="159">
        <f t="shared" si="3"/>
        <v>0</v>
      </c>
      <c r="AE26" s="160"/>
      <c r="AF26" s="160">
        <f t="shared" si="4"/>
        <v>0</v>
      </c>
      <c r="AG26" s="161"/>
      <c r="AH26" s="161">
        <f t="shared" si="5"/>
        <v>0</v>
      </c>
      <c r="AI26" s="162"/>
      <c r="AJ26" s="162">
        <f t="shared" si="6"/>
        <v>0</v>
      </c>
      <c r="AK26" s="164"/>
      <c r="AL26" s="164">
        <f t="shared" si="7"/>
        <v>0</v>
      </c>
      <c r="AM26" s="165"/>
      <c r="AN26" s="165">
        <f t="shared" si="8"/>
        <v>0</v>
      </c>
      <c r="AO26" s="166">
        <v>0</v>
      </c>
      <c r="AP26" s="166">
        <f t="shared" si="9"/>
        <v>0</v>
      </c>
      <c r="AQ26" s="162"/>
      <c r="AR26" s="162">
        <f t="shared" si="10"/>
        <v>0</v>
      </c>
      <c r="AS26" s="167"/>
      <c r="AT26" s="167">
        <f t="shared" si="11"/>
        <v>0</v>
      </c>
      <c r="AU26" s="163"/>
      <c r="AV26" s="163">
        <f t="shared" si="12"/>
        <v>0</v>
      </c>
      <c r="AW26" s="168"/>
      <c r="AX26" s="168">
        <f t="shared" si="13"/>
        <v>0</v>
      </c>
      <c r="AY26" s="170"/>
      <c r="AZ26" s="170">
        <f t="shared" si="14"/>
        <v>0</v>
      </c>
      <c r="BA26" s="166"/>
      <c r="BB26" s="166">
        <f t="shared" si="15"/>
        <v>0</v>
      </c>
    </row>
    <row r="27" spans="1:54" s="131" customFormat="1" ht="31.5">
      <c r="A27" s="172" t="s">
        <v>5218</v>
      </c>
      <c r="B27" s="175" t="s">
        <v>359</v>
      </c>
      <c r="C27" s="175"/>
      <c r="D27" s="175"/>
      <c r="E27" s="150" t="s">
        <v>456</v>
      </c>
      <c r="F27" s="151" t="s">
        <v>457</v>
      </c>
      <c r="G27" s="151" t="s">
        <v>458</v>
      </c>
      <c r="H27" s="151" t="s">
        <v>262</v>
      </c>
      <c r="I27" s="152" t="s">
        <v>10</v>
      </c>
      <c r="J27" s="153" t="s">
        <v>5221</v>
      </c>
      <c r="K27" s="177">
        <v>1780</v>
      </c>
      <c r="L27" s="177"/>
      <c r="M27" s="159">
        <f t="shared" si="0"/>
        <v>3900</v>
      </c>
      <c r="N27" s="159"/>
      <c r="O27" s="159"/>
      <c r="P27" s="159"/>
      <c r="Q27" s="159"/>
      <c r="R27" s="159"/>
      <c r="S27" s="149" t="s">
        <v>5219</v>
      </c>
      <c r="T27" s="149" t="s">
        <v>5220</v>
      </c>
      <c r="U27" s="174" t="s">
        <v>4924</v>
      </c>
      <c r="V27" s="174" t="s">
        <v>211</v>
      </c>
      <c r="W27" s="151">
        <v>60</v>
      </c>
      <c r="X27" s="152" t="s">
        <v>5222</v>
      </c>
      <c r="Y27" s="176">
        <v>2500</v>
      </c>
      <c r="Z27" s="176">
        <v>109200</v>
      </c>
      <c r="AA27" s="156">
        <f t="shared" si="1"/>
        <v>194376000</v>
      </c>
      <c r="AB27" s="157">
        <v>104490</v>
      </c>
      <c r="AC27" s="158">
        <f t="shared" si="2"/>
        <v>100590</v>
      </c>
      <c r="AD27" s="159">
        <f t="shared" si="3"/>
        <v>6942000</v>
      </c>
      <c r="AE27" s="160"/>
      <c r="AF27" s="160">
        <f t="shared" si="4"/>
        <v>0</v>
      </c>
      <c r="AG27" s="161">
        <v>3000</v>
      </c>
      <c r="AH27" s="161">
        <f t="shared" si="5"/>
        <v>5340000</v>
      </c>
      <c r="AI27" s="162"/>
      <c r="AJ27" s="162">
        <f t="shared" si="6"/>
        <v>0</v>
      </c>
      <c r="AK27" s="164"/>
      <c r="AL27" s="164">
        <f t="shared" si="7"/>
        <v>0</v>
      </c>
      <c r="AM27" s="165"/>
      <c r="AN27" s="165">
        <f t="shared" si="8"/>
        <v>0</v>
      </c>
      <c r="AO27" s="166">
        <v>0</v>
      </c>
      <c r="AP27" s="166">
        <f t="shared" si="9"/>
        <v>0</v>
      </c>
      <c r="AQ27" s="162"/>
      <c r="AR27" s="162">
        <f t="shared" si="10"/>
        <v>0</v>
      </c>
      <c r="AS27" s="167">
        <v>900</v>
      </c>
      <c r="AT27" s="167">
        <f t="shared" si="11"/>
        <v>1602000</v>
      </c>
      <c r="AU27" s="163"/>
      <c r="AV27" s="163">
        <f t="shared" si="12"/>
        <v>0</v>
      </c>
      <c r="AW27" s="168"/>
      <c r="AX27" s="168">
        <f t="shared" si="13"/>
        <v>0</v>
      </c>
      <c r="AY27" s="170"/>
      <c r="AZ27" s="170">
        <f t="shared" si="14"/>
        <v>0</v>
      </c>
      <c r="BA27" s="166"/>
      <c r="BB27" s="166">
        <f t="shared" si="15"/>
        <v>0</v>
      </c>
    </row>
    <row r="28" spans="1:54" s="131" customFormat="1" ht="31.5">
      <c r="A28" s="148" t="s">
        <v>5223</v>
      </c>
      <c r="B28" s="175" t="s">
        <v>515</v>
      </c>
      <c r="C28" s="175"/>
      <c r="D28" s="175"/>
      <c r="E28" s="150" t="s">
        <v>516</v>
      </c>
      <c r="F28" s="151" t="s">
        <v>5225</v>
      </c>
      <c r="G28" s="151" t="s">
        <v>519</v>
      </c>
      <c r="H28" s="151" t="s">
        <v>517</v>
      </c>
      <c r="I28" s="152" t="s">
        <v>5141</v>
      </c>
      <c r="J28" s="153" t="s">
        <v>5120</v>
      </c>
      <c r="K28" s="177">
        <v>8376</v>
      </c>
      <c r="L28" s="177"/>
      <c r="M28" s="159">
        <f t="shared" si="0"/>
        <v>0</v>
      </c>
      <c r="N28" s="159"/>
      <c r="O28" s="159"/>
      <c r="P28" s="159"/>
      <c r="Q28" s="159"/>
      <c r="R28" s="159"/>
      <c r="S28" s="150" t="s">
        <v>5118</v>
      </c>
      <c r="T28" s="150" t="s">
        <v>5119</v>
      </c>
      <c r="U28" s="174" t="s">
        <v>5224</v>
      </c>
      <c r="V28" s="174" t="s">
        <v>211</v>
      </c>
      <c r="W28" s="151">
        <v>60</v>
      </c>
      <c r="X28" s="151" t="s">
        <v>5121</v>
      </c>
      <c r="Y28" s="176">
        <v>8377</v>
      </c>
      <c r="Z28" s="176">
        <v>15000</v>
      </c>
      <c r="AA28" s="156">
        <f t="shared" si="1"/>
        <v>125640000</v>
      </c>
      <c r="AB28" s="157">
        <v>15000</v>
      </c>
      <c r="AC28" s="158">
        <f t="shared" si="2"/>
        <v>15000</v>
      </c>
      <c r="AD28" s="159">
        <f t="shared" si="3"/>
        <v>0</v>
      </c>
      <c r="AE28" s="160"/>
      <c r="AF28" s="160">
        <f t="shared" si="4"/>
        <v>0</v>
      </c>
      <c r="AG28" s="165"/>
      <c r="AH28" s="161">
        <f t="shared" si="5"/>
        <v>0</v>
      </c>
      <c r="AI28" s="162"/>
      <c r="AJ28" s="162">
        <f t="shared" si="6"/>
        <v>0</v>
      </c>
      <c r="AK28" s="164"/>
      <c r="AL28" s="164">
        <f t="shared" si="7"/>
        <v>0</v>
      </c>
      <c r="AM28" s="165"/>
      <c r="AN28" s="165">
        <f t="shared" si="8"/>
        <v>0</v>
      </c>
      <c r="AO28" s="166">
        <v>0</v>
      </c>
      <c r="AP28" s="166">
        <f t="shared" si="9"/>
        <v>0</v>
      </c>
      <c r="AQ28" s="162"/>
      <c r="AR28" s="162">
        <f t="shared" si="10"/>
        <v>0</v>
      </c>
      <c r="AS28" s="173"/>
      <c r="AT28" s="167">
        <f t="shared" si="11"/>
        <v>0</v>
      </c>
      <c r="AU28" s="163"/>
      <c r="AV28" s="163">
        <f t="shared" si="12"/>
        <v>0</v>
      </c>
      <c r="AW28" s="168"/>
      <c r="AX28" s="168">
        <f t="shared" si="13"/>
        <v>0</v>
      </c>
      <c r="AY28" s="170"/>
      <c r="AZ28" s="170">
        <f t="shared" si="14"/>
        <v>0</v>
      </c>
      <c r="BA28" s="166"/>
      <c r="BB28" s="166">
        <f t="shared" si="15"/>
        <v>0</v>
      </c>
    </row>
    <row r="29" spans="1:54" s="131" customFormat="1" ht="31.5">
      <c r="A29" s="148" t="s">
        <v>5226</v>
      </c>
      <c r="B29" s="175" t="s">
        <v>515</v>
      </c>
      <c r="C29" s="175"/>
      <c r="D29" s="175"/>
      <c r="E29" s="150" t="s">
        <v>521</v>
      </c>
      <c r="F29" s="151" t="s">
        <v>522</v>
      </c>
      <c r="G29" s="151" t="s">
        <v>523</v>
      </c>
      <c r="H29" s="151" t="s">
        <v>238</v>
      </c>
      <c r="I29" s="152" t="s">
        <v>10</v>
      </c>
      <c r="J29" s="153" t="s">
        <v>5227</v>
      </c>
      <c r="K29" s="177">
        <v>1120</v>
      </c>
      <c r="L29" s="177"/>
      <c r="M29" s="159">
        <f t="shared" si="0"/>
        <v>6700</v>
      </c>
      <c r="N29" s="159"/>
      <c r="O29" s="159"/>
      <c r="P29" s="159"/>
      <c r="Q29" s="159"/>
      <c r="R29" s="159"/>
      <c r="S29" s="150" t="s">
        <v>5118</v>
      </c>
      <c r="T29" s="150" t="s">
        <v>5119</v>
      </c>
      <c r="U29" s="174" t="s">
        <v>4819</v>
      </c>
      <c r="V29" s="174" t="s">
        <v>211</v>
      </c>
      <c r="W29" s="151">
        <v>36</v>
      </c>
      <c r="X29" s="152" t="s">
        <v>5116</v>
      </c>
      <c r="Y29" s="176">
        <v>1120</v>
      </c>
      <c r="Z29" s="176">
        <v>109200</v>
      </c>
      <c r="AA29" s="156">
        <f t="shared" si="1"/>
        <v>122304000</v>
      </c>
      <c r="AB29" s="157">
        <v>84700</v>
      </c>
      <c r="AC29" s="158">
        <f t="shared" si="2"/>
        <v>78000</v>
      </c>
      <c r="AD29" s="159">
        <f t="shared" si="3"/>
        <v>7504000</v>
      </c>
      <c r="AE29" s="160"/>
      <c r="AF29" s="160">
        <f t="shared" si="4"/>
        <v>0</v>
      </c>
      <c r="AG29" s="165"/>
      <c r="AH29" s="161">
        <f t="shared" si="5"/>
        <v>0</v>
      </c>
      <c r="AI29" s="162"/>
      <c r="AJ29" s="162">
        <f t="shared" si="6"/>
        <v>0</v>
      </c>
      <c r="AK29" s="164"/>
      <c r="AL29" s="164">
        <f t="shared" si="7"/>
        <v>0</v>
      </c>
      <c r="AM29" s="165">
        <v>6000</v>
      </c>
      <c r="AN29" s="165">
        <f t="shared" si="8"/>
        <v>6720000</v>
      </c>
      <c r="AO29" s="166">
        <v>700</v>
      </c>
      <c r="AP29" s="166">
        <f t="shared" si="9"/>
        <v>784000</v>
      </c>
      <c r="AQ29" s="162"/>
      <c r="AR29" s="162">
        <f t="shared" si="10"/>
        <v>0</v>
      </c>
      <c r="AS29" s="173"/>
      <c r="AT29" s="167">
        <f t="shared" si="11"/>
        <v>0</v>
      </c>
      <c r="AU29" s="163"/>
      <c r="AV29" s="163">
        <f t="shared" si="12"/>
        <v>0</v>
      </c>
      <c r="AW29" s="168"/>
      <c r="AX29" s="168">
        <f t="shared" si="13"/>
        <v>0</v>
      </c>
      <c r="AY29" s="170"/>
      <c r="AZ29" s="170">
        <f t="shared" si="14"/>
        <v>0</v>
      </c>
      <c r="BA29" s="166"/>
      <c r="BB29" s="166">
        <f t="shared" si="15"/>
        <v>0</v>
      </c>
    </row>
    <row r="30" spans="1:54" s="131" customFormat="1" ht="31.5">
      <c r="A30" s="172" t="s">
        <v>5228</v>
      </c>
      <c r="B30" s="175" t="s">
        <v>286</v>
      </c>
      <c r="C30" s="175"/>
      <c r="D30" s="175"/>
      <c r="E30" s="150" t="s">
        <v>5232</v>
      </c>
      <c r="F30" s="151" t="s">
        <v>5233</v>
      </c>
      <c r="G30" s="151" t="s">
        <v>5234</v>
      </c>
      <c r="H30" s="151" t="s">
        <v>225</v>
      </c>
      <c r="I30" s="152" t="s">
        <v>10</v>
      </c>
      <c r="J30" s="153" t="s">
        <v>5107</v>
      </c>
      <c r="K30" s="155">
        <v>21480</v>
      </c>
      <c r="L30" s="155"/>
      <c r="M30" s="159">
        <f t="shared" si="0"/>
        <v>0</v>
      </c>
      <c r="N30" s="159"/>
      <c r="O30" s="159"/>
      <c r="P30" s="159"/>
      <c r="Q30" s="159"/>
      <c r="R30" s="159"/>
      <c r="S30" s="150" t="s">
        <v>5229</v>
      </c>
      <c r="T30" s="150" t="s">
        <v>5230</v>
      </c>
      <c r="U30" s="174" t="s">
        <v>5231</v>
      </c>
      <c r="V30" s="174" t="s">
        <v>211</v>
      </c>
      <c r="W30" s="151" t="s">
        <v>5104</v>
      </c>
      <c r="X30" s="151" t="s">
        <v>5222</v>
      </c>
      <c r="Y30" s="154">
        <v>35000</v>
      </c>
      <c r="Z30" s="154">
        <v>54600</v>
      </c>
      <c r="AA30" s="156">
        <f t="shared" si="1"/>
        <v>1172808000</v>
      </c>
      <c r="AB30" s="157">
        <v>54600</v>
      </c>
      <c r="AC30" s="158">
        <f t="shared" si="2"/>
        <v>54600</v>
      </c>
      <c r="AD30" s="159">
        <f t="shared" si="3"/>
        <v>0</v>
      </c>
      <c r="AE30" s="160"/>
      <c r="AF30" s="160">
        <f t="shared" si="4"/>
        <v>0</v>
      </c>
      <c r="AG30" s="161"/>
      <c r="AH30" s="161">
        <f t="shared" si="5"/>
        <v>0</v>
      </c>
      <c r="AI30" s="162"/>
      <c r="AJ30" s="162">
        <f t="shared" si="6"/>
        <v>0</v>
      </c>
      <c r="AK30" s="164"/>
      <c r="AL30" s="164">
        <f t="shared" si="7"/>
        <v>0</v>
      </c>
      <c r="AM30" s="165"/>
      <c r="AN30" s="165">
        <f t="shared" si="8"/>
        <v>0</v>
      </c>
      <c r="AO30" s="166">
        <v>0</v>
      </c>
      <c r="AP30" s="166">
        <f t="shared" si="9"/>
        <v>0</v>
      </c>
      <c r="AQ30" s="162"/>
      <c r="AR30" s="162">
        <f t="shared" si="10"/>
        <v>0</v>
      </c>
      <c r="AS30" s="167"/>
      <c r="AT30" s="167">
        <f t="shared" si="11"/>
        <v>0</v>
      </c>
      <c r="AU30" s="163"/>
      <c r="AV30" s="163">
        <f t="shared" si="12"/>
        <v>0</v>
      </c>
      <c r="AW30" s="168"/>
      <c r="AX30" s="168">
        <f t="shared" si="13"/>
        <v>0</v>
      </c>
      <c r="AY30" s="170"/>
      <c r="AZ30" s="170">
        <f t="shared" si="14"/>
        <v>0</v>
      </c>
      <c r="BA30" s="166"/>
      <c r="BB30" s="166">
        <f t="shared" si="15"/>
        <v>0</v>
      </c>
    </row>
    <row r="31" spans="1:54" s="131" customFormat="1">
      <c r="A31" s="148" t="s">
        <v>5235</v>
      </c>
      <c r="B31" s="175" t="s">
        <v>5237</v>
      </c>
      <c r="C31" s="175"/>
      <c r="D31" s="175"/>
      <c r="E31" s="150" t="s">
        <v>5239</v>
      </c>
      <c r="F31" s="151" t="s">
        <v>5241</v>
      </c>
      <c r="G31" s="151" t="s">
        <v>5242</v>
      </c>
      <c r="H31" s="151" t="s">
        <v>5238</v>
      </c>
      <c r="I31" s="152" t="s">
        <v>5141</v>
      </c>
      <c r="J31" s="153" t="s">
        <v>5240</v>
      </c>
      <c r="K31" s="177">
        <v>15687</v>
      </c>
      <c r="L31" s="177"/>
      <c r="M31" s="159">
        <f t="shared" si="0"/>
        <v>0</v>
      </c>
      <c r="N31" s="159"/>
      <c r="O31" s="159"/>
      <c r="P31" s="159"/>
      <c r="Q31" s="159"/>
      <c r="R31" s="159"/>
      <c r="S31" s="150" t="s">
        <v>5153</v>
      </c>
      <c r="T31" s="150" t="s">
        <v>5154</v>
      </c>
      <c r="U31" s="174" t="s">
        <v>5236</v>
      </c>
      <c r="V31" s="174" t="s">
        <v>211</v>
      </c>
      <c r="W31" s="151" t="s">
        <v>5104</v>
      </c>
      <c r="X31" s="152" t="s">
        <v>5156</v>
      </c>
      <c r="Y31" s="176">
        <v>16449</v>
      </c>
      <c r="Z31" s="176">
        <v>210</v>
      </c>
      <c r="AA31" s="156">
        <f t="shared" si="1"/>
        <v>3294270</v>
      </c>
      <c r="AB31" s="157">
        <v>210</v>
      </c>
      <c r="AC31" s="158">
        <f t="shared" si="2"/>
        <v>210</v>
      </c>
      <c r="AD31" s="159">
        <f t="shared" si="3"/>
        <v>0</v>
      </c>
      <c r="AE31" s="160"/>
      <c r="AF31" s="160">
        <f t="shared" si="4"/>
        <v>0</v>
      </c>
      <c r="AG31" s="165"/>
      <c r="AH31" s="161">
        <f t="shared" si="5"/>
        <v>0</v>
      </c>
      <c r="AI31" s="162"/>
      <c r="AJ31" s="162">
        <f t="shared" si="6"/>
        <v>0</v>
      </c>
      <c r="AK31" s="164"/>
      <c r="AL31" s="164">
        <f t="shared" si="7"/>
        <v>0</v>
      </c>
      <c r="AM31" s="165"/>
      <c r="AN31" s="165">
        <f t="shared" si="8"/>
        <v>0</v>
      </c>
      <c r="AO31" s="166">
        <v>0</v>
      </c>
      <c r="AP31" s="166">
        <f t="shared" si="9"/>
        <v>0</v>
      </c>
      <c r="AQ31" s="162"/>
      <c r="AR31" s="162">
        <f t="shared" si="10"/>
        <v>0</v>
      </c>
      <c r="AS31" s="173"/>
      <c r="AT31" s="167">
        <f t="shared" si="11"/>
        <v>0</v>
      </c>
      <c r="AU31" s="163"/>
      <c r="AV31" s="163">
        <f t="shared" si="12"/>
        <v>0</v>
      </c>
      <c r="AW31" s="168"/>
      <c r="AX31" s="168">
        <f t="shared" si="13"/>
        <v>0</v>
      </c>
      <c r="AY31" s="170"/>
      <c r="AZ31" s="170">
        <f t="shared" si="14"/>
        <v>0</v>
      </c>
      <c r="BA31" s="166"/>
      <c r="BB31" s="166">
        <f t="shared" si="15"/>
        <v>0</v>
      </c>
    </row>
    <row r="32" spans="1:54" s="131" customFormat="1" ht="47.25">
      <c r="A32" s="148" t="s">
        <v>5243</v>
      </c>
      <c r="B32" s="175" t="s">
        <v>294</v>
      </c>
      <c r="C32" s="175"/>
      <c r="D32" s="175"/>
      <c r="E32" s="150" t="s">
        <v>5123</v>
      </c>
      <c r="F32" s="151" t="s">
        <v>297</v>
      </c>
      <c r="G32" s="151" t="s">
        <v>298</v>
      </c>
      <c r="H32" s="151" t="s">
        <v>296</v>
      </c>
      <c r="I32" s="152" t="s">
        <v>10</v>
      </c>
      <c r="J32" s="153" t="s">
        <v>5124</v>
      </c>
      <c r="K32" s="177">
        <v>6750</v>
      </c>
      <c r="L32" s="177"/>
      <c r="M32" s="159">
        <f t="shared" si="0"/>
        <v>0</v>
      </c>
      <c r="N32" s="159"/>
      <c r="O32" s="159"/>
      <c r="P32" s="159"/>
      <c r="Q32" s="159"/>
      <c r="R32" s="159"/>
      <c r="S32" s="149" t="s">
        <v>5099</v>
      </c>
      <c r="T32" s="150" t="s">
        <v>5100</v>
      </c>
      <c r="U32" s="174" t="s">
        <v>4836</v>
      </c>
      <c r="V32" s="174" t="s">
        <v>211</v>
      </c>
      <c r="W32" s="151" t="s">
        <v>253</v>
      </c>
      <c r="X32" s="152" t="s">
        <v>5116</v>
      </c>
      <c r="Y32" s="176">
        <v>6753</v>
      </c>
      <c r="Z32" s="176">
        <v>18200</v>
      </c>
      <c r="AA32" s="156">
        <f t="shared" si="1"/>
        <v>122850000</v>
      </c>
      <c r="AB32" s="157">
        <v>18200</v>
      </c>
      <c r="AC32" s="158">
        <f t="shared" si="2"/>
        <v>18200</v>
      </c>
      <c r="AD32" s="159">
        <f t="shared" si="3"/>
        <v>0</v>
      </c>
      <c r="AE32" s="160"/>
      <c r="AF32" s="160">
        <f t="shared" si="4"/>
        <v>0</v>
      </c>
      <c r="AG32" s="161"/>
      <c r="AH32" s="161">
        <f t="shared" si="5"/>
        <v>0</v>
      </c>
      <c r="AI32" s="162"/>
      <c r="AJ32" s="162">
        <f t="shared" si="6"/>
        <v>0</v>
      </c>
      <c r="AK32" s="164"/>
      <c r="AL32" s="164">
        <f t="shared" si="7"/>
        <v>0</v>
      </c>
      <c r="AM32" s="165"/>
      <c r="AN32" s="165">
        <f t="shared" si="8"/>
        <v>0</v>
      </c>
      <c r="AO32" s="166">
        <v>0</v>
      </c>
      <c r="AP32" s="166">
        <f t="shared" si="9"/>
        <v>0</v>
      </c>
      <c r="AQ32" s="162"/>
      <c r="AR32" s="162">
        <f t="shared" si="10"/>
        <v>0</v>
      </c>
      <c r="AS32" s="167"/>
      <c r="AT32" s="167">
        <f t="shared" si="11"/>
        <v>0</v>
      </c>
      <c r="AU32" s="163"/>
      <c r="AV32" s="163">
        <f t="shared" si="12"/>
        <v>0</v>
      </c>
      <c r="AW32" s="168"/>
      <c r="AX32" s="168">
        <f t="shared" si="13"/>
        <v>0</v>
      </c>
      <c r="AY32" s="170"/>
      <c r="AZ32" s="170">
        <f t="shared" si="14"/>
        <v>0</v>
      </c>
      <c r="BA32" s="166"/>
      <c r="BB32" s="166">
        <f t="shared" si="15"/>
        <v>0</v>
      </c>
    </row>
    <row r="33" spans="1:54" s="131" customFormat="1" ht="31.5">
      <c r="A33" s="172" t="s">
        <v>5244</v>
      </c>
      <c r="B33" s="175" t="s">
        <v>353</v>
      </c>
      <c r="C33" s="175"/>
      <c r="D33" s="175"/>
      <c r="E33" s="150" t="s">
        <v>5246</v>
      </c>
      <c r="F33" s="151" t="s">
        <v>525</v>
      </c>
      <c r="G33" s="151" t="s">
        <v>526</v>
      </c>
      <c r="H33" s="151" t="s">
        <v>524</v>
      </c>
      <c r="I33" s="152" t="s">
        <v>5141</v>
      </c>
      <c r="J33" s="153" t="s">
        <v>5247</v>
      </c>
      <c r="K33" s="177">
        <v>22761</v>
      </c>
      <c r="L33" s="177"/>
      <c r="M33" s="159">
        <f t="shared" si="0"/>
        <v>0</v>
      </c>
      <c r="N33" s="159"/>
      <c r="O33" s="159"/>
      <c r="P33" s="159"/>
      <c r="Q33" s="159"/>
      <c r="R33" s="159"/>
      <c r="S33" s="150" t="s">
        <v>5118</v>
      </c>
      <c r="T33" s="150" t="s">
        <v>5119</v>
      </c>
      <c r="U33" s="174" t="s">
        <v>5245</v>
      </c>
      <c r="V33" s="174" t="s">
        <v>211</v>
      </c>
      <c r="W33" s="151">
        <v>60</v>
      </c>
      <c r="X33" s="151" t="s">
        <v>5121</v>
      </c>
      <c r="Y33" s="176">
        <v>22761</v>
      </c>
      <c r="Z33" s="176">
        <v>2700</v>
      </c>
      <c r="AA33" s="156">
        <f t="shared" si="1"/>
        <v>61454700</v>
      </c>
      <c r="AB33" s="157">
        <v>2700</v>
      </c>
      <c r="AC33" s="158">
        <f t="shared" si="2"/>
        <v>2700</v>
      </c>
      <c r="AD33" s="159">
        <f t="shared" si="3"/>
        <v>0</v>
      </c>
      <c r="AE33" s="160"/>
      <c r="AF33" s="160">
        <f t="shared" si="4"/>
        <v>0</v>
      </c>
      <c r="AG33" s="165"/>
      <c r="AH33" s="161">
        <f t="shared" si="5"/>
        <v>0</v>
      </c>
      <c r="AI33" s="162"/>
      <c r="AJ33" s="162">
        <f t="shared" si="6"/>
        <v>0</v>
      </c>
      <c r="AK33" s="164"/>
      <c r="AL33" s="164">
        <f t="shared" si="7"/>
        <v>0</v>
      </c>
      <c r="AM33" s="165"/>
      <c r="AN33" s="165">
        <f t="shared" si="8"/>
        <v>0</v>
      </c>
      <c r="AO33" s="166">
        <v>0</v>
      </c>
      <c r="AP33" s="166">
        <f t="shared" si="9"/>
        <v>0</v>
      </c>
      <c r="AQ33" s="162"/>
      <c r="AR33" s="162">
        <f t="shared" si="10"/>
        <v>0</v>
      </c>
      <c r="AS33" s="173"/>
      <c r="AT33" s="167">
        <f t="shared" si="11"/>
        <v>0</v>
      </c>
      <c r="AU33" s="163"/>
      <c r="AV33" s="163">
        <f t="shared" si="12"/>
        <v>0</v>
      </c>
      <c r="AW33" s="168"/>
      <c r="AX33" s="168">
        <f t="shared" si="13"/>
        <v>0</v>
      </c>
      <c r="AY33" s="170"/>
      <c r="AZ33" s="170">
        <f t="shared" si="14"/>
        <v>0</v>
      </c>
      <c r="BA33" s="166"/>
      <c r="BB33" s="166">
        <f t="shared" si="15"/>
        <v>0</v>
      </c>
    </row>
    <row r="34" spans="1:54" s="131" customFormat="1" ht="31.5">
      <c r="A34" s="148" t="s">
        <v>5248</v>
      </c>
      <c r="B34" s="175" t="s">
        <v>353</v>
      </c>
      <c r="C34" s="175"/>
      <c r="D34" s="175"/>
      <c r="E34" s="150" t="s">
        <v>461</v>
      </c>
      <c r="F34" s="151" t="s">
        <v>462</v>
      </c>
      <c r="G34" s="151" t="s">
        <v>458</v>
      </c>
      <c r="H34" s="151" t="s">
        <v>381</v>
      </c>
      <c r="I34" s="152" t="s">
        <v>10</v>
      </c>
      <c r="J34" s="153" t="s">
        <v>5221</v>
      </c>
      <c r="K34" s="177">
        <v>1410</v>
      </c>
      <c r="L34" s="177"/>
      <c r="M34" s="159">
        <f t="shared" si="0"/>
        <v>21000</v>
      </c>
      <c r="N34" s="159"/>
      <c r="O34" s="159"/>
      <c r="P34" s="159"/>
      <c r="Q34" s="159"/>
      <c r="R34" s="159"/>
      <c r="S34" s="149" t="s">
        <v>5219</v>
      </c>
      <c r="T34" s="149" t="s">
        <v>5220</v>
      </c>
      <c r="U34" s="174" t="s">
        <v>4879</v>
      </c>
      <c r="V34" s="174" t="s">
        <v>211</v>
      </c>
      <c r="W34" s="151">
        <v>36</v>
      </c>
      <c r="X34" s="152" t="s">
        <v>5222</v>
      </c>
      <c r="Y34" s="176">
        <v>2250</v>
      </c>
      <c r="Z34" s="176">
        <v>364000</v>
      </c>
      <c r="AA34" s="156">
        <f t="shared" si="1"/>
        <v>513240000</v>
      </c>
      <c r="AB34" s="157">
        <v>257500</v>
      </c>
      <c r="AC34" s="158">
        <f t="shared" si="2"/>
        <v>236500</v>
      </c>
      <c r="AD34" s="159">
        <f t="shared" si="3"/>
        <v>29610000</v>
      </c>
      <c r="AE34" s="160"/>
      <c r="AF34" s="160">
        <f t="shared" si="4"/>
        <v>0</v>
      </c>
      <c r="AG34" s="165">
        <f>10440+7560</f>
        <v>18000</v>
      </c>
      <c r="AH34" s="161">
        <f t="shared" si="5"/>
        <v>25380000</v>
      </c>
      <c r="AI34" s="162"/>
      <c r="AJ34" s="162">
        <f t="shared" si="6"/>
        <v>0</v>
      </c>
      <c r="AK34" s="164"/>
      <c r="AL34" s="164">
        <f t="shared" si="7"/>
        <v>0</v>
      </c>
      <c r="AM34" s="165">
        <v>3000</v>
      </c>
      <c r="AN34" s="165">
        <f t="shared" si="8"/>
        <v>4230000</v>
      </c>
      <c r="AO34" s="166">
        <v>0</v>
      </c>
      <c r="AP34" s="166">
        <f t="shared" si="9"/>
        <v>0</v>
      </c>
      <c r="AQ34" s="162"/>
      <c r="AR34" s="162">
        <f t="shared" si="10"/>
        <v>0</v>
      </c>
      <c r="AS34" s="173"/>
      <c r="AT34" s="167">
        <f t="shared" si="11"/>
        <v>0</v>
      </c>
      <c r="AU34" s="163"/>
      <c r="AV34" s="163">
        <f t="shared" si="12"/>
        <v>0</v>
      </c>
      <c r="AW34" s="168"/>
      <c r="AX34" s="168">
        <f t="shared" si="13"/>
        <v>0</v>
      </c>
      <c r="AY34" s="170"/>
      <c r="AZ34" s="170">
        <f t="shared" si="14"/>
        <v>0</v>
      </c>
      <c r="BA34" s="166"/>
      <c r="BB34" s="166">
        <f t="shared" si="15"/>
        <v>0</v>
      </c>
    </row>
    <row r="35" spans="1:54" s="131" customFormat="1" ht="31.5">
      <c r="A35" s="148" t="s">
        <v>5249</v>
      </c>
      <c r="B35" s="175" t="s">
        <v>270</v>
      </c>
      <c r="C35" s="175"/>
      <c r="D35" s="175"/>
      <c r="E35" s="150" t="s">
        <v>5253</v>
      </c>
      <c r="F35" s="151" t="s">
        <v>5255</v>
      </c>
      <c r="G35" s="151" t="s">
        <v>505</v>
      </c>
      <c r="H35" s="151" t="s">
        <v>272</v>
      </c>
      <c r="I35" s="152" t="s">
        <v>10</v>
      </c>
      <c r="J35" s="153" t="s">
        <v>5254</v>
      </c>
      <c r="K35" s="177">
        <v>1600</v>
      </c>
      <c r="L35" s="177"/>
      <c r="M35" s="159">
        <f t="shared" si="0"/>
        <v>0</v>
      </c>
      <c r="N35" s="159"/>
      <c r="O35" s="159"/>
      <c r="P35" s="159"/>
      <c r="Q35" s="159"/>
      <c r="R35" s="159"/>
      <c r="S35" s="150" t="s">
        <v>5250</v>
      </c>
      <c r="T35" s="150" t="s">
        <v>5251</v>
      </c>
      <c r="U35" s="174" t="s">
        <v>5252</v>
      </c>
      <c r="V35" s="174" t="s">
        <v>211</v>
      </c>
      <c r="W35" s="151" t="s">
        <v>5108</v>
      </c>
      <c r="X35" s="152" t="s">
        <v>5156</v>
      </c>
      <c r="Y35" s="176">
        <v>2200</v>
      </c>
      <c r="Z35" s="176">
        <v>10000</v>
      </c>
      <c r="AA35" s="156">
        <f t="shared" si="1"/>
        <v>16000000</v>
      </c>
      <c r="AB35" s="157">
        <v>10000</v>
      </c>
      <c r="AC35" s="158">
        <f t="shared" si="2"/>
        <v>10000</v>
      </c>
      <c r="AD35" s="159">
        <f t="shared" si="3"/>
        <v>0</v>
      </c>
      <c r="AE35" s="160"/>
      <c r="AF35" s="160">
        <f t="shared" si="4"/>
        <v>0</v>
      </c>
      <c r="AG35" s="161"/>
      <c r="AH35" s="161">
        <f t="shared" si="5"/>
        <v>0</v>
      </c>
      <c r="AI35" s="162"/>
      <c r="AJ35" s="162">
        <f t="shared" si="6"/>
        <v>0</v>
      </c>
      <c r="AK35" s="164"/>
      <c r="AL35" s="164">
        <f t="shared" si="7"/>
        <v>0</v>
      </c>
      <c r="AM35" s="165"/>
      <c r="AN35" s="165">
        <f t="shared" si="8"/>
        <v>0</v>
      </c>
      <c r="AO35" s="166">
        <v>0</v>
      </c>
      <c r="AP35" s="166">
        <f t="shared" si="9"/>
        <v>0</v>
      </c>
      <c r="AQ35" s="162"/>
      <c r="AR35" s="162">
        <f t="shared" si="10"/>
        <v>0</v>
      </c>
      <c r="AS35" s="167"/>
      <c r="AT35" s="167">
        <f t="shared" si="11"/>
        <v>0</v>
      </c>
      <c r="AU35" s="163"/>
      <c r="AV35" s="163">
        <f t="shared" si="12"/>
        <v>0</v>
      </c>
      <c r="AW35" s="168"/>
      <c r="AX35" s="168">
        <f t="shared" si="13"/>
        <v>0</v>
      </c>
      <c r="AY35" s="170"/>
      <c r="AZ35" s="170">
        <f t="shared" si="14"/>
        <v>0</v>
      </c>
      <c r="BA35" s="166"/>
      <c r="BB35" s="166">
        <f t="shared" si="15"/>
        <v>0</v>
      </c>
    </row>
    <row r="36" spans="1:54" s="131" customFormat="1" ht="31.5">
      <c r="A36" s="172" t="s">
        <v>5256</v>
      </c>
      <c r="B36" s="175" t="s">
        <v>347</v>
      </c>
      <c r="C36" s="175"/>
      <c r="D36" s="175"/>
      <c r="E36" s="150" t="s">
        <v>459</v>
      </c>
      <c r="F36" s="151" t="s">
        <v>460</v>
      </c>
      <c r="G36" s="151" t="s">
        <v>458</v>
      </c>
      <c r="H36" s="151" t="s">
        <v>327</v>
      </c>
      <c r="I36" s="152" t="s">
        <v>10</v>
      </c>
      <c r="J36" s="153" t="s">
        <v>5221</v>
      </c>
      <c r="K36" s="177">
        <v>596</v>
      </c>
      <c r="L36" s="177"/>
      <c r="M36" s="159">
        <f t="shared" si="0"/>
        <v>0</v>
      </c>
      <c r="N36" s="159"/>
      <c r="O36" s="159"/>
      <c r="P36" s="159"/>
      <c r="Q36" s="159"/>
      <c r="R36" s="159"/>
      <c r="S36" s="149" t="s">
        <v>5219</v>
      </c>
      <c r="T36" s="149" t="s">
        <v>5220</v>
      </c>
      <c r="U36" s="174" t="s">
        <v>4920</v>
      </c>
      <c r="V36" s="174" t="s">
        <v>211</v>
      </c>
      <c r="W36" s="151">
        <v>60</v>
      </c>
      <c r="X36" s="152" t="s">
        <v>5222</v>
      </c>
      <c r="Y36" s="176">
        <v>2160</v>
      </c>
      <c r="Z36" s="176">
        <v>364000</v>
      </c>
      <c r="AA36" s="156">
        <f t="shared" si="1"/>
        <v>216944000</v>
      </c>
      <c r="AB36" s="157">
        <v>174010</v>
      </c>
      <c r="AC36" s="158">
        <f t="shared" si="2"/>
        <v>174010</v>
      </c>
      <c r="AD36" s="159">
        <f t="shared" si="3"/>
        <v>0</v>
      </c>
      <c r="AE36" s="160"/>
      <c r="AF36" s="160">
        <f t="shared" si="4"/>
        <v>0</v>
      </c>
      <c r="AG36" s="161"/>
      <c r="AH36" s="161">
        <f t="shared" si="5"/>
        <v>0</v>
      </c>
      <c r="AI36" s="162"/>
      <c r="AJ36" s="162">
        <f t="shared" si="6"/>
        <v>0</v>
      </c>
      <c r="AK36" s="164"/>
      <c r="AL36" s="164">
        <f t="shared" si="7"/>
        <v>0</v>
      </c>
      <c r="AM36" s="165"/>
      <c r="AN36" s="165">
        <f t="shared" si="8"/>
        <v>0</v>
      </c>
      <c r="AO36" s="166">
        <v>0</v>
      </c>
      <c r="AP36" s="166">
        <f t="shared" si="9"/>
        <v>0</v>
      </c>
      <c r="AQ36" s="162"/>
      <c r="AR36" s="162">
        <f t="shared" si="10"/>
        <v>0</v>
      </c>
      <c r="AS36" s="167"/>
      <c r="AT36" s="167">
        <f t="shared" si="11"/>
        <v>0</v>
      </c>
      <c r="AU36" s="163"/>
      <c r="AV36" s="163">
        <f t="shared" si="12"/>
        <v>0</v>
      </c>
      <c r="AW36" s="168"/>
      <c r="AX36" s="168">
        <f t="shared" si="13"/>
        <v>0</v>
      </c>
      <c r="AY36" s="170"/>
      <c r="AZ36" s="170">
        <f t="shared" si="14"/>
        <v>0</v>
      </c>
      <c r="BA36" s="166"/>
      <c r="BB36" s="166">
        <f t="shared" si="15"/>
        <v>0</v>
      </c>
    </row>
    <row r="37" spans="1:54" s="131" customFormat="1" ht="31.5">
      <c r="A37" s="148" t="s">
        <v>5257</v>
      </c>
      <c r="B37" s="175" t="s">
        <v>313</v>
      </c>
      <c r="C37" s="175"/>
      <c r="D37" s="175"/>
      <c r="E37" s="150" t="s">
        <v>318</v>
      </c>
      <c r="F37" s="151" t="s">
        <v>319</v>
      </c>
      <c r="G37" s="151" t="s">
        <v>5259</v>
      </c>
      <c r="H37" s="151" t="s">
        <v>238</v>
      </c>
      <c r="I37" s="152" t="s">
        <v>10</v>
      </c>
      <c r="J37" s="153" t="s">
        <v>5130</v>
      </c>
      <c r="K37" s="177">
        <v>2253</v>
      </c>
      <c r="L37" s="177"/>
      <c r="M37" s="159">
        <f t="shared" si="0"/>
        <v>0</v>
      </c>
      <c r="N37" s="159"/>
      <c r="O37" s="159"/>
      <c r="P37" s="159"/>
      <c r="Q37" s="159"/>
      <c r="R37" s="159"/>
      <c r="S37" s="149" t="s">
        <v>5099</v>
      </c>
      <c r="T37" s="150" t="s">
        <v>5100</v>
      </c>
      <c r="U37" s="174" t="s">
        <v>5258</v>
      </c>
      <c r="V37" s="174" t="s">
        <v>211</v>
      </c>
      <c r="W37" s="151" t="s">
        <v>5104</v>
      </c>
      <c r="X37" s="152" t="s">
        <v>5105</v>
      </c>
      <c r="Y37" s="176">
        <v>2254</v>
      </c>
      <c r="Z37" s="176">
        <v>74000</v>
      </c>
      <c r="AA37" s="156">
        <f t="shared" si="1"/>
        <v>166722000</v>
      </c>
      <c r="AB37" s="157">
        <v>74000</v>
      </c>
      <c r="AC37" s="158">
        <f t="shared" si="2"/>
        <v>74000</v>
      </c>
      <c r="AD37" s="159">
        <f t="shared" si="3"/>
        <v>0</v>
      </c>
      <c r="AE37" s="160"/>
      <c r="AF37" s="160">
        <f t="shared" si="4"/>
        <v>0</v>
      </c>
      <c r="AG37" s="165"/>
      <c r="AH37" s="161">
        <f t="shared" si="5"/>
        <v>0</v>
      </c>
      <c r="AI37" s="162"/>
      <c r="AJ37" s="162">
        <f t="shared" si="6"/>
        <v>0</v>
      </c>
      <c r="AK37" s="164"/>
      <c r="AL37" s="164">
        <f t="shared" si="7"/>
        <v>0</v>
      </c>
      <c r="AM37" s="165"/>
      <c r="AN37" s="165">
        <f t="shared" si="8"/>
        <v>0</v>
      </c>
      <c r="AO37" s="166">
        <v>0</v>
      </c>
      <c r="AP37" s="166">
        <f t="shared" si="9"/>
        <v>0</v>
      </c>
      <c r="AQ37" s="162"/>
      <c r="AR37" s="162">
        <f t="shared" si="10"/>
        <v>0</v>
      </c>
      <c r="AS37" s="173"/>
      <c r="AT37" s="167">
        <f t="shared" si="11"/>
        <v>0</v>
      </c>
      <c r="AU37" s="163"/>
      <c r="AV37" s="163">
        <f t="shared" si="12"/>
        <v>0</v>
      </c>
      <c r="AW37" s="168"/>
      <c r="AX37" s="168">
        <f t="shared" si="13"/>
        <v>0</v>
      </c>
      <c r="AY37" s="170"/>
      <c r="AZ37" s="170">
        <f t="shared" si="14"/>
        <v>0</v>
      </c>
      <c r="BA37" s="166"/>
      <c r="BB37" s="166">
        <f t="shared" si="15"/>
        <v>0</v>
      </c>
    </row>
    <row r="38" spans="1:54" s="131" customFormat="1">
      <c r="A38" s="148" t="s">
        <v>5260</v>
      </c>
      <c r="B38" s="175" t="s">
        <v>242</v>
      </c>
      <c r="C38" s="175"/>
      <c r="D38" s="175"/>
      <c r="E38" s="150" t="s">
        <v>4903</v>
      </c>
      <c r="F38" s="151" t="s">
        <v>244</v>
      </c>
      <c r="G38" s="151" t="s">
        <v>245</v>
      </c>
      <c r="H38" s="151" t="s">
        <v>243</v>
      </c>
      <c r="I38" s="152" t="s">
        <v>5141</v>
      </c>
      <c r="J38" s="153" t="s">
        <v>5261</v>
      </c>
      <c r="K38" s="177">
        <v>3255</v>
      </c>
      <c r="L38" s="177"/>
      <c r="M38" s="159">
        <f t="shared" si="0"/>
        <v>100</v>
      </c>
      <c r="N38" s="159"/>
      <c r="O38" s="159"/>
      <c r="P38" s="159"/>
      <c r="Q38" s="159"/>
      <c r="R38" s="159"/>
      <c r="S38" s="150" t="s">
        <v>5153</v>
      </c>
      <c r="T38" s="150" t="s">
        <v>5154</v>
      </c>
      <c r="U38" s="174" t="s">
        <v>4902</v>
      </c>
      <c r="V38" s="174" t="s">
        <v>211</v>
      </c>
      <c r="W38" s="151" t="s">
        <v>5104</v>
      </c>
      <c r="X38" s="152" t="s">
        <v>5156</v>
      </c>
      <c r="Y38" s="176">
        <v>4700</v>
      </c>
      <c r="Z38" s="176">
        <v>6500</v>
      </c>
      <c r="AA38" s="156">
        <f t="shared" si="1"/>
        <v>21157500</v>
      </c>
      <c r="AB38" s="157">
        <v>5900</v>
      </c>
      <c r="AC38" s="158">
        <f t="shared" si="2"/>
        <v>5800</v>
      </c>
      <c r="AD38" s="159">
        <f t="shared" si="3"/>
        <v>325500</v>
      </c>
      <c r="AE38" s="160"/>
      <c r="AF38" s="160">
        <f t="shared" si="4"/>
        <v>0</v>
      </c>
      <c r="AG38" s="165"/>
      <c r="AH38" s="161">
        <f t="shared" si="5"/>
        <v>0</v>
      </c>
      <c r="AI38" s="162"/>
      <c r="AJ38" s="162">
        <f t="shared" si="6"/>
        <v>0</v>
      </c>
      <c r="AK38" s="164"/>
      <c r="AL38" s="164">
        <f t="shared" si="7"/>
        <v>0</v>
      </c>
      <c r="AM38" s="165">
        <v>100</v>
      </c>
      <c r="AN38" s="165">
        <f t="shared" si="8"/>
        <v>325500</v>
      </c>
      <c r="AO38" s="166">
        <v>0</v>
      </c>
      <c r="AP38" s="166">
        <f t="shared" si="9"/>
        <v>0</v>
      </c>
      <c r="AQ38" s="162"/>
      <c r="AR38" s="162">
        <f t="shared" si="10"/>
        <v>0</v>
      </c>
      <c r="AS38" s="173"/>
      <c r="AT38" s="167">
        <f t="shared" si="11"/>
        <v>0</v>
      </c>
      <c r="AU38" s="163"/>
      <c r="AV38" s="163">
        <f t="shared" si="12"/>
        <v>0</v>
      </c>
      <c r="AW38" s="168"/>
      <c r="AX38" s="168">
        <f t="shared" si="13"/>
        <v>0</v>
      </c>
      <c r="AY38" s="170"/>
      <c r="AZ38" s="170">
        <f t="shared" si="14"/>
        <v>0</v>
      </c>
      <c r="BA38" s="166"/>
      <c r="BB38" s="166">
        <f t="shared" si="15"/>
        <v>0</v>
      </c>
    </row>
    <row r="39" spans="1:54" s="131" customFormat="1" ht="31.5">
      <c r="A39" s="172" t="s">
        <v>5262</v>
      </c>
      <c r="B39" s="175" t="s">
        <v>227</v>
      </c>
      <c r="C39" s="175"/>
      <c r="D39" s="175"/>
      <c r="E39" s="150" t="s">
        <v>527</v>
      </c>
      <c r="F39" s="151" t="s">
        <v>528</v>
      </c>
      <c r="G39" s="151" t="s">
        <v>529</v>
      </c>
      <c r="H39" s="151" t="s">
        <v>225</v>
      </c>
      <c r="I39" s="152" t="s">
        <v>410</v>
      </c>
      <c r="J39" s="153" t="s">
        <v>5263</v>
      </c>
      <c r="K39" s="177">
        <v>1954</v>
      </c>
      <c r="L39" s="177"/>
      <c r="M39" s="159">
        <f t="shared" si="0"/>
        <v>10000</v>
      </c>
      <c r="N39" s="159"/>
      <c r="O39" s="159"/>
      <c r="P39" s="159"/>
      <c r="Q39" s="159"/>
      <c r="R39" s="159"/>
      <c r="S39" s="150" t="s">
        <v>5118</v>
      </c>
      <c r="T39" s="150" t="s">
        <v>5119</v>
      </c>
      <c r="U39" s="174" t="s">
        <v>4908</v>
      </c>
      <c r="V39" s="174" t="s">
        <v>211</v>
      </c>
      <c r="W39" s="151">
        <v>36</v>
      </c>
      <c r="X39" s="152" t="s">
        <v>5264</v>
      </c>
      <c r="Y39" s="176">
        <v>1958</v>
      </c>
      <c r="Z39" s="176">
        <v>210000</v>
      </c>
      <c r="AA39" s="156">
        <f t="shared" si="1"/>
        <v>410340000</v>
      </c>
      <c r="AB39" s="157">
        <v>181100</v>
      </c>
      <c r="AC39" s="158">
        <f t="shared" si="2"/>
        <v>171100</v>
      </c>
      <c r="AD39" s="159">
        <f t="shared" si="3"/>
        <v>19540000</v>
      </c>
      <c r="AE39" s="160"/>
      <c r="AF39" s="160">
        <f t="shared" si="4"/>
        <v>0</v>
      </c>
      <c r="AG39" s="165"/>
      <c r="AH39" s="161">
        <f t="shared" si="5"/>
        <v>0</v>
      </c>
      <c r="AI39" s="162"/>
      <c r="AJ39" s="162">
        <f t="shared" si="6"/>
        <v>0</v>
      </c>
      <c r="AK39" s="163"/>
      <c r="AL39" s="164">
        <f t="shared" si="7"/>
        <v>0</v>
      </c>
      <c r="AM39" s="161">
        <v>10000</v>
      </c>
      <c r="AN39" s="165">
        <f t="shared" si="8"/>
        <v>19540000</v>
      </c>
      <c r="AO39" s="160">
        <v>0</v>
      </c>
      <c r="AP39" s="166">
        <f t="shared" si="9"/>
        <v>0</v>
      </c>
      <c r="AQ39" s="162"/>
      <c r="AR39" s="162">
        <f t="shared" si="10"/>
        <v>0</v>
      </c>
      <c r="AS39" s="173"/>
      <c r="AT39" s="167">
        <f t="shared" si="11"/>
        <v>0</v>
      </c>
      <c r="AU39" s="163"/>
      <c r="AV39" s="163">
        <f t="shared" si="12"/>
        <v>0</v>
      </c>
      <c r="AW39" s="162"/>
      <c r="AX39" s="168">
        <f t="shared" si="13"/>
        <v>0</v>
      </c>
      <c r="AY39" s="169"/>
      <c r="AZ39" s="170">
        <f t="shared" si="14"/>
        <v>0</v>
      </c>
      <c r="BA39" s="160"/>
      <c r="BB39" s="166">
        <f t="shared" si="15"/>
        <v>0</v>
      </c>
    </row>
    <row r="40" spans="1:54" s="131" customFormat="1" ht="63">
      <c r="A40" s="148" t="s">
        <v>5265</v>
      </c>
      <c r="B40" s="175" t="s">
        <v>363</v>
      </c>
      <c r="C40" s="175"/>
      <c r="D40" s="175"/>
      <c r="E40" s="150" t="s">
        <v>3539</v>
      </c>
      <c r="F40" s="151" t="s">
        <v>426</v>
      </c>
      <c r="G40" s="151" t="s">
        <v>427</v>
      </c>
      <c r="H40" s="151" t="s">
        <v>291</v>
      </c>
      <c r="I40" s="152" t="s">
        <v>10</v>
      </c>
      <c r="J40" s="153" t="s">
        <v>5103</v>
      </c>
      <c r="K40" s="177">
        <v>750</v>
      </c>
      <c r="L40" s="177"/>
      <c r="M40" s="159">
        <f t="shared" si="0"/>
        <v>5000</v>
      </c>
      <c r="N40" s="159"/>
      <c r="O40" s="159"/>
      <c r="P40" s="159"/>
      <c r="Q40" s="159"/>
      <c r="R40" s="159"/>
      <c r="S40" s="150" t="s">
        <v>5266</v>
      </c>
      <c r="T40" s="150" t="s">
        <v>5267</v>
      </c>
      <c r="U40" s="174" t="s">
        <v>5268</v>
      </c>
      <c r="V40" s="174" t="s">
        <v>210</v>
      </c>
      <c r="W40" s="151" t="s">
        <v>5108</v>
      </c>
      <c r="X40" s="152" t="s">
        <v>213</v>
      </c>
      <c r="Y40" s="176">
        <v>900</v>
      </c>
      <c r="Z40" s="176">
        <v>75000</v>
      </c>
      <c r="AA40" s="156">
        <f t="shared" si="1"/>
        <v>56250000</v>
      </c>
      <c r="AB40" s="157">
        <v>73700</v>
      </c>
      <c r="AC40" s="158">
        <f t="shared" si="2"/>
        <v>68700</v>
      </c>
      <c r="AD40" s="159">
        <f t="shared" si="3"/>
        <v>3750000</v>
      </c>
      <c r="AE40" s="160"/>
      <c r="AF40" s="160">
        <f t="shared" si="4"/>
        <v>0</v>
      </c>
      <c r="AG40" s="161"/>
      <c r="AH40" s="161">
        <f t="shared" si="5"/>
        <v>0</v>
      </c>
      <c r="AI40" s="162"/>
      <c r="AJ40" s="162">
        <f t="shared" si="6"/>
        <v>0</v>
      </c>
      <c r="AK40" s="164"/>
      <c r="AL40" s="164">
        <f t="shared" si="7"/>
        <v>0</v>
      </c>
      <c r="AM40" s="165"/>
      <c r="AN40" s="165">
        <f t="shared" si="8"/>
        <v>0</v>
      </c>
      <c r="AO40" s="166">
        <v>0</v>
      </c>
      <c r="AP40" s="166">
        <f t="shared" si="9"/>
        <v>0</v>
      </c>
      <c r="AQ40" s="162"/>
      <c r="AR40" s="162">
        <f t="shared" si="10"/>
        <v>0</v>
      </c>
      <c r="AS40" s="167">
        <v>5000</v>
      </c>
      <c r="AT40" s="167">
        <f t="shared" si="11"/>
        <v>3750000</v>
      </c>
      <c r="AU40" s="163"/>
      <c r="AV40" s="163">
        <f t="shared" si="12"/>
        <v>0</v>
      </c>
      <c r="AW40" s="168"/>
      <c r="AX40" s="168">
        <f t="shared" si="13"/>
        <v>0</v>
      </c>
      <c r="AY40" s="170"/>
      <c r="AZ40" s="170">
        <f t="shared" si="14"/>
        <v>0</v>
      </c>
      <c r="BA40" s="166"/>
      <c r="BB40" s="166">
        <f t="shared" si="15"/>
        <v>0</v>
      </c>
    </row>
    <row r="41" spans="1:54" ht="31.5">
      <c r="A41" s="148" t="s">
        <v>5269</v>
      </c>
      <c r="B41" s="175" t="s">
        <v>371</v>
      </c>
      <c r="C41" s="175"/>
      <c r="D41" s="175"/>
      <c r="E41" s="150" t="s">
        <v>486</v>
      </c>
      <c r="F41" s="151" t="s">
        <v>487</v>
      </c>
      <c r="G41" s="151" t="s">
        <v>488</v>
      </c>
      <c r="H41" s="151" t="s">
        <v>248</v>
      </c>
      <c r="I41" s="152" t="s">
        <v>10</v>
      </c>
      <c r="J41" s="153" t="s">
        <v>5272</v>
      </c>
      <c r="K41" s="177">
        <v>399</v>
      </c>
      <c r="L41" s="177"/>
      <c r="M41" s="159">
        <f t="shared" si="0"/>
        <v>8500</v>
      </c>
      <c r="N41" s="159"/>
      <c r="O41" s="159"/>
      <c r="P41" s="159"/>
      <c r="Q41" s="159"/>
      <c r="R41" s="159"/>
      <c r="S41" s="150" t="s">
        <v>5270</v>
      </c>
      <c r="T41" s="150" t="s">
        <v>5271</v>
      </c>
      <c r="U41" s="174" t="s">
        <v>4940</v>
      </c>
      <c r="V41" s="174" t="s">
        <v>210</v>
      </c>
      <c r="W41" s="151" t="s">
        <v>5104</v>
      </c>
      <c r="X41" s="152" t="s">
        <v>5273</v>
      </c>
      <c r="Y41" s="176">
        <v>680</v>
      </c>
      <c r="Z41" s="176">
        <v>728000</v>
      </c>
      <c r="AA41" s="156">
        <f t="shared" si="1"/>
        <v>290472000</v>
      </c>
      <c r="AB41" s="157">
        <v>640000</v>
      </c>
      <c r="AC41" s="158">
        <f t="shared" si="2"/>
        <v>631500</v>
      </c>
      <c r="AD41" s="159">
        <f t="shared" si="3"/>
        <v>3391500</v>
      </c>
      <c r="AE41" s="160"/>
      <c r="AF41" s="160">
        <f t="shared" si="4"/>
        <v>0</v>
      </c>
      <c r="AG41" s="161">
        <v>8500</v>
      </c>
      <c r="AH41" s="161">
        <f t="shared" si="5"/>
        <v>3391500</v>
      </c>
      <c r="AI41" s="162"/>
      <c r="AJ41" s="162">
        <f t="shared" si="6"/>
        <v>0</v>
      </c>
      <c r="AK41" s="164"/>
      <c r="AL41" s="164">
        <f t="shared" si="7"/>
        <v>0</v>
      </c>
      <c r="AM41" s="165"/>
      <c r="AN41" s="165">
        <f t="shared" si="8"/>
        <v>0</v>
      </c>
      <c r="AO41" s="166">
        <v>0</v>
      </c>
      <c r="AP41" s="166">
        <f t="shared" si="9"/>
        <v>0</v>
      </c>
      <c r="AQ41" s="162"/>
      <c r="AR41" s="162">
        <f t="shared" si="10"/>
        <v>0</v>
      </c>
      <c r="AS41" s="167"/>
      <c r="AT41" s="167">
        <f t="shared" si="11"/>
        <v>0</v>
      </c>
      <c r="AU41" s="163"/>
      <c r="AV41" s="163">
        <f t="shared" si="12"/>
        <v>0</v>
      </c>
      <c r="AW41" s="168"/>
      <c r="AX41" s="168">
        <f t="shared" si="13"/>
        <v>0</v>
      </c>
      <c r="AY41" s="170"/>
      <c r="AZ41" s="170">
        <f t="shared" si="14"/>
        <v>0</v>
      </c>
      <c r="BA41" s="166"/>
      <c r="BB41" s="166">
        <f t="shared" si="15"/>
        <v>0</v>
      </c>
    </row>
    <row r="42" spans="1:54">
      <c r="A42" s="172" t="s">
        <v>5274</v>
      </c>
      <c r="B42" s="175" t="s">
        <v>433</v>
      </c>
      <c r="C42" s="175"/>
      <c r="D42" s="175"/>
      <c r="E42" s="150" t="s">
        <v>5277</v>
      </c>
      <c r="F42" s="151" t="s">
        <v>5279</v>
      </c>
      <c r="G42" s="151" t="s">
        <v>463</v>
      </c>
      <c r="H42" s="151" t="s">
        <v>272</v>
      </c>
      <c r="I42" s="152" t="s">
        <v>10</v>
      </c>
      <c r="J42" s="153" t="s">
        <v>5278</v>
      </c>
      <c r="K42" s="177">
        <v>4350</v>
      </c>
      <c r="L42" s="177"/>
      <c r="M42" s="159">
        <f t="shared" si="0"/>
        <v>0</v>
      </c>
      <c r="N42" s="159"/>
      <c r="O42" s="159"/>
      <c r="P42" s="159"/>
      <c r="Q42" s="159"/>
      <c r="R42" s="159"/>
      <c r="S42" s="149" t="s">
        <v>5275</v>
      </c>
      <c r="T42" s="150" t="s">
        <v>463</v>
      </c>
      <c r="U42" s="174" t="s">
        <v>5276</v>
      </c>
      <c r="V42" s="174" t="s">
        <v>210</v>
      </c>
      <c r="W42" s="151">
        <v>36</v>
      </c>
      <c r="X42" s="152" t="s">
        <v>213</v>
      </c>
      <c r="Y42" s="176">
        <v>8120</v>
      </c>
      <c r="Z42" s="176">
        <v>150000</v>
      </c>
      <c r="AA42" s="156">
        <f t="shared" si="1"/>
        <v>652500000</v>
      </c>
      <c r="AB42" s="157">
        <v>150000</v>
      </c>
      <c r="AC42" s="158">
        <f t="shared" si="2"/>
        <v>150000</v>
      </c>
      <c r="AD42" s="159">
        <f t="shared" si="3"/>
        <v>0</v>
      </c>
      <c r="AE42" s="160"/>
      <c r="AF42" s="160">
        <f t="shared" si="4"/>
        <v>0</v>
      </c>
      <c r="AG42" s="165"/>
      <c r="AH42" s="161">
        <f t="shared" si="5"/>
        <v>0</v>
      </c>
      <c r="AI42" s="162"/>
      <c r="AJ42" s="162">
        <f t="shared" si="6"/>
        <v>0</v>
      </c>
      <c r="AK42" s="164"/>
      <c r="AL42" s="164">
        <f t="shared" si="7"/>
        <v>0</v>
      </c>
      <c r="AM42" s="165"/>
      <c r="AN42" s="165">
        <f t="shared" si="8"/>
        <v>0</v>
      </c>
      <c r="AO42" s="166">
        <v>0</v>
      </c>
      <c r="AP42" s="166">
        <f t="shared" si="9"/>
        <v>0</v>
      </c>
      <c r="AQ42" s="162"/>
      <c r="AR42" s="162">
        <f t="shared" si="10"/>
        <v>0</v>
      </c>
      <c r="AS42" s="173"/>
      <c r="AT42" s="167">
        <f t="shared" si="11"/>
        <v>0</v>
      </c>
      <c r="AU42" s="163"/>
      <c r="AV42" s="163">
        <f t="shared" si="12"/>
        <v>0</v>
      </c>
      <c r="AW42" s="168"/>
      <c r="AX42" s="168">
        <f t="shared" si="13"/>
        <v>0</v>
      </c>
      <c r="AY42" s="170"/>
      <c r="AZ42" s="170">
        <f t="shared" si="14"/>
        <v>0</v>
      </c>
      <c r="BA42" s="166"/>
      <c r="BB42" s="166">
        <f t="shared" si="15"/>
        <v>0</v>
      </c>
    </row>
    <row r="43" spans="1:54">
      <c r="A43" s="148" t="s">
        <v>5280</v>
      </c>
      <c r="B43" s="175" t="s">
        <v>433</v>
      </c>
      <c r="C43" s="175"/>
      <c r="D43" s="175"/>
      <c r="E43" s="150" t="s">
        <v>4537</v>
      </c>
      <c r="F43" s="151" t="s">
        <v>465</v>
      </c>
      <c r="G43" s="151" t="s">
        <v>463</v>
      </c>
      <c r="H43" s="151" t="s">
        <v>225</v>
      </c>
      <c r="I43" s="152" t="s">
        <v>10</v>
      </c>
      <c r="J43" s="153" t="s">
        <v>5278</v>
      </c>
      <c r="K43" s="177">
        <v>9600</v>
      </c>
      <c r="L43" s="177"/>
      <c r="M43" s="159">
        <f t="shared" si="0"/>
        <v>0</v>
      </c>
      <c r="N43" s="159"/>
      <c r="O43" s="159"/>
      <c r="P43" s="159"/>
      <c r="Q43" s="159"/>
      <c r="R43" s="159"/>
      <c r="S43" s="149" t="s">
        <v>5275</v>
      </c>
      <c r="T43" s="150" t="s">
        <v>463</v>
      </c>
      <c r="U43" s="174" t="s">
        <v>5281</v>
      </c>
      <c r="V43" s="174" t="s">
        <v>210</v>
      </c>
      <c r="W43" s="151">
        <v>36</v>
      </c>
      <c r="X43" s="152" t="s">
        <v>213</v>
      </c>
      <c r="Y43" s="176">
        <v>15870</v>
      </c>
      <c r="Z43" s="176">
        <v>150000</v>
      </c>
      <c r="AA43" s="156">
        <f t="shared" si="1"/>
        <v>1440000000</v>
      </c>
      <c r="AB43" s="157">
        <v>30000</v>
      </c>
      <c r="AC43" s="158">
        <f t="shared" si="2"/>
        <v>30000</v>
      </c>
      <c r="AD43" s="159">
        <f t="shared" si="3"/>
        <v>0</v>
      </c>
      <c r="AE43" s="160"/>
      <c r="AF43" s="160">
        <f t="shared" si="4"/>
        <v>0</v>
      </c>
      <c r="AG43" s="165"/>
      <c r="AH43" s="161">
        <f t="shared" si="5"/>
        <v>0</v>
      </c>
      <c r="AI43" s="162"/>
      <c r="AJ43" s="162">
        <f t="shared" si="6"/>
        <v>0</v>
      </c>
      <c r="AK43" s="164"/>
      <c r="AL43" s="164">
        <f t="shared" si="7"/>
        <v>0</v>
      </c>
      <c r="AM43" s="165"/>
      <c r="AN43" s="165">
        <f t="shared" si="8"/>
        <v>0</v>
      </c>
      <c r="AO43" s="166">
        <v>0</v>
      </c>
      <c r="AP43" s="166">
        <f t="shared" si="9"/>
        <v>0</v>
      </c>
      <c r="AQ43" s="162"/>
      <c r="AR43" s="162">
        <f t="shared" si="10"/>
        <v>0</v>
      </c>
      <c r="AS43" s="173"/>
      <c r="AT43" s="167">
        <f t="shared" si="11"/>
        <v>0</v>
      </c>
      <c r="AU43" s="163"/>
      <c r="AV43" s="163">
        <f t="shared" si="12"/>
        <v>0</v>
      </c>
      <c r="AW43" s="168"/>
      <c r="AX43" s="168">
        <f t="shared" si="13"/>
        <v>0</v>
      </c>
      <c r="AY43" s="170"/>
      <c r="AZ43" s="170">
        <f t="shared" si="14"/>
        <v>0</v>
      </c>
      <c r="BA43" s="166"/>
      <c r="BB43" s="166">
        <f t="shared" si="15"/>
        <v>0</v>
      </c>
    </row>
    <row r="44" spans="1:54" ht="31.5">
      <c r="A44" s="148" t="s">
        <v>5282</v>
      </c>
      <c r="B44" s="175" t="s">
        <v>531</v>
      </c>
      <c r="C44" s="175"/>
      <c r="D44" s="175"/>
      <c r="E44" s="150" t="s">
        <v>535</v>
      </c>
      <c r="F44" s="151" t="s">
        <v>536</v>
      </c>
      <c r="G44" s="151" t="s">
        <v>537</v>
      </c>
      <c r="H44" s="151" t="s">
        <v>533</v>
      </c>
      <c r="I44" s="152" t="s">
        <v>5141</v>
      </c>
      <c r="J44" s="153" t="s">
        <v>5285</v>
      </c>
      <c r="K44" s="177">
        <v>4500</v>
      </c>
      <c r="L44" s="177"/>
      <c r="M44" s="159">
        <f t="shared" si="0"/>
        <v>0</v>
      </c>
      <c r="N44" s="159"/>
      <c r="O44" s="159"/>
      <c r="P44" s="159"/>
      <c r="Q44" s="159"/>
      <c r="R44" s="159"/>
      <c r="S44" s="150" t="s">
        <v>5283</v>
      </c>
      <c r="T44" s="150" t="s">
        <v>5284</v>
      </c>
      <c r="U44" s="174" t="s">
        <v>4939</v>
      </c>
      <c r="V44" s="174" t="s">
        <v>210</v>
      </c>
      <c r="W44" s="151" t="s">
        <v>5108</v>
      </c>
      <c r="X44" s="152" t="s">
        <v>5286</v>
      </c>
      <c r="Y44" s="176">
        <v>4500</v>
      </c>
      <c r="Z44" s="176">
        <v>8600</v>
      </c>
      <c r="AA44" s="156">
        <f t="shared" si="1"/>
        <v>38700000</v>
      </c>
      <c r="AB44" s="157">
        <v>7800</v>
      </c>
      <c r="AC44" s="158">
        <f t="shared" si="2"/>
        <v>7800</v>
      </c>
      <c r="AD44" s="159">
        <f t="shared" si="3"/>
        <v>0</v>
      </c>
      <c r="AE44" s="160"/>
      <c r="AF44" s="160">
        <f t="shared" si="4"/>
        <v>0</v>
      </c>
      <c r="AG44" s="161"/>
      <c r="AH44" s="161">
        <f t="shared" si="5"/>
        <v>0</v>
      </c>
      <c r="AI44" s="162"/>
      <c r="AJ44" s="162">
        <f t="shared" si="6"/>
        <v>0</v>
      </c>
      <c r="AK44" s="164"/>
      <c r="AL44" s="164">
        <f t="shared" si="7"/>
        <v>0</v>
      </c>
      <c r="AM44" s="165"/>
      <c r="AN44" s="165">
        <f t="shared" si="8"/>
        <v>0</v>
      </c>
      <c r="AO44" s="166">
        <v>0</v>
      </c>
      <c r="AP44" s="166">
        <f t="shared" si="9"/>
        <v>0</v>
      </c>
      <c r="AQ44" s="162"/>
      <c r="AR44" s="162">
        <f t="shared" si="10"/>
        <v>0</v>
      </c>
      <c r="AS44" s="167"/>
      <c r="AT44" s="167">
        <f t="shared" si="11"/>
        <v>0</v>
      </c>
      <c r="AU44" s="163"/>
      <c r="AV44" s="163">
        <f t="shared" si="12"/>
        <v>0</v>
      </c>
      <c r="AW44" s="168"/>
      <c r="AX44" s="168">
        <f t="shared" si="13"/>
        <v>0</v>
      </c>
      <c r="AY44" s="170"/>
      <c r="AZ44" s="170">
        <f t="shared" si="14"/>
        <v>0</v>
      </c>
      <c r="BA44" s="166"/>
      <c r="BB44" s="166">
        <f t="shared" si="15"/>
        <v>0</v>
      </c>
    </row>
    <row r="45" spans="1:54" ht="31.5">
      <c r="A45" s="172" t="s">
        <v>5287</v>
      </c>
      <c r="B45" s="175" t="s">
        <v>515</v>
      </c>
      <c r="C45" s="175"/>
      <c r="D45" s="175"/>
      <c r="E45" s="150" t="s">
        <v>5289</v>
      </c>
      <c r="F45" s="151" t="s">
        <v>5291</v>
      </c>
      <c r="G45" s="151" t="s">
        <v>537</v>
      </c>
      <c r="H45" s="151" t="s">
        <v>517</v>
      </c>
      <c r="I45" s="152" t="s">
        <v>5141</v>
      </c>
      <c r="J45" s="153" t="s">
        <v>5290</v>
      </c>
      <c r="K45" s="177">
        <v>6200</v>
      </c>
      <c r="L45" s="177"/>
      <c r="M45" s="159">
        <f t="shared" si="0"/>
        <v>0</v>
      </c>
      <c r="N45" s="159"/>
      <c r="O45" s="159"/>
      <c r="P45" s="159"/>
      <c r="Q45" s="159"/>
      <c r="R45" s="159"/>
      <c r="S45" s="150" t="s">
        <v>5283</v>
      </c>
      <c r="T45" s="150" t="s">
        <v>5284</v>
      </c>
      <c r="U45" s="174" t="s">
        <v>5288</v>
      </c>
      <c r="V45" s="174" t="s">
        <v>210</v>
      </c>
      <c r="W45" s="151" t="s">
        <v>5108</v>
      </c>
      <c r="X45" s="152" t="s">
        <v>5286</v>
      </c>
      <c r="Y45" s="176">
        <v>6200</v>
      </c>
      <c r="Z45" s="176">
        <v>7500</v>
      </c>
      <c r="AA45" s="156">
        <f t="shared" si="1"/>
        <v>46500000</v>
      </c>
      <c r="AB45" s="157">
        <v>7500</v>
      </c>
      <c r="AC45" s="158">
        <f t="shared" si="2"/>
        <v>7500</v>
      </c>
      <c r="AD45" s="159">
        <f t="shared" si="3"/>
        <v>0</v>
      </c>
      <c r="AE45" s="160"/>
      <c r="AF45" s="160">
        <f t="shared" si="4"/>
        <v>0</v>
      </c>
      <c r="AG45" s="161"/>
      <c r="AH45" s="161">
        <f t="shared" si="5"/>
        <v>0</v>
      </c>
      <c r="AI45" s="162"/>
      <c r="AJ45" s="162">
        <f t="shared" si="6"/>
        <v>0</v>
      </c>
      <c r="AK45" s="164"/>
      <c r="AL45" s="164">
        <f t="shared" si="7"/>
        <v>0</v>
      </c>
      <c r="AM45" s="165"/>
      <c r="AN45" s="165">
        <f t="shared" si="8"/>
        <v>0</v>
      </c>
      <c r="AO45" s="166">
        <v>0</v>
      </c>
      <c r="AP45" s="166">
        <f t="shared" si="9"/>
        <v>0</v>
      </c>
      <c r="AQ45" s="162"/>
      <c r="AR45" s="162">
        <f t="shared" si="10"/>
        <v>0</v>
      </c>
      <c r="AS45" s="167"/>
      <c r="AT45" s="167">
        <f t="shared" si="11"/>
        <v>0</v>
      </c>
      <c r="AU45" s="163"/>
      <c r="AV45" s="163">
        <f t="shared" si="12"/>
        <v>0</v>
      </c>
      <c r="AW45" s="168"/>
      <c r="AX45" s="168">
        <f t="shared" si="13"/>
        <v>0</v>
      </c>
      <c r="AY45" s="170"/>
      <c r="AZ45" s="170">
        <f t="shared" si="14"/>
        <v>0</v>
      </c>
      <c r="BA45" s="166"/>
      <c r="BB45" s="166">
        <f t="shared" si="15"/>
        <v>0</v>
      </c>
    </row>
    <row r="46" spans="1:54">
      <c r="A46" s="148" t="s">
        <v>5292</v>
      </c>
      <c r="B46" s="175" t="s">
        <v>353</v>
      </c>
      <c r="C46" s="175"/>
      <c r="D46" s="175"/>
      <c r="E46" s="150" t="s">
        <v>354</v>
      </c>
      <c r="F46" s="151" t="s">
        <v>356</v>
      </c>
      <c r="G46" s="151" t="s">
        <v>357</v>
      </c>
      <c r="H46" s="151" t="s">
        <v>355</v>
      </c>
      <c r="I46" s="152" t="s">
        <v>5141</v>
      </c>
      <c r="J46" s="153" t="s">
        <v>5247</v>
      </c>
      <c r="K46" s="177">
        <v>20400</v>
      </c>
      <c r="L46" s="177"/>
      <c r="M46" s="159">
        <f t="shared" si="0"/>
        <v>0</v>
      </c>
      <c r="N46" s="159"/>
      <c r="O46" s="159"/>
      <c r="P46" s="159"/>
      <c r="Q46" s="159"/>
      <c r="R46" s="159"/>
      <c r="S46" s="150" t="s">
        <v>5293</v>
      </c>
      <c r="T46" s="150" t="s">
        <v>5294</v>
      </c>
      <c r="U46" s="174" t="s">
        <v>5295</v>
      </c>
      <c r="V46" s="174" t="s">
        <v>210</v>
      </c>
      <c r="W46" s="151" t="s">
        <v>253</v>
      </c>
      <c r="X46" s="152" t="s">
        <v>5296</v>
      </c>
      <c r="Y46" s="176">
        <v>20600</v>
      </c>
      <c r="Z46" s="176">
        <v>2700</v>
      </c>
      <c r="AA46" s="156">
        <f t="shared" si="1"/>
        <v>55080000</v>
      </c>
      <c r="AB46" s="157">
        <v>2600</v>
      </c>
      <c r="AC46" s="158">
        <f t="shared" si="2"/>
        <v>2600</v>
      </c>
      <c r="AD46" s="159">
        <f t="shared" si="3"/>
        <v>0</v>
      </c>
      <c r="AE46" s="160"/>
      <c r="AF46" s="160">
        <f t="shared" si="4"/>
        <v>0</v>
      </c>
      <c r="AG46" s="165"/>
      <c r="AH46" s="161">
        <f t="shared" si="5"/>
        <v>0</v>
      </c>
      <c r="AI46" s="162"/>
      <c r="AJ46" s="162">
        <f t="shared" si="6"/>
        <v>0</v>
      </c>
      <c r="AK46" s="164"/>
      <c r="AL46" s="164">
        <f t="shared" si="7"/>
        <v>0</v>
      </c>
      <c r="AM46" s="165"/>
      <c r="AN46" s="165">
        <f t="shared" si="8"/>
        <v>0</v>
      </c>
      <c r="AO46" s="166">
        <v>0</v>
      </c>
      <c r="AP46" s="166">
        <f t="shared" si="9"/>
        <v>0</v>
      </c>
      <c r="AQ46" s="162"/>
      <c r="AR46" s="162">
        <f t="shared" si="10"/>
        <v>0</v>
      </c>
      <c r="AS46" s="173"/>
      <c r="AT46" s="167">
        <f t="shared" si="11"/>
        <v>0</v>
      </c>
      <c r="AU46" s="163"/>
      <c r="AV46" s="163">
        <f t="shared" si="12"/>
        <v>0</v>
      </c>
      <c r="AW46" s="168"/>
      <c r="AX46" s="168">
        <f t="shared" si="13"/>
        <v>0</v>
      </c>
      <c r="AY46" s="170"/>
      <c r="AZ46" s="170">
        <f t="shared" si="14"/>
        <v>0</v>
      </c>
      <c r="BA46" s="166"/>
      <c r="BB46" s="166">
        <f t="shared" si="15"/>
        <v>0</v>
      </c>
    </row>
    <row r="47" spans="1:54" ht="31.5">
      <c r="A47" s="148" t="s">
        <v>5297</v>
      </c>
      <c r="B47" s="175" t="s">
        <v>347</v>
      </c>
      <c r="C47" s="175"/>
      <c r="D47" s="175"/>
      <c r="E47" s="150" t="s">
        <v>4790</v>
      </c>
      <c r="F47" s="151" t="s">
        <v>349</v>
      </c>
      <c r="G47" s="151" t="s">
        <v>350</v>
      </c>
      <c r="H47" s="151" t="s">
        <v>327</v>
      </c>
      <c r="I47" s="152" t="s">
        <v>10</v>
      </c>
      <c r="J47" s="153" t="s">
        <v>5107</v>
      </c>
      <c r="K47" s="177">
        <v>254</v>
      </c>
      <c r="L47" s="177"/>
      <c r="M47" s="159">
        <f t="shared" si="0"/>
        <v>84500</v>
      </c>
      <c r="N47" s="159"/>
      <c r="O47" s="159"/>
      <c r="P47" s="159"/>
      <c r="Q47" s="159"/>
      <c r="R47" s="159"/>
      <c r="S47" s="150" t="s">
        <v>5298</v>
      </c>
      <c r="T47" s="150" t="s">
        <v>5299</v>
      </c>
      <c r="U47" s="174" t="s">
        <v>4789</v>
      </c>
      <c r="V47" s="174" t="s">
        <v>210</v>
      </c>
      <c r="W47" s="151" t="s">
        <v>5104</v>
      </c>
      <c r="X47" s="152" t="s">
        <v>5273</v>
      </c>
      <c r="Y47" s="176">
        <v>700</v>
      </c>
      <c r="Z47" s="176">
        <v>364000</v>
      </c>
      <c r="AA47" s="156">
        <f t="shared" si="1"/>
        <v>92456000</v>
      </c>
      <c r="AB47" s="157">
        <v>168000</v>
      </c>
      <c r="AC47" s="158">
        <f t="shared" si="2"/>
        <v>83500</v>
      </c>
      <c r="AD47" s="159">
        <f t="shared" si="3"/>
        <v>21463000</v>
      </c>
      <c r="AE47" s="160"/>
      <c r="AF47" s="160">
        <f t="shared" si="4"/>
        <v>0</v>
      </c>
      <c r="AG47" s="161"/>
      <c r="AH47" s="161">
        <f t="shared" si="5"/>
        <v>0</v>
      </c>
      <c r="AI47" s="162"/>
      <c r="AJ47" s="162">
        <f t="shared" si="6"/>
        <v>0</v>
      </c>
      <c r="AK47" s="164"/>
      <c r="AL47" s="164">
        <f t="shared" si="7"/>
        <v>0</v>
      </c>
      <c r="AM47" s="165"/>
      <c r="AN47" s="165">
        <f t="shared" si="8"/>
        <v>0</v>
      </c>
      <c r="AO47" s="166">
        <v>54500</v>
      </c>
      <c r="AP47" s="166">
        <f t="shared" si="9"/>
        <v>13843000</v>
      </c>
      <c r="AQ47" s="162"/>
      <c r="AR47" s="162">
        <f t="shared" si="10"/>
        <v>0</v>
      </c>
      <c r="AS47" s="167">
        <v>30000</v>
      </c>
      <c r="AT47" s="167">
        <f t="shared" si="11"/>
        <v>7620000</v>
      </c>
      <c r="AU47" s="163"/>
      <c r="AV47" s="163">
        <f t="shared" si="12"/>
        <v>0</v>
      </c>
      <c r="AW47" s="168"/>
      <c r="AX47" s="168">
        <f t="shared" si="13"/>
        <v>0</v>
      </c>
      <c r="AY47" s="170"/>
      <c r="AZ47" s="170">
        <f t="shared" si="14"/>
        <v>0</v>
      </c>
      <c r="BA47" s="166"/>
      <c r="BB47" s="166">
        <f t="shared" si="15"/>
        <v>0</v>
      </c>
    </row>
    <row r="48" spans="1:54" ht="31.5">
      <c r="A48" s="172" t="s">
        <v>5300</v>
      </c>
      <c r="B48" s="175" t="s">
        <v>395</v>
      </c>
      <c r="C48" s="175"/>
      <c r="D48" s="175"/>
      <c r="E48" s="150" t="s">
        <v>4929</v>
      </c>
      <c r="F48" s="151" t="s">
        <v>5304</v>
      </c>
      <c r="G48" s="151" t="s">
        <v>479</v>
      </c>
      <c r="H48" s="151" t="s">
        <v>267</v>
      </c>
      <c r="I48" s="152" t="s">
        <v>10</v>
      </c>
      <c r="J48" s="153" t="s">
        <v>5303</v>
      </c>
      <c r="K48" s="177">
        <v>1095</v>
      </c>
      <c r="L48" s="177"/>
      <c r="M48" s="159">
        <f t="shared" si="0"/>
        <v>10000</v>
      </c>
      <c r="N48" s="159"/>
      <c r="O48" s="159"/>
      <c r="P48" s="159"/>
      <c r="Q48" s="159"/>
      <c r="R48" s="159"/>
      <c r="S48" s="150" t="s">
        <v>5301</v>
      </c>
      <c r="T48" s="150" t="s">
        <v>5302</v>
      </c>
      <c r="U48" s="174" t="s">
        <v>4928</v>
      </c>
      <c r="V48" s="174" t="s">
        <v>210</v>
      </c>
      <c r="W48" s="151" t="s">
        <v>5104</v>
      </c>
      <c r="X48" s="152" t="s">
        <v>213</v>
      </c>
      <c r="Y48" s="176">
        <v>3400</v>
      </c>
      <c r="Z48" s="176">
        <v>212000</v>
      </c>
      <c r="AA48" s="156">
        <f t="shared" si="1"/>
        <v>232140000</v>
      </c>
      <c r="AB48" s="157">
        <v>192000</v>
      </c>
      <c r="AC48" s="158">
        <f t="shared" si="2"/>
        <v>182000</v>
      </c>
      <c r="AD48" s="159">
        <f t="shared" si="3"/>
        <v>10950000</v>
      </c>
      <c r="AE48" s="160"/>
      <c r="AF48" s="160">
        <f t="shared" si="4"/>
        <v>0</v>
      </c>
      <c r="AG48" s="165"/>
      <c r="AH48" s="161">
        <f t="shared" si="5"/>
        <v>0</v>
      </c>
      <c r="AI48" s="162"/>
      <c r="AJ48" s="162">
        <f t="shared" si="6"/>
        <v>0</v>
      </c>
      <c r="AK48" s="164"/>
      <c r="AL48" s="164">
        <f t="shared" si="7"/>
        <v>0</v>
      </c>
      <c r="AM48" s="165"/>
      <c r="AN48" s="165">
        <f t="shared" si="8"/>
        <v>0</v>
      </c>
      <c r="AO48" s="166">
        <v>0</v>
      </c>
      <c r="AP48" s="166">
        <f t="shared" si="9"/>
        <v>0</v>
      </c>
      <c r="AQ48" s="162"/>
      <c r="AR48" s="162">
        <f t="shared" si="10"/>
        <v>0</v>
      </c>
      <c r="AS48" s="173">
        <v>10000</v>
      </c>
      <c r="AT48" s="167">
        <f t="shared" si="11"/>
        <v>10950000</v>
      </c>
      <c r="AU48" s="163"/>
      <c r="AV48" s="163">
        <f t="shared" si="12"/>
        <v>0</v>
      </c>
      <c r="AW48" s="168"/>
      <c r="AX48" s="168">
        <f t="shared" si="13"/>
        <v>0</v>
      </c>
      <c r="AY48" s="170"/>
      <c r="AZ48" s="170">
        <f t="shared" si="14"/>
        <v>0</v>
      </c>
      <c r="BA48" s="166"/>
      <c r="BB48" s="166">
        <f t="shared" si="15"/>
        <v>0</v>
      </c>
    </row>
    <row r="49" spans="1:54" ht="31.5">
      <c r="A49" s="148" t="s">
        <v>5305</v>
      </c>
      <c r="B49" s="175" t="s">
        <v>227</v>
      </c>
      <c r="C49" s="175"/>
      <c r="D49" s="175"/>
      <c r="E49" s="150" t="s">
        <v>344</v>
      </c>
      <c r="F49" s="151" t="s">
        <v>345</v>
      </c>
      <c r="G49" s="151" t="s">
        <v>346</v>
      </c>
      <c r="H49" s="151" t="s">
        <v>225</v>
      </c>
      <c r="I49" s="152" t="s">
        <v>10</v>
      </c>
      <c r="J49" s="153" t="s">
        <v>5308</v>
      </c>
      <c r="K49" s="177">
        <v>420</v>
      </c>
      <c r="L49" s="177"/>
      <c r="M49" s="159">
        <f t="shared" si="0"/>
        <v>100000</v>
      </c>
      <c r="N49" s="159"/>
      <c r="O49" s="159"/>
      <c r="P49" s="159"/>
      <c r="Q49" s="159"/>
      <c r="R49" s="159"/>
      <c r="S49" s="150" t="s">
        <v>5306</v>
      </c>
      <c r="T49" s="150" t="s">
        <v>5307</v>
      </c>
      <c r="U49" s="174" t="s">
        <v>4932</v>
      </c>
      <c r="V49" s="174" t="s">
        <v>210</v>
      </c>
      <c r="W49" s="151" t="s">
        <v>5104</v>
      </c>
      <c r="X49" s="152" t="s">
        <v>213</v>
      </c>
      <c r="Y49" s="176">
        <v>450</v>
      </c>
      <c r="Z49" s="176">
        <v>370000</v>
      </c>
      <c r="AA49" s="156">
        <f t="shared" si="1"/>
        <v>155400000</v>
      </c>
      <c r="AB49" s="157">
        <v>286600</v>
      </c>
      <c r="AC49" s="158">
        <f t="shared" si="2"/>
        <v>186600</v>
      </c>
      <c r="AD49" s="159">
        <f t="shared" si="3"/>
        <v>42000000</v>
      </c>
      <c r="AE49" s="160"/>
      <c r="AF49" s="160">
        <f t="shared" si="4"/>
        <v>0</v>
      </c>
      <c r="AG49" s="161"/>
      <c r="AH49" s="161">
        <f t="shared" si="5"/>
        <v>0</v>
      </c>
      <c r="AI49" s="162"/>
      <c r="AJ49" s="162">
        <f t="shared" si="6"/>
        <v>0</v>
      </c>
      <c r="AK49" s="163"/>
      <c r="AL49" s="164">
        <f t="shared" si="7"/>
        <v>0</v>
      </c>
      <c r="AM49" s="161">
        <v>100000</v>
      </c>
      <c r="AN49" s="165">
        <f t="shared" si="8"/>
        <v>42000000</v>
      </c>
      <c r="AO49" s="160">
        <v>0</v>
      </c>
      <c r="AP49" s="166">
        <f t="shared" si="9"/>
        <v>0</v>
      </c>
      <c r="AQ49" s="162"/>
      <c r="AR49" s="162">
        <f t="shared" si="10"/>
        <v>0</v>
      </c>
      <c r="AS49" s="167"/>
      <c r="AT49" s="167">
        <f t="shared" si="11"/>
        <v>0</v>
      </c>
      <c r="AU49" s="163"/>
      <c r="AV49" s="163">
        <f t="shared" si="12"/>
        <v>0</v>
      </c>
      <c r="AW49" s="162"/>
      <c r="AX49" s="168">
        <f t="shared" si="13"/>
        <v>0</v>
      </c>
      <c r="AY49" s="169"/>
      <c r="AZ49" s="170">
        <f t="shared" si="14"/>
        <v>0</v>
      </c>
      <c r="BA49" s="160"/>
      <c r="BB49" s="166">
        <f t="shared" si="15"/>
        <v>0</v>
      </c>
    </row>
    <row r="50" spans="1:54" s="178" customFormat="1" ht="63">
      <c r="A50" s="148" t="s">
        <v>5309</v>
      </c>
      <c r="B50" s="175" t="s">
        <v>227</v>
      </c>
      <c r="C50" s="175"/>
      <c r="D50" s="175"/>
      <c r="E50" s="150" t="s">
        <v>5311</v>
      </c>
      <c r="F50" s="151" t="s">
        <v>448</v>
      </c>
      <c r="G50" s="151" t="s">
        <v>427</v>
      </c>
      <c r="H50" s="151" t="s">
        <v>225</v>
      </c>
      <c r="I50" s="152" t="s">
        <v>410</v>
      </c>
      <c r="J50" s="153" t="s">
        <v>5312</v>
      </c>
      <c r="K50" s="177">
        <v>1400</v>
      </c>
      <c r="L50" s="177"/>
      <c r="M50" s="159">
        <f t="shared" si="0"/>
        <v>0</v>
      </c>
      <c r="N50" s="159"/>
      <c r="O50" s="159"/>
      <c r="P50" s="159"/>
      <c r="Q50" s="159"/>
      <c r="R50" s="159"/>
      <c r="S50" s="150" t="s">
        <v>5266</v>
      </c>
      <c r="T50" s="150" t="s">
        <v>5267</v>
      </c>
      <c r="U50" s="174" t="s">
        <v>5310</v>
      </c>
      <c r="V50" s="174" t="s">
        <v>210</v>
      </c>
      <c r="W50" s="151" t="s">
        <v>253</v>
      </c>
      <c r="X50" s="152" t="s">
        <v>213</v>
      </c>
      <c r="Y50" s="176">
        <v>1400</v>
      </c>
      <c r="Z50" s="176">
        <v>210000</v>
      </c>
      <c r="AA50" s="156">
        <f t="shared" si="1"/>
        <v>294000000</v>
      </c>
      <c r="AB50" s="157">
        <v>142400</v>
      </c>
      <c r="AC50" s="158">
        <f t="shared" si="2"/>
        <v>142400</v>
      </c>
      <c r="AD50" s="159">
        <f t="shared" si="3"/>
        <v>0</v>
      </c>
      <c r="AE50" s="160"/>
      <c r="AF50" s="160">
        <f t="shared" si="4"/>
        <v>0</v>
      </c>
      <c r="AG50" s="161"/>
      <c r="AH50" s="161">
        <f t="shared" si="5"/>
        <v>0</v>
      </c>
      <c r="AI50" s="162"/>
      <c r="AJ50" s="162">
        <f t="shared" si="6"/>
        <v>0</v>
      </c>
      <c r="AK50" s="163"/>
      <c r="AL50" s="164">
        <f t="shared" si="7"/>
        <v>0</v>
      </c>
      <c r="AM50" s="161"/>
      <c r="AN50" s="165">
        <f t="shared" si="8"/>
        <v>0</v>
      </c>
      <c r="AO50" s="160">
        <v>0</v>
      </c>
      <c r="AP50" s="166">
        <f t="shared" si="9"/>
        <v>0</v>
      </c>
      <c r="AQ50" s="162"/>
      <c r="AR50" s="162">
        <f t="shared" si="10"/>
        <v>0</v>
      </c>
      <c r="AS50" s="167"/>
      <c r="AT50" s="167">
        <f t="shared" si="11"/>
        <v>0</v>
      </c>
      <c r="AU50" s="163"/>
      <c r="AV50" s="163">
        <f t="shared" si="12"/>
        <v>0</v>
      </c>
      <c r="AW50" s="162"/>
      <c r="AX50" s="168">
        <f t="shared" si="13"/>
        <v>0</v>
      </c>
      <c r="AY50" s="169"/>
      <c r="AZ50" s="170">
        <f t="shared" si="14"/>
        <v>0</v>
      </c>
      <c r="BA50" s="160"/>
      <c r="BB50" s="166">
        <f t="shared" si="15"/>
        <v>0</v>
      </c>
    </row>
    <row r="51" spans="1:54" s="178" customFormat="1" ht="31.5">
      <c r="A51" s="172" t="s">
        <v>5313</v>
      </c>
      <c r="B51" s="175" t="s">
        <v>400</v>
      </c>
      <c r="C51" s="175"/>
      <c r="D51" s="175"/>
      <c r="E51" s="150" t="s">
        <v>5315</v>
      </c>
      <c r="F51" s="151" t="s">
        <v>5317</v>
      </c>
      <c r="G51" s="151" t="s">
        <v>537</v>
      </c>
      <c r="H51" s="151" t="s">
        <v>517</v>
      </c>
      <c r="I51" s="152" t="s">
        <v>5141</v>
      </c>
      <c r="J51" s="153" t="s">
        <v>5316</v>
      </c>
      <c r="K51" s="177">
        <v>3500</v>
      </c>
      <c r="L51" s="177"/>
      <c r="M51" s="159">
        <f t="shared" si="0"/>
        <v>0</v>
      </c>
      <c r="N51" s="159"/>
      <c r="O51" s="159"/>
      <c r="P51" s="159"/>
      <c r="Q51" s="159"/>
      <c r="R51" s="159"/>
      <c r="S51" s="150" t="s">
        <v>5283</v>
      </c>
      <c r="T51" s="150" t="s">
        <v>5284</v>
      </c>
      <c r="U51" s="174" t="s">
        <v>5314</v>
      </c>
      <c r="V51" s="174" t="s">
        <v>210</v>
      </c>
      <c r="W51" s="151" t="s">
        <v>5108</v>
      </c>
      <c r="X51" s="152" t="s">
        <v>5286</v>
      </c>
      <c r="Y51" s="176">
        <v>3500</v>
      </c>
      <c r="Z51" s="176">
        <v>740</v>
      </c>
      <c r="AA51" s="156">
        <f t="shared" si="1"/>
        <v>2590000</v>
      </c>
      <c r="AB51" s="157">
        <v>740</v>
      </c>
      <c r="AC51" s="158">
        <f t="shared" si="2"/>
        <v>740</v>
      </c>
      <c r="AD51" s="159">
        <f t="shared" si="3"/>
        <v>0</v>
      </c>
      <c r="AE51" s="160"/>
      <c r="AF51" s="160">
        <f t="shared" si="4"/>
        <v>0</v>
      </c>
      <c r="AG51" s="165"/>
      <c r="AH51" s="161">
        <f t="shared" si="5"/>
        <v>0</v>
      </c>
      <c r="AI51" s="162"/>
      <c r="AJ51" s="162">
        <f t="shared" si="6"/>
        <v>0</v>
      </c>
      <c r="AK51" s="164"/>
      <c r="AL51" s="164">
        <f t="shared" si="7"/>
        <v>0</v>
      </c>
      <c r="AM51" s="165"/>
      <c r="AN51" s="165">
        <f t="shared" si="8"/>
        <v>0</v>
      </c>
      <c r="AO51" s="166">
        <v>0</v>
      </c>
      <c r="AP51" s="166">
        <f t="shared" si="9"/>
        <v>0</v>
      </c>
      <c r="AQ51" s="162"/>
      <c r="AR51" s="162">
        <f t="shared" si="10"/>
        <v>0</v>
      </c>
      <c r="AS51" s="173"/>
      <c r="AT51" s="167">
        <f t="shared" si="11"/>
        <v>0</v>
      </c>
      <c r="AU51" s="163"/>
      <c r="AV51" s="163">
        <f t="shared" si="12"/>
        <v>0</v>
      </c>
      <c r="AW51" s="168"/>
      <c r="AX51" s="168">
        <f t="shared" si="13"/>
        <v>0</v>
      </c>
      <c r="AY51" s="170"/>
      <c r="AZ51" s="170">
        <f t="shared" si="14"/>
        <v>0</v>
      </c>
      <c r="BA51" s="166"/>
      <c r="BB51" s="166">
        <f t="shared" si="15"/>
        <v>0</v>
      </c>
    </row>
    <row r="52" spans="1:54" s="178" customFormat="1" ht="31.5">
      <c r="A52" s="148" t="s">
        <v>5318</v>
      </c>
      <c r="B52" s="175" t="s">
        <v>329</v>
      </c>
      <c r="C52" s="175"/>
      <c r="D52" s="175"/>
      <c r="E52" s="150" t="s">
        <v>480</v>
      </c>
      <c r="F52" s="151" t="s">
        <v>5321</v>
      </c>
      <c r="G52" s="151" t="s">
        <v>479</v>
      </c>
      <c r="H52" s="151" t="s">
        <v>262</v>
      </c>
      <c r="I52" s="152" t="s">
        <v>10</v>
      </c>
      <c r="J52" s="153" t="s">
        <v>5320</v>
      </c>
      <c r="K52" s="177">
        <v>750</v>
      </c>
      <c r="L52" s="177"/>
      <c r="M52" s="159">
        <f t="shared" si="0"/>
        <v>0</v>
      </c>
      <c r="N52" s="159"/>
      <c r="O52" s="159"/>
      <c r="P52" s="159"/>
      <c r="Q52" s="159"/>
      <c r="R52" s="159"/>
      <c r="S52" s="150" t="s">
        <v>5301</v>
      </c>
      <c r="T52" s="150" t="s">
        <v>5302</v>
      </c>
      <c r="U52" s="174" t="s">
        <v>5319</v>
      </c>
      <c r="V52" s="174" t="s">
        <v>210</v>
      </c>
      <c r="W52" s="151" t="s">
        <v>5104</v>
      </c>
      <c r="X52" s="152" t="s">
        <v>213</v>
      </c>
      <c r="Y52" s="176">
        <v>750</v>
      </c>
      <c r="Z52" s="176">
        <v>150000</v>
      </c>
      <c r="AA52" s="156">
        <f t="shared" si="1"/>
        <v>112500000</v>
      </c>
      <c r="AB52" s="157">
        <v>138000</v>
      </c>
      <c r="AC52" s="158">
        <f t="shared" si="2"/>
        <v>138000</v>
      </c>
      <c r="AD52" s="159">
        <f t="shared" si="3"/>
        <v>0</v>
      </c>
      <c r="AE52" s="160"/>
      <c r="AF52" s="160">
        <f t="shared" si="4"/>
        <v>0</v>
      </c>
      <c r="AG52" s="165"/>
      <c r="AH52" s="161">
        <f t="shared" si="5"/>
        <v>0</v>
      </c>
      <c r="AI52" s="162"/>
      <c r="AJ52" s="162">
        <f t="shared" si="6"/>
        <v>0</v>
      </c>
      <c r="AK52" s="164"/>
      <c r="AL52" s="164">
        <f t="shared" si="7"/>
        <v>0</v>
      </c>
      <c r="AM52" s="165"/>
      <c r="AN52" s="165">
        <f t="shared" si="8"/>
        <v>0</v>
      </c>
      <c r="AO52" s="166">
        <v>0</v>
      </c>
      <c r="AP52" s="166">
        <f t="shared" si="9"/>
        <v>0</v>
      </c>
      <c r="AQ52" s="162"/>
      <c r="AR52" s="162">
        <f t="shared" si="10"/>
        <v>0</v>
      </c>
      <c r="AS52" s="173"/>
      <c r="AT52" s="167">
        <f t="shared" si="11"/>
        <v>0</v>
      </c>
      <c r="AU52" s="163"/>
      <c r="AV52" s="163">
        <f t="shared" si="12"/>
        <v>0</v>
      </c>
      <c r="AW52" s="168"/>
      <c r="AX52" s="168">
        <f t="shared" si="13"/>
        <v>0</v>
      </c>
      <c r="AY52" s="170"/>
      <c r="AZ52" s="170">
        <f t="shared" si="14"/>
        <v>0</v>
      </c>
      <c r="BA52" s="166"/>
      <c r="BB52" s="166">
        <f t="shared" si="15"/>
        <v>0</v>
      </c>
    </row>
    <row r="53" spans="1:54" s="178" customFormat="1" ht="31.5">
      <c r="A53" s="148" t="s">
        <v>5322</v>
      </c>
      <c r="B53" s="175" t="s">
        <v>216</v>
      </c>
      <c r="C53" s="175"/>
      <c r="D53" s="175"/>
      <c r="E53" s="150" t="s">
        <v>250</v>
      </c>
      <c r="F53" s="151" t="s">
        <v>254</v>
      </c>
      <c r="G53" s="151" t="s">
        <v>255</v>
      </c>
      <c r="H53" s="151" t="s">
        <v>251</v>
      </c>
      <c r="I53" s="152" t="s">
        <v>10</v>
      </c>
      <c r="J53" s="153" t="s">
        <v>5326</v>
      </c>
      <c r="K53" s="177">
        <v>2246</v>
      </c>
      <c r="L53" s="177"/>
      <c r="M53" s="159">
        <f t="shared" si="0"/>
        <v>1500</v>
      </c>
      <c r="N53" s="159"/>
      <c r="O53" s="159"/>
      <c r="P53" s="159"/>
      <c r="Q53" s="159"/>
      <c r="R53" s="159"/>
      <c r="S53" s="150" t="s">
        <v>5323</v>
      </c>
      <c r="T53" s="150" t="s">
        <v>5324</v>
      </c>
      <c r="U53" s="174" t="s">
        <v>4798</v>
      </c>
      <c r="V53" s="174" t="s">
        <v>5325</v>
      </c>
      <c r="W53" s="151" t="s">
        <v>253</v>
      </c>
      <c r="X53" s="152" t="s">
        <v>213</v>
      </c>
      <c r="Y53" s="176">
        <v>8400</v>
      </c>
      <c r="Z53" s="176">
        <v>120000</v>
      </c>
      <c r="AA53" s="156">
        <f t="shared" si="1"/>
        <v>269520000</v>
      </c>
      <c r="AB53" s="157">
        <v>100008</v>
      </c>
      <c r="AC53" s="158">
        <f t="shared" si="2"/>
        <v>98508</v>
      </c>
      <c r="AD53" s="159">
        <f t="shared" si="3"/>
        <v>3369000</v>
      </c>
      <c r="AE53" s="160"/>
      <c r="AF53" s="160">
        <f t="shared" si="4"/>
        <v>0</v>
      </c>
      <c r="AG53" s="161"/>
      <c r="AH53" s="161">
        <f t="shared" si="5"/>
        <v>0</v>
      </c>
      <c r="AI53" s="162"/>
      <c r="AJ53" s="162">
        <f t="shared" si="6"/>
        <v>0</v>
      </c>
      <c r="AK53" s="164"/>
      <c r="AL53" s="164">
        <f t="shared" si="7"/>
        <v>0</v>
      </c>
      <c r="AM53" s="165"/>
      <c r="AN53" s="165">
        <f t="shared" si="8"/>
        <v>0</v>
      </c>
      <c r="AO53" s="166">
        <v>0</v>
      </c>
      <c r="AP53" s="166">
        <f t="shared" si="9"/>
        <v>0</v>
      </c>
      <c r="AQ53" s="162"/>
      <c r="AR53" s="162">
        <f t="shared" si="10"/>
        <v>0</v>
      </c>
      <c r="AS53" s="167">
        <v>1500</v>
      </c>
      <c r="AT53" s="167">
        <f t="shared" si="11"/>
        <v>3369000</v>
      </c>
      <c r="AU53" s="163"/>
      <c r="AV53" s="163">
        <f t="shared" si="12"/>
        <v>0</v>
      </c>
      <c r="AW53" s="168"/>
      <c r="AX53" s="168">
        <f t="shared" si="13"/>
        <v>0</v>
      </c>
      <c r="AY53" s="170"/>
      <c r="AZ53" s="170">
        <f t="shared" si="14"/>
        <v>0</v>
      </c>
      <c r="BA53" s="166"/>
      <c r="BB53" s="166">
        <f t="shared" si="15"/>
        <v>0</v>
      </c>
    </row>
    <row r="54" spans="1:54" s="178" customFormat="1" ht="31.5">
      <c r="A54" s="172" t="s">
        <v>5327</v>
      </c>
      <c r="B54" s="175" t="s">
        <v>234</v>
      </c>
      <c r="C54" s="175"/>
      <c r="D54" s="175"/>
      <c r="E54" s="150" t="s">
        <v>5330</v>
      </c>
      <c r="F54" s="151" t="s">
        <v>5332</v>
      </c>
      <c r="G54" s="151" t="s">
        <v>215</v>
      </c>
      <c r="H54" s="151" t="s">
        <v>235</v>
      </c>
      <c r="I54" s="152" t="s">
        <v>10</v>
      </c>
      <c r="J54" s="153" t="s">
        <v>5331</v>
      </c>
      <c r="K54" s="177">
        <v>465</v>
      </c>
      <c r="L54" s="177"/>
      <c r="M54" s="159">
        <f t="shared" si="0"/>
        <v>0</v>
      </c>
      <c r="N54" s="159"/>
      <c r="O54" s="159"/>
      <c r="P54" s="159"/>
      <c r="Q54" s="159"/>
      <c r="R54" s="159"/>
      <c r="S54" s="150" t="s">
        <v>5328</v>
      </c>
      <c r="T54" s="150" t="s">
        <v>215</v>
      </c>
      <c r="U54" s="174" t="s">
        <v>5329</v>
      </c>
      <c r="V54" s="174" t="s">
        <v>5325</v>
      </c>
      <c r="W54" s="151" t="s">
        <v>5104</v>
      </c>
      <c r="X54" s="152" t="s">
        <v>213</v>
      </c>
      <c r="Y54" s="176">
        <v>4200</v>
      </c>
      <c r="Z54" s="176">
        <v>37000</v>
      </c>
      <c r="AA54" s="156">
        <f t="shared" si="1"/>
        <v>17205000</v>
      </c>
      <c r="AB54" s="157">
        <v>37000</v>
      </c>
      <c r="AC54" s="158">
        <f t="shared" si="2"/>
        <v>37000</v>
      </c>
      <c r="AD54" s="159">
        <f t="shared" si="3"/>
        <v>0</v>
      </c>
      <c r="AE54" s="160"/>
      <c r="AF54" s="160">
        <f t="shared" si="4"/>
        <v>0</v>
      </c>
      <c r="AG54" s="165"/>
      <c r="AH54" s="161">
        <f t="shared" si="5"/>
        <v>0</v>
      </c>
      <c r="AI54" s="162"/>
      <c r="AJ54" s="162">
        <f t="shared" si="6"/>
        <v>0</v>
      </c>
      <c r="AK54" s="164"/>
      <c r="AL54" s="164">
        <f t="shared" si="7"/>
        <v>0</v>
      </c>
      <c r="AM54" s="165"/>
      <c r="AN54" s="165">
        <f t="shared" si="8"/>
        <v>0</v>
      </c>
      <c r="AO54" s="166">
        <v>0</v>
      </c>
      <c r="AP54" s="166">
        <f t="shared" si="9"/>
        <v>0</v>
      </c>
      <c r="AQ54" s="162"/>
      <c r="AR54" s="162">
        <f t="shared" si="10"/>
        <v>0</v>
      </c>
      <c r="AS54" s="173"/>
      <c r="AT54" s="167">
        <f t="shared" si="11"/>
        <v>0</v>
      </c>
      <c r="AU54" s="163"/>
      <c r="AV54" s="163">
        <f t="shared" si="12"/>
        <v>0</v>
      </c>
      <c r="AW54" s="168"/>
      <c r="AX54" s="168">
        <f t="shared" si="13"/>
        <v>0</v>
      </c>
      <c r="AY54" s="170"/>
      <c r="AZ54" s="170">
        <f t="shared" si="14"/>
        <v>0</v>
      </c>
      <c r="BA54" s="166"/>
      <c r="BB54" s="166">
        <f t="shared" si="15"/>
        <v>0</v>
      </c>
    </row>
    <row r="55" spans="1:54" s="178" customFormat="1" ht="31.5">
      <c r="A55" s="148" t="s">
        <v>5333</v>
      </c>
      <c r="B55" s="175" t="s">
        <v>234</v>
      </c>
      <c r="C55" s="175"/>
      <c r="D55" s="175"/>
      <c r="E55" s="150" t="s">
        <v>234</v>
      </c>
      <c r="F55" s="151" t="s">
        <v>5335</v>
      </c>
      <c r="G55" s="151" t="s">
        <v>360</v>
      </c>
      <c r="H55" s="151" t="s">
        <v>238</v>
      </c>
      <c r="I55" s="152" t="s">
        <v>10</v>
      </c>
      <c r="J55" s="153" t="s">
        <v>5150</v>
      </c>
      <c r="K55" s="177">
        <v>215</v>
      </c>
      <c r="L55" s="177"/>
      <c r="M55" s="159">
        <f t="shared" si="0"/>
        <v>0</v>
      </c>
      <c r="N55" s="159"/>
      <c r="O55" s="159"/>
      <c r="P55" s="159"/>
      <c r="Q55" s="159"/>
      <c r="R55" s="159"/>
      <c r="S55" s="150" t="s">
        <v>360</v>
      </c>
      <c r="T55" s="150" t="s">
        <v>358</v>
      </c>
      <c r="U55" s="174" t="s">
        <v>5334</v>
      </c>
      <c r="V55" s="174" t="s">
        <v>5325</v>
      </c>
      <c r="W55" s="151">
        <v>24</v>
      </c>
      <c r="X55" s="152" t="s">
        <v>213</v>
      </c>
      <c r="Y55" s="176">
        <v>1100</v>
      </c>
      <c r="Z55" s="176">
        <v>37000</v>
      </c>
      <c r="AA55" s="156">
        <f t="shared" si="1"/>
        <v>7955000</v>
      </c>
      <c r="AB55" s="157">
        <v>37000</v>
      </c>
      <c r="AC55" s="158">
        <f t="shared" si="2"/>
        <v>37000</v>
      </c>
      <c r="AD55" s="159">
        <f t="shared" si="3"/>
        <v>0</v>
      </c>
      <c r="AE55" s="160"/>
      <c r="AF55" s="160">
        <f t="shared" si="4"/>
        <v>0</v>
      </c>
      <c r="AG55" s="165"/>
      <c r="AH55" s="161">
        <f t="shared" si="5"/>
        <v>0</v>
      </c>
      <c r="AI55" s="162"/>
      <c r="AJ55" s="162">
        <f t="shared" si="6"/>
        <v>0</v>
      </c>
      <c r="AK55" s="164"/>
      <c r="AL55" s="164">
        <f t="shared" si="7"/>
        <v>0</v>
      </c>
      <c r="AM55" s="165"/>
      <c r="AN55" s="165">
        <f t="shared" si="8"/>
        <v>0</v>
      </c>
      <c r="AO55" s="166">
        <v>0</v>
      </c>
      <c r="AP55" s="166">
        <f t="shared" si="9"/>
        <v>0</v>
      </c>
      <c r="AQ55" s="162"/>
      <c r="AR55" s="162">
        <f t="shared" si="10"/>
        <v>0</v>
      </c>
      <c r="AS55" s="173"/>
      <c r="AT55" s="167">
        <f t="shared" si="11"/>
        <v>0</v>
      </c>
      <c r="AU55" s="163"/>
      <c r="AV55" s="163">
        <f t="shared" si="12"/>
        <v>0</v>
      </c>
      <c r="AW55" s="168"/>
      <c r="AX55" s="168">
        <f t="shared" si="13"/>
        <v>0</v>
      </c>
      <c r="AY55" s="170"/>
      <c r="AZ55" s="170">
        <f t="shared" si="14"/>
        <v>0</v>
      </c>
      <c r="BA55" s="166"/>
      <c r="BB55" s="166">
        <f t="shared" si="15"/>
        <v>0</v>
      </c>
    </row>
    <row r="56" spans="1:54" s="178" customFormat="1" ht="31.5">
      <c r="A56" s="148" t="s">
        <v>5035</v>
      </c>
      <c r="B56" s="175" t="s">
        <v>246</v>
      </c>
      <c r="C56" s="175"/>
      <c r="D56" s="175"/>
      <c r="E56" s="150" t="s">
        <v>3578</v>
      </c>
      <c r="F56" s="151" t="s">
        <v>5338</v>
      </c>
      <c r="G56" s="151" t="s">
        <v>324</v>
      </c>
      <c r="H56" s="151" t="s">
        <v>248</v>
      </c>
      <c r="I56" s="152" t="s">
        <v>10</v>
      </c>
      <c r="J56" s="153" t="s">
        <v>5337</v>
      </c>
      <c r="K56" s="177">
        <v>798</v>
      </c>
      <c r="L56" s="177"/>
      <c r="M56" s="159">
        <f t="shared" si="0"/>
        <v>0</v>
      </c>
      <c r="N56" s="159"/>
      <c r="O56" s="159"/>
      <c r="P56" s="159"/>
      <c r="Q56" s="159"/>
      <c r="R56" s="159"/>
      <c r="S56" s="149" t="s">
        <v>5336</v>
      </c>
      <c r="T56" s="150" t="s">
        <v>322</v>
      </c>
      <c r="U56" s="174" t="s">
        <v>4840</v>
      </c>
      <c r="V56" s="174" t="s">
        <v>5325</v>
      </c>
      <c r="W56" s="151" t="s">
        <v>5104</v>
      </c>
      <c r="X56" s="152" t="s">
        <v>213</v>
      </c>
      <c r="Y56" s="176">
        <v>1550</v>
      </c>
      <c r="Z56" s="176">
        <v>19000</v>
      </c>
      <c r="AA56" s="156">
        <f t="shared" si="1"/>
        <v>15162000</v>
      </c>
      <c r="AB56" s="157">
        <v>17500</v>
      </c>
      <c r="AC56" s="158">
        <f t="shared" si="2"/>
        <v>17500</v>
      </c>
      <c r="AD56" s="159">
        <f t="shared" si="3"/>
        <v>0</v>
      </c>
      <c r="AE56" s="160"/>
      <c r="AF56" s="160">
        <f t="shared" si="4"/>
        <v>0</v>
      </c>
      <c r="AG56" s="165"/>
      <c r="AH56" s="161">
        <f t="shared" si="5"/>
        <v>0</v>
      </c>
      <c r="AI56" s="162"/>
      <c r="AJ56" s="162">
        <f t="shared" si="6"/>
        <v>0</v>
      </c>
      <c r="AK56" s="164"/>
      <c r="AL56" s="164">
        <f t="shared" si="7"/>
        <v>0</v>
      </c>
      <c r="AM56" s="165"/>
      <c r="AN56" s="165">
        <f t="shared" si="8"/>
        <v>0</v>
      </c>
      <c r="AO56" s="166">
        <v>0</v>
      </c>
      <c r="AP56" s="166">
        <f t="shared" si="9"/>
        <v>0</v>
      </c>
      <c r="AQ56" s="162"/>
      <c r="AR56" s="162">
        <f t="shared" si="10"/>
        <v>0</v>
      </c>
      <c r="AS56" s="173"/>
      <c r="AT56" s="167">
        <f t="shared" si="11"/>
        <v>0</v>
      </c>
      <c r="AU56" s="163"/>
      <c r="AV56" s="163">
        <f t="shared" si="12"/>
        <v>0</v>
      </c>
      <c r="AW56" s="168"/>
      <c r="AX56" s="168">
        <f t="shared" si="13"/>
        <v>0</v>
      </c>
      <c r="AY56" s="170"/>
      <c r="AZ56" s="170">
        <f t="shared" si="14"/>
        <v>0</v>
      </c>
      <c r="BA56" s="166"/>
      <c r="BB56" s="166">
        <f t="shared" si="15"/>
        <v>0</v>
      </c>
    </row>
    <row r="57" spans="1:54" s="178" customFormat="1" ht="31.5">
      <c r="A57" s="172" t="s">
        <v>5339</v>
      </c>
      <c r="B57" s="175" t="s">
        <v>289</v>
      </c>
      <c r="C57" s="175"/>
      <c r="D57" s="175"/>
      <c r="E57" s="150" t="s">
        <v>500</v>
      </c>
      <c r="F57" s="151" t="s">
        <v>501</v>
      </c>
      <c r="G57" s="151" t="s">
        <v>5343</v>
      </c>
      <c r="H57" s="151" t="s">
        <v>291</v>
      </c>
      <c r="I57" s="152" t="s">
        <v>10</v>
      </c>
      <c r="J57" s="153" t="s">
        <v>5342</v>
      </c>
      <c r="K57" s="177">
        <v>798</v>
      </c>
      <c r="L57" s="177"/>
      <c r="M57" s="159">
        <f t="shared" si="0"/>
        <v>150000</v>
      </c>
      <c r="N57" s="159"/>
      <c r="O57" s="159"/>
      <c r="P57" s="159"/>
      <c r="Q57" s="159"/>
      <c r="R57" s="159"/>
      <c r="S57" s="150" t="s">
        <v>5340</v>
      </c>
      <c r="T57" s="150" t="s">
        <v>5341</v>
      </c>
      <c r="U57" s="174" t="s">
        <v>4853</v>
      </c>
      <c r="V57" s="174" t="s">
        <v>5325</v>
      </c>
      <c r="W57" s="151" t="s">
        <v>5104</v>
      </c>
      <c r="X57" s="152" t="s">
        <v>213</v>
      </c>
      <c r="Y57" s="176">
        <v>2100</v>
      </c>
      <c r="Z57" s="179">
        <v>364000</v>
      </c>
      <c r="AA57" s="156">
        <f t="shared" si="1"/>
        <v>290472000</v>
      </c>
      <c r="AB57" s="157">
        <v>164000</v>
      </c>
      <c r="AC57" s="158">
        <f t="shared" si="2"/>
        <v>14000</v>
      </c>
      <c r="AD57" s="159">
        <f t="shared" si="3"/>
        <v>119700000</v>
      </c>
      <c r="AE57" s="160">
        <v>20000</v>
      </c>
      <c r="AF57" s="160">
        <f t="shared" si="4"/>
        <v>15960000</v>
      </c>
      <c r="AG57" s="161">
        <v>60000</v>
      </c>
      <c r="AH57" s="161">
        <f t="shared" si="5"/>
        <v>47880000</v>
      </c>
      <c r="AI57" s="162"/>
      <c r="AJ57" s="162">
        <f t="shared" si="6"/>
        <v>0</v>
      </c>
      <c r="AK57" s="163"/>
      <c r="AL57" s="164">
        <f t="shared" si="7"/>
        <v>0</v>
      </c>
      <c r="AM57" s="161">
        <v>30000</v>
      </c>
      <c r="AN57" s="165">
        <f t="shared" si="8"/>
        <v>23940000</v>
      </c>
      <c r="AO57" s="160">
        <v>0</v>
      </c>
      <c r="AP57" s="166">
        <f t="shared" si="9"/>
        <v>0</v>
      </c>
      <c r="AQ57" s="162"/>
      <c r="AR57" s="162">
        <f t="shared" si="10"/>
        <v>0</v>
      </c>
      <c r="AS57" s="167">
        <v>20000</v>
      </c>
      <c r="AT57" s="167">
        <f t="shared" si="11"/>
        <v>15960000</v>
      </c>
      <c r="AU57" s="163">
        <v>20000</v>
      </c>
      <c r="AV57" s="163">
        <f t="shared" si="12"/>
        <v>15960000</v>
      </c>
      <c r="AW57" s="162"/>
      <c r="AX57" s="168">
        <f t="shared" si="13"/>
        <v>0</v>
      </c>
      <c r="AY57" s="169"/>
      <c r="AZ57" s="170">
        <f t="shared" si="14"/>
        <v>0</v>
      </c>
      <c r="BA57" s="160"/>
      <c r="BB57" s="166">
        <f t="shared" si="15"/>
        <v>0</v>
      </c>
    </row>
    <row r="58" spans="1:54" s="178" customFormat="1" ht="31.5">
      <c r="A58" s="148" t="s">
        <v>5344</v>
      </c>
      <c r="B58" s="175" t="s">
        <v>216</v>
      </c>
      <c r="C58" s="175"/>
      <c r="D58" s="175"/>
      <c r="E58" s="150" t="s">
        <v>4801</v>
      </c>
      <c r="F58" s="151" t="s">
        <v>220</v>
      </c>
      <c r="G58" s="151" t="s">
        <v>217</v>
      </c>
      <c r="H58" s="151" t="s">
        <v>219</v>
      </c>
      <c r="I58" s="152" t="s">
        <v>10</v>
      </c>
      <c r="J58" s="153" t="s">
        <v>5345</v>
      </c>
      <c r="K58" s="177">
        <v>2375</v>
      </c>
      <c r="L58" s="177"/>
      <c r="M58" s="159">
        <f t="shared" si="0"/>
        <v>4680</v>
      </c>
      <c r="N58" s="159"/>
      <c r="O58" s="159"/>
      <c r="P58" s="159"/>
      <c r="Q58" s="159"/>
      <c r="R58" s="159"/>
      <c r="S58" s="150" t="s">
        <v>5328</v>
      </c>
      <c r="T58" s="150" t="s">
        <v>215</v>
      </c>
      <c r="U58" s="174" t="s">
        <v>4800</v>
      </c>
      <c r="V58" s="174" t="s">
        <v>5325</v>
      </c>
      <c r="W58" s="151" t="s">
        <v>5104</v>
      </c>
      <c r="X58" s="152" t="s">
        <v>213</v>
      </c>
      <c r="Y58" s="176">
        <v>9500</v>
      </c>
      <c r="Z58" s="176">
        <v>182000</v>
      </c>
      <c r="AA58" s="156">
        <f t="shared" si="1"/>
        <v>432250000</v>
      </c>
      <c r="AB58" s="157">
        <v>172000</v>
      </c>
      <c r="AC58" s="158">
        <f t="shared" si="2"/>
        <v>167320</v>
      </c>
      <c r="AD58" s="159">
        <f t="shared" si="3"/>
        <v>11115000</v>
      </c>
      <c r="AE58" s="160"/>
      <c r="AF58" s="160">
        <f t="shared" si="4"/>
        <v>0</v>
      </c>
      <c r="AG58" s="161"/>
      <c r="AH58" s="161">
        <f t="shared" si="5"/>
        <v>0</v>
      </c>
      <c r="AI58" s="162"/>
      <c r="AJ58" s="162">
        <f t="shared" si="6"/>
        <v>0</v>
      </c>
      <c r="AK58" s="164"/>
      <c r="AL58" s="164">
        <f t="shared" si="7"/>
        <v>0</v>
      </c>
      <c r="AM58" s="165"/>
      <c r="AN58" s="165">
        <f t="shared" si="8"/>
        <v>0</v>
      </c>
      <c r="AO58" s="166">
        <v>0</v>
      </c>
      <c r="AP58" s="166">
        <f t="shared" si="9"/>
        <v>0</v>
      </c>
      <c r="AQ58" s="162"/>
      <c r="AR58" s="162">
        <f t="shared" si="10"/>
        <v>0</v>
      </c>
      <c r="AS58" s="167">
        <v>4680</v>
      </c>
      <c r="AT58" s="167">
        <f t="shared" si="11"/>
        <v>11115000</v>
      </c>
      <c r="AU58" s="163"/>
      <c r="AV58" s="163">
        <f t="shared" si="12"/>
        <v>0</v>
      </c>
      <c r="AW58" s="168"/>
      <c r="AX58" s="168">
        <f t="shared" si="13"/>
        <v>0</v>
      </c>
      <c r="AY58" s="170"/>
      <c r="AZ58" s="170">
        <f t="shared" si="14"/>
        <v>0</v>
      </c>
      <c r="BA58" s="166"/>
      <c r="BB58" s="166">
        <f t="shared" si="15"/>
        <v>0</v>
      </c>
    </row>
    <row r="59" spans="1:54" s="178" customFormat="1" ht="31.5">
      <c r="A59" s="148" t="s">
        <v>5346</v>
      </c>
      <c r="B59" s="175" t="s">
        <v>411</v>
      </c>
      <c r="C59" s="175"/>
      <c r="D59" s="175"/>
      <c r="E59" s="150" t="s">
        <v>412</v>
      </c>
      <c r="F59" s="151" t="s">
        <v>413</v>
      </c>
      <c r="G59" s="151" t="s">
        <v>414</v>
      </c>
      <c r="H59" s="151" t="s">
        <v>225</v>
      </c>
      <c r="I59" s="152" t="s">
        <v>10</v>
      </c>
      <c r="J59" s="153" t="s">
        <v>2251</v>
      </c>
      <c r="K59" s="177">
        <v>484</v>
      </c>
      <c r="L59" s="177"/>
      <c r="M59" s="159">
        <f t="shared" si="0"/>
        <v>40000</v>
      </c>
      <c r="N59" s="159"/>
      <c r="O59" s="159"/>
      <c r="P59" s="159"/>
      <c r="Q59" s="159"/>
      <c r="R59" s="159"/>
      <c r="S59" s="150" t="s">
        <v>5347</v>
      </c>
      <c r="T59" s="150" t="s">
        <v>5348</v>
      </c>
      <c r="U59" s="174" t="s">
        <v>4793</v>
      </c>
      <c r="V59" s="174" t="s">
        <v>5325</v>
      </c>
      <c r="W59" s="151" t="s">
        <v>5104</v>
      </c>
      <c r="X59" s="152" t="s">
        <v>213</v>
      </c>
      <c r="Y59" s="176">
        <v>856</v>
      </c>
      <c r="Z59" s="176">
        <v>546000</v>
      </c>
      <c r="AA59" s="156">
        <f t="shared" si="1"/>
        <v>264264000</v>
      </c>
      <c r="AB59" s="157">
        <v>439000</v>
      </c>
      <c r="AC59" s="158">
        <f t="shared" si="2"/>
        <v>399000</v>
      </c>
      <c r="AD59" s="159">
        <f t="shared" si="3"/>
        <v>19360000</v>
      </c>
      <c r="AE59" s="160">
        <v>10000</v>
      </c>
      <c r="AF59" s="160">
        <f t="shared" si="4"/>
        <v>4840000</v>
      </c>
      <c r="AG59" s="161"/>
      <c r="AH59" s="161">
        <f t="shared" si="5"/>
        <v>0</v>
      </c>
      <c r="AI59" s="162"/>
      <c r="AJ59" s="162">
        <f t="shared" si="6"/>
        <v>0</v>
      </c>
      <c r="AK59" s="164"/>
      <c r="AL59" s="164">
        <f t="shared" si="7"/>
        <v>0</v>
      </c>
      <c r="AM59" s="165"/>
      <c r="AN59" s="165">
        <f t="shared" si="8"/>
        <v>0</v>
      </c>
      <c r="AO59" s="166">
        <v>16000</v>
      </c>
      <c r="AP59" s="166">
        <f t="shared" si="9"/>
        <v>7744000</v>
      </c>
      <c r="AQ59" s="162"/>
      <c r="AR59" s="162">
        <f t="shared" si="10"/>
        <v>0</v>
      </c>
      <c r="AS59" s="167">
        <v>14000</v>
      </c>
      <c r="AT59" s="167">
        <f t="shared" si="11"/>
        <v>6776000</v>
      </c>
      <c r="AU59" s="163"/>
      <c r="AV59" s="163">
        <f t="shared" si="12"/>
        <v>0</v>
      </c>
      <c r="AW59" s="168"/>
      <c r="AX59" s="168">
        <f t="shared" si="13"/>
        <v>0</v>
      </c>
      <c r="AY59" s="170"/>
      <c r="AZ59" s="170">
        <f t="shared" si="14"/>
        <v>0</v>
      </c>
      <c r="BA59" s="166"/>
      <c r="BB59" s="166">
        <f t="shared" si="15"/>
        <v>0</v>
      </c>
    </row>
    <row r="60" spans="1:54" s="178" customFormat="1" ht="31.5">
      <c r="A60" s="172" t="s">
        <v>5349</v>
      </c>
      <c r="B60" s="175" t="s">
        <v>411</v>
      </c>
      <c r="C60" s="175"/>
      <c r="D60" s="175"/>
      <c r="E60" s="150" t="s">
        <v>415</v>
      </c>
      <c r="F60" s="151" t="s">
        <v>416</v>
      </c>
      <c r="G60" s="151" t="s">
        <v>414</v>
      </c>
      <c r="H60" s="151" t="s">
        <v>272</v>
      </c>
      <c r="I60" s="152" t="s">
        <v>10</v>
      </c>
      <c r="J60" s="153" t="s">
        <v>2251</v>
      </c>
      <c r="K60" s="177">
        <v>318</v>
      </c>
      <c r="L60" s="177"/>
      <c r="M60" s="159">
        <f t="shared" si="0"/>
        <v>12100</v>
      </c>
      <c r="N60" s="159"/>
      <c r="O60" s="159"/>
      <c r="P60" s="159"/>
      <c r="Q60" s="159"/>
      <c r="R60" s="159"/>
      <c r="S60" s="150" t="s">
        <v>5347</v>
      </c>
      <c r="T60" s="150" t="s">
        <v>5348</v>
      </c>
      <c r="U60" s="174" t="s">
        <v>4792</v>
      </c>
      <c r="V60" s="174" t="s">
        <v>5325</v>
      </c>
      <c r="W60" s="151" t="s">
        <v>5104</v>
      </c>
      <c r="X60" s="152" t="s">
        <v>213</v>
      </c>
      <c r="Y60" s="176">
        <v>490</v>
      </c>
      <c r="Z60" s="176">
        <v>182000</v>
      </c>
      <c r="AA60" s="156">
        <f t="shared" si="1"/>
        <v>57876000</v>
      </c>
      <c r="AB60" s="157">
        <v>157700</v>
      </c>
      <c r="AC60" s="158">
        <f t="shared" si="2"/>
        <v>145600</v>
      </c>
      <c r="AD60" s="159">
        <f t="shared" si="3"/>
        <v>3847800</v>
      </c>
      <c r="AE60" s="160">
        <v>10000</v>
      </c>
      <c r="AF60" s="160">
        <f t="shared" si="4"/>
        <v>3180000</v>
      </c>
      <c r="AG60" s="161"/>
      <c r="AH60" s="161">
        <f t="shared" si="5"/>
        <v>0</v>
      </c>
      <c r="AI60" s="162"/>
      <c r="AJ60" s="162">
        <f t="shared" si="6"/>
        <v>0</v>
      </c>
      <c r="AK60" s="164"/>
      <c r="AL60" s="164">
        <f t="shared" si="7"/>
        <v>0</v>
      </c>
      <c r="AM60" s="165"/>
      <c r="AN60" s="165">
        <f t="shared" si="8"/>
        <v>0</v>
      </c>
      <c r="AO60" s="166">
        <v>1000</v>
      </c>
      <c r="AP60" s="166">
        <f t="shared" si="9"/>
        <v>318000</v>
      </c>
      <c r="AQ60" s="162"/>
      <c r="AR60" s="162">
        <f t="shared" si="10"/>
        <v>0</v>
      </c>
      <c r="AS60" s="167">
        <v>1100</v>
      </c>
      <c r="AT60" s="167">
        <f t="shared" si="11"/>
        <v>349800</v>
      </c>
      <c r="AU60" s="163"/>
      <c r="AV60" s="163">
        <f t="shared" si="12"/>
        <v>0</v>
      </c>
      <c r="AW60" s="168"/>
      <c r="AX60" s="168">
        <f t="shared" si="13"/>
        <v>0</v>
      </c>
      <c r="AY60" s="170"/>
      <c r="AZ60" s="170">
        <f t="shared" si="14"/>
        <v>0</v>
      </c>
      <c r="BA60" s="166"/>
      <c r="BB60" s="166">
        <f t="shared" si="15"/>
        <v>0</v>
      </c>
    </row>
    <row r="61" spans="1:54" s="178" customFormat="1" ht="31.5">
      <c r="A61" s="148" t="s">
        <v>5350</v>
      </c>
      <c r="B61" s="175" t="s">
        <v>363</v>
      </c>
      <c r="C61" s="175"/>
      <c r="D61" s="175"/>
      <c r="E61" s="150" t="s">
        <v>363</v>
      </c>
      <c r="F61" s="151" t="s">
        <v>364</v>
      </c>
      <c r="G61" s="151" t="s">
        <v>360</v>
      </c>
      <c r="H61" s="151" t="s">
        <v>291</v>
      </c>
      <c r="I61" s="152" t="s">
        <v>10</v>
      </c>
      <c r="J61" s="153" t="s">
        <v>5103</v>
      </c>
      <c r="K61" s="177">
        <v>109</v>
      </c>
      <c r="L61" s="177"/>
      <c r="M61" s="159">
        <f t="shared" si="0"/>
        <v>0</v>
      </c>
      <c r="N61" s="159"/>
      <c r="O61" s="159"/>
      <c r="P61" s="159"/>
      <c r="Q61" s="159"/>
      <c r="R61" s="159"/>
      <c r="S61" s="150" t="s">
        <v>360</v>
      </c>
      <c r="T61" s="150" t="s">
        <v>358</v>
      </c>
      <c r="U61" s="174" t="s">
        <v>5351</v>
      </c>
      <c r="V61" s="174" t="s">
        <v>5325</v>
      </c>
      <c r="W61" s="151">
        <v>36</v>
      </c>
      <c r="X61" s="152" t="s">
        <v>213</v>
      </c>
      <c r="Y61" s="176">
        <v>740</v>
      </c>
      <c r="Z61" s="176">
        <v>75000</v>
      </c>
      <c r="AA61" s="156">
        <f t="shared" si="1"/>
        <v>8175000</v>
      </c>
      <c r="AB61" s="157">
        <v>75000</v>
      </c>
      <c r="AC61" s="158">
        <f t="shared" si="2"/>
        <v>75000</v>
      </c>
      <c r="AD61" s="159">
        <f t="shared" si="3"/>
        <v>0</v>
      </c>
      <c r="AE61" s="160"/>
      <c r="AF61" s="160">
        <f t="shared" si="4"/>
        <v>0</v>
      </c>
      <c r="AG61" s="161"/>
      <c r="AH61" s="161">
        <f t="shared" si="5"/>
        <v>0</v>
      </c>
      <c r="AI61" s="162"/>
      <c r="AJ61" s="162">
        <f t="shared" si="6"/>
        <v>0</v>
      </c>
      <c r="AK61" s="164"/>
      <c r="AL61" s="164">
        <f t="shared" si="7"/>
        <v>0</v>
      </c>
      <c r="AM61" s="165"/>
      <c r="AN61" s="165">
        <f t="shared" si="8"/>
        <v>0</v>
      </c>
      <c r="AO61" s="166">
        <v>0</v>
      </c>
      <c r="AP61" s="166">
        <f t="shared" si="9"/>
        <v>0</v>
      </c>
      <c r="AQ61" s="162"/>
      <c r="AR61" s="162">
        <f t="shared" si="10"/>
        <v>0</v>
      </c>
      <c r="AS61" s="167"/>
      <c r="AT61" s="167">
        <f t="shared" si="11"/>
        <v>0</v>
      </c>
      <c r="AU61" s="163"/>
      <c r="AV61" s="163">
        <f t="shared" si="12"/>
        <v>0</v>
      </c>
      <c r="AW61" s="168"/>
      <c r="AX61" s="168">
        <f t="shared" si="13"/>
        <v>0</v>
      </c>
      <c r="AY61" s="170"/>
      <c r="AZ61" s="170">
        <f t="shared" si="14"/>
        <v>0</v>
      </c>
      <c r="BA61" s="166"/>
      <c r="BB61" s="166">
        <f t="shared" si="15"/>
        <v>0</v>
      </c>
    </row>
    <row r="62" spans="1:54" s="178" customFormat="1" ht="31.5">
      <c r="A62" s="148" t="s">
        <v>5352</v>
      </c>
      <c r="B62" s="175" t="s">
        <v>365</v>
      </c>
      <c r="C62" s="175"/>
      <c r="D62" s="175"/>
      <c r="E62" s="150" t="s">
        <v>366</v>
      </c>
      <c r="F62" s="151" t="s">
        <v>367</v>
      </c>
      <c r="G62" s="151" t="s">
        <v>360</v>
      </c>
      <c r="H62" s="151" t="s">
        <v>235</v>
      </c>
      <c r="I62" s="152" t="s">
        <v>10</v>
      </c>
      <c r="J62" s="153" t="s">
        <v>5103</v>
      </c>
      <c r="K62" s="177">
        <v>232</v>
      </c>
      <c r="L62" s="177"/>
      <c r="M62" s="159">
        <f t="shared" si="0"/>
        <v>21000</v>
      </c>
      <c r="N62" s="159"/>
      <c r="O62" s="159"/>
      <c r="P62" s="159"/>
      <c r="Q62" s="159"/>
      <c r="R62" s="159"/>
      <c r="S62" s="150" t="s">
        <v>360</v>
      </c>
      <c r="T62" s="150" t="s">
        <v>358</v>
      </c>
      <c r="U62" s="174" t="s">
        <v>4796</v>
      </c>
      <c r="V62" s="174" t="s">
        <v>5325</v>
      </c>
      <c r="W62" s="151">
        <v>36</v>
      </c>
      <c r="X62" s="152" t="s">
        <v>213</v>
      </c>
      <c r="Y62" s="176">
        <v>1600</v>
      </c>
      <c r="Z62" s="176">
        <v>75000</v>
      </c>
      <c r="AA62" s="156">
        <f t="shared" si="1"/>
        <v>17400000</v>
      </c>
      <c r="AB62" s="157">
        <v>21000</v>
      </c>
      <c r="AC62" s="158">
        <f t="shared" si="2"/>
        <v>0</v>
      </c>
      <c r="AD62" s="159">
        <f t="shared" si="3"/>
        <v>4872000</v>
      </c>
      <c r="AE62" s="160"/>
      <c r="AF62" s="160">
        <f t="shared" si="4"/>
        <v>0</v>
      </c>
      <c r="AG62" s="161"/>
      <c r="AH62" s="161">
        <f t="shared" si="5"/>
        <v>0</v>
      </c>
      <c r="AI62" s="162"/>
      <c r="AJ62" s="162">
        <f t="shared" si="6"/>
        <v>0</v>
      </c>
      <c r="AK62" s="163"/>
      <c r="AL62" s="164">
        <f t="shared" si="7"/>
        <v>0</v>
      </c>
      <c r="AM62" s="161">
        <v>10000</v>
      </c>
      <c r="AN62" s="165">
        <f t="shared" si="8"/>
        <v>2320000</v>
      </c>
      <c r="AO62" s="160">
        <v>0</v>
      </c>
      <c r="AP62" s="166">
        <f t="shared" si="9"/>
        <v>0</v>
      </c>
      <c r="AQ62" s="162"/>
      <c r="AR62" s="162">
        <f t="shared" si="10"/>
        <v>0</v>
      </c>
      <c r="AS62" s="167">
        <v>11000</v>
      </c>
      <c r="AT62" s="167">
        <f t="shared" si="11"/>
        <v>2552000</v>
      </c>
      <c r="AU62" s="163"/>
      <c r="AV62" s="163">
        <f t="shared" si="12"/>
        <v>0</v>
      </c>
      <c r="AW62" s="162"/>
      <c r="AX62" s="168">
        <f t="shared" si="13"/>
        <v>0</v>
      </c>
      <c r="AY62" s="169"/>
      <c r="AZ62" s="170">
        <f t="shared" si="14"/>
        <v>0</v>
      </c>
      <c r="BA62" s="160"/>
      <c r="BB62" s="166">
        <f t="shared" si="15"/>
        <v>0</v>
      </c>
    </row>
    <row r="63" spans="1:54" s="178" customFormat="1">
      <c r="A63" s="172" t="s">
        <v>3725</v>
      </c>
      <c r="B63" s="175" t="s">
        <v>337</v>
      </c>
      <c r="C63" s="175"/>
      <c r="D63" s="175"/>
      <c r="E63" s="150" t="s">
        <v>4805</v>
      </c>
      <c r="F63" s="151" t="s">
        <v>339</v>
      </c>
      <c r="G63" s="151" t="s">
        <v>336</v>
      </c>
      <c r="H63" s="151" t="s">
        <v>225</v>
      </c>
      <c r="I63" s="152" t="s">
        <v>10</v>
      </c>
      <c r="J63" s="153" t="s">
        <v>5355</v>
      </c>
      <c r="K63" s="177">
        <v>2950</v>
      </c>
      <c r="L63" s="177"/>
      <c r="M63" s="159">
        <f t="shared" si="0"/>
        <v>0</v>
      </c>
      <c r="N63" s="159"/>
      <c r="O63" s="159"/>
      <c r="P63" s="159"/>
      <c r="Q63" s="159"/>
      <c r="R63" s="159"/>
      <c r="S63" s="150" t="s">
        <v>5353</v>
      </c>
      <c r="T63" s="150" t="s">
        <v>5354</v>
      </c>
      <c r="U63" s="174" t="s">
        <v>4804</v>
      </c>
      <c r="V63" s="174" t="s">
        <v>5325</v>
      </c>
      <c r="W63" s="151" t="s">
        <v>5104</v>
      </c>
      <c r="X63" s="152" t="s">
        <v>213</v>
      </c>
      <c r="Y63" s="176">
        <v>8000</v>
      </c>
      <c r="Z63" s="176">
        <v>36400</v>
      </c>
      <c r="AA63" s="156">
        <f t="shared" si="1"/>
        <v>107380000</v>
      </c>
      <c r="AB63" s="157">
        <v>27400</v>
      </c>
      <c r="AC63" s="158">
        <f t="shared" si="2"/>
        <v>27400</v>
      </c>
      <c r="AD63" s="159">
        <f t="shared" si="3"/>
        <v>0</v>
      </c>
      <c r="AE63" s="160"/>
      <c r="AF63" s="160">
        <f t="shared" si="4"/>
        <v>0</v>
      </c>
      <c r="AG63" s="161"/>
      <c r="AH63" s="161">
        <f t="shared" si="5"/>
        <v>0</v>
      </c>
      <c r="AI63" s="162"/>
      <c r="AJ63" s="162">
        <f t="shared" si="6"/>
        <v>0</v>
      </c>
      <c r="AK63" s="164"/>
      <c r="AL63" s="164">
        <f t="shared" si="7"/>
        <v>0</v>
      </c>
      <c r="AM63" s="165"/>
      <c r="AN63" s="165">
        <f t="shared" si="8"/>
        <v>0</v>
      </c>
      <c r="AO63" s="166">
        <v>0</v>
      </c>
      <c r="AP63" s="166">
        <f t="shared" si="9"/>
        <v>0</v>
      </c>
      <c r="AQ63" s="162"/>
      <c r="AR63" s="162">
        <f t="shared" si="10"/>
        <v>0</v>
      </c>
      <c r="AS63" s="167"/>
      <c r="AT63" s="167">
        <f t="shared" si="11"/>
        <v>0</v>
      </c>
      <c r="AU63" s="163"/>
      <c r="AV63" s="163">
        <f t="shared" si="12"/>
        <v>0</v>
      </c>
      <c r="AW63" s="168"/>
      <c r="AX63" s="168">
        <f t="shared" si="13"/>
        <v>0</v>
      </c>
      <c r="AY63" s="170"/>
      <c r="AZ63" s="170">
        <f t="shared" si="14"/>
        <v>0</v>
      </c>
      <c r="BA63" s="166"/>
      <c r="BB63" s="166">
        <f t="shared" si="15"/>
        <v>0</v>
      </c>
    </row>
    <row r="64" spans="1:54" s="178" customFormat="1" ht="31.5">
      <c r="A64" s="148" t="s">
        <v>5356</v>
      </c>
      <c r="B64" s="175" t="s">
        <v>368</v>
      </c>
      <c r="C64" s="175"/>
      <c r="D64" s="175"/>
      <c r="E64" s="150" t="s">
        <v>368</v>
      </c>
      <c r="F64" s="151" t="s">
        <v>370</v>
      </c>
      <c r="G64" s="151" t="s">
        <v>360</v>
      </c>
      <c r="H64" s="151" t="s">
        <v>369</v>
      </c>
      <c r="I64" s="152" t="s">
        <v>10</v>
      </c>
      <c r="J64" s="153" t="s">
        <v>5357</v>
      </c>
      <c r="K64" s="177">
        <v>34</v>
      </c>
      <c r="L64" s="177"/>
      <c r="M64" s="159">
        <f t="shared" si="0"/>
        <v>40800</v>
      </c>
      <c r="N64" s="159"/>
      <c r="O64" s="159"/>
      <c r="P64" s="159"/>
      <c r="Q64" s="159"/>
      <c r="R64" s="159"/>
      <c r="S64" s="150" t="s">
        <v>360</v>
      </c>
      <c r="T64" s="150" t="s">
        <v>358</v>
      </c>
      <c r="U64" s="174" t="s">
        <v>4807</v>
      </c>
      <c r="V64" s="174" t="s">
        <v>5325</v>
      </c>
      <c r="W64" s="151">
        <v>36</v>
      </c>
      <c r="X64" s="152" t="s">
        <v>213</v>
      </c>
      <c r="Y64" s="176">
        <v>125</v>
      </c>
      <c r="Z64" s="176">
        <v>300000</v>
      </c>
      <c r="AA64" s="156">
        <f t="shared" si="1"/>
        <v>10200000</v>
      </c>
      <c r="AB64" s="157">
        <v>218000</v>
      </c>
      <c r="AC64" s="158">
        <f t="shared" si="2"/>
        <v>177200</v>
      </c>
      <c r="AD64" s="159">
        <f t="shared" si="3"/>
        <v>1387200</v>
      </c>
      <c r="AE64" s="160"/>
      <c r="AF64" s="160">
        <f t="shared" si="4"/>
        <v>0</v>
      </c>
      <c r="AG64" s="161"/>
      <c r="AH64" s="161">
        <f t="shared" si="5"/>
        <v>0</v>
      </c>
      <c r="AI64" s="162">
        <v>30000</v>
      </c>
      <c r="AJ64" s="162">
        <f t="shared" si="6"/>
        <v>1020000</v>
      </c>
      <c r="AK64" s="164"/>
      <c r="AL64" s="164">
        <f t="shared" si="7"/>
        <v>0</v>
      </c>
      <c r="AM64" s="165">
        <v>8400</v>
      </c>
      <c r="AN64" s="165">
        <f t="shared" si="8"/>
        <v>285600</v>
      </c>
      <c r="AO64" s="166">
        <v>0</v>
      </c>
      <c r="AP64" s="166">
        <f t="shared" si="9"/>
        <v>0</v>
      </c>
      <c r="AQ64" s="162"/>
      <c r="AR64" s="162">
        <f t="shared" si="10"/>
        <v>0</v>
      </c>
      <c r="AS64" s="167">
        <v>2400</v>
      </c>
      <c r="AT64" s="167">
        <f t="shared" si="11"/>
        <v>81600</v>
      </c>
      <c r="AU64" s="163"/>
      <c r="AV64" s="163">
        <f t="shared" si="12"/>
        <v>0</v>
      </c>
      <c r="AW64" s="168"/>
      <c r="AX64" s="168">
        <f t="shared" si="13"/>
        <v>0</v>
      </c>
      <c r="AY64" s="170"/>
      <c r="AZ64" s="170">
        <f t="shared" si="14"/>
        <v>0</v>
      </c>
      <c r="BA64" s="166"/>
      <c r="BB64" s="166">
        <f t="shared" si="15"/>
        <v>0</v>
      </c>
    </row>
    <row r="65" spans="1:54" s="178" customFormat="1" ht="31.5">
      <c r="A65" s="148" t="s">
        <v>5358</v>
      </c>
      <c r="B65" s="175" t="s">
        <v>371</v>
      </c>
      <c r="C65" s="175"/>
      <c r="D65" s="175"/>
      <c r="E65" s="150" t="s">
        <v>371</v>
      </c>
      <c r="F65" s="151" t="s">
        <v>372</v>
      </c>
      <c r="G65" s="151" t="s">
        <v>360</v>
      </c>
      <c r="H65" s="151" t="s">
        <v>248</v>
      </c>
      <c r="I65" s="152" t="s">
        <v>10</v>
      </c>
      <c r="J65" s="153" t="s">
        <v>5103</v>
      </c>
      <c r="K65" s="177">
        <v>76</v>
      </c>
      <c r="L65" s="177"/>
      <c r="M65" s="159">
        <f t="shared" si="0"/>
        <v>25000</v>
      </c>
      <c r="N65" s="159"/>
      <c r="O65" s="159"/>
      <c r="P65" s="159"/>
      <c r="Q65" s="159"/>
      <c r="R65" s="159"/>
      <c r="S65" s="150" t="s">
        <v>360</v>
      </c>
      <c r="T65" s="150" t="s">
        <v>358</v>
      </c>
      <c r="U65" s="174" t="s">
        <v>4821</v>
      </c>
      <c r="V65" s="174" t="s">
        <v>5325</v>
      </c>
      <c r="W65" s="151">
        <v>36</v>
      </c>
      <c r="X65" s="152" t="s">
        <v>213</v>
      </c>
      <c r="Y65" s="176">
        <v>450</v>
      </c>
      <c r="Z65" s="176">
        <v>728000</v>
      </c>
      <c r="AA65" s="156">
        <f t="shared" si="1"/>
        <v>55328000</v>
      </c>
      <c r="AB65" s="157">
        <v>598000</v>
      </c>
      <c r="AC65" s="158">
        <f t="shared" si="2"/>
        <v>573000</v>
      </c>
      <c r="AD65" s="159">
        <f t="shared" si="3"/>
        <v>1900000</v>
      </c>
      <c r="AE65" s="160"/>
      <c r="AF65" s="160">
        <f t="shared" si="4"/>
        <v>0</v>
      </c>
      <c r="AG65" s="161"/>
      <c r="AH65" s="161">
        <f t="shared" si="5"/>
        <v>0</v>
      </c>
      <c r="AI65" s="162">
        <v>5000</v>
      </c>
      <c r="AJ65" s="162">
        <f t="shared" si="6"/>
        <v>380000</v>
      </c>
      <c r="AK65" s="164"/>
      <c r="AL65" s="164">
        <f t="shared" si="7"/>
        <v>0</v>
      </c>
      <c r="AM65" s="165">
        <f>10000+10000</f>
        <v>20000</v>
      </c>
      <c r="AN65" s="165">
        <f t="shared" si="8"/>
        <v>1520000</v>
      </c>
      <c r="AO65" s="166">
        <v>0</v>
      </c>
      <c r="AP65" s="166">
        <f t="shared" si="9"/>
        <v>0</v>
      </c>
      <c r="AQ65" s="162"/>
      <c r="AR65" s="162">
        <f t="shared" si="10"/>
        <v>0</v>
      </c>
      <c r="AS65" s="167"/>
      <c r="AT65" s="167">
        <f t="shared" si="11"/>
        <v>0</v>
      </c>
      <c r="AU65" s="163"/>
      <c r="AV65" s="163">
        <f t="shared" si="12"/>
        <v>0</v>
      </c>
      <c r="AW65" s="168"/>
      <c r="AX65" s="168">
        <f t="shared" si="13"/>
        <v>0</v>
      </c>
      <c r="AY65" s="170"/>
      <c r="AZ65" s="170">
        <f t="shared" si="14"/>
        <v>0</v>
      </c>
      <c r="BA65" s="166"/>
      <c r="BB65" s="166">
        <f t="shared" si="15"/>
        <v>0</v>
      </c>
    </row>
    <row r="66" spans="1:54" s="178" customFormat="1" ht="31.5">
      <c r="A66" s="172" t="s">
        <v>5359</v>
      </c>
      <c r="B66" s="175" t="s">
        <v>256</v>
      </c>
      <c r="C66" s="175"/>
      <c r="D66" s="175"/>
      <c r="E66" s="150" t="s">
        <v>490</v>
      </c>
      <c r="F66" s="151" t="s">
        <v>491</v>
      </c>
      <c r="G66" s="151" t="s">
        <v>492</v>
      </c>
      <c r="H66" s="151" t="s">
        <v>299</v>
      </c>
      <c r="I66" s="152" t="s">
        <v>10</v>
      </c>
      <c r="J66" s="153" t="s">
        <v>2292</v>
      </c>
      <c r="K66" s="177">
        <v>998</v>
      </c>
      <c r="L66" s="177"/>
      <c r="M66" s="159">
        <f t="shared" si="0"/>
        <v>0</v>
      </c>
      <c r="N66" s="159"/>
      <c r="O66" s="159"/>
      <c r="P66" s="159"/>
      <c r="Q66" s="159"/>
      <c r="R66" s="159"/>
      <c r="S66" s="149" t="s">
        <v>5360</v>
      </c>
      <c r="T66" s="150" t="s">
        <v>489</v>
      </c>
      <c r="U66" s="174" t="s">
        <v>4901</v>
      </c>
      <c r="V66" s="174" t="s">
        <v>5325</v>
      </c>
      <c r="W66" s="151" t="s">
        <v>5104</v>
      </c>
      <c r="X66" s="152" t="s">
        <v>213</v>
      </c>
      <c r="Y66" s="176">
        <v>7321</v>
      </c>
      <c r="Z66" s="176">
        <v>182000</v>
      </c>
      <c r="AA66" s="156">
        <f t="shared" si="1"/>
        <v>181636000</v>
      </c>
      <c r="AB66" s="157">
        <v>132500</v>
      </c>
      <c r="AC66" s="158">
        <f t="shared" si="2"/>
        <v>132500</v>
      </c>
      <c r="AD66" s="159">
        <f t="shared" si="3"/>
        <v>0</v>
      </c>
      <c r="AE66" s="160"/>
      <c r="AF66" s="160">
        <f t="shared" si="4"/>
        <v>0</v>
      </c>
      <c r="AG66" s="161"/>
      <c r="AH66" s="161">
        <f t="shared" si="5"/>
        <v>0</v>
      </c>
      <c r="AI66" s="162"/>
      <c r="AJ66" s="162">
        <f t="shared" si="6"/>
        <v>0</v>
      </c>
      <c r="AK66" s="164"/>
      <c r="AL66" s="164">
        <f t="shared" si="7"/>
        <v>0</v>
      </c>
      <c r="AM66" s="165"/>
      <c r="AN66" s="165">
        <f t="shared" si="8"/>
        <v>0</v>
      </c>
      <c r="AO66" s="166">
        <v>0</v>
      </c>
      <c r="AP66" s="166">
        <f t="shared" si="9"/>
        <v>0</v>
      </c>
      <c r="AQ66" s="162"/>
      <c r="AR66" s="162">
        <f t="shared" si="10"/>
        <v>0</v>
      </c>
      <c r="AS66" s="167"/>
      <c r="AT66" s="167">
        <f t="shared" si="11"/>
        <v>0</v>
      </c>
      <c r="AU66" s="163"/>
      <c r="AV66" s="163">
        <f t="shared" si="12"/>
        <v>0</v>
      </c>
      <c r="AW66" s="168"/>
      <c r="AX66" s="168">
        <f t="shared" si="13"/>
        <v>0</v>
      </c>
      <c r="AY66" s="170"/>
      <c r="AZ66" s="170">
        <f t="shared" si="14"/>
        <v>0</v>
      </c>
      <c r="BA66" s="166"/>
      <c r="BB66" s="166">
        <f t="shared" si="15"/>
        <v>0</v>
      </c>
    </row>
    <row r="67" spans="1:54" s="178" customFormat="1" ht="31.5">
      <c r="A67" s="148" t="s">
        <v>5361</v>
      </c>
      <c r="B67" s="175" t="s">
        <v>256</v>
      </c>
      <c r="C67" s="175"/>
      <c r="D67" s="175"/>
      <c r="E67" s="150" t="s">
        <v>257</v>
      </c>
      <c r="F67" s="151" t="s">
        <v>259</v>
      </c>
      <c r="G67" s="151" t="s">
        <v>255</v>
      </c>
      <c r="H67" s="151" t="s">
        <v>258</v>
      </c>
      <c r="I67" s="152" t="s">
        <v>10</v>
      </c>
      <c r="J67" s="153" t="s">
        <v>5362</v>
      </c>
      <c r="K67" s="177">
        <v>693</v>
      </c>
      <c r="L67" s="177"/>
      <c r="M67" s="159">
        <f t="shared" si="0"/>
        <v>0</v>
      </c>
      <c r="N67" s="159"/>
      <c r="O67" s="159"/>
      <c r="P67" s="159"/>
      <c r="Q67" s="159"/>
      <c r="R67" s="159"/>
      <c r="S67" s="150" t="s">
        <v>5323</v>
      </c>
      <c r="T67" s="150" t="s">
        <v>5324</v>
      </c>
      <c r="U67" s="174" t="s">
        <v>4806</v>
      </c>
      <c r="V67" s="174" t="s">
        <v>5325</v>
      </c>
      <c r="W67" s="151" t="s">
        <v>5104</v>
      </c>
      <c r="X67" s="152" t="s">
        <v>213</v>
      </c>
      <c r="Y67" s="176">
        <v>3150</v>
      </c>
      <c r="Z67" s="176">
        <v>150000</v>
      </c>
      <c r="AA67" s="156">
        <f t="shared" si="1"/>
        <v>103950000</v>
      </c>
      <c r="AB67" s="157">
        <v>137000</v>
      </c>
      <c r="AC67" s="158">
        <f t="shared" si="2"/>
        <v>137000</v>
      </c>
      <c r="AD67" s="159">
        <f t="shared" si="3"/>
        <v>0</v>
      </c>
      <c r="AE67" s="160"/>
      <c r="AF67" s="160">
        <f t="shared" si="4"/>
        <v>0</v>
      </c>
      <c r="AG67" s="161"/>
      <c r="AH67" s="161">
        <f t="shared" si="5"/>
        <v>0</v>
      </c>
      <c r="AI67" s="162"/>
      <c r="AJ67" s="162">
        <f t="shared" si="6"/>
        <v>0</v>
      </c>
      <c r="AK67" s="164"/>
      <c r="AL67" s="164">
        <f t="shared" si="7"/>
        <v>0</v>
      </c>
      <c r="AM67" s="165"/>
      <c r="AN67" s="165">
        <f t="shared" si="8"/>
        <v>0</v>
      </c>
      <c r="AO67" s="166">
        <v>0</v>
      </c>
      <c r="AP67" s="166">
        <f t="shared" si="9"/>
        <v>0</v>
      </c>
      <c r="AQ67" s="162"/>
      <c r="AR67" s="162">
        <f t="shared" si="10"/>
        <v>0</v>
      </c>
      <c r="AS67" s="167"/>
      <c r="AT67" s="167">
        <f t="shared" si="11"/>
        <v>0</v>
      </c>
      <c r="AU67" s="163"/>
      <c r="AV67" s="163">
        <f t="shared" si="12"/>
        <v>0</v>
      </c>
      <c r="AW67" s="168"/>
      <c r="AX67" s="168">
        <f t="shared" si="13"/>
        <v>0</v>
      </c>
      <c r="AY67" s="170"/>
      <c r="AZ67" s="170">
        <f t="shared" si="14"/>
        <v>0</v>
      </c>
      <c r="BA67" s="166"/>
      <c r="BB67" s="166">
        <f t="shared" si="15"/>
        <v>0</v>
      </c>
    </row>
    <row r="68" spans="1:54" s="178" customFormat="1" ht="31.5">
      <c r="A68" s="148" t="s">
        <v>5363</v>
      </c>
      <c r="B68" s="175" t="s">
        <v>493</v>
      </c>
      <c r="C68" s="175"/>
      <c r="D68" s="175"/>
      <c r="E68" s="150" t="s">
        <v>494</v>
      </c>
      <c r="F68" s="151" t="s">
        <v>495</v>
      </c>
      <c r="G68" s="151" t="s">
        <v>492</v>
      </c>
      <c r="H68" s="151" t="s">
        <v>429</v>
      </c>
      <c r="I68" s="152" t="s">
        <v>5141</v>
      </c>
      <c r="J68" s="153" t="s">
        <v>5364</v>
      </c>
      <c r="K68" s="177">
        <v>5838</v>
      </c>
      <c r="L68" s="177"/>
      <c r="M68" s="159">
        <f t="shared" ref="M68:M131" si="16">AE68+AG68+AI68+AK68+AM68+AO68+AQ68+AS68+AU68+AW68+AY68+BA68</f>
        <v>550</v>
      </c>
      <c r="N68" s="159"/>
      <c r="O68" s="159"/>
      <c r="P68" s="159"/>
      <c r="Q68" s="159"/>
      <c r="R68" s="159"/>
      <c r="S68" s="149" t="s">
        <v>5360</v>
      </c>
      <c r="T68" s="150" t="s">
        <v>489</v>
      </c>
      <c r="U68" s="174" t="s">
        <v>4822</v>
      </c>
      <c r="V68" s="174" t="s">
        <v>5325</v>
      </c>
      <c r="W68" s="151" t="s">
        <v>5104</v>
      </c>
      <c r="X68" s="152" t="s">
        <v>213</v>
      </c>
      <c r="Y68" s="176">
        <v>10000</v>
      </c>
      <c r="Z68" s="176">
        <v>4300</v>
      </c>
      <c r="AA68" s="156">
        <f t="shared" ref="AA68:AA131" si="17">Z68*K68</f>
        <v>25103400</v>
      </c>
      <c r="AB68" s="157">
        <v>3200</v>
      </c>
      <c r="AC68" s="158">
        <f t="shared" ref="AC68:AC131" si="18">AB68-M68</f>
        <v>2650</v>
      </c>
      <c r="AD68" s="159">
        <f t="shared" ref="AD68:AD131" si="19">M68*K68</f>
        <v>3210900</v>
      </c>
      <c r="AE68" s="160">
        <v>550</v>
      </c>
      <c r="AF68" s="160">
        <f t="shared" ref="AF68:AF131" si="20">AE68*K68</f>
        <v>3210900</v>
      </c>
      <c r="AG68" s="161"/>
      <c r="AH68" s="161">
        <f t="shared" ref="AH68:AH131" si="21">AG68*K68</f>
        <v>0</v>
      </c>
      <c r="AI68" s="162"/>
      <c r="AJ68" s="162">
        <f t="shared" ref="AJ68:AJ131" si="22">AI68*K68</f>
        <v>0</v>
      </c>
      <c r="AK68" s="164"/>
      <c r="AL68" s="164">
        <f t="shared" ref="AL68:AL131" si="23">AK68*K68</f>
        <v>0</v>
      </c>
      <c r="AM68" s="165"/>
      <c r="AN68" s="165">
        <f t="shared" ref="AN68:AN131" si="24">AM68*K68</f>
        <v>0</v>
      </c>
      <c r="AO68" s="166">
        <v>0</v>
      </c>
      <c r="AP68" s="166">
        <f t="shared" ref="AP68:AP131" si="25">AO68*K68</f>
        <v>0</v>
      </c>
      <c r="AQ68" s="162"/>
      <c r="AR68" s="162">
        <f t="shared" ref="AR68:AR131" si="26">AQ68*K68</f>
        <v>0</v>
      </c>
      <c r="AS68" s="167"/>
      <c r="AT68" s="167">
        <f t="shared" ref="AT68:AT131" si="27">AS68*K68</f>
        <v>0</v>
      </c>
      <c r="AU68" s="163"/>
      <c r="AV68" s="163">
        <f t="shared" ref="AV68:AV131" si="28">AU68*K68</f>
        <v>0</v>
      </c>
      <c r="AW68" s="168"/>
      <c r="AX68" s="168">
        <f t="shared" ref="AX68:AX131" si="29">AW68*K68</f>
        <v>0</v>
      </c>
      <c r="AY68" s="170"/>
      <c r="AZ68" s="170">
        <f t="shared" ref="AZ68:AZ131" si="30">AY68*K68</f>
        <v>0</v>
      </c>
      <c r="BA68" s="166"/>
      <c r="BB68" s="166">
        <f t="shared" ref="BB68:BB131" si="31">BA68*K68</f>
        <v>0</v>
      </c>
    </row>
    <row r="69" spans="1:54" s="178" customFormat="1" ht="63">
      <c r="A69" s="172" t="s">
        <v>5365</v>
      </c>
      <c r="B69" s="175" t="s">
        <v>428</v>
      </c>
      <c r="C69" s="175"/>
      <c r="D69" s="175"/>
      <c r="E69" s="150" t="s">
        <v>4937</v>
      </c>
      <c r="F69" s="151" t="s">
        <v>431</v>
      </c>
      <c r="G69" s="151" t="s">
        <v>432</v>
      </c>
      <c r="H69" s="151" t="s">
        <v>429</v>
      </c>
      <c r="I69" s="152" t="s">
        <v>5141</v>
      </c>
      <c r="J69" s="153" t="s">
        <v>5366</v>
      </c>
      <c r="K69" s="181">
        <v>6845</v>
      </c>
      <c r="L69" s="181"/>
      <c r="M69" s="159">
        <f t="shared" si="16"/>
        <v>0</v>
      </c>
      <c r="N69" s="159"/>
      <c r="O69" s="159"/>
      <c r="P69" s="159"/>
      <c r="Q69" s="159"/>
      <c r="R69" s="159"/>
      <c r="S69" s="150" t="s">
        <v>5266</v>
      </c>
      <c r="T69" s="150" t="s">
        <v>5267</v>
      </c>
      <c r="U69" s="174" t="s">
        <v>4936</v>
      </c>
      <c r="V69" s="174" t="s">
        <v>5325</v>
      </c>
      <c r="W69" s="151" t="s">
        <v>253</v>
      </c>
      <c r="X69" s="152" t="s">
        <v>213</v>
      </c>
      <c r="Y69" s="180">
        <v>50000</v>
      </c>
      <c r="Z69" s="180">
        <v>4300</v>
      </c>
      <c r="AA69" s="156">
        <f t="shared" si="17"/>
        <v>29433500</v>
      </c>
      <c r="AB69" s="157">
        <v>3700</v>
      </c>
      <c r="AC69" s="158">
        <f t="shared" si="18"/>
        <v>3700</v>
      </c>
      <c r="AD69" s="159">
        <f t="shared" si="19"/>
        <v>0</v>
      </c>
      <c r="AE69" s="160"/>
      <c r="AF69" s="160">
        <f t="shared" si="20"/>
        <v>0</v>
      </c>
      <c r="AG69" s="161"/>
      <c r="AH69" s="161">
        <f t="shared" si="21"/>
        <v>0</v>
      </c>
      <c r="AI69" s="162"/>
      <c r="AJ69" s="162">
        <f t="shared" si="22"/>
        <v>0</v>
      </c>
      <c r="AK69" s="164"/>
      <c r="AL69" s="164">
        <f t="shared" si="23"/>
        <v>0</v>
      </c>
      <c r="AM69" s="165"/>
      <c r="AN69" s="165">
        <f t="shared" si="24"/>
        <v>0</v>
      </c>
      <c r="AO69" s="166">
        <v>0</v>
      </c>
      <c r="AP69" s="166">
        <f t="shared" si="25"/>
        <v>0</v>
      </c>
      <c r="AQ69" s="162"/>
      <c r="AR69" s="162">
        <f t="shared" si="26"/>
        <v>0</v>
      </c>
      <c r="AS69" s="167"/>
      <c r="AT69" s="167">
        <f t="shared" si="27"/>
        <v>0</v>
      </c>
      <c r="AU69" s="163"/>
      <c r="AV69" s="163">
        <f t="shared" si="28"/>
        <v>0</v>
      </c>
      <c r="AW69" s="168"/>
      <c r="AX69" s="168">
        <f t="shared" si="29"/>
        <v>0</v>
      </c>
      <c r="AY69" s="170"/>
      <c r="AZ69" s="170">
        <f t="shared" si="30"/>
        <v>0</v>
      </c>
      <c r="BA69" s="166"/>
      <c r="BB69" s="166">
        <f t="shared" si="31"/>
        <v>0</v>
      </c>
    </row>
    <row r="70" spans="1:54" s="178" customFormat="1">
      <c r="A70" s="148" t="s">
        <v>5367</v>
      </c>
      <c r="B70" s="175" t="s">
        <v>433</v>
      </c>
      <c r="C70" s="175"/>
      <c r="D70" s="175"/>
      <c r="E70" s="150" t="s">
        <v>481</v>
      </c>
      <c r="F70" s="151" t="s">
        <v>484</v>
      </c>
      <c r="G70" s="151" t="s">
        <v>485</v>
      </c>
      <c r="H70" s="151" t="s">
        <v>482</v>
      </c>
      <c r="I70" s="152" t="s">
        <v>5141</v>
      </c>
      <c r="J70" s="153" t="s">
        <v>5364</v>
      </c>
      <c r="K70" s="177">
        <v>14910</v>
      </c>
      <c r="L70" s="177"/>
      <c r="M70" s="159">
        <f t="shared" si="16"/>
        <v>0</v>
      </c>
      <c r="N70" s="159"/>
      <c r="O70" s="159"/>
      <c r="P70" s="159"/>
      <c r="Q70" s="159"/>
      <c r="R70" s="159"/>
      <c r="S70" s="150" t="s">
        <v>5368</v>
      </c>
      <c r="T70" s="150" t="s">
        <v>5369</v>
      </c>
      <c r="U70" s="174" t="s">
        <v>5370</v>
      </c>
      <c r="V70" s="174" t="s">
        <v>5325</v>
      </c>
      <c r="W70" s="151">
        <v>36</v>
      </c>
      <c r="X70" s="152" t="s">
        <v>213</v>
      </c>
      <c r="Y70" s="176">
        <v>44200</v>
      </c>
      <c r="Z70" s="176">
        <v>1200</v>
      </c>
      <c r="AA70" s="156">
        <f t="shared" si="17"/>
        <v>17892000</v>
      </c>
      <c r="AB70" s="157">
        <v>1100</v>
      </c>
      <c r="AC70" s="158">
        <f t="shared" si="18"/>
        <v>1100</v>
      </c>
      <c r="AD70" s="159">
        <f t="shared" si="19"/>
        <v>0</v>
      </c>
      <c r="AE70" s="160"/>
      <c r="AF70" s="160">
        <f t="shared" si="20"/>
        <v>0</v>
      </c>
      <c r="AG70" s="165"/>
      <c r="AH70" s="161">
        <f t="shared" si="21"/>
        <v>0</v>
      </c>
      <c r="AI70" s="162"/>
      <c r="AJ70" s="162">
        <f t="shared" si="22"/>
        <v>0</v>
      </c>
      <c r="AK70" s="164"/>
      <c r="AL70" s="164">
        <f t="shared" si="23"/>
        <v>0</v>
      </c>
      <c r="AM70" s="165"/>
      <c r="AN70" s="165">
        <f t="shared" si="24"/>
        <v>0</v>
      </c>
      <c r="AO70" s="166">
        <v>0</v>
      </c>
      <c r="AP70" s="166">
        <f t="shared" si="25"/>
        <v>0</v>
      </c>
      <c r="AQ70" s="162"/>
      <c r="AR70" s="162">
        <f t="shared" si="26"/>
        <v>0</v>
      </c>
      <c r="AS70" s="173"/>
      <c r="AT70" s="167">
        <f t="shared" si="27"/>
        <v>0</v>
      </c>
      <c r="AU70" s="163"/>
      <c r="AV70" s="163">
        <f t="shared" si="28"/>
        <v>0</v>
      </c>
      <c r="AW70" s="168"/>
      <c r="AX70" s="168">
        <f t="shared" si="29"/>
        <v>0</v>
      </c>
      <c r="AY70" s="170"/>
      <c r="AZ70" s="170">
        <f t="shared" si="30"/>
        <v>0</v>
      </c>
      <c r="BA70" s="166"/>
      <c r="BB70" s="166">
        <f t="shared" si="31"/>
        <v>0</v>
      </c>
    </row>
    <row r="71" spans="1:54" s="115" customFormat="1" ht="31.5">
      <c r="A71" s="148" t="s">
        <v>5371</v>
      </c>
      <c r="B71" s="175" t="s">
        <v>433</v>
      </c>
      <c r="C71" s="175"/>
      <c r="D71" s="175"/>
      <c r="E71" s="150" t="s">
        <v>496</v>
      </c>
      <c r="F71" s="151" t="s">
        <v>497</v>
      </c>
      <c r="G71" s="151" t="s">
        <v>492</v>
      </c>
      <c r="H71" s="151" t="s">
        <v>272</v>
      </c>
      <c r="I71" s="152" t="s">
        <v>10</v>
      </c>
      <c r="J71" s="153" t="s">
        <v>5107</v>
      </c>
      <c r="K71" s="177">
        <v>1193</v>
      </c>
      <c r="L71" s="177"/>
      <c r="M71" s="159">
        <f t="shared" si="16"/>
        <v>0</v>
      </c>
      <c r="N71" s="159"/>
      <c r="O71" s="159"/>
      <c r="P71" s="159"/>
      <c r="Q71" s="159"/>
      <c r="R71" s="159"/>
      <c r="S71" s="149" t="s">
        <v>5360</v>
      </c>
      <c r="T71" s="150" t="s">
        <v>489</v>
      </c>
      <c r="U71" s="174" t="s">
        <v>5372</v>
      </c>
      <c r="V71" s="174" t="s">
        <v>5325</v>
      </c>
      <c r="W71" s="151" t="s">
        <v>5104</v>
      </c>
      <c r="X71" s="152" t="s">
        <v>213</v>
      </c>
      <c r="Y71" s="176">
        <v>5401</v>
      </c>
      <c r="Z71" s="176">
        <v>150000</v>
      </c>
      <c r="AA71" s="156">
        <f t="shared" si="17"/>
        <v>178950000</v>
      </c>
      <c r="AB71" s="157">
        <v>150000</v>
      </c>
      <c r="AC71" s="158">
        <f t="shared" si="18"/>
        <v>150000</v>
      </c>
      <c r="AD71" s="159">
        <f t="shared" si="19"/>
        <v>0</v>
      </c>
      <c r="AE71" s="160"/>
      <c r="AF71" s="160">
        <f t="shared" si="20"/>
        <v>0</v>
      </c>
      <c r="AG71" s="161"/>
      <c r="AH71" s="161">
        <f t="shared" si="21"/>
        <v>0</v>
      </c>
      <c r="AI71" s="162"/>
      <c r="AJ71" s="162">
        <f t="shared" si="22"/>
        <v>0</v>
      </c>
      <c r="AK71" s="164"/>
      <c r="AL71" s="164">
        <f t="shared" si="23"/>
        <v>0</v>
      </c>
      <c r="AM71" s="165"/>
      <c r="AN71" s="165">
        <f t="shared" si="24"/>
        <v>0</v>
      </c>
      <c r="AO71" s="166">
        <v>0</v>
      </c>
      <c r="AP71" s="166">
        <f t="shared" si="25"/>
        <v>0</v>
      </c>
      <c r="AQ71" s="162"/>
      <c r="AR71" s="162">
        <f t="shared" si="26"/>
        <v>0</v>
      </c>
      <c r="AS71" s="167"/>
      <c r="AT71" s="167">
        <f t="shared" si="27"/>
        <v>0</v>
      </c>
      <c r="AU71" s="163"/>
      <c r="AV71" s="163">
        <f t="shared" si="28"/>
        <v>0</v>
      </c>
      <c r="AW71" s="168"/>
      <c r="AX71" s="168">
        <f t="shared" si="29"/>
        <v>0</v>
      </c>
      <c r="AY71" s="170"/>
      <c r="AZ71" s="170">
        <f t="shared" si="30"/>
        <v>0</v>
      </c>
      <c r="BA71" s="166"/>
      <c r="BB71" s="166">
        <f t="shared" si="31"/>
        <v>0</v>
      </c>
    </row>
    <row r="72" spans="1:54" s="115" customFormat="1">
      <c r="A72" s="172" t="s">
        <v>5373</v>
      </c>
      <c r="B72" s="175" t="s">
        <v>332</v>
      </c>
      <c r="C72" s="175"/>
      <c r="D72" s="175"/>
      <c r="E72" s="150" t="s">
        <v>5375</v>
      </c>
      <c r="F72" s="151" t="s">
        <v>335</v>
      </c>
      <c r="G72" s="151" t="s">
        <v>336</v>
      </c>
      <c r="H72" s="151" t="s">
        <v>334</v>
      </c>
      <c r="I72" s="152" t="s">
        <v>10</v>
      </c>
      <c r="J72" s="153" t="s">
        <v>5376</v>
      </c>
      <c r="K72" s="177">
        <v>1575</v>
      </c>
      <c r="L72" s="177"/>
      <c r="M72" s="159">
        <f t="shared" si="16"/>
        <v>0</v>
      </c>
      <c r="N72" s="159"/>
      <c r="O72" s="159"/>
      <c r="P72" s="159"/>
      <c r="Q72" s="159"/>
      <c r="R72" s="159"/>
      <c r="S72" s="150" t="s">
        <v>5353</v>
      </c>
      <c r="T72" s="150" t="s">
        <v>5354</v>
      </c>
      <c r="U72" s="174" t="s">
        <v>5374</v>
      </c>
      <c r="V72" s="174" t="s">
        <v>5325</v>
      </c>
      <c r="W72" s="151" t="s">
        <v>5104</v>
      </c>
      <c r="X72" s="152" t="s">
        <v>213</v>
      </c>
      <c r="Y72" s="176">
        <v>3000</v>
      </c>
      <c r="Z72" s="176">
        <v>15000</v>
      </c>
      <c r="AA72" s="156">
        <f t="shared" si="17"/>
        <v>23625000</v>
      </c>
      <c r="AB72" s="157">
        <v>14700</v>
      </c>
      <c r="AC72" s="158">
        <f t="shared" si="18"/>
        <v>14700</v>
      </c>
      <c r="AD72" s="159">
        <f t="shared" si="19"/>
        <v>0</v>
      </c>
      <c r="AE72" s="160"/>
      <c r="AF72" s="160">
        <f t="shared" si="20"/>
        <v>0</v>
      </c>
      <c r="AG72" s="161"/>
      <c r="AH72" s="161">
        <f t="shared" si="21"/>
        <v>0</v>
      </c>
      <c r="AI72" s="162"/>
      <c r="AJ72" s="162">
        <f t="shared" si="22"/>
        <v>0</v>
      </c>
      <c r="AK72" s="164"/>
      <c r="AL72" s="164">
        <f t="shared" si="23"/>
        <v>0</v>
      </c>
      <c r="AM72" s="165"/>
      <c r="AN72" s="165">
        <f t="shared" si="24"/>
        <v>0</v>
      </c>
      <c r="AO72" s="166">
        <v>0</v>
      </c>
      <c r="AP72" s="166">
        <f t="shared" si="25"/>
        <v>0</v>
      </c>
      <c r="AQ72" s="162"/>
      <c r="AR72" s="162">
        <f t="shared" si="26"/>
        <v>0</v>
      </c>
      <c r="AS72" s="167"/>
      <c r="AT72" s="167">
        <f t="shared" si="27"/>
        <v>0</v>
      </c>
      <c r="AU72" s="163"/>
      <c r="AV72" s="163">
        <f t="shared" si="28"/>
        <v>0</v>
      </c>
      <c r="AW72" s="168"/>
      <c r="AX72" s="168">
        <f t="shared" si="29"/>
        <v>0</v>
      </c>
      <c r="AY72" s="170"/>
      <c r="AZ72" s="170">
        <f t="shared" si="30"/>
        <v>0</v>
      </c>
      <c r="BA72" s="166"/>
      <c r="BB72" s="166">
        <f t="shared" si="31"/>
        <v>0</v>
      </c>
    </row>
    <row r="73" spans="1:54" s="178" customFormat="1" ht="31.5">
      <c r="A73" s="148" t="s">
        <v>5377</v>
      </c>
      <c r="B73" s="175" t="s">
        <v>433</v>
      </c>
      <c r="C73" s="175"/>
      <c r="D73" s="175"/>
      <c r="E73" s="150" t="s">
        <v>498</v>
      </c>
      <c r="F73" s="151" t="s">
        <v>499</v>
      </c>
      <c r="G73" s="151" t="s">
        <v>492</v>
      </c>
      <c r="H73" s="151" t="s">
        <v>225</v>
      </c>
      <c r="I73" s="152" t="s">
        <v>10</v>
      </c>
      <c r="J73" s="153" t="s">
        <v>5379</v>
      </c>
      <c r="K73" s="177">
        <v>2038</v>
      </c>
      <c r="L73" s="177"/>
      <c r="M73" s="159">
        <f t="shared" si="16"/>
        <v>0</v>
      </c>
      <c r="N73" s="159"/>
      <c r="O73" s="159"/>
      <c r="P73" s="159"/>
      <c r="Q73" s="159"/>
      <c r="R73" s="159"/>
      <c r="S73" s="149" t="s">
        <v>5360</v>
      </c>
      <c r="T73" s="150" t="s">
        <v>489</v>
      </c>
      <c r="U73" s="174" t="s">
        <v>5378</v>
      </c>
      <c r="V73" s="174" t="s">
        <v>5325</v>
      </c>
      <c r="W73" s="151" t="s">
        <v>5104</v>
      </c>
      <c r="X73" s="152" t="s">
        <v>213</v>
      </c>
      <c r="Y73" s="176">
        <v>6303</v>
      </c>
      <c r="Z73" s="176">
        <v>546000</v>
      </c>
      <c r="AA73" s="156">
        <f t="shared" si="17"/>
        <v>1112748000</v>
      </c>
      <c r="AB73" s="157">
        <v>506200</v>
      </c>
      <c r="AC73" s="158">
        <f t="shared" si="18"/>
        <v>506200</v>
      </c>
      <c r="AD73" s="159">
        <f t="shared" si="19"/>
        <v>0</v>
      </c>
      <c r="AE73" s="160"/>
      <c r="AF73" s="160">
        <f t="shared" si="20"/>
        <v>0</v>
      </c>
      <c r="AG73" s="161"/>
      <c r="AH73" s="161">
        <f t="shared" si="21"/>
        <v>0</v>
      </c>
      <c r="AI73" s="162"/>
      <c r="AJ73" s="162">
        <f t="shared" si="22"/>
        <v>0</v>
      </c>
      <c r="AK73" s="164"/>
      <c r="AL73" s="164">
        <f t="shared" si="23"/>
        <v>0</v>
      </c>
      <c r="AM73" s="165"/>
      <c r="AN73" s="165">
        <f t="shared" si="24"/>
        <v>0</v>
      </c>
      <c r="AO73" s="166">
        <v>0</v>
      </c>
      <c r="AP73" s="166">
        <f t="shared" si="25"/>
        <v>0</v>
      </c>
      <c r="AQ73" s="162"/>
      <c r="AR73" s="162">
        <f t="shared" si="26"/>
        <v>0</v>
      </c>
      <c r="AS73" s="167"/>
      <c r="AT73" s="167">
        <f t="shared" si="27"/>
        <v>0</v>
      </c>
      <c r="AU73" s="163"/>
      <c r="AV73" s="163">
        <f t="shared" si="28"/>
        <v>0</v>
      </c>
      <c r="AW73" s="168"/>
      <c r="AX73" s="168">
        <f t="shared" si="29"/>
        <v>0</v>
      </c>
      <c r="AY73" s="170"/>
      <c r="AZ73" s="170">
        <f t="shared" si="30"/>
        <v>0</v>
      </c>
      <c r="BA73" s="166"/>
      <c r="BB73" s="166">
        <f t="shared" si="31"/>
        <v>0</v>
      </c>
    </row>
    <row r="74" spans="1:54" s="178" customFormat="1" ht="63">
      <c r="A74" s="148" t="s">
        <v>5380</v>
      </c>
      <c r="B74" s="175" t="s">
        <v>433</v>
      </c>
      <c r="C74" s="175"/>
      <c r="D74" s="175"/>
      <c r="E74" s="150" t="s">
        <v>5382</v>
      </c>
      <c r="F74" s="151" t="s">
        <v>5384</v>
      </c>
      <c r="G74" s="151" t="s">
        <v>432</v>
      </c>
      <c r="H74" s="151" t="s">
        <v>17</v>
      </c>
      <c r="I74" s="152" t="s">
        <v>5141</v>
      </c>
      <c r="J74" s="153" t="s">
        <v>5383</v>
      </c>
      <c r="K74" s="181">
        <v>8045</v>
      </c>
      <c r="L74" s="181"/>
      <c r="M74" s="159">
        <f t="shared" si="16"/>
        <v>0</v>
      </c>
      <c r="N74" s="159"/>
      <c r="O74" s="159"/>
      <c r="P74" s="159"/>
      <c r="Q74" s="159"/>
      <c r="R74" s="159"/>
      <c r="S74" s="150" t="s">
        <v>5266</v>
      </c>
      <c r="T74" s="150" t="s">
        <v>5267</v>
      </c>
      <c r="U74" s="174" t="s">
        <v>5381</v>
      </c>
      <c r="V74" s="174" t="s">
        <v>5325</v>
      </c>
      <c r="W74" s="151" t="s">
        <v>253</v>
      </c>
      <c r="X74" s="152" t="s">
        <v>213</v>
      </c>
      <c r="Y74" s="180">
        <v>45000</v>
      </c>
      <c r="Z74" s="180">
        <v>1200</v>
      </c>
      <c r="AA74" s="156">
        <f t="shared" si="17"/>
        <v>9654000</v>
      </c>
      <c r="AB74" s="157">
        <v>1200</v>
      </c>
      <c r="AC74" s="158">
        <f t="shared" si="18"/>
        <v>1200</v>
      </c>
      <c r="AD74" s="159">
        <f t="shared" si="19"/>
        <v>0</v>
      </c>
      <c r="AE74" s="160"/>
      <c r="AF74" s="160">
        <f t="shared" si="20"/>
        <v>0</v>
      </c>
      <c r="AG74" s="161"/>
      <c r="AH74" s="161">
        <f t="shared" si="21"/>
        <v>0</v>
      </c>
      <c r="AI74" s="162"/>
      <c r="AJ74" s="162">
        <f t="shared" si="22"/>
        <v>0</v>
      </c>
      <c r="AK74" s="163"/>
      <c r="AL74" s="164">
        <f t="shared" si="23"/>
        <v>0</v>
      </c>
      <c r="AM74" s="161"/>
      <c r="AN74" s="165">
        <f t="shared" si="24"/>
        <v>0</v>
      </c>
      <c r="AO74" s="160">
        <v>0</v>
      </c>
      <c r="AP74" s="166">
        <f t="shared" si="25"/>
        <v>0</v>
      </c>
      <c r="AQ74" s="162"/>
      <c r="AR74" s="162">
        <f t="shared" si="26"/>
        <v>0</v>
      </c>
      <c r="AS74" s="167"/>
      <c r="AT74" s="167">
        <f t="shared" si="27"/>
        <v>0</v>
      </c>
      <c r="AU74" s="163"/>
      <c r="AV74" s="163">
        <f t="shared" si="28"/>
        <v>0</v>
      </c>
      <c r="AW74" s="162"/>
      <c r="AX74" s="168">
        <f t="shared" si="29"/>
        <v>0</v>
      </c>
      <c r="AY74" s="169"/>
      <c r="AZ74" s="170">
        <f t="shared" si="30"/>
        <v>0</v>
      </c>
      <c r="BA74" s="160"/>
      <c r="BB74" s="166">
        <f t="shared" si="31"/>
        <v>0</v>
      </c>
    </row>
    <row r="75" spans="1:54" s="178" customFormat="1" ht="31.5">
      <c r="A75" s="172" t="s">
        <v>5036</v>
      </c>
      <c r="B75" s="175" t="s">
        <v>417</v>
      </c>
      <c r="C75" s="175"/>
      <c r="D75" s="175"/>
      <c r="E75" s="150" t="s">
        <v>3564</v>
      </c>
      <c r="F75" s="151" t="s">
        <v>5386</v>
      </c>
      <c r="G75" s="151" t="s">
        <v>414</v>
      </c>
      <c r="H75" s="151" t="s">
        <v>299</v>
      </c>
      <c r="I75" s="152" t="s">
        <v>10</v>
      </c>
      <c r="J75" s="153" t="s">
        <v>5103</v>
      </c>
      <c r="K75" s="177">
        <v>180</v>
      </c>
      <c r="L75" s="177"/>
      <c r="M75" s="159">
        <f t="shared" si="16"/>
        <v>0</v>
      </c>
      <c r="N75" s="159"/>
      <c r="O75" s="159"/>
      <c r="P75" s="159"/>
      <c r="Q75" s="159"/>
      <c r="R75" s="159"/>
      <c r="S75" s="150" t="s">
        <v>5347</v>
      </c>
      <c r="T75" s="150" t="s">
        <v>5348</v>
      </c>
      <c r="U75" s="174" t="s">
        <v>5385</v>
      </c>
      <c r="V75" s="174" t="s">
        <v>5325</v>
      </c>
      <c r="W75" s="151" t="s">
        <v>5104</v>
      </c>
      <c r="X75" s="152" t="s">
        <v>213</v>
      </c>
      <c r="Y75" s="176">
        <v>350</v>
      </c>
      <c r="Z75" s="176">
        <v>37000</v>
      </c>
      <c r="AA75" s="156">
        <f t="shared" si="17"/>
        <v>6660000</v>
      </c>
      <c r="AB75" s="157">
        <v>30000</v>
      </c>
      <c r="AC75" s="158">
        <f t="shared" si="18"/>
        <v>30000</v>
      </c>
      <c r="AD75" s="159">
        <f t="shared" si="19"/>
        <v>0</v>
      </c>
      <c r="AE75" s="160"/>
      <c r="AF75" s="160">
        <f t="shared" si="20"/>
        <v>0</v>
      </c>
      <c r="AG75" s="161"/>
      <c r="AH75" s="161">
        <f t="shared" si="21"/>
        <v>0</v>
      </c>
      <c r="AI75" s="162"/>
      <c r="AJ75" s="162">
        <f t="shared" si="22"/>
        <v>0</v>
      </c>
      <c r="AK75" s="164"/>
      <c r="AL75" s="164">
        <f t="shared" si="23"/>
        <v>0</v>
      </c>
      <c r="AM75" s="165"/>
      <c r="AN75" s="165">
        <f t="shared" si="24"/>
        <v>0</v>
      </c>
      <c r="AO75" s="166">
        <v>0</v>
      </c>
      <c r="AP75" s="166">
        <f t="shared" si="25"/>
        <v>0</v>
      </c>
      <c r="AQ75" s="162"/>
      <c r="AR75" s="162">
        <f t="shared" si="26"/>
        <v>0</v>
      </c>
      <c r="AS75" s="167"/>
      <c r="AT75" s="167">
        <f t="shared" si="27"/>
        <v>0</v>
      </c>
      <c r="AU75" s="163"/>
      <c r="AV75" s="163">
        <f t="shared" si="28"/>
        <v>0</v>
      </c>
      <c r="AW75" s="168"/>
      <c r="AX75" s="168">
        <f t="shared" si="29"/>
        <v>0</v>
      </c>
      <c r="AY75" s="170"/>
      <c r="AZ75" s="170">
        <f t="shared" si="30"/>
        <v>0</v>
      </c>
      <c r="BA75" s="166"/>
      <c r="BB75" s="166">
        <f t="shared" si="31"/>
        <v>0</v>
      </c>
    </row>
    <row r="76" spans="1:54" s="178" customFormat="1" ht="31.5">
      <c r="A76" s="148" t="s">
        <v>5387</v>
      </c>
      <c r="B76" s="175" t="s">
        <v>274</v>
      </c>
      <c r="C76" s="175"/>
      <c r="D76" s="175"/>
      <c r="E76" s="150" t="s">
        <v>274</v>
      </c>
      <c r="F76" s="151" t="s">
        <v>373</v>
      </c>
      <c r="G76" s="151" t="s">
        <v>360</v>
      </c>
      <c r="H76" s="151" t="s">
        <v>225</v>
      </c>
      <c r="I76" s="152" t="s">
        <v>10</v>
      </c>
      <c r="J76" s="153" t="s">
        <v>5150</v>
      </c>
      <c r="K76" s="177">
        <v>394</v>
      </c>
      <c r="L76" s="177"/>
      <c r="M76" s="159">
        <f t="shared" si="16"/>
        <v>12500</v>
      </c>
      <c r="N76" s="159"/>
      <c r="O76" s="159"/>
      <c r="P76" s="159"/>
      <c r="Q76" s="159"/>
      <c r="R76" s="159"/>
      <c r="S76" s="150" t="s">
        <v>360</v>
      </c>
      <c r="T76" s="150" t="s">
        <v>358</v>
      </c>
      <c r="U76" s="174" t="s">
        <v>4828</v>
      </c>
      <c r="V76" s="174" t="s">
        <v>5325</v>
      </c>
      <c r="W76" s="151">
        <v>36</v>
      </c>
      <c r="X76" s="152" t="s">
        <v>213</v>
      </c>
      <c r="Y76" s="176">
        <v>7870</v>
      </c>
      <c r="Z76" s="176">
        <v>182000</v>
      </c>
      <c r="AA76" s="156">
        <f t="shared" si="17"/>
        <v>71708000</v>
      </c>
      <c r="AB76" s="157">
        <v>141200</v>
      </c>
      <c r="AC76" s="158">
        <f t="shared" si="18"/>
        <v>128700</v>
      </c>
      <c r="AD76" s="159">
        <f t="shared" si="19"/>
        <v>4925000</v>
      </c>
      <c r="AE76" s="160"/>
      <c r="AF76" s="160">
        <f t="shared" si="20"/>
        <v>0</v>
      </c>
      <c r="AG76" s="161"/>
      <c r="AH76" s="161">
        <f t="shared" si="21"/>
        <v>0</v>
      </c>
      <c r="AI76" s="162">
        <v>10000</v>
      </c>
      <c r="AJ76" s="162">
        <f t="shared" si="22"/>
        <v>3940000</v>
      </c>
      <c r="AK76" s="164"/>
      <c r="AL76" s="164">
        <f t="shared" si="23"/>
        <v>0</v>
      </c>
      <c r="AM76" s="165">
        <v>2500</v>
      </c>
      <c r="AN76" s="165">
        <f t="shared" si="24"/>
        <v>985000</v>
      </c>
      <c r="AO76" s="166">
        <v>0</v>
      </c>
      <c r="AP76" s="166">
        <f t="shared" si="25"/>
        <v>0</v>
      </c>
      <c r="AQ76" s="162"/>
      <c r="AR76" s="162">
        <f t="shared" si="26"/>
        <v>0</v>
      </c>
      <c r="AS76" s="167"/>
      <c r="AT76" s="167">
        <f t="shared" si="27"/>
        <v>0</v>
      </c>
      <c r="AU76" s="163"/>
      <c r="AV76" s="163">
        <f t="shared" si="28"/>
        <v>0</v>
      </c>
      <c r="AW76" s="168"/>
      <c r="AX76" s="168">
        <f t="shared" si="29"/>
        <v>0</v>
      </c>
      <c r="AY76" s="170"/>
      <c r="AZ76" s="170">
        <f t="shared" si="30"/>
        <v>0</v>
      </c>
      <c r="BA76" s="166"/>
      <c r="BB76" s="166">
        <f t="shared" si="31"/>
        <v>0</v>
      </c>
    </row>
    <row r="77" spans="1:54" s="178" customFormat="1" ht="31.5">
      <c r="A77" s="148" t="s">
        <v>5388</v>
      </c>
      <c r="B77" s="175" t="s">
        <v>274</v>
      </c>
      <c r="C77" s="175"/>
      <c r="D77" s="175"/>
      <c r="E77" s="150" t="s">
        <v>418</v>
      </c>
      <c r="F77" s="151" t="s">
        <v>419</v>
      </c>
      <c r="G77" s="151" t="s">
        <v>414</v>
      </c>
      <c r="H77" s="151" t="s">
        <v>4831</v>
      </c>
      <c r="I77" s="152" t="s">
        <v>5141</v>
      </c>
      <c r="J77" s="153" t="s">
        <v>5389</v>
      </c>
      <c r="K77" s="177">
        <v>2478</v>
      </c>
      <c r="L77" s="177"/>
      <c r="M77" s="159">
        <f t="shared" si="16"/>
        <v>200</v>
      </c>
      <c r="N77" s="159"/>
      <c r="O77" s="159"/>
      <c r="P77" s="159"/>
      <c r="Q77" s="159"/>
      <c r="R77" s="159"/>
      <c r="S77" s="150" t="s">
        <v>5347</v>
      </c>
      <c r="T77" s="150" t="s">
        <v>5348</v>
      </c>
      <c r="U77" s="174" t="s">
        <v>4830</v>
      </c>
      <c r="V77" s="174" t="s">
        <v>5325</v>
      </c>
      <c r="W77" s="151" t="s">
        <v>253</v>
      </c>
      <c r="X77" s="152" t="s">
        <v>213</v>
      </c>
      <c r="Y77" s="176">
        <v>4700</v>
      </c>
      <c r="Z77" s="176">
        <v>2100</v>
      </c>
      <c r="AA77" s="156">
        <f t="shared" si="17"/>
        <v>5203800</v>
      </c>
      <c r="AB77" s="157">
        <v>2020</v>
      </c>
      <c r="AC77" s="158">
        <f t="shared" si="18"/>
        <v>1820</v>
      </c>
      <c r="AD77" s="159">
        <f t="shared" si="19"/>
        <v>495600</v>
      </c>
      <c r="AE77" s="160">
        <v>200</v>
      </c>
      <c r="AF77" s="160">
        <f t="shared" si="20"/>
        <v>495600</v>
      </c>
      <c r="AG77" s="161"/>
      <c r="AH77" s="161">
        <f t="shared" si="21"/>
        <v>0</v>
      </c>
      <c r="AI77" s="162"/>
      <c r="AJ77" s="162">
        <f t="shared" si="22"/>
        <v>0</v>
      </c>
      <c r="AK77" s="164"/>
      <c r="AL77" s="164">
        <f t="shared" si="23"/>
        <v>0</v>
      </c>
      <c r="AM77" s="165"/>
      <c r="AN77" s="165">
        <f t="shared" si="24"/>
        <v>0</v>
      </c>
      <c r="AO77" s="166">
        <v>0</v>
      </c>
      <c r="AP77" s="166">
        <f t="shared" si="25"/>
        <v>0</v>
      </c>
      <c r="AQ77" s="162"/>
      <c r="AR77" s="162">
        <f t="shared" si="26"/>
        <v>0</v>
      </c>
      <c r="AS77" s="167"/>
      <c r="AT77" s="167">
        <f t="shared" si="27"/>
        <v>0</v>
      </c>
      <c r="AU77" s="163"/>
      <c r="AV77" s="163">
        <f t="shared" si="28"/>
        <v>0</v>
      </c>
      <c r="AW77" s="168"/>
      <c r="AX77" s="168">
        <f t="shared" si="29"/>
        <v>0</v>
      </c>
      <c r="AY77" s="170"/>
      <c r="AZ77" s="170">
        <f t="shared" si="30"/>
        <v>0</v>
      </c>
      <c r="BA77" s="166"/>
      <c r="BB77" s="166">
        <f t="shared" si="31"/>
        <v>0</v>
      </c>
    </row>
    <row r="78" spans="1:54" s="178" customFormat="1" ht="31.5">
      <c r="A78" s="172" t="s">
        <v>5390</v>
      </c>
      <c r="B78" s="175" t="s">
        <v>323</v>
      </c>
      <c r="C78" s="175"/>
      <c r="D78" s="175"/>
      <c r="E78" s="150" t="s">
        <v>5392</v>
      </c>
      <c r="F78" s="151" t="s">
        <v>5393</v>
      </c>
      <c r="G78" s="151" t="s">
        <v>360</v>
      </c>
      <c r="H78" s="151" t="s">
        <v>225</v>
      </c>
      <c r="I78" s="152" t="s">
        <v>10</v>
      </c>
      <c r="J78" s="153" t="s">
        <v>5150</v>
      </c>
      <c r="K78" s="177">
        <v>2127</v>
      </c>
      <c r="L78" s="177"/>
      <c r="M78" s="159">
        <f t="shared" si="16"/>
        <v>0</v>
      </c>
      <c r="N78" s="159"/>
      <c r="O78" s="159"/>
      <c r="P78" s="159"/>
      <c r="Q78" s="159"/>
      <c r="R78" s="159"/>
      <c r="S78" s="150" t="s">
        <v>360</v>
      </c>
      <c r="T78" s="150" t="s">
        <v>358</v>
      </c>
      <c r="U78" s="174" t="s">
        <v>5391</v>
      </c>
      <c r="V78" s="174" t="s">
        <v>5325</v>
      </c>
      <c r="W78" s="151">
        <v>36</v>
      </c>
      <c r="X78" s="152" t="s">
        <v>213</v>
      </c>
      <c r="Y78" s="176">
        <v>3500</v>
      </c>
      <c r="Z78" s="176">
        <v>75000</v>
      </c>
      <c r="AA78" s="156">
        <f t="shared" si="17"/>
        <v>159525000</v>
      </c>
      <c r="AB78" s="157">
        <v>75000</v>
      </c>
      <c r="AC78" s="158">
        <f t="shared" si="18"/>
        <v>75000</v>
      </c>
      <c r="AD78" s="159">
        <f t="shared" si="19"/>
        <v>0</v>
      </c>
      <c r="AE78" s="160"/>
      <c r="AF78" s="160">
        <f t="shared" si="20"/>
        <v>0</v>
      </c>
      <c r="AG78" s="161"/>
      <c r="AH78" s="161">
        <f t="shared" si="21"/>
        <v>0</v>
      </c>
      <c r="AI78" s="162"/>
      <c r="AJ78" s="162">
        <f t="shared" si="22"/>
        <v>0</v>
      </c>
      <c r="AK78" s="164"/>
      <c r="AL78" s="164">
        <f t="shared" si="23"/>
        <v>0</v>
      </c>
      <c r="AM78" s="165"/>
      <c r="AN78" s="165">
        <f t="shared" si="24"/>
        <v>0</v>
      </c>
      <c r="AO78" s="166">
        <v>0</v>
      </c>
      <c r="AP78" s="166">
        <f t="shared" si="25"/>
        <v>0</v>
      </c>
      <c r="AQ78" s="162"/>
      <c r="AR78" s="162">
        <f t="shared" si="26"/>
        <v>0</v>
      </c>
      <c r="AS78" s="167"/>
      <c r="AT78" s="167">
        <f t="shared" si="27"/>
        <v>0</v>
      </c>
      <c r="AU78" s="163"/>
      <c r="AV78" s="163">
        <f t="shared" si="28"/>
        <v>0</v>
      </c>
      <c r="AW78" s="168"/>
      <c r="AX78" s="168">
        <f t="shared" si="29"/>
        <v>0</v>
      </c>
      <c r="AY78" s="170"/>
      <c r="AZ78" s="170">
        <f t="shared" si="30"/>
        <v>0</v>
      </c>
      <c r="BA78" s="166"/>
      <c r="BB78" s="166">
        <f t="shared" si="31"/>
        <v>0</v>
      </c>
    </row>
    <row r="79" spans="1:54" s="178" customFormat="1" ht="31.5">
      <c r="A79" s="148" t="s">
        <v>5394</v>
      </c>
      <c r="B79" s="175" t="s">
        <v>323</v>
      </c>
      <c r="C79" s="175"/>
      <c r="D79" s="175"/>
      <c r="E79" s="150" t="s">
        <v>5396</v>
      </c>
      <c r="F79" s="151" t="s">
        <v>5398</v>
      </c>
      <c r="G79" s="151" t="s">
        <v>324</v>
      </c>
      <c r="H79" s="151" t="s">
        <v>272</v>
      </c>
      <c r="I79" s="152" t="s">
        <v>10</v>
      </c>
      <c r="J79" s="153" t="s">
        <v>5397</v>
      </c>
      <c r="K79" s="177">
        <v>1239</v>
      </c>
      <c r="L79" s="177"/>
      <c r="M79" s="159">
        <f t="shared" si="16"/>
        <v>0</v>
      </c>
      <c r="N79" s="159"/>
      <c r="O79" s="159"/>
      <c r="P79" s="159"/>
      <c r="Q79" s="159"/>
      <c r="R79" s="159"/>
      <c r="S79" s="149" t="s">
        <v>5336</v>
      </c>
      <c r="T79" s="150" t="s">
        <v>322</v>
      </c>
      <c r="U79" s="174" t="s">
        <v>5395</v>
      </c>
      <c r="V79" s="174" t="s">
        <v>5325</v>
      </c>
      <c r="W79" s="151" t="s">
        <v>5104</v>
      </c>
      <c r="X79" s="152" t="s">
        <v>213</v>
      </c>
      <c r="Y79" s="176">
        <v>3020</v>
      </c>
      <c r="Z79" s="176">
        <v>75000</v>
      </c>
      <c r="AA79" s="156">
        <f t="shared" si="17"/>
        <v>92925000</v>
      </c>
      <c r="AB79" s="157">
        <v>75000</v>
      </c>
      <c r="AC79" s="158">
        <f t="shared" si="18"/>
        <v>75000</v>
      </c>
      <c r="AD79" s="159">
        <f t="shared" si="19"/>
        <v>0</v>
      </c>
      <c r="AE79" s="160"/>
      <c r="AF79" s="160">
        <f t="shared" si="20"/>
        <v>0</v>
      </c>
      <c r="AG79" s="161"/>
      <c r="AH79" s="161">
        <f t="shared" si="21"/>
        <v>0</v>
      </c>
      <c r="AI79" s="162"/>
      <c r="AJ79" s="162">
        <f t="shared" si="22"/>
        <v>0</v>
      </c>
      <c r="AK79" s="164"/>
      <c r="AL79" s="164">
        <f t="shared" si="23"/>
        <v>0</v>
      </c>
      <c r="AM79" s="165"/>
      <c r="AN79" s="165">
        <f t="shared" si="24"/>
        <v>0</v>
      </c>
      <c r="AO79" s="166">
        <v>0</v>
      </c>
      <c r="AP79" s="166">
        <f t="shared" si="25"/>
        <v>0</v>
      </c>
      <c r="AQ79" s="162"/>
      <c r="AR79" s="162">
        <f t="shared" si="26"/>
        <v>0</v>
      </c>
      <c r="AS79" s="167"/>
      <c r="AT79" s="167">
        <f t="shared" si="27"/>
        <v>0</v>
      </c>
      <c r="AU79" s="163"/>
      <c r="AV79" s="163">
        <f t="shared" si="28"/>
        <v>0</v>
      </c>
      <c r="AW79" s="168"/>
      <c r="AX79" s="168">
        <f t="shared" si="29"/>
        <v>0</v>
      </c>
      <c r="AY79" s="170"/>
      <c r="AZ79" s="170">
        <f t="shared" si="30"/>
        <v>0</v>
      </c>
      <c r="BA79" s="166"/>
      <c r="BB79" s="166">
        <f t="shared" si="31"/>
        <v>0</v>
      </c>
    </row>
    <row r="80" spans="1:54" s="115" customFormat="1" ht="31.5">
      <c r="A80" s="148" t="s">
        <v>5399</v>
      </c>
      <c r="B80" s="175" t="s">
        <v>260</v>
      </c>
      <c r="C80" s="175"/>
      <c r="D80" s="175"/>
      <c r="E80" s="150" t="s">
        <v>261</v>
      </c>
      <c r="F80" s="151" t="s">
        <v>264</v>
      </c>
      <c r="G80" s="151" t="s">
        <v>255</v>
      </c>
      <c r="H80" s="151" t="s">
        <v>262</v>
      </c>
      <c r="I80" s="152" t="s">
        <v>10</v>
      </c>
      <c r="J80" s="153" t="s">
        <v>2292</v>
      </c>
      <c r="K80" s="177">
        <v>1638</v>
      </c>
      <c r="L80" s="177"/>
      <c r="M80" s="159">
        <f t="shared" si="16"/>
        <v>1000</v>
      </c>
      <c r="N80" s="159"/>
      <c r="O80" s="159"/>
      <c r="P80" s="159"/>
      <c r="Q80" s="159"/>
      <c r="R80" s="159"/>
      <c r="S80" s="150" t="s">
        <v>5323</v>
      </c>
      <c r="T80" s="150" t="s">
        <v>5324</v>
      </c>
      <c r="U80" s="174" t="s">
        <v>4835</v>
      </c>
      <c r="V80" s="174" t="s">
        <v>5325</v>
      </c>
      <c r="W80" s="151" t="s">
        <v>5104</v>
      </c>
      <c r="X80" s="152" t="s">
        <v>213</v>
      </c>
      <c r="Y80" s="176">
        <v>1890</v>
      </c>
      <c r="Z80" s="176">
        <v>107000</v>
      </c>
      <c r="AA80" s="156">
        <f t="shared" si="17"/>
        <v>175266000</v>
      </c>
      <c r="AB80" s="157">
        <v>103000</v>
      </c>
      <c r="AC80" s="158">
        <f t="shared" si="18"/>
        <v>102000</v>
      </c>
      <c r="AD80" s="159">
        <f t="shared" si="19"/>
        <v>1638000</v>
      </c>
      <c r="AE80" s="160"/>
      <c r="AF80" s="160">
        <f t="shared" si="20"/>
        <v>0</v>
      </c>
      <c r="AG80" s="161"/>
      <c r="AH80" s="161">
        <f t="shared" si="21"/>
        <v>0</v>
      </c>
      <c r="AI80" s="162"/>
      <c r="AJ80" s="162">
        <f t="shared" si="22"/>
        <v>0</v>
      </c>
      <c r="AK80" s="164"/>
      <c r="AL80" s="164">
        <f t="shared" si="23"/>
        <v>0</v>
      </c>
      <c r="AM80" s="165"/>
      <c r="AN80" s="165">
        <f t="shared" si="24"/>
        <v>0</v>
      </c>
      <c r="AO80" s="166">
        <v>0</v>
      </c>
      <c r="AP80" s="166">
        <f t="shared" si="25"/>
        <v>0</v>
      </c>
      <c r="AQ80" s="162"/>
      <c r="AR80" s="162">
        <f t="shared" si="26"/>
        <v>0</v>
      </c>
      <c r="AS80" s="167">
        <v>1000</v>
      </c>
      <c r="AT80" s="167">
        <f t="shared" si="27"/>
        <v>1638000</v>
      </c>
      <c r="AU80" s="163"/>
      <c r="AV80" s="163">
        <f t="shared" si="28"/>
        <v>0</v>
      </c>
      <c r="AW80" s="168"/>
      <c r="AX80" s="168">
        <f t="shared" si="29"/>
        <v>0</v>
      </c>
      <c r="AY80" s="170"/>
      <c r="AZ80" s="170">
        <f t="shared" si="30"/>
        <v>0</v>
      </c>
      <c r="BA80" s="166"/>
      <c r="BB80" s="166">
        <f t="shared" si="31"/>
        <v>0</v>
      </c>
    </row>
    <row r="81" spans="1:54" s="115" customFormat="1" ht="31.5">
      <c r="A81" s="172" t="s">
        <v>5400</v>
      </c>
      <c r="B81" s="175" t="s">
        <v>260</v>
      </c>
      <c r="C81" s="175"/>
      <c r="D81" s="175"/>
      <c r="E81" s="150" t="s">
        <v>5402</v>
      </c>
      <c r="F81" s="151" t="s">
        <v>5404</v>
      </c>
      <c r="G81" s="151" t="s">
        <v>255</v>
      </c>
      <c r="H81" s="151" t="s">
        <v>232</v>
      </c>
      <c r="I81" s="152" t="s">
        <v>10</v>
      </c>
      <c r="J81" s="153" t="s">
        <v>5403</v>
      </c>
      <c r="K81" s="177">
        <v>745</v>
      </c>
      <c r="L81" s="177"/>
      <c r="M81" s="159">
        <f t="shared" si="16"/>
        <v>0</v>
      </c>
      <c r="N81" s="159"/>
      <c r="O81" s="159"/>
      <c r="P81" s="159"/>
      <c r="Q81" s="159"/>
      <c r="R81" s="159"/>
      <c r="S81" s="150" t="s">
        <v>5323</v>
      </c>
      <c r="T81" s="150" t="s">
        <v>5324</v>
      </c>
      <c r="U81" s="174" t="s">
        <v>5401</v>
      </c>
      <c r="V81" s="174" t="s">
        <v>5325</v>
      </c>
      <c r="W81" s="151" t="s">
        <v>5104</v>
      </c>
      <c r="X81" s="152" t="s">
        <v>213</v>
      </c>
      <c r="Y81" s="176">
        <v>1150</v>
      </c>
      <c r="Z81" s="176">
        <v>75000</v>
      </c>
      <c r="AA81" s="156">
        <f t="shared" si="17"/>
        <v>55875000</v>
      </c>
      <c r="AB81" s="157">
        <v>75000</v>
      </c>
      <c r="AC81" s="158">
        <f t="shared" si="18"/>
        <v>75000</v>
      </c>
      <c r="AD81" s="159">
        <f t="shared" si="19"/>
        <v>0</v>
      </c>
      <c r="AE81" s="160"/>
      <c r="AF81" s="160">
        <f t="shared" si="20"/>
        <v>0</v>
      </c>
      <c r="AG81" s="161"/>
      <c r="AH81" s="161">
        <f t="shared" si="21"/>
        <v>0</v>
      </c>
      <c r="AI81" s="162"/>
      <c r="AJ81" s="162">
        <f t="shared" si="22"/>
        <v>0</v>
      </c>
      <c r="AK81" s="164"/>
      <c r="AL81" s="164">
        <f t="shared" si="23"/>
        <v>0</v>
      </c>
      <c r="AM81" s="165"/>
      <c r="AN81" s="165">
        <f t="shared" si="24"/>
        <v>0</v>
      </c>
      <c r="AO81" s="166">
        <v>0</v>
      </c>
      <c r="AP81" s="166">
        <f t="shared" si="25"/>
        <v>0</v>
      </c>
      <c r="AQ81" s="162"/>
      <c r="AR81" s="162">
        <f t="shared" si="26"/>
        <v>0</v>
      </c>
      <c r="AS81" s="167"/>
      <c r="AT81" s="167">
        <f t="shared" si="27"/>
        <v>0</v>
      </c>
      <c r="AU81" s="163"/>
      <c r="AV81" s="163">
        <f t="shared" si="28"/>
        <v>0</v>
      </c>
      <c r="AW81" s="168"/>
      <c r="AX81" s="168">
        <f t="shared" si="29"/>
        <v>0</v>
      </c>
      <c r="AY81" s="170"/>
      <c r="AZ81" s="170">
        <f t="shared" si="30"/>
        <v>0</v>
      </c>
      <c r="BA81" s="166"/>
      <c r="BB81" s="166">
        <f t="shared" si="31"/>
        <v>0</v>
      </c>
    </row>
    <row r="82" spans="1:54" s="115" customFormat="1" ht="31.5">
      <c r="A82" s="148" t="s">
        <v>5405</v>
      </c>
      <c r="B82" s="175" t="s">
        <v>374</v>
      </c>
      <c r="C82" s="175"/>
      <c r="D82" s="175"/>
      <c r="E82" s="150" t="s">
        <v>374</v>
      </c>
      <c r="F82" s="151" t="s">
        <v>5406</v>
      </c>
      <c r="G82" s="151" t="s">
        <v>360</v>
      </c>
      <c r="H82" s="151" t="s">
        <v>258</v>
      </c>
      <c r="I82" s="152" t="s">
        <v>10</v>
      </c>
      <c r="J82" s="153" t="s">
        <v>5362</v>
      </c>
      <c r="K82" s="177">
        <v>275</v>
      </c>
      <c r="L82" s="177"/>
      <c r="M82" s="159">
        <f t="shared" si="16"/>
        <v>500</v>
      </c>
      <c r="N82" s="159"/>
      <c r="O82" s="159"/>
      <c r="P82" s="159"/>
      <c r="Q82" s="159"/>
      <c r="R82" s="159"/>
      <c r="S82" s="150" t="s">
        <v>360</v>
      </c>
      <c r="T82" s="150" t="s">
        <v>358</v>
      </c>
      <c r="U82" s="174" t="s">
        <v>4841</v>
      </c>
      <c r="V82" s="174" t="s">
        <v>5325</v>
      </c>
      <c r="W82" s="151">
        <v>36</v>
      </c>
      <c r="X82" s="152" t="s">
        <v>213</v>
      </c>
      <c r="Y82" s="176">
        <v>400</v>
      </c>
      <c r="Z82" s="176">
        <v>75000</v>
      </c>
      <c r="AA82" s="156">
        <f t="shared" si="17"/>
        <v>20625000</v>
      </c>
      <c r="AB82" s="157">
        <v>72300</v>
      </c>
      <c r="AC82" s="158">
        <f t="shared" si="18"/>
        <v>71800</v>
      </c>
      <c r="AD82" s="159">
        <f t="shared" si="19"/>
        <v>137500</v>
      </c>
      <c r="AE82" s="160"/>
      <c r="AF82" s="160">
        <f t="shared" si="20"/>
        <v>0</v>
      </c>
      <c r="AG82" s="161"/>
      <c r="AH82" s="161">
        <f t="shared" si="21"/>
        <v>0</v>
      </c>
      <c r="AI82" s="162">
        <v>500</v>
      </c>
      <c r="AJ82" s="162">
        <f t="shared" si="22"/>
        <v>137500</v>
      </c>
      <c r="AK82" s="163"/>
      <c r="AL82" s="164">
        <f t="shared" si="23"/>
        <v>0</v>
      </c>
      <c r="AM82" s="161"/>
      <c r="AN82" s="165">
        <f t="shared" si="24"/>
        <v>0</v>
      </c>
      <c r="AO82" s="160">
        <v>0</v>
      </c>
      <c r="AP82" s="166">
        <f t="shared" si="25"/>
        <v>0</v>
      </c>
      <c r="AQ82" s="162"/>
      <c r="AR82" s="162">
        <f t="shared" si="26"/>
        <v>0</v>
      </c>
      <c r="AS82" s="167"/>
      <c r="AT82" s="167">
        <f t="shared" si="27"/>
        <v>0</v>
      </c>
      <c r="AU82" s="163"/>
      <c r="AV82" s="163">
        <f t="shared" si="28"/>
        <v>0</v>
      </c>
      <c r="AW82" s="162"/>
      <c r="AX82" s="168">
        <f t="shared" si="29"/>
        <v>0</v>
      </c>
      <c r="AY82" s="169"/>
      <c r="AZ82" s="170">
        <f t="shared" si="30"/>
        <v>0</v>
      </c>
      <c r="BA82" s="160"/>
      <c r="BB82" s="166">
        <f t="shared" si="31"/>
        <v>0</v>
      </c>
    </row>
    <row r="83" spans="1:54" s="178" customFormat="1" ht="31.5">
      <c r="A83" s="148" t="s">
        <v>5407</v>
      </c>
      <c r="B83" s="175" t="s">
        <v>236</v>
      </c>
      <c r="C83" s="175"/>
      <c r="D83" s="175"/>
      <c r="E83" s="150" t="s">
        <v>236</v>
      </c>
      <c r="F83" s="151" t="s">
        <v>375</v>
      </c>
      <c r="G83" s="151" t="s">
        <v>360</v>
      </c>
      <c r="H83" s="151" t="s">
        <v>327</v>
      </c>
      <c r="I83" s="152" t="s">
        <v>10</v>
      </c>
      <c r="J83" s="153" t="s">
        <v>5103</v>
      </c>
      <c r="K83" s="177">
        <v>77</v>
      </c>
      <c r="L83" s="177"/>
      <c r="M83" s="159">
        <f t="shared" si="16"/>
        <v>19000</v>
      </c>
      <c r="N83" s="159"/>
      <c r="O83" s="159"/>
      <c r="P83" s="159"/>
      <c r="Q83" s="159"/>
      <c r="R83" s="159"/>
      <c r="S83" s="150" t="s">
        <v>360</v>
      </c>
      <c r="T83" s="150" t="s">
        <v>358</v>
      </c>
      <c r="U83" s="174" t="s">
        <v>4846</v>
      </c>
      <c r="V83" s="174" t="s">
        <v>5325</v>
      </c>
      <c r="W83" s="151">
        <v>36</v>
      </c>
      <c r="X83" s="152" t="s">
        <v>213</v>
      </c>
      <c r="Y83" s="176">
        <v>800</v>
      </c>
      <c r="Z83" s="176">
        <v>728000</v>
      </c>
      <c r="AA83" s="156">
        <f t="shared" si="17"/>
        <v>56056000</v>
      </c>
      <c r="AB83" s="157">
        <v>588000</v>
      </c>
      <c r="AC83" s="158">
        <f t="shared" si="18"/>
        <v>569000</v>
      </c>
      <c r="AD83" s="159">
        <f t="shared" si="19"/>
        <v>1463000</v>
      </c>
      <c r="AE83" s="160"/>
      <c r="AF83" s="160">
        <f t="shared" si="20"/>
        <v>0</v>
      </c>
      <c r="AG83" s="161"/>
      <c r="AH83" s="161">
        <f t="shared" si="21"/>
        <v>0</v>
      </c>
      <c r="AI83" s="162"/>
      <c r="AJ83" s="162">
        <f t="shared" si="22"/>
        <v>0</v>
      </c>
      <c r="AK83" s="163"/>
      <c r="AL83" s="164">
        <f t="shared" si="23"/>
        <v>0</v>
      </c>
      <c r="AM83" s="161">
        <f>10000+9000</f>
        <v>19000</v>
      </c>
      <c r="AN83" s="165">
        <f t="shared" si="24"/>
        <v>1463000</v>
      </c>
      <c r="AO83" s="160">
        <v>0</v>
      </c>
      <c r="AP83" s="166">
        <f t="shared" si="25"/>
        <v>0</v>
      </c>
      <c r="AQ83" s="162"/>
      <c r="AR83" s="162">
        <f t="shared" si="26"/>
        <v>0</v>
      </c>
      <c r="AS83" s="167"/>
      <c r="AT83" s="167">
        <f t="shared" si="27"/>
        <v>0</v>
      </c>
      <c r="AU83" s="163"/>
      <c r="AV83" s="163">
        <f t="shared" si="28"/>
        <v>0</v>
      </c>
      <c r="AW83" s="162"/>
      <c r="AX83" s="168">
        <f t="shared" si="29"/>
        <v>0</v>
      </c>
      <c r="AY83" s="169"/>
      <c r="AZ83" s="170">
        <f t="shared" si="30"/>
        <v>0</v>
      </c>
      <c r="BA83" s="160"/>
      <c r="BB83" s="166">
        <f t="shared" si="31"/>
        <v>0</v>
      </c>
    </row>
    <row r="84" spans="1:54" s="178" customFormat="1">
      <c r="A84" s="172" t="s">
        <v>5408</v>
      </c>
      <c r="B84" s="175" t="s">
        <v>236</v>
      </c>
      <c r="C84" s="175"/>
      <c r="D84" s="175"/>
      <c r="E84" s="150" t="s">
        <v>4894</v>
      </c>
      <c r="F84" s="151" t="s">
        <v>239</v>
      </c>
      <c r="G84" s="151" t="s">
        <v>240</v>
      </c>
      <c r="H84" s="151" t="s">
        <v>238</v>
      </c>
      <c r="I84" s="152" t="s">
        <v>10</v>
      </c>
      <c r="J84" s="153" t="s">
        <v>5103</v>
      </c>
      <c r="K84" s="177">
        <v>136</v>
      </c>
      <c r="L84" s="177"/>
      <c r="M84" s="159">
        <f t="shared" si="16"/>
        <v>6000</v>
      </c>
      <c r="N84" s="159"/>
      <c r="O84" s="159"/>
      <c r="P84" s="159"/>
      <c r="Q84" s="159"/>
      <c r="R84" s="159"/>
      <c r="S84" s="149" t="s">
        <v>5409</v>
      </c>
      <c r="T84" s="150" t="s">
        <v>5410</v>
      </c>
      <c r="U84" s="174" t="s">
        <v>4893</v>
      </c>
      <c r="V84" s="174" t="s">
        <v>5325</v>
      </c>
      <c r="W84" s="151" t="s">
        <v>5104</v>
      </c>
      <c r="X84" s="152" t="s">
        <v>213</v>
      </c>
      <c r="Y84" s="176">
        <v>500</v>
      </c>
      <c r="Z84" s="176">
        <v>182000</v>
      </c>
      <c r="AA84" s="156">
        <f t="shared" si="17"/>
        <v>24752000</v>
      </c>
      <c r="AB84" s="157">
        <v>172000</v>
      </c>
      <c r="AC84" s="158">
        <f t="shared" si="18"/>
        <v>166000</v>
      </c>
      <c r="AD84" s="159">
        <f t="shared" si="19"/>
        <v>816000</v>
      </c>
      <c r="AE84" s="160"/>
      <c r="AF84" s="160">
        <f t="shared" si="20"/>
        <v>0</v>
      </c>
      <c r="AG84" s="161"/>
      <c r="AH84" s="161">
        <f t="shared" si="21"/>
        <v>0</v>
      </c>
      <c r="AI84" s="162"/>
      <c r="AJ84" s="162">
        <f t="shared" si="22"/>
        <v>0</v>
      </c>
      <c r="AK84" s="163"/>
      <c r="AL84" s="164">
        <f t="shared" si="23"/>
        <v>0</v>
      </c>
      <c r="AM84" s="161">
        <v>6000</v>
      </c>
      <c r="AN84" s="165">
        <f t="shared" si="24"/>
        <v>816000</v>
      </c>
      <c r="AO84" s="160">
        <v>0</v>
      </c>
      <c r="AP84" s="166">
        <f t="shared" si="25"/>
        <v>0</v>
      </c>
      <c r="AQ84" s="162"/>
      <c r="AR84" s="162">
        <f t="shared" si="26"/>
        <v>0</v>
      </c>
      <c r="AS84" s="167"/>
      <c r="AT84" s="167">
        <f t="shared" si="27"/>
        <v>0</v>
      </c>
      <c r="AU84" s="163"/>
      <c r="AV84" s="163">
        <f t="shared" si="28"/>
        <v>0</v>
      </c>
      <c r="AW84" s="162"/>
      <c r="AX84" s="168">
        <f t="shared" si="29"/>
        <v>0</v>
      </c>
      <c r="AY84" s="169"/>
      <c r="AZ84" s="170">
        <f t="shared" si="30"/>
        <v>0</v>
      </c>
      <c r="BA84" s="160"/>
      <c r="BB84" s="166">
        <f t="shared" si="31"/>
        <v>0</v>
      </c>
    </row>
    <row r="85" spans="1:54" s="178" customFormat="1">
      <c r="A85" s="148" t="s">
        <v>5037</v>
      </c>
      <c r="B85" s="175" t="s">
        <v>287</v>
      </c>
      <c r="C85" s="175"/>
      <c r="D85" s="175"/>
      <c r="E85" s="150" t="s">
        <v>5412</v>
      </c>
      <c r="F85" s="151" t="s">
        <v>340</v>
      </c>
      <c r="G85" s="151" t="s">
        <v>336</v>
      </c>
      <c r="H85" s="151" t="s">
        <v>267</v>
      </c>
      <c r="I85" s="152" t="s">
        <v>10</v>
      </c>
      <c r="J85" s="153" t="s">
        <v>5413</v>
      </c>
      <c r="K85" s="177">
        <v>210</v>
      </c>
      <c r="L85" s="177"/>
      <c r="M85" s="159">
        <f t="shared" si="16"/>
        <v>0</v>
      </c>
      <c r="N85" s="159"/>
      <c r="O85" s="159"/>
      <c r="P85" s="159"/>
      <c r="Q85" s="159"/>
      <c r="R85" s="159"/>
      <c r="S85" s="150" t="s">
        <v>5353</v>
      </c>
      <c r="T85" s="150" t="s">
        <v>5354</v>
      </c>
      <c r="U85" s="174" t="s">
        <v>5411</v>
      </c>
      <c r="V85" s="174" t="s">
        <v>5325</v>
      </c>
      <c r="W85" s="151" t="s">
        <v>5104</v>
      </c>
      <c r="X85" s="152" t="s">
        <v>213</v>
      </c>
      <c r="Y85" s="176">
        <v>420</v>
      </c>
      <c r="Z85" s="176">
        <v>364000</v>
      </c>
      <c r="AA85" s="156">
        <f t="shared" si="17"/>
        <v>76440000</v>
      </c>
      <c r="AB85" s="157">
        <v>345700</v>
      </c>
      <c r="AC85" s="158">
        <f t="shared" si="18"/>
        <v>345700</v>
      </c>
      <c r="AD85" s="159">
        <f t="shared" si="19"/>
        <v>0</v>
      </c>
      <c r="AE85" s="160"/>
      <c r="AF85" s="160">
        <f t="shared" si="20"/>
        <v>0</v>
      </c>
      <c r="AG85" s="161"/>
      <c r="AH85" s="161">
        <f t="shared" si="21"/>
        <v>0</v>
      </c>
      <c r="AI85" s="162"/>
      <c r="AJ85" s="162">
        <f t="shared" si="22"/>
        <v>0</v>
      </c>
      <c r="AK85" s="164"/>
      <c r="AL85" s="164">
        <f t="shared" si="23"/>
        <v>0</v>
      </c>
      <c r="AM85" s="165"/>
      <c r="AN85" s="165">
        <f t="shared" si="24"/>
        <v>0</v>
      </c>
      <c r="AO85" s="166">
        <v>0</v>
      </c>
      <c r="AP85" s="166">
        <f t="shared" si="25"/>
        <v>0</v>
      </c>
      <c r="AQ85" s="162"/>
      <c r="AR85" s="162">
        <f t="shared" si="26"/>
        <v>0</v>
      </c>
      <c r="AS85" s="167"/>
      <c r="AT85" s="167">
        <f t="shared" si="27"/>
        <v>0</v>
      </c>
      <c r="AU85" s="163"/>
      <c r="AV85" s="163">
        <f t="shared" si="28"/>
        <v>0</v>
      </c>
      <c r="AW85" s="168"/>
      <c r="AX85" s="168">
        <f t="shared" si="29"/>
        <v>0</v>
      </c>
      <c r="AY85" s="170"/>
      <c r="AZ85" s="170">
        <f t="shared" si="30"/>
        <v>0</v>
      </c>
      <c r="BA85" s="166"/>
      <c r="BB85" s="166">
        <f t="shared" si="31"/>
        <v>0</v>
      </c>
    </row>
    <row r="86" spans="1:54" s="178" customFormat="1" ht="31.5">
      <c r="A86" s="148" t="s">
        <v>5414</v>
      </c>
      <c r="B86" s="175" t="s">
        <v>376</v>
      </c>
      <c r="C86" s="175"/>
      <c r="D86" s="175"/>
      <c r="E86" s="150" t="s">
        <v>376</v>
      </c>
      <c r="F86" s="151" t="s">
        <v>377</v>
      </c>
      <c r="G86" s="151" t="s">
        <v>360</v>
      </c>
      <c r="H86" s="151" t="s">
        <v>262</v>
      </c>
      <c r="I86" s="152" t="s">
        <v>10</v>
      </c>
      <c r="J86" s="153" t="s">
        <v>5362</v>
      </c>
      <c r="K86" s="177">
        <v>495</v>
      </c>
      <c r="L86" s="177"/>
      <c r="M86" s="159">
        <f t="shared" si="16"/>
        <v>0</v>
      </c>
      <c r="N86" s="159"/>
      <c r="O86" s="159"/>
      <c r="P86" s="159"/>
      <c r="Q86" s="159"/>
      <c r="R86" s="159"/>
      <c r="S86" s="150" t="s">
        <v>360</v>
      </c>
      <c r="T86" s="150" t="s">
        <v>358</v>
      </c>
      <c r="U86" s="174" t="s">
        <v>5415</v>
      </c>
      <c r="V86" s="174" t="s">
        <v>5325</v>
      </c>
      <c r="W86" s="151">
        <v>36</v>
      </c>
      <c r="X86" s="152" t="s">
        <v>213</v>
      </c>
      <c r="Y86" s="176">
        <v>1500</v>
      </c>
      <c r="Z86" s="176">
        <v>107000</v>
      </c>
      <c r="AA86" s="156">
        <f t="shared" si="17"/>
        <v>52965000</v>
      </c>
      <c r="AB86" s="157">
        <v>92000</v>
      </c>
      <c r="AC86" s="158">
        <f t="shared" si="18"/>
        <v>92000</v>
      </c>
      <c r="AD86" s="159">
        <f t="shared" si="19"/>
        <v>0</v>
      </c>
      <c r="AE86" s="160"/>
      <c r="AF86" s="160">
        <f t="shared" si="20"/>
        <v>0</v>
      </c>
      <c r="AG86" s="161"/>
      <c r="AH86" s="161">
        <f t="shared" si="21"/>
        <v>0</v>
      </c>
      <c r="AI86" s="162"/>
      <c r="AJ86" s="162">
        <f t="shared" si="22"/>
        <v>0</v>
      </c>
      <c r="AK86" s="164"/>
      <c r="AL86" s="164">
        <f t="shared" si="23"/>
        <v>0</v>
      </c>
      <c r="AM86" s="165"/>
      <c r="AN86" s="165">
        <f t="shared" si="24"/>
        <v>0</v>
      </c>
      <c r="AO86" s="166">
        <v>0</v>
      </c>
      <c r="AP86" s="166">
        <f t="shared" si="25"/>
        <v>0</v>
      </c>
      <c r="AQ86" s="162"/>
      <c r="AR86" s="162">
        <f t="shared" si="26"/>
        <v>0</v>
      </c>
      <c r="AS86" s="167"/>
      <c r="AT86" s="167">
        <f t="shared" si="27"/>
        <v>0</v>
      </c>
      <c r="AU86" s="163"/>
      <c r="AV86" s="163">
        <f t="shared" si="28"/>
        <v>0</v>
      </c>
      <c r="AW86" s="168"/>
      <c r="AX86" s="168">
        <f t="shared" si="29"/>
        <v>0</v>
      </c>
      <c r="AY86" s="170"/>
      <c r="AZ86" s="170">
        <f t="shared" si="30"/>
        <v>0</v>
      </c>
      <c r="BA86" s="166"/>
      <c r="BB86" s="166">
        <f t="shared" si="31"/>
        <v>0</v>
      </c>
    </row>
    <row r="87" spans="1:54" s="178" customFormat="1" ht="31.5">
      <c r="A87" s="172" t="s">
        <v>5416</v>
      </c>
      <c r="B87" s="175" t="s">
        <v>531</v>
      </c>
      <c r="C87" s="175"/>
      <c r="D87" s="175"/>
      <c r="E87" s="150" t="s">
        <v>532</v>
      </c>
      <c r="F87" s="151" t="s">
        <v>5420</v>
      </c>
      <c r="G87" s="151" t="s">
        <v>530</v>
      </c>
      <c r="H87" s="151" t="s">
        <v>533</v>
      </c>
      <c r="I87" s="152" t="s">
        <v>5141</v>
      </c>
      <c r="J87" s="153" t="s">
        <v>5419</v>
      </c>
      <c r="K87" s="177">
        <v>1176</v>
      </c>
      <c r="L87" s="177"/>
      <c r="M87" s="159">
        <f t="shared" si="16"/>
        <v>0</v>
      </c>
      <c r="N87" s="159"/>
      <c r="O87" s="159"/>
      <c r="P87" s="159"/>
      <c r="Q87" s="159"/>
      <c r="R87" s="159"/>
      <c r="S87" s="149" t="s">
        <v>5417</v>
      </c>
      <c r="T87" s="150" t="s">
        <v>5418</v>
      </c>
      <c r="U87" s="174" t="s">
        <v>4953</v>
      </c>
      <c r="V87" s="174" t="s">
        <v>5325</v>
      </c>
      <c r="W87" s="151" t="s">
        <v>5104</v>
      </c>
      <c r="X87" s="152" t="s">
        <v>213</v>
      </c>
      <c r="Y87" s="176">
        <v>3450</v>
      </c>
      <c r="Z87" s="176">
        <v>8600</v>
      </c>
      <c r="AA87" s="156">
        <f t="shared" si="17"/>
        <v>10113600</v>
      </c>
      <c r="AB87" s="157">
        <v>8100</v>
      </c>
      <c r="AC87" s="158">
        <f t="shared" si="18"/>
        <v>8100</v>
      </c>
      <c r="AD87" s="159">
        <f t="shared" si="19"/>
        <v>0</v>
      </c>
      <c r="AE87" s="160"/>
      <c r="AF87" s="160">
        <f t="shared" si="20"/>
        <v>0</v>
      </c>
      <c r="AG87" s="165"/>
      <c r="AH87" s="161">
        <f t="shared" si="21"/>
        <v>0</v>
      </c>
      <c r="AI87" s="162"/>
      <c r="AJ87" s="162">
        <f t="shared" si="22"/>
        <v>0</v>
      </c>
      <c r="AK87" s="164"/>
      <c r="AL87" s="164">
        <f t="shared" si="23"/>
        <v>0</v>
      </c>
      <c r="AM87" s="165"/>
      <c r="AN87" s="165">
        <f t="shared" si="24"/>
        <v>0</v>
      </c>
      <c r="AO87" s="166">
        <v>0</v>
      </c>
      <c r="AP87" s="166">
        <f t="shared" si="25"/>
        <v>0</v>
      </c>
      <c r="AQ87" s="162"/>
      <c r="AR87" s="162">
        <f t="shared" si="26"/>
        <v>0</v>
      </c>
      <c r="AS87" s="173"/>
      <c r="AT87" s="167">
        <f t="shared" si="27"/>
        <v>0</v>
      </c>
      <c r="AU87" s="163"/>
      <c r="AV87" s="163">
        <f t="shared" si="28"/>
        <v>0</v>
      </c>
      <c r="AW87" s="168"/>
      <c r="AX87" s="168">
        <f t="shared" si="29"/>
        <v>0</v>
      </c>
      <c r="AY87" s="170"/>
      <c r="AZ87" s="170">
        <f t="shared" si="30"/>
        <v>0</v>
      </c>
      <c r="BA87" s="166"/>
      <c r="BB87" s="166">
        <f t="shared" si="31"/>
        <v>0</v>
      </c>
    </row>
    <row r="88" spans="1:54" s="178" customFormat="1" ht="31.5">
      <c r="A88" s="148" t="s">
        <v>5421</v>
      </c>
      <c r="B88" s="175" t="s">
        <v>359</v>
      </c>
      <c r="C88" s="175"/>
      <c r="D88" s="175"/>
      <c r="E88" s="150" t="s">
        <v>359</v>
      </c>
      <c r="F88" s="151" t="s">
        <v>5422</v>
      </c>
      <c r="G88" s="151" t="s">
        <v>360</v>
      </c>
      <c r="H88" s="151" t="s">
        <v>262</v>
      </c>
      <c r="I88" s="152" t="s">
        <v>10</v>
      </c>
      <c r="J88" s="153" t="s">
        <v>5103</v>
      </c>
      <c r="K88" s="177">
        <v>302</v>
      </c>
      <c r="L88" s="177"/>
      <c r="M88" s="159">
        <f t="shared" si="16"/>
        <v>500</v>
      </c>
      <c r="N88" s="159"/>
      <c r="O88" s="159"/>
      <c r="P88" s="159"/>
      <c r="Q88" s="159"/>
      <c r="R88" s="159"/>
      <c r="S88" s="150" t="s">
        <v>360</v>
      </c>
      <c r="T88" s="150" t="s">
        <v>358</v>
      </c>
      <c r="U88" s="174" t="s">
        <v>4788</v>
      </c>
      <c r="V88" s="174" t="s">
        <v>5325</v>
      </c>
      <c r="W88" s="151">
        <v>36</v>
      </c>
      <c r="X88" s="152" t="s">
        <v>213</v>
      </c>
      <c r="Y88" s="176">
        <v>600</v>
      </c>
      <c r="Z88" s="176">
        <v>109200</v>
      </c>
      <c r="AA88" s="156">
        <f t="shared" si="17"/>
        <v>32978400</v>
      </c>
      <c r="AB88" s="157">
        <v>108200</v>
      </c>
      <c r="AC88" s="158">
        <f t="shared" si="18"/>
        <v>107700</v>
      </c>
      <c r="AD88" s="159">
        <f t="shared" si="19"/>
        <v>151000</v>
      </c>
      <c r="AE88" s="160"/>
      <c r="AF88" s="160">
        <f t="shared" si="20"/>
        <v>0</v>
      </c>
      <c r="AG88" s="161"/>
      <c r="AH88" s="161">
        <f t="shared" si="21"/>
        <v>0</v>
      </c>
      <c r="AI88" s="162">
        <v>200</v>
      </c>
      <c r="AJ88" s="162">
        <f t="shared" si="22"/>
        <v>60400</v>
      </c>
      <c r="AK88" s="164"/>
      <c r="AL88" s="164">
        <f t="shared" si="23"/>
        <v>0</v>
      </c>
      <c r="AM88" s="165">
        <v>300</v>
      </c>
      <c r="AN88" s="165">
        <f t="shared" si="24"/>
        <v>90600</v>
      </c>
      <c r="AO88" s="166">
        <v>0</v>
      </c>
      <c r="AP88" s="166">
        <f t="shared" si="25"/>
        <v>0</v>
      </c>
      <c r="AQ88" s="162"/>
      <c r="AR88" s="162">
        <f t="shared" si="26"/>
        <v>0</v>
      </c>
      <c r="AS88" s="167"/>
      <c r="AT88" s="167">
        <f t="shared" si="27"/>
        <v>0</v>
      </c>
      <c r="AU88" s="163"/>
      <c r="AV88" s="163">
        <f t="shared" si="28"/>
        <v>0</v>
      </c>
      <c r="AW88" s="168"/>
      <c r="AX88" s="168">
        <f t="shared" si="29"/>
        <v>0</v>
      </c>
      <c r="AY88" s="170"/>
      <c r="AZ88" s="170">
        <f t="shared" si="30"/>
        <v>0</v>
      </c>
      <c r="BA88" s="166"/>
      <c r="BB88" s="166">
        <f t="shared" si="31"/>
        <v>0</v>
      </c>
    </row>
    <row r="89" spans="1:54" s="178" customFormat="1" ht="31.5">
      <c r="A89" s="148" t="s">
        <v>5423</v>
      </c>
      <c r="B89" s="175" t="s">
        <v>531</v>
      </c>
      <c r="C89" s="175"/>
      <c r="D89" s="175"/>
      <c r="E89" s="150" t="s">
        <v>532</v>
      </c>
      <c r="F89" s="151" t="s">
        <v>5425</v>
      </c>
      <c r="G89" s="151" t="s">
        <v>530</v>
      </c>
      <c r="H89" s="151" t="s">
        <v>534</v>
      </c>
      <c r="I89" s="152" t="s">
        <v>10</v>
      </c>
      <c r="J89" s="153" t="s">
        <v>5424</v>
      </c>
      <c r="K89" s="177">
        <v>115</v>
      </c>
      <c r="L89" s="177"/>
      <c r="M89" s="159">
        <f t="shared" si="16"/>
        <v>10250</v>
      </c>
      <c r="N89" s="159"/>
      <c r="O89" s="159"/>
      <c r="P89" s="159"/>
      <c r="Q89" s="159"/>
      <c r="R89" s="159"/>
      <c r="S89" s="149" t="s">
        <v>5417</v>
      </c>
      <c r="T89" s="150" t="s">
        <v>5418</v>
      </c>
      <c r="U89" s="174" t="s">
        <v>4954</v>
      </c>
      <c r="V89" s="174" t="s">
        <v>5325</v>
      </c>
      <c r="W89" s="151" t="s">
        <v>5104</v>
      </c>
      <c r="X89" s="152" t="s">
        <v>213</v>
      </c>
      <c r="Y89" s="176">
        <v>250</v>
      </c>
      <c r="Z89" s="176">
        <v>111000</v>
      </c>
      <c r="AA89" s="156">
        <f t="shared" si="17"/>
        <v>12765000</v>
      </c>
      <c r="AB89" s="157">
        <v>101000</v>
      </c>
      <c r="AC89" s="158">
        <f t="shared" si="18"/>
        <v>90750</v>
      </c>
      <c r="AD89" s="159">
        <f t="shared" si="19"/>
        <v>1178750</v>
      </c>
      <c r="AE89" s="160"/>
      <c r="AF89" s="160">
        <f t="shared" si="20"/>
        <v>0</v>
      </c>
      <c r="AG89" s="165">
        <v>10250</v>
      </c>
      <c r="AH89" s="161">
        <f t="shared" si="21"/>
        <v>1178750</v>
      </c>
      <c r="AI89" s="162"/>
      <c r="AJ89" s="162">
        <f t="shared" si="22"/>
        <v>0</v>
      </c>
      <c r="AK89" s="164"/>
      <c r="AL89" s="164">
        <f t="shared" si="23"/>
        <v>0</v>
      </c>
      <c r="AM89" s="165"/>
      <c r="AN89" s="165">
        <f t="shared" si="24"/>
        <v>0</v>
      </c>
      <c r="AO89" s="166">
        <v>0</v>
      </c>
      <c r="AP89" s="166">
        <f t="shared" si="25"/>
        <v>0</v>
      </c>
      <c r="AQ89" s="162"/>
      <c r="AR89" s="162">
        <f t="shared" si="26"/>
        <v>0</v>
      </c>
      <c r="AS89" s="173"/>
      <c r="AT89" s="167">
        <f t="shared" si="27"/>
        <v>0</v>
      </c>
      <c r="AU89" s="163"/>
      <c r="AV89" s="163">
        <f t="shared" si="28"/>
        <v>0</v>
      </c>
      <c r="AW89" s="168"/>
      <c r="AX89" s="168">
        <f t="shared" si="29"/>
        <v>0</v>
      </c>
      <c r="AY89" s="170"/>
      <c r="AZ89" s="170">
        <f t="shared" si="30"/>
        <v>0</v>
      </c>
      <c r="BA89" s="166"/>
      <c r="BB89" s="166">
        <f t="shared" si="31"/>
        <v>0</v>
      </c>
    </row>
    <row r="90" spans="1:54" s="115" customFormat="1" ht="63">
      <c r="A90" s="172" t="s">
        <v>5426</v>
      </c>
      <c r="B90" s="175" t="s">
        <v>438</v>
      </c>
      <c r="C90" s="175"/>
      <c r="D90" s="175"/>
      <c r="E90" s="150" t="s">
        <v>4785</v>
      </c>
      <c r="F90" s="151" t="s">
        <v>440</v>
      </c>
      <c r="G90" s="151" t="s">
        <v>441</v>
      </c>
      <c r="H90" s="151" t="s">
        <v>229</v>
      </c>
      <c r="I90" s="152" t="s">
        <v>5141</v>
      </c>
      <c r="J90" s="153" t="s">
        <v>5427</v>
      </c>
      <c r="K90" s="177">
        <v>1190</v>
      </c>
      <c r="L90" s="177"/>
      <c r="M90" s="159">
        <f t="shared" si="16"/>
        <v>0</v>
      </c>
      <c r="N90" s="159"/>
      <c r="O90" s="159"/>
      <c r="P90" s="159"/>
      <c r="Q90" s="159"/>
      <c r="R90" s="159"/>
      <c r="S90" s="150" t="s">
        <v>5266</v>
      </c>
      <c r="T90" s="150" t="s">
        <v>5267</v>
      </c>
      <c r="U90" s="174" t="s">
        <v>4784</v>
      </c>
      <c r="V90" s="174" t="s">
        <v>5325</v>
      </c>
      <c r="W90" s="151" t="s">
        <v>253</v>
      </c>
      <c r="X90" s="152" t="s">
        <v>213</v>
      </c>
      <c r="Y90" s="176">
        <v>1980</v>
      </c>
      <c r="Z90" s="176">
        <v>37000</v>
      </c>
      <c r="AA90" s="156">
        <f t="shared" si="17"/>
        <v>44030000</v>
      </c>
      <c r="AB90" s="157">
        <v>34400</v>
      </c>
      <c r="AC90" s="158">
        <f t="shared" si="18"/>
        <v>34400</v>
      </c>
      <c r="AD90" s="159">
        <f t="shared" si="19"/>
        <v>0</v>
      </c>
      <c r="AE90" s="160"/>
      <c r="AF90" s="160">
        <f t="shared" si="20"/>
        <v>0</v>
      </c>
      <c r="AG90" s="161"/>
      <c r="AH90" s="161">
        <f t="shared" si="21"/>
        <v>0</v>
      </c>
      <c r="AI90" s="162"/>
      <c r="AJ90" s="162">
        <f t="shared" si="22"/>
        <v>0</v>
      </c>
      <c r="AK90" s="164"/>
      <c r="AL90" s="164">
        <f t="shared" si="23"/>
        <v>0</v>
      </c>
      <c r="AM90" s="165"/>
      <c r="AN90" s="165">
        <f t="shared" si="24"/>
        <v>0</v>
      </c>
      <c r="AO90" s="166">
        <v>0</v>
      </c>
      <c r="AP90" s="166">
        <f t="shared" si="25"/>
        <v>0</v>
      </c>
      <c r="AQ90" s="162"/>
      <c r="AR90" s="162">
        <f t="shared" si="26"/>
        <v>0</v>
      </c>
      <c r="AS90" s="167"/>
      <c r="AT90" s="167">
        <f t="shared" si="27"/>
        <v>0</v>
      </c>
      <c r="AU90" s="163"/>
      <c r="AV90" s="163">
        <f t="shared" si="28"/>
        <v>0</v>
      </c>
      <c r="AW90" s="168"/>
      <c r="AX90" s="168">
        <f t="shared" si="29"/>
        <v>0</v>
      </c>
      <c r="AY90" s="170"/>
      <c r="AZ90" s="170">
        <f t="shared" si="30"/>
        <v>0</v>
      </c>
      <c r="BA90" s="166"/>
      <c r="BB90" s="166">
        <f t="shared" si="31"/>
        <v>0</v>
      </c>
    </row>
    <row r="91" spans="1:54" s="115" customFormat="1" ht="31.5">
      <c r="A91" s="148" t="s">
        <v>5428</v>
      </c>
      <c r="B91" s="175" t="s">
        <v>325</v>
      </c>
      <c r="C91" s="175"/>
      <c r="D91" s="175"/>
      <c r="E91" s="150" t="s">
        <v>326</v>
      </c>
      <c r="F91" s="151" t="s">
        <v>328</v>
      </c>
      <c r="G91" s="151" t="s">
        <v>324</v>
      </c>
      <c r="H91" s="151" t="s">
        <v>327</v>
      </c>
      <c r="I91" s="152" t="s">
        <v>10</v>
      </c>
      <c r="J91" s="153" t="s">
        <v>5429</v>
      </c>
      <c r="K91" s="177">
        <v>231</v>
      </c>
      <c r="L91" s="177"/>
      <c r="M91" s="159">
        <f t="shared" si="16"/>
        <v>0</v>
      </c>
      <c r="N91" s="159"/>
      <c r="O91" s="159"/>
      <c r="P91" s="159"/>
      <c r="Q91" s="159"/>
      <c r="R91" s="159"/>
      <c r="S91" s="149" t="s">
        <v>5336</v>
      </c>
      <c r="T91" s="150" t="s">
        <v>322</v>
      </c>
      <c r="U91" s="174" t="s">
        <v>4852</v>
      </c>
      <c r="V91" s="174" t="s">
        <v>5325</v>
      </c>
      <c r="W91" s="151" t="s">
        <v>5104</v>
      </c>
      <c r="X91" s="152" t="s">
        <v>213</v>
      </c>
      <c r="Y91" s="176">
        <v>395</v>
      </c>
      <c r="Z91" s="176">
        <v>182000</v>
      </c>
      <c r="AA91" s="156">
        <f t="shared" si="17"/>
        <v>42042000</v>
      </c>
      <c r="AB91" s="157">
        <v>167000</v>
      </c>
      <c r="AC91" s="158">
        <f t="shared" si="18"/>
        <v>167000</v>
      </c>
      <c r="AD91" s="159">
        <f t="shared" si="19"/>
        <v>0</v>
      </c>
      <c r="AE91" s="160"/>
      <c r="AF91" s="160">
        <f t="shared" si="20"/>
        <v>0</v>
      </c>
      <c r="AG91" s="161"/>
      <c r="AH91" s="161">
        <f t="shared" si="21"/>
        <v>0</v>
      </c>
      <c r="AI91" s="162"/>
      <c r="AJ91" s="162">
        <f t="shared" si="22"/>
        <v>0</v>
      </c>
      <c r="AK91" s="164"/>
      <c r="AL91" s="164">
        <f t="shared" si="23"/>
        <v>0</v>
      </c>
      <c r="AM91" s="165"/>
      <c r="AN91" s="165">
        <f t="shared" si="24"/>
        <v>0</v>
      </c>
      <c r="AO91" s="166">
        <v>0</v>
      </c>
      <c r="AP91" s="166">
        <f t="shared" si="25"/>
        <v>0</v>
      </c>
      <c r="AQ91" s="162"/>
      <c r="AR91" s="162">
        <f t="shared" si="26"/>
        <v>0</v>
      </c>
      <c r="AS91" s="167"/>
      <c r="AT91" s="167">
        <f t="shared" si="27"/>
        <v>0</v>
      </c>
      <c r="AU91" s="163"/>
      <c r="AV91" s="163">
        <f t="shared" si="28"/>
        <v>0</v>
      </c>
      <c r="AW91" s="168"/>
      <c r="AX91" s="168">
        <f t="shared" si="29"/>
        <v>0</v>
      </c>
      <c r="AY91" s="170"/>
      <c r="AZ91" s="170">
        <f t="shared" si="30"/>
        <v>0</v>
      </c>
      <c r="BA91" s="166"/>
      <c r="BB91" s="166">
        <f t="shared" si="31"/>
        <v>0</v>
      </c>
    </row>
    <row r="92" spans="1:54" s="115" customFormat="1" ht="31.5">
      <c r="A92" s="148" t="s">
        <v>5430</v>
      </c>
      <c r="B92" s="175" t="s">
        <v>309</v>
      </c>
      <c r="C92" s="175"/>
      <c r="D92" s="175"/>
      <c r="E92" s="150" t="s">
        <v>4916</v>
      </c>
      <c r="F92" s="151" t="s">
        <v>468</v>
      </c>
      <c r="G92" s="151" t="s">
        <v>463</v>
      </c>
      <c r="H92" s="151" t="s">
        <v>310</v>
      </c>
      <c r="I92" s="152" t="s">
        <v>10</v>
      </c>
      <c r="J92" s="153" t="s">
        <v>5431</v>
      </c>
      <c r="K92" s="177">
        <v>420</v>
      </c>
      <c r="L92" s="177"/>
      <c r="M92" s="159">
        <f t="shared" si="16"/>
        <v>30000</v>
      </c>
      <c r="N92" s="159"/>
      <c r="O92" s="159"/>
      <c r="P92" s="159"/>
      <c r="Q92" s="159"/>
      <c r="R92" s="159"/>
      <c r="S92" s="149" t="s">
        <v>5275</v>
      </c>
      <c r="T92" s="150" t="s">
        <v>463</v>
      </c>
      <c r="U92" s="174" t="s">
        <v>4915</v>
      </c>
      <c r="V92" s="174" t="s">
        <v>5325</v>
      </c>
      <c r="W92" s="151">
        <v>36</v>
      </c>
      <c r="X92" s="152" t="s">
        <v>213</v>
      </c>
      <c r="Y92" s="176">
        <v>1450</v>
      </c>
      <c r="Z92" s="176">
        <v>546000</v>
      </c>
      <c r="AA92" s="156">
        <f t="shared" si="17"/>
        <v>229320000</v>
      </c>
      <c r="AB92" s="157">
        <v>486000</v>
      </c>
      <c r="AC92" s="158">
        <f t="shared" si="18"/>
        <v>456000</v>
      </c>
      <c r="AD92" s="159">
        <f t="shared" si="19"/>
        <v>12600000</v>
      </c>
      <c r="AE92" s="160"/>
      <c r="AF92" s="160">
        <f t="shared" si="20"/>
        <v>0</v>
      </c>
      <c r="AG92" s="165"/>
      <c r="AH92" s="161">
        <f t="shared" si="21"/>
        <v>0</v>
      </c>
      <c r="AI92" s="162"/>
      <c r="AJ92" s="162">
        <f t="shared" si="22"/>
        <v>0</v>
      </c>
      <c r="AK92" s="164"/>
      <c r="AL92" s="164">
        <f t="shared" si="23"/>
        <v>0</v>
      </c>
      <c r="AM92" s="165">
        <v>30000</v>
      </c>
      <c r="AN92" s="165">
        <f t="shared" si="24"/>
        <v>12600000</v>
      </c>
      <c r="AO92" s="166">
        <v>0</v>
      </c>
      <c r="AP92" s="166">
        <f t="shared" si="25"/>
        <v>0</v>
      </c>
      <c r="AQ92" s="162"/>
      <c r="AR92" s="162">
        <f t="shared" si="26"/>
        <v>0</v>
      </c>
      <c r="AS92" s="173"/>
      <c r="AT92" s="167">
        <f t="shared" si="27"/>
        <v>0</v>
      </c>
      <c r="AU92" s="163"/>
      <c r="AV92" s="163">
        <f t="shared" si="28"/>
        <v>0</v>
      </c>
      <c r="AW92" s="168"/>
      <c r="AX92" s="168">
        <f t="shared" si="29"/>
        <v>0</v>
      </c>
      <c r="AY92" s="170"/>
      <c r="AZ92" s="170">
        <f t="shared" si="30"/>
        <v>0</v>
      </c>
      <c r="BA92" s="166"/>
      <c r="BB92" s="166">
        <f t="shared" si="31"/>
        <v>0</v>
      </c>
    </row>
    <row r="93" spans="1:54" s="115" customFormat="1" ht="31.5">
      <c r="A93" s="172" t="s">
        <v>5432</v>
      </c>
      <c r="B93" s="175" t="s">
        <v>513</v>
      </c>
      <c r="C93" s="175"/>
      <c r="D93" s="175"/>
      <c r="E93" s="150" t="s">
        <v>3604</v>
      </c>
      <c r="F93" s="151" t="s">
        <v>5435</v>
      </c>
      <c r="G93" s="151" t="s">
        <v>514</v>
      </c>
      <c r="H93" s="151" t="s">
        <v>5433</v>
      </c>
      <c r="I93" s="152" t="s">
        <v>5141</v>
      </c>
      <c r="J93" s="153" t="s">
        <v>5434</v>
      </c>
      <c r="K93" s="177">
        <v>8715</v>
      </c>
      <c r="L93" s="177"/>
      <c r="M93" s="159">
        <f t="shared" si="16"/>
        <v>300</v>
      </c>
      <c r="N93" s="159"/>
      <c r="O93" s="159"/>
      <c r="P93" s="159"/>
      <c r="Q93" s="159"/>
      <c r="R93" s="159"/>
      <c r="S93" s="150" t="s">
        <v>5118</v>
      </c>
      <c r="T93" s="150" t="s">
        <v>5119</v>
      </c>
      <c r="U93" s="174" t="s">
        <v>4444</v>
      </c>
      <c r="V93" s="174" t="s">
        <v>5325</v>
      </c>
      <c r="W93" s="151">
        <v>36</v>
      </c>
      <c r="X93" s="152" t="s">
        <v>213</v>
      </c>
      <c r="Y93" s="176">
        <v>17215</v>
      </c>
      <c r="Z93" s="176">
        <v>23600</v>
      </c>
      <c r="AA93" s="156">
        <f t="shared" si="17"/>
        <v>205674000</v>
      </c>
      <c r="AB93" s="157">
        <v>23600</v>
      </c>
      <c r="AC93" s="158">
        <f t="shared" si="18"/>
        <v>23300</v>
      </c>
      <c r="AD93" s="159">
        <f t="shared" si="19"/>
        <v>2614500</v>
      </c>
      <c r="AE93" s="160"/>
      <c r="AF93" s="160">
        <f t="shared" si="20"/>
        <v>0</v>
      </c>
      <c r="AG93" s="165"/>
      <c r="AH93" s="161">
        <f t="shared" si="21"/>
        <v>0</v>
      </c>
      <c r="AI93" s="162"/>
      <c r="AJ93" s="162">
        <f t="shared" si="22"/>
        <v>0</v>
      </c>
      <c r="AK93" s="164"/>
      <c r="AL93" s="164">
        <f t="shared" si="23"/>
        <v>0</v>
      </c>
      <c r="AM93" s="165">
        <v>100</v>
      </c>
      <c r="AN93" s="165">
        <f t="shared" si="24"/>
        <v>871500</v>
      </c>
      <c r="AO93" s="166">
        <v>200</v>
      </c>
      <c r="AP93" s="166">
        <f t="shared" si="25"/>
        <v>1743000</v>
      </c>
      <c r="AQ93" s="162"/>
      <c r="AR93" s="162">
        <f t="shared" si="26"/>
        <v>0</v>
      </c>
      <c r="AS93" s="173"/>
      <c r="AT93" s="167">
        <f t="shared" si="27"/>
        <v>0</v>
      </c>
      <c r="AU93" s="163"/>
      <c r="AV93" s="163">
        <f t="shared" si="28"/>
        <v>0</v>
      </c>
      <c r="AW93" s="168"/>
      <c r="AX93" s="168">
        <f t="shared" si="29"/>
        <v>0</v>
      </c>
      <c r="AY93" s="170"/>
      <c r="AZ93" s="170">
        <f t="shared" si="30"/>
        <v>0</v>
      </c>
      <c r="BA93" s="166"/>
      <c r="BB93" s="166">
        <f t="shared" si="31"/>
        <v>0</v>
      </c>
    </row>
    <row r="94" spans="1:54" s="115" customFormat="1" ht="31.5">
      <c r="A94" s="148" t="s">
        <v>5436</v>
      </c>
      <c r="B94" s="175" t="s">
        <v>513</v>
      </c>
      <c r="C94" s="175"/>
      <c r="D94" s="175"/>
      <c r="E94" s="150" t="s">
        <v>5439</v>
      </c>
      <c r="F94" s="151" t="s">
        <v>5435</v>
      </c>
      <c r="G94" s="151" t="s">
        <v>514</v>
      </c>
      <c r="H94" s="151" t="s">
        <v>5438</v>
      </c>
      <c r="I94" s="152" t="s">
        <v>5141</v>
      </c>
      <c r="J94" s="153" t="s">
        <v>5440</v>
      </c>
      <c r="K94" s="177">
        <v>8652</v>
      </c>
      <c r="L94" s="177"/>
      <c r="M94" s="159">
        <f t="shared" si="16"/>
        <v>0</v>
      </c>
      <c r="N94" s="159"/>
      <c r="O94" s="159"/>
      <c r="P94" s="159"/>
      <c r="Q94" s="159"/>
      <c r="R94" s="159"/>
      <c r="S94" s="150" t="s">
        <v>5118</v>
      </c>
      <c r="T94" s="150" t="s">
        <v>5119</v>
      </c>
      <c r="U94" s="174" t="s">
        <v>5437</v>
      </c>
      <c r="V94" s="174" t="s">
        <v>5325</v>
      </c>
      <c r="W94" s="151">
        <v>36</v>
      </c>
      <c r="X94" s="152" t="s">
        <v>213</v>
      </c>
      <c r="Y94" s="176">
        <v>13252</v>
      </c>
      <c r="Z94" s="176">
        <v>2300</v>
      </c>
      <c r="AA94" s="156">
        <f t="shared" si="17"/>
        <v>19899600</v>
      </c>
      <c r="AB94" s="157">
        <v>2300</v>
      </c>
      <c r="AC94" s="158">
        <f t="shared" si="18"/>
        <v>2300</v>
      </c>
      <c r="AD94" s="159">
        <f t="shared" si="19"/>
        <v>0</v>
      </c>
      <c r="AE94" s="160"/>
      <c r="AF94" s="160">
        <f t="shared" si="20"/>
        <v>0</v>
      </c>
      <c r="AG94" s="165"/>
      <c r="AH94" s="161">
        <f t="shared" si="21"/>
        <v>0</v>
      </c>
      <c r="AI94" s="162"/>
      <c r="AJ94" s="162">
        <f t="shared" si="22"/>
        <v>0</v>
      </c>
      <c r="AK94" s="164"/>
      <c r="AL94" s="164">
        <f t="shared" si="23"/>
        <v>0</v>
      </c>
      <c r="AM94" s="165"/>
      <c r="AN94" s="165">
        <f t="shared" si="24"/>
        <v>0</v>
      </c>
      <c r="AO94" s="166">
        <v>0</v>
      </c>
      <c r="AP94" s="166">
        <f t="shared" si="25"/>
        <v>0</v>
      </c>
      <c r="AQ94" s="162"/>
      <c r="AR94" s="162">
        <f t="shared" si="26"/>
        <v>0</v>
      </c>
      <c r="AS94" s="173"/>
      <c r="AT94" s="167">
        <f t="shared" si="27"/>
        <v>0</v>
      </c>
      <c r="AU94" s="163"/>
      <c r="AV94" s="163">
        <f t="shared" si="28"/>
        <v>0</v>
      </c>
      <c r="AW94" s="168"/>
      <c r="AX94" s="168">
        <f t="shared" si="29"/>
        <v>0</v>
      </c>
      <c r="AY94" s="170"/>
      <c r="AZ94" s="170">
        <f t="shared" si="30"/>
        <v>0</v>
      </c>
      <c r="BA94" s="166"/>
      <c r="BB94" s="166">
        <f t="shared" si="31"/>
        <v>0</v>
      </c>
    </row>
    <row r="95" spans="1:54" s="115" customFormat="1">
      <c r="A95" s="148" t="s">
        <v>5441</v>
      </c>
      <c r="B95" s="175" t="s">
        <v>506</v>
      </c>
      <c r="C95" s="175"/>
      <c r="D95" s="175"/>
      <c r="E95" s="150" t="s">
        <v>4850</v>
      </c>
      <c r="F95" s="151" t="s">
        <v>508</v>
      </c>
      <c r="G95" s="151" t="s">
        <v>509</v>
      </c>
      <c r="H95" s="151" t="s">
        <v>258</v>
      </c>
      <c r="I95" s="152" t="s">
        <v>5141</v>
      </c>
      <c r="J95" s="153" t="s">
        <v>5364</v>
      </c>
      <c r="K95" s="177">
        <v>7849</v>
      </c>
      <c r="L95" s="177"/>
      <c r="M95" s="159">
        <f t="shared" si="16"/>
        <v>0</v>
      </c>
      <c r="N95" s="159"/>
      <c r="O95" s="159"/>
      <c r="P95" s="159"/>
      <c r="Q95" s="159"/>
      <c r="R95" s="159"/>
      <c r="S95" s="150" t="s">
        <v>5442</v>
      </c>
      <c r="T95" s="150" t="s">
        <v>5443</v>
      </c>
      <c r="U95" s="174" t="s">
        <v>4849</v>
      </c>
      <c r="V95" s="174" t="s">
        <v>5325</v>
      </c>
      <c r="W95" s="151" t="s">
        <v>5104</v>
      </c>
      <c r="X95" s="152" t="s">
        <v>213</v>
      </c>
      <c r="Y95" s="176">
        <v>18900</v>
      </c>
      <c r="Z95" s="176">
        <v>4500</v>
      </c>
      <c r="AA95" s="156">
        <f t="shared" si="17"/>
        <v>35320500</v>
      </c>
      <c r="AB95" s="157">
        <v>4300</v>
      </c>
      <c r="AC95" s="158">
        <f t="shared" si="18"/>
        <v>4300</v>
      </c>
      <c r="AD95" s="159">
        <f t="shared" si="19"/>
        <v>0</v>
      </c>
      <c r="AE95" s="160"/>
      <c r="AF95" s="160">
        <f t="shared" si="20"/>
        <v>0</v>
      </c>
      <c r="AG95" s="165"/>
      <c r="AH95" s="161">
        <f t="shared" si="21"/>
        <v>0</v>
      </c>
      <c r="AI95" s="162"/>
      <c r="AJ95" s="162">
        <f t="shared" si="22"/>
        <v>0</v>
      </c>
      <c r="AK95" s="164"/>
      <c r="AL95" s="164">
        <f t="shared" si="23"/>
        <v>0</v>
      </c>
      <c r="AM95" s="165"/>
      <c r="AN95" s="165">
        <f t="shared" si="24"/>
        <v>0</v>
      </c>
      <c r="AO95" s="166">
        <v>0</v>
      </c>
      <c r="AP95" s="166">
        <f t="shared" si="25"/>
        <v>0</v>
      </c>
      <c r="AQ95" s="162"/>
      <c r="AR95" s="162">
        <f t="shared" si="26"/>
        <v>0</v>
      </c>
      <c r="AS95" s="173"/>
      <c r="AT95" s="167">
        <f t="shared" si="27"/>
        <v>0</v>
      </c>
      <c r="AU95" s="163"/>
      <c r="AV95" s="163">
        <f t="shared" si="28"/>
        <v>0</v>
      </c>
      <c r="AW95" s="168"/>
      <c r="AX95" s="168">
        <f t="shared" si="29"/>
        <v>0</v>
      </c>
      <c r="AY95" s="170"/>
      <c r="AZ95" s="170">
        <f t="shared" si="30"/>
        <v>0</v>
      </c>
      <c r="BA95" s="166"/>
      <c r="BB95" s="166">
        <f t="shared" si="31"/>
        <v>0</v>
      </c>
    </row>
    <row r="96" spans="1:54" s="178" customFormat="1" ht="31.5">
      <c r="A96" s="172" t="s">
        <v>5444</v>
      </c>
      <c r="B96" s="175" t="s">
        <v>5445</v>
      </c>
      <c r="C96" s="175"/>
      <c r="D96" s="175"/>
      <c r="E96" s="150" t="s">
        <v>4949</v>
      </c>
      <c r="F96" s="151" t="s">
        <v>5447</v>
      </c>
      <c r="G96" s="151" t="s">
        <v>530</v>
      </c>
      <c r="H96" s="151" t="s">
        <v>4951</v>
      </c>
      <c r="I96" s="152" t="s">
        <v>5141</v>
      </c>
      <c r="J96" s="153" t="s">
        <v>5446</v>
      </c>
      <c r="K96" s="177">
        <v>8274</v>
      </c>
      <c r="L96" s="177"/>
      <c r="M96" s="159">
        <f t="shared" si="16"/>
        <v>100</v>
      </c>
      <c r="N96" s="159"/>
      <c r="O96" s="159"/>
      <c r="P96" s="159"/>
      <c r="Q96" s="159"/>
      <c r="R96" s="159"/>
      <c r="S96" s="149" t="s">
        <v>5417</v>
      </c>
      <c r="T96" s="150" t="s">
        <v>5418</v>
      </c>
      <c r="U96" s="174" t="s">
        <v>4948</v>
      </c>
      <c r="V96" s="174" t="s">
        <v>5325</v>
      </c>
      <c r="W96" s="151" t="s">
        <v>253</v>
      </c>
      <c r="X96" s="152" t="s">
        <v>213</v>
      </c>
      <c r="Y96" s="176">
        <v>15500</v>
      </c>
      <c r="Z96" s="176">
        <v>1850</v>
      </c>
      <c r="AA96" s="156">
        <f t="shared" si="17"/>
        <v>15306900</v>
      </c>
      <c r="AB96" s="157">
        <v>1850</v>
      </c>
      <c r="AC96" s="158">
        <f t="shared" si="18"/>
        <v>1750</v>
      </c>
      <c r="AD96" s="159">
        <f t="shared" si="19"/>
        <v>827400</v>
      </c>
      <c r="AE96" s="160"/>
      <c r="AF96" s="160">
        <f t="shared" si="20"/>
        <v>0</v>
      </c>
      <c r="AG96" s="161">
        <v>100</v>
      </c>
      <c r="AH96" s="161">
        <f t="shared" si="21"/>
        <v>827400</v>
      </c>
      <c r="AI96" s="162"/>
      <c r="AJ96" s="162">
        <f t="shared" si="22"/>
        <v>0</v>
      </c>
      <c r="AK96" s="164"/>
      <c r="AL96" s="164">
        <f t="shared" si="23"/>
        <v>0</v>
      </c>
      <c r="AM96" s="165"/>
      <c r="AN96" s="165">
        <f t="shared" si="24"/>
        <v>0</v>
      </c>
      <c r="AO96" s="166">
        <v>0</v>
      </c>
      <c r="AP96" s="166">
        <f t="shared" si="25"/>
        <v>0</v>
      </c>
      <c r="AQ96" s="162"/>
      <c r="AR96" s="162">
        <f t="shared" si="26"/>
        <v>0</v>
      </c>
      <c r="AS96" s="167"/>
      <c r="AT96" s="167">
        <f t="shared" si="27"/>
        <v>0</v>
      </c>
      <c r="AU96" s="163"/>
      <c r="AV96" s="163">
        <f t="shared" si="28"/>
        <v>0</v>
      </c>
      <c r="AW96" s="168"/>
      <c r="AX96" s="168">
        <f t="shared" si="29"/>
        <v>0</v>
      </c>
      <c r="AY96" s="170"/>
      <c r="AZ96" s="170">
        <f t="shared" si="30"/>
        <v>0</v>
      </c>
      <c r="BA96" s="166"/>
      <c r="BB96" s="166">
        <f t="shared" si="31"/>
        <v>0</v>
      </c>
    </row>
    <row r="97" spans="1:54" s="178" customFormat="1" ht="31.5">
      <c r="A97" s="148" t="s">
        <v>5448</v>
      </c>
      <c r="B97" s="175" t="s">
        <v>378</v>
      </c>
      <c r="C97" s="175"/>
      <c r="D97" s="175"/>
      <c r="E97" s="150" t="s">
        <v>378</v>
      </c>
      <c r="F97" s="151" t="s">
        <v>379</v>
      </c>
      <c r="G97" s="151" t="s">
        <v>360</v>
      </c>
      <c r="H97" s="151" t="s">
        <v>334</v>
      </c>
      <c r="I97" s="152" t="s">
        <v>10</v>
      </c>
      <c r="J97" s="153" t="s">
        <v>5150</v>
      </c>
      <c r="K97" s="177">
        <v>234</v>
      </c>
      <c r="L97" s="177"/>
      <c r="M97" s="159">
        <f t="shared" si="16"/>
        <v>52500</v>
      </c>
      <c r="N97" s="159"/>
      <c r="O97" s="159"/>
      <c r="P97" s="159"/>
      <c r="Q97" s="159"/>
      <c r="R97" s="159"/>
      <c r="S97" s="150" t="s">
        <v>360</v>
      </c>
      <c r="T97" s="150" t="s">
        <v>358</v>
      </c>
      <c r="U97" s="174" t="s">
        <v>4857</v>
      </c>
      <c r="V97" s="174" t="s">
        <v>5325</v>
      </c>
      <c r="W97" s="151">
        <v>36</v>
      </c>
      <c r="X97" s="152" t="s">
        <v>213</v>
      </c>
      <c r="Y97" s="176">
        <v>350</v>
      </c>
      <c r="Z97" s="176">
        <v>146000</v>
      </c>
      <c r="AA97" s="156">
        <f t="shared" si="17"/>
        <v>34164000</v>
      </c>
      <c r="AB97" s="157">
        <v>62000</v>
      </c>
      <c r="AC97" s="158">
        <f t="shared" si="18"/>
        <v>9500</v>
      </c>
      <c r="AD97" s="159">
        <f t="shared" si="19"/>
        <v>12285000</v>
      </c>
      <c r="AE97" s="160"/>
      <c r="AF97" s="160">
        <f t="shared" si="20"/>
        <v>0</v>
      </c>
      <c r="AG97" s="161"/>
      <c r="AH97" s="161">
        <f t="shared" si="21"/>
        <v>0</v>
      </c>
      <c r="AI97" s="162">
        <v>12500</v>
      </c>
      <c r="AJ97" s="162">
        <f t="shared" si="22"/>
        <v>2925000</v>
      </c>
      <c r="AK97" s="164"/>
      <c r="AL97" s="164">
        <f t="shared" si="23"/>
        <v>0</v>
      </c>
      <c r="AM97" s="165">
        <f>5000+20000</f>
        <v>25000</v>
      </c>
      <c r="AN97" s="165">
        <f t="shared" si="24"/>
        <v>5850000</v>
      </c>
      <c r="AO97" s="166">
        <v>0</v>
      </c>
      <c r="AP97" s="166">
        <f t="shared" si="25"/>
        <v>0</v>
      </c>
      <c r="AQ97" s="162"/>
      <c r="AR97" s="162">
        <f t="shared" si="26"/>
        <v>0</v>
      </c>
      <c r="AS97" s="167">
        <v>15000</v>
      </c>
      <c r="AT97" s="167">
        <f t="shared" si="27"/>
        <v>3510000</v>
      </c>
      <c r="AU97" s="163"/>
      <c r="AV97" s="163">
        <f t="shared" si="28"/>
        <v>0</v>
      </c>
      <c r="AW97" s="168"/>
      <c r="AX97" s="168">
        <f t="shared" si="29"/>
        <v>0</v>
      </c>
      <c r="AY97" s="170"/>
      <c r="AZ97" s="170">
        <f t="shared" si="30"/>
        <v>0</v>
      </c>
      <c r="BA97" s="166"/>
      <c r="BB97" s="166">
        <f t="shared" si="31"/>
        <v>0</v>
      </c>
    </row>
    <row r="98" spans="1:54" s="178" customFormat="1" ht="31.5">
      <c r="A98" s="148" t="s">
        <v>5449</v>
      </c>
      <c r="B98" s="175" t="s">
        <v>286</v>
      </c>
      <c r="C98" s="175"/>
      <c r="D98" s="175"/>
      <c r="E98" s="150" t="s">
        <v>5451</v>
      </c>
      <c r="F98" s="151" t="s">
        <v>5453</v>
      </c>
      <c r="G98" s="151" t="s">
        <v>360</v>
      </c>
      <c r="H98" s="151" t="s">
        <v>225</v>
      </c>
      <c r="I98" s="152" t="s">
        <v>10</v>
      </c>
      <c r="J98" s="153" t="s">
        <v>5452</v>
      </c>
      <c r="K98" s="177">
        <v>648</v>
      </c>
      <c r="L98" s="177"/>
      <c r="M98" s="159">
        <f t="shared" si="16"/>
        <v>0</v>
      </c>
      <c r="N98" s="159"/>
      <c r="O98" s="159"/>
      <c r="P98" s="159"/>
      <c r="Q98" s="159"/>
      <c r="R98" s="159"/>
      <c r="S98" s="150" t="s">
        <v>360</v>
      </c>
      <c r="T98" s="150" t="s">
        <v>358</v>
      </c>
      <c r="U98" s="174" t="s">
        <v>5450</v>
      </c>
      <c r="V98" s="174" t="s">
        <v>5325</v>
      </c>
      <c r="W98" s="151">
        <v>36</v>
      </c>
      <c r="X98" s="152" t="s">
        <v>213</v>
      </c>
      <c r="Y98" s="176">
        <v>5000</v>
      </c>
      <c r="Z98" s="176">
        <v>72800</v>
      </c>
      <c r="AA98" s="156">
        <f t="shared" si="17"/>
        <v>47174400</v>
      </c>
      <c r="AB98" s="157">
        <v>72800</v>
      </c>
      <c r="AC98" s="158">
        <f t="shared" si="18"/>
        <v>72800</v>
      </c>
      <c r="AD98" s="159">
        <f t="shared" si="19"/>
        <v>0</v>
      </c>
      <c r="AE98" s="160"/>
      <c r="AF98" s="160">
        <f t="shared" si="20"/>
        <v>0</v>
      </c>
      <c r="AG98" s="161"/>
      <c r="AH98" s="161">
        <f t="shared" si="21"/>
        <v>0</v>
      </c>
      <c r="AI98" s="162"/>
      <c r="AJ98" s="162">
        <f t="shared" si="22"/>
        <v>0</v>
      </c>
      <c r="AK98" s="163"/>
      <c r="AL98" s="164">
        <f t="shared" si="23"/>
        <v>0</v>
      </c>
      <c r="AM98" s="161"/>
      <c r="AN98" s="165">
        <f t="shared" si="24"/>
        <v>0</v>
      </c>
      <c r="AO98" s="160">
        <v>0</v>
      </c>
      <c r="AP98" s="166">
        <f t="shared" si="25"/>
        <v>0</v>
      </c>
      <c r="AQ98" s="162"/>
      <c r="AR98" s="162">
        <f t="shared" si="26"/>
        <v>0</v>
      </c>
      <c r="AS98" s="167"/>
      <c r="AT98" s="167">
        <f t="shared" si="27"/>
        <v>0</v>
      </c>
      <c r="AU98" s="163"/>
      <c r="AV98" s="163">
        <f t="shared" si="28"/>
        <v>0</v>
      </c>
      <c r="AW98" s="162"/>
      <c r="AX98" s="168">
        <f t="shared" si="29"/>
        <v>0</v>
      </c>
      <c r="AY98" s="169"/>
      <c r="AZ98" s="170">
        <f t="shared" si="30"/>
        <v>0</v>
      </c>
      <c r="BA98" s="160"/>
      <c r="BB98" s="166">
        <f t="shared" si="31"/>
        <v>0</v>
      </c>
    </row>
    <row r="99" spans="1:54" s="178" customFormat="1" ht="31.5">
      <c r="A99" s="172" t="s">
        <v>5454</v>
      </c>
      <c r="B99" s="175" t="s">
        <v>5237</v>
      </c>
      <c r="C99" s="175"/>
      <c r="D99" s="175"/>
      <c r="E99" s="150" t="s">
        <v>3621</v>
      </c>
      <c r="F99" s="151" t="s">
        <v>420</v>
      </c>
      <c r="G99" s="151" t="s">
        <v>414</v>
      </c>
      <c r="H99" s="151" t="s">
        <v>4868</v>
      </c>
      <c r="I99" s="152" t="s">
        <v>5141</v>
      </c>
      <c r="J99" s="153" t="s">
        <v>5455</v>
      </c>
      <c r="K99" s="177">
        <v>438</v>
      </c>
      <c r="L99" s="177"/>
      <c r="M99" s="159">
        <f t="shared" si="16"/>
        <v>2500</v>
      </c>
      <c r="N99" s="159"/>
      <c r="O99" s="159"/>
      <c r="P99" s="159"/>
      <c r="Q99" s="159"/>
      <c r="R99" s="159"/>
      <c r="S99" s="150" t="s">
        <v>5347</v>
      </c>
      <c r="T99" s="150" t="s">
        <v>5348</v>
      </c>
      <c r="U99" s="174" t="s">
        <v>4867</v>
      </c>
      <c r="V99" s="174" t="s">
        <v>5325</v>
      </c>
      <c r="W99" s="151" t="s">
        <v>5104</v>
      </c>
      <c r="X99" s="152" t="s">
        <v>213</v>
      </c>
      <c r="Y99" s="176">
        <v>1000</v>
      </c>
      <c r="Z99" s="176">
        <v>36400</v>
      </c>
      <c r="AA99" s="156">
        <f t="shared" si="17"/>
        <v>15943200</v>
      </c>
      <c r="AB99" s="157">
        <v>34400</v>
      </c>
      <c r="AC99" s="158">
        <f t="shared" si="18"/>
        <v>31900</v>
      </c>
      <c r="AD99" s="159">
        <f t="shared" si="19"/>
        <v>1095000</v>
      </c>
      <c r="AE99" s="160">
        <v>1000</v>
      </c>
      <c r="AF99" s="160">
        <f t="shared" si="20"/>
        <v>438000</v>
      </c>
      <c r="AG99" s="161"/>
      <c r="AH99" s="161">
        <f t="shared" si="21"/>
        <v>0</v>
      </c>
      <c r="AI99" s="162"/>
      <c r="AJ99" s="162">
        <f t="shared" si="22"/>
        <v>0</v>
      </c>
      <c r="AK99" s="164"/>
      <c r="AL99" s="164">
        <f t="shared" si="23"/>
        <v>0</v>
      </c>
      <c r="AM99" s="165"/>
      <c r="AN99" s="165">
        <f t="shared" si="24"/>
        <v>0</v>
      </c>
      <c r="AO99" s="166">
        <v>1000</v>
      </c>
      <c r="AP99" s="166">
        <f t="shared" si="25"/>
        <v>438000</v>
      </c>
      <c r="AQ99" s="162"/>
      <c r="AR99" s="162">
        <f t="shared" si="26"/>
        <v>0</v>
      </c>
      <c r="AS99" s="167">
        <v>500</v>
      </c>
      <c r="AT99" s="167">
        <f t="shared" si="27"/>
        <v>219000</v>
      </c>
      <c r="AU99" s="163"/>
      <c r="AV99" s="163">
        <f t="shared" si="28"/>
        <v>0</v>
      </c>
      <c r="AW99" s="168"/>
      <c r="AX99" s="168">
        <f t="shared" si="29"/>
        <v>0</v>
      </c>
      <c r="AY99" s="170"/>
      <c r="AZ99" s="170">
        <f t="shared" si="30"/>
        <v>0</v>
      </c>
      <c r="BA99" s="166"/>
      <c r="BB99" s="166">
        <f t="shared" si="31"/>
        <v>0</v>
      </c>
    </row>
    <row r="100" spans="1:54" s="178" customFormat="1" ht="31.5">
      <c r="A100" s="148" t="s">
        <v>5456</v>
      </c>
      <c r="B100" s="175" t="s">
        <v>221</v>
      </c>
      <c r="C100" s="175"/>
      <c r="D100" s="175"/>
      <c r="E100" s="150" t="s">
        <v>4873</v>
      </c>
      <c r="F100" s="151" t="s">
        <v>223</v>
      </c>
      <c r="G100" s="151" t="s">
        <v>215</v>
      </c>
      <c r="H100" s="151" t="s">
        <v>222</v>
      </c>
      <c r="I100" s="152" t="s">
        <v>10</v>
      </c>
      <c r="J100" s="153" t="s">
        <v>5457</v>
      </c>
      <c r="K100" s="177">
        <v>115</v>
      </c>
      <c r="L100" s="177"/>
      <c r="M100" s="159">
        <f t="shared" si="16"/>
        <v>2200</v>
      </c>
      <c r="N100" s="159"/>
      <c r="O100" s="159"/>
      <c r="P100" s="159"/>
      <c r="Q100" s="159"/>
      <c r="R100" s="159"/>
      <c r="S100" s="150" t="s">
        <v>5328</v>
      </c>
      <c r="T100" s="150" t="s">
        <v>215</v>
      </c>
      <c r="U100" s="174" t="s">
        <v>4872</v>
      </c>
      <c r="V100" s="174" t="s">
        <v>5325</v>
      </c>
      <c r="W100" s="151" t="s">
        <v>5104</v>
      </c>
      <c r="X100" s="152" t="s">
        <v>213</v>
      </c>
      <c r="Y100" s="176">
        <v>490</v>
      </c>
      <c r="Z100" s="176">
        <v>74000</v>
      </c>
      <c r="AA100" s="156">
        <f t="shared" si="17"/>
        <v>8510000</v>
      </c>
      <c r="AB100" s="157">
        <v>70500</v>
      </c>
      <c r="AC100" s="158">
        <f t="shared" si="18"/>
        <v>68300</v>
      </c>
      <c r="AD100" s="159">
        <f t="shared" si="19"/>
        <v>253000</v>
      </c>
      <c r="AE100" s="160"/>
      <c r="AF100" s="160">
        <f t="shared" si="20"/>
        <v>0</v>
      </c>
      <c r="AG100" s="165">
        <v>2200</v>
      </c>
      <c r="AH100" s="161">
        <f t="shared" si="21"/>
        <v>253000</v>
      </c>
      <c r="AI100" s="162"/>
      <c r="AJ100" s="162">
        <f t="shared" si="22"/>
        <v>0</v>
      </c>
      <c r="AK100" s="164"/>
      <c r="AL100" s="164">
        <f t="shared" si="23"/>
        <v>0</v>
      </c>
      <c r="AM100" s="165"/>
      <c r="AN100" s="165">
        <f t="shared" si="24"/>
        <v>0</v>
      </c>
      <c r="AO100" s="166">
        <v>0</v>
      </c>
      <c r="AP100" s="166">
        <f t="shared" si="25"/>
        <v>0</v>
      </c>
      <c r="AQ100" s="162"/>
      <c r="AR100" s="162">
        <f t="shared" si="26"/>
        <v>0</v>
      </c>
      <c r="AS100" s="173"/>
      <c r="AT100" s="167">
        <f t="shared" si="27"/>
        <v>0</v>
      </c>
      <c r="AU100" s="163"/>
      <c r="AV100" s="163">
        <f t="shared" si="28"/>
        <v>0</v>
      </c>
      <c r="AW100" s="168"/>
      <c r="AX100" s="168">
        <f t="shared" si="29"/>
        <v>0</v>
      </c>
      <c r="AY100" s="170"/>
      <c r="AZ100" s="170">
        <f t="shared" si="30"/>
        <v>0</v>
      </c>
      <c r="BA100" s="166"/>
      <c r="BB100" s="166">
        <f t="shared" si="31"/>
        <v>0</v>
      </c>
    </row>
    <row r="101" spans="1:54" s="178" customFormat="1">
      <c r="A101" s="148" t="s">
        <v>5458</v>
      </c>
      <c r="B101" s="175" t="s">
        <v>474</v>
      </c>
      <c r="C101" s="175"/>
      <c r="D101" s="175"/>
      <c r="E101" s="150" t="s">
        <v>475</v>
      </c>
      <c r="F101" s="151" t="s">
        <v>476</v>
      </c>
      <c r="G101" s="151" t="s">
        <v>473</v>
      </c>
      <c r="H101" s="151" t="s">
        <v>238</v>
      </c>
      <c r="I101" s="152" t="s">
        <v>10</v>
      </c>
      <c r="J101" s="153" t="s">
        <v>5461</v>
      </c>
      <c r="K101" s="177">
        <v>92</v>
      </c>
      <c r="L101" s="177"/>
      <c r="M101" s="159">
        <f t="shared" si="16"/>
        <v>0</v>
      </c>
      <c r="N101" s="159"/>
      <c r="O101" s="159"/>
      <c r="P101" s="159"/>
      <c r="Q101" s="159"/>
      <c r="R101" s="159"/>
      <c r="S101" s="150" t="s">
        <v>5459</v>
      </c>
      <c r="T101" s="150" t="s">
        <v>473</v>
      </c>
      <c r="U101" s="174" t="s">
        <v>5460</v>
      </c>
      <c r="V101" s="174" t="s">
        <v>5325</v>
      </c>
      <c r="W101" s="151" t="s">
        <v>253</v>
      </c>
      <c r="X101" s="152" t="s">
        <v>213</v>
      </c>
      <c r="Y101" s="176">
        <v>780</v>
      </c>
      <c r="Z101" s="176">
        <v>146000</v>
      </c>
      <c r="AA101" s="156">
        <f t="shared" si="17"/>
        <v>13432000</v>
      </c>
      <c r="AB101" s="157">
        <v>113500</v>
      </c>
      <c r="AC101" s="158">
        <f t="shared" si="18"/>
        <v>113500</v>
      </c>
      <c r="AD101" s="159">
        <f t="shared" si="19"/>
        <v>0</v>
      </c>
      <c r="AE101" s="160"/>
      <c r="AF101" s="160">
        <f t="shared" si="20"/>
        <v>0</v>
      </c>
      <c r="AG101" s="161"/>
      <c r="AH101" s="161">
        <f t="shared" si="21"/>
        <v>0</v>
      </c>
      <c r="AI101" s="162"/>
      <c r="AJ101" s="162">
        <f t="shared" si="22"/>
        <v>0</v>
      </c>
      <c r="AK101" s="164"/>
      <c r="AL101" s="164">
        <f t="shared" si="23"/>
        <v>0</v>
      </c>
      <c r="AM101" s="165"/>
      <c r="AN101" s="165">
        <f t="shared" si="24"/>
        <v>0</v>
      </c>
      <c r="AO101" s="166">
        <v>0</v>
      </c>
      <c r="AP101" s="166">
        <f t="shared" si="25"/>
        <v>0</v>
      </c>
      <c r="AQ101" s="162"/>
      <c r="AR101" s="162">
        <f t="shared" si="26"/>
        <v>0</v>
      </c>
      <c r="AS101" s="167"/>
      <c r="AT101" s="167">
        <f t="shared" si="27"/>
        <v>0</v>
      </c>
      <c r="AU101" s="163"/>
      <c r="AV101" s="163">
        <f t="shared" si="28"/>
        <v>0</v>
      </c>
      <c r="AW101" s="168"/>
      <c r="AX101" s="168">
        <f t="shared" si="29"/>
        <v>0</v>
      </c>
      <c r="AY101" s="170"/>
      <c r="AZ101" s="170">
        <f t="shared" si="30"/>
        <v>0</v>
      </c>
      <c r="BA101" s="166"/>
      <c r="BB101" s="166">
        <f t="shared" si="31"/>
        <v>0</v>
      </c>
    </row>
    <row r="102" spans="1:54" s="178" customFormat="1" ht="31.5">
      <c r="A102" s="172" t="s">
        <v>5462</v>
      </c>
      <c r="B102" s="175" t="s">
        <v>224</v>
      </c>
      <c r="C102" s="175"/>
      <c r="D102" s="175"/>
      <c r="E102" s="150" t="s">
        <v>4876</v>
      </c>
      <c r="F102" s="151" t="s">
        <v>226</v>
      </c>
      <c r="G102" s="151" t="s">
        <v>215</v>
      </c>
      <c r="H102" s="151" t="s">
        <v>225</v>
      </c>
      <c r="I102" s="152" t="s">
        <v>10</v>
      </c>
      <c r="J102" s="153" t="s">
        <v>5463</v>
      </c>
      <c r="K102" s="177">
        <v>1450</v>
      </c>
      <c r="L102" s="177"/>
      <c r="M102" s="159">
        <f t="shared" si="16"/>
        <v>250</v>
      </c>
      <c r="N102" s="159"/>
      <c r="O102" s="159"/>
      <c r="P102" s="159"/>
      <c r="Q102" s="159"/>
      <c r="R102" s="159"/>
      <c r="S102" s="150" t="s">
        <v>5328</v>
      </c>
      <c r="T102" s="150" t="s">
        <v>215</v>
      </c>
      <c r="U102" s="174" t="s">
        <v>4875</v>
      </c>
      <c r="V102" s="174" t="s">
        <v>5325</v>
      </c>
      <c r="W102" s="151" t="s">
        <v>5104</v>
      </c>
      <c r="X102" s="152" t="s">
        <v>213</v>
      </c>
      <c r="Y102" s="176">
        <v>5250</v>
      </c>
      <c r="Z102" s="176">
        <v>19000</v>
      </c>
      <c r="AA102" s="156">
        <f t="shared" si="17"/>
        <v>27550000</v>
      </c>
      <c r="AB102" s="157">
        <v>19000</v>
      </c>
      <c r="AC102" s="158">
        <f t="shared" si="18"/>
        <v>18750</v>
      </c>
      <c r="AD102" s="159">
        <f t="shared" si="19"/>
        <v>362500</v>
      </c>
      <c r="AE102" s="160"/>
      <c r="AF102" s="160">
        <f t="shared" si="20"/>
        <v>0</v>
      </c>
      <c r="AG102" s="165">
        <v>250</v>
      </c>
      <c r="AH102" s="161">
        <f t="shared" si="21"/>
        <v>362500</v>
      </c>
      <c r="AI102" s="162"/>
      <c r="AJ102" s="162">
        <f t="shared" si="22"/>
        <v>0</v>
      </c>
      <c r="AK102" s="164"/>
      <c r="AL102" s="164">
        <f t="shared" si="23"/>
        <v>0</v>
      </c>
      <c r="AM102" s="165"/>
      <c r="AN102" s="165">
        <f t="shared" si="24"/>
        <v>0</v>
      </c>
      <c r="AO102" s="166">
        <v>0</v>
      </c>
      <c r="AP102" s="166">
        <f t="shared" si="25"/>
        <v>0</v>
      </c>
      <c r="AQ102" s="162"/>
      <c r="AR102" s="162">
        <f t="shared" si="26"/>
        <v>0</v>
      </c>
      <c r="AS102" s="173"/>
      <c r="AT102" s="167">
        <f t="shared" si="27"/>
        <v>0</v>
      </c>
      <c r="AU102" s="163"/>
      <c r="AV102" s="163">
        <f t="shared" si="28"/>
        <v>0</v>
      </c>
      <c r="AW102" s="168"/>
      <c r="AX102" s="168">
        <f t="shared" si="29"/>
        <v>0</v>
      </c>
      <c r="AY102" s="170"/>
      <c r="AZ102" s="170">
        <f t="shared" si="30"/>
        <v>0</v>
      </c>
      <c r="BA102" s="166"/>
      <c r="BB102" s="166">
        <f t="shared" si="31"/>
        <v>0</v>
      </c>
    </row>
    <row r="103" spans="1:54" s="178" customFormat="1" ht="31.5">
      <c r="A103" s="148" t="s">
        <v>5464</v>
      </c>
      <c r="B103" s="175" t="s">
        <v>353</v>
      </c>
      <c r="C103" s="175"/>
      <c r="D103" s="175"/>
      <c r="E103" s="150" t="s">
        <v>353</v>
      </c>
      <c r="F103" s="151" t="s">
        <v>382</v>
      </c>
      <c r="G103" s="151" t="s">
        <v>360</v>
      </c>
      <c r="H103" s="151" t="s">
        <v>381</v>
      </c>
      <c r="I103" s="152" t="s">
        <v>10</v>
      </c>
      <c r="J103" s="153" t="s">
        <v>5103</v>
      </c>
      <c r="K103" s="177">
        <v>53</v>
      </c>
      <c r="L103" s="177"/>
      <c r="M103" s="159">
        <f t="shared" si="16"/>
        <v>11500</v>
      </c>
      <c r="N103" s="159"/>
      <c r="O103" s="159"/>
      <c r="P103" s="159"/>
      <c r="Q103" s="159"/>
      <c r="R103" s="159"/>
      <c r="S103" s="150" t="s">
        <v>360</v>
      </c>
      <c r="T103" s="150" t="s">
        <v>358</v>
      </c>
      <c r="U103" s="174" t="s">
        <v>5465</v>
      </c>
      <c r="V103" s="174" t="s">
        <v>5325</v>
      </c>
      <c r="W103" s="151">
        <v>36</v>
      </c>
      <c r="X103" s="152" t="s">
        <v>213</v>
      </c>
      <c r="Y103" s="176">
        <v>4050</v>
      </c>
      <c r="Z103" s="176">
        <v>364000</v>
      </c>
      <c r="AA103" s="156">
        <f t="shared" si="17"/>
        <v>19292000</v>
      </c>
      <c r="AB103" s="157">
        <v>287000</v>
      </c>
      <c r="AC103" s="158">
        <f t="shared" si="18"/>
        <v>275500</v>
      </c>
      <c r="AD103" s="159">
        <f t="shared" si="19"/>
        <v>609500</v>
      </c>
      <c r="AE103" s="160"/>
      <c r="AF103" s="160">
        <f t="shared" si="20"/>
        <v>0</v>
      </c>
      <c r="AG103" s="161">
        <v>10000</v>
      </c>
      <c r="AH103" s="161">
        <f t="shared" si="21"/>
        <v>530000</v>
      </c>
      <c r="AI103" s="162"/>
      <c r="AJ103" s="162">
        <f t="shared" si="22"/>
        <v>0</v>
      </c>
      <c r="AK103" s="164"/>
      <c r="AL103" s="164">
        <f t="shared" si="23"/>
        <v>0</v>
      </c>
      <c r="AM103" s="165">
        <v>1000</v>
      </c>
      <c r="AN103" s="165">
        <f t="shared" si="24"/>
        <v>53000</v>
      </c>
      <c r="AO103" s="166">
        <v>0</v>
      </c>
      <c r="AP103" s="166">
        <f t="shared" si="25"/>
        <v>0</v>
      </c>
      <c r="AQ103" s="162"/>
      <c r="AR103" s="162">
        <f t="shared" si="26"/>
        <v>0</v>
      </c>
      <c r="AS103" s="167">
        <v>500</v>
      </c>
      <c r="AT103" s="167">
        <f t="shared" si="27"/>
        <v>26500</v>
      </c>
      <c r="AU103" s="163"/>
      <c r="AV103" s="163">
        <f t="shared" si="28"/>
        <v>0</v>
      </c>
      <c r="AW103" s="168"/>
      <c r="AX103" s="168">
        <f t="shared" si="29"/>
        <v>0</v>
      </c>
      <c r="AY103" s="170"/>
      <c r="AZ103" s="170">
        <f t="shared" si="30"/>
        <v>0</v>
      </c>
      <c r="BA103" s="166"/>
      <c r="BB103" s="166">
        <f t="shared" si="31"/>
        <v>0</v>
      </c>
    </row>
    <row r="104" spans="1:54" s="178" customFormat="1" ht="31.5">
      <c r="A104" s="148" t="s">
        <v>5466</v>
      </c>
      <c r="B104" s="175" t="s">
        <v>353</v>
      </c>
      <c r="C104" s="175"/>
      <c r="D104" s="175"/>
      <c r="E104" s="150" t="s">
        <v>383</v>
      </c>
      <c r="F104" s="151" t="s">
        <v>385</v>
      </c>
      <c r="G104" s="151" t="s">
        <v>360</v>
      </c>
      <c r="H104" s="151" t="s">
        <v>384</v>
      </c>
      <c r="I104" s="152" t="s">
        <v>10</v>
      </c>
      <c r="J104" s="153" t="s">
        <v>5103</v>
      </c>
      <c r="K104" s="177">
        <v>120</v>
      </c>
      <c r="L104" s="177"/>
      <c r="M104" s="159">
        <f t="shared" si="16"/>
        <v>15500</v>
      </c>
      <c r="N104" s="159"/>
      <c r="O104" s="159"/>
      <c r="P104" s="159"/>
      <c r="Q104" s="159"/>
      <c r="R104" s="159"/>
      <c r="S104" s="150" t="s">
        <v>360</v>
      </c>
      <c r="T104" s="150" t="s">
        <v>358</v>
      </c>
      <c r="U104" s="174" t="s">
        <v>4864</v>
      </c>
      <c r="V104" s="174" t="s">
        <v>5325</v>
      </c>
      <c r="W104" s="151">
        <v>36</v>
      </c>
      <c r="X104" s="152" t="s">
        <v>213</v>
      </c>
      <c r="Y104" s="176">
        <v>950</v>
      </c>
      <c r="Z104" s="176">
        <v>182000</v>
      </c>
      <c r="AA104" s="156">
        <f t="shared" si="17"/>
        <v>21840000</v>
      </c>
      <c r="AB104" s="157">
        <v>148000</v>
      </c>
      <c r="AC104" s="158">
        <f t="shared" si="18"/>
        <v>132500</v>
      </c>
      <c r="AD104" s="159">
        <f t="shared" si="19"/>
        <v>1860000</v>
      </c>
      <c r="AE104" s="160"/>
      <c r="AF104" s="160">
        <f t="shared" si="20"/>
        <v>0</v>
      </c>
      <c r="AG104" s="161">
        <v>5500</v>
      </c>
      <c r="AH104" s="161">
        <f t="shared" si="21"/>
        <v>660000</v>
      </c>
      <c r="AI104" s="162"/>
      <c r="AJ104" s="162">
        <f t="shared" si="22"/>
        <v>0</v>
      </c>
      <c r="AK104" s="164"/>
      <c r="AL104" s="164">
        <f t="shared" si="23"/>
        <v>0</v>
      </c>
      <c r="AM104" s="165">
        <v>8000</v>
      </c>
      <c r="AN104" s="165">
        <f t="shared" si="24"/>
        <v>960000</v>
      </c>
      <c r="AO104" s="166">
        <v>0</v>
      </c>
      <c r="AP104" s="166">
        <f t="shared" si="25"/>
        <v>0</v>
      </c>
      <c r="AQ104" s="162"/>
      <c r="AR104" s="162">
        <f t="shared" si="26"/>
        <v>0</v>
      </c>
      <c r="AS104" s="167">
        <v>2000</v>
      </c>
      <c r="AT104" s="167">
        <f t="shared" si="27"/>
        <v>240000</v>
      </c>
      <c r="AU104" s="163"/>
      <c r="AV104" s="163">
        <f t="shared" si="28"/>
        <v>0</v>
      </c>
      <c r="AW104" s="168"/>
      <c r="AX104" s="168">
        <f t="shared" si="29"/>
        <v>0</v>
      </c>
      <c r="AY104" s="170"/>
      <c r="AZ104" s="170">
        <f t="shared" si="30"/>
        <v>0</v>
      </c>
      <c r="BA104" s="166"/>
      <c r="BB104" s="166">
        <f t="shared" si="31"/>
        <v>0</v>
      </c>
    </row>
    <row r="105" spans="1:54" s="178" customFormat="1" ht="31.5">
      <c r="A105" s="172" t="s">
        <v>5467</v>
      </c>
      <c r="B105" s="175" t="s">
        <v>265</v>
      </c>
      <c r="C105" s="175"/>
      <c r="D105" s="175"/>
      <c r="E105" s="150" t="s">
        <v>386</v>
      </c>
      <c r="F105" s="151" t="s">
        <v>388</v>
      </c>
      <c r="G105" s="151" t="s">
        <v>360</v>
      </c>
      <c r="H105" s="151" t="s">
        <v>387</v>
      </c>
      <c r="I105" s="152" t="s">
        <v>10</v>
      </c>
      <c r="J105" s="153" t="s">
        <v>5103</v>
      </c>
      <c r="K105" s="177">
        <v>677</v>
      </c>
      <c r="L105" s="177"/>
      <c r="M105" s="159">
        <f t="shared" si="16"/>
        <v>2500</v>
      </c>
      <c r="N105" s="159"/>
      <c r="O105" s="159"/>
      <c r="P105" s="159"/>
      <c r="Q105" s="159"/>
      <c r="R105" s="159"/>
      <c r="S105" s="150" t="s">
        <v>360</v>
      </c>
      <c r="T105" s="150" t="s">
        <v>358</v>
      </c>
      <c r="U105" s="174" t="s">
        <v>4884</v>
      </c>
      <c r="V105" s="174" t="s">
        <v>5325</v>
      </c>
      <c r="W105" s="151">
        <v>36</v>
      </c>
      <c r="X105" s="152" t="s">
        <v>213</v>
      </c>
      <c r="Y105" s="176">
        <v>2650</v>
      </c>
      <c r="Z105" s="176">
        <v>300000</v>
      </c>
      <c r="AA105" s="156">
        <f t="shared" si="17"/>
        <v>203100000</v>
      </c>
      <c r="AB105" s="157">
        <v>300000</v>
      </c>
      <c r="AC105" s="158">
        <f t="shared" si="18"/>
        <v>297500</v>
      </c>
      <c r="AD105" s="159">
        <f t="shared" si="19"/>
        <v>1692500</v>
      </c>
      <c r="AE105" s="160"/>
      <c r="AF105" s="160">
        <f t="shared" si="20"/>
        <v>0</v>
      </c>
      <c r="AG105" s="165">
        <v>1500</v>
      </c>
      <c r="AH105" s="161">
        <f t="shared" si="21"/>
        <v>1015500</v>
      </c>
      <c r="AI105" s="162"/>
      <c r="AJ105" s="162">
        <f t="shared" si="22"/>
        <v>0</v>
      </c>
      <c r="AK105" s="164"/>
      <c r="AL105" s="164">
        <f t="shared" si="23"/>
        <v>0</v>
      </c>
      <c r="AM105" s="165">
        <v>1000</v>
      </c>
      <c r="AN105" s="165">
        <f t="shared" si="24"/>
        <v>677000</v>
      </c>
      <c r="AO105" s="166">
        <v>0</v>
      </c>
      <c r="AP105" s="166">
        <f t="shared" si="25"/>
        <v>0</v>
      </c>
      <c r="AQ105" s="162"/>
      <c r="AR105" s="162">
        <f t="shared" si="26"/>
        <v>0</v>
      </c>
      <c r="AS105" s="173"/>
      <c r="AT105" s="167">
        <f t="shared" si="27"/>
        <v>0</v>
      </c>
      <c r="AU105" s="163"/>
      <c r="AV105" s="163">
        <f t="shared" si="28"/>
        <v>0</v>
      </c>
      <c r="AW105" s="168"/>
      <c r="AX105" s="168">
        <f t="shared" si="29"/>
        <v>0</v>
      </c>
      <c r="AY105" s="170"/>
      <c r="AZ105" s="170">
        <f t="shared" si="30"/>
        <v>0</v>
      </c>
      <c r="BA105" s="166"/>
      <c r="BB105" s="166">
        <f t="shared" si="31"/>
        <v>0</v>
      </c>
    </row>
    <row r="106" spans="1:54" s="178" customFormat="1" ht="31.5">
      <c r="A106" s="148" t="s">
        <v>5468</v>
      </c>
      <c r="B106" s="175" t="s">
        <v>265</v>
      </c>
      <c r="C106" s="175"/>
      <c r="D106" s="175"/>
      <c r="E106" s="150" t="s">
        <v>266</v>
      </c>
      <c r="F106" s="151" t="s">
        <v>269</v>
      </c>
      <c r="G106" s="151" t="s">
        <v>255</v>
      </c>
      <c r="H106" s="151" t="s">
        <v>267</v>
      </c>
      <c r="I106" s="152" t="s">
        <v>5141</v>
      </c>
      <c r="J106" s="153" t="s">
        <v>5469</v>
      </c>
      <c r="K106" s="177">
        <v>8988</v>
      </c>
      <c r="L106" s="177"/>
      <c r="M106" s="159">
        <f t="shared" si="16"/>
        <v>0</v>
      </c>
      <c r="N106" s="159"/>
      <c r="O106" s="159"/>
      <c r="P106" s="159"/>
      <c r="Q106" s="159"/>
      <c r="R106" s="159"/>
      <c r="S106" s="150" t="s">
        <v>5323</v>
      </c>
      <c r="T106" s="150" t="s">
        <v>5324</v>
      </c>
      <c r="U106" s="174" t="s">
        <v>4933</v>
      </c>
      <c r="V106" s="174" t="s">
        <v>5325</v>
      </c>
      <c r="W106" s="151" t="s">
        <v>5104</v>
      </c>
      <c r="X106" s="152" t="s">
        <v>213</v>
      </c>
      <c r="Y106" s="176">
        <v>31500</v>
      </c>
      <c r="Z106" s="176">
        <v>4500</v>
      </c>
      <c r="AA106" s="156">
        <f t="shared" si="17"/>
        <v>40446000</v>
      </c>
      <c r="AB106" s="157">
        <v>2800</v>
      </c>
      <c r="AC106" s="158">
        <f t="shared" si="18"/>
        <v>2800</v>
      </c>
      <c r="AD106" s="159">
        <f t="shared" si="19"/>
        <v>0</v>
      </c>
      <c r="AE106" s="160"/>
      <c r="AF106" s="160">
        <f t="shared" si="20"/>
        <v>0</v>
      </c>
      <c r="AG106" s="165"/>
      <c r="AH106" s="161">
        <f t="shared" si="21"/>
        <v>0</v>
      </c>
      <c r="AI106" s="162"/>
      <c r="AJ106" s="162">
        <f t="shared" si="22"/>
        <v>0</v>
      </c>
      <c r="AK106" s="164"/>
      <c r="AL106" s="164">
        <f t="shared" si="23"/>
        <v>0</v>
      </c>
      <c r="AM106" s="165"/>
      <c r="AN106" s="165">
        <f t="shared" si="24"/>
        <v>0</v>
      </c>
      <c r="AO106" s="166">
        <v>0</v>
      </c>
      <c r="AP106" s="166">
        <f t="shared" si="25"/>
        <v>0</v>
      </c>
      <c r="AQ106" s="162"/>
      <c r="AR106" s="162">
        <f t="shared" si="26"/>
        <v>0</v>
      </c>
      <c r="AS106" s="173"/>
      <c r="AT106" s="167">
        <f t="shared" si="27"/>
        <v>0</v>
      </c>
      <c r="AU106" s="163"/>
      <c r="AV106" s="163">
        <f t="shared" si="28"/>
        <v>0</v>
      </c>
      <c r="AW106" s="168"/>
      <c r="AX106" s="168">
        <f t="shared" si="29"/>
        <v>0</v>
      </c>
      <c r="AY106" s="170"/>
      <c r="AZ106" s="170">
        <f t="shared" si="30"/>
        <v>0</v>
      </c>
      <c r="BA106" s="166"/>
      <c r="BB106" s="166">
        <f t="shared" si="31"/>
        <v>0</v>
      </c>
    </row>
    <row r="107" spans="1:54" s="178" customFormat="1" ht="31.5">
      <c r="A107" s="148" t="s">
        <v>5470</v>
      </c>
      <c r="B107" s="175" t="s">
        <v>265</v>
      </c>
      <c r="C107" s="175"/>
      <c r="D107" s="175"/>
      <c r="E107" s="150" t="s">
        <v>389</v>
      </c>
      <c r="F107" s="151" t="s">
        <v>391</v>
      </c>
      <c r="G107" s="151" t="s">
        <v>360</v>
      </c>
      <c r="H107" s="151" t="s">
        <v>390</v>
      </c>
      <c r="I107" s="152" t="s">
        <v>10</v>
      </c>
      <c r="J107" s="153" t="s">
        <v>5103</v>
      </c>
      <c r="K107" s="177">
        <v>230</v>
      </c>
      <c r="L107" s="177"/>
      <c r="M107" s="159">
        <f t="shared" si="16"/>
        <v>35500</v>
      </c>
      <c r="N107" s="159"/>
      <c r="O107" s="159"/>
      <c r="P107" s="159"/>
      <c r="Q107" s="159"/>
      <c r="R107" s="159"/>
      <c r="S107" s="150" t="s">
        <v>360</v>
      </c>
      <c r="T107" s="150" t="s">
        <v>358</v>
      </c>
      <c r="U107" s="174" t="s">
        <v>4885</v>
      </c>
      <c r="V107" s="174" t="s">
        <v>5325</v>
      </c>
      <c r="W107" s="151">
        <v>36</v>
      </c>
      <c r="X107" s="152" t="s">
        <v>213</v>
      </c>
      <c r="Y107" s="176">
        <v>600</v>
      </c>
      <c r="Z107" s="176">
        <v>546000</v>
      </c>
      <c r="AA107" s="156">
        <f t="shared" si="17"/>
        <v>125580000</v>
      </c>
      <c r="AB107" s="157">
        <v>486500</v>
      </c>
      <c r="AC107" s="158">
        <f t="shared" si="18"/>
        <v>451000</v>
      </c>
      <c r="AD107" s="159">
        <f t="shared" si="19"/>
        <v>8165000</v>
      </c>
      <c r="AE107" s="160"/>
      <c r="AF107" s="160">
        <f t="shared" si="20"/>
        <v>0</v>
      </c>
      <c r="AG107" s="165">
        <v>7500</v>
      </c>
      <c r="AH107" s="161">
        <f t="shared" si="21"/>
        <v>1725000</v>
      </c>
      <c r="AI107" s="162"/>
      <c r="AJ107" s="162">
        <f t="shared" si="22"/>
        <v>0</v>
      </c>
      <c r="AK107" s="164"/>
      <c r="AL107" s="164">
        <f t="shared" si="23"/>
        <v>0</v>
      </c>
      <c r="AM107" s="165">
        <f>20000+5000</f>
        <v>25000</v>
      </c>
      <c r="AN107" s="165">
        <f t="shared" si="24"/>
        <v>5750000</v>
      </c>
      <c r="AO107" s="166">
        <v>0</v>
      </c>
      <c r="AP107" s="166">
        <f t="shared" si="25"/>
        <v>0</v>
      </c>
      <c r="AQ107" s="162"/>
      <c r="AR107" s="162">
        <f t="shared" si="26"/>
        <v>0</v>
      </c>
      <c r="AS107" s="173">
        <v>3000</v>
      </c>
      <c r="AT107" s="167">
        <f t="shared" si="27"/>
        <v>690000</v>
      </c>
      <c r="AU107" s="163"/>
      <c r="AV107" s="163">
        <f t="shared" si="28"/>
        <v>0</v>
      </c>
      <c r="AW107" s="168"/>
      <c r="AX107" s="168">
        <f t="shared" si="29"/>
        <v>0</v>
      </c>
      <c r="AY107" s="170"/>
      <c r="AZ107" s="170">
        <f t="shared" si="30"/>
        <v>0</v>
      </c>
      <c r="BA107" s="166"/>
      <c r="BB107" s="166">
        <f t="shared" si="31"/>
        <v>0</v>
      </c>
    </row>
    <row r="108" spans="1:54" s="178" customFormat="1" ht="63">
      <c r="A108" s="172" t="s">
        <v>5471</v>
      </c>
      <c r="B108" s="175" t="s">
        <v>442</v>
      </c>
      <c r="C108" s="175"/>
      <c r="D108" s="175"/>
      <c r="E108" s="150" t="s">
        <v>4891</v>
      </c>
      <c r="F108" s="151" t="s">
        <v>446</v>
      </c>
      <c r="G108" s="151" t="s">
        <v>437</v>
      </c>
      <c r="H108" s="151" t="s">
        <v>444</v>
      </c>
      <c r="I108" s="152" t="s">
        <v>5141</v>
      </c>
      <c r="J108" s="153" t="s">
        <v>5472</v>
      </c>
      <c r="K108" s="177">
        <v>8820</v>
      </c>
      <c r="L108" s="177"/>
      <c r="M108" s="159">
        <f t="shared" si="16"/>
        <v>0</v>
      </c>
      <c r="N108" s="159"/>
      <c r="O108" s="159"/>
      <c r="P108" s="159"/>
      <c r="Q108" s="159"/>
      <c r="R108" s="159"/>
      <c r="S108" s="150" t="s">
        <v>5266</v>
      </c>
      <c r="T108" s="150" t="s">
        <v>5267</v>
      </c>
      <c r="U108" s="174" t="s">
        <v>4890</v>
      </c>
      <c r="V108" s="174" t="s">
        <v>5325</v>
      </c>
      <c r="W108" s="151" t="s">
        <v>5104</v>
      </c>
      <c r="X108" s="152" t="s">
        <v>213</v>
      </c>
      <c r="Y108" s="176">
        <v>14400</v>
      </c>
      <c r="Z108" s="176">
        <v>4500</v>
      </c>
      <c r="AA108" s="156">
        <f t="shared" si="17"/>
        <v>39690000</v>
      </c>
      <c r="AB108" s="157">
        <v>4300</v>
      </c>
      <c r="AC108" s="158">
        <f t="shared" si="18"/>
        <v>4300</v>
      </c>
      <c r="AD108" s="159">
        <f t="shared" si="19"/>
        <v>0</v>
      </c>
      <c r="AE108" s="160"/>
      <c r="AF108" s="160">
        <f t="shared" si="20"/>
        <v>0</v>
      </c>
      <c r="AG108" s="161"/>
      <c r="AH108" s="161">
        <f t="shared" si="21"/>
        <v>0</v>
      </c>
      <c r="AI108" s="162"/>
      <c r="AJ108" s="162">
        <f t="shared" si="22"/>
        <v>0</v>
      </c>
      <c r="AK108" s="164"/>
      <c r="AL108" s="164">
        <f t="shared" si="23"/>
        <v>0</v>
      </c>
      <c r="AM108" s="165"/>
      <c r="AN108" s="165">
        <f t="shared" si="24"/>
        <v>0</v>
      </c>
      <c r="AO108" s="166">
        <v>0</v>
      </c>
      <c r="AP108" s="166">
        <f t="shared" si="25"/>
        <v>0</v>
      </c>
      <c r="AQ108" s="162"/>
      <c r="AR108" s="162">
        <f t="shared" si="26"/>
        <v>0</v>
      </c>
      <c r="AS108" s="167"/>
      <c r="AT108" s="167">
        <f t="shared" si="27"/>
        <v>0</v>
      </c>
      <c r="AU108" s="163"/>
      <c r="AV108" s="163">
        <f t="shared" si="28"/>
        <v>0</v>
      </c>
      <c r="AW108" s="168"/>
      <c r="AX108" s="168">
        <f t="shared" si="29"/>
        <v>0</v>
      </c>
      <c r="AY108" s="170"/>
      <c r="AZ108" s="170">
        <f t="shared" si="30"/>
        <v>0</v>
      </c>
      <c r="BA108" s="166"/>
      <c r="BB108" s="166">
        <f t="shared" si="31"/>
        <v>0</v>
      </c>
    </row>
    <row r="109" spans="1:54" s="178" customFormat="1" ht="31.5">
      <c r="A109" s="148" t="s">
        <v>5473</v>
      </c>
      <c r="B109" s="175" t="s">
        <v>442</v>
      </c>
      <c r="C109" s="175"/>
      <c r="D109" s="175"/>
      <c r="E109" s="150" t="s">
        <v>442</v>
      </c>
      <c r="F109" s="151" t="s">
        <v>5475</v>
      </c>
      <c r="G109" s="151" t="s">
        <v>530</v>
      </c>
      <c r="H109" s="151" t="s">
        <v>272</v>
      </c>
      <c r="I109" s="152" t="s">
        <v>10</v>
      </c>
      <c r="J109" s="153" t="s">
        <v>5474</v>
      </c>
      <c r="K109" s="177">
        <v>92</v>
      </c>
      <c r="L109" s="177"/>
      <c r="M109" s="159">
        <f t="shared" si="16"/>
        <v>0</v>
      </c>
      <c r="N109" s="159"/>
      <c r="O109" s="159"/>
      <c r="P109" s="159"/>
      <c r="Q109" s="159"/>
      <c r="R109" s="159"/>
      <c r="S109" s="149" t="s">
        <v>5417</v>
      </c>
      <c r="T109" s="150" t="s">
        <v>5418</v>
      </c>
      <c r="U109" s="174" t="s">
        <v>4888</v>
      </c>
      <c r="V109" s="174" t="s">
        <v>5325</v>
      </c>
      <c r="W109" s="151" t="s">
        <v>5104</v>
      </c>
      <c r="X109" s="152" t="s">
        <v>213</v>
      </c>
      <c r="Y109" s="176">
        <v>200</v>
      </c>
      <c r="Z109" s="176">
        <v>182000</v>
      </c>
      <c r="AA109" s="156">
        <f t="shared" si="17"/>
        <v>16744000</v>
      </c>
      <c r="AB109" s="157">
        <v>177000</v>
      </c>
      <c r="AC109" s="158">
        <f t="shared" si="18"/>
        <v>177000</v>
      </c>
      <c r="AD109" s="159">
        <f t="shared" si="19"/>
        <v>0</v>
      </c>
      <c r="AE109" s="160"/>
      <c r="AF109" s="160">
        <f t="shared" si="20"/>
        <v>0</v>
      </c>
      <c r="AG109" s="165"/>
      <c r="AH109" s="161">
        <f t="shared" si="21"/>
        <v>0</v>
      </c>
      <c r="AI109" s="162"/>
      <c r="AJ109" s="162">
        <f t="shared" si="22"/>
        <v>0</v>
      </c>
      <c r="AK109" s="164"/>
      <c r="AL109" s="164">
        <f t="shared" si="23"/>
        <v>0</v>
      </c>
      <c r="AM109" s="165"/>
      <c r="AN109" s="165">
        <f t="shared" si="24"/>
        <v>0</v>
      </c>
      <c r="AO109" s="166">
        <v>0</v>
      </c>
      <c r="AP109" s="166">
        <f t="shared" si="25"/>
        <v>0</v>
      </c>
      <c r="AQ109" s="162"/>
      <c r="AR109" s="162">
        <f t="shared" si="26"/>
        <v>0</v>
      </c>
      <c r="AS109" s="173"/>
      <c r="AT109" s="167">
        <f t="shared" si="27"/>
        <v>0</v>
      </c>
      <c r="AU109" s="163"/>
      <c r="AV109" s="163">
        <f t="shared" si="28"/>
        <v>0</v>
      </c>
      <c r="AW109" s="168"/>
      <c r="AX109" s="168">
        <f t="shared" si="29"/>
        <v>0</v>
      </c>
      <c r="AY109" s="170"/>
      <c r="AZ109" s="170">
        <f t="shared" si="30"/>
        <v>0</v>
      </c>
      <c r="BA109" s="166"/>
      <c r="BB109" s="166">
        <f t="shared" si="31"/>
        <v>0</v>
      </c>
    </row>
    <row r="110" spans="1:54" s="178" customFormat="1" ht="31.5">
      <c r="A110" s="148" t="s">
        <v>5476</v>
      </c>
      <c r="B110" s="175" t="s">
        <v>313</v>
      </c>
      <c r="C110" s="175"/>
      <c r="D110" s="175"/>
      <c r="E110" s="150" t="s">
        <v>502</v>
      </c>
      <c r="F110" s="151" t="s">
        <v>504</v>
      </c>
      <c r="G110" s="151" t="s">
        <v>5343</v>
      </c>
      <c r="H110" s="151" t="s">
        <v>235</v>
      </c>
      <c r="I110" s="152" t="s">
        <v>10</v>
      </c>
      <c r="J110" s="153" t="s">
        <v>5477</v>
      </c>
      <c r="K110" s="177">
        <v>473</v>
      </c>
      <c r="L110" s="177"/>
      <c r="M110" s="159">
        <f t="shared" si="16"/>
        <v>33800</v>
      </c>
      <c r="N110" s="159"/>
      <c r="O110" s="159"/>
      <c r="P110" s="159"/>
      <c r="Q110" s="159"/>
      <c r="R110" s="159"/>
      <c r="S110" s="150" t="s">
        <v>5340</v>
      </c>
      <c r="T110" s="150" t="s">
        <v>5341</v>
      </c>
      <c r="U110" s="174" t="s">
        <v>4895</v>
      </c>
      <c r="V110" s="174" t="s">
        <v>5325</v>
      </c>
      <c r="W110" s="151" t="s">
        <v>5104</v>
      </c>
      <c r="X110" s="152" t="s">
        <v>213</v>
      </c>
      <c r="Y110" s="176">
        <v>600</v>
      </c>
      <c r="Z110" s="176">
        <v>143000</v>
      </c>
      <c r="AA110" s="156">
        <f t="shared" si="17"/>
        <v>67639000</v>
      </c>
      <c r="AB110" s="157">
        <v>72500</v>
      </c>
      <c r="AC110" s="158">
        <f t="shared" si="18"/>
        <v>38700</v>
      </c>
      <c r="AD110" s="159">
        <f t="shared" si="19"/>
        <v>15987400</v>
      </c>
      <c r="AE110" s="160">
        <v>5000</v>
      </c>
      <c r="AF110" s="160">
        <f t="shared" si="20"/>
        <v>2365000</v>
      </c>
      <c r="AG110" s="165">
        <v>11500</v>
      </c>
      <c r="AH110" s="161">
        <f t="shared" si="21"/>
        <v>5439500</v>
      </c>
      <c r="AI110" s="162"/>
      <c r="AJ110" s="162">
        <f t="shared" si="22"/>
        <v>0</v>
      </c>
      <c r="AK110" s="164"/>
      <c r="AL110" s="164">
        <f t="shared" si="23"/>
        <v>0</v>
      </c>
      <c r="AM110" s="165">
        <v>16500</v>
      </c>
      <c r="AN110" s="165">
        <f t="shared" si="24"/>
        <v>7804500</v>
      </c>
      <c r="AO110" s="166">
        <v>0</v>
      </c>
      <c r="AP110" s="166">
        <f t="shared" si="25"/>
        <v>0</v>
      </c>
      <c r="AQ110" s="162"/>
      <c r="AR110" s="162">
        <f t="shared" si="26"/>
        <v>0</v>
      </c>
      <c r="AS110" s="173">
        <v>800</v>
      </c>
      <c r="AT110" s="167">
        <f t="shared" si="27"/>
        <v>378400</v>
      </c>
      <c r="AU110" s="163"/>
      <c r="AV110" s="163">
        <f t="shared" si="28"/>
        <v>0</v>
      </c>
      <c r="AW110" s="168"/>
      <c r="AX110" s="168">
        <f t="shared" si="29"/>
        <v>0</v>
      </c>
      <c r="AY110" s="170"/>
      <c r="AZ110" s="170">
        <f t="shared" si="30"/>
        <v>0</v>
      </c>
      <c r="BA110" s="166"/>
      <c r="BB110" s="166">
        <f t="shared" si="31"/>
        <v>0</v>
      </c>
    </row>
    <row r="111" spans="1:54" s="178" customFormat="1" ht="31.5">
      <c r="A111" s="172" t="s">
        <v>5478</v>
      </c>
      <c r="B111" s="175" t="s">
        <v>347</v>
      </c>
      <c r="C111" s="175"/>
      <c r="D111" s="175"/>
      <c r="E111" s="150" t="s">
        <v>361</v>
      </c>
      <c r="F111" s="151" t="s">
        <v>362</v>
      </c>
      <c r="G111" s="151" t="s">
        <v>360</v>
      </c>
      <c r="H111" s="151" t="s">
        <v>327</v>
      </c>
      <c r="I111" s="152" t="s">
        <v>10</v>
      </c>
      <c r="J111" s="153" t="s">
        <v>5103</v>
      </c>
      <c r="K111" s="177">
        <v>81</v>
      </c>
      <c r="L111" s="177"/>
      <c r="M111" s="159">
        <f t="shared" si="16"/>
        <v>19000</v>
      </c>
      <c r="N111" s="159"/>
      <c r="O111" s="159"/>
      <c r="P111" s="159"/>
      <c r="Q111" s="159"/>
      <c r="R111" s="159"/>
      <c r="S111" s="150" t="s">
        <v>360</v>
      </c>
      <c r="T111" s="150" t="s">
        <v>358</v>
      </c>
      <c r="U111" s="174" t="s">
        <v>4866</v>
      </c>
      <c r="V111" s="174" t="s">
        <v>5325</v>
      </c>
      <c r="W111" s="151">
        <v>36</v>
      </c>
      <c r="X111" s="152" t="s">
        <v>213</v>
      </c>
      <c r="Y111" s="176">
        <v>450</v>
      </c>
      <c r="Z111" s="176">
        <v>728000</v>
      </c>
      <c r="AA111" s="156">
        <f t="shared" si="17"/>
        <v>58968000</v>
      </c>
      <c r="AB111" s="157">
        <v>648000</v>
      </c>
      <c r="AC111" s="158">
        <f t="shared" si="18"/>
        <v>629000</v>
      </c>
      <c r="AD111" s="159">
        <f t="shared" si="19"/>
        <v>1539000</v>
      </c>
      <c r="AE111" s="160"/>
      <c r="AF111" s="160">
        <f t="shared" si="20"/>
        <v>0</v>
      </c>
      <c r="AG111" s="161"/>
      <c r="AH111" s="161">
        <f t="shared" si="21"/>
        <v>0</v>
      </c>
      <c r="AI111" s="162">
        <v>12000</v>
      </c>
      <c r="AJ111" s="162">
        <f t="shared" si="22"/>
        <v>972000</v>
      </c>
      <c r="AK111" s="164"/>
      <c r="AL111" s="164">
        <f t="shared" si="23"/>
        <v>0</v>
      </c>
      <c r="AM111" s="165">
        <v>7000</v>
      </c>
      <c r="AN111" s="165">
        <f t="shared" si="24"/>
        <v>567000</v>
      </c>
      <c r="AO111" s="166">
        <v>0</v>
      </c>
      <c r="AP111" s="166">
        <f t="shared" si="25"/>
        <v>0</v>
      </c>
      <c r="AQ111" s="162"/>
      <c r="AR111" s="162">
        <f t="shared" si="26"/>
        <v>0</v>
      </c>
      <c r="AS111" s="167"/>
      <c r="AT111" s="167">
        <f t="shared" si="27"/>
        <v>0</v>
      </c>
      <c r="AU111" s="163"/>
      <c r="AV111" s="163">
        <f t="shared" si="28"/>
        <v>0</v>
      </c>
      <c r="AW111" s="168"/>
      <c r="AX111" s="168">
        <f t="shared" si="29"/>
        <v>0</v>
      </c>
      <c r="AY111" s="170"/>
      <c r="AZ111" s="170">
        <f t="shared" si="30"/>
        <v>0</v>
      </c>
      <c r="BA111" s="166"/>
      <c r="BB111" s="166">
        <f t="shared" si="31"/>
        <v>0</v>
      </c>
    </row>
    <row r="112" spans="1:54" s="178" customFormat="1">
      <c r="A112" s="148" t="s">
        <v>5479</v>
      </c>
      <c r="B112" s="175" t="s">
        <v>313</v>
      </c>
      <c r="C112" s="175"/>
      <c r="D112" s="175"/>
      <c r="E112" s="150" t="s">
        <v>4918</v>
      </c>
      <c r="F112" s="151" t="s">
        <v>5481</v>
      </c>
      <c r="G112" s="151" t="s">
        <v>463</v>
      </c>
      <c r="H112" s="151" t="s">
        <v>238</v>
      </c>
      <c r="I112" s="152" t="s">
        <v>10</v>
      </c>
      <c r="J112" s="153" t="s">
        <v>5480</v>
      </c>
      <c r="K112" s="177">
        <v>980</v>
      </c>
      <c r="L112" s="177"/>
      <c r="M112" s="159">
        <f t="shared" si="16"/>
        <v>1000</v>
      </c>
      <c r="N112" s="159"/>
      <c r="O112" s="159"/>
      <c r="P112" s="159"/>
      <c r="Q112" s="159"/>
      <c r="R112" s="159"/>
      <c r="S112" s="149" t="s">
        <v>5275</v>
      </c>
      <c r="T112" s="150" t="s">
        <v>463</v>
      </c>
      <c r="U112" s="174" t="s">
        <v>4917</v>
      </c>
      <c r="V112" s="174" t="s">
        <v>5325</v>
      </c>
      <c r="W112" s="151">
        <v>36</v>
      </c>
      <c r="X112" s="152" t="s">
        <v>213</v>
      </c>
      <c r="Y112" s="176">
        <v>1000</v>
      </c>
      <c r="Z112" s="176">
        <v>74000</v>
      </c>
      <c r="AA112" s="156">
        <f t="shared" si="17"/>
        <v>72520000</v>
      </c>
      <c r="AB112" s="157">
        <v>71500</v>
      </c>
      <c r="AC112" s="158">
        <f t="shared" si="18"/>
        <v>70500</v>
      </c>
      <c r="AD112" s="159">
        <f t="shared" si="19"/>
        <v>980000</v>
      </c>
      <c r="AE112" s="160"/>
      <c r="AF112" s="160">
        <f t="shared" si="20"/>
        <v>0</v>
      </c>
      <c r="AG112" s="165"/>
      <c r="AH112" s="161">
        <f t="shared" si="21"/>
        <v>0</v>
      </c>
      <c r="AI112" s="162"/>
      <c r="AJ112" s="162">
        <f t="shared" si="22"/>
        <v>0</v>
      </c>
      <c r="AK112" s="164"/>
      <c r="AL112" s="164">
        <f t="shared" si="23"/>
        <v>0</v>
      </c>
      <c r="AM112" s="165">
        <v>1000</v>
      </c>
      <c r="AN112" s="165">
        <f t="shared" si="24"/>
        <v>980000</v>
      </c>
      <c r="AO112" s="166">
        <v>0</v>
      </c>
      <c r="AP112" s="166">
        <f t="shared" si="25"/>
        <v>0</v>
      </c>
      <c r="AQ112" s="162"/>
      <c r="AR112" s="162">
        <f t="shared" si="26"/>
        <v>0</v>
      </c>
      <c r="AS112" s="173"/>
      <c r="AT112" s="167">
        <f t="shared" si="27"/>
        <v>0</v>
      </c>
      <c r="AU112" s="163"/>
      <c r="AV112" s="163">
        <f t="shared" si="28"/>
        <v>0</v>
      </c>
      <c r="AW112" s="168"/>
      <c r="AX112" s="168">
        <f t="shared" si="29"/>
        <v>0</v>
      </c>
      <c r="AY112" s="170"/>
      <c r="AZ112" s="170">
        <f t="shared" si="30"/>
        <v>0</v>
      </c>
      <c r="BA112" s="166"/>
      <c r="BB112" s="166">
        <f t="shared" si="31"/>
        <v>0</v>
      </c>
    </row>
    <row r="113" spans="1:54" s="178" customFormat="1">
      <c r="A113" s="148" t="s">
        <v>5482</v>
      </c>
      <c r="B113" s="175" t="s">
        <v>341</v>
      </c>
      <c r="C113" s="175"/>
      <c r="D113" s="175"/>
      <c r="E113" s="150" t="s">
        <v>5484</v>
      </c>
      <c r="F113" s="151" t="s">
        <v>343</v>
      </c>
      <c r="G113" s="151" t="s">
        <v>336</v>
      </c>
      <c r="H113" s="151" t="s">
        <v>342</v>
      </c>
      <c r="I113" s="152" t="s">
        <v>5141</v>
      </c>
      <c r="J113" s="153" t="s">
        <v>5485</v>
      </c>
      <c r="K113" s="177">
        <v>499</v>
      </c>
      <c r="L113" s="177"/>
      <c r="M113" s="159">
        <f t="shared" si="16"/>
        <v>0</v>
      </c>
      <c r="N113" s="159"/>
      <c r="O113" s="159"/>
      <c r="P113" s="159"/>
      <c r="Q113" s="159"/>
      <c r="R113" s="159"/>
      <c r="S113" s="150" t="s">
        <v>5353</v>
      </c>
      <c r="T113" s="150" t="s">
        <v>5354</v>
      </c>
      <c r="U113" s="174" t="s">
        <v>5483</v>
      </c>
      <c r="V113" s="174" t="s">
        <v>5325</v>
      </c>
      <c r="W113" s="151" t="s">
        <v>5104</v>
      </c>
      <c r="X113" s="152" t="s">
        <v>213</v>
      </c>
      <c r="Y113" s="176">
        <v>945</v>
      </c>
      <c r="Z113" s="176">
        <v>37000</v>
      </c>
      <c r="AA113" s="156">
        <f t="shared" si="17"/>
        <v>18463000</v>
      </c>
      <c r="AB113" s="157">
        <v>34800</v>
      </c>
      <c r="AC113" s="158">
        <f t="shared" si="18"/>
        <v>34800</v>
      </c>
      <c r="AD113" s="159">
        <f t="shared" si="19"/>
        <v>0</v>
      </c>
      <c r="AE113" s="160"/>
      <c r="AF113" s="160">
        <f t="shared" si="20"/>
        <v>0</v>
      </c>
      <c r="AG113" s="161"/>
      <c r="AH113" s="161">
        <f t="shared" si="21"/>
        <v>0</v>
      </c>
      <c r="AI113" s="162"/>
      <c r="AJ113" s="162">
        <f t="shared" si="22"/>
        <v>0</v>
      </c>
      <c r="AK113" s="164"/>
      <c r="AL113" s="164">
        <f t="shared" si="23"/>
        <v>0</v>
      </c>
      <c r="AM113" s="165"/>
      <c r="AN113" s="165">
        <f t="shared" si="24"/>
        <v>0</v>
      </c>
      <c r="AO113" s="166">
        <v>0</v>
      </c>
      <c r="AP113" s="166">
        <f t="shared" si="25"/>
        <v>0</v>
      </c>
      <c r="AQ113" s="162"/>
      <c r="AR113" s="162">
        <f t="shared" si="26"/>
        <v>0</v>
      </c>
      <c r="AS113" s="167"/>
      <c r="AT113" s="167">
        <f t="shared" si="27"/>
        <v>0</v>
      </c>
      <c r="AU113" s="163"/>
      <c r="AV113" s="163">
        <f t="shared" si="28"/>
        <v>0</v>
      </c>
      <c r="AW113" s="168"/>
      <c r="AX113" s="168">
        <f t="shared" si="29"/>
        <v>0</v>
      </c>
      <c r="AY113" s="170"/>
      <c r="AZ113" s="170">
        <f t="shared" si="30"/>
        <v>0</v>
      </c>
      <c r="BA113" s="166"/>
      <c r="BB113" s="166">
        <f t="shared" si="31"/>
        <v>0</v>
      </c>
    </row>
    <row r="114" spans="1:54" s="178" customFormat="1" ht="31.5">
      <c r="A114" s="172" t="s">
        <v>5486</v>
      </c>
      <c r="B114" s="175" t="s">
        <v>341</v>
      </c>
      <c r="C114" s="175"/>
      <c r="D114" s="175"/>
      <c r="E114" s="150" t="s">
        <v>421</v>
      </c>
      <c r="F114" s="151" t="s">
        <v>424</v>
      </c>
      <c r="G114" s="151" t="s">
        <v>414</v>
      </c>
      <c r="H114" s="151" t="s">
        <v>422</v>
      </c>
      <c r="I114" s="152" t="s">
        <v>5141</v>
      </c>
      <c r="J114" s="153" t="s">
        <v>5488</v>
      </c>
      <c r="K114" s="177">
        <v>980</v>
      </c>
      <c r="L114" s="177"/>
      <c r="M114" s="159">
        <f t="shared" si="16"/>
        <v>450</v>
      </c>
      <c r="N114" s="159"/>
      <c r="O114" s="159"/>
      <c r="P114" s="159"/>
      <c r="Q114" s="159"/>
      <c r="R114" s="159"/>
      <c r="S114" s="150" t="s">
        <v>5347</v>
      </c>
      <c r="T114" s="150" t="s">
        <v>5348</v>
      </c>
      <c r="U114" s="174" t="s">
        <v>5487</v>
      </c>
      <c r="V114" s="174" t="s">
        <v>5325</v>
      </c>
      <c r="W114" s="151" t="s">
        <v>5111</v>
      </c>
      <c r="X114" s="152" t="s">
        <v>213</v>
      </c>
      <c r="Y114" s="176">
        <v>2000</v>
      </c>
      <c r="Z114" s="176">
        <v>12000</v>
      </c>
      <c r="AA114" s="156">
        <f t="shared" si="17"/>
        <v>11760000</v>
      </c>
      <c r="AB114" s="157">
        <v>9550</v>
      </c>
      <c r="AC114" s="158">
        <f t="shared" si="18"/>
        <v>9100</v>
      </c>
      <c r="AD114" s="159">
        <f t="shared" si="19"/>
        <v>441000</v>
      </c>
      <c r="AE114" s="160">
        <v>450</v>
      </c>
      <c r="AF114" s="160">
        <f t="shared" si="20"/>
        <v>441000</v>
      </c>
      <c r="AG114" s="161"/>
      <c r="AH114" s="161">
        <f t="shared" si="21"/>
        <v>0</v>
      </c>
      <c r="AI114" s="162"/>
      <c r="AJ114" s="162">
        <f t="shared" si="22"/>
        <v>0</v>
      </c>
      <c r="AK114" s="164"/>
      <c r="AL114" s="164">
        <f t="shared" si="23"/>
        <v>0</v>
      </c>
      <c r="AM114" s="165"/>
      <c r="AN114" s="165">
        <f t="shared" si="24"/>
        <v>0</v>
      </c>
      <c r="AO114" s="166">
        <v>0</v>
      </c>
      <c r="AP114" s="166">
        <f t="shared" si="25"/>
        <v>0</v>
      </c>
      <c r="AQ114" s="162"/>
      <c r="AR114" s="162">
        <f t="shared" si="26"/>
        <v>0</v>
      </c>
      <c r="AS114" s="167"/>
      <c r="AT114" s="167">
        <f t="shared" si="27"/>
        <v>0</v>
      </c>
      <c r="AU114" s="163"/>
      <c r="AV114" s="163">
        <f t="shared" si="28"/>
        <v>0</v>
      </c>
      <c r="AW114" s="168"/>
      <c r="AX114" s="168">
        <f t="shared" si="29"/>
        <v>0</v>
      </c>
      <c r="AY114" s="170"/>
      <c r="AZ114" s="170">
        <f t="shared" si="30"/>
        <v>0</v>
      </c>
      <c r="BA114" s="166"/>
      <c r="BB114" s="166">
        <f t="shared" si="31"/>
        <v>0</v>
      </c>
    </row>
    <row r="115" spans="1:54" s="178" customFormat="1" ht="31.5">
      <c r="A115" s="148" t="s">
        <v>5489</v>
      </c>
      <c r="B115" s="175" t="s">
        <v>392</v>
      </c>
      <c r="C115" s="175"/>
      <c r="D115" s="175"/>
      <c r="E115" s="150" t="s">
        <v>393</v>
      </c>
      <c r="F115" s="151" t="s">
        <v>394</v>
      </c>
      <c r="G115" s="151" t="s">
        <v>360</v>
      </c>
      <c r="H115" s="151" t="s">
        <v>235</v>
      </c>
      <c r="I115" s="152" t="s">
        <v>10</v>
      </c>
      <c r="J115" s="153" t="s">
        <v>5362</v>
      </c>
      <c r="K115" s="177">
        <v>131</v>
      </c>
      <c r="L115" s="177"/>
      <c r="M115" s="159">
        <f t="shared" si="16"/>
        <v>31500</v>
      </c>
      <c r="N115" s="159"/>
      <c r="O115" s="159"/>
      <c r="P115" s="159"/>
      <c r="Q115" s="159"/>
      <c r="R115" s="159"/>
      <c r="S115" s="150" t="s">
        <v>360</v>
      </c>
      <c r="T115" s="150" t="s">
        <v>358</v>
      </c>
      <c r="U115" s="174" t="s">
        <v>4861</v>
      </c>
      <c r="V115" s="174" t="s">
        <v>5325</v>
      </c>
      <c r="W115" s="151">
        <v>36</v>
      </c>
      <c r="X115" s="152" t="s">
        <v>213</v>
      </c>
      <c r="Y115" s="176">
        <v>6593</v>
      </c>
      <c r="Z115" s="176">
        <v>550000</v>
      </c>
      <c r="AA115" s="156">
        <f t="shared" si="17"/>
        <v>72050000</v>
      </c>
      <c r="AB115" s="157">
        <v>420100</v>
      </c>
      <c r="AC115" s="158">
        <f t="shared" si="18"/>
        <v>388600</v>
      </c>
      <c r="AD115" s="159">
        <f t="shared" si="19"/>
        <v>4126500</v>
      </c>
      <c r="AE115" s="160"/>
      <c r="AF115" s="160">
        <f t="shared" si="20"/>
        <v>0</v>
      </c>
      <c r="AG115" s="165">
        <v>20500</v>
      </c>
      <c r="AH115" s="161">
        <f t="shared" si="21"/>
        <v>2685500</v>
      </c>
      <c r="AI115" s="162"/>
      <c r="AJ115" s="162">
        <f t="shared" si="22"/>
        <v>0</v>
      </c>
      <c r="AK115" s="164"/>
      <c r="AL115" s="164">
        <f t="shared" si="23"/>
        <v>0</v>
      </c>
      <c r="AM115" s="165">
        <v>9500</v>
      </c>
      <c r="AN115" s="165">
        <f t="shared" si="24"/>
        <v>1244500</v>
      </c>
      <c r="AO115" s="166">
        <v>0</v>
      </c>
      <c r="AP115" s="166">
        <f t="shared" si="25"/>
        <v>0</v>
      </c>
      <c r="AQ115" s="162"/>
      <c r="AR115" s="162">
        <f t="shared" si="26"/>
        <v>0</v>
      </c>
      <c r="AS115" s="173">
        <v>1500</v>
      </c>
      <c r="AT115" s="167">
        <f t="shared" si="27"/>
        <v>196500</v>
      </c>
      <c r="AU115" s="163"/>
      <c r="AV115" s="163">
        <f t="shared" si="28"/>
        <v>0</v>
      </c>
      <c r="AW115" s="168"/>
      <c r="AX115" s="168">
        <f t="shared" si="29"/>
        <v>0</v>
      </c>
      <c r="AY115" s="170"/>
      <c r="AZ115" s="170">
        <f t="shared" si="30"/>
        <v>0</v>
      </c>
      <c r="BA115" s="166"/>
      <c r="BB115" s="166">
        <f t="shared" si="31"/>
        <v>0</v>
      </c>
    </row>
    <row r="116" spans="1:54" s="178" customFormat="1" ht="63">
      <c r="A116" s="148" t="s">
        <v>5490</v>
      </c>
      <c r="B116" s="175" t="s">
        <v>395</v>
      </c>
      <c r="C116" s="175"/>
      <c r="D116" s="175"/>
      <c r="E116" s="150" t="s">
        <v>5492</v>
      </c>
      <c r="F116" s="151" t="s">
        <v>512</v>
      </c>
      <c r="G116" s="151" t="s">
        <v>509</v>
      </c>
      <c r="H116" s="151" t="s">
        <v>267</v>
      </c>
      <c r="I116" s="152" t="s">
        <v>5141</v>
      </c>
      <c r="J116" s="153" t="s">
        <v>5493</v>
      </c>
      <c r="K116" s="177">
        <v>13999</v>
      </c>
      <c r="L116" s="177"/>
      <c r="M116" s="159">
        <f t="shared" si="16"/>
        <v>0</v>
      </c>
      <c r="N116" s="159"/>
      <c r="O116" s="159"/>
      <c r="P116" s="159"/>
      <c r="Q116" s="159"/>
      <c r="R116" s="159"/>
      <c r="S116" s="150" t="s">
        <v>5442</v>
      </c>
      <c r="T116" s="150" t="s">
        <v>5443</v>
      </c>
      <c r="U116" s="174" t="s">
        <v>5491</v>
      </c>
      <c r="V116" s="174" t="s">
        <v>5325</v>
      </c>
      <c r="W116" s="151" t="s">
        <v>253</v>
      </c>
      <c r="X116" s="152" t="s">
        <v>213</v>
      </c>
      <c r="Y116" s="176">
        <v>35000</v>
      </c>
      <c r="Z116" s="176">
        <v>2100</v>
      </c>
      <c r="AA116" s="156">
        <f t="shared" si="17"/>
        <v>29397900</v>
      </c>
      <c r="AB116" s="157">
        <v>1600</v>
      </c>
      <c r="AC116" s="158">
        <f t="shared" si="18"/>
        <v>1600</v>
      </c>
      <c r="AD116" s="159">
        <f t="shared" si="19"/>
        <v>0</v>
      </c>
      <c r="AE116" s="160"/>
      <c r="AF116" s="160">
        <f t="shared" si="20"/>
        <v>0</v>
      </c>
      <c r="AG116" s="165"/>
      <c r="AH116" s="161">
        <f t="shared" si="21"/>
        <v>0</v>
      </c>
      <c r="AI116" s="162"/>
      <c r="AJ116" s="162">
        <f t="shared" si="22"/>
        <v>0</v>
      </c>
      <c r="AK116" s="164"/>
      <c r="AL116" s="164">
        <f t="shared" si="23"/>
        <v>0</v>
      </c>
      <c r="AM116" s="165"/>
      <c r="AN116" s="165">
        <f t="shared" si="24"/>
        <v>0</v>
      </c>
      <c r="AO116" s="166">
        <v>0</v>
      </c>
      <c r="AP116" s="166">
        <f t="shared" si="25"/>
        <v>0</v>
      </c>
      <c r="AQ116" s="162"/>
      <c r="AR116" s="162">
        <f t="shared" si="26"/>
        <v>0</v>
      </c>
      <c r="AS116" s="173"/>
      <c r="AT116" s="167">
        <f t="shared" si="27"/>
        <v>0</v>
      </c>
      <c r="AU116" s="163"/>
      <c r="AV116" s="163">
        <f t="shared" si="28"/>
        <v>0</v>
      </c>
      <c r="AW116" s="168"/>
      <c r="AX116" s="168">
        <f t="shared" si="29"/>
        <v>0</v>
      </c>
      <c r="AY116" s="170"/>
      <c r="AZ116" s="170">
        <f t="shared" si="30"/>
        <v>0</v>
      </c>
      <c r="BA116" s="166"/>
      <c r="BB116" s="166">
        <f t="shared" si="31"/>
        <v>0</v>
      </c>
    </row>
    <row r="117" spans="1:54" s="178" customFormat="1" ht="31.5">
      <c r="A117" s="172" t="s">
        <v>5494</v>
      </c>
      <c r="B117" s="175" t="s">
        <v>395</v>
      </c>
      <c r="C117" s="175"/>
      <c r="D117" s="175"/>
      <c r="E117" s="150" t="s">
        <v>395</v>
      </c>
      <c r="F117" s="151" t="s">
        <v>396</v>
      </c>
      <c r="G117" s="151" t="s">
        <v>360</v>
      </c>
      <c r="H117" s="151" t="s">
        <v>267</v>
      </c>
      <c r="I117" s="152" t="s">
        <v>10</v>
      </c>
      <c r="J117" s="153" t="s">
        <v>5362</v>
      </c>
      <c r="K117" s="177">
        <v>326</v>
      </c>
      <c r="L117" s="177"/>
      <c r="M117" s="159">
        <f t="shared" si="16"/>
        <v>0</v>
      </c>
      <c r="N117" s="159"/>
      <c r="O117" s="159"/>
      <c r="P117" s="159"/>
      <c r="Q117" s="159"/>
      <c r="R117" s="159"/>
      <c r="S117" s="150" t="s">
        <v>360</v>
      </c>
      <c r="T117" s="150" t="s">
        <v>358</v>
      </c>
      <c r="U117" s="174" t="s">
        <v>4910</v>
      </c>
      <c r="V117" s="174" t="s">
        <v>5325</v>
      </c>
      <c r="W117" s="151">
        <v>36</v>
      </c>
      <c r="X117" s="152" t="s">
        <v>213</v>
      </c>
      <c r="Y117" s="176">
        <v>1300</v>
      </c>
      <c r="Z117" s="176">
        <v>232000</v>
      </c>
      <c r="AA117" s="156">
        <f t="shared" si="17"/>
        <v>75632000</v>
      </c>
      <c r="AB117" s="157">
        <v>172000</v>
      </c>
      <c r="AC117" s="158">
        <f t="shared" si="18"/>
        <v>172000</v>
      </c>
      <c r="AD117" s="159">
        <f t="shared" si="19"/>
        <v>0</v>
      </c>
      <c r="AE117" s="160"/>
      <c r="AF117" s="160">
        <f t="shared" si="20"/>
        <v>0</v>
      </c>
      <c r="AG117" s="165"/>
      <c r="AH117" s="161">
        <f t="shared" si="21"/>
        <v>0</v>
      </c>
      <c r="AI117" s="162"/>
      <c r="AJ117" s="162">
        <f t="shared" si="22"/>
        <v>0</v>
      </c>
      <c r="AK117" s="164"/>
      <c r="AL117" s="164">
        <f t="shared" si="23"/>
        <v>0</v>
      </c>
      <c r="AM117" s="165"/>
      <c r="AN117" s="165">
        <f t="shared" si="24"/>
        <v>0</v>
      </c>
      <c r="AO117" s="166">
        <v>0</v>
      </c>
      <c r="AP117" s="166">
        <f t="shared" si="25"/>
        <v>0</v>
      </c>
      <c r="AQ117" s="162"/>
      <c r="AR117" s="162">
        <f t="shared" si="26"/>
        <v>0</v>
      </c>
      <c r="AS117" s="173"/>
      <c r="AT117" s="167">
        <f t="shared" si="27"/>
        <v>0</v>
      </c>
      <c r="AU117" s="163"/>
      <c r="AV117" s="163">
        <f t="shared" si="28"/>
        <v>0</v>
      </c>
      <c r="AW117" s="168"/>
      <c r="AX117" s="168">
        <f t="shared" si="29"/>
        <v>0</v>
      </c>
      <c r="AY117" s="170"/>
      <c r="AZ117" s="170">
        <f t="shared" si="30"/>
        <v>0</v>
      </c>
      <c r="BA117" s="166"/>
      <c r="BB117" s="166">
        <f t="shared" si="31"/>
        <v>0</v>
      </c>
    </row>
    <row r="118" spans="1:54" s="178" customFormat="1" ht="31.5">
      <c r="A118" s="148" t="s">
        <v>5495</v>
      </c>
      <c r="B118" s="175" t="s">
        <v>227</v>
      </c>
      <c r="C118" s="175"/>
      <c r="D118" s="175"/>
      <c r="E118" s="150" t="s">
        <v>5497</v>
      </c>
      <c r="F118" s="151" t="s">
        <v>230</v>
      </c>
      <c r="G118" s="151" t="s">
        <v>215</v>
      </c>
      <c r="H118" s="151" t="s">
        <v>229</v>
      </c>
      <c r="I118" s="152" t="s">
        <v>12</v>
      </c>
      <c r="J118" s="153" t="s">
        <v>5498</v>
      </c>
      <c r="K118" s="177">
        <v>330</v>
      </c>
      <c r="L118" s="177"/>
      <c r="M118" s="159">
        <f t="shared" si="16"/>
        <v>0</v>
      </c>
      <c r="N118" s="159"/>
      <c r="O118" s="159"/>
      <c r="P118" s="159"/>
      <c r="Q118" s="159"/>
      <c r="R118" s="159"/>
      <c r="S118" s="150" t="s">
        <v>5328</v>
      </c>
      <c r="T118" s="150" t="s">
        <v>215</v>
      </c>
      <c r="U118" s="174" t="s">
        <v>5496</v>
      </c>
      <c r="V118" s="174" t="s">
        <v>5325</v>
      </c>
      <c r="W118" s="151" t="s">
        <v>5104</v>
      </c>
      <c r="X118" s="152" t="s">
        <v>213</v>
      </c>
      <c r="Y118" s="176">
        <v>1750</v>
      </c>
      <c r="Z118" s="176">
        <v>116000</v>
      </c>
      <c r="AA118" s="156">
        <f t="shared" si="17"/>
        <v>38280000</v>
      </c>
      <c r="AB118" s="157">
        <v>96000</v>
      </c>
      <c r="AC118" s="158">
        <f t="shared" si="18"/>
        <v>96000</v>
      </c>
      <c r="AD118" s="159">
        <f t="shared" si="19"/>
        <v>0</v>
      </c>
      <c r="AE118" s="160"/>
      <c r="AF118" s="160">
        <f t="shared" si="20"/>
        <v>0</v>
      </c>
      <c r="AG118" s="165"/>
      <c r="AH118" s="161">
        <f t="shared" si="21"/>
        <v>0</v>
      </c>
      <c r="AI118" s="162"/>
      <c r="AJ118" s="162">
        <f t="shared" si="22"/>
        <v>0</v>
      </c>
      <c r="AK118" s="164"/>
      <c r="AL118" s="164">
        <f t="shared" si="23"/>
        <v>0</v>
      </c>
      <c r="AM118" s="165"/>
      <c r="AN118" s="165">
        <f t="shared" si="24"/>
        <v>0</v>
      </c>
      <c r="AO118" s="166">
        <v>0</v>
      </c>
      <c r="AP118" s="166">
        <f t="shared" si="25"/>
        <v>0</v>
      </c>
      <c r="AQ118" s="162"/>
      <c r="AR118" s="162">
        <f t="shared" si="26"/>
        <v>0</v>
      </c>
      <c r="AS118" s="173"/>
      <c r="AT118" s="167">
        <f t="shared" si="27"/>
        <v>0</v>
      </c>
      <c r="AU118" s="163"/>
      <c r="AV118" s="163">
        <f t="shared" si="28"/>
        <v>0</v>
      </c>
      <c r="AW118" s="168"/>
      <c r="AX118" s="168">
        <f t="shared" si="29"/>
        <v>0</v>
      </c>
      <c r="AY118" s="170"/>
      <c r="AZ118" s="170">
        <f t="shared" si="30"/>
        <v>0</v>
      </c>
      <c r="BA118" s="166"/>
      <c r="BB118" s="166">
        <f t="shared" si="31"/>
        <v>0</v>
      </c>
    </row>
    <row r="119" spans="1:54" s="178" customFormat="1" ht="31.5">
      <c r="A119" s="148" t="s">
        <v>5499</v>
      </c>
      <c r="B119" s="175" t="s">
        <v>227</v>
      </c>
      <c r="C119" s="175"/>
      <c r="D119" s="175"/>
      <c r="E119" s="150" t="s">
        <v>4787</v>
      </c>
      <c r="F119" s="151" t="s">
        <v>233</v>
      </c>
      <c r="G119" s="151" t="s">
        <v>215</v>
      </c>
      <c r="H119" s="151" t="s">
        <v>232</v>
      </c>
      <c r="I119" s="152" t="s">
        <v>12</v>
      </c>
      <c r="J119" s="153" t="s">
        <v>5498</v>
      </c>
      <c r="K119" s="177">
        <v>365</v>
      </c>
      <c r="L119" s="177"/>
      <c r="M119" s="159">
        <f t="shared" si="16"/>
        <v>0</v>
      </c>
      <c r="N119" s="159"/>
      <c r="O119" s="159"/>
      <c r="P119" s="159"/>
      <c r="Q119" s="159"/>
      <c r="R119" s="159"/>
      <c r="S119" s="150" t="s">
        <v>5328</v>
      </c>
      <c r="T119" s="150" t="s">
        <v>215</v>
      </c>
      <c r="U119" s="174" t="s">
        <v>5500</v>
      </c>
      <c r="V119" s="174" t="s">
        <v>5325</v>
      </c>
      <c r="W119" s="151" t="s">
        <v>5104</v>
      </c>
      <c r="X119" s="152" t="s">
        <v>213</v>
      </c>
      <c r="Y119" s="176">
        <v>1500</v>
      </c>
      <c r="Z119" s="176">
        <v>232000</v>
      </c>
      <c r="AA119" s="156">
        <f t="shared" si="17"/>
        <v>84680000</v>
      </c>
      <c r="AB119" s="157">
        <v>182000</v>
      </c>
      <c r="AC119" s="158">
        <f t="shared" si="18"/>
        <v>182000</v>
      </c>
      <c r="AD119" s="159">
        <f t="shared" si="19"/>
        <v>0</v>
      </c>
      <c r="AE119" s="160"/>
      <c r="AF119" s="160">
        <f t="shared" si="20"/>
        <v>0</v>
      </c>
      <c r="AG119" s="165"/>
      <c r="AH119" s="161">
        <f t="shared" si="21"/>
        <v>0</v>
      </c>
      <c r="AI119" s="162"/>
      <c r="AJ119" s="162">
        <f t="shared" si="22"/>
        <v>0</v>
      </c>
      <c r="AK119" s="164"/>
      <c r="AL119" s="164">
        <f t="shared" si="23"/>
        <v>0</v>
      </c>
      <c r="AM119" s="165"/>
      <c r="AN119" s="165">
        <f t="shared" si="24"/>
        <v>0</v>
      </c>
      <c r="AO119" s="166">
        <v>0</v>
      </c>
      <c r="AP119" s="166">
        <f t="shared" si="25"/>
        <v>0</v>
      </c>
      <c r="AQ119" s="162"/>
      <c r="AR119" s="162">
        <f t="shared" si="26"/>
        <v>0</v>
      </c>
      <c r="AS119" s="173"/>
      <c r="AT119" s="167">
        <f t="shared" si="27"/>
        <v>0</v>
      </c>
      <c r="AU119" s="163"/>
      <c r="AV119" s="163">
        <f t="shared" si="28"/>
        <v>0</v>
      </c>
      <c r="AW119" s="168"/>
      <c r="AX119" s="168">
        <f t="shared" si="29"/>
        <v>0</v>
      </c>
      <c r="AY119" s="170"/>
      <c r="AZ119" s="170">
        <f t="shared" si="30"/>
        <v>0</v>
      </c>
      <c r="BA119" s="166"/>
      <c r="BB119" s="166">
        <f t="shared" si="31"/>
        <v>0</v>
      </c>
    </row>
    <row r="120" spans="1:54" s="178" customFormat="1" ht="31.5">
      <c r="A120" s="172" t="s">
        <v>5501</v>
      </c>
      <c r="B120" s="175" t="s">
        <v>216</v>
      </c>
      <c r="C120" s="175"/>
      <c r="D120" s="175"/>
      <c r="E120" s="150" t="s">
        <v>3542</v>
      </c>
      <c r="F120" s="151" t="s">
        <v>5502</v>
      </c>
      <c r="G120" s="151" t="s">
        <v>217</v>
      </c>
      <c r="H120" s="151" t="s">
        <v>3528</v>
      </c>
      <c r="I120" s="152" t="s">
        <v>10</v>
      </c>
      <c r="J120" s="153" t="s">
        <v>5345</v>
      </c>
      <c r="K120" s="177">
        <v>1750</v>
      </c>
      <c r="L120" s="177"/>
      <c r="M120" s="159">
        <f t="shared" si="16"/>
        <v>2340</v>
      </c>
      <c r="N120" s="159"/>
      <c r="O120" s="159"/>
      <c r="P120" s="159"/>
      <c r="Q120" s="159"/>
      <c r="R120" s="159"/>
      <c r="S120" s="150" t="s">
        <v>5328</v>
      </c>
      <c r="T120" s="150" t="s">
        <v>215</v>
      </c>
      <c r="U120" s="174" t="s">
        <v>4803</v>
      </c>
      <c r="V120" s="174" t="s">
        <v>5325</v>
      </c>
      <c r="W120" s="151" t="s">
        <v>5104</v>
      </c>
      <c r="X120" s="152" t="s">
        <v>213</v>
      </c>
      <c r="Y120" s="176">
        <v>7500</v>
      </c>
      <c r="Z120" s="176">
        <v>364000</v>
      </c>
      <c r="AA120" s="156">
        <f t="shared" si="17"/>
        <v>637000000</v>
      </c>
      <c r="AB120" s="157">
        <v>352300</v>
      </c>
      <c r="AC120" s="158">
        <f t="shared" si="18"/>
        <v>349960</v>
      </c>
      <c r="AD120" s="159">
        <f t="shared" si="19"/>
        <v>4095000</v>
      </c>
      <c r="AE120" s="160"/>
      <c r="AF120" s="160">
        <f t="shared" si="20"/>
        <v>0</v>
      </c>
      <c r="AG120" s="161">
        <v>2340</v>
      </c>
      <c r="AH120" s="161">
        <f t="shared" si="21"/>
        <v>4095000</v>
      </c>
      <c r="AI120" s="162"/>
      <c r="AJ120" s="162">
        <f t="shared" si="22"/>
        <v>0</v>
      </c>
      <c r="AK120" s="164"/>
      <c r="AL120" s="164">
        <f t="shared" si="23"/>
        <v>0</v>
      </c>
      <c r="AM120" s="165"/>
      <c r="AN120" s="165">
        <f t="shared" si="24"/>
        <v>0</v>
      </c>
      <c r="AO120" s="166">
        <v>0</v>
      </c>
      <c r="AP120" s="166">
        <f t="shared" si="25"/>
        <v>0</v>
      </c>
      <c r="AQ120" s="162"/>
      <c r="AR120" s="162">
        <f t="shared" si="26"/>
        <v>0</v>
      </c>
      <c r="AS120" s="167"/>
      <c r="AT120" s="167">
        <f t="shared" si="27"/>
        <v>0</v>
      </c>
      <c r="AU120" s="163"/>
      <c r="AV120" s="163">
        <f t="shared" si="28"/>
        <v>0</v>
      </c>
      <c r="AW120" s="168"/>
      <c r="AX120" s="168">
        <f t="shared" si="29"/>
        <v>0</v>
      </c>
      <c r="AY120" s="170"/>
      <c r="AZ120" s="170">
        <f t="shared" si="30"/>
        <v>0</v>
      </c>
      <c r="BA120" s="166"/>
      <c r="BB120" s="166">
        <f t="shared" si="31"/>
        <v>0</v>
      </c>
    </row>
    <row r="121" spans="1:54" s="178" customFormat="1" ht="31.5">
      <c r="A121" s="148" t="s">
        <v>5503</v>
      </c>
      <c r="B121" s="175" t="s">
        <v>227</v>
      </c>
      <c r="C121" s="175"/>
      <c r="D121" s="175"/>
      <c r="E121" s="150" t="s">
        <v>450</v>
      </c>
      <c r="F121" s="151" t="s">
        <v>452</v>
      </c>
      <c r="G121" s="151" t="s">
        <v>449</v>
      </c>
      <c r="H121" s="151" t="s">
        <v>272</v>
      </c>
      <c r="I121" s="152" t="s">
        <v>12</v>
      </c>
      <c r="J121" s="153" t="s">
        <v>5505</v>
      </c>
      <c r="K121" s="177">
        <v>1235</v>
      </c>
      <c r="L121" s="177"/>
      <c r="M121" s="159">
        <f t="shared" si="16"/>
        <v>0</v>
      </c>
      <c r="N121" s="159"/>
      <c r="O121" s="159"/>
      <c r="P121" s="159"/>
      <c r="Q121" s="159"/>
      <c r="R121" s="159"/>
      <c r="S121" s="150" t="s">
        <v>5504</v>
      </c>
      <c r="T121" s="149" t="s">
        <v>449</v>
      </c>
      <c r="U121" s="174" t="s">
        <v>4913</v>
      </c>
      <c r="V121" s="174" t="s">
        <v>5325</v>
      </c>
      <c r="W121" s="151" t="s">
        <v>253</v>
      </c>
      <c r="X121" s="152" t="s">
        <v>213</v>
      </c>
      <c r="Y121" s="176">
        <v>2020</v>
      </c>
      <c r="Z121" s="176">
        <v>296000</v>
      </c>
      <c r="AA121" s="156">
        <f t="shared" si="17"/>
        <v>365560000</v>
      </c>
      <c r="AB121" s="157">
        <v>275408</v>
      </c>
      <c r="AC121" s="158">
        <f t="shared" si="18"/>
        <v>275408</v>
      </c>
      <c r="AD121" s="159">
        <f t="shared" si="19"/>
        <v>0</v>
      </c>
      <c r="AE121" s="160"/>
      <c r="AF121" s="160">
        <f t="shared" si="20"/>
        <v>0</v>
      </c>
      <c r="AG121" s="161"/>
      <c r="AH121" s="161">
        <f t="shared" si="21"/>
        <v>0</v>
      </c>
      <c r="AI121" s="162"/>
      <c r="AJ121" s="162">
        <f t="shared" si="22"/>
        <v>0</v>
      </c>
      <c r="AK121" s="164"/>
      <c r="AL121" s="164">
        <f t="shared" si="23"/>
        <v>0</v>
      </c>
      <c r="AM121" s="165"/>
      <c r="AN121" s="165">
        <f t="shared" si="24"/>
        <v>0</v>
      </c>
      <c r="AO121" s="166">
        <v>0</v>
      </c>
      <c r="AP121" s="166">
        <f t="shared" si="25"/>
        <v>0</v>
      </c>
      <c r="AQ121" s="162"/>
      <c r="AR121" s="162">
        <f t="shared" si="26"/>
        <v>0</v>
      </c>
      <c r="AS121" s="167"/>
      <c r="AT121" s="167">
        <f t="shared" si="27"/>
        <v>0</v>
      </c>
      <c r="AU121" s="163"/>
      <c r="AV121" s="163">
        <f t="shared" si="28"/>
        <v>0</v>
      </c>
      <c r="AW121" s="168"/>
      <c r="AX121" s="168">
        <f t="shared" si="29"/>
        <v>0</v>
      </c>
      <c r="AY121" s="170"/>
      <c r="AZ121" s="170">
        <f t="shared" si="30"/>
        <v>0</v>
      </c>
      <c r="BA121" s="166"/>
      <c r="BB121" s="166">
        <f t="shared" si="31"/>
        <v>0</v>
      </c>
    </row>
    <row r="122" spans="1:54" s="178" customFormat="1" ht="31.5">
      <c r="A122" s="148" t="s">
        <v>5506</v>
      </c>
      <c r="B122" s="175" t="s">
        <v>227</v>
      </c>
      <c r="C122" s="175"/>
      <c r="D122" s="175"/>
      <c r="E122" s="150" t="s">
        <v>4912</v>
      </c>
      <c r="F122" s="151" t="s">
        <v>478</v>
      </c>
      <c r="G122" s="151" t="s">
        <v>473</v>
      </c>
      <c r="H122" s="151" t="s">
        <v>225</v>
      </c>
      <c r="I122" s="152" t="s">
        <v>10</v>
      </c>
      <c r="J122" s="153" t="s">
        <v>5461</v>
      </c>
      <c r="K122" s="177">
        <v>76</v>
      </c>
      <c r="L122" s="177"/>
      <c r="M122" s="159">
        <f t="shared" si="16"/>
        <v>26000</v>
      </c>
      <c r="N122" s="159"/>
      <c r="O122" s="159"/>
      <c r="P122" s="159"/>
      <c r="Q122" s="159"/>
      <c r="R122" s="159"/>
      <c r="S122" s="150" t="s">
        <v>5459</v>
      </c>
      <c r="T122" s="150" t="s">
        <v>473</v>
      </c>
      <c r="U122" s="174" t="s">
        <v>4911</v>
      </c>
      <c r="V122" s="174" t="s">
        <v>5325</v>
      </c>
      <c r="W122" s="151" t="s">
        <v>5104</v>
      </c>
      <c r="X122" s="152" t="s">
        <v>213</v>
      </c>
      <c r="Y122" s="176">
        <v>205</v>
      </c>
      <c r="Z122" s="176">
        <v>1160000</v>
      </c>
      <c r="AA122" s="156">
        <f t="shared" si="17"/>
        <v>88160000</v>
      </c>
      <c r="AB122" s="157">
        <v>975000</v>
      </c>
      <c r="AC122" s="158">
        <f t="shared" si="18"/>
        <v>949000</v>
      </c>
      <c r="AD122" s="159">
        <f t="shared" si="19"/>
        <v>1976000</v>
      </c>
      <c r="AE122" s="160"/>
      <c r="AF122" s="160">
        <f t="shared" si="20"/>
        <v>0</v>
      </c>
      <c r="AG122" s="161"/>
      <c r="AH122" s="161">
        <f t="shared" si="21"/>
        <v>0</v>
      </c>
      <c r="AI122" s="162"/>
      <c r="AJ122" s="162">
        <f t="shared" si="22"/>
        <v>0</v>
      </c>
      <c r="AK122" s="163"/>
      <c r="AL122" s="164">
        <f t="shared" si="23"/>
        <v>0</v>
      </c>
      <c r="AM122" s="161"/>
      <c r="AN122" s="165">
        <f t="shared" si="24"/>
        <v>0</v>
      </c>
      <c r="AO122" s="160">
        <v>5000</v>
      </c>
      <c r="AP122" s="166">
        <f t="shared" si="25"/>
        <v>380000</v>
      </c>
      <c r="AQ122" s="162"/>
      <c r="AR122" s="162">
        <f t="shared" si="26"/>
        <v>0</v>
      </c>
      <c r="AS122" s="167">
        <v>21000</v>
      </c>
      <c r="AT122" s="167">
        <f t="shared" si="27"/>
        <v>1596000</v>
      </c>
      <c r="AU122" s="163"/>
      <c r="AV122" s="163">
        <f t="shared" si="28"/>
        <v>0</v>
      </c>
      <c r="AW122" s="162"/>
      <c r="AX122" s="168">
        <f t="shared" si="29"/>
        <v>0</v>
      </c>
      <c r="AY122" s="169"/>
      <c r="AZ122" s="170">
        <f t="shared" si="30"/>
        <v>0</v>
      </c>
      <c r="BA122" s="160"/>
      <c r="BB122" s="166">
        <f t="shared" si="31"/>
        <v>0</v>
      </c>
    </row>
    <row r="123" spans="1:54" s="115" customFormat="1" ht="31.5">
      <c r="A123" s="172" t="s">
        <v>5507</v>
      </c>
      <c r="B123" s="175" t="s">
        <v>227</v>
      </c>
      <c r="C123" s="175"/>
      <c r="D123" s="175"/>
      <c r="E123" s="150" t="s">
        <v>4843</v>
      </c>
      <c r="F123" s="151" t="s">
        <v>5511</v>
      </c>
      <c r="G123" s="151" t="s">
        <v>5512</v>
      </c>
      <c r="H123" s="151" t="s">
        <v>225</v>
      </c>
      <c r="I123" s="152" t="s">
        <v>410</v>
      </c>
      <c r="J123" s="153" t="s">
        <v>5510</v>
      </c>
      <c r="K123" s="177">
        <v>790</v>
      </c>
      <c r="L123" s="177"/>
      <c r="M123" s="159">
        <f t="shared" si="16"/>
        <v>30080</v>
      </c>
      <c r="N123" s="159"/>
      <c r="O123" s="159"/>
      <c r="P123" s="159"/>
      <c r="Q123" s="159"/>
      <c r="R123" s="159"/>
      <c r="S123" s="150" t="s">
        <v>5508</v>
      </c>
      <c r="T123" s="150" t="s">
        <v>5509</v>
      </c>
      <c r="U123" s="174" t="s">
        <v>4842</v>
      </c>
      <c r="V123" s="174" t="s">
        <v>5325</v>
      </c>
      <c r="W123" s="151" t="s">
        <v>5104</v>
      </c>
      <c r="X123" s="152" t="s">
        <v>213</v>
      </c>
      <c r="Y123" s="176">
        <v>850</v>
      </c>
      <c r="Z123" s="176">
        <v>210000</v>
      </c>
      <c r="AA123" s="156">
        <f t="shared" si="17"/>
        <v>165900000</v>
      </c>
      <c r="AB123" s="157">
        <v>200512</v>
      </c>
      <c r="AC123" s="158">
        <f t="shared" si="18"/>
        <v>170432</v>
      </c>
      <c r="AD123" s="159">
        <f t="shared" si="19"/>
        <v>23763200</v>
      </c>
      <c r="AE123" s="160"/>
      <c r="AF123" s="160">
        <f t="shared" si="20"/>
        <v>0</v>
      </c>
      <c r="AG123" s="165">
        <v>7200</v>
      </c>
      <c r="AH123" s="161">
        <f t="shared" si="21"/>
        <v>5688000</v>
      </c>
      <c r="AI123" s="162"/>
      <c r="AJ123" s="162">
        <f t="shared" si="22"/>
        <v>0</v>
      </c>
      <c r="AK123" s="164">
        <v>6400</v>
      </c>
      <c r="AL123" s="164">
        <f t="shared" si="23"/>
        <v>5056000</v>
      </c>
      <c r="AM123" s="165"/>
      <c r="AN123" s="165">
        <f t="shared" si="24"/>
        <v>0</v>
      </c>
      <c r="AO123" s="166">
        <v>0</v>
      </c>
      <c r="AP123" s="166">
        <f t="shared" si="25"/>
        <v>0</v>
      </c>
      <c r="AQ123" s="162"/>
      <c r="AR123" s="162">
        <f t="shared" si="26"/>
        <v>0</v>
      </c>
      <c r="AS123" s="173">
        <v>16480</v>
      </c>
      <c r="AT123" s="167">
        <f t="shared" si="27"/>
        <v>13019200</v>
      </c>
      <c r="AU123" s="163"/>
      <c r="AV123" s="163">
        <f t="shared" si="28"/>
        <v>0</v>
      </c>
      <c r="AW123" s="168"/>
      <c r="AX123" s="168">
        <f t="shared" si="29"/>
        <v>0</v>
      </c>
      <c r="AY123" s="170"/>
      <c r="AZ123" s="170">
        <f t="shared" si="30"/>
        <v>0</v>
      </c>
      <c r="BA123" s="166"/>
      <c r="BB123" s="166">
        <f t="shared" si="31"/>
        <v>0</v>
      </c>
    </row>
    <row r="124" spans="1:54" s="115" customFormat="1" ht="31.5">
      <c r="A124" s="148" t="s">
        <v>5513</v>
      </c>
      <c r="B124" s="175" t="s">
        <v>227</v>
      </c>
      <c r="C124" s="175"/>
      <c r="D124" s="175"/>
      <c r="E124" s="150" t="s">
        <v>397</v>
      </c>
      <c r="F124" s="151" t="s">
        <v>399</v>
      </c>
      <c r="G124" s="151" t="s">
        <v>360</v>
      </c>
      <c r="H124" s="151" t="s">
        <v>398</v>
      </c>
      <c r="I124" s="152" t="s">
        <v>10</v>
      </c>
      <c r="J124" s="153" t="s">
        <v>5514</v>
      </c>
      <c r="K124" s="177">
        <v>89</v>
      </c>
      <c r="L124" s="177"/>
      <c r="M124" s="159">
        <f t="shared" si="16"/>
        <v>105000</v>
      </c>
      <c r="N124" s="159"/>
      <c r="O124" s="159"/>
      <c r="P124" s="159"/>
      <c r="Q124" s="159"/>
      <c r="R124" s="159"/>
      <c r="S124" s="150" t="s">
        <v>360</v>
      </c>
      <c r="T124" s="150" t="s">
        <v>358</v>
      </c>
      <c r="U124" s="174" t="s">
        <v>4906</v>
      </c>
      <c r="V124" s="174" t="s">
        <v>5325</v>
      </c>
      <c r="W124" s="151">
        <v>36</v>
      </c>
      <c r="X124" s="152" t="s">
        <v>213</v>
      </c>
      <c r="Y124" s="176">
        <v>450</v>
      </c>
      <c r="Z124" s="176">
        <v>1160000</v>
      </c>
      <c r="AA124" s="156">
        <f t="shared" si="17"/>
        <v>103240000</v>
      </c>
      <c r="AB124" s="157">
        <f>826000-60000</f>
        <v>766000</v>
      </c>
      <c r="AC124" s="158">
        <f t="shared" si="18"/>
        <v>661000</v>
      </c>
      <c r="AD124" s="159">
        <f t="shared" si="19"/>
        <v>9345000</v>
      </c>
      <c r="AE124" s="160"/>
      <c r="AF124" s="160">
        <f t="shared" si="20"/>
        <v>0</v>
      </c>
      <c r="AG124" s="165">
        <v>24000</v>
      </c>
      <c r="AH124" s="161">
        <f t="shared" si="21"/>
        <v>2136000</v>
      </c>
      <c r="AI124" s="162">
        <v>10000</v>
      </c>
      <c r="AJ124" s="162">
        <f t="shared" si="22"/>
        <v>890000</v>
      </c>
      <c r="AK124" s="164"/>
      <c r="AL124" s="164">
        <f t="shared" si="23"/>
        <v>0</v>
      </c>
      <c r="AM124" s="165"/>
      <c r="AN124" s="165">
        <f t="shared" si="24"/>
        <v>0</v>
      </c>
      <c r="AO124" s="166">
        <v>48000</v>
      </c>
      <c r="AP124" s="166">
        <f t="shared" si="25"/>
        <v>4272000</v>
      </c>
      <c r="AQ124" s="162"/>
      <c r="AR124" s="162">
        <f t="shared" si="26"/>
        <v>0</v>
      </c>
      <c r="AS124" s="173">
        <v>23000</v>
      </c>
      <c r="AT124" s="167">
        <f t="shared" si="27"/>
        <v>2047000</v>
      </c>
      <c r="AU124" s="163"/>
      <c r="AV124" s="163">
        <f t="shared" si="28"/>
        <v>0</v>
      </c>
      <c r="AW124" s="168"/>
      <c r="AX124" s="168">
        <f t="shared" si="29"/>
        <v>0</v>
      </c>
      <c r="AY124" s="170"/>
      <c r="AZ124" s="170">
        <f t="shared" si="30"/>
        <v>0</v>
      </c>
      <c r="BA124" s="166"/>
      <c r="BB124" s="166">
        <f t="shared" si="31"/>
        <v>0</v>
      </c>
    </row>
    <row r="125" spans="1:54" s="115" customFormat="1" ht="31.5">
      <c r="A125" s="148" t="s">
        <v>5515</v>
      </c>
      <c r="B125" s="175" t="s">
        <v>400</v>
      </c>
      <c r="C125" s="175"/>
      <c r="D125" s="175"/>
      <c r="E125" s="150" t="s">
        <v>400</v>
      </c>
      <c r="F125" s="151" t="s">
        <v>401</v>
      </c>
      <c r="G125" s="151" t="s">
        <v>360</v>
      </c>
      <c r="H125" s="151" t="s">
        <v>235</v>
      </c>
      <c r="I125" s="152" t="s">
        <v>10</v>
      </c>
      <c r="J125" s="153" t="s">
        <v>5362</v>
      </c>
      <c r="K125" s="177">
        <v>146</v>
      </c>
      <c r="L125" s="177"/>
      <c r="M125" s="159">
        <f t="shared" si="16"/>
        <v>13100</v>
      </c>
      <c r="N125" s="159"/>
      <c r="O125" s="159"/>
      <c r="P125" s="159"/>
      <c r="Q125" s="159"/>
      <c r="R125" s="159"/>
      <c r="S125" s="150" t="s">
        <v>360</v>
      </c>
      <c r="T125" s="150" t="s">
        <v>358</v>
      </c>
      <c r="U125" s="174" t="s">
        <v>4914</v>
      </c>
      <c r="V125" s="174" t="s">
        <v>5325</v>
      </c>
      <c r="W125" s="151">
        <v>36</v>
      </c>
      <c r="X125" s="152" t="s">
        <v>213</v>
      </c>
      <c r="Y125" s="176">
        <v>350</v>
      </c>
      <c r="Z125" s="176">
        <v>75000</v>
      </c>
      <c r="AA125" s="156">
        <f t="shared" si="17"/>
        <v>10950000</v>
      </c>
      <c r="AB125" s="157">
        <v>32000</v>
      </c>
      <c r="AC125" s="158">
        <f t="shared" si="18"/>
        <v>18900</v>
      </c>
      <c r="AD125" s="159">
        <f t="shared" si="19"/>
        <v>1912600</v>
      </c>
      <c r="AE125" s="160"/>
      <c r="AF125" s="160">
        <f t="shared" si="20"/>
        <v>0</v>
      </c>
      <c r="AG125" s="165">
        <v>7000</v>
      </c>
      <c r="AH125" s="161">
        <f t="shared" si="21"/>
        <v>1022000</v>
      </c>
      <c r="AI125" s="162"/>
      <c r="AJ125" s="162">
        <f t="shared" si="22"/>
        <v>0</v>
      </c>
      <c r="AK125" s="164"/>
      <c r="AL125" s="164">
        <f t="shared" si="23"/>
        <v>0</v>
      </c>
      <c r="AM125" s="165">
        <v>4000</v>
      </c>
      <c r="AN125" s="165">
        <f t="shared" si="24"/>
        <v>584000</v>
      </c>
      <c r="AO125" s="166">
        <v>0</v>
      </c>
      <c r="AP125" s="166">
        <f t="shared" si="25"/>
        <v>0</v>
      </c>
      <c r="AQ125" s="162"/>
      <c r="AR125" s="162">
        <f t="shared" si="26"/>
        <v>0</v>
      </c>
      <c r="AS125" s="173">
        <v>2100</v>
      </c>
      <c r="AT125" s="167">
        <f t="shared" si="27"/>
        <v>306600</v>
      </c>
      <c r="AU125" s="163"/>
      <c r="AV125" s="163">
        <f t="shared" si="28"/>
        <v>0</v>
      </c>
      <c r="AW125" s="168"/>
      <c r="AX125" s="168">
        <f t="shared" si="29"/>
        <v>0</v>
      </c>
      <c r="AY125" s="170"/>
      <c r="AZ125" s="170">
        <f t="shared" si="30"/>
        <v>0</v>
      </c>
      <c r="BA125" s="166"/>
      <c r="BB125" s="166">
        <f t="shared" si="31"/>
        <v>0</v>
      </c>
    </row>
    <row r="126" spans="1:54" s="115" customFormat="1" ht="31.5">
      <c r="A126" s="172" t="s">
        <v>5516</v>
      </c>
      <c r="B126" s="175" t="s">
        <v>402</v>
      </c>
      <c r="C126" s="175"/>
      <c r="D126" s="175"/>
      <c r="E126" s="150" t="s">
        <v>403</v>
      </c>
      <c r="F126" s="151" t="s">
        <v>404</v>
      </c>
      <c r="G126" s="151" t="s">
        <v>360</v>
      </c>
      <c r="H126" s="151" t="s">
        <v>327</v>
      </c>
      <c r="I126" s="152" t="s">
        <v>10</v>
      </c>
      <c r="J126" s="153" t="s">
        <v>5517</v>
      </c>
      <c r="K126" s="177">
        <v>95</v>
      </c>
      <c r="L126" s="177"/>
      <c r="M126" s="159">
        <f t="shared" si="16"/>
        <v>37500</v>
      </c>
      <c r="N126" s="159"/>
      <c r="O126" s="159"/>
      <c r="P126" s="159"/>
      <c r="Q126" s="159"/>
      <c r="R126" s="159"/>
      <c r="S126" s="150" t="s">
        <v>360</v>
      </c>
      <c r="T126" s="150" t="s">
        <v>358</v>
      </c>
      <c r="U126" s="174" t="s">
        <v>4855</v>
      </c>
      <c r="V126" s="174" t="s">
        <v>5325</v>
      </c>
      <c r="W126" s="151">
        <v>36</v>
      </c>
      <c r="X126" s="152" t="s">
        <v>213</v>
      </c>
      <c r="Y126" s="176">
        <v>232</v>
      </c>
      <c r="Z126" s="176">
        <v>580000</v>
      </c>
      <c r="AA126" s="156">
        <f t="shared" si="17"/>
        <v>55100000</v>
      </c>
      <c r="AB126" s="157">
        <v>364000</v>
      </c>
      <c r="AC126" s="158">
        <f t="shared" si="18"/>
        <v>326500</v>
      </c>
      <c r="AD126" s="159">
        <f t="shared" si="19"/>
        <v>3562500</v>
      </c>
      <c r="AE126" s="160"/>
      <c r="AF126" s="160">
        <f t="shared" si="20"/>
        <v>0</v>
      </c>
      <c r="AG126" s="165">
        <v>15000</v>
      </c>
      <c r="AH126" s="161">
        <f t="shared" si="21"/>
        <v>1425000</v>
      </c>
      <c r="AI126" s="162"/>
      <c r="AJ126" s="162">
        <f t="shared" si="22"/>
        <v>0</v>
      </c>
      <c r="AK126" s="164"/>
      <c r="AL126" s="164">
        <f t="shared" si="23"/>
        <v>0</v>
      </c>
      <c r="AM126" s="165">
        <f>10000+9000</f>
        <v>19000</v>
      </c>
      <c r="AN126" s="165">
        <f t="shared" si="24"/>
        <v>1805000</v>
      </c>
      <c r="AO126" s="166">
        <v>0</v>
      </c>
      <c r="AP126" s="166">
        <f t="shared" si="25"/>
        <v>0</v>
      </c>
      <c r="AQ126" s="162"/>
      <c r="AR126" s="162">
        <f t="shared" si="26"/>
        <v>0</v>
      </c>
      <c r="AS126" s="173">
        <v>3500</v>
      </c>
      <c r="AT126" s="167">
        <f t="shared" si="27"/>
        <v>332500</v>
      </c>
      <c r="AU126" s="163"/>
      <c r="AV126" s="163">
        <f t="shared" si="28"/>
        <v>0</v>
      </c>
      <c r="AW126" s="168"/>
      <c r="AX126" s="168">
        <f t="shared" si="29"/>
        <v>0</v>
      </c>
      <c r="AY126" s="170"/>
      <c r="AZ126" s="170">
        <f t="shared" si="30"/>
        <v>0</v>
      </c>
      <c r="BA126" s="166"/>
      <c r="BB126" s="166">
        <f t="shared" si="31"/>
        <v>0</v>
      </c>
    </row>
    <row r="127" spans="1:54" s="115" customFormat="1" ht="31.5">
      <c r="A127" s="148" t="s">
        <v>5518</v>
      </c>
      <c r="B127" s="175" t="s">
        <v>329</v>
      </c>
      <c r="C127" s="175"/>
      <c r="D127" s="175"/>
      <c r="E127" s="150" t="s">
        <v>330</v>
      </c>
      <c r="F127" s="151" t="s">
        <v>331</v>
      </c>
      <c r="G127" s="151" t="s">
        <v>324</v>
      </c>
      <c r="H127" s="151" t="s">
        <v>262</v>
      </c>
      <c r="I127" s="152" t="s">
        <v>10</v>
      </c>
      <c r="J127" s="153" t="s">
        <v>5519</v>
      </c>
      <c r="K127" s="177">
        <v>400</v>
      </c>
      <c r="L127" s="177"/>
      <c r="M127" s="159">
        <f t="shared" si="16"/>
        <v>2970</v>
      </c>
      <c r="N127" s="159"/>
      <c r="O127" s="159"/>
      <c r="P127" s="159"/>
      <c r="Q127" s="159"/>
      <c r="R127" s="159"/>
      <c r="S127" s="149" t="s">
        <v>5336</v>
      </c>
      <c r="T127" s="150" t="s">
        <v>322</v>
      </c>
      <c r="U127" s="174" t="s">
        <v>4919</v>
      </c>
      <c r="V127" s="174" t="s">
        <v>5325</v>
      </c>
      <c r="W127" s="151" t="s">
        <v>5104</v>
      </c>
      <c r="X127" s="152" t="s">
        <v>213</v>
      </c>
      <c r="Y127" s="176">
        <v>670</v>
      </c>
      <c r="Z127" s="176">
        <v>120000</v>
      </c>
      <c r="AA127" s="156">
        <f t="shared" si="17"/>
        <v>48000000</v>
      </c>
      <c r="AB127" s="157">
        <v>106020</v>
      </c>
      <c r="AC127" s="158">
        <f t="shared" si="18"/>
        <v>103050</v>
      </c>
      <c r="AD127" s="159">
        <f t="shared" si="19"/>
        <v>1188000</v>
      </c>
      <c r="AE127" s="160"/>
      <c r="AF127" s="160">
        <f t="shared" si="20"/>
        <v>0</v>
      </c>
      <c r="AG127" s="165">
        <v>1980</v>
      </c>
      <c r="AH127" s="161">
        <f t="shared" si="21"/>
        <v>792000</v>
      </c>
      <c r="AI127" s="162"/>
      <c r="AJ127" s="162">
        <f t="shared" si="22"/>
        <v>0</v>
      </c>
      <c r="AK127" s="164"/>
      <c r="AL127" s="164">
        <f t="shared" si="23"/>
        <v>0</v>
      </c>
      <c r="AM127" s="165">
        <v>990</v>
      </c>
      <c r="AN127" s="165">
        <f t="shared" si="24"/>
        <v>396000</v>
      </c>
      <c r="AO127" s="166">
        <v>0</v>
      </c>
      <c r="AP127" s="166">
        <f t="shared" si="25"/>
        <v>0</v>
      </c>
      <c r="AQ127" s="162"/>
      <c r="AR127" s="162">
        <f t="shared" si="26"/>
        <v>0</v>
      </c>
      <c r="AS127" s="173"/>
      <c r="AT127" s="167">
        <f t="shared" si="27"/>
        <v>0</v>
      </c>
      <c r="AU127" s="163"/>
      <c r="AV127" s="163">
        <f t="shared" si="28"/>
        <v>0</v>
      </c>
      <c r="AW127" s="168"/>
      <c r="AX127" s="168">
        <f t="shared" si="29"/>
        <v>0</v>
      </c>
      <c r="AY127" s="170"/>
      <c r="AZ127" s="170">
        <f t="shared" si="30"/>
        <v>0</v>
      </c>
      <c r="BA127" s="166"/>
      <c r="BB127" s="166">
        <f t="shared" si="31"/>
        <v>0</v>
      </c>
    </row>
    <row r="128" spans="1:54" s="115" customFormat="1" ht="31.5">
      <c r="A128" s="148" t="s">
        <v>5520</v>
      </c>
      <c r="B128" s="175" t="s">
        <v>329</v>
      </c>
      <c r="C128" s="175"/>
      <c r="D128" s="175"/>
      <c r="E128" s="150" t="s">
        <v>329</v>
      </c>
      <c r="F128" s="151" t="s">
        <v>5522</v>
      </c>
      <c r="G128" s="151" t="s">
        <v>360</v>
      </c>
      <c r="H128" s="151" t="s">
        <v>232</v>
      </c>
      <c r="I128" s="152" t="s">
        <v>10</v>
      </c>
      <c r="J128" s="153" t="s">
        <v>5150</v>
      </c>
      <c r="K128" s="177">
        <v>220</v>
      </c>
      <c r="L128" s="177"/>
      <c r="M128" s="159">
        <f t="shared" si="16"/>
        <v>4000</v>
      </c>
      <c r="N128" s="159"/>
      <c r="O128" s="159"/>
      <c r="P128" s="159"/>
      <c r="Q128" s="159"/>
      <c r="R128" s="159"/>
      <c r="S128" s="150" t="s">
        <v>360</v>
      </c>
      <c r="T128" s="150" t="s">
        <v>358</v>
      </c>
      <c r="U128" s="174" t="s">
        <v>5521</v>
      </c>
      <c r="V128" s="174" t="s">
        <v>5325</v>
      </c>
      <c r="W128" s="151">
        <v>36</v>
      </c>
      <c r="X128" s="152" t="s">
        <v>213</v>
      </c>
      <c r="Y128" s="176">
        <v>3184</v>
      </c>
      <c r="Z128" s="176">
        <v>75000</v>
      </c>
      <c r="AA128" s="156">
        <f t="shared" si="17"/>
        <v>16500000</v>
      </c>
      <c r="AB128" s="157">
        <v>74000</v>
      </c>
      <c r="AC128" s="158">
        <f t="shared" si="18"/>
        <v>70000</v>
      </c>
      <c r="AD128" s="159">
        <f t="shared" si="19"/>
        <v>880000</v>
      </c>
      <c r="AE128" s="160"/>
      <c r="AF128" s="160">
        <f t="shared" si="20"/>
        <v>0</v>
      </c>
      <c r="AG128" s="165">
        <v>4000</v>
      </c>
      <c r="AH128" s="161">
        <f t="shared" si="21"/>
        <v>880000</v>
      </c>
      <c r="AI128" s="162"/>
      <c r="AJ128" s="162">
        <f t="shared" si="22"/>
        <v>0</v>
      </c>
      <c r="AK128" s="164"/>
      <c r="AL128" s="164">
        <f t="shared" si="23"/>
        <v>0</v>
      </c>
      <c r="AM128" s="165"/>
      <c r="AN128" s="165">
        <f t="shared" si="24"/>
        <v>0</v>
      </c>
      <c r="AO128" s="166">
        <v>0</v>
      </c>
      <c r="AP128" s="166">
        <f t="shared" si="25"/>
        <v>0</v>
      </c>
      <c r="AQ128" s="162"/>
      <c r="AR128" s="162">
        <f t="shared" si="26"/>
        <v>0</v>
      </c>
      <c r="AS128" s="173"/>
      <c r="AT128" s="167">
        <f t="shared" si="27"/>
        <v>0</v>
      </c>
      <c r="AU128" s="163"/>
      <c r="AV128" s="163">
        <f t="shared" si="28"/>
        <v>0</v>
      </c>
      <c r="AW128" s="168"/>
      <c r="AX128" s="168">
        <f t="shared" si="29"/>
        <v>0</v>
      </c>
      <c r="AY128" s="170"/>
      <c r="AZ128" s="170">
        <f t="shared" si="30"/>
        <v>0</v>
      </c>
      <c r="BA128" s="166"/>
      <c r="BB128" s="166">
        <f t="shared" si="31"/>
        <v>0</v>
      </c>
    </row>
    <row r="129" spans="1:54" s="178" customFormat="1">
      <c r="A129" s="172" t="s">
        <v>5523</v>
      </c>
      <c r="B129" s="175" t="s">
        <v>363</v>
      </c>
      <c r="C129" s="175"/>
      <c r="D129" s="175"/>
      <c r="E129" s="150" t="s">
        <v>5526</v>
      </c>
      <c r="F129" s="151" t="s">
        <v>5528</v>
      </c>
      <c r="G129" s="151" t="s">
        <v>463</v>
      </c>
      <c r="H129" s="151" t="s">
        <v>291</v>
      </c>
      <c r="I129" s="152" t="s">
        <v>10</v>
      </c>
      <c r="J129" s="153" t="s">
        <v>5527</v>
      </c>
      <c r="K129" s="177">
        <v>590</v>
      </c>
      <c r="L129" s="177"/>
      <c r="M129" s="159">
        <f t="shared" si="16"/>
        <v>0</v>
      </c>
      <c r="N129" s="159"/>
      <c r="O129" s="159"/>
      <c r="P129" s="159"/>
      <c r="Q129" s="159"/>
      <c r="R129" s="159"/>
      <c r="S129" s="149" t="s">
        <v>5275</v>
      </c>
      <c r="T129" s="150" t="s">
        <v>463</v>
      </c>
      <c r="U129" s="174" t="s">
        <v>5524</v>
      </c>
      <c r="V129" s="174" t="s">
        <v>5525</v>
      </c>
      <c r="W129" s="151">
        <v>36</v>
      </c>
      <c r="X129" s="152" t="s">
        <v>213</v>
      </c>
      <c r="Y129" s="176">
        <v>790</v>
      </c>
      <c r="Z129" s="176">
        <v>75000</v>
      </c>
      <c r="AA129" s="156">
        <f t="shared" si="17"/>
        <v>44250000</v>
      </c>
      <c r="AB129" s="157">
        <v>75000</v>
      </c>
      <c r="AC129" s="158">
        <f t="shared" si="18"/>
        <v>75000</v>
      </c>
      <c r="AD129" s="159">
        <f t="shared" si="19"/>
        <v>0</v>
      </c>
      <c r="AE129" s="160"/>
      <c r="AF129" s="160">
        <f t="shared" si="20"/>
        <v>0</v>
      </c>
      <c r="AG129" s="161"/>
      <c r="AH129" s="161">
        <f t="shared" si="21"/>
        <v>0</v>
      </c>
      <c r="AI129" s="162"/>
      <c r="AJ129" s="162">
        <f t="shared" si="22"/>
        <v>0</v>
      </c>
      <c r="AK129" s="164"/>
      <c r="AL129" s="164">
        <f t="shared" si="23"/>
        <v>0</v>
      </c>
      <c r="AM129" s="165"/>
      <c r="AN129" s="165">
        <f t="shared" si="24"/>
        <v>0</v>
      </c>
      <c r="AO129" s="166">
        <v>0</v>
      </c>
      <c r="AP129" s="166">
        <f t="shared" si="25"/>
        <v>0</v>
      </c>
      <c r="AQ129" s="162"/>
      <c r="AR129" s="162">
        <f t="shared" si="26"/>
        <v>0</v>
      </c>
      <c r="AS129" s="167"/>
      <c r="AT129" s="167">
        <f t="shared" si="27"/>
        <v>0</v>
      </c>
      <c r="AU129" s="163"/>
      <c r="AV129" s="163">
        <f t="shared" si="28"/>
        <v>0</v>
      </c>
      <c r="AW129" s="168"/>
      <c r="AX129" s="168">
        <f t="shared" si="29"/>
        <v>0</v>
      </c>
      <c r="AY129" s="170"/>
      <c r="AZ129" s="170">
        <f t="shared" si="30"/>
        <v>0</v>
      </c>
      <c r="BA129" s="166"/>
      <c r="BB129" s="166">
        <f t="shared" si="31"/>
        <v>0</v>
      </c>
    </row>
    <row r="130" spans="1:54" s="178" customFormat="1">
      <c r="A130" s="148" t="s">
        <v>5529</v>
      </c>
      <c r="B130" s="175" t="s">
        <v>286</v>
      </c>
      <c r="C130" s="175"/>
      <c r="D130" s="175"/>
      <c r="E130" s="150" t="s">
        <v>5533</v>
      </c>
      <c r="F130" s="151" t="s">
        <v>5536</v>
      </c>
      <c r="G130" s="151" t="s">
        <v>352</v>
      </c>
      <c r="H130" s="151" t="s">
        <v>272</v>
      </c>
      <c r="I130" s="152" t="s">
        <v>10</v>
      </c>
      <c r="J130" s="153" t="s">
        <v>5534</v>
      </c>
      <c r="K130" s="177">
        <v>1575</v>
      </c>
      <c r="L130" s="177"/>
      <c r="M130" s="159">
        <f t="shared" si="16"/>
        <v>0</v>
      </c>
      <c r="N130" s="159"/>
      <c r="O130" s="159"/>
      <c r="P130" s="159"/>
      <c r="Q130" s="159"/>
      <c r="R130" s="159"/>
      <c r="S130" s="149" t="s">
        <v>5530</v>
      </c>
      <c r="T130" s="149" t="s">
        <v>5531</v>
      </c>
      <c r="U130" s="174" t="s">
        <v>5532</v>
      </c>
      <c r="V130" s="174" t="s">
        <v>5525</v>
      </c>
      <c r="W130" s="151" t="s">
        <v>5535</v>
      </c>
      <c r="X130" s="152" t="s">
        <v>213</v>
      </c>
      <c r="Y130" s="176">
        <v>4410</v>
      </c>
      <c r="Z130" s="176">
        <v>74000</v>
      </c>
      <c r="AA130" s="156">
        <f t="shared" si="17"/>
        <v>116550000</v>
      </c>
      <c r="AB130" s="157">
        <v>74000</v>
      </c>
      <c r="AC130" s="158">
        <f t="shared" si="18"/>
        <v>74000</v>
      </c>
      <c r="AD130" s="159">
        <f t="shared" si="19"/>
        <v>0</v>
      </c>
      <c r="AE130" s="160"/>
      <c r="AF130" s="160">
        <f t="shared" si="20"/>
        <v>0</v>
      </c>
      <c r="AG130" s="165"/>
      <c r="AH130" s="161">
        <f t="shared" si="21"/>
        <v>0</v>
      </c>
      <c r="AI130" s="162"/>
      <c r="AJ130" s="162">
        <f t="shared" si="22"/>
        <v>0</v>
      </c>
      <c r="AK130" s="164"/>
      <c r="AL130" s="164">
        <f t="shared" si="23"/>
        <v>0</v>
      </c>
      <c r="AM130" s="165"/>
      <c r="AN130" s="165">
        <f t="shared" si="24"/>
        <v>0</v>
      </c>
      <c r="AO130" s="166">
        <v>0</v>
      </c>
      <c r="AP130" s="166">
        <f t="shared" si="25"/>
        <v>0</v>
      </c>
      <c r="AQ130" s="162"/>
      <c r="AR130" s="162">
        <f t="shared" si="26"/>
        <v>0</v>
      </c>
      <c r="AS130" s="173"/>
      <c r="AT130" s="167">
        <f t="shared" si="27"/>
        <v>0</v>
      </c>
      <c r="AU130" s="163"/>
      <c r="AV130" s="163">
        <f t="shared" si="28"/>
        <v>0</v>
      </c>
      <c r="AW130" s="168"/>
      <c r="AX130" s="168">
        <f t="shared" si="29"/>
        <v>0</v>
      </c>
      <c r="AY130" s="170"/>
      <c r="AZ130" s="170">
        <f t="shared" si="30"/>
        <v>0</v>
      </c>
      <c r="BA130" s="166"/>
      <c r="BB130" s="166">
        <f t="shared" si="31"/>
        <v>0</v>
      </c>
    </row>
    <row r="131" spans="1:54" s="178" customFormat="1" ht="31.5">
      <c r="A131" s="148" t="s">
        <v>5537</v>
      </c>
      <c r="B131" s="175" t="s">
        <v>265</v>
      </c>
      <c r="C131" s="175"/>
      <c r="D131" s="175"/>
      <c r="E131" s="150" t="s">
        <v>4956</v>
      </c>
      <c r="F131" s="151" t="s">
        <v>5539</v>
      </c>
      <c r="G131" s="151" t="s">
        <v>5343</v>
      </c>
      <c r="H131" s="151" t="s">
        <v>387</v>
      </c>
      <c r="I131" s="152" t="s">
        <v>10</v>
      </c>
      <c r="J131" s="153" t="s">
        <v>5538</v>
      </c>
      <c r="K131" s="177">
        <v>1900</v>
      </c>
      <c r="L131" s="177"/>
      <c r="M131" s="159">
        <f t="shared" si="16"/>
        <v>30000</v>
      </c>
      <c r="N131" s="159"/>
      <c r="O131" s="159"/>
      <c r="P131" s="159"/>
      <c r="Q131" s="159"/>
      <c r="R131" s="159"/>
      <c r="S131" s="150" t="s">
        <v>5340</v>
      </c>
      <c r="T131" s="150" t="s">
        <v>5341</v>
      </c>
      <c r="U131" s="174" t="s">
        <v>4955</v>
      </c>
      <c r="V131" s="174" t="s">
        <v>5525</v>
      </c>
      <c r="W131" s="151" t="s">
        <v>5104</v>
      </c>
      <c r="X131" s="152" t="s">
        <v>213</v>
      </c>
      <c r="Y131" s="176">
        <v>1909</v>
      </c>
      <c r="Z131" s="176">
        <v>300000</v>
      </c>
      <c r="AA131" s="156">
        <f t="shared" si="17"/>
        <v>570000000</v>
      </c>
      <c r="AB131" s="157">
        <v>280000</v>
      </c>
      <c r="AC131" s="158">
        <f t="shared" si="18"/>
        <v>250000</v>
      </c>
      <c r="AD131" s="159">
        <f t="shared" si="19"/>
        <v>57000000</v>
      </c>
      <c r="AE131" s="160"/>
      <c r="AF131" s="160">
        <f t="shared" si="20"/>
        <v>0</v>
      </c>
      <c r="AG131" s="165">
        <v>20000</v>
      </c>
      <c r="AH131" s="161">
        <f t="shared" si="21"/>
        <v>38000000</v>
      </c>
      <c r="AI131" s="162"/>
      <c r="AJ131" s="162">
        <f t="shared" si="22"/>
        <v>0</v>
      </c>
      <c r="AK131" s="164"/>
      <c r="AL131" s="164">
        <f t="shared" si="23"/>
        <v>0</v>
      </c>
      <c r="AM131" s="165">
        <v>10000</v>
      </c>
      <c r="AN131" s="165">
        <f t="shared" si="24"/>
        <v>19000000</v>
      </c>
      <c r="AO131" s="166">
        <v>0</v>
      </c>
      <c r="AP131" s="166">
        <f t="shared" si="25"/>
        <v>0</v>
      </c>
      <c r="AQ131" s="162"/>
      <c r="AR131" s="162">
        <f t="shared" si="26"/>
        <v>0</v>
      </c>
      <c r="AS131" s="173"/>
      <c r="AT131" s="167">
        <f t="shared" si="27"/>
        <v>0</v>
      </c>
      <c r="AU131" s="163"/>
      <c r="AV131" s="163">
        <f t="shared" si="28"/>
        <v>0</v>
      </c>
      <c r="AW131" s="168"/>
      <c r="AX131" s="168">
        <f t="shared" si="29"/>
        <v>0</v>
      </c>
      <c r="AY131" s="170"/>
      <c r="AZ131" s="170">
        <f t="shared" si="30"/>
        <v>0</v>
      </c>
      <c r="BA131" s="166"/>
      <c r="BB131" s="166">
        <f t="shared" si="31"/>
        <v>0</v>
      </c>
    </row>
    <row r="132" spans="1:54" s="178" customFormat="1">
      <c r="A132" s="172" t="s">
        <v>5540</v>
      </c>
      <c r="B132" s="175" t="s">
        <v>265</v>
      </c>
      <c r="C132" s="175"/>
      <c r="D132" s="175"/>
      <c r="E132" s="150" t="s">
        <v>4882</v>
      </c>
      <c r="F132" s="151" t="s">
        <v>470</v>
      </c>
      <c r="G132" s="151" t="s">
        <v>463</v>
      </c>
      <c r="H132" s="151" t="s">
        <v>390</v>
      </c>
      <c r="I132" s="152" t="s">
        <v>10</v>
      </c>
      <c r="J132" s="153" t="s">
        <v>5542</v>
      </c>
      <c r="K132" s="177">
        <v>900</v>
      </c>
      <c r="L132" s="177"/>
      <c r="M132" s="159">
        <f t="shared" ref="M132:M195" si="32">AE132+AG132+AI132+AK132+AM132+AO132+AQ132+AS132+AU132+AW132+AY132+BA132</f>
        <v>8010</v>
      </c>
      <c r="N132" s="159"/>
      <c r="O132" s="159"/>
      <c r="P132" s="159"/>
      <c r="Q132" s="159"/>
      <c r="R132" s="159"/>
      <c r="S132" s="149" t="s">
        <v>5275</v>
      </c>
      <c r="T132" s="150" t="s">
        <v>463</v>
      </c>
      <c r="U132" s="174" t="s">
        <v>5541</v>
      </c>
      <c r="V132" s="174" t="s">
        <v>5525</v>
      </c>
      <c r="W132" s="151">
        <v>36</v>
      </c>
      <c r="X132" s="152" t="s">
        <v>213</v>
      </c>
      <c r="Y132" s="176">
        <v>1000</v>
      </c>
      <c r="Z132" s="176">
        <v>546000</v>
      </c>
      <c r="AA132" s="156">
        <f t="shared" ref="AA132:AA195" si="33">Z132*K132</f>
        <v>491400000</v>
      </c>
      <c r="AB132" s="157">
        <v>488010</v>
      </c>
      <c r="AC132" s="158">
        <f t="shared" ref="AC132:AC161" si="34">AB132-M132</f>
        <v>480000</v>
      </c>
      <c r="AD132" s="159">
        <f t="shared" ref="AD132:AD195" si="35">M132*K132</f>
        <v>7209000</v>
      </c>
      <c r="AE132" s="160"/>
      <c r="AF132" s="160">
        <f t="shared" ref="AF132:AF195" si="36">AE132*K132</f>
        <v>0</v>
      </c>
      <c r="AG132" s="165"/>
      <c r="AH132" s="161">
        <f t="shared" ref="AH132:AH195" si="37">AG132*K132</f>
        <v>0</v>
      </c>
      <c r="AI132" s="162"/>
      <c r="AJ132" s="162">
        <f t="shared" ref="AJ132:AJ195" si="38">AI132*K132</f>
        <v>0</v>
      </c>
      <c r="AK132" s="164"/>
      <c r="AL132" s="164">
        <f t="shared" ref="AL132:AL195" si="39">AK132*K132</f>
        <v>0</v>
      </c>
      <c r="AM132" s="165">
        <v>1020</v>
      </c>
      <c r="AN132" s="165">
        <f t="shared" ref="AN132:AN195" si="40">AM132*K132</f>
        <v>918000</v>
      </c>
      <c r="AO132" s="166">
        <v>0</v>
      </c>
      <c r="AP132" s="166">
        <f t="shared" ref="AP132:AP195" si="41">AO132*K132</f>
        <v>0</v>
      </c>
      <c r="AQ132" s="162"/>
      <c r="AR132" s="162">
        <f t="shared" ref="AR132:AR195" si="42">AQ132*K132</f>
        <v>0</v>
      </c>
      <c r="AS132" s="173">
        <v>6990</v>
      </c>
      <c r="AT132" s="167">
        <f t="shared" ref="AT132:AT195" si="43">AS132*K132</f>
        <v>6291000</v>
      </c>
      <c r="AU132" s="163"/>
      <c r="AV132" s="163">
        <f t="shared" ref="AV132:AV195" si="44">AU132*K132</f>
        <v>0</v>
      </c>
      <c r="AW132" s="168"/>
      <c r="AX132" s="168">
        <f t="shared" ref="AX132:AX195" si="45">AW132*K132</f>
        <v>0</v>
      </c>
      <c r="AY132" s="170"/>
      <c r="AZ132" s="170">
        <f t="shared" ref="AZ132:AZ195" si="46">AY132*K132</f>
        <v>0</v>
      </c>
      <c r="BA132" s="166"/>
      <c r="BB132" s="166">
        <f t="shared" ref="BB132:BB195" si="47">BA132*K132</f>
        <v>0</v>
      </c>
    </row>
    <row r="133" spans="1:54" s="178" customFormat="1" ht="31.5">
      <c r="A133" s="148" t="s">
        <v>5543</v>
      </c>
      <c r="B133" s="175" t="s">
        <v>227</v>
      </c>
      <c r="C133" s="175"/>
      <c r="D133" s="175"/>
      <c r="E133" s="150" t="s">
        <v>4942</v>
      </c>
      <c r="F133" s="151" t="s">
        <v>472</v>
      </c>
      <c r="G133" s="151" t="s">
        <v>463</v>
      </c>
      <c r="H133" s="151" t="s">
        <v>225</v>
      </c>
      <c r="I133" s="152" t="s">
        <v>10</v>
      </c>
      <c r="J133" s="153" t="s">
        <v>5544</v>
      </c>
      <c r="K133" s="177">
        <v>420</v>
      </c>
      <c r="L133" s="177"/>
      <c r="M133" s="159">
        <f t="shared" si="32"/>
        <v>107600</v>
      </c>
      <c r="N133" s="159"/>
      <c r="O133" s="159"/>
      <c r="P133" s="159"/>
      <c r="Q133" s="159"/>
      <c r="R133" s="159"/>
      <c r="S133" s="149" t="s">
        <v>5275</v>
      </c>
      <c r="T133" s="150" t="s">
        <v>463</v>
      </c>
      <c r="U133" s="174" t="s">
        <v>4941</v>
      </c>
      <c r="V133" s="174" t="s">
        <v>5525</v>
      </c>
      <c r="W133" s="151">
        <v>60</v>
      </c>
      <c r="X133" s="152" t="s">
        <v>213</v>
      </c>
      <c r="Y133" s="176">
        <v>470</v>
      </c>
      <c r="Z133" s="176">
        <v>740000</v>
      </c>
      <c r="AA133" s="156">
        <f t="shared" si="33"/>
        <v>310800000</v>
      </c>
      <c r="AB133" s="157">
        <v>107600</v>
      </c>
      <c r="AC133" s="158">
        <f t="shared" si="34"/>
        <v>0</v>
      </c>
      <c r="AD133" s="159">
        <f t="shared" si="35"/>
        <v>45192000</v>
      </c>
      <c r="AE133" s="160"/>
      <c r="AF133" s="160">
        <f t="shared" si="36"/>
        <v>0</v>
      </c>
      <c r="AG133" s="165"/>
      <c r="AH133" s="161">
        <f t="shared" si="37"/>
        <v>0</v>
      </c>
      <c r="AI133" s="162"/>
      <c r="AJ133" s="162">
        <f t="shared" si="38"/>
        <v>0</v>
      </c>
      <c r="AK133" s="164"/>
      <c r="AL133" s="164">
        <f t="shared" si="39"/>
        <v>0</v>
      </c>
      <c r="AM133" s="165">
        <f>17000+26000</f>
        <v>43000</v>
      </c>
      <c r="AN133" s="165">
        <f t="shared" si="40"/>
        <v>18060000</v>
      </c>
      <c r="AO133" s="166">
        <v>0</v>
      </c>
      <c r="AP133" s="166">
        <f t="shared" si="41"/>
        <v>0</v>
      </c>
      <c r="AQ133" s="162"/>
      <c r="AR133" s="162">
        <f t="shared" si="42"/>
        <v>0</v>
      </c>
      <c r="AS133" s="173">
        <v>64600</v>
      </c>
      <c r="AT133" s="167">
        <f t="shared" si="43"/>
        <v>27132000</v>
      </c>
      <c r="AU133" s="163"/>
      <c r="AV133" s="163">
        <f t="shared" si="44"/>
        <v>0</v>
      </c>
      <c r="AW133" s="168"/>
      <c r="AX133" s="168">
        <f t="shared" si="45"/>
        <v>0</v>
      </c>
      <c r="AY133" s="170"/>
      <c r="AZ133" s="170">
        <f t="shared" si="46"/>
        <v>0</v>
      </c>
      <c r="BA133" s="166"/>
      <c r="BB133" s="166">
        <f t="shared" si="47"/>
        <v>0</v>
      </c>
    </row>
    <row r="134" spans="1:54" s="115" customFormat="1" ht="31.5">
      <c r="A134" s="148" t="s">
        <v>5545</v>
      </c>
      <c r="B134" s="175" t="s">
        <v>227</v>
      </c>
      <c r="C134" s="175"/>
      <c r="D134" s="175"/>
      <c r="E134" s="150" t="s">
        <v>5547</v>
      </c>
      <c r="F134" s="151" t="s">
        <v>5549</v>
      </c>
      <c r="G134" s="151" t="s">
        <v>5550</v>
      </c>
      <c r="H134" s="151" t="s">
        <v>398</v>
      </c>
      <c r="I134" s="152" t="s">
        <v>10</v>
      </c>
      <c r="J134" s="153" t="s">
        <v>5548</v>
      </c>
      <c r="K134" s="177">
        <v>1342</v>
      </c>
      <c r="L134" s="177"/>
      <c r="M134" s="159">
        <f t="shared" si="32"/>
        <v>0</v>
      </c>
      <c r="N134" s="159"/>
      <c r="O134" s="159"/>
      <c r="P134" s="159"/>
      <c r="Q134" s="159"/>
      <c r="R134" s="159"/>
      <c r="S134" s="150" t="s">
        <v>5118</v>
      </c>
      <c r="T134" s="150" t="s">
        <v>5119</v>
      </c>
      <c r="U134" s="174" t="s">
        <v>5546</v>
      </c>
      <c r="V134" s="174" t="s">
        <v>5525</v>
      </c>
      <c r="W134" s="151">
        <v>36</v>
      </c>
      <c r="X134" s="152" t="s">
        <v>5551</v>
      </c>
      <c r="Y134" s="176">
        <v>1342</v>
      </c>
      <c r="Z134" s="176">
        <v>740000</v>
      </c>
      <c r="AA134" s="156">
        <f t="shared" si="33"/>
        <v>993080000</v>
      </c>
      <c r="AB134" s="157">
        <v>740000</v>
      </c>
      <c r="AC134" s="158">
        <f t="shared" si="34"/>
        <v>740000</v>
      </c>
      <c r="AD134" s="159">
        <f t="shared" si="35"/>
        <v>0</v>
      </c>
      <c r="AE134" s="160"/>
      <c r="AF134" s="160">
        <f t="shared" si="36"/>
        <v>0</v>
      </c>
      <c r="AG134" s="165"/>
      <c r="AH134" s="161">
        <f t="shared" si="37"/>
        <v>0</v>
      </c>
      <c r="AI134" s="162"/>
      <c r="AJ134" s="162">
        <f t="shared" si="38"/>
        <v>0</v>
      </c>
      <c r="AK134" s="163"/>
      <c r="AL134" s="164">
        <f t="shared" si="39"/>
        <v>0</v>
      </c>
      <c r="AM134" s="161"/>
      <c r="AN134" s="165">
        <f t="shared" si="40"/>
        <v>0</v>
      </c>
      <c r="AO134" s="160">
        <v>0</v>
      </c>
      <c r="AP134" s="166">
        <f t="shared" si="41"/>
        <v>0</v>
      </c>
      <c r="AQ134" s="162"/>
      <c r="AR134" s="162">
        <f t="shared" si="42"/>
        <v>0</v>
      </c>
      <c r="AS134" s="173"/>
      <c r="AT134" s="167">
        <f t="shared" si="43"/>
        <v>0</v>
      </c>
      <c r="AU134" s="163"/>
      <c r="AV134" s="163">
        <f t="shared" si="44"/>
        <v>0</v>
      </c>
      <c r="AW134" s="162"/>
      <c r="AX134" s="168">
        <f t="shared" si="45"/>
        <v>0</v>
      </c>
      <c r="AY134" s="169"/>
      <c r="AZ134" s="170">
        <f t="shared" si="46"/>
        <v>0</v>
      </c>
      <c r="BA134" s="160"/>
      <c r="BB134" s="166">
        <f t="shared" si="47"/>
        <v>0</v>
      </c>
    </row>
    <row r="135" spans="1:54" s="178" customFormat="1" ht="31.5">
      <c r="A135" s="172" t="s">
        <v>5552</v>
      </c>
      <c r="B135" s="175" t="s">
        <v>234</v>
      </c>
      <c r="C135" s="175"/>
      <c r="D135" s="175"/>
      <c r="E135" s="150" t="s">
        <v>5330</v>
      </c>
      <c r="F135" s="151" t="s">
        <v>5332</v>
      </c>
      <c r="G135" s="151" t="s">
        <v>215</v>
      </c>
      <c r="H135" s="151" t="s">
        <v>235</v>
      </c>
      <c r="I135" s="152" t="s">
        <v>10</v>
      </c>
      <c r="J135" s="153" t="s">
        <v>5331</v>
      </c>
      <c r="K135" s="177">
        <v>465</v>
      </c>
      <c r="L135" s="177"/>
      <c r="M135" s="159">
        <f t="shared" si="32"/>
        <v>0</v>
      </c>
      <c r="N135" s="159"/>
      <c r="O135" s="159"/>
      <c r="P135" s="159"/>
      <c r="Q135" s="159"/>
      <c r="R135" s="159"/>
      <c r="S135" s="150" t="s">
        <v>5328</v>
      </c>
      <c r="T135" s="150" t="s">
        <v>215</v>
      </c>
      <c r="U135" s="174" t="s">
        <v>5553</v>
      </c>
      <c r="V135" s="174" t="s">
        <v>5554</v>
      </c>
      <c r="W135" s="151" t="s">
        <v>5104</v>
      </c>
      <c r="X135" s="152" t="s">
        <v>213</v>
      </c>
      <c r="Y135" s="176">
        <v>4200</v>
      </c>
      <c r="Z135" s="176">
        <v>37000</v>
      </c>
      <c r="AA135" s="156">
        <f t="shared" si="33"/>
        <v>17205000</v>
      </c>
      <c r="AB135" s="157">
        <v>37000</v>
      </c>
      <c r="AC135" s="158">
        <f t="shared" si="34"/>
        <v>37000</v>
      </c>
      <c r="AD135" s="159">
        <f t="shared" si="35"/>
        <v>0</v>
      </c>
      <c r="AE135" s="160"/>
      <c r="AF135" s="160">
        <f t="shared" si="36"/>
        <v>0</v>
      </c>
      <c r="AG135" s="165"/>
      <c r="AH135" s="161">
        <f t="shared" si="37"/>
        <v>0</v>
      </c>
      <c r="AI135" s="162"/>
      <c r="AJ135" s="162">
        <f t="shared" si="38"/>
        <v>0</v>
      </c>
      <c r="AK135" s="164"/>
      <c r="AL135" s="164">
        <f t="shared" si="39"/>
        <v>0</v>
      </c>
      <c r="AM135" s="165"/>
      <c r="AN135" s="165">
        <f t="shared" si="40"/>
        <v>0</v>
      </c>
      <c r="AO135" s="166">
        <v>0</v>
      </c>
      <c r="AP135" s="166">
        <f t="shared" si="41"/>
        <v>0</v>
      </c>
      <c r="AQ135" s="162"/>
      <c r="AR135" s="162">
        <f t="shared" si="42"/>
        <v>0</v>
      </c>
      <c r="AS135" s="173"/>
      <c r="AT135" s="167">
        <f t="shared" si="43"/>
        <v>0</v>
      </c>
      <c r="AU135" s="163"/>
      <c r="AV135" s="163">
        <f t="shared" si="44"/>
        <v>0</v>
      </c>
      <c r="AW135" s="168"/>
      <c r="AX135" s="168">
        <f t="shared" si="45"/>
        <v>0</v>
      </c>
      <c r="AY135" s="170"/>
      <c r="AZ135" s="170">
        <f t="shared" si="46"/>
        <v>0</v>
      </c>
      <c r="BA135" s="166"/>
      <c r="BB135" s="166">
        <f t="shared" si="47"/>
        <v>0</v>
      </c>
    </row>
    <row r="136" spans="1:54" s="178" customFormat="1" ht="31.5">
      <c r="A136" s="148" t="s">
        <v>5555</v>
      </c>
      <c r="B136" s="175" t="s">
        <v>234</v>
      </c>
      <c r="C136" s="175"/>
      <c r="D136" s="175"/>
      <c r="E136" s="150" t="s">
        <v>234</v>
      </c>
      <c r="F136" s="151" t="s">
        <v>5335</v>
      </c>
      <c r="G136" s="151" t="s">
        <v>360</v>
      </c>
      <c r="H136" s="151" t="s">
        <v>238</v>
      </c>
      <c r="I136" s="152" t="s">
        <v>10</v>
      </c>
      <c r="J136" s="153" t="s">
        <v>5150</v>
      </c>
      <c r="K136" s="177">
        <v>215</v>
      </c>
      <c r="L136" s="177"/>
      <c r="M136" s="159">
        <f t="shared" si="32"/>
        <v>0</v>
      </c>
      <c r="N136" s="159"/>
      <c r="O136" s="159"/>
      <c r="P136" s="159"/>
      <c r="Q136" s="159"/>
      <c r="R136" s="159"/>
      <c r="S136" s="150" t="s">
        <v>360</v>
      </c>
      <c r="T136" s="150" t="s">
        <v>358</v>
      </c>
      <c r="U136" s="174" t="s">
        <v>5556</v>
      </c>
      <c r="V136" s="174" t="s">
        <v>5554</v>
      </c>
      <c r="W136" s="151">
        <v>24</v>
      </c>
      <c r="X136" s="152" t="s">
        <v>213</v>
      </c>
      <c r="Y136" s="176">
        <v>1100</v>
      </c>
      <c r="Z136" s="176">
        <v>37000</v>
      </c>
      <c r="AA136" s="156">
        <f t="shared" si="33"/>
        <v>7955000</v>
      </c>
      <c r="AB136" s="157">
        <v>37000</v>
      </c>
      <c r="AC136" s="158">
        <f t="shared" si="34"/>
        <v>37000</v>
      </c>
      <c r="AD136" s="159">
        <f t="shared" si="35"/>
        <v>0</v>
      </c>
      <c r="AE136" s="160"/>
      <c r="AF136" s="160">
        <f t="shared" si="36"/>
        <v>0</v>
      </c>
      <c r="AG136" s="165"/>
      <c r="AH136" s="161">
        <f t="shared" si="37"/>
        <v>0</v>
      </c>
      <c r="AI136" s="162"/>
      <c r="AJ136" s="162">
        <f t="shared" si="38"/>
        <v>0</v>
      </c>
      <c r="AK136" s="164"/>
      <c r="AL136" s="164">
        <f t="shared" si="39"/>
        <v>0</v>
      </c>
      <c r="AM136" s="165"/>
      <c r="AN136" s="165">
        <f t="shared" si="40"/>
        <v>0</v>
      </c>
      <c r="AO136" s="166">
        <v>0</v>
      </c>
      <c r="AP136" s="166">
        <f t="shared" si="41"/>
        <v>0</v>
      </c>
      <c r="AQ136" s="162"/>
      <c r="AR136" s="162">
        <f t="shared" si="42"/>
        <v>0</v>
      </c>
      <c r="AS136" s="173"/>
      <c r="AT136" s="167">
        <f t="shared" si="43"/>
        <v>0</v>
      </c>
      <c r="AU136" s="163"/>
      <c r="AV136" s="163">
        <f t="shared" si="44"/>
        <v>0</v>
      </c>
      <c r="AW136" s="168"/>
      <c r="AX136" s="168">
        <f t="shared" si="45"/>
        <v>0</v>
      </c>
      <c r="AY136" s="170"/>
      <c r="AZ136" s="170">
        <f t="shared" si="46"/>
        <v>0</v>
      </c>
      <c r="BA136" s="166"/>
      <c r="BB136" s="166">
        <f t="shared" si="47"/>
        <v>0</v>
      </c>
    </row>
    <row r="137" spans="1:54" s="178" customFormat="1" ht="31.5">
      <c r="A137" s="148" t="s">
        <v>5557</v>
      </c>
      <c r="B137" s="175" t="s">
        <v>246</v>
      </c>
      <c r="C137" s="175"/>
      <c r="D137" s="175"/>
      <c r="E137" s="150" t="s">
        <v>3578</v>
      </c>
      <c r="F137" s="151" t="s">
        <v>5338</v>
      </c>
      <c r="G137" s="151" t="s">
        <v>324</v>
      </c>
      <c r="H137" s="151" t="s">
        <v>248</v>
      </c>
      <c r="I137" s="152" t="s">
        <v>10</v>
      </c>
      <c r="J137" s="153" t="s">
        <v>5337</v>
      </c>
      <c r="K137" s="177">
        <v>798</v>
      </c>
      <c r="L137" s="177"/>
      <c r="M137" s="159">
        <f t="shared" si="32"/>
        <v>0</v>
      </c>
      <c r="N137" s="159"/>
      <c r="O137" s="159"/>
      <c r="P137" s="159"/>
      <c r="Q137" s="159"/>
      <c r="R137" s="159"/>
      <c r="S137" s="149" t="s">
        <v>5336</v>
      </c>
      <c r="T137" s="150" t="s">
        <v>322</v>
      </c>
      <c r="U137" s="174" t="s">
        <v>5558</v>
      </c>
      <c r="V137" s="174" t="s">
        <v>5554</v>
      </c>
      <c r="W137" s="151" t="s">
        <v>5104</v>
      </c>
      <c r="X137" s="152" t="s">
        <v>213</v>
      </c>
      <c r="Y137" s="176">
        <v>1550</v>
      </c>
      <c r="Z137" s="176">
        <v>18000</v>
      </c>
      <c r="AA137" s="156">
        <f t="shared" si="33"/>
        <v>14364000</v>
      </c>
      <c r="AB137" s="157">
        <v>18000</v>
      </c>
      <c r="AC137" s="158">
        <f t="shared" si="34"/>
        <v>18000</v>
      </c>
      <c r="AD137" s="159">
        <f t="shared" si="35"/>
        <v>0</v>
      </c>
      <c r="AE137" s="160"/>
      <c r="AF137" s="160">
        <f t="shared" si="36"/>
        <v>0</v>
      </c>
      <c r="AG137" s="165"/>
      <c r="AH137" s="161">
        <f t="shared" si="37"/>
        <v>0</v>
      </c>
      <c r="AI137" s="162"/>
      <c r="AJ137" s="162">
        <f t="shared" si="38"/>
        <v>0</v>
      </c>
      <c r="AK137" s="164"/>
      <c r="AL137" s="164">
        <f t="shared" si="39"/>
        <v>0</v>
      </c>
      <c r="AM137" s="165"/>
      <c r="AN137" s="165">
        <f t="shared" si="40"/>
        <v>0</v>
      </c>
      <c r="AO137" s="166">
        <v>0</v>
      </c>
      <c r="AP137" s="166">
        <f t="shared" si="41"/>
        <v>0</v>
      </c>
      <c r="AQ137" s="162"/>
      <c r="AR137" s="162">
        <f t="shared" si="42"/>
        <v>0</v>
      </c>
      <c r="AS137" s="173"/>
      <c r="AT137" s="167">
        <f t="shared" si="43"/>
        <v>0</v>
      </c>
      <c r="AU137" s="163"/>
      <c r="AV137" s="163">
        <f t="shared" si="44"/>
        <v>0</v>
      </c>
      <c r="AW137" s="168"/>
      <c r="AX137" s="168">
        <f t="shared" si="45"/>
        <v>0</v>
      </c>
      <c r="AY137" s="170"/>
      <c r="AZ137" s="170">
        <f t="shared" si="46"/>
        <v>0</v>
      </c>
      <c r="BA137" s="166"/>
      <c r="BB137" s="166">
        <f t="shared" si="47"/>
        <v>0</v>
      </c>
    </row>
    <row r="138" spans="1:54" s="178" customFormat="1">
      <c r="A138" s="172" t="s">
        <v>5559</v>
      </c>
      <c r="B138" s="175" t="s">
        <v>337</v>
      </c>
      <c r="C138" s="175"/>
      <c r="D138" s="175"/>
      <c r="E138" s="150" t="s">
        <v>4805</v>
      </c>
      <c r="F138" s="151" t="s">
        <v>339</v>
      </c>
      <c r="G138" s="151" t="s">
        <v>336</v>
      </c>
      <c r="H138" s="151" t="s">
        <v>225</v>
      </c>
      <c r="I138" s="152" t="s">
        <v>10</v>
      </c>
      <c r="J138" s="153" t="s">
        <v>5355</v>
      </c>
      <c r="K138" s="177">
        <v>2950</v>
      </c>
      <c r="L138" s="177"/>
      <c r="M138" s="159">
        <f t="shared" si="32"/>
        <v>0</v>
      </c>
      <c r="N138" s="159"/>
      <c r="O138" s="159"/>
      <c r="P138" s="159"/>
      <c r="Q138" s="159"/>
      <c r="R138" s="159"/>
      <c r="S138" s="150" t="s">
        <v>5353</v>
      </c>
      <c r="T138" s="150" t="s">
        <v>5354</v>
      </c>
      <c r="U138" s="174" t="s">
        <v>5560</v>
      </c>
      <c r="V138" s="174" t="s">
        <v>5554</v>
      </c>
      <c r="W138" s="151" t="s">
        <v>5104</v>
      </c>
      <c r="X138" s="152" t="s">
        <v>213</v>
      </c>
      <c r="Y138" s="176">
        <v>8000</v>
      </c>
      <c r="Z138" s="176">
        <v>36400</v>
      </c>
      <c r="AA138" s="156">
        <f t="shared" si="33"/>
        <v>107380000</v>
      </c>
      <c r="AB138" s="157">
        <v>36400</v>
      </c>
      <c r="AC138" s="158">
        <f t="shared" si="34"/>
        <v>36400</v>
      </c>
      <c r="AD138" s="159">
        <f t="shared" si="35"/>
        <v>0</v>
      </c>
      <c r="AE138" s="160"/>
      <c r="AF138" s="160">
        <f t="shared" si="36"/>
        <v>0</v>
      </c>
      <c r="AG138" s="161"/>
      <c r="AH138" s="161">
        <f t="shared" si="37"/>
        <v>0</v>
      </c>
      <c r="AI138" s="162"/>
      <c r="AJ138" s="162">
        <f t="shared" si="38"/>
        <v>0</v>
      </c>
      <c r="AK138" s="163"/>
      <c r="AL138" s="164">
        <f t="shared" si="39"/>
        <v>0</v>
      </c>
      <c r="AM138" s="161"/>
      <c r="AN138" s="165">
        <f t="shared" si="40"/>
        <v>0</v>
      </c>
      <c r="AO138" s="160">
        <v>0</v>
      </c>
      <c r="AP138" s="166">
        <f t="shared" si="41"/>
        <v>0</v>
      </c>
      <c r="AQ138" s="162"/>
      <c r="AR138" s="162">
        <f t="shared" si="42"/>
        <v>0</v>
      </c>
      <c r="AS138" s="167"/>
      <c r="AT138" s="167">
        <f t="shared" si="43"/>
        <v>0</v>
      </c>
      <c r="AU138" s="163"/>
      <c r="AV138" s="163">
        <f t="shared" si="44"/>
        <v>0</v>
      </c>
      <c r="AW138" s="162"/>
      <c r="AX138" s="168">
        <f t="shared" si="45"/>
        <v>0</v>
      </c>
      <c r="AY138" s="169"/>
      <c r="AZ138" s="170">
        <f t="shared" si="46"/>
        <v>0</v>
      </c>
      <c r="BA138" s="160"/>
      <c r="BB138" s="166">
        <f t="shared" si="47"/>
        <v>0</v>
      </c>
    </row>
    <row r="139" spans="1:54" s="178" customFormat="1" ht="31.5">
      <c r="A139" s="148" t="s">
        <v>5561</v>
      </c>
      <c r="B139" s="175" t="s">
        <v>368</v>
      </c>
      <c r="C139" s="175"/>
      <c r="D139" s="175"/>
      <c r="E139" s="150" t="s">
        <v>368</v>
      </c>
      <c r="F139" s="151" t="s">
        <v>370</v>
      </c>
      <c r="G139" s="151" t="s">
        <v>360</v>
      </c>
      <c r="H139" s="151" t="s">
        <v>369</v>
      </c>
      <c r="I139" s="152" t="s">
        <v>10</v>
      </c>
      <c r="J139" s="153" t="s">
        <v>5357</v>
      </c>
      <c r="K139" s="177">
        <v>34</v>
      </c>
      <c r="L139" s="177"/>
      <c r="M139" s="159">
        <f t="shared" si="32"/>
        <v>0</v>
      </c>
      <c r="N139" s="159"/>
      <c r="O139" s="159"/>
      <c r="P139" s="159"/>
      <c r="Q139" s="159"/>
      <c r="R139" s="159"/>
      <c r="S139" s="150" t="s">
        <v>360</v>
      </c>
      <c r="T139" s="150" t="s">
        <v>358</v>
      </c>
      <c r="U139" s="174" t="s">
        <v>4810</v>
      </c>
      <c r="V139" s="174" t="s">
        <v>5554</v>
      </c>
      <c r="W139" s="151">
        <v>36</v>
      </c>
      <c r="X139" s="152" t="s">
        <v>213</v>
      </c>
      <c r="Y139" s="176">
        <v>125</v>
      </c>
      <c r="Z139" s="176">
        <v>300000</v>
      </c>
      <c r="AA139" s="156">
        <f t="shared" si="33"/>
        <v>10200000</v>
      </c>
      <c r="AB139" s="157">
        <v>300000</v>
      </c>
      <c r="AC139" s="158">
        <f t="shared" si="34"/>
        <v>300000</v>
      </c>
      <c r="AD139" s="159">
        <f t="shared" si="35"/>
        <v>0</v>
      </c>
      <c r="AE139" s="160"/>
      <c r="AF139" s="160">
        <f t="shared" si="36"/>
        <v>0</v>
      </c>
      <c r="AG139" s="161"/>
      <c r="AH139" s="161">
        <f t="shared" si="37"/>
        <v>0</v>
      </c>
      <c r="AI139" s="162"/>
      <c r="AJ139" s="162">
        <f t="shared" si="38"/>
        <v>0</v>
      </c>
      <c r="AK139" s="164"/>
      <c r="AL139" s="164">
        <f t="shared" si="39"/>
        <v>0</v>
      </c>
      <c r="AM139" s="165"/>
      <c r="AN139" s="165">
        <f t="shared" si="40"/>
        <v>0</v>
      </c>
      <c r="AO139" s="166">
        <v>0</v>
      </c>
      <c r="AP139" s="166">
        <f t="shared" si="41"/>
        <v>0</v>
      </c>
      <c r="AQ139" s="162"/>
      <c r="AR139" s="162">
        <f t="shared" si="42"/>
        <v>0</v>
      </c>
      <c r="AS139" s="167"/>
      <c r="AT139" s="167">
        <f t="shared" si="43"/>
        <v>0</v>
      </c>
      <c r="AU139" s="163"/>
      <c r="AV139" s="163">
        <f t="shared" si="44"/>
        <v>0</v>
      </c>
      <c r="AW139" s="168"/>
      <c r="AX139" s="168">
        <f t="shared" si="45"/>
        <v>0</v>
      </c>
      <c r="AY139" s="170"/>
      <c r="AZ139" s="170">
        <f t="shared" si="46"/>
        <v>0</v>
      </c>
      <c r="BA139" s="166"/>
      <c r="BB139" s="166">
        <f t="shared" si="47"/>
        <v>0</v>
      </c>
    </row>
    <row r="140" spans="1:54" s="178" customFormat="1" ht="63">
      <c r="A140" s="148" t="s">
        <v>5562</v>
      </c>
      <c r="B140" s="175" t="s">
        <v>274</v>
      </c>
      <c r="C140" s="175"/>
      <c r="D140" s="175"/>
      <c r="E140" s="150" t="s">
        <v>4833</v>
      </c>
      <c r="F140" s="151" t="s">
        <v>436</v>
      </c>
      <c r="G140" s="151" t="s">
        <v>437</v>
      </c>
      <c r="H140" s="151" t="s">
        <v>435</v>
      </c>
      <c r="I140" s="152" t="s">
        <v>5141</v>
      </c>
      <c r="J140" s="153" t="s">
        <v>5563</v>
      </c>
      <c r="K140" s="177">
        <v>18480</v>
      </c>
      <c r="L140" s="177"/>
      <c r="M140" s="159">
        <f t="shared" si="32"/>
        <v>0</v>
      </c>
      <c r="N140" s="159"/>
      <c r="O140" s="159"/>
      <c r="P140" s="159"/>
      <c r="Q140" s="159"/>
      <c r="R140" s="159"/>
      <c r="S140" s="150" t="s">
        <v>5266</v>
      </c>
      <c r="T140" s="150" t="s">
        <v>5267</v>
      </c>
      <c r="U140" s="174" t="s">
        <v>4832</v>
      </c>
      <c r="V140" s="174" t="s">
        <v>5554</v>
      </c>
      <c r="W140" s="151" t="s">
        <v>5104</v>
      </c>
      <c r="X140" s="152" t="s">
        <v>213</v>
      </c>
      <c r="Y140" s="176">
        <v>21000</v>
      </c>
      <c r="Z140" s="176">
        <v>1850</v>
      </c>
      <c r="AA140" s="156">
        <f t="shared" si="33"/>
        <v>34188000</v>
      </c>
      <c r="AB140" s="157">
        <v>1450</v>
      </c>
      <c r="AC140" s="158">
        <f t="shared" si="34"/>
        <v>1450</v>
      </c>
      <c r="AD140" s="159">
        <f t="shared" si="35"/>
        <v>0</v>
      </c>
      <c r="AE140" s="160"/>
      <c r="AF140" s="160">
        <f t="shared" si="36"/>
        <v>0</v>
      </c>
      <c r="AG140" s="161"/>
      <c r="AH140" s="161">
        <f t="shared" si="37"/>
        <v>0</v>
      </c>
      <c r="AI140" s="162"/>
      <c r="AJ140" s="162">
        <f t="shared" si="38"/>
        <v>0</v>
      </c>
      <c r="AK140" s="164"/>
      <c r="AL140" s="164">
        <f t="shared" si="39"/>
        <v>0</v>
      </c>
      <c r="AM140" s="165"/>
      <c r="AN140" s="165">
        <f t="shared" si="40"/>
        <v>0</v>
      </c>
      <c r="AO140" s="166">
        <v>0</v>
      </c>
      <c r="AP140" s="166">
        <f t="shared" si="41"/>
        <v>0</v>
      </c>
      <c r="AQ140" s="162"/>
      <c r="AR140" s="162">
        <f t="shared" si="42"/>
        <v>0</v>
      </c>
      <c r="AS140" s="167"/>
      <c r="AT140" s="167">
        <f t="shared" si="43"/>
        <v>0</v>
      </c>
      <c r="AU140" s="163"/>
      <c r="AV140" s="163">
        <f t="shared" si="44"/>
        <v>0</v>
      </c>
      <c r="AW140" s="168"/>
      <c r="AX140" s="168">
        <f t="shared" si="45"/>
        <v>0</v>
      </c>
      <c r="AY140" s="170"/>
      <c r="AZ140" s="170">
        <f t="shared" si="46"/>
        <v>0</v>
      </c>
      <c r="BA140" s="166"/>
      <c r="BB140" s="166">
        <f t="shared" si="47"/>
        <v>0</v>
      </c>
    </row>
    <row r="141" spans="1:54" s="178" customFormat="1" ht="31.5">
      <c r="A141" s="172" t="s">
        <v>5564</v>
      </c>
      <c r="B141" s="175" t="s">
        <v>274</v>
      </c>
      <c r="C141" s="175"/>
      <c r="D141" s="175"/>
      <c r="E141" s="150" t="s">
        <v>418</v>
      </c>
      <c r="F141" s="151" t="s">
        <v>419</v>
      </c>
      <c r="G141" s="151" t="s">
        <v>414</v>
      </c>
      <c r="H141" s="151" t="s">
        <v>4831</v>
      </c>
      <c r="I141" s="152" t="s">
        <v>5141</v>
      </c>
      <c r="J141" s="153" t="s">
        <v>5389</v>
      </c>
      <c r="K141" s="177">
        <v>2478</v>
      </c>
      <c r="L141" s="177"/>
      <c r="M141" s="159">
        <f t="shared" si="32"/>
        <v>0</v>
      </c>
      <c r="N141" s="159"/>
      <c r="O141" s="159"/>
      <c r="P141" s="159"/>
      <c r="Q141" s="159"/>
      <c r="R141" s="159"/>
      <c r="S141" s="150" t="s">
        <v>5347</v>
      </c>
      <c r="T141" s="150" t="s">
        <v>5348</v>
      </c>
      <c r="U141" s="174" t="s">
        <v>5565</v>
      </c>
      <c r="V141" s="174" t="s">
        <v>5554</v>
      </c>
      <c r="W141" s="151" t="s">
        <v>253</v>
      </c>
      <c r="X141" s="152" t="s">
        <v>213</v>
      </c>
      <c r="Y141" s="176">
        <v>4700</v>
      </c>
      <c r="Z141" s="176">
        <v>2100</v>
      </c>
      <c r="AA141" s="156">
        <f t="shared" si="33"/>
        <v>5203800</v>
      </c>
      <c r="AB141" s="157">
        <v>2100</v>
      </c>
      <c r="AC141" s="158">
        <f t="shared" si="34"/>
        <v>2100</v>
      </c>
      <c r="AD141" s="159">
        <f t="shared" si="35"/>
        <v>0</v>
      </c>
      <c r="AE141" s="160"/>
      <c r="AF141" s="160">
        <f t="shared" si="36"/>
        <v>0</v>
      </c>
      <c r="AG141" s="161"/>
      <c r="AH141" s="161">
        <f t="shared" si="37"/>
        <v>0</v>
      </c>
      <c r="AI141" s="162"/>
      <c r="AJ141" s="162">
        <f t="shared" si="38"/>
        <v>0</v>
      </c>
      <c r="AK141" s="164"/>
      <c r="AL141" s="164">
        <f t="shared" si="39"/>
        <v>0</v>
      </c>
      <c r="AM141" s="165"/>
      <c r="AN141" s="165">
        <f t="shared" si="40"/>
        <v>0</v>
      </c>
      <c r="AO141" s="166">
        <v>0</v>
      </c>
      <c r="AP141" s="166">
        <f t="shared" si="41"/>
        <v>0</v>
      </c>
      <c r="AQ141" s="162"/>
      <c r="AR141" s="162">
        <f t="shared" si="42"/>
        <v>0</v>
      </c>
      <c r="AS141" s="167"/>
      <c r="AT141" s="167">
        <f t="shared" si="43"/>
        <v>0</v>
      </c>
      <c r="AU141" s="163"/>
      <c r="AV141" s="163">
        <f t="shared" si="44"/>
        <v>0</v>
      </c>
      <c r="AW141" s="168"/>
      <c r="AX141" s="168">
        <f t="shared" si="45"/>
        <v>0</v>
      </c>
      <c r="AY141" s="170"/>
      <c r="AZ141" s="170">
        <f t="shared" si="46"/>
        <v>0</v>
      </c>
      <c r="BA141" s="166"/>
      <c r="BB141" s="166">
        <f t="shared" si="47"/>
        <v>0</v>
      </c>
    </row>
    <row r="142" spans="1:54" s="178" customFormat="1" ht="31.5">
      <c r="A142" s="148" t="s">
        <v>5566</v>
      </c>
      <c r="B142" s="175" t="s">
        <v>236</v>
      </c>
      <c r="C142" s="175"/>
      <c r="D142" s="175"/>
      <c r="E142" s="150" t="s">
        <v>236</v>
      </c>
      <c r="F142" s="151" t="s">
        <v>375</v>
      </c>
      <c r="G142" s="151" t="s">
        <v>360</v>
      </c>
      <c r="H142" s="151" t="s">
        <v>327</v>
      </c>
      <c r="I142" s="152" t="s">
        <v>10</v>
      </c>
      <c r="J142" s="153" t="s">
        <v>5103</v>
      </c>
      <c r="K142" s="177">
        <v>77</v>
      </c>
      <c r="L142" s="177"/>
      <c r="M142" s="159">
        <f t="shared" si="32"/>
        <v>4500</v>
      </c>
      <c r="N142" s="159"/>
      <c r="O142" s="159"/>
      <c r="P142" s="159"/>
      <c r="Q142" s="159"/>
      <c r="R142" s="159"/>
      <c r="S142" s="150" t="s">
        <v>360</v>
      </c>
      <c r="T142" s="150" t="s">
        <v>358</v>
      </c>
      <c r="U142" s="174" t="s">
        <v>4847</v>
      </c>
      <c r="V142" s="174" t="s">
        <v>5554</v>
      </c>
      <c r="W142" s="151">
        <v>36</v>
      </c>
      <c r="X142" s="152" t="s">
        <v>213</v>
      </c>
      <c r="Y142" s="176">
        <v>800</v>
      </c>
      <c r="Z142" s="176">
        <v>546000</v>
      </c>
      <c r="AA142" s="156">
        <f t="shared" si="33"/>
        <v>42042000</v>
      </c>
      <c r="AB142" s="157">
        <v>546000</v>
      </c>
      <c r="AC142" s="158">
        <f t="shared" si="34"/>
        <v>541500</v>
      </c>
      <c r="AD142" s="159">
        <f t="shared" si="35"/>
        <v>346500</v>
      </c>
      <c r="AE142" s="160"/>
      <c r="AF142" s="160">
        <f t="shared" si="36"/>
        <v>0</v>
      </c>
      <c r="AG142" s="161"/>
      <c r="AH142" s="161">
        <f t="shared" si="37"/>
        <v>0</v>
      </c>
      <c r="AI142" s="162">
        <v>4500</v>
      </c>
      <c r="AJ142" s="162">
        <f t="shared" si="38"/>
        <v>346500</v>
      </c>
      <c r="AK142" s="163"/>
      <c r="AL142" s="164">
        <f t="shared" si="39"/>
        <v>0</v>
      </c>
      <c r="AM142" s="161"/>
      <c r="AN142" s="165">
        <f t="shared" si="40"/>
        <v>0</v>
      </c>
      <c r="AO142" s="160">
        <v>0</v>
      </c>
      <c r="AP142" s="166">
        <f t="shared" si="41"/>
        <v>0</v>
      </c>
      <c r="AQ142" s="162"/>
      <c r="AR142" s="162">
        <f t="shared" si="42"/>
        <v>0</v>
      </c>
      <c r="AS142" s="167"/>
      <c r="AT142" s="167">
        <f t="shared" si="43"/>
        <v>0</v>
      </c>
      <c r="AU142" s="163"/>
      <c r="AV142" s="163">
        <f t="shared" si="44"/>
        <v>0</v>
      </c>
      <c r="AW142" s="162"/>
      <c r="AX142" s="168">
        <f t="shared" si="45"/>
        <v>0</v>
      </c>
      <c r="AY142" s="169"/>
      <c r="AZ142" s="170">
        <f t="shared" si="46"/>
        <v>0</v>
      </c>
      <c r="BA142" s="160"/>
      <c r="BB142" s="166">
        <f t="shared" si="47"/>
        <v>0</v>
      </c>
    </row>
    <row r="143" spans="1:54">
      <c r="A143" s="148" t="s">
        <v>5567</v>
      </c>
      <c r="B143" s="175" t="s">
        <v>236</v>
      </c>
      <c r="C143" s="175"/>
      <c r="D143" s="175"/>
      <c r="E143" s="150" t="s">
        <v>4894</v>
      </c>
      <c r="F143" s="151" t="s">
        <v>239</v>
      </c>
      <c r="G143" s="151" t="s">
        <v>240</v>
      </c>
      <c r="H143" s="151" t="s">
        <v>238</v>
      </c>
      <c r="I143" s="152" t="s">
        <v>10</v>
      </c>
      <c r="J143" s="153" t="s">
        <v>5103</v>
      </c>
      <c r="K143" s="177">
        <v>136</v>
      </c>
      <c r="L143" s="177"/>
      <c r="M143" s="159">
        <f t="shared" si="32"/>
        <v>0</v>
      </c>
      <c r="N143" s="159"/>
      <c r="O143" s="159"/>
      <c r="P143" s="159"/>
      <c r="Q143" s="159"/>
      <c r="R143" s="159"/>
      <c r="S143" s="149" t="s">
        <v>5409</v>
      </c>
      <c r="T143" s="150" t="s">
        <v>5410</v>
      </c>
      <c r="U143" s="174" t="s">
        <v>5568</v>
      </c>
      <c r="V143" s="174" t="s">
        <v>5554</v>
      </c>
      <c r="W143" s="151" t="s">
        <v>5104</v>
      </c>
      <c r="X143" s="152" t="s">
        <v>213</v>
      </c>
      <c r="Y143" s="176">
        <v>500</v>
      </c>
      <c r="Z143" s="176">
        <v>182000</v>
      </c>
      <c r="AA143" s="156">
        <f t="shared" si="33"/>
        <v>24752000</v>
      </c>
      <c r="AB143" s="157">
        <v>182000</v>
      </c>
      <c r="AC143" s="158">
        <f t="shared" si="34"/>
        <v>182000</v>
      </c>
      <c r="AD143" s="159">
        <f t="shared" si="35"/>
        <v>0</v>
      </c>
      <c r="AE143" s="160"/>
      <c r="AF143" s="160">
        <f t="shared" si="36"/>
        <v>0</v>
      </c>
      <c r="AG143" s="161"/>
      <c r="AH143" s="161">
        <f t="shared" si="37"/>
        <v>0</v>
      </c>
      <c r="AI143" s="162"/>
      <c r="AJ143" s="162">
        <f t="shared" si="38"/>
        <v>0</v>
      </c>
      <c r="AK143" s="163"/>
      <c r="AL143" s="164">
        <f t="shared" si="39"/>
        <v>0</v>
      </c>
      <c r="AM143" s="161"/>
      <c r="AN143" s="165">
        <f t="shared" si="40"/>
        <v>0</v>
      </c>
      <c r="AO143" s="160">
        <v>0</v>
      </c>
      <c r="AP143" s="166">
        <f t="shared" si="41"/>
        <v>0</v>
      </c>
      <c r="AQ143" s="162"/>
      <c r="AR143" s="162">
        <f t="shared" si="42"/>
        <v>0</v>
      </c>
      <c r="AS143" s="167"/>
      <c r="AT143" s="167">
        <f t="shared" si="43"/>
        <v>0</v>
      </c>
      <c r="AU143" s="163"/>
      <c r="AV143" s="163">
        <f t="shared" si="44"/>
        <v>0</v>
      </c>
      <c r="AW143" s="162"/>
      <c r="AX143" s="168">
        <f t="shared" si="45"/>
        <v>0</v>
      </c>
      <c r="AY143" s="169"/>
      <c r="AZ143" s="170">
        <f t="shared" si="46"/>
        <v>0</v>
      </c>
      <c r="BA143" s="160"/>
      <c r="BB143" s="166">
        <f t="shared" si="47"/>
        <v>0</v>
      </c>
    </row>
    <row r="144" spans="1:54" ht="31.5">
      <c r="A144" s="172" t="s">
        <v>5569</v>
      </c>
      <c r="B144" s="175" t="s">
        <v>376</v>
      </c>
      <c r="C144" s="175"/>
      <c r="D144" s="175"/>
      <c r="E144" s="150" t="s">
        <v>376</v>
      </c>
      <c r="F144" s="151" t="s">
        <v>377</v>
      </c>
      <c r="G144" s="151" t="s">
        <v>360</v>
      </c>
      <c r="H144" s="151" t="s">
        <v>262</v>
      </c>
      <c r="I144" s="152" t="s">
        <v>10</v>
      </c>
      <c r="J144" s="153" t="s">
        <v>5362</v>
      </c>
      <c r="K144" s="177">
        <v>495</v>
      </c>
      <c r="L144" s="177"/>
      <c r="M144" s="159">
        <f t="shared" si="32"/>
        <v>0</v>
      </c>
      <c r="N144" s="159"/>
      <c r="O144" s="159"/>
      <c r="P144" s="159"/>
      <c r="Q144" s="159"/>
      <c r="R144" s="159"/>
      <c r="S144" s="150" t="s">
        <v>360</v>
      </c>
      <c r="T144" s="150" t="s">
        <v>358</v>
      </c>
      <c r="U144" s="174" t="s">
        <v>4848</v>
      </c>
      <c r="V144" s="174" t="s">
        <v>5554</v>
      </c>
      <c r="W144" s="151">
        <v>36</v>
      </c>
      <c r="X144" s="152" t="s">
        <v>213</v>
      </c>
      <c r="Y144" s="176">
        <v>1500</v>
      </c>
      <c r="Z144" s="176">
        <v>107000</v>
      </c>
      <c r="AA144" s="156">
        <f t="shared" si="33"/>
        <v>52965000</v>
      </c>
      <c r="AB144" s="157">
        <v>107000</v>
      </c>
      <c r="AC144" s="158">
        <f t="shared" si="34"/>
        <v>107000</v>
      </c>
      <c r="AD144" s="159">
        <f t="shared" si="35"/>
        <v>0</v>
      </c>
      <c r="AE144" s="160"/>
      <c r="AF144" s="160">
        <f t="shared" si="36"/>
        <v>0</v>
      </c>
      <c r="AG144" s="161"/>
      <c r="AH144" s="161">
        <f t="shared" si="37"/>
        <v>0</v>
      </c>
      <c r="AI144" s="162"/>
      <c r="AJ144" s="162">
        <f t="shared" si="38"/>
        <v>0</v>
      </c>
      <c r="AK144" s="164"/>
      <c r="AL144" s="164">
        <f t="shared" si="39"/>
        <v>0</v>
      </c>
      <c r="AM144" s="165"/>
      <c r="AN144" s="165">
        <f t="shared" si="40"/>
        <v>0</v>
      </c>
      <c r="AO144" s="166">
        <v>0</v>
      </c>
      <c r="AP144" s="166">
        <f t="shared" si="41"/>
        <v>0</v>
      </c>
      <c r="AQ144" s="162"/>
      <c r="AR144" s="162">
        <f t="shared" si="42"/>
        <v>0</v>
      </c>
      <c r="AS144" s="167"/>
      <c r="AT144" s="167">
        <f t="shared" si="43"/>
        <v>0</v>
      </c>
      <c r="AU144" s="163"/>
      <c r="AV144" s="163">
        <f t="shared" si="44"/>
        <v>0</v>
      </c>
      <c r="AW144" s="168"/>
      <c r="AX144" s="168">
        <f t="shared" si="45"/>
        <v>0</v>
      </c>
      <c r="AY144" s="170"/>
      <c r="AZ144" s="170">
        <f t="shared" si="46"/>
        <v>0</v>
      </c>
      <c r="BA144" s="166"/>
      <c r="BB144" s="166">
        <f t="shared" si="47"/>
        <v>0</v>
      </c>
    </row>
    <row r="145" spans="1:54" ht="31.5">
      <c r="A145" s="148" t="s">
        <v>5570</v>
      </c>
      <c r="B145" s="175" t="s">
        <v>359</v>
      </c>
      <c r="C145" s="175"/>
      <c r="D145" s="175"/>
      <c r="E145" s="150" t="s">
        <v>359</v>
      </c>
      <c r="F145" s="151" t="s">
        <v>5422</v>
      </c>
      <c r="G145" s="151" t="s">
        <v>360</v>
      </c>
      <c r="H145" s="151" t="s">
        <v>262</v>
      </c>
      <c r="I145" s="152" t="s">
        <v>10</v>
      </c>
      <c r="J145" s="153" t="s">
        <v>5103</v>
      </c>
      <c r="K145" s="177">
        <v>302</v>
      </c>
      <c r="L145" s="177"/>
      <c r="M145" s="159">
        <f t="shared" si="32"/>
        <v>0</v>
      </c>
      <c r="N145" s="159"/>
      <c r="O145" s="159"/>
      <c r="P145" s="159"/>
      <c r="Q145" s="159"/>
      <c r="R145" s="159"/>
      <c r="S145" s="150" t="s">
        <v>360</v>
      </c>
      <c r="T145" s="150" t="s">
        <v>358</v>
      </c>
      <c r="U145" s="174" t="s">
        <v>5571</v>
      </c>
      <c r="V145" s="174" t="s">
        <v>5554</v>
      </c>
      <c r="W145" s="151">
        <v>36</v>
      </c>
      <c r="X145" s="152" t="s">
        <v>213</v>
      </c>
      <c r="Y145" s="176">
        <v>600</v>
      </c>
      <c r="Z145" s="176">
        <v>109200</v>
      </c>
      <c r="AA145" s="156">
        <f t="shared" si="33"/>
        <v>32978400</v>
      </c>
      <c r="AB145" s="157">
        <v>109200</v>
      </c>
      <c r="AC145" s="158">
        <f t="shared" si="34"/>
        <v>109200</v>
      </c>
      <c r="AD145" s="159">
        <f t="shared" si="35"/>
        <v>0</v>
      </c>
      <c r="AE145" s="160"/>
      <c r="AF145" s="160">
        <f t="shared" si="36"/>
        <v>0</v>
      </c>
      <c r="AG145" s="161"/>
      <c r="AH145" s="161">
        <f t="shared" si="37"/>
        <v>0</v>
      </c>
      <c r="AI145" s="162"/>
      <c r="AJ145" s="162">
        <f t="shared" si="38"/>
        <v>0</v>
      </c>
      <c r="AK145" s="164"/>
      <c r="AL145" s="164">
        <f t="shared" si="39"/>
        <v>0</v>
      </c>
      <c r="AM145" s="165"/>
      <c r="AN145" s="165">
        <f t="shared" si="40"/>
        <v>0</v>
      </c>
      <c r="AO145" s="166">
        <v>0</v>
      </c>
      <c r="AP145" s="166">
        <f t="shared" si="41"/>
        <v>0</v>
      </c>
      <c r="AQ145" s="162"/>
      <c r="AR145" s="162">
        <f t="shared" si="42"/>
        <v>0</v>
      </c>
      <c r="AS145" s="167"/>
      <c r="AT145" s="167">
        <f t="shared" si="43"/>
        <v>0</v>
      </c>
      <c r="AU145" s="163"/>
      <c r="AV145" s="163">
        <f t="shared" si="44"/>
        <v>0</v>
      </c>
      <c r="AW145" s="168"/>
      <c r="AX145" s="168">
        <f t="shared" si="45"/>
        <v>0</v>
      </c>
      <c r="AY145" s="170"/>
      <c r="AZ145" s="170">
        <f t="shared" si="46"/>
        <v>0</v>
      </c>
      <c r="BA145" s="166"/>
      <c r="BB145" s="166">
        <f t="shared" si="47"/>
        <v>0</v>
      </c>
    </row>
    <row r="146" spans="1:54" ht="31.5">
      <c r="A146" s="148" t="s">
        <v>5572</v>
      </c>
      <c r="B146" s="175" t="s">
        <v>325</v>
      </c>
      <c r="C146" s="175"/>
      <c r="D146" s="175"/>
      <c r="E146" s="150" t="s">
        <v>326</v>
      </c>
      <c r="F146" s="151" t="s">
        <v>5574</v>
      </c>
      <c r="G146" s="151" t="s">
        <v>324</v>
      </c>
      <c r="H146" s="151" t="s">
        <v>327</v>
      </c>
      <c r="I146" s="152" t="s">
        <v>10</v>
      </c>
      <c r="J146" s="153" t="s">
        <v>5429</v>
      </c>
      <c r="K146" s="177">
        <v>231</v>
      </c>
      <c r="L146" s="177"/>
      <c r="M146" s="159">
        <f t="shared" si="32"/>
        <v>0</v>
      </c>
      <c r="N146" s="159"/>
      <c r="O146" s="159"/>
      <c r="P146" s="159"/>
      <c r="Q146" s="159"/>
      <c r="R146" s="159"/>
      <c r="S146" s="149" t="s">
        <v>5336</v>
      </c>
      <c r="T146" s="150" t="s">
        <v>322</v>
      </c>
      <c r="U146" s="174" t="s">
        <v>5573</v>
      </c>
      <c r="V146" s="174" t="s">
        <v>5554</v>
      </c>
      <c r="W146" s="151" t="s">
        <v>5104</v>
      </c>
      <c r="X146" s="152" t="s">
        <v>213</v>
      </c>
      <c r="Y146" s="176">
        <v>395</v>
      </c>
      <c r="Z146" s="176">
        <v>182000</v>
      </c>
      <c r="AA146" s="156">
        <f t="shared" si="33"/>
        <v>42042000</v>
      </c>
      <c r="AB146" s="157">
        <v>182000</v>
      </c>
      <c r="AC146" s="158">
        <f t="shared" si="34"/>
        <v>182000</v>
      </c>
      <c r="AD146" s="159">
        <f t="shared" si="35"/>
        <v>0</v>
      </c>
      <c r="AE146" s="160"/>
      <c r="AF146" s="160">
        <f t="shared" si="36"/>
        <v>0</v>
      </c>
      <c r="AG146" s="161"/>
      <c r="AH146" s="161">
        <f t="shared" si="37"/>
        <v>0</v>
      </c>
      <c r="AI146" s="162"/>
      <c r="AJ146" s="162">
        <f t="shared" si="38"/>
        <v>0</v>
      </c>
      <c r="AK146" s="164"/>
      <c r="AL146" s="164">
        <f t="shared" si="39"/>
        <v>0</v>
      </c>
      <c r="AM146" s="165"/>
      <c r="AN146" s="165">
        <f t="shared" si="40"/>
        <v>0</v>
      </c>
      <c r="AO146" s="166">
        <v>0</v>
      </c>
      <c r="AP146" s="166">
        <f t="shared" si="41"/>
        <v>0</v>
      </c>
      <c r="AQ146" s="162"/>
      <c r="AR146" s="162">
        <f t="shared" si="42"/>
        <v>0</v>
      </c>
      <c r="AS146" s="167"/>
      <c r="AT146" s="167">
        <f t="shared" si="43"/>
        <v>0</v>
      </c>
      <c r="AU146" s="163"/>
      <c r="AV146" s="163">
        <f t="shared" si="44"/>
        <v>0</v>
      </c>
      <c r="AW146" s="168"/>
      <c r="AX146" s="168">
        <f t="shared" si="45"/>
        <v>0</v>
      </c>
      <c r="AY146" s="170"/>
      <c r="AZ146" s="170">
        <f t="shared" si="46"/>
        <v>0</v>
      </c>
      <c r="BA146" s="166"/>
      <c r="BB146" s="166">
        <f t="shared" si="47"/>
        <v>0</v>
      </c>
    </row>
    <row r="147" spans="1:54" ht="31.5">
      <c r="A147" s="172" t="s">
        <v>5575</v>
      </c>
      <c r="B147" s="175" t="s">
        <v>515</v>
      </c>
      <c r="C147" s="175"/>
      <c r="D147" s="175"/>
      <c r="E147" s="150" t="s">
        <v>5577</v>
      </c>
      <c r="F147" s="151" t="s">
        <v>5578</v>
      </c>
      <c r="G147" s="151" t="s">
        <v>530</v>
      </c>
      <c r="H147" s="151" t="s">
        <v>517</v>
      </c>
      <c r="I147" s="152" t="s">
        <v>5141</v>
      </c>
      <c r="J147" s="153" t="s">
        <v>5446</v>
      </c>
      <c r="K147" s="177">
        <v>6000</v>
      </c>
      <c r="L147" s="177"/>
      <c r="M147" s="159">
        <f t="shared" si="32"/>
        <v>0</v>
      </c>
      <c r="N147" s="159"/>
      <c r="O147" s="159"/>
      <c r="P147" s="159"/>
      <c r="Q147" s="159"/>
      <c r="R147" s="159"/>
      <c r="S147" s="149" t="s">
        <v>5417</v>
      </c>
      <c r="T147" s="150" t="s">
        <v>5418</v>
      </c>
      <c r="U147" s="174" t="s">
        <v>5576</v>
      </c>
      <c r="V147" s="174" t="s">
        <v>5554</v>
      </c>
      <c r="W147" s="151" t="s">
        <v>5104</v>
      </c>
      <c r="X147" s="152" t="s">
        <v>213</v>
      </c>
      <c r="Y147" s="176">
        <v>9000</v>
      </c>
      <c r="Z147" s="176">
        <v>6400</v>
      </c>
      <c r="AA147" s="156">
        <f t="shared" si="33"/>
        <v>38400000</v>
      </c>
      <c r="AB147" s="157">
        <v>6400</v>
      </c>
      <c r="AC147" s="158">
        <f t="shared" si="34"/>
        <v>6400</v>
      </c>
      <c r="AD147" s="159">
        <f t="shared" si="35"/>
        <v>0</v>
      </c>
      <c r="AE147" s="160"/>
      <c r="AF147" s="160">
        <f t="shared" si="36"/>
        <v>0</v>
      </c>
      <c r="AG147" s="165"/>
      <c r="AH147" s="161">
        <f t="shared" si="37"/>
        <v>0</v>
      </c>
      <c r="AI147" s="162"/>
      <c r="AJ147" s="162">
        <f t="shared" si="38"/>
        <v>0</v>
      </c>
      <c r="AK147" s="163"/>
      <c r="AL147" s="164">
        <f t="shared" si="39"/>
        <v>0</v>
      </c>
      <c r="AM147" s="161"/>
      <c r="AN147" s="165">
        <f t="shared" si="40"/>
        <v>0</v>
      </c>
      <c r="AO147" s="160">
        <v>0</v>
      </c>
      <c r="AP147" s="166">
        <f t="shared" si="41"/>
        <v>0</v>
      </c>
      <c r="AQ147" s="162"/>
      <c r="AR147" s="162">
        <f t="shared" si="42"/>
        <v>0</v>
      </c>
      <c r="AS147" s="173"/>
      <c r="AT147" s="167">
        <f t="shared" si="43"/>
        <v>0</v>
      </c>
      <c r="AU147" s="163"/>
      <c r="AV147" s="163">
        <f t="shared" si="44"/>
        <v>0</v>
      </c>
      <c r="AW147" s="162"/>
      <c r="AX147" s="168">
        <f t="shared" si="45"/>
        <v>0</v>
      </c>
      <c r="AY147" s="169"/>
      <c r="AZ147" s="170">
        <f t="shared" si="46"/>
        <v>0</v>
      </c>
      <c r="BA147" s="160"/>
      <c r="BB147" s="166">
        <f t="shared" si="47"/>
        <v>0</v>
      </c>
    </row>
    <row r="148" spans="1:54" ht="31.5">
      <c r="A148" s="148" t="s">
        <v>5579</v>
      </c>
      <c r="B148" s="175" t="s">
        <v>378</v>
      </c>
      <c r="C148" s="175"/>
      <c r="D148" s="175"/>
      <c r="E148" s="150" t="s">
        <v>378</v>
      </c>
      <c r="F148" s="151" t="s">
        <v>379</v>
      </c>
      <c r="G148" s="151" t="s">
        <v>360</v>
      </c>
      <c r="H148" s="151" t="s">
        <v>334</v>
      </c>
      <c r="I148" s="152" t="s">
        <v>10</v>
      </c>
      <c r="J148" s="153" t="s">
        <v>5150</v>
      </c>
      <c r="K148" s="177">
        <v>234</v>
      </c>
      <c r="L148" s="177"/>
      <c r="M148" s="159">
        <f t="shared" si="32"/>
        <v>0</v>
      </c>
      <c r="N148" s="159"/>
      <c r="O148" s="159"/>
      <c r="P148" s="159"/>
      <c r="Q148" s="159"/>
      <c r="R148" s="159"/>
      <c r="S148" s="150" t="s">
        <v>360</v>
      </c>
      <c r="T148" s="150" t="s">
        <v>358</v>
      </c>
      <c r="U148" s="174" t="s">
        <v>4860</v>
      </c>
      <c r="V148" s="174" t="s">
        <v>5554</v>
      </c>
      <c r="W148" s="151">
        <v>36</v>
      </c>
      <c r="X148" s="152" t="s">
        <v>213</v>
      </c>
      <c r="Y148" s="176">
        <v>350</v>
      </c>
      <c r="Z148" s="176">
        <v>146000</v>
      </c>
      <c r="AA148" s="156">
        <f t="shared" si="33"/>
        <v>34164000</v>
      </c>
      <c r="AB148" s="157">
        <v>146000</v>
      </c>
      <c r="AC148" s="158">
        <f t="shared" si="34"/>
        <v>146000</v>
      </c>
      <c r="AD148" s="159">
        <f t="shared" si="35"/>
        <v>0</v>
      </c>
      <c r="AE148" s="160"/>
      <c r="AF148" s="160">
        <f t="shared" si="36"/>
        <v>0</v>
      </c>
      <c r="AG148" s="161"/>
      <c r="AH148" s="161">
        <f t="shared" si="37"/>
        <v>0</v>
      </c>
      <c r="AI148" s="162"/>
      <c r="AJ148" s="162">
        <f t="shared" si="38"/>
        <v>0</v>
      </c>
      <c r="AK148" s="164"/>
      <c r="AL148" s="164">
        <f t="shared" si="39"/>
        <v>0</v>
      </c>
      <c r="AM148" s="165"/>
      <c r="AN148" s="165">
        <f t="shared" si="40"/>
        <v>0</v>
      </c>
      <c r="AO148" s="166">
        <v>0</v>
      </c>
      <c r="AP148" s="166">
        <f t="shared" si="41"/>
        <v>0</v>
      </c>
      <c r="AQ148" s="162"/>
      <c r="AR148" s="162">
        <f t="shared" si="42"/>
        <v>0</v>
      </c>
      <c r="AS148" s="167"/>
      <c r="AT148" s="167">
        <f t="shared" si="43"/>
        <v>0</v>
      </c>
      <c r="AU148" s="163"/>
      <c r="AV148" s="163">
        <f t="shared" si="44"/>
        <v>0</v>
      </c>
      <c r="AW148" s="168"/>
      <c r="AX148" s="168">
        <f t="shared" si="45"/>
        <v>0</v>
      </c>
      <c r="AY148" s="170"/>
      <c r="AZ148" s="170">
        <f t="shared" si="46"/>
        <v>0</v>
      </c>
      <c r="BA148" s="166"/>
      <c r="BB148" s="166">
        <f t="shared" si="47"/>
        <v>0</v>
      </c>
    </row>
    <row r="149" spans="1:54" ht="31.5">
      <c r="A149" s="148" t="s">
        <v>5580</v>
      </c>
      <c r="B149" s="175" t="s">
        <v>286</v>
      </c>
      <c r="C149" s="175"/>
      <c r="D149" s="175"/>
      <c r="E149" s="150" t="s">
        <v>5451</v>
      </c>
      <c r="F149" s="151" t="s">
        <v>5453</v>
      </c>
      <c r="G149" s="151" t="s">
        <v>360</v>
      </c>
      <c r="H149" s="151" t="s">
        <v>225</v>
      </c>
      <c r="I149" s="152" t="s">
        <v>10</v>
      </c>
      <c r="J149" s="153" t="s">
        <v>5452</v>
      </c>
      <c r="K149" s="177">
        <v>648</v>
      </c>
      <c r="L149" s="177"/>
      <c r="M149" s="159">
        <f t="shared" si="32"/>
        <v>0</v>
      </c>
      <c r="N149" s="159"/>
      <c r="O149" s="159"/>
      <c r="P149" s="159"/>
      <c r="Q149" s="159"/>
      <c r="R149" s="159"/>
      <c r="S149" s="150" t="s">
        <v>360</v>
      </c>
      <c r="T149" s="150" t="s">
        <v>358</v>
      </c>
      <c r="U149" s="174" t="s">
        <v>5581</v>
      </c>
      <c r="V149" s="174" t="s">
        <v>5554</v>
      </c>
      <c r="W149" s="151">
        <v>36</v>
      </c>
      <c r="X149" s="152" t="s">
        <v>213</v>
      </c>
      <c r="Y149" s="176">
        <v>5000</v>
      </c>
      <c r="Z149" s="176">
        <v>54600</v>
      </c>
      <c r="AA149" s="156">
        <f t="shared" si="33"/>
        <v>35380800</v>
      </c>
      <c r="AB149" s="157">
        <v>54600</v>
      </c>
      <c r="AC149" s="158">
        <f t="shared" si="34"/>
        <v>54600</v>
      </c>
      <c r="AD149" s="159">
        <f t="shared" si="35"/>
        <v>0</v>
      </c>
      <c r="AE149" s="160"/>
      <c r="AF149" s="160">
        <f t="shared" si="36"/>
        <v>0</v>
      </c>
      <c r="AG149" s="161"/>
      <c r="AH149" s="161">
        <f t="shared" si="37"/>
        <v>0</v>
      </c>
      <c r="AI149" s="162"/>
      <c r="AJ149" s="162">
        <f t="shared" si="38"/>
        <v>0</v>
      </c>
      <c r="AK149" s="164"/>
      <c r="AL149" s="164">
        <f t="shared" si="39"/>
        <v>0</v>
      </c>
      <c r="AM149" s="165"/>
      <c r="AN149" s="165">
        <f t="shared" si="40"/>
        <v>0</v>
      </c>
      <c r="AO149" s="166">
        <v>0</v>
      </c>
      <c r="AP149" s="166">
        <f t="shared" si="41"/>
        <v>0</v>
      </c>
      <c r="AQ149" s="162"/>
      <c r="AR149" s="162">
        <f t="shared" si="42"/>
        <v>0</v>
      </c>
      <c r="AS149" s="167"/>
      <c r="AT149" s="167">
        <f t="shared" si="43"/>
        <v>0</v>
      </c>
      <c r="AU149" s="163"/>
      <c r="AV149" s="163">
        <f t="shared" si="44"/>
        <v>0</v>
      </c>
      <c r="AW149" s="168"/>
      <c r="AX149" s="168">
        <f t="shared" si="45"/>
        <v>0</v>
      </c>
      <c r="AY149" s="170"/>
      <c r="AZ149" s="170">
        <f t="shared" si="46"/>
        <v>0</v>
      </c>
      <c r="BA149" s="166"/>
      <c r="BB149" s="166">
        <f t="shared" si="47"/>
        <v>0</v>
      </c>
    </row>
    <row r="150" spans="1:54" ht="31.5">
      <c r="A150" s="172" t="s">
        <v>5582</v>
      </c>
      <c r="B150" s="175" t="s">
        <v>221</v>
      </c>
      <c r="C150" s="175"/>
      <c r="D150" s="175"/>
      <c r="E150" s="150" t="s">
        <v>221</v>
      </c>
      <c r="F150" s="151" t="s">
        <v>380</v>
      </c>
      <c r="G150" s="151" t="s">
        <v>360</v>
      </c>
      <c r="H150" s="151" t="s">
        <v>222</v>
      </c>
      <c r="I150" s="152" t="s">
        <v>10</v>
      </c>
      <c r="J150" s="153" t="s">
        <v>5362</v>
      </c>
      <c r="K150" s="177">
        <v>123</v>
      </c>
      <c r="L150" s="177"/>
      <c r="M150" s="159">
        <f t="shared" si="32"/>
        <v>3600</v>
      </c>
      <c r="N150" s="159"/>
      <c r="O150" s="159"/>
      <c r="P150" s="159"/>
      <c r="Q150" s="159"/>
      <c r="R150" s="159"/>
      <c r="S150" s="150" t="s">
        <v>360</v>
      </c>
      <c r="T150" s="150" t="s">
        <v>358</v>
      </c>
      <c r="U150" s="174" t="s">
        <v>5583</v>
      </c>
      <c r="V150" s="174" t="s">
        <v>5554</v>
      </c>
      <c r="W150" s="151">
        <v>36</v>
      </c>
      <c r="X150" s="152" t="s">
        <v>213</v>
      </c>
      <c r="Y150" s="176">
        <v>150</v>
      </c>
      <c r="Z150" s="176">
        <v>74000</v>
      </c>
      <c r="AA150" s="156">
        <f t="shared" si="33"/>
        <v>9102000</v>
      </c>
      <c r="AB150" s="157">
        <v>59000</v>
      </c>
      <c r="AC150" s="158">
        <f t="shared" si="34"/>
        <v>55400</v>
      </c>
      <c r="AD150" s="159">
        <f t="shared" si="35"/>
        <v>442800</v>
      </c>
      <c r="AE150" s="160"/>
      <c r="AF150" s="160">
        <f t="shared" si="36"/>
        <v>0</v>
      </c>
      <c r="AG150" s="161"/>
      <c r="AH150" s="161">
        <f t="shared" si="37"/>
        <v>0</v>
      </c>
      <c r="AI150" s="162"/>
      <c r="AJ150" s="162">
        <f t="shared" si="38"/>
        <v>0</v>
      </c>
      <c r="AK150" s="164"/>
      <c r="AL150" s="164">
        <f t="shared" si="39"/>
        <v>0</v>
      </c>
      <c r="AM150" s="165">
        <v>2300</v>
      </c>
      <c r="AN150" s="165">
        <f t="shared" si="40"/>
        <v>282900</v>
      </c>
      <c r="AO150" s="166">
        <v>0</v>
      </c>
      <c r="AP150" s="166">
        <f t="shared" si="41"/>
        <v>0</v>
      </c>
      <c r="AQ150" s="162"/>
      <c r="AR150" s="162">
        <f t="shared" si="42"/>
        <v>0</v>
      </c>
      <c r="AS150" s="167">
        <v>1300</v>
      </c>
      <c r="AT150" s="167">
        <f t="shared" si="43"/>
        <v>159900</v>
      </c>
      <c r="AU150" s="163"/>
      <c r="AV150" s="163">
        <f t="shared" si="44"/>
        <v>0</v>
      </c>
      <c r="AW150" s="168"/>
      <c r="AX150" s="168">
        <f t="shared" si="45"/>
        <v>0</v>
      </c>
      <c r="AY150" s="170"/>
      <c r="AZ150" s="170">
        <f t="shared" si="46"/>
        <v>0</v>
      </c>
      <c r="BA150" s="166"/>
      <c r="BB150" s="166">
        <f t="shared" si="47"/>
        <v>0</v>
      </c>
    </row>
    <row r="151" spans="1:54">
      <c r="A151" s="148" t="s">
        <v>5584</v>
      </c>
      <c r="B151" s="175" t="s">
        <v>474</v>
      </c>
      <c r="C151" s="175"/>
      <c r="D151" s="175"/>
      <c r="E151" s="150" t="s">
        <v>475</v>
      </c>
      <c r="F151" s="151" t="s">
        <v>476</v>
      </c>
      <c r="G151" s="151" t="s">
        <v>473</v>
      </c>
      <c r="H151" s="151" t="s">
        <v>238</v>
      </c>
      <c r="I151" s="152" t="s">
        <v>10</v>
      </c>
      <c r="J151" s="153" t="s">
        <v>5461</v>
      </c>
      <c r="K151" s="177">
        <v>92</v>
      </c>
      <c r="L151" s="177"/>
      <c r="M151" s="159">
        <f t="shared" si="32"/>
        <v>0</v>
      </c>
      <c r="N151" s="159"/>
      <c r="O151" s="159"/>
      <c r="P151" s="159"/>
      <c r="Q151" s="159"/>
      <c r="R151" s="159"/>
      <c r="S151" s="150" t="s">
        <v>5459</v>
      </c>
      <c r="T151" s="150" t="s">
        <v>473</v>
      </c>
      <c r="U151" s="174" t="s">
        <v>5585</v>
      </c>
      <c r="V151" s="174" t="s">
        <v>5554</v>
      </c>
      <c r="W151" s="151" t="s">
        <v>253</v>
      </c>
      <c r="X151" s="152" t="s">
        <v>213</v>
      </c>
      <c r="Y151" s="176">
        <v>780</v>
      </c>
      <c r="Z151" s="176">
        <v>146000</v>
      </c>
      <c r="AA151" s="156">
        <f t="shared" si="33"/>
        <v>13432000</v>
      </c>
      <c r="AB151" s="157">
        <v>146000</v>
      </c>
      <c r="AC151" s="158">
        <f t="shared" si="34"/>
        <v>146000</v>
      </c>
      <c r="AD151" s="159">
        <f t="shared" si="35"/>
        <v>0</v>
      </c>
      <c r="AE151" s="160"/>
      <c r="AF151" s="160">
        <f t="shared" si="36"/>
        <v>0</v>
      </c>
      <c r="AG151" s="161"/>
      <c r="AH151" s="161">
        <f t="shared" si="37"/>
        <v>0</v>
      </c>
      <c r="AI151" s="162"/>
      <c r="AJ151" s="162">
        <f t="shared" si="38"/>
        <v>0</v>
      </c>
      <c r="AK151" s="164"/>
      <c r="AL151" s="164">
        <f t="shared" si="39"/>
        <v>0</v>
      </c>
      <c r="AM151" s="165"/>
      <c r="AN151" s="165">
        <f t="shared" si="40"/>
        <v>0</v>
      </c>
      <c r="AO151" s="166">
        <v>0</v>
      </c>
      <c r="AP151" s="166">
        <f t="shared" si="41"/>
        <v>0</v>
      </c>
      <c r="AQ151" s="162"/>
      <c r="AR151" s="162">
        <f t="shared" si="42"/>
        <v>0</v>
      </c>
      <c r="AS151" s="167"/>
      <c r="AT151" s="167">
        <f t="shared" si="43"/>
        <v>0</v>
      </c>
      <c r="AU151" s="163"/>
      <c r="AV151" s="163">
        <f t="shared" si="44"/>
        <v>0</v>
      </c>
      <c r="AW151" s="168"/>
      <c r="AX151" s="168">
        <f t="shared" si="45"/>
        <v>0</v>
      </c>
      <c r="AY151" s="170"/>
      <c r="AZ151" s="170">
        <f t="shared" si="46"/>
        <v>0</v>
      </c>
      <c r="BA151" s="166"/>
      <c r="BB151" s="166">
        <f t="shared" si="47"/>
        <v>0</v>
      </c>
    </row>
    <row r="152" spans="1:54" ht="31.5">
      <c r="A152" s="148" t="s">
        <v>5586</v>
      </c>
      <c r="B152" s="175" t="s">
        <v>224</v>
      </c>
      <c r="C152" s="175"/>
      <c r="D152" s="175"/>
      <c r="E152" s="150" t="s">
        <v>4876</v>
      </c>
      <c r="F152" s="151" t="s">
        <v>226</v>
      </c>
      <c r="G152" s="151" t="s">
        <v>215</v>
      </c>
      <c r="H152" s="151" t="s">
        <v>225</v>
      </c>
      <c r="I152" s="152" t="s">
        <v>10</v>
      </c>
      <c r="J152" s="153" t="s">
        <v>5463</v>
      </c>
      <c r="K152" s="177">
        <v>1450</v>
      </c>
      <c r="L152" s="177"/>
      <c r="M152" s="159">
        <f t="shared" si="32"/>
        <v>0</v>
      </c>
      <c r="N152" s="159"/>
      <c r="O152" s="159"/>
      <c r="P152" s="159"/>
      <c r="Q152" s="159"/>
      <c r="R152" s="159"/>
      <c r="S152" s="150" t="s">
        <v>5328</v>
      </c>
      <c r="T152" s="150" t="s">
        <v>215</v>
      </c>
      <c r="U152" s="174" t="s">
        <v>4877</v>
      </c>
      <c r="V152" s="174" t="s">
        <v>5554</v>
      </c>
      <c r="W152" s="151" t="s">
        <v>5104</v>
      </c>
      <c r="X152" s="152" t="s">
        <v>213</v>
      </c>
      <c r="Y152" s="176">
        <v>5250</v>
      </c>
      <c r="Z152" s="176">
        <v>19000</v>
      </c>
      <c r="AA152" s="156">
        <f t="shared" si="33"/>
        <v>27550000</v>
      </c>
      <c r="AB152" s="157">
        <v>18170</v>
      </c>
      <c r="AC152" s="158">
        <f t="shared" si="34"/>
        <v>18170</v>
      </c>
      <c r="AD152" s="159">
        <f t="shared" si="35"/>
        <v>0</v>
      </c>
      <c r="AE152" s="160"/>
      <c r="AF152" s="160">
        <f t="shared" si="36"/>
        <v>0</v>
      </c>
      <c r="AG152" s="165"/>
      <c r="AH152" s="161">
        <f t="shared" si="37"/>
        <v>0</v>
      </c>
      <c r="AI152" s="162"/>
      <c r="AJ152" s="162">
        <f t="shared" si="38"/>
        <v>0</v>
      </c>
      <c r="AK152" s="164"/>
      <c r="AL152" s="164">
        <f t="shared" si="39"/>
        <v>0</v>
      </c>
      <c r="AM152" s="165"/>
      <c r="AN152" s="165">
        <f t="shared" si="40"/>
        <v>0</v>
      </c>
      <c r="AO152" s="166">
        <v>0</v>
      </c>
      <c r="AP152" s="166">
        <f t="shared" si="41"/>
        <v>0</v>
      </c>
      <c r="AQ152" s="162"/>
      <c r="AR152" s="162">
        <f t="shared" si="42"/>
        <v>0</v>
      </c>
      <c r="AS152" s="173"/>
      <c r="AT152" s="167">
        <f t="shared" si="43"/>
        <v>0</v>
      </c>
      <c r="AU152" s="163"/>
      <c r="AV152" s="163">
        <f t="shared" si="44"/>
        <v>0</v>
      </c>
      <c r="AW152" s="168"/>
      <c r="AX152" s="168">
        <f t="shared" si="45"/>
        <v>0</v>
      </c>
      <c r="AY152" s="170"/>
      <c r="AZ152" s="170">
        <f t="shared" si="46"/>
        <v>0</v>
      </c>
      <c r="BA152" s="166"/>
      <c r="BB152" s="166">
        <f t="shared" si="47"/>
        <v>0</v>
      </c>
    </row>
    <row r="153" spans="1:54" s="131" customFormat="1" ht="31.5">
      <c r="A153" s="172" t="s">
        <v>5587</v>
      </c>
      <c r="B153" s="175" t="s">
        <v>353</v>
      </c>
      <c r="C153" s="175"/>
      <c r="D153" s="175"/>
      <c r="E153" s="150" t="s">
        <v>353</v>
      </c>
      <c r="F153" s="151" t="s">
        <v>382</v>
      </c>
      <c r="G153" s="151" t="s">
        <v>360</v>
      </c>
      <c r="H153" s="151" t="s">
        <v>381</v>
      </c>
      <c r="I153" s="152" t="s">
        <v>10</v>
      </c>
      <c r="J153" s="153" t="s">
        <v>5103</v>
      </c>
      <c r="K153" s="177">
        <v>53</v>
      </c>
      <c r="L153" s="177"/>
      <c r="M153" s="159">
        <f t="shared" si="32"/>
        <v>0</v>
      </c>
      <c r="N153" s="159"/>
      <c r="O153" s="159"/>
      <c r="P153" s="159"/>
      <c r="Q153" s="159"/>
      <c r="R153" s="159"/>
      <c r="S153" s="150" t="s">
        <v>360</v>
      </c>
      <c r="T153" s="150" t="s">
        <v>358</v>
      </c>
      <c r="U153" s="174" t="s">
        <v>5588</v>
      </c>
      <c r="V153" s="174" t="s">
        <v>5554</v>
      </c>
      <c r="W153" s="151">
        <v>36</v>
      </c>
      <c r="X153" s="152" t="s">
        <v>213</v>
      </c>
      <c r="Y153" s="176">
        <v>405</v>
      </c>
      <c r="Z153" s="176">
        <v>364000</v>
      </c>
      <c r="AA153" s="156">
        <f t="shared" si="33"/>
        <v>19292000</v>
      </c>
      <c r="AB153" s="157">
        <v>364000</v>
      </c>
      <c r="AC153" s="158">
        <f t="shared" si="34"/>
        <v>364000</v>
      </c>
      <c r="AD153" s="159">
        <f t="shared" si="35"/>
        <v>0</v>
      </c>
      <c r="AE153" s="160"/>
      <c r="AF153" s="160">
        <f t="shared" si="36"/>
        <v>0</v>
      </c>
      <c r="AG153" s="161"/>
      <c r="AH153" s="161">
        <f t="shared" si="37"/>
        <v>0</v>
      </c>
      <c r="AI153" s="162"/>
      <c r="AJ153" s="162">
        <f t="shared" si="38"/>
        <v>0</v>
      </c>
      <c r="AK153" s="164"/>
      <c r="AL153" s="164">
        <f t="shared" si="39"/>
        <v>0</v>
      </c>
      <c r="AM153" s="165"/>
      <c r="AN153" s="165">
        <f t="shared" si="40"/>
        <v>0</v>
      </c>
      <c r="AO153" s="166">
        <v>0</v>
      </c>
      <c r="AP153" s="166">
        <f t="shared" si="41"/>
        <v>0</v>
      </c>
      <c r="AQ153" s="162"/>
      <c r="AR153" s="162">
        <f t="shared" si="42"/>
        <v>0</v>
      </c>
      <c r="AS153" s="167"/>
      <c r="AT153" s="167">
        <f t="shared" si="43"/>
        <v>0</v>
      </c>
      <c r="AU153" s="163"/>
      <c r="AV153" s="163">
        <f t="shared" si="44"/>
        <v>0</v>
      </c>
      <c r="AW153" s="168"/>
      <c r="AX153" s="168">
        <f t="shared" si="45"/>
        <v>0</v>
      </c>
      <c r="AY153" s="170"/>
      <c r="AZ153" s="170">
        <f t="shared" si="46"/>
        <v>0</v>
      </c>
      <c r="BA153" s="166"/>
      <c r="BB153" s="166">
        <f t="shared" si="47"/>
        <v>0</v>
      </c>
    </row>
    <row r="154" spans="1:54" s="131" customFormat="1" ht="31.5">
      <c r="A154" s="148" t="s">
        <v>5589</v>
      </c>
      <c r="B154" s="175" t="s">
        <v>353</v>
      </c>
      <c r="C154" s="175"/>
      <c r="D154" s="175"/>
      <c r="E154" s="150" t="s">
        <v>383</v>
      </c>
      <c r="F154" s="151" t="s">
        <v>385</v>
      </c>
      <c r="G154" s="151" t="s">
        <v>360</v>
      </c>
      <c r="H154" s="151" t="s">
        <v>384</v>
      </c>
      <c r="I154" s="152" t="s">
        <v>10</v>
      </c>
      <c r="J154" s="153" t="s">
        <v>5103</v>
      </c>
      <c r="K154" s="177">
        <v>120</v>
      </c>
      <c r="L154" s="177"/>
      <c r="M154" s="159">
        <f t="shared" si="32"/>
        <v>0</v>
      </c>
      <c r="N154" s="159"/>
      <c r="O154" s="159"/>
      <c r="P154" s="159"/>
      <c r="Q154" s="159"/>
      <c r="R154" s="159"/>
      <c r="S154" s="150" t="s">
        <v>360</v>
      </c>
      <c r="T154" s="150" t="s">
        <v>358</v>
      </c>
      <c r="U154" s="174" t="s">
        <v>4865</v>
      </c>
      <c r="V154" s="174" t="s">
        <v>5554</v>
      </c>
      <c r="W154" s="151">
        <v>36</v>
      </c>
      <c r="X154" s="152" t="s">
        <v>213</v>
      </c>
      <c r="Y154" s="176">
        <v>950</v>
      </c>
      <c r="Z154" s="176">
        <v>182000</v>
      </c>
      <c r="AA154" s="156">
        <f t="shared" si="33"/>
        <v>21840000</v>
      </c>
      <c r="AB154" s="157">
        <v>182000</v>
      </c>
      <c r="AC154" s="158">
        <f t="shared" si="34"/>
        <v>182000</v>
      </c>
      <c r="AD154" s="159">
        <f t="shared" si="35"/>
        <v>0</v>
      </c>
      <c r="AE154" s="160"/>
      <c r="AF154" s="160">
        <f t="shared" si="36"/>
        <v>0</v>
      </c>
      <c r="AG154" s="165"/>
      <c r="AH154" s="161">
        <f t="shared" si="37"/>
        <v>0</v>
      </c>
      <c r="AI154" s="162"/>
      <c r="AJ154" s="162">
        <f t="shared" si="38"/>
        <v>0</v>
      </c>
      <c r="AK154" s="164"/>
      <c r="AL154" s="164">
        <f t="shared" si="39"/>
        <v>0</v>
      </c>
      <c r="AM154" s="165"/>
      <c r="AN154" s="165">
        <f t="shared" si="40"/>
        <v>0</v>
      </c>
      <c r="AO154" s="166">
        <v>0</v>
      </c>
      <c r="AP154" s="166">
        <f t="shared" si="41"/>
        <v>0</v>
      </c>
      <c r="AQ154" s="162"/>
      <c r="AR154" s="162">
        <f t="shared" si="42"/>
        <v>0</v>
      </c>
      <c r="AS154" s="173"/>
      <c r="AT154" s="167">
        <f t="shared" si="43"/>
        <v>0</v>
      </c>
      <c r="AU154" s="163"/>
      <c r="AV154" s="163">
        <f t="shared" si="44"/>
        <v>0</v>
      </c>
      <c r="AW154" s="168"/>
      <c r="AX154" s="168">
        <f t="shared" si="45"/>
        <v>0</v>
      </c>
      <c r="AY154" s="170"/>
      <c r="AZ154" s="170">
        <f t="shared" si="46"/>
        <v>0</v>
      </c>
      <c r="BA154" s="166"/>
      <c r="BB154" s="166">
        <f t="shared" si="47"/>
        <v>0</v>
      </c>
    </row>
    <row r="155" spans="1:54" s="131" customFormat="1" ht="31.5">
      <c r="A155" s="148" t="s">
        <v>5590</v>
      </c>
      <c r="B155" s="175" t="s">
        <v>270</v>
      </c>
      <c r="C155" s="175"/>
      <c r="D155" s="175"/>
      <c r="E155" s="150" t="s">
        <v>271</v>
      </c>
      <c r="F155" s="151" t="s">
        <v>273</v>
      </c>
      <c r="G155" s="151" t="s">
        <v>255</v>
      </c>
      <c r="H155" s="151" t="s">
        <v>272</v>
      </c>
      <c r="I155" s="152" t="s">
        <v>10</v>
      </c>
      <c r="J155" s="153" t="s">
        <v>5150</v>
      </c>
      <c r="K155" s="177">
        <v>609</v>
      </c>
      <c r="L155" s="177"/>
      <c r="M155" s="159">
        <f t="shared" si="32"/>
        <v>0</v>
      </c>
      <c r="N155" s="159"/>
      <c r="O155" s="159"/>
      <c r="P155" s="159"/>
      <c r="Q155" s="159"/>
      <c r="R155" s="159"/>
      <c r="S155" s="150" t="s">
        <v>5323</v>
      </c>
      <c r="T155" s="150" t="s">
        <v>5324</v>
      </c>
      <c r="U155" s="174" t="s">
        <v>5591</v>
      </c>
      <c r="V155" s="174" t="s">
        <v>5554</v>
      </c>
      <c r="W155" s="151" t="s">
        <v>5104</v>
      </c>
      <c r="X155" s="152" t="s">
        <v>213</v>
      </c>
      <c r="Y155" s="176">
        <v>1700</v>
      </c>
      <c r="Z155" s="176">
        <v>3000</v>
      </c>
      <c r="AA155" s="156">
        <f t="shared" si="33"/>
        <v>1827000</v>
      </c>
      <c r="AB155" s="157">
        <v>2300</v>
      </c>
      <c r="AC155" s="158">
        <f t="shared" si="34"/>
        <v>2300</v>
      </c>
      <c r="AD155" s="159">
        <f t="shared" si="35"/>
        <v>0</v>
      </c>
      <c r="AE155" s="160"/>
      <c r="AF155" s="160">
        <f t="shared" si="36"/>
        <v>0</v>
      </c>
      <c r="AG155" s="165"/>
      <c r="AH155" s="161">
        <f t="shared" si="37"/>
        <v>0</v>
      </c>
      <c r="AI155" s="162"/>
      <c r="AJ155" s="162">
        <f t="shared" si="38"/>
        <v>0</v>
      </c>
      <c r="AK155" s="164"/>
      <c r="AL155" s="164">
        <f t="shared" si="39"/>
        <v>0</v>
      </c>
      <c r="AM155" s="165"/>
      <c r="AN155" s="165">
        <f t="shared" si="40"/>
        <v>0</v>
      </c>
      <c r="AO155" s="166">
        <v>0</v>
      </c>
      <c r="AP155" s="166">
        <f t="shared" si="41"/>
        <v>0</v>
      </c>
      <c r="AQ155" s="162"/>
      <c r="AR155" s="162">
        <f t="shared" si="42"/>
        <v>0</v>
      </c>
      <c r="AS155" s="173"/>
      <c r="AT155" s="167">
        <f t="shared" si="43"/>
        <v>0</v>
      </c>
      <c r="AU155" s="163"/>
      <c r="AV155" s="163">
        <f t="shared" si="44"/>
        <v>0</v>
      </c>
      <c r="AW155" s="168"/>
      <c r="AX155" s="168">
        <f t="shared" si="45"/>
        <v>0</v>
      </c>
      <c r="AY155" s="170"/>
      <c r="AZ155" s="170">
        <f t="shared" si="46"/>
        <v>0</v>
      </c>
      <c r="BA155" s="166"/>
      <c r="BB155" s="166">
        <f t="shared" si="47"/>
        <v>0</v>
      </c>
    </row>
    <row r="156" spans="1:54" s="131" customFormat="1" ht="31.5">
      <c r="A156" s="172" t="s">
        <v>5592</v>
      </c>
      <c r="B156" s="175" t="s">
        <v>395</v>
      </c>
      <c r="C156" s="175"/>
      <c r="D156" s="175"/>
      <c r="E156" s="150" t="s">
        <v>395</v>
      </c>
      <c r="F156" s="151" t="s">
        <v>396</v>
      </c>
      <c r="G156" s="151" t="s">
        <v>360</v>
      </c>
      <c r="H156" s="151" t="s">
        <v>267</v>
      </c>
      <c r="I156" s="152" t="s">
        <v>10</v>
      </c>
      <c r="J156" s="153" t="s">
        <v>5362</v>
      </c>
      <c r="K156" s="177">
        <v>326</v>
      </c>
      <c r="L156" s="177"/>
      <c r="M156" s="159">
        <f t="shared" si="32"/>
        <v>0</v>
      </c>
      <c r="N156" s="159"/>
      <c r="O156" s="159"/>
      <c r="P156" s="159"/>
      <c r="Q156" s="159"/>
      <c r="R156" s="159"/>
      <c r="S156" s="150" t="s">
        <v>360</v>
      </c>
      <c r="T156" s="150" t="s">
        <v>358</v>
      </c>
      <c r="U156" s="174" t="s">
        <v>5593</v>
      </c>
      <c r="V156" s="174" t="s">
        <v>5554</v>
      </c>
      <c r="W156" s="151">
        <v>36</v>
      </c>
      <c r="X156" s="152" t="s">
        <v>213</v>
      </c>
      <c r="Y156" s="176">
        <v>1300</v>
      </c>
      <c r="Z156" s="176">
        <v>202000</v>
      </c>
      <c r="AA156" s="156">
        <f t="shared" si="33"/>
        <v>65852000</v>
      </c>
      <c r="AB156" s="157">
        <v>202000</v>
      </c>
      <c r="AC156" s="158">
        <f t="shared" si="34"/>
        <v>202000</v>
      </c>
      <c r="AD156" s="159">
        <f t="shared" si="35"/>
        <v>0</v>
      </c>
      <c r="AE156" s="160"/>
      <c r="AF156" s="160">
        <f t="shared" si="36"/>
        <v>0</v>
      </c>
      <c r="AG156" s="165"/>
      <c r="AH156" s="161">
        <f t="shared" si="37"/>
        <v>0</v>
      </c>
      <c r="AI156" s="162"/>
      <c r="AJ156" s="162">
        <f t="shared" si="38"/>
        <v>0</v>
      </c>
      <c r="AK156" s="164"/>
      <c r="AL156" s="164">
        <f t="shared" si="39"/>
        <v>0</v>
      </c>
      <c r="AM156" s="165"/>
      <c r="AN156" s="165">
        <f t="shared" si="40"/>
        <v>0</v>
      </c>
      <c r="AO156" s="166">
        <v>0</v>
      </c>
      <c r="AP156" s="166">
        <f t="shared" si="41"/>
        <v>0</v>
      </c>
      <c r="AQ156" s="162"/>
      <c r="AR156" s="162">
        <f t="shared" si="42"/>
        <v>0</v>
      </c>
      <c r="AS156" s="173"/>
      <c r="AT156" s="167">
        <f t="shared" si="43"/>
        <v>0</v>
      </c>
      <c r="AU156" s="163"/>
      <c r="AV156" s="163">
        <f t="shared" si="44"/>
        <v>0</v>
      </c>
      <c r="AW156" s="168"/>
      <c r="AX156" s="168">
        <f t="shared" si="45"/>
        <v>0</v>
      </c>
      <c r="AY156" s="170"/>
      <c r="AZ156" s="170">
        <f t="shared" si="46"/>
        <v>0</v>
      </c>
      <c r="BA156" s="166"/>
      <c r="BB156" s="166">
        <f t="shared" si="47"/>
        <v>0</v>
      </c>
    </row>
    <row r="157" spans="1:54" s="131" customFormat="1" ht="31.5">
      <c r="A157" s="148" t="s">
        <v>5594</v>
      </c>
      <c r="B157" s="175" t="s">
        <v>227</v>
      </c>
      <c r="C157" s="175"/>
      <c r="D157" s="175"/>
      <c r="E157" s="150" t="s">
        <v>397</v>
      </c>
      <c r="F157" s="151" t="s">
        <v>399</v>
      </c>
      <c r="G157" s="151" t="s">
        <v>360</v>
      </c>
      <c r="H157" s="151" t="s">
        <v>398</v>
      </c>
      <c r="I157" s="152" t="s">
        <v>10</v>
      </c>
      <c r="J157" s="153" t="s">
        <v>5514</v>
      </c>
      <c r="K157" s="177">
        <v>89</v>
      </c>
      <c r="L157" s="177"/>
      <c r="M157" s="159">
        <f t="shared" si="32"/>
        <v>0</v>
      </c>
      <c r="N157" s="159"/>
      <c r="O157" s="159"/>
      <c r="P157" s="159"/>
      <c r="Q157" s="159"/>
      <c r="R157" s="159"/>
      <c r="S157" s="150" t="s">
        <v>360</v>
      </c>
      <c r="T157" s="150" t="s">
        <v>358</v>
      </c>
      <c r="U157" s="174" t="s">
        <v>4907</v>
      </c>
      <c r="V157" s="174" t="s">
        <v>5554</v>
      </c>
      <c r="W157" s="151">
        <v>36</v>
      </c>
      <c r="X157" s="152" t="s">
        <v>213</v>
      </c>
      <c r="Y157" s="176">
        <v>450</v>
      </c>
      <c r="Z157" s="176">
        <v>180000</v>
      </c>
      <c r="AA157" s="156">
        <f t="shared" si="33"/>
        <v>16020000</v>
      </c>
      <c r="AB157" s="157"/>
      <c r="AC157" s="158">
        <f t="shared" si="34"/>
        <v>0</v>
      </c>
      <c r="AD157" s="159">
        <f t="shared" si="35"/>
        <v>0</v>
      </c>
      <c r="AE157" s="160"/>
      <c r="AF157" s="160">
        <f t="shared" si="36"/>
        <v>0</v>
      </c>
      <c r="AG157" s="165"/>
      <c r="AH157" s="161">
        <f t="shared" si="37"/>
        <v>0</v>
      </c>
      <c r="AI157" s="162"/>
      <c r="AJ157" s="162">
        <f t="shared" si="38"/>
        <v>0</v>
      </c>
      <c r="AK157" s="164"/>
      <c r="AL157" s="164">
        <f t="shared" si="39"/>
        <v>0</v>
      </c>
      <c r="AM157" s="165"/>
      <c r="AN157" s="165">
        <f t="shared" si="40"/>
        <v>0</v>
      </c>
      <c r="AO157" s="166">
        <v>0</v>
      </c>
      <c r="AP157" s="166">
        <f t="shared" si="41"/>
        <v>0</v>
      </c>
      <c r="AQ157" s="162"/>
      <c r="AR157" s="162">
        <f t="shared" si="42"/>
        <v>0</v>
      </c>
      <c r="AS157" s="173"/>
      <c r="AT157" s="167">
        <f t="shared" si="43"/>
        <v>0</v>
      </c>
      <c r="AU157" s="163"/>
      <c r="AV157" s="163">
        <f t="shared" si="44"/>
        <v>0</v>
      </c>
      <c r="AW157" s="168"/>
      <c r="AX157" s="168">
        <f t="shared" si="45"/>
        <v>0</v>
      </c>
      <c r="AY157" s="170"/>
      <c r="AZ157" s="170">
        <f t="shared" si="46"/>
        <v>0</v>
      </c>
      <c r="BA157" s="166"/>
      <c r="BB157" s="166">
        <f t="shared" si="47"/>
        <v>0</v>
      </c>
    </row>
    <row r="158" spans="1:54" s="131" customFormat="1" ht="31.5">
      <c r="A158" s="148" t="s">
        <v>5595</v>
      </c>
      <c r="B158" s="175" t="s">
        <v>402</v>
      </c>
      <c r="C158" s="175"/>
      <c r="D158" s="175"/>
      <c r="E158" s="150" t="s">
        <v>403</v>
      </c>
      <c r="F158" s="151" t="s">
        <v>404</v>
      </c>
      <c r="G158" s="151" t="s">
        <v>360</v>
      </c>
      <c r="H158" s="151" t="s">
        <v>327</v>
      </c>
      <c r="I158" s="152" t="s">
        <v>10</v>
      </c>
      <c r="J158" s="153" t="s">
        <v>5517</v>
      </c>
      <c r="K158" s="177">
        <v>95</v>
      </c>
      <c r="L158" s="177"/>
      <c r="M158" s="159">
        <f t="shared" si="32"/>
        <v>0</v>
      </c>
      <c r="N158" s="159"/>
      <c r="O158" s="159"/>
      <c r="P158" s="159"/>
      <c r="Q158" s="159"/>
      <c r="R158" s="159"/>
      <c r="S158" s="150" t="s">
        <v>360</v>
      </c>
      <c r="T158" s="150" t="s">
        <v>358</v>
      </c>
      <c r="U158" s="174" t="s">
        <v>5596</v>
      </c>
      <c r="V158" s="174" t="s">
        <v>5554</v>
      </c>
      <c r="W158" s="151">
        <v>36</v>
      </c>
      <c r="X158" s="152" t="s">
        <v>213</v>
      </c>
      <c r="Y158" s="176">
        <v>232</v>
      </c>
      <c r="Z158" s="176">
        <v>530000</v>
      </c>
      <c r="AA158" s="156">
        <f t="shared" si="33"/>
        <v>50350000</v>
      </c>
      <c r="AB158" s="157">
        <v>530000</v>
      </c>
      <c r="AC158" s="158">
        <f t="shared" si="34"/>
        <v>530000</v>
      </c>
      <c r="AD158" s="159">
        <f t="shared" si="35"/>
        <v>0</v>
      </c>
      <c r="AE158" s="160"/>
      <c r="AF158" s="160">
        <f t="shared" si="36"/>
        <v>0</v>
      </c>
      <c r="AG158" s="165"/>
      <c r="AH158" s="161">
        <f t="shared" si="37"/>
        <v>0</v>
      </c>
      <c r="AI158" s="162"/>
      <c r="AJ158" s="162">
        <f t="shared" si="38"/>
        <v>0</v>
      </c>
      <c r="AK158" s="164"/>
      <c r="AL158" s="164">
        <f t="shared" si="39"/>
        <v>0</v>
      </c>
      <c r="AM158" s="165"/>
      <c r="AN158" s="165">
        <f t="shared" si="40"/>
        <v>0</v>
      </c>
      <c r="AO158" s="166">
        <v>0</v>
      </c>
      <c r="AP158" s="166">
        <f t="shared" si="41"/>
        <v>0</v>
      </c>
      <c r="AQ158" s="162"/>
      <c r="AR158" s="162">
        <f t="shared" si="42"/>
        <v>0</v>
      </c>
      <c r="AS158" s="173"/>
      <c r="AT158" s="167">
        <f t="shared" si="43"/>
        <v>0</v>
      </c>
      <c r="AU158" s="163"/>
      <c r="AV158" s="163">
        <f t="shared" si="44"/>
        <v>0</v>
      </c>
      <c r="AW158" s="168"/>
      <c r="AX158" s="168">
        <f t="shared" si="45"/>
        <v>0</v>
      </c>
      <c r="AY158" s="170"/>
      <c r="AZ158" s="170">
        <f t="shared" si="46"/>
        <v>0</v>
      </c>
      <c r="BA158" s="166"/>
      <c r="BB158" s="166">
        <f t="shared" si="47"/>
        <v>0</v>
      </c>
    </row>
    <row r="159" spans="1:54" s="131" customFormat="1" ht="31.5">
      <c r="A159" s="172" t="s">
        <v>5597</v>
      </c>
      <c r="B159" s="175" t="s">
        <v>329</v>
      </c>
      <c r="C159" s="175"/>
      <c r="D159" s="175"/>
      <c r="E159" s="150" t="s">
        <v>329</v>
      </c>
      <c r="F159" s="151" t="s">
        <v>5522</v>
      </c>
      <c r="G159" s="151" t="s">
        <v>360</v>
      </c>
      <c r="H159" s="151" t="s">
        <v>232</v>
      </c>
      <c r="I159" s="152" t="s">
        <v>10</v>
      </c>
      <c r="J159" s="153" t="s">
        <v>5150</v>
      </c>
      <c r="K159" s="177">
        <v>220</v>
      </c>
      <c r="L159" s="177"/>
      <c r="M159" s="159">
        <f t="shared" si="32"/>
        <v>0</v>
      </c>
      <c r="N159" s="159"/>
      <c r="O159" s="159"/>
      <c r="P159" s="159"/>
      <c r="Q159" s="159"/>
      <c r="R159" s="159"/>
      <c r="S159" s="150" t="s">
        <v>360</v>
      </c>
      <c r="T159" s="150" t="s">
        <v>358</v>
      </c>
      <c r="U159" s="174" t="s">
        <v>5598</v>
      </c>
      <c r="V159" s="174" t="s">
        <v>5554</v>
      </c>
      <c r="W159" s="151">
        <v>36</v>
      </c>
      <c r="X159" s="152" t="s">
        <v>213</v>
      </c>
      <c r="Y159" s="176">
        <v>318</v>
      </c>
      <c r="Z159" s="176">
        <v>65000</v>
      </c>
      <c r="AA159" s="156">
        <f t="shared" si="33"/>
        <v>14300000</v>
      </c>
      <c r="AB159" s="157">
        <v>65000</v>
      </c>
      <c r="AC159" s="158">
        <f t="shared" si="34"/>
        <v>65000</v>
      </c>
      <c r="AD159" s="159">
        <f t="shared" si="35"/>
        <v>0</v>
      </c>
      <c r="AE159" s="160"/>
      <c r="AF159" s="160">
        <f t="shared" si="36"/>
        <v>0</v>
      </c>
      <c r="AG159" s="165"/>
      <c r="AH159" s="161">
        <f t="shared" si="37"/>
        <v>0</v>
      </c>
      <c r="AI159" s="162"/>
      <c r="AJ159" s="162">
        <f t="shared" si="38"/>
        <v>0</v>
      </c>
      <c r="AK159" s="164"/>
      <c r="AL159" s="164">
        <f t="shared" si="39"/>
        <v>0</v>
      </c>
      <c r="AM159" s="165"/>
      <c r="AN159" s="165">
        <f t="shared" si="40"/>
        <v>0</v>
      </c>
      <c r="AO159" s="166">
        <v>0</v>
      </c>
      <c r="AP159" s="166">
        <f t="shared" si="41"/>
        <v>0</v>
      </c>
      <c r="AQ159" s="162"/>
      <c r="AR159" s="162">
        <f t="shared" si="42"/>
        <v>0</v>
      </c>
      <c r="AS159" s="173"/>
      <c r="AT159" s="167">
        <f t="shared" si="43"/>
        <v>0</v>
      </c>
      <c r="AU159" s="163"/>
      <c r="AV159" s="163">
        <f t="shared" si="44"/>
        <v>0</v>
      </c>
      <c r="AW159" s="168"/>
      <c r="AX159" s="168">
        <f t="shared" si="45"/>
        <v>0</v>
      </c>
      <c r="AY159" s="170"/>
      <c r="AZ159" s="170">
        <f t="shared" si="46"/>
        <v>0</v>
      </c>
      <c r="BA159" s="166"/>
      <c r="BB159" s="166">
        <f t="shared" si="47"/>
        <v>0</v>
      </c>
    </row>
    <row r="160" spans="1:54" s="131" customFormat="1" ht="31.5">
      <c r="A160" s="148" t="s">
        <v>5599</v>
      </c>
      <c r="B160" s="183" t="s">
        <v>882</v>
      </c>
      <c r="C160" s="183"/>
      <c r="D160" s="183"/>
      <c r="E160" s="184" t="s">
        <v>4210</v>
      </c>
      <c r="F160" s="153" t="s">
        <v>5603</v>
      </c>
      <c r="G160" s="153" t="s">
        <v>5604</v>
      </c>
      <c r="H160" s="182" t="s">
        <v>1580</v>
      </c>
      <c r="I160" s="185" t="s">
        <v>10</v>
      </c>
      <c r="J160" s="182" t="s">
        <v>5602</v>
      </c>
      <c r="K160" s="186">
        <v>659</v>
      </c>
      <c r="L160" s="186"/>
      <c r="M160" s="159">
        <f t="shared" si="32"/>
        <v>15990</v>
      </c>
      <c r="N160" s="159"/>
      <c r="O160" s="159"/>
      <c r="P160" s="159"/>
      <c r="Q160" s="159"/>
      <c r="R160" s="159"/>
      <c r="S160" s="149" t="s">
        <v>5600</v>
      </c>
      <c r="T160" s="149" t="s">
        <v>5601</v>
      </c>
      <c r="U160" s="182" t="s">
        <v>4209</v>
      </c>
      <c r="V160" s="182" t="s">
        <v>210</v>
      </c>
      <c r="W160" s="153" t="s">
        <v>253</v>
      </c>
      <c r="X160" s="94" t="s">
        <v>5605</v>
      </c>
      <c r="Y160" s="186"/>
      <c r="Z160" s="187">
        <v>60000</v>
      </c>
      <c r="AA160" s="186">
        <f t="shared" si="33"/>
        <v>39540000</v>
      </c>
      <c r="AB160" s="157">
        <v>60000</v>
      </c>
      <c r="AC160" s="158">
        <f t="shared" si="34"/>
        <v>44010</v>
      </c>
      <c r="AD160" s="159">
        <f t="shared" si="35"/>
        <v>10537410</v>
      </c>
      <c r="AE160" s="160"/>
      <c r="AF160" s="160">
        <f t="shared" si="36"/>
        <v>0</v>
      </c>
      <c r="AG160" s="161"/>
      <c r="AH160" s="161">
        <f t="shared" si="37"/>
        <v>0</v>
      </c>
      <c r="AI160" s="162"/>
      <c r="AJ160" s="162">
        <f t="shared" si="38"/>
        <v>0</v>
      </c>
      <c r="AK160" s="164"/>
      <c r="AL160" s="164">
        <f t="shared" si="39"/>
        <v>0</v>
      </c>
      <c r="AM160" s="165"/>
      <c r="AN160" s="165">
        <f t="shared" si="40"/>
        <v>0</v>
      </c>
      <c r="AO160" s="166">
        <v>9990</v>
      </c>
      <c r="AP160" s="166">
        <f t="shared" si="41"/>
        <v>6583410</v>
      </c>
      <c r="AQ160" s="162"/>
      <c r="AR160" s="162">
        <f t="shared" si="42"/>
        <v>0</v>
      </c>
      <c r="AS160" s="167">
        <v>6000</v>
      </c>
      <c r="AT160" s="167">
        <f t="shared" si="43"/>
        <v>3954000</v>
      </c>
      <c r="AU160" s="163"/>
      <c r="AV160" s="163">
        <f t="shared" si="44"/>
        <v>0</v>
      </c>
      <c r="AW160" s="168"/>
      <c r="AX160" s="168">
        <f t="shared" si="45"/>
        <v>0</v>
      </c>
      <c r="AY160" s="170"/>
      <c r="AZ160" s="170">
        <f t="shared" si="46"/>
        <v>0</v>
      </c>
      <c r="BA160" s="166"/>
      <c r="BB160" s="166">
        <f t="shared" si="47"/>
        <v>0</v>
      </c>
    </row>
    <row r="161" spans="1:54" s="131" customFormat="1" ht="31.5">
      <c r="A161" s="148" t="s">
        <v>5606</v>
      </c>
      <c r="B161" s="183" t="s">
        <v>882</v>
      </c>
      <c r="C161" s="183"/>
      <c r="D161" s="183"/>
      <c r="E161" s="184" t="s">
        <v>4260</v>
      </c>
      <c r="F161" s="153" t="s">
        <v>885</v>
      </c>
      <c r="G161" s="153" t="s">
        <v>298</v>
      </c>
      <c r="H161" s="182" t="s">
        <v>262</v>
      </c>
      <c r="I161" s="185" t="s">
        <v>10</v>
      </c>
      <c r="J161" s="182" t="s">
        <v>5608</v>
      </c>
      <c r="K161" s="186">
        <v>58240</v>
      </c>
      <c r="L161" s="186"/>
      <c r="M161" s="159">
        <f t="shared" si="32"/>
        <v>120</v>
      </c>
      <c r="N161" s="159"/>
      <c r="O161" s="159"/>
      <c r="P161" s="159"/>
      <c r="Q161" s="159"/>
      <c r="R161" s="159"/>
      <c r="S161" s="150" t="s">
        <v>5118</v>
      </c>
      <c r="T161" s="150" t="s">
        <v>5119</v>
      </c>
      <c r="U161" s="182" t="s">
        <v>4259</v>
      </c>
      <c r="V161" s="182" t="s">
        <v>5607</v>
      </c>
      <c r="W161" s="153" t="s">
        <v>5104</v>
      </c>
      <c r="X161" s="94" t="s">
        <v>5116</v>
      </c>
      <c r="Y161" s="186"/>
      <c r="Z161" s="187">
        <v>400</v>
      </c>
      <c r="AA161" s="186">
        <f t="shared" si="33"/>
        <v>23296000</v>
      </c>
      <c r="AB161" s="157">
        <v>400</v>
      </c>
      <c r="AC161" s="158">
        <f t="shared" si="34"/>
        <v>280</v>
      </c>
      <c r="AD161" s="159">
        <f t="shared" si="35"/>
        <v>6988800</v>
      </c>
      <c r="AE161" s="160"/>
      <c r="AF161" s="160">
        <f t="shared" si="36"/>
        <v>0</v>
      </c>
      <c r="AG161" s="161"/>
      <c r="AH161" s="161">
        <f t="shared" si="37"/>
        <v>0</v>
      </c>
      <c r="AI161" s="162"/>
      <c r="AJ161" s="162">
        <f t="shared" si="38"/>
        <v>0</v>
      </c>
      <c r="AK161" s="164"/>
      <c r="AL161" s="164">
        <f t="shared" si="39"/>
        <v>0</v>
      </c>
      <c r="AM161" s="165">
        <v>30</v>
      </c>
      <c r="AN161" s="165">
        <f t="shared" si="40"/>
        <v>1747200</v>
      </c>
      <c r="AO161" s="166">
        <v>90</v>
      </c>
      <c r="AP161" s="166">
        <f t="shared" si="41"/>
        <v>5241600</v>
      </c>
      <c r="AQ161" s="162"/>
      <c r="AR161" s="162">
        <f t="shared" si="42"/>
        <v>0</v>
      </c>
      <c r="AS161" s="167"/>
      <c r="AT161" s="167">
        <f t="shared" si="43"/>
        <v>0</v>
      </c>
      <c r="AU161" s="163"/>
      <c r="AV161" s="163">
        <f t="shared" si="44"/>
        <v>0</v>
      </c>
      <c r="AW161" s="168"/>
      <c r="AX161" s="168">
        <f t="shared" si="45"/>
        <v>0</v>
      </c>
      <c r="AY161" s="170"/>
      <c r="AZ161" s="170">
        <f t="shared" si="46"/>
        <v>0</v>
      </c>
      <c r="BA161" s="166"/>
      <c r="BB161" s="166">
        <f t="shared" si="47"/>
        <v>0</v>
      </c>
    </row>
    <row r="162" spans="1:54" s="131" customFormat="1" ht="47.25">
      <c r="A162" s="172" t="s">
        <v>5609</v>
      </c>
      <c r="B162" s="184" t="s">
        <v>2454</v>
      </c>
      <c r="C162" s="184"/>
      <c r="D162" s="184"/>
      <c r="E162" s="153" t="s">
        <v>3801</v>
      </c>
      <c r="F162" s="153" t="s">
        <v>5614</v>
      </c>
      <c r="G162" s="153" t="s">
        <v>2036</v>
      </c>
      <c r="H162" s="153" t="s">
        <v>5611</v>
      </c>
      <c r="I162" s="153" t="s">
        <v>2037</v>
      </c>
      <c r="J162" s="153" t="s">
        <v>5613</v>
      </c>
      <c r="K162" s="189">
        <f>VLOOKUP($U162,'[1]07_VIMEDIMEX-BD'!$B$12:$O$54,12,0)</f>
        <v>132323</v>
      </c>
      <c r="L162" s="189"/>
      <c r="M162" s="159">
        <f t="shared" si="32"/>
        <v>300</v>
      </c>
      <c r="N162" s="159"/>
      <c r="O162" s="159"/>
      <c r="P162" s="159"/>
      <c r="Q162" s="159"/>
      <c r="R162" s="159"/>
      <c r="S162" s="150" t="s">
        <v>5118</v>
      </c>
      <c r="T162" s="150" t="s">
        <v>5119</v>
      </c>
      <c r="U162" s="153" t="s">
        <v>5610</v>
      </c>
      <c r="V162" s="188" t="s">
        <v>5612</v>
      </c>
      <c r="W162" s="184" t="s">
        <v>253</v>
      </c>
      <c r="X162" s="153" t="s">
        <v>5105</v>
      </c>
      <c r="Y162" s="189">
        <f>VLOOKUP($U162,'[1]07_VIMEDIMEX-BD'!$B$12:$O$54,11,0)</f>
        <v>132323</v>
      </c>
      <c r="Z162" s="190">
        <v>3000</v>
      </c>
      <c r="AA162" s="191">
        <f t="shared" si="33"/>
        <v>396969000</v>
      </c>
      <c r="AB162" s="192">
        <v>3000</v>
      </c>
      <c r="AC162" s="158">
        <f t="shared" ref="AC162:AC171" si="48">Z162-M162</f>
        <v>2700</v>
      </c>
      <c r="AD162" s="159">
        <f t="shared" si="35"/>
        <v>39696900</v>
      </c>
      <c r="AE162" s="193"/>
      <c r="AF162" s="160">
        <f t="shared" si="36"/>
        <v>0</v>
      </c>
      <c r="AG162" s="194"/>
      <c r="AH162" s="161">
        <f t="shared" si="37"/>
        <v>0</v>
      </c>
      <c r="AI162" s="195"/>
      <c r="AJ162" s="162">
        <f t="shared" si="38"/>
        <v>0</v>
      </c>
      <c r="AK162" s="196"/>
      <c r="AL162" s="164">
        <f t="shared" si="39"/>
        <v>0</v>
      </c>
      <c r="AM162" s="197">
        <v>300</v>
      </c>
      <c r="AN162" s="165">
        <f t="shared" si="40"/>
        <v>39696900</v>
      </c>
      <c r="AO162" s="198">
        <v>0</v>
      </c>
      <c r="AP162" s="166">
        <f t="shared" si="41"/>
        <v>0</v>
      </c>
      <c r="AQ162" s="195"/>
      <c r="AR162" s="162">
        <f t="shared" si="42"/>
        <v>0</v>
      </c>
      <c r="AS162" s="199"/>
      <c r="AT162" s="167">
        <f t="shared" si="43"/>
        <v>0</v>
      </c>
      <c r="AU162" s="196"/>
      <c r="AV162" s="163">
        <f t="shared" si="44"/>
        <v>0</v>
      </c>
      <c r="AW162" s="195"/>
      <c r="AX162" s="168">
        <f t="shared" si="45"/>
        <v>0</v>
      </c>
      <c r="AY162" s="200"/>
      <c r="AZ162" s="170">
        <f t="shared" si="46"/>
        <v>0</v>
      </c>
      <c r="BA162" s="198"/>
      <c r="BB162" s="166">
        <f t="shared" si="47"/>
        <v>0</v>
      </c>
    </row>
    <row r="163" spans="1:54" s="131" customFormat="1" ht="31.5">
      <c r="A163" s="148" t="s">
        <v>5615</v>
      </c>
      <c r="B163" s="184" t="s">
        <v>1526</v>
      </c>
      <c r="C163" s="184"/>
      <c r="D163" s="184"/>
      <c r="E163" s="153" t="s">
        <v>5618</v>
      </c>
      <c r="F163" s="153" t="s">
        <v>5620</v>
      </c>
      <c r="G163" s="153" t="s">
        <v>5621</v>
      </c>
      <c r="H163" s="153" t="s">
        <v>5617</v>
      </c>
      <c r="I163" s="153" t="s">
        <v>520</v>
      </c>
      <c r="J163" s="153" t="s">
        <v>5619</v>
      </c>
      <c r="K163" s="189">
        <v>4575</v>
      </c>
      <c r="L163" s="189"/>
      <c r="M163" s="159">
        <f t="shared" si="32"/>
        <v>0</v>
      </c>
      <c r="N163" s="159"/>
      <c r="O163" s="159"/>
      <c r="P163" s="159"/>
      <c r="Q163" s="159"/>
      <c r="R163" s="159"/>
      <c r="S163" s="149" t="s">
        <v>5099</v>
      </c>
      <c r="T163" s="150" t="s">
        <v>5100</v>
      </c>
      <c r="U163" s="153" t="s">
        <v>5616</v>
      </c>
      <c r="V163" s="188" t="s">
        <v>5612</v>
      </c>
      <c r="W163" s="153" t="s">
        <v>5104</v>
      </c>
      <c r="X163" s="153" t="s">
        <v>5622</v>
      </c>
      <c r="Y163" s="189">
        <v>5377</v>
      </c>
      <c r="Z163" s="190">
        <v>10000</v>
      </c>
      <c r="AA163" s="191">
        <f t="shared" si="33"/>
        <v>45750000</v>
      </c>
      <c r="AB163" s="192">
        <v>10000</v>
      </c>
      <c r="AC163" s="158">
        <f t="shared" si="48"/>
        <v>10000</v>
      </c>
      <c r="AD163" s="159">
        <f t="shared" si="35"/>
        <v>0</v>
      </c>
      <c r="AE163" s="193"/>
      <c r="AF163" s="160">
        <f t="shared" si="36"/>
        <v>0</v>
      </c>
      <c r="AG163" s="194"/>
      <c r="AH163" s="161">
        <f t="shared" si="37"/>
        <v>0</v>
      </c>
      <c r="AI163" s="195"/>
      <c r="AJ163" s="162">
        <f t="shared" si="38"/>
        <v>0</v>
      </c>
      <c r="AK163" s="196"/>
      <c r="AL163" s="164">
        <f t="shared" si="39"/>
        <v>0</v>
      </c>
      <c r="AM163" s="197"/>
      <c r="AN163" s="165">
        <f t="shared" si="40"/>
        <v>0</v>
      </c>
      <c r="AO163" s="198">
        <v>0</v>
      </c>
      <c r="AP163" s="166">
        <f t="shared" si="41"/>
        <v>0</v>
      </c>
      <c r="AQ163" s="195"/>
      <c r="AR163" s="162">
        <f t="shared" si="42"/>
        <v>0</v>
      </c>
      <c r="AS163" s="199"/>
      <c r="AT163" s="167">
        <f t="shared" si="43"/>
        <v>0</v>
      </c>
      <c r="AU163" s="196"/>
      <c r="AV163" s="163">
        <f t="shared" si="44"/>
        <v>0</v>
      </c>
      <c r="AW163" s="195"/>
      <c r="AX163" s="168">
        <f t="shared" si="45"/>
        <v>0</v>
      </c>
      <c r="AY163" s="200"/>
      <c r="AZ163" s="170">
        <f t="shared" si="46"/>
        <v>0</v>
      </c>
      <c r="BA163" s="198"/>
      <c r="BB163" s="166">
        <f t="shared" si="47"/>
        <v>0</v>
      </c>
    </row>
    <row r="164" spans="1:54" s="131" customFormat="1" ht="31.5">
      <c r="A164" s="148" t="s">
        <v>5623</v>
      </c>
      <c r="B164" s="184" t="s">
        <v>1526</v>
      </c>
      <c r="C164" s="184"/>
      <c r="D164" s="184"/>
      <c r="E164" s="153" t="s">
        <v>5626</v>
      </c>
      <c r="F164" s="153" t="s">
        <v>5627</v>
      </c>
      <c r="G164" s="153" t="s">
        <v>929</v>
      </c>
      <c r="H164" s="153" t="s">
        <v>5625</v>
      </c>
      <c r="I164" s="153" t="s">
        <v>520</v>
      </c>
      <c r="J164" s="153" t="s">
        <v>5619</v>
      </c>
      <c r="K164" s="189">
        <v>8513</v>
      </c>
      <c r="L164" s="189"/>
      <c r="M164" s="159">
        <f t="shared" si="32"/>
        <v>0</v>
      </c>
      <c r="N164" s="159"/>
      <c r="O164" s="159"/>
      <c r="P164" s="159"/>
      <c r="Q164" s="159"/>
      <c r="R164" s="159"/>
      <c r="S164" s="149" t="s">
        <v>5099</v>
      </c>
      <c r="T164" s="150" t="s">
        <v>5100</v>
      </c>
      <c r="U164" s="153" t="s">
        <v>5624</v>
      </c>
      <c r="V164" s="188" t="s">
        <v>5612</v>
      </c>
      <c r="W164" s="153" t="s">
        <v>5104</v>
      </c>
      <c r="X164" s="153" t="s">
        <v>5622</v>
      </c>
      <c r="Y164" s="189">
        <v>10009</v>
      </c>
      <c r="Z164" s="190">
        <v>10000</v>
      </c>
      <c r="AA164" s="191">
        <f t="shared" si="33"/>
        <v>85130000</v>
      </c>
      <c r="AB164" s="192">
        <v>10000</v>
      </c>
      <c r="AC164" s="158">
        <f t="shared" si="48"/>
        <v>10000</v>
      </c>
      <c r="AD164" s="159">
        <f t="shared" si="35"/>
        <v>0</v>
      </c>
      <c r="AE164" s="193"/>
      <c r="AF164" s="160">
        <f t="shared" si="36"/>
        <v>0</v>
      </c>
      <c r="AG164" s="194"/>
      <c r="AH164" s="161">
        <f t="shared" si="37"/>
        <v>0</v>
      </c>
      <c r="AI164" s="195"/>
      <c r="AJ164" s="162">
        <f t="shared" si="38"/>
        <v>0</v>
      </c>
      <c r="AK164" s="196"/>
      <c r="AL164" s="164">
        <f t="shared" si="39"/>
        <v>0</v>
      </c>
      <c r="AM164" s="197"/>
      <c r="AN164" s="165">
        <f t="shared" si="40"/>
        <v>0</v>
      </c>
      <c r="AO164" s="198">
        <v>0</v>
      </c>
      <c r="AP164" s="166">
        <f t="shared" si="41"/>
        <v>0</v>
      </c>
      <c r="AQ164" s="195"/>
      <c r="AR164" s="162">
        <f t="shared" si="42"/>
        <v>0</v>
      </c>
      <c r="AS164" s="199"/>
      <c r="AT164" s="167">
        <f t="shared" si="43"/>
        <v>0</v>
      </c>
      <c r="AU164" s="196"/>
      <c r="AV164" s="163">
        <f t="shared" si="44"/>
        <v>0</v>
      </c>
      <c r="AW164" s="195"/>
      <c r="AX164" s="168">
        <f t="shared" si="45"/>
        <v>0</v>
      </c>
      <c r="AY164" s="200"/>
      <c r="AZ164" s="170">
        <f t="shared" si="46"/>
        <v>0</v>
      </c>
      <c r="BA164" s="198"/>
      <c r="BB164" s="166">
        <f t="shared" si="47"/>
        <v>0</v>
      </c>
    </row>
    <row r="165" spans="1:54" s="131" customFormat="1" ht="31.5">
      <c r="A165" s="172" t="s">
        <v>5628</v>
      </c>
      <c r="B165" s="184" t="s">
        <v>5630</v>
      </c>
      <c r="C165" s="184"/>
      <c r="D165" s="184"/>
      <c r="E165" s="153" t="s">
        <v>2078</v>
      </c>
      <c r="F165" s="153" t="s">
        <v>2081</v>
      </c>
      <c r="G165" s="153" t="s">
        <v>2082</v>
      </c>
      <c r="H165" s="153" t="s">
        <v>5631</v>
      </c>
      <c r="I165" s="153" t="s">
        <v>14</v>
      </c>
      <c r="J165" s="153" t="s">
        <v>5632</v>
      </c>
      <c r="K165" s="189">
        <f>VLOOKUP($U165,'[1]07_VIMEDIMEX-BD'!$B$12:$O$54,12,0)</f>
        <v>16074</v>
      </c>
      <c r="L165" s="189"/>
      <c r="M165" s="159">
        <f t="shared" si="32"/>
        <v>0</v>
      </c>
      <c r="N165" s="159"/>
      <c r="O165" s="159"/>
      <c r="P165" s="159"/>
      <c r="Q165" s="159"/>
      <c r="R165" s="159"/>
      <c r="S165" s="150" t="s">
        <v>5118</v>
      </c>
      <c r="T165" s="150" t="s">
        <v>5119</v>
      </c>
      <c r="U165" s="153" t="s">
        <v>5629</v>
      </c>
      <c r="V165" s="188" t="s">
        <v>5612</v>
      </c>
      <c r="W165" s="184" t="s">
        <v>253</v>
      </c>
      <c r="X165" s="153" t="s">
        <v>5116</v>
      </c>
      <c r="Y165" s="189">
        <f>VLOOKUP($U165,'[1]07_VIMEDIMEX-BD'!$B$12:$O$54,11,0)</f>
        <v>16075</v>
      </c>
      <c r="Z165" s="190">
        <v>3000</v>
      </c>
      <c r="AA165" s="191">
        <f t="shared" si="33"/>
        <v>48222000</v>
      </c>
      <c r="AB165" s="192">
        <v>3000</v>
      </c>
      <c r="AC165" s="158">
        <f t="shared" si="48"/>
        <v>3000</v>
      </c>
      <c r="AD165" s="159">
        <f t="shared" si="35"/>
        <v>0</v>
      </c>
      <c r="AE165" s="193"/>
      <c r="AF165" s="160">
        <f t="shared" si="36"/>
        <v>0</v>
      </c>
      <c r="AG165" s="194"/>
      <c r="AH165" s="161">
        <f t="shared" si="37"/>
        <v>0</v>
      </c>
      <c r="AI165" s="195"/>
      <c r="AJ165" s="162">
        <f t="shared" si="38"/>
        <v>0</v>
      </c>
      <c r="AK165" s="196"/>
      <c r="AL165" s="164">
        <f t="shared" si="39"/>
        <v>0</v>
      </c>
      <c r="AM165" s="197"/>
      <c r="AN165" s="165">
        <f t="shared" si="40"/>
        <v>0</v>
      </c>
      <c r="AO165" s="198">
        <v>0</v>
      </c>
      <c r="AP165" s="166">
        <f t="shared" si="41"/>
        <v>0</v>
      </c>
      <c r="AQ165" s="195"/>
      <c r="AR165" s="162">
        <f t="shared" si="42"/>
        <v>0</v>
      </c>
      <c r="AS165" s="199"/>
      <c r="AT165" s="167">
        <f t="shared" si="43"/>
        <v>0</v>
      </c>
      <c r="AU165" s="196"/>
      <c r="AV165" s="163">
        <f t="shared" si="44"/>
        <v>0</v>
      </c>
      <c r="AW165" s="195"/>
      <c r="AX165" s="168">
        <f t="shared" si="45"/>
        <v>0</v>
      </c>
      <c r="AY165" s="200"/>
      <c r="AZ165" s="170">
        <f t="shared" si="46"/>
        <v>0</v>
      </c>
      <c r="BA165" s="198"/>
      <c r="BB165" s="166">
        <f t="shared" si="47"/>
        <v>0</v>
      </c>
    </row>
    <row r="166" spans="1:54" s="131" customFormat="1" ht="126">
      <c r="A166" s="148" t="s">
        <v>5633</v>
      </c>
      <c r="B166" s="184" t="s">
        <v>5634</v>
      </c>
      <c r="C166" s="184"/>
      <c r="D166" s="184"/>
      <c r="E166" s="153" t="s">
        <v>4319</v>
      </c>
      <c r="F166" s="153" t="s">
        <v>5637</v>
      </c>
      <c r="G166" s="153" t="s">
        <v>5638</v>
      </c>
      <c r="H166" s="153" t="s">
        <v>5635</v>
      </c>
      <c r="I166" s="153" t="s">
        <v>5639</v>
      </c>
      <c r="J166" s="153" t="s">
        <v>5636</v>
      </c>
      <c r="K166" s="189">
        <v>225996</v>
      </c>
      <c r="L166" s="189"/>
      <c r="M166" s="159">
        <f t="shared" si="32"/>
        <v>10</v>
      </c>
      <c r="N166" s="159"/>
      <c r="O166" s="159"/>
      <c r="P166" s="159"/>
      <c r="Q166" s="159"/>
      <c r="R166" s="159"/>
      <c r="S166" s="149" t="s">
        <v>5099</v>
      </c>
      <c r="T166" s="150" t="s">
        <v>5100</v>
      </c>
      <c r="U166" s="153" t="s">
        <v>4318</v>
      </c>
      <c r="V166" s="188" t="s">
        <v>5612</v>
      </c>
      <c r="W166" s="153" t="s">
        <v>253</v>
      </c>
      <c r="X166" s="153" t="s">
        <v>5121</v>
      </c>
      <c r="Y166" s="189">
        <v>225996</v>
      </c>
      <c r="Z166" s="190">
        <v>200</v>
      </c>
      <c r="AA166" s="191">
        <f t="shared" si="33"/>
        <v>45199200</v>
      </c>
      <c r="AB166" s="192">
        <v>200</v>
      </c>
      <c r="AC166" s="158">
        <f t="shared" si="48"/>
        <v>190</v>
      </c>
      <c r="AD166" s="159">
        <f t="shared" si="35"/>
        <v>2259960</v>
      </c>
      <c r="AE166" s="193"/>
      <c r="AF166" s="160">
        <f t="shared" si="36"/>
        <v>0</v>
      </c>
      <c r="AG166" s="194"/>
      <c r="AH166" s="161">
        <f t="shared" si="37"/>
        <v>0</v>
      </c>
      <c r="AI166" s="195"/>
      <c r="AJ166" s="162">
        <f t="shared" si="38"/>
        <v>0</v>
      </c>
      <c r="AK166" s="196"/>
      <c r="AL166" s="164">
        <f t="shared" si="39"/>
        <v>0</v>
      </c>
      <c r="AM166" s="197"/>
      <c r="AN166" s="165">
        <f t="shared" si="40"/>
        <v>0</v>
      </c>
      <c r="AO166" s="198">
        <v>10</v>
      </c>
      <c r="AP166" s="166">
        <f t="shared" si="41"/>
        <v>2259960</v>
      </c>
      <c r="AQ166" s="195"/>
      <c r="AR166" s="162">
        <f t="shared" si="42"/>
        <v>0</v>
      </c>
      <c r="AS166" s="199"/>
      <c r="AT166" s="167">
        <f t="shared" si="43"/>
        <v>0</v>
      </c>
      <c r="AU166" s="196"/>
      <c r="AV166" s="163">
        <f t="shared" si="44"/>
        <v>0</v>
      </c>
      <c r="AW166" s="195"/>
      <c r="AX166" s="168">
        <f t="shared" si="45"/>
        <v>0</v>
      </c>
      <c r="AY166" s="200"/>
      <c r="AZ166" s="170">
        <f t="shared" si="46"/>
        <v>0</v>
      </c>
      <c r="BA166" s="198"/>
      <c r="BB166" s="166">
        <f t="shared" si="47"/>
        <v>0</v>
      </c>
    </row>
    <row r="167" spans="1:54" s="131" customFormat="1" ht="47.25">
      <c r="A167" s="148" t="s">
        <v>5640</v>
      </c>
      <c r="B167" s="184" t="s">
        <v>5634</v>
      </c>
      <c r="C167" s="184"/>
      <c r="D167" s="184"/>
      <c r="E167" s="153" t="s">
        <v>4323</v>
      </c>
      <c r="F167" s="153" t="s">
        <v>5644</v>
      </c>
      <c r="G167" s="153" t="s">
        <v>935</v>
      </c>
      <c r="H167" s="153" t="s">
        <v>5642</v>
      </c>
      <c r="I167" s="153" t="s">
        <v>5639</v>
      </c>
      <c r="J167" s="153" t="s">
        <v>5643</v>
      </c>
      <c r="K167" s="189">
        <v>278090</v>
      </c>
      <c r="L167" s="189"/>
      <c r="M167" s="159">
        <f t="shared" si="32"/>
        <v>100</v>
      </c>
      <c r="N167" s="159"/>
      <c r="O167" s="159"/>
      <c r="P167" s="159"/>
      <c r="Q167" s="159"/>
      <c r="R167" s="159"/>
      <c r="S167" s="149" t="s">
        <v>5099</v>
      </c>
      <c r="T167" s="150" t="s">
        <v>5100</v>
      </c>
      <c r="U167" s="153" t="s">
        <v>5641</v>
      </c>
      <c r="V167" s="188" t="s">
        <v>5612</v>
      </c>
      <c r="W167" s="153" t="s">
        <v>253</v>
      </c>
      <c r="X167" s="153" t="s">
        <v>5121</v>
      </c>
      <c r="Y167" s="189">
        <v>305852</v>
      </c>
      <c r="Z167" s="190">
        <v>2000</v>
      </c>
      <c r="AA167" s="191">
        <f t="shared" si="33"/>
        <v>556180000</v>
      </c>
      <c r="AB167" s="192">
        <v>2000</v>
      </c>
      <c r="AC167" s="158">
        <f t="shared" si="48"/>
        <v>1900</v>
      </c>
      <c r="AD167" s="159">
        <f t="shared" si="35"/>
        <v>27809000</v>
      </c>
      <c r="AE167" s="193"/>
      <c r="AF167" s="160">
        <f t="shared" si="36"/>
        <v>0</v>
      </c>
      <c r="AG167" s="194"/>
      <c r="AH167" s="161">
        <f t="shared" si="37"/>
        <v>0</v>
      </c>
      <c r="AI167" s="195"/>
      <c r="AJ167" s="162">
        <f t="shared" si="38"/>
        <v>0</v>
      </c>
      <c r="AK167" s="196"/>
      <c r="AL167" s="164">
        <f t="shared" si="39"/>
        <v>0</v>
      </c>
      <c r="AM167" s="197"/>
      <c r="AN167" s="165">
        <f t="shared" si="40"/>
        <v>0</v>
      </c>
      <c r="AO167" s="198">
        <v>0</v>
      </c>
      <c r="AP167" s="166">
        <f t="shared" si="41"/>
        <v>0</v>
      </c>
      <c r="AQ167" s="195"/>
      <c r="AR167" s="162">
        <f t="shared" si="42"/>
        <v>0</v>
      </c>
      <c r="AS167" s="199">
        <v>100</v>
      </c>
      <c r="AT167" s="167">
        <f t="shared" si="43"/>
        <v>27809000</v>
      </c>
      <c r="AU167" s="196"/>
      <c r="AV167" s="163">
        <f t="shared" si="44"/>
        <v>0</v>
      </c>
      <c r="AW167" s="195"/>
      <c r="AX167" s="168">
        <f t="shared" si="45"/>
        <v>0</v>
      </c>
      <c r="AY167" s="200"/>
      <c r="AZ167" s="170">
        <f t="shared" si="46"/>
        <v>0</v>
      </c>
      <c r="BA167" s="198"/>
      <c r="BB167" s="166">
        <f t="shared" si="47"/>
        <v>0</v>
      </c>
    </row>
    <row r="168" spans="1:54" s="131" customFormat="1" ht="31.5">
      <c r="A168" s="172" t="s">
        <v>5645</v>
      </c>
      <c r="B168" s="184" t="s">
        <v>3890</v>
      </c>
      <c r="C168" s="184"/>
      <c r="D168" s="184"/>
      <c r="E168" s="153" t="s">
        <v>3891</v>
      </c>
      <c r="F168" s="153" t="s">
        <v>5648</v>
      </c>
      <c r="G168" s="153" t="s">
        <v>298</v>
      </c>
      <c r="H168" s="153" t="s">
        <v>3892</v>
      </c>
      <c r="I168" s="153" t="s">
        <v>628</v>
      </c>
      <c r="J168" s="153" t="s">
        <v>5647</v>
      </c>
      <c r="K168" s="189">
        <f>VLOOKUP($U168,'[1]07_VIMEDIMEX-BD'!$B$12:$O$54,12,0)</f>
        <v>30048</v>
      </c>
      <c r="L168" s="189"/>
      <c r="M168" s="159">
        <f t="shared" si="32"/>
        <v>0</v>
      </c>
      <c r="N168" s="159"/>
      <c r="O168" s="159"/>
      <c r="P168" s="159"/>
      <c r="Q168" s="159"/>
      <c r="R168" s="159"/>
      <c r="S168" s="150" t="s">
        <v>5118</v>
      </c>
      <c r="T168" s="150" t="s">
        <v>5119</v>
      </c>
      <c r="U168" s="153" t="s">
        <v>5646</v>
      </c>
      <c r="V168" s="188" t="s">
        <v>5612</v>
      </c>
      <c r="W168" s="184" t="s">
        <v>253</v>
      </c>
      <c r="X168" s="153" t="s">
        <v>5116</v>
      </c>
      <c r="Y168" s="189">
        <f>VLOOKUP($U168,'[1]07_VIMEDIMEX-BD'!$B$12:$O$54,11,0)</f>
        <v>30049</v>
      </c>
      <c r="Z168" s="190">
        <v>300</v>
      </c>
      <c r="AA168" s="191">
        <f t="shared" si="33"/>
        <v>9014400</v>
      </c>
      <c r="AB168" s="192">
        <v>300</v>
      </c>
      <c r="AC168" s="158">
        <f t="shared" si="48"/>
        <v>300</v>
      </c>
      <c r="AD168" s="159">
        <f t="shared" si="35"/>
        <v>0</v>
      </c>
      <c r="AE168" s="193"/>
      <c r="AF168" s="160">
        <f t="shared" si="36"/>
        <v>0</v>
      </c>
      <c r="AG168" s="194"/>
      <c r="AH168" s="161">
        <f t="shared" si="37"/>
        <v>0</v>
      </c>
      <c r="AI168" s="195"/>
      <c r="AJ168" s="162">
        <f t="shared" si="38"/>
        <v>0</v>
      </c>
      <c r="AK168" s="196"/>
      <c r="AL168" s="164">
        <f t="shared" si="39"/>
        <v>0</v>
      </c>
      <c r="AM168" s="197"/>
      <c r="AN168" s="165">
        <f t="shared" si="40"/>
        <v>0</v>
      </c>
      <c r="AO168" s="198">
        <v>0</v>
      </c>
      <c r="AP168" s="166">
        <f t="shared" si="41"/>
        <v>0</v>
      </c>
      <c r="AQ168" s="195"/>
      <c r="AR168" s="162">
        <f t="shared" si="42"/>
        <v>0</v>
      </c>
      <c r="AS168" s="199"/>
      <c r="AT168" s="167">
        <f t="shared" si="43"/>
        <v>0</v>
      </c>
      <c r="AU168" s="196"/>
      <c r="AV168" s="163">
        <f t="shared" si="44"/>
        <v>0</v>
      </c>
      <c r="AW168" s="195"/>
      <c r="AX168" s="168">
        <f t="shared" si="45"/>
        <v>0</v>
      </c>
      <c r="AY168" s="200"/>
      <c r="AZ168" s="170">
        <f t="shared" si="46"/>
        <v>0</v>
      </c>
      <c r="BA168" s="198"/>
      <c r="BB168" s="166">
        <f t="shared" si="47"/>
        <v>0</v>
      </c>
    </row>
    <row r="169" spans="1:54" s="131" customFormat="1" ht="31.5">
      <c r="A169" s="148" t="s">
        <v>5649</v>
      </c>
      <c r="B169" s="184" t="s">
        <v>4220</v>
      </c>
      <c r="C169" s="184"/>
      <c r="D169" s="184"/>
      <c r="E169" s="153" t="s">
        <v>5652</v>
      </c>
      <c r="F169" s="153" t="s">
        <v>917</v>
      </c>
      <c r="G169" s="153" t="s">
        <v>918</v>
      </c>
      <c r="H169" s="153" t="s">
        <v>5651</v>
      </c>
      <c r="I169" s="153" t="s">
        <v>5655</v>
      </c>
      <c r="J169" s="153" t="s">
        <v>5653</v>
      </c>
      <c r="K169" s="189">
        <v>241525</v>
      </c>
      <c r="L169" s="189"/>
      <c r="M169" s="159">
        <f t="shared" si="32"/>
        <v>0</v>
      </c>
      <c r="N169" s="159"/>
      <c r="O169" s="159"/>
      <c r="P169" s="159"/>
      <c r="Q169" s="159"/>
      <c r="R169" s="159"/>
      <c r="S169" s="149" t="s">
        <v>5099</v>
      </c>
      <c r="T169" s="150" t="s">
        <v>5100</v>
      </c>
      <c r="U169" s="153" t="s">
        <v>5650</v>
      </c>
      <c r="V169" s="188" t="s">
        <v>5612</v>
      </c>
      <c r="W169" s="153" t="s">
        <v>5104</v>
      </c>
      <c r="X169" s="153" t="s">
        <v>5654</v>
      </c>
      <c r="Y169" s="189">
        <v>241526</v>
      </c>
      <c r="Z169" s="190">
        <v>300</v>
      </c>
      <c r="AA169" s="191">
        <f t="shared" si="33"/>
        <v>72457500</v>
      </c>
      <c r="AB169" s="192">
        <v>300</v>
      </c>
      <c r="AC169" s="158">
        <f t="shared" si="48"/>
        <v>300</v>
      </c>
      <c r="AD169" s="159">
        <f t="shared" si="35"/>
        <v>0</v>
      </c>
      <c r="AE169" s="193"/>
      <c r="AF169" s="160">
        <f t="shared" si="36"/>
        <v>0</v>
      </c>
      <c r="AG169" s="194"/>
      <c r="AH169" s="161">
        <f t="shared" si="37"/>
        <v>0</v>
      </c>
      <c r="AI169" s="195"/>
      <c r="AJ169" s="162">
        <f t="shared" si="38"/>
        <v>0</v>
      </c>
      <c r="AK169" s="196"/>
      <c r="AL169" s="164">
        <f t="shared" si="39"/>
        <v>0</v>
      </c>
      <c r="AM169" s="197"/>
      <c r="AN169" s="165">
        <f t="shared" si="40"/>
        <v>0</v>
      </c>
      <c r="AO169" s="198">
        <v>0</v>
      </c>
      <c r="AP169" s="166">
        <f t="shared" si="41"/>
        <v>0</v>
      </c>
      <c r="AQ169" s="195"/>
      <c r="AR169" s="162">
        <f t="shared" si="42"/>
        <v>0</v>
      </c>
      <c r="AS169" s="199"/>
      <c r="AT169" s="167">
        <f t="shared" si="43"/>
        <v>0</v>
      </c>
      <c r="AU169" s="196"/>
      <c r="AV169" s="163">
        <f t="shared" si="44"/>
        <v>0</v>
      </c>
      <c r="AW169" s="195"/>
      <c r="AX169" s="168">
        <f t="shared" si="45"/>
        <v>0</v>
      </c>
      <c r="AY169" s="200"/>
      <c r="AZ169" s="170">
        <f t="shared" si="46"/>
        <v>0</v>
      </c>
      <c r="BA169" s="198"/>
      <c r="BB169" s="166">
        <f t="shared" si="47"/>
        <v>0</v>
      </c>
    </row>
    <row r="170" spans="1:54" s="131" customFormat="1" ht="31.5">
      <c r="A170" s="148" t="s">
        <v>5656</v>
      </c>
      <c r="B170" s="184" t="s">
        <v>876</v>
      </c>
      <c r="C170" s="184"/>
      <c r="D170" s="184"/>
      <c r="E170" s="153" t="s">
        <v>5659</v>
      </c>
      <c r="F170" s="153" t="s">
        <v>880</v>
      </c>
      <c r="G170" s="153" t="s">
        <v>881</v>
      </c>
      <c r="H170" s="153" t="s">
        <v>5658</v>
      </c>
      <c r="I170" s="153" t="s">
        <v>520</v>
      </c>
      <c r="J170" s="153" t="s">
        <v>5660</v>
      </c>
      <c r="K170" s="189">
        <v>13834</v>
      </c>
      <c r="L170" s="189"/>
      <c r="M170" s="159">
        <f t="shared" si="32"/>
        <v>0</v>
      </c>
      <c r="N170" s="159"/>
      <c r="O170" s="159"/>
      <c r="P170" s="159"/>
      <c r="Q170" s="159"/>
      <c r="R170" s="159"/>
      <c r="S170" s="149" t="s">
        <v>5099</v>
      </c>
      <c r="T170" s="150" t="s">
        <v>5100</v>
      </c>
      <c r="U170" s="153" t="s">
        <v>5657</v>
      </c>
      <c r="V170" s="188" t="s">
        <v>5612</v>
      </c>
      <c r="W170" s="153" t="s">
        <v>253</v>
      </c>
      <c r="X170" s="153" t="s">
        <v>5661</v>
      </c>
      <c r="Y170" s="189">
        <v>13835</v>
      </c>
      <c r="Z170" s="190">
        <v>3000</v>
      </c>
      <c r="AA170" s="191">
        <f t="shared" si="33"/>
        <v>41502000</v>
      </c>
      <c r="AB170" s="192">
        <v>3000</v>
      </c>
      <c r="AC170" s="158">
        <f t="shared" si="48"/>
        <v>3000</v>
      </c>
      <c r="AD170" s="159">
        <f t="shared" si="35"/>
        <v>0</v>
      </c>
      <c r="AE170" s="193"/>
      <c r="AF170" s="160">
        <f t="shared" si="36"/>
        <v>0</v>
      </c>
      <c r="AG170" s="194"/>
      <c r="AH170" s="161">
        <f t="shared" si="37"/>
        <v>0</v>
      </c>
      <c r="AI170" s="195"/>
      <c r="AJ170" s="162">
        <f t="shared" si="38"/>
        <v>0</v>
      </c>
      <c r="AK170" s="196"/>
      <c r="AL170" s="164">
        <f t="shared" si="39"/>
        <v>0</v>
      </c>
      <c r="AM170" s="197"/>
      <c r="AN170" s="165">
        <f t="shared" si="40"/>
        <v>0</v>
      </c>
      <c r="AO170" s="198">
        <v>0</v>
      </c>
      <c r="AP170" s="166">
        <f t="shared" si="41"/>
        <v>0</v>
      </c>
      <c r="AQ170" s="195"/>
      <c r="AR170" s="162">
        <f t="shared" si="42"/>
        <v>0</v>
      </c>
      <c r="AS170" s="199"/>
      <c r="AT170" s="167">
        <f t="shared" si="43"/>
        <v>0</v>
      </c>
      <c r="AU170" s="196"/>
      <c r="AV170" s="163">
        <f t="shared" si="44"/>
        <v>0</v>
      </c>
      <c r="AW170" s="195"/>
      <c r="AX170" s="168">
        <f t="shared" si="45"/>
        <v>0</v>
      </c>
      <c r="AY170" s="200"/>
      <c r="AZ170" s="170">
        <f t="shared" si="46"/>
        <v>0</v>
      </c>
      <c r="BA170" s="198"/>
      <c r="BB170" s="166">
        <f t="shared" si="47"/>
        <v>0</v>
      </c>
    </row>
    <row r="171" spans="1:54" s="131" customFormat="1" ht="31.5">
      <c r="A171" s="172" t="s">
        <v>5662</v>
      </c>
      <c r="B171" s="184" t="s">
        <v>4589</v>
      </c>
      <c r="C171" s="184"/>
      <c r="D171" s="184"/>
      <c r="E171" s="153" t="s">
        <v>5665</v>
      </c>
      <c r="F171" s="153" t="s">
        <v>5667</v>
      </c>
      <c r="G171" s="153" t="s">
        <v>881</v>
      </c>
      <c r="H171" s="153" t="s">
        <v>5664</v>
      </c>
      <c r="I171" s="153" t="s">
        <v>2780</v>
      </c>
      <c r="J171" s="153" t="s">
        <v>5666</v>
      </c>
      <c r="K171" s="189">
        <v>486948</v>
      </c>
      <c r="L171" s="189"/>
      <c r="M171" s="159">
        <f t="shared" si="32"/>
        <v>0</v>
      </c>
      <c r="N171" s="159"/>
      <c r="O171" s="159"/>
      <c r="P171" s="159"/>
      <c r="Q171" s="159"/>
      <c r="R171" s="159"/>
      <c r="S171" s="149" t="s">
        <v>5099</v>
      </c>
      <c r="T171" s="150" t="s">
        <v>5100</v>
      </c>
      <c r="U171" s="153" t="s">
        <v>5663</v>
      </c>
      <c r="V171" s="188" t="s">
        <v>5612</v>
      </c>
      <c r="W171" s="153" t="s">
        <v>253</v>
      </c>
      <c r="X171" s="153" t="s">
        <v>5661</v>
      </c>
      <c r="Y171" s="189">
        <v>486948</v>
      </c>
      <c r="Z171" s="190">
        <v>1000</v>
      </c>
      <c r="AA171" s="191">
        <f t="shared" si="33"/>
        <v>486948000</v>
      </c>
      <c r="AB171" s="192">
        <v>1000</v>
      </c>
      <c r="AC171" s="158">
        <f t="shared" si="48"/>
        <v>1000</v>
      </c>
      <c r="AD171" s="159">
        <f t="shared" si="35"/>
        <v>0</v>
      </c>
      <c r="AE171" s="193"/>
      <c r="AF171" s="160">
        <f t="shared" si="36"/>
        <v>0</v>
      </c>
      <c r="AG171" s="194"/>
      <c r="AH171" s="161">
        <f t="shared" si="37"/>
        <v>0</v>
      </c>
      <c r="AI171" s="195"/>
      <c r="AJ171" s="162">
        <f t="shared" si="38"/>
        <v>0</v>
      </c>
      <c r="AK171" s="196"/>
      <c r="AL171" s="164">
        <f t="shared" si="39"/>
        <v>0</v>
      </c>
      <c r="AM171" s="197"/>
      <c r="AN171" s="165">
        <f t="shared" si="40"/>
        <v>0</v>
      </c>
      <c r="AO171" s="198">
        <v>0</v>
      </c>
      <c r="AP171" s="166">
        <f t="shared" si="41"/>
        <v>0</v>
      </c>
      <c r="AQ171" s="195"/>
      <c r="AR171" s="162">
        <f t="shared" si="42"/>
        <v>0</v>
      </c>
      <c r="AS171" s="199"/>
      <c r="AT171" s="167">
        <f t="shared" si="43"/>
        <v>0</v>
      </c>
      <c r="AU171" s="196"/>
      <c r="AV171" s="163">
        <f t="shared" si="44"/>
        <v>0</v>
      </c>
      <c r="AW171" s="195"/>
      <c r="AX171" s="168">
        <f t="shared" si="45"/>
        <v>0</v>
      </c>
      <c r="AY171" s="200"/>
      <c r="AZ171" s="170">
        <f t="shared" si="46"/>
        <v>0</v>
      </c>
      <c r="BA171" s="198"/>
      <c r="BB171" s="166">
        <f t="shared" si="47"/>
        <v>0</v>
      </c>
    </row>
    <row r="172" spans="1:54" s="131" customFormat="1" ht="47.25">
      <c r="A172" s="148" t="s">
        <v>5668</v>
      </c>
      <c r="B172" s="183" t="s">
        <v>5672</v>
      </c>
      <c r="C172" s="183"/>
      <c r="D172" s="183"/>
      <c r="E172" s="184" t="s">
        <v>5673</v>
      </c>
      <c r="F172" s="153" t="s">
        <v>5675</v>
      </c>
      <c r="G172" s="153" t="s">
        <v>5676</v>
      </c>
      <c r="H172" s="182" t="s">
        <v>327</v>
      </c>
      <c r="I172" s="185" t="s">
        <v>10</v>
      </c>
      <c r="J172" s="182" t="s">
        <v>5674</v>
      </c>
      <c r="K172" s="186">
        <v>2068</v>
      </c>
      <c r="L172" s="186"/>
      <c r="M172" s="159">
        <f t="shared" si="32"/>
        <v>0</v>
      </c>
      <c r="N172" s="159"/>
      <c r="O172" s="159"/>
      <c r="P172" s="159"/>
      <c r="Q172" s="159"/>
      <c r="R172" s="159"/>
      <c r="S172" s="149" t="s">
        <v>5669</v>
      </c>
      <c r="T172" s="149" t="s">
        <v>5670</v>
      </c>
      <c r="U172" s="182" t="s">
        <v>5671</v>
      </c>
      <c r="V172" s="182" t="s">
        <v>5325</v>
      </c>
      <c r="W172" s="153" t="s">
        <v>5104</v>
      </c>
      <c r="X172" s="94" t="s">
        <v>213</v>
      </c>
      <c r="Y172" s="186"/>
      <c r="Z172" s="187">
        <v>4000</v>
      </c>
      <c r="AA172" s="186">
        <f t="shared" si="33"/>
        <v>8272000</v>
      </c>
      <c r="AB172" s="157">
        <v>4000</v>
      </c>
      <c r="AC172" s="158">
        <f t="shared" ref="AC172:AC235" si="49">AB172-M172</f>
        <v>4000</v>
      </c>
      <c r="AD172" s="159">
        <f t="shared" si="35"/>
        <v>0</v>
      </c>
      <c r="AE172" s="160"/>
      <c r="AF172" s="160">
        <f t="shared" si="36"/>
        <v>0</v>
      </c>
      <c r="AG172" s="161"/>
      <c r="AH172" s="161">
        <f t="shared" si="37"/>
        <v>0</v>
      </c>
      <c r="AI172" s="162"/>
      <c r="AJ172" s="162">
        <f t="shared" si="38"/>
        <v>0</v>
      </c>
      <c r="AK172" s="164"/>
      <c r="AL172" s="164">
        <f t="shared" si="39"/>
        <v>0</v>
      </c>
      <c r="AM172" s="165"/>
      <c r="AN172" s="165">
        <f t="shared" si="40"/>
        <v>0</v>
      </c>
      <c r="AO172" s="166">
        <v>0</v>
      </c>
      <c r="AP172" s="166">
        <f t="shared" si="41"/>
        <v>0</v>
      </c>
      <c r="AQ172" s="162"/>
      <c r="AR172" s="162">
        <f t="shared" si="42"/>
        <v>0</v>
      </c>
      <c r="AS172" s="167"/>
      <c r="AT172" s="167">
        <f t="shared" si="43"/>
        <v>0</v>
      </c>
      <c r="AU172" s="163"/>
      <c r="AV172" s="163">
        <f t="shared" si="44"/>
        <v>0</v>
      </c>
      <c r="AW172" s="168"/>
      <c r="AX172" s="168">
        <f t="shared" si="45"/>
        <v>0</v>
      </c>
      <c r="AY172" s="170"/>
      <c r="AZ172" s="170">
        <f t="shared" si="46"/>
        <v>0</v>
      </c>
      <c r="BA172" s="166"/>
      <c r="BB172" s="166">
        <f t="shared" si="47"/>
        <v>0</v>
      </c>
    </row>
    <row r="173" spans="1:54" s="131" customFormat="1" ht="31.5">
      <c r="A173" s="148" t="s">
        <v>5677</v>
      </c>
      <c r="B173" s="183" t="s">
        <v>5672</v>
      </c>
      <c r="C173" s="183"/>
      <c r="D173" s="183"/>
      <c r="E173" s="184" t="s">
        <v>5679</v>
      </c>
      <c r="F173" s="153" t="s">
        <v>5680</v>
      </c>
      <c r="G173" s="153" t="s">
        <v>5676</v>
      </c>
      <c r="H173" s="182" t="s">
        <v>381</v>
      </c>
      <c r="I173" s="185" t="s">
        <v>10</v>
      </c>
      <c r="J173" s="182" t="s">
        <v>5674</v>
      </c>
      <c r="K173" s="186">
        <v>4369</v>
      </c>
      <c r="L173" s="186"/>
      <c r="M173" s="159">
        <f t="shared" si="32"/>
        <v>0</v>
      </c>
      <c r="N173" s="159"/>
      <c r="O173" s="159"/>
      <c r="P173" s="159"/>
      <c r="Q173" s="159"/>
      <c r="R173" s="159"/>
      <c r="S173" s="149" t="s">
        <v>5669</v>
      </c>
      <c r="T173" s="149" t="s">
        <v>5670</v>
      </c>
      <c r="U173" s="182" t="s">
        <v>5678</v>
      </c>
      <c r="V173" s="182" t="s">
        <v>5325</v>
      </c>
      <c r="W173" s="153" t="s">
        <v>5104</v>
      </c>
      <c r="X173" s="94" t="s">
        <v>213</v>
      </c>
      <c r="Y173" s="186"/>
      <c r="Z173" s="187">
        <v>4000</v>
      </c>
      <c r="AA173" s="186">
        <f t="shared" si="33"/>
        <v>17476000</v>
      </c>
      <c r="AB173" s="157">
        <v>4000</v>
      </c>
      <c r="AC173" s="158">
        <f t="shared" si="49"/>
        <v>4000</v>
      </c>
      <c r="AD173" s="159">
        <f t="shared" si="35"/>
        <v>0</v>
      </c>
      <c r="AE173" s="160"/>
      <c r="AF173" s="160">
        <f t="shared" si="36"/>
        <v>0</v>
      </c>
      <c r="AG173" s="161"/>
      <c r="AH173" s="161">
        <f t="shared" si="37"/>
        <v>0</v>
      </c>
      <c r="AI173" s="162"/>
      <c r="AJ173" s="162">
        <f t="shared" si="38"/>
        <v>0</v>
      </c>
      <c r="AK173" s="164"/>
      <c r="AL173" s="164">
        <f t="shared" si="39"/>
        <v>0</v>
      </c>
      <c r="AM173" s="165"/>
      <c r="AN173" s="165">
        <f t="shared" si="40"/>
        <v>0</v>
      </c>
      <c r="AO173" s="166">
        <v>0</v>
      </c>
      <c r="AP173" s="166">
        <f t="shared" si="41"/>
        <v>0</v>
      </c>
      <c r="AQ173" s="162"/>
      <c r="AR173" s="162">
        <f t="shared" si="42"/>
        <v>0</v>
      </c>
      <c r="AS173" s="167"/>
      <c r="AT173" s="167">
        <f t="shared" si="43"/>
        <v>0</v>
      </c>
      <c r="AU173" s="163"/>
      <c r="AV173" s="163">
        <f t="shared" si="44"/>
        <v>0</v>
      </c>
      <c r="AW173" s="168"/>
      <c r="AX173" s="168">
        <f t="shared" si="45"/>
        <v>0</v>
      </c>
      <c r="AY173" s="170"/>
      <c r="AZ173" s="170">
        <f t="shared" si="46"/>
        <v>0</v>
      </c>
      <c r="BA173" s="166"/>
      <c r="BB173" s="166">
        <f t="shared" si="47"/>
        <v>0</v>
      </c>
    </row>
    <row r="174" spans="1:54" s="131" customFormat="1" ht="31.5">
      <c r="A174" s="172" t="s">
        <v>5681</v>
      </c>
      <c r="B174" s="183" t="s">
        <v>1911</v>
      </c>
      <c r="C174" s="183"/>
      <c r="D174" s="183"/>
      <c r="E174" s="184" t="s">
        <v>3811</v>
      </c>
      <c r="F174" s="153" t="s">
        <v>5683</v>
      </c>
      <c r="G174" s="153" t="s">
        <v>5684</v>
      </c>
      <c r="H174" s="182" t="s">
        <v>248</v>
      </c>
      <c r="I174" s="185" t="s">
        <v>10</v>
      </c>
      <c r="J174" s="182" t="s">
        <v>5682</v>
      </c>
      <c r="K174" s="186">
        <v>4389</v>
      </c>
      <c r="L174" s="186"/>
      <c r="M174" s="159">
        <f t="shared" si="32"/>
        <v>3136</v>
      </c>
      <c r="N174" s="159"/>
      <c r="O174" s="159"/>
      <c r="P174" s="159"/>
      <c r="Q174" s="159"/>
      <c r="R174" s="159"/>
      <c r="S174" s="149" t="s">
        <v>5099</v>
      </c>
      <c r="T174" s="150" t="s">
        <v>5100</v>
      </c>
      <c r="U174" s="182" t="s">
        <v>3810</v>
      </c>
      <c r="V174" s="182" t="s">
        <v>5607</v>
      </c>
      <c r="W174" s="153" t="s">
        <v>5104</v>
      </c>
      <c r="X174" s="94" t="s">
        <v>5661</v>
      </c>
      <c r="Y174" s="186"/>
      <c r="Z174" s="187">
        <v>20000</v>
      </c>
      <c r="AA174" s="186">
        <f t="shared" si="33"/>
        <v>87780000</v>
      </c>
      <c r="AB174" s="157">
        <v>20000</v>
      </c>
      <c r="AC174" s="158">
        <f t="shared" si="49"/>
        <v>16864</v>
      </c>
      <c r="AD174" s="159">
        <f t="shared" si="35"/>
        <v>13763904</v>
      </c>
      <c r="AE174" s="160"/>
      <c r="AF174" s="160">
        <f t="shared" si="36"/>
        <v>0</v>
      </c>
      <c r="AG174" s="161">
        <v>2996</v>
      </c>
      <c r="AH174" s="161">
        <f t="shared" si="37"/>
        <v>13149444</v>
      </c>
      <c r="AI174" s="162"/>
      <c r="AJ174" s="162">
        <f t="shared" si="38"/>
        <v>0</v>
      </c>
      <c r="AK174" s="164"/>
      <c r="AL174" s="164">
        <f t="shared" si="39"/>
        <v>0</v>
      </c>
      <c r="AM174" s="165"/>
      <c r="AN174" s="165">
        <f t="shared" si="40"/>
        <v>0</v>
      </c>
      <c r="AO174" s="166">
        <v>0</v>
      </c>
      <c r="AP174" s="166">
        <f t="shared" si="41"/>
        <v>0</v>
      </c>
      <c r="AQ174" s="162"/>
      <c r="AR174" s="162">
        <f t="shared" si="42"/>
        <v>0</v>
      </c>
      <c r="AS174" s="167">
        <v>140</v>
      </c>
      <c r="AT174" s="167">
        <f t="shared" si="43"/>
        <v>614460</v>
      </c>
      <c r="AU174" s="163"/>
      <c r="AV174" s="163">
        <f t="shared" si="44"/>
        <v>0</v>
      </c>
      <c r="AW174" s="168"/>
      <c r="AX174" s="168">
        <f t="shared" si="45"/>
        <v>0</v>
      </c>
      <c r="AY174" s="170"/>
      <c r="AZ174" s="170">
        <f t="shared" si="46"/>
        <v>0</v>
      </c>
      <c r="BA174" s="166"/>
      <c r="BB174" s="166">
        <f t="shared" si="47"/>
        <v>0</v>
      </c>
    </row>
    <row r="175" spans="1:54" s="131" customFormat="1" ht="31.5">
      <c r="A175" s="148" t="s">
        <v>5685</v>
      </c>
      <c r="B175" s="183" t="s">
        <v>1911</v>
      </c>
      <c r="C175" s="183"/>
      <c r="D175" s="183"/>
      <c r="E175" s="201" t="s">
        <v>5689</v>
      </c>
      <c r="F175" s="185" t="s">
        <v>5691</v>
      </c>
      <c r="G175" s="185" t="s">
        <v>5692</v>
      </c>
      <c r="H175" s="182" t="s">
        <v>291</v>
      </c>
      <c r="I175" s="185" t="s">
        <v>10</v>
      </c>
      <c r="J175" s="182" t="s">
        <v>5690</v>
      </c>
      <c r="K175" s="186">
        <v>2373</v>
      </c>
      <c r="L175" s="186"/>
      <c r="M175" s="159">
        <f t="shared" si="32"/>
        <v>0</v>
      </c>
      <c r="N175" s="159"/>
      <c r="O175" s="159"/>
      <c r="P175" s="159"/>
      <c r="Q175" s="159"/>
      <c r="R175" s="159"/>
      <c r="S175" s="150" t="s">
        <v>5686</v>
      </c>
      <c r="T175" s="150" t="s">
        <v>5687</v>
      </c>
      <c r="U175" s="182" t="s">
        <v>5688</v>
      </c>
      <c r="V175" s="182" t="s">
        <v>211</v>
      </c>
      <c r="W175" s="185" t="s">
        <v>253</v>
      </c>
      <c r="X175" s="185" t="s">
        <v>5693</v>
      </c>
      <c r="Y175" s="186"/>
      <c r="Z175" s="187">
        <v>30000</v>
      </c>
      <c r="AA175" s="186">
        <f t="shared" si="33"/>
        <v>71190000</v>
      </c>
      <c r="AB175" s="157">
        <v>30000</v>
      </c>
      <c r="AC175" s="158">
        <f t="shared" si="49"/>
        <v>30000</v>
      </c>
      <c r="AD175" s="159">
        <f t="shared" si="35"/>
        <v>0</v>
      </c>
      <c r="AE175" s="160"/>
      <c r="AF175" s="160">
        <f t="shared" si="36"/>
        <v>0</v>
      </c>
      <c r="AG175" s="161"/>
      <c r="AH175" s="161">
        <f t="shared" si="37"/>
        <v>0</v>
      </c>
      <c r="AI175" s="162"/>
      <c r="AJ175" s="162">
        <f t="shared" si="38"/>
        <v>0</v>
      </c>
      <c r="AK175" s="164"/>
      <c r="AL175" s="164">
        <f t="shared" si="39"/>
        <v>0</v>
      </c>
      <c r="AM175" s="165"/>
      <c r="AN175" s="165">
        <f t="shared" si="40"/>
        <v>0</v>
      </c>
      <c r="AO175" s="166">
        <v>0</v>
      </c>
      <c r="AP175" s="166">
        <f t="shared" si="41"/>
        <v>0</v>
      </c>
      <c r="AQ175" s="162"/>
      <c r="AR175" s="162">
        <f t="shared" si="42"/>
        <v>0</v>
      </c>
      <c r="AS175" s="167"/>
      <c r="AT175" s="167">
        <f t="shared" si="43"/>
        <v>0</v>
      </c>
      <c r="AU175" s="163"/>
      <c r="AV175" s="163">
        <f t="shared" si="44"/>
        <v>0</v>
      </c>
      <c r="AW175" s="168"/>
      <c r="AX175" s="168">
        <f t="shared" si="45"/>
        <v>0</v>
      </c>
      <c r="AY175" s="170"/>
      <c r="AZ175" s="170">
        <f t="shared" si="46"/>
        <v>0</v>
      </c>
      <c r="BA175" s="166"/>
      <c r="BB175" s="166">
        <f t="shared" si="47"/>
        <v>0</v>
      </c>
    </row>
    <row r="176" spans="1:54" s="131" customFormat="1" ht="31.5">
      <c r="A176" s="148" t="s">
        <v>5694</v>
      </c>
      <c r="B176" s="183" t="s">
        <v>4199</v>
      </c>
      <c r="C176" s="183"/>
      <c r="D176" s="183"/>
      <c r="E176" s="184" t="s">
        <v>4198</v>
      </c>
      <c r="F176" s="153" t="s">
        <v>1000</v>
      </c>
      <c r="G176" s="153" t="s">
        <v>5696</v>
      </c>
      <c r="H176" s="182" t="s">
        <v>327</v>
      </c>
      <c r="I176" s="185" t="s">
        <v>10</v>
      </c>
      <c r="J176" s="182" t="s">
        <v>5695</v>
      </c>
      <c r="K176" s="186">
        <v>7600</v>
      </c>
      <c r="L176" s="186"/>
      <c r="M176" s="159">
        <f t="shared" si="32"/>
        <v>15400</v>
      </c>
      <c r="N176" s="159"/>
      <c r="O176" s="159"/>
      <c r="P176" s="159"/>
      <c r="Q176" s="159"/>
      <c r="R176" s="159"/>
      <c r="S176" s="149" t="s">
        <v>5099</v>
      </c>
      <c r="T176" s="150" t="s">
        <v>5100</v>
      </c>
      <c r="U176" s="182" t="s">
        <v>4197</v>
      </c>
      <c r="V176" s="182" t="s">
        <v>5607</v>
      </c>
      <c r="W176" s="153" t="s">
        <v>5104</v>
      </c>
      <c r="X176" s="94" t="s">
        <v>5105</v>
      </c>
      <c r="Y176" s="186"/>
      <c r="Z176" s="187">
        <v>40000</v>
      </c>
      <c r="AA176" s="186">
        <f t="shared" si="33"/>
        <v>304000000</v>
      </c>
      <c r="AB176" s="157">
        <v>40000</v>
      </c>
      <c r="AC176" s="158">
        <f t="shared" si="49"/>
        <v>24600</v>
      </c>
      <c r="AD176" s="159">
        <f t="shared" si="35"/>
        <v>117040000</v>
      </c>
      <c r="AE176" s="160"/>
      <c r="AF176" s="160">
        <f t="shared" si="36"/>
        <v>0</v>
      </c>
      <c r="AG176" s="161">
        <f>1568+4032</f>
        <v>5600</v>
      </c>
      <c r="AH176" s="161">
        <f t="shared" si="37"/>
        <v>42560000</v>
      </c>
      <c r="AI176" s="162"/>
      <c r="AJ176" s="162">
        <f t="shared" si="38"/>
        <v>0</v>
      </c>
      <c r="AK176" s="164"/>
      <c r="AL176" s="164">
        <f t="shared" si="39"/>
        <v>0</v>
      </c>
      <c r="AM176" s="165">
        <v>2800</v>
      </c>
      <c r="AN176" s="165">
        <f t="shared" si="40"/>
        <v>21280000</v>
      </c>
      <c r="AO176" s="166">
        <v>0</v>
      </c>
      <c r="AP176" s="166">
        <f t="shared" si="41"/>
        <v>0</v>
      </c>
      <c r="AQ176" s="162"/>
      <c r="AR176" s="162">
        <f t="shared" si="42"/>
        <v>0</v>
      </c>
      <c r="AS176" s="167">
        <f>1400+5600</f>
        <v>7000</v>
      </c>
      <c r="AT176" s="167">
        <f t="shared" si="43"/>
        <v>53200000</v>
      </c>
      <c r="AU176" s="163"/>
      <c r="AV176" s="163">
        <f t="shared" si="44"/>
        <v>0</v>
      </c>
      <c r="AW176" s="168"/>
      <c r="AX176" s="168">
        <f t="shared" si="45"/>
        <v>0</v>
      </c>
      <c r="AY176" s="170"/>
      <c r="AZ176" s="170">
        <f t="shared" si="46"/>
        <v>0</v>
      </c>
      <c r="BA176" s="166"/>
      <c r="BB176" s="166">
        <f t="shared" si="47"/>
        <v>0</v>
      </c>
    </row>
    <row r="177" spans="1:54" s="131" customFormat="1" ht="31.5">
      <c r="A177" s="172" t="s">
        <v>5697</v>
      </c>
      <c r="B177" s="183" t="s">
        <v>588</v>
      </c>
      <c r="C177" s="183"/>
      <c r="D177" s="183"/>
      <c r="E177" s="184" t="s">
        <v>5699</v>
      </c>
      <c r="F177" s="153" t="s">
        <v>5701</v>
      </c>
      <c r="G177" s="153" t="s">
        <v>5702</v>
      </c>
      <c r="H177" s="182" t="s">
        <v>235</v>
      </c>
      <c r="I177" s="185" t="s">
        <v>10</v>
      </c>
      <c r="J177" s="182" t="s">
        <v>5700</v>
      </c>
      <c r="K177" s="186">
        <v>599</v>
      </c>
      <c r="L177" s="186"/>
      <c r="M177" s="159">
        <f t="shared" si="32"/>
        <v>0</v>
      </c>
      <c r="N177" s="159"/>
      <c r="O177" s="159"/>
      <c r="P177" s="159"/>
      <c r="Q177" s="159"/>
      <c r="R177" s="159"/>
      <c r="S177" s="149" t="s">
        <v>5600</v>
      </c>
      <c r="T177" s="149" t="s">
        <v>5601</v>
      </c>
      <c r="U177" s="182" t="s">
        <v>5698</v>
      </c>
      <c r="V177" s="182" t="s">
        <v>210</v>
      </c>
      <c r="W177" s="153" t="s">
        <v>253</v>
      </c>
      <c r="X177" s="94" t="s">
        <v>5605</v>
      </c>
      <c r="Y177" s="186"/>
      <c r="Z177" s="187">
        <v>20000</v>
      </c>
      <c r="AA177" s="186">
        <f t="shared" si="33"/>
        <v>11980000</v>
      </c>
      <c r="AB177" s="157">
        <v>20000</v>
      </c>
      <c r="AC177" s="158">
        <f t="shared" si="49"/>
        <v>20000</v>
      </c>
      <c r="AD177" s="159">
        <f t="shared" si="35"/>
        <v>0</v>
      </c>
      <c r="AE177" s="160"/>
      <c r="AF177" s="160">
        <f t="shared" si="36"/>
        <v>0</v>
      </c>
      <c r="AG177" s="161"/>
      <c r="AH177" s="161">
        <f t="shared" si="37"/>
        <v>0</v>
      </c>
      <c r="AI177" s="162"/>
      <c r="AJ177" s="162">
        <f t="shared" si="38"/>
        <v>0</v>
      </c>
      <c r="AK177" s="163"/>
      <c r="AL177" s="164">
        <f t="shared" si="39"/>
        <v>0</v>
      </c>
      <c r="AM177" s="161"/>
      <c r="AN177" s="165">
        <f t="shared" si="40"/>
        <v>0</v>
      </c>
      <c r="AO177" s="160">
        <v>0</v>
      </c>
      <c r="AP177" s="166">
        <f t="shared" si="41"/>
        <v>0</v>
      </c>
      <c r="AQ177" s="162"/>
      <c r="AR177" s="162">
        <f t="shared" si="42"/>
        <v>0</v>
      </c>
      <c r="AS177" s="167"/>
      <c r="AT177" s="167">
        <f t="shared" si="43"/>
        <v>0</v>
      </c>
      <c r="AU177" s="163"/>
      <c r="AV177" s="163">
        <f t="shared" si="44"/>
        <v>0</v>
      </c>
      <c r="AW177" s="162"/>
      <c r="AX177" s="168">
        <f t="shared" si="45"/>
        <v>0</v>
      </c>
      <c r="AY177" s="169"/>
      <c r="AZ177" s="170">
        <f t="shared" si="46"/>
        <v>0</v>
      </c>
      <c r="BA177" s="160"/>
      <c r="BB177" s="166">
        <f t="shared" si="47"/>
        <v>0</v>
      </c>
    </row>
    <row r="178" spans="1:54" s="131" customFormat="1" ht="31.5">
      <c r="A178" s="148" t="s">
        <v>5703</v>
      </c>
      <c r="B178" s="183" t="s">
        <v>588</v>
      </c>
      <c r="C178" s="183"/>
      <c r="D178" s="183"/>
      <c r="E178" s="184" t="s">
        <v>4174</v>
      </c>
      <c r="F178" s="153" t="s">
        <v>3184</v>
      </c>
      <c r="G178" s="153" t="s">
        <v>5705</v>
      </c>
      <c r="H178" s="182" t="s">
        <v>267</v>
      </c>
      <c r="I178" s="185" t="s">
        <v>10</v>
      </c>
      <c r="J178" s="182" t="s">
        <v>5704</v>
      </c>
      <c r="K178" s="186">
        <v>9832</v>
      </c>
      <c r="L178" s="186"/>
      <c r="M178" s="159">
        <f t="shared" si="32"/>
        <v>3000</v>
      </c>
      <c r="N178" s="159"/>
      <c r="O178" s="159"/>
      <c r="P178" s="159"/>
      <c r="Q178" s="159"/>
      <c r="R178" s="159"/>
      <c r="S178" s="150" t="s">
        <v>5118</v>
      </c>
      <c r="T178" s="150" t="s">
        <v>5119</v>
      </c>
      <c r="U178" s="182" t="s">
        <v>4173</v>
      </c>
      <c r="V178" s="182" t="s">
        <v>5607</v>
      </c>
      <c r="W178" s="153" t="s">
        <v>5111</v>
      </c>
      <c r="X178" s="94" t="s">
        <v>5105</v>
      </c>
      <c r="Y178" s="186"/>
      <c r="Z178" s="187">
        <v>40000</v>
      </c>
      <c r="AA178" s="186">
        <f t="shared" si="33"/>
        <v>393280000</v>
      </c>
      <c r="AB178" s="157">
        <v>40000</v>
      </c>
      <c r="AC178" s="158">
        <f t="shared" si="49"/>
        <v>37000</v>
      </c>
      <c r="AD178" s="159">
        <f t="shared" si="35"/>
        <v>29496000</v>
      </c>
      <c r="AE178" s="160"/>
      <c r="AF178" s="160">
        <f t="shared" si="36"/>
        <v>0</v>
      </c>
      <c r="AG178" s="161"/>
      <c r="AH178" s="161">
        <f t="shared" si="37"/>
        <v>0</v>
      </c>
      <c r="AI178" s="162"/>
      <c r="AJ178" s="162">
        <f t="shared" si="38"/>
        <v>0</v>
      </c>
      <c r="AK178" s="163"/>
      <c r="AL178" s="164">
        <f t="shared" si="39"/>
        <v>0</v>
      </c>
      <c r="AM178" s="161">
        <v>3000</v>
      </c>
      <c r="AN178" s="165">
        <f t="shared" si="40"/>
        <v>29496000</v>
      </c>
      <c r="AO178" s="160">
        <v>0</v>
      </c>
      <c r="AP178" s="166">
        <f t="shared" si="41"/>
        <v>0</v>
      </c>
      <c r="AQ178" s="162"/>
      <c r="AR178" s="162">
        <f t="shared" si="42"/>
        <v>0</v>
      </c>
      <c r="AS178" s="167"/>
      <c r="AT178" s="167">
        <f t="shared" si="43"/>
        <v>0</v>
      </c>
      <c r="AU178" s="163"/>
      <c r="AV178" s="163">
        <f t="shared" si="44"/>
        <v>0</v>
      </c>
      <c r="AW178" s="162"/>
      <c r="AX178" s="168">
        <f t="shared" si="45"/>
        <v>0</v>
      </c>
      <c r="AY178" s="169"/>
      <c r="AZ178" s="170">
        <f t="shared" si="46"/>
        <v>0</v>
      </c>
      <c r="BA178" s="160"/>
      <c r="BB178" s="166">
        <f t="shared" si="47"/>
        <v>0</v>
      </c>
    </row>
    <row r="179" spans="1:54" s="131" customFormat="1" ht="31.5">
      <c r="A179" s="148" t="s">
        <v>5706</v>
      </c>
      <c r="B179" s="183" t="s">
        <v>588</v>
      </c>
      <c r="C179" s="183"/>
      <c r="D179" s="183"/>
      <c r="E179" s="184" t="s">
        <v>1410</v>
      </c>
      <c r="F179" s="153" t="s">
        <v>5708</v>
      </c>
      <c r="G179" s="153" t="s">
        <v>5709</v>
      </c>
      <c r="H179" s="182" t="s">
        <v>267</v>
      </c>
      <c r="I179" s="185" t="s">
        <v>10</v>
      </c>
      <c r="J179" s="182" t="s">
        <v>5707</v>
      </c>
      <c r="K179" s="186">
        <v>3840</v>
      </c>
      <c r="L179" s="186"/>
      <c r="M179" s="159">
        <f t="shared" si="32"/>
        <v>1120</v>
      </c>
      <c r="N179" s="159"/>
      <c r="O179" s="159"/>
      <c r="P179" s="159"/>
      <c r="Q179" s="159"/>
      <c r="R179" s="159"/>
      <c r="S179" s="150" t="s">
        <v>5118</v>
      </c>
      <c r="T179" s="150" t="s">
        <v>5119</v>
      </c>
      <c r="U179" s="182" t="s">
        <v>3728</v>
      </c>
      <c r="V179" s="182" t="s">
        <v>211</v>
      </c>
      <c r="W179" s="153" t="s">
        <v>5104</v>
      </c>
      <c r="X179" s="94" t="s">
        <v>5710</v>
      </c>
      <c r="Y179" s="186"/>
      <c r="Z179" s="187">
        <v>20000</v>
      </c>
      <c r="AA179" s="186">
        <f t="shared" si="33"/>
        <v>76800000</v>
      </c>
      <c r="AB179" s="157">
        <v>20000</v>
      </c>
      <c r="AC179" s="158">
        <f t="shared" si="49"/>
        <v>18880</v>
      </c>
      <c r="AD179" s="159">
        <f t="shared" si="35"/>
        <v>4300800</v>
      </c>
      <c r="AE179" s="160"/>
      <c r="AF179" s="160">
        <f t="shared" si="36"/>
        <v>0</v>
      </c>
      <c r="AG179" s="161"/>
      <c r="AH179" s="161">
        <f t="shared" si="37"/>
        <v>0</v>
      </c>
      <c r="AI179" s="162"/>
      <c r="AJ179" s="162">
        <f t="shared" si="38"/>
        <v>0</v>
      </c>
      <c r="AK179" s="163"/>
      <c r="AL179" s="164">
        <f t="shared" si="39"/>
        <v>0</v>
      </c>
      <c r="AM179" s="161">
        <v>1120</v>
      </c>
      <c r="AN179" s="165">
        <f t="shared" si="40"/>
        <v>4300800</v>
      </c>
      <c r="AO179" s="160">
        <v>0</v>
      </c>
      <c r="AP179" s="166">
        <f t="shared" si="41"/>
        <v>0</v>
      </c>
      <c r="AQ179" s="162"/>
      <c r="AR179" s="162">
        <f t="shared" si="42"/>
        <v>0</v>
      </c>
      <c r="AS179" s="167"/>
      <c r="AT179" s="167">
        <f t="shared" si="43"/>
        <v>0</v>
      </c>
      <c r="AU179" s="163"/>
      <c r="AV179" s="163">
        <f t="shared" si="44"/>
        <v>0</v>
      </c>
      <c r="AW179" s="162"/>
      <c r="AX179" s="168">
        <f t="shared" si="45"/>
        <v>0</v>
      </c>
      <c r="AY179" s="169"/>
      <c r="AZ179" s="170">
        <f t="shared" si="46"/>
        <v>0</v>
      </c>
      <c r="BA179" s="160"/>
      <c r="BB179" s="166">
        <f t="shared" si="47"/>
        <v>0</v>
      </c>
    </row>
    <row r="180" spans="1:54" s="131" customFormat="1" ht="31.5">
      <c r="A180" s="172" t="s">
        <v>5711</v>
      </c>
      <c r="B180" s="183" t="s">
        <v>588</v>
      </c>
      <c r="C180" s="183"/>
      <c r="D180" s="183"/>
      <c r="E180" s="184" t="s">
        <v>5713</v>
      </c>
      <c r="F180" s="153" t="s">
        <v>5715</v>
      </c>
      <c r="G180" s="153" t="s">
        <v>5716</v>
      </c>
      <c r="H180" s="182" t="s">
        <v>229</v>
      </c>
      <c r="I180" s="185" t="s">
        <v>10</v>
      </c>
      <c r="J180" s="182" t="s">
        <v>5714</v>
      </c>
      <c r="K180" s="186">
        <v>10300</v>
      </c>
      <c r="L180" s="186"/>
      <c r="M180" s="159">
        <f t="shared" si="32"/>
        <v>0</v>
      </c>
      <c r="N180" s="159"/>
      <c r="O180" s="159"/>
      <c r="P180" s="159"/>
      <c r="Q180" s="159"/>
      <c r="R180" s="159"/>
      <c r="S180" s="150" t="s">
        <v>5229</v>
      </c>
      <c r="T180" s="150" t="s">
        <v>5230</v>
      </c>
      <c r="U180" s="182" t="s">
        <v>5712</v>
      </c>
      <c r="V180" s="182" t="s">
        <v>211</v>
      </c>
      <c r="W180" s="153"/>
      <c r="X180" s="94" t="s">
        <v>5717</v>
      </c>
      <c r="Y180" s="186"/>
      <c r="Z180" s="187">
        <v>40000</v>
      </c>
      <c r="AA180" s="186">
        <f t="shared" si="33"/>
        <v>412000000</v>
      </c>
      <c r="AB180" s="157">
        <v>40000</v>
      </c>
      <c r="AC180" s="158">
        <f t="shared" si="49"/>
        <v>40000</v>
      </c>
      <c r="AD180" s="159">
        <f t="shared" si="35"/>
        <v>0</v>
      </c>
      <c r="AE180" s="160"/>
      <c r="AF180" s="160">
        <f t="shared" si="36"/>
        <v>0</v>
      </c>
      <c r="AG180" s="161"/>
      <c r="AH180" s="161">
        <f t="shared" si="37"/>
        <v>0</v>
      </c>
      <c r="AI180" s="162"/>
      <c r="AJ180" s="162">
        <f t="shared" si="38"/>
        <v>0</v>
      </c>
      <c r="AK180" s="164"/>
      <c r="AL180" s="164">
        <f t="shared" si="39"/>
        <v>0</v>
      </c>
      <c r="AM180" s="165"/>
      <c r="AN180" s="165">
        <f t="shared" si="40"/>
        <v>0</v>
      </c>
      <c r="AO180" s="166">
        <v>0</v>
      </c>
      <c r="AP180" s="166">
        <f t="shared" si="41"/>
        <v>0</v>
      </c>
      <c r="AQ180" s="162"/>
      <c r="AR180" s="162">
        <f t="shared" si="42"/>
        <v>0</v>
      </c>
      <c r="AS180" s="167"/>
      <c r="AT180" s="167">
        <f t="shared" si="43"/>
        <v>0</v>
      </c>
      <c r="AU180" s="163"/>
      <c r="AV180" s="163">
        <f t="shared" si="44"/>
        <v>0</v>
      </c>
      <c r="AW180" s="168"/>
      <c r="AX180" s="168">
        <f t="shared" si="45"/>
        <v>0</v>
      </c>
      <c r="AY180" s="170"/>
      <c r="AZ180" s="170">
        <f t="shared" si="46"/>
        <v>0</v>
      </c>
      <c r="BA180" s="166"/>
      <c r="BB180" s="166">
        <f t="shared" si="47"/>
        <v>0</v>
      </c>
    </row>
    <row r="181" spans="1:54" s="131" customFormat="1" ht="31.5">
      <c r="A181" s="148" t="s">
        <v>5718</v>
      </c>
      <c r="B181" s="183" t="s">
        <v>1302</v>
      </c>
      <c r="C181" s="183"/>
      <c r="D181" s="183"/>
      <c r="E181" s="184" t="s">
        <v>5720</v>
      </c>
      <c r="F181" s="153" t="s">
        <v>5721</v>
      </c>
      <c r="G181" s="153" t="s">
        <v>5722</v>
      </c>
      <c r="H181" s="182" t="s">
        <v>327</v>
      </c>
      <c r="I181" s="185" t="s">
        <v>10</v>
      </c>
      <c r="J181" s="182" t="s">
        <v>5608</v>
      </c>
      <c r="K181" s="186">
        <v>903</v>
      </c>
      <c r="L181" s="186"/>
      <c r="M181" s="159">
        <f t="shared" si="32"/>
        <v>0</v>
      </c>
      <c r="N181" s="159"/>
      <c r="O181" s="159"/>
      <c r="P181" s="159"/>
      <c r="Q181" s="159"/>
      <c r="R181" s="159"/>
      <c r="S181" s="150" t="s">
        <v>5340</v>
      </c>
      <c r="T181" s="150" t="s">
        <v>5341</v>
      </c>
      <c r="U181" s="182" t="s">
        <v>5719</v>
      </c>
      <c r="V181" s="182" t="s">
        <v>5525</v>
      </c>
      <c r="W181" s="153" t="s">
        <v>5104</v>
      </c>
      <c r="X181" s="94" t="s">
        <v>213</v>
      </c>
      <c r="Y181" s="186"/>
      <c r="Z181" s="187">
        <v>20000</v>
      </c>
      <c r="AA181" s="186">
        <f t="shared" si="33"/>
        <v>18060000</v>
      </c>
      <c r="AB181" s="157">
        <v>20000</v>
      </c>
      <c r="AC181" s="158">
        <f t="shared" si="49"/>
        <v>20000</v>
      </c>
      <c r="AD181" s="159">
        <f t="shared" si="35"/>
        <v>0</v>
      </c>
      <c r="AE181" s="160"/>
      <c r="AF181" s="160">
        <f t="shared" si="36"/>
        <v>0</v>
      </c>
      <c r="AG181" s="161"/>
      <c r="AH181" s="161">
        <f t="shared" si="37"/>
        <v>0</v>
      </c>
      <c r="AI181" s="162"/>
      <c r="AJ181" s="162">
        <f t="shared" si="38"/>
        <v>0</v>
      </c>
      <c r="AK181" s="164"/>
      <c r="AL181" s="164">
        <f t="shared" si="39"/>
        <v>0</v>
      </c>
      <c r="AM181" s="165"/>
      <c r="AN181" s="165">
        <f t="shared" si="40"/>
        <v>0</v>
      </c>
      <c r="AO181" s="166">
        <v>0</v>
      </c>
      <c r="AP181" s="166">
        <f t="shared" si="41"/>
        <v>0</v>
      </c>
      <c r="AQ181" s="162"/>
      <c r="AR181" s="162">
        <f t="shared" si="42"/>
        <v>0</v>
      </c>
      <c r="AS181" s="167"/>
      <c r="AT181" s="167">
        <f t="shared" si="43"/>
        <v>0</v>
      </c>
      <c r="AU181" s="163"/>
      <c r="AV181" s="163">
        <f t="shared" si="44"/>
        <v>0</v>
      </c>
      <c r="AW181" s="168"/>
      <c r="AX181" s="168">
        <f t="shared" si="45"/>
        <v>0</v>
      </c>
      <c r="AY181" s="170"/>
      <c r="AZ181" s="170">
        <f t="shared" si="46"/>
        <v>0</v>
      </c>
      <c r="BA181" s="166"/>
      <c r="BB181" s="166">
        <f t="shared" si="47"/>
        <v>0</v>
      </c>
    </row>
    <row r="182" spans="1:54" s="131" customFormat="1" ht="31.5">
      <c r="A182" s="148" t="s">
        <v>5723</v>
      </c>
      <c r="B182" s="183" t="s">
        <v>1302</v>
      </c>
      <c r="C182" s="183"/>
      <c r="D182" s="183"/>
      <c r="E182" s="184" t="s">
        <v>5725</v>
      </c>
      <c r="F182" s="153" t="s">
        <v>5727</v>
      </c>
      <c r="G182" s="153" t="s">
        <v>5604</v>
      </c>
      <c r="H182" s="182" t="s">
        <v>238</v>
      </c>
      <c r="I182" s="185" t="s">
        <v>10</v>
      </c>
      <c r="J182" s="182" t="s">
        <v>5726</v>
      </c>
      <c r="K182" s="186">
        <v>598</v>
      </c>
      <c r="L182" s="186"/>
      <c r="M182" s="159">
        <f t="shared" si="32"/>
        <v>0</v>
      </c>
      <c r="N182" s="159"/>
      <c r="O182" s="159"/>
      <c r="P182" s="159"/>
      <c r="Q182" s="159"/>
      <c r="R182" s="159"/>
      <c r="S182" s="149" t="s">
        <v>5600</v>
      </c>
      <c r="T182" s="149" t="s">
        <v>5601</v>
      </c>
      <c r="U182" s="182" t="s">
        <v>5724</v>
      </c>
      <c r="V182" s="182" t="s">
        <v>210</v>
      </c>
      <c r="W182" s="153" t="s">
        <v>253</v>
      </c>
      <c r="X182" s="94" t="s">
        <v>5605</v>
      </c>
      <c r="Y182" s="186"/>
      <c r="Z182" s="187">
        <v>40000</v>
      </c>
      <c r="AA182" s="186">
        <f t="shared" si="33"/>
        <v>23920000</v>
      </c>
      <c r="AB182" s="157">
        <v>40000</v>
      </c>
      <c r="AC182" s="158">
        <f t="shared" si="49"/>
        <v>40000</v>
      </c>
      <c r="AD182" s="159">
        <f t="shared" si="35"/>
        <v>0</v>
      </c>
      <c r="AE182" s="160"/>
      <c r="AF182" s="160">
        <f t="shared" si="36"/>
        <v>0</v>
      </c>
      <c r="AG182" s="161"/>
      <c r="AH182" s="161">
        <f t="shared" si="37"/>
        <v>0</v>
      </c>
      <c r="AI182" s="162"/>
      <c r="AJ182" s="162">
        <f t="shared" si="38"/>
        <v>0</v>
      </c>
      <c r="AK182" s="164"/>
      <c r="AL182" s="164">
        <f t="shared" si="39"/>
        <v>0</v>
      </c>
      <c r="AM182" s="165"/>
      <c r="AN182" s="165">
        <f t="shared" si="40"/>
        <v>0</v>
      </c>
      <c r="AO182" s="166">
        <v>0</v>
      </c>
      <c r="AP182" s="166">
        <f t="shared" si="41"/>
        <v>0</v>
      </c>
      <c r="AQ182" s="162"/>
      <c r="AR182" s="162">
        <f t="shared" si="42"/>
        <v>0</v>
      </c>
      <c r="AS182" s="167"/>
      <c r="AT182" s="167">
        <f t="shared" si="43"/>
        <v>0</v>
      </c>
      <c r="AU182" s="163"/>
      <c r="AV182" s="163">
        <f t="shared" si="44"/>
        <v>0</v>
      </c>
      <c r="AW182" s="168"/>
      <c r="AX182" s="168">
        <f t="shared" si="45"/>
        <v>0</v>
      </c>
      <c r="AY182" s="170"/>
      <c r="AZ182" s="170">
        <f t="shared" si="46"/>
        <v>0</v>
      </c>
      <c r="BA182" s="166"/>
      <c r="BB182" s="166">
        <f t="shared" si="47"/>
        <v>0</v>
      </c>
    </row>
    <row r="183" spans="1:54" s="131" customFormat="1" ht="31.5">
      <c r="A183" s="172" t="s">
        <v>5728</v>
      </c>
      <c r="B183" s="183" t="s">
        <v>1302</v>
      </c>
      <c r="C183" s="183"/>
      <c r="D183" s="183"/>
      <c r="E183" s="184" t="s">
        <v>1994</v>
      </c>
      <c r="F183" s="153" t="s">
        <v>5729</v>
      </c>
      <c r="G183" s="153" t="s">
        <v>5722</v>
      </c>
      <c r="H183" s="182" t="s">
        <v>238</v>
      </c>
      <c r="I183" s="185" t="s">
        <v>10</v>
      </c>
      <c r="J183" s="182" t="s">
        <v>5608</v>
      </c>
      <c r="K183" s="186">
        <v>924</v>
      </c>
      <c r="L183" s="186"/>
      <c r="M183" s="159">
        <f t="shared" si="32"/>
        <v>79996</v>
      </c>
      <c r="N183" s="159"/>
      <c r="O183" s="159"/>
      <c r="P183" s="159"/>
      <c r="Q183" s="159"/>
      <c r="R183" s="159"/>
      <c r="S183" s="150" t="s">
        <v>5340</v>
      </c>
      <c r="T183" s="150" t="s">
        <v>5341</v>
      </c>
      <c r="U183" s="182" t="s">
        <v>4290</v>
      </c>
      <c r="V183" s="182" t="s">
        <v>5525</v>
      </c>
      <c r="W183" s="153" t="s">
        <v>5104</v>
      </c>
      <c r="X183" s="94" t="s">
        <v>213</v>
      </c>
      <c r="Y183" s="186"/>
      <c r="Z183" s="187">
        <v>80000</v>
      </c>
      <c r="AA183" s="186">
        <f t="shared" si="33"/>
        <v>73920000</v>
      </c>
      <c r="AB183" s="157">
        <v>80000</v>
      </c>
      <c r="AC183" s="158">
        <f t="shared" si="49"/>
        <v>4</v>
      </c>
      <c r="AD183" s="159">
        <f t="shared" si="35"/>
        <v>73916304</v>
      </c>
      <c r="AE183" s="160"/>
      <c r="AF183" s="160">
        <f t="shared" si="36"/>
        <v>0</v>
      </c>
      <c r="AG183" s="161">
        <v>19992</v>
      </c>
      <c r="AH183" s="161">
        <f t="shared" si="37"/>
        <v>18472608</v>
      </c>
      <c r="AI183" s="162"/>
      <c r="AJ183" s="162">
        <f t="shared" si="38"/>
        <v>0</v>
      </c>
      <c r="AK183" s="164"/>
      <c r="AL183" s="164">
        <f t="shared" si="39"/>
        <v>0</v>
      </c>
      <c r="AM183" s="165">
        <v>19992</v>
      </c>
      <c r="AN183" s="165">
        <f t="shared" si="40"/>
        <v>18472608</v>
      </c>
      <c r="AO183" s="166">
        <v>0</v>
      </c>
      <c r="AP183" s="166">
        <f t="shared" si="41"/>
        <v>0</v>
      </c>
      <c r="AQ183" s="162">
        <v>20160</v>
      </c>
      <c r="AR183" s="162">
        <f t="shared" si="42"/>
        <v>18627840</v>
      </c>
      <c r="AS183" s="167">
        <v>13440</v>
      </c>
      <c r="AT183" s="167">
        <f t="shared" si="43"/>
        <v>12418560</v>
      </c>
      <c r="AU183" s="163">
        <v>6412</v>
      </c>
      <c r="AV183" s="163">
        <f t="shared" si="44"/>
        <v>5924688</v>
      </c>
      <c r="AW183" s="168"/>
      <c r="AX183" s="168">
        <f t="shared" si="45"/>
        <v>0</v>
      </c>
      <c r="AY183" s="170"/>
      <c r="AZ183" s="170">
        <f t="shared" si="46"/>
        <v>0</v>
      </c>
      <c r="BA183" s="166"/>
      <c r="BB183" s="166">
        <f t="shared" si="47"/>
        <v>0</v>
      </c>
    </row>
    <row r="184" spans="1:54" s="131" customFormat="1" ht="31.5">
      <c r="A184" s="148" t="s">
        <v>5730</v>
      </c>
      <c r="B184" s="183" t="s">
        <v>1302</v>
      </c>
      <c r="C184" s="183"/>
      <c r="D184" s="183"/>
      <c r="E184" s="184" t="s">
        <v>4266</v>
      </c>
      <c r="F184" s="153" t="s">
        <v>5731</v>
      </c>
      <c r="G184" s="153" t="s">
        <v>5732</v>
      </c>
      <c r="H184" s="182" t="s">
        <v>235</v>
      </c>
      <c r="I184" s="185" t="s">
        <v>10</v>
      </c>
      <c r="J184" s="182" t="s">
        <v>3524</v>
      </c>
      <c r="K184" s="186">
        <v>2540</v>
      </c>
      <c r="L184" s="186"/>
      <c r="M184" s="159">
        <f t="shared" si="32"/>
        <v>5000</v>
      </c>
      <c r="N184" s="159"/>
      <c r="O184" s="159"/>
      <c r="P184" s="159"/>
      <c r="Q184" s="159"/>
      <c r="R184" s="159"/>
      <c r="S184" s="150" t="s">
        <v>5229</v>
      </c>
      <c r="T184" s="150" t="s">
        <v>5230</v>
      </c>
      <c r="U184" s="182" t="s">
        <v>4265</v>
      </c>
      <c r="V184" s="182" t="s">
        <v>211</v>
      </c>
      <c r="W184" s="153"/>
      <c r="X184" s="94" t="s">
        <v>5733</v>
      </c>
      <c r="Y184" s="186"/>
      <c r="Z184" s="187">
        <v>20000</v>
      </c>
      <c r="AA184" s="186">
        <f t="shared" si="33"/>
        <v>50800000</v>
      </c>
      <c r="AB184" s="157">
        <v>20000</v>
      </c>
      <c r="AC184" s="158">
        <f t="shared" si="49"/>
        <v>15000</v>
      </c>
      <c r="AD184" s="159">
        <f t="shared" si="35"/>
        <v>12700000</v>
      </c>
      <c r="AE184" s="160"/>
      <c r="AF184" s="160">
        <f t="shared" si="36"/>
        <v>0</v>
      </c>
      <c r="AG184" s="161">
        <v>5000</v>
      </c>
      <c r="AH184" s="161">
        <f t="shared" si="37"/>
        <v>12700000</v>
      </c>
      <c r="AI184" s="162"/>
      <c r="AJ184" s="162">
        <f t="shared" si="38"/>
        <v>0</v>
      </c>
      <c r="AK184" s="164"/>
      <c r="AL184" s="164">
        <f t="shared" si="39"/>
        <v>0</v>
      </c>
      <c r="AM184" s="165"/>
      <c r="AN184" s="165">
        <f t="shared" si="40"/>
        <v>0</v>
      </c>
      <c r="AO184" s="166">
        <v>0</v>
      </c>
      <c r="AP184" s="166">
        <f t="shared" si="41"/>
        <v>0</v>
      </c>
      <c r="AQ184" s="162"/>
      <c r="AR184" s="162">
        <f t="shared" si="42"/>
        <v>0</v>
      </c>
      <c r="AS184" s="167"/>
      <c r="AT184" s="167">
        <f t="shared" si="43"/>
        <v>0</v>
      </c>
      <c r="AU184" s="163"/>
      <c r="AV184" s="163">
        <f t="shared" si="44"/>
        <v>0</v>
      </c>
      <c r="AW184" s="168"/>
      <c r="AX184" s="168">
        <f t="shared" si="45"/>
        <v>0</v>
      </c>
      <c r="AY184" s="170"/>
      <c r="AZ184" s="170">
        <f t="shared" si="46"/>
        <v>0</v>
      </c>
      <c r="BA184" s="166"/>
      <c r="BB184" s="166">
        <f t="shared" si="47"/>
        <v>0</v>
      </c>
    </row>
    <row r="185" spans="1:54" s="131" customFormat="1" ht="31.5">
      <c r="A185" s="148" t="s">
        <v>5734</v>
      </c>
      <c r="B185" s="183" t="s">
        <v>1302</v>
      </c>
      <c r="C185" s="183"/>
      <c r="D185" s="183"/>
      <c r="E185" s="184" t="s">
        <v>4440</v>
      </c>
      <c r="F185" s="153" t="s">
        <v>5736</v>
      </c>
      <c r="G185" s="153" t="s">
        <v>5604</v>
      </c>
      <c r="H185" s="182" t="s">
        <v>235</v>
      </c>
      <c r="I185" s="185" t="s">
        <v>10</v>
      </c>
      <c r="J185" s="182" t="s">
        <v>5726</v>
      </c>
      <c r="K185" s="186">
        <v>1148</v>
      </c>
      <c r="L185" s="186"/>
      <c r="M185" s="159">
        <f t="shared" si="32"/>
        <v>0</v>
      </c>
      <c r="N185" s="159"/>
      <c r="O185" s="159"/>
      <c r="P185" s="159"/>
      <c r="Q185" s="159"/>
      <c r="R185" s="159"/>
      <c r="S185" s="149" t="s">
        <v>5600</v>
      </c>
      <c r="T185" s="149" t="s">
        <v>5601</v>
      </c>
      <c r="U185" s="182" t="s">
        <v>5735</v>
      </c>
      <c r="V185" s="182" t="s">
        <v>210</v>
      </c>
      <c r="W185" s="153" t="s">
        <v>253</v>
      </c>
      <c r="X185" s="94" t="s">
        <v>5605</v>
      </c>
      <c r="Y185" s="186"/>
      <c r="Z185" s="187">
        <v>40000</v>
      </c>
      <c r="AA185" s="186">
        <f t="shared" si="33"/>
        <v>45920000</v>
      </c>
      <c r="AB185" s="157">
        <v>40000</v>
      </c>
      <c r="AC185" s="158">
        <f t="shared" si="49"/>
        <v>40000</v>
      </c>
      <c r="AD185" s="159">
        <f t="shared" si="35"/>
        <v>0</v>
      </c>
      <c r="AE185" s="160"/>
      <c r="AF185" s="160">
        <f t="shared" si="36"/>
        <v>0</v>
      </c>
      <c r="AG185" s="161"/>
      <c r="AH185" s="161">
        <f t="shared" si="37"/>
        <v>0</v>
      </c>
      <c r="AI185" s="162"/>
      <c r="AJ185" s="162">
        <f t="shared" si="38"/>
        <v>0</v>
      </c>
      <c r="AK185" s="163"/>
      <c r="AL185" s="164">
        <f t="shared" si="39"/>
        <v>0</v>
      </c>
      <c r="AM185" s="161"/>
      <c r="AN185" s="165">
        <f t="shared" si="40"/>
        <v>0</v>
      </c>
      <c r="AO185" s="160">
        <v>0</v>
      </c>
      <c r="AP185" s="166">
        <f t="shared" si="41"/>
        <v>0</v>
      </c>
      <c r="AQ185" s="162"/>
      <c r="AR185" s="162">
        <f t="shared" si="42"/>
        <v>0</v>
      </c>
      <c r="AS185" s="167"/>
      <c r="AT185" s="167">
        <f t="shared" si="43"/>
        <v>0</v>
      </c>
      <c r="AU185" s="163"/>
      <c r="AV185" s="163">
        <f t="shared" si="44"/>
        <v>0</v>
      </c>
      <c r="AW185" s="162"/>
      <c r="AX185" s="168">
        <f t="shared" si="45"/>
        <v>0</v>
      </c>
      <c r="AY185" s="169"/>
      <c r="AZ185" s="170">
        <f t="shared" si="46"/>
        <v>0</v>
      </c>
      <c r="BA185" s="160"/>
      <c r="BB185" s="166">
        <f t="shared" si="47"/>
        <v>0</v>
      </c>
    </row>
    <row r="186" spans="1:54" s="131" customFormat="1" ht="31.5">
      <c r="A186" s="172" t="s">
        <v>5737</v>
      </c>
      <c r="B186" s="183" t="s">
        <v>1302</v>
      </c>
      <c r="C186" s="183"/>
      <c r="D186" s="183"/>
      <c r="E186" s="184" t="s">
        <v>5739</v>
      </c>
      <c r="F186" s="153" t="s">
        <v>5740</v>
      </c>
      <c r="G186" s="153" t="s">
        <v>5741</v>
      </c>
      <c r="H186" s="182" t="s">
        <v>235</v>
      </c>
      <c r="I186" s="185" t="s">
        <v>10</v>
      </c>
      <c r="J186" s="182" t="s">
        <v>5608</v>
      </c>
      <c r="K186" s="186">
        <v>1718</v>
      </c>
      <c r="L186" s="186"/>
      <c r="M186" s="159">
        <f t="shared" si="32"/>
        <v>0</v>
      </c>
      <c r="N186" s="159"/>
      <c r="O186" s="159"/>
      <c r="P186" s="159"/>
      <c r="Q186" s="159"/>
      <c r="R186" s="159"/>
      <c r="S186" s="150" t="s">
        <v>5301</v>
      </c>
      <c r="T186" s="150" t="s">
        <v>5302</v>
      </c>
      <c r="U186" s="182" t="s">
        <v>5738</v>
      </c>
      <c r="V186" s="182" t="s">
        <v>5525</v>
      </c>
      <c r="W186" s="153" t="s">
        <v>5104</v>
      </c>
      <c r="X186" s="94" t="s">
        <v>213</v>
      </c>
      <c r="Y186" s="186"/>
      <c r="Z186" s="187">
        <v>20000</v>
      </c>
      <c r="AA186" s="186">
        <f t="shared" si="33"/>
        <v>34360000</v>
      </c>
      <c r="AB186" s="157">
        <v>20000</v>
      </c>
      <c r="AC186" s="158">
        <f t="shared" si="49"/>
        <v>20000</v>
      </c>
      <c r="AD186" s="159">
        <f t="shared" si="35"/>
        <v>0</v>
      </c>
      <c r="AE186" s="160"/>
      <c r="AF186" s="160">
        <f t="shared" si="36"/>
        <v>0</v>
      </c>
      <c r="AG186" s="161"/>
      <c r="AH186" s="161">
        <f t="shared" si="37"/>
        <v>0</v>
      </c>
      <c r="AI186" s="162"/>
      <c r="AJ186" s="162">
        <f t="shared" si="38"/>
        <v>0</v>
      </c>
      <c r="AK186" s="164"/>
      <c r="AL186" s="164">
        <f t="shared" si="39"/>
        <v>0</v>
      </c>
      <c r="AM186" s="165"/>
      <c r="AN186" s="165">
        <f t="shared" si="40"/>
        <v>0</v>
      </c>
      <c r="AO186" s="166">
        <v>0</v>
      </c>
      <c r="AP186" s="166">
        <f t="shared" si="41"/>
        <v>0</v>
      </c>
      <c r="AQ186" s="162"/>
      <c r="AR186" s="162">
        <f t="shared" si="42"/>
        <v>0</v>
      </c>
      <c r="AS186" s="167"/>
      <c r="AT186" s="167">
        <f t="shared" si="43"/>
        <v>0</v>
      </c>
      <c r="AU186" s="163"/>
      <c r="AV186" s="163">
        <f t="shared" si="44"/>
        <v>0</v>
      </c>
      <c r="AW186" s="168"/>
      <c r="AX186" s="168">
        <f t="shared" si="45"/>
        <v>0</v>
      </c>
      <c r="AY186" s="170"/>
      <c r="AZ186" s="170">
        <f t="shared" si="46"/>
        <v>0</v>
      </c>
      <c r="BA186" s="166"/>
      <c r="BB186" s="166">
        <f t="shared" si="47"/>
        <v>0</v>
      </c>
    </row>
    <row r="187" spans="1:54" s="115" customFormat="1" ht="31.5">
      <c r="A187" s="148" t="s">
        <v>5742</v>
      </c>
      <c r="B187" s="203" t="s">
        <v>4589</v>
      </c>
      <c r="C187" s="203"/>
      <c r="D187" s="203"/>
      <c r="E187" s="203" t="s">
        <v>4588</v>
      </c>
      <c r="F187" s="205" t="s">
        <v>5667</v>
      </c>
      <c r="G187" s="205" t="s">
        <v>881</v>
      </c>
      <c r="H187" s="204" t="s">
        <v>4590</v>
      </c>
      <c r="I187" s="204" t="s">
        <v>2780</v>
      </c>
      <c r="J187" s="205" t="s">
        <v>5743</v>
      </c>
      <c r="K187" s="206">
        <v>286440</v>
      </c>
      <c r="L187" s="206"/>
      <c r="M187" s="159">
        <f t="shared" si="32"/>
        <v>50</v>
      </c>
      <c r="N187" s="159"/>
      <c r="O187" s="159"/>
      <c r="P187" s="159"/>
      <c r="Q187" s="159"/>
      <c r="R187" s="159"/>
      <c r="S187" s="149" t="s">
        <v>5099</v>
      </c>
      <c r="T187" s="150" t="s">
        <v>5100</v>
      </c>
      <c r="U187" s="202" t="s">
        <v>4587</v>
      </c>
      <c r="V187" s="204">
        <v>1</v>
      </c>
      <c r="W187" s="203" t="s">
        <v>253</v>
      </c>
      <c r="X187" s="204" t="s">
        <v>5661</v>
      </c>
      <c r="Y187" s="206">
        <v>286440</v>
      </c>
      <c r="Z187" s="207">
        <v>1000</v>
      </c>
      <c r="AA187" s="207">
        <f t="shared" si="33"/>
        <v>286440000</v>
      </c>
      <c r="AB187" s="157">
        <v>1000</v>
      </c>
      <c r="AC187" s="158">
        <f t="shared" si="49"/>
        <v>950</v>
      </c>
      <c r="AD187" s="159">
        <f t="shared" si="35"/>
        <v>14322000</v>
      </c>
      <c r="AE187" s="160"/>
      <c r="AF187" s="160">
        <f t="shared" si="36"/>
        <v>0</v>
      </c>
      <c r="AG187" s="161">
        <v>50</v>
      </c>
      <c r="AH187" s="161">
        <f t="shared" si="37"/>
        <v>14322000</v>
      </c>
      <c r="AI187" s="162"/>
      <c r="AJ187" s="162">
        <f t="shared" si="38"/>
        <v>0</v>
      </c>
      <c r="AK187" s="163"/>
      <c r="AL187" s="164">
        <f t="shared" si="39"/>
        <v>0</v>
      </c>
      <c r="AM187" s="161"/>
      <c r="AN187" s="165">
        <f t="shared" si="40"/>
        <v>0</v>
      </c>
      <c r="AO187" s="160">
        <v>0</v>
      </c>
      <c r="AP187" s="166">
        <f t="shared" si="41"/>
        <v>0</v>
      </c>
      <c r="AQ187" s="162"/>
      <c r="AR187" s="162">
        <f t="shared" si="42"/>
        <v>0</v>
      </c>
      <c r="AS187" s="167"/>
      <c r="AT187" s="167">
        <f t="shared" si="43"/>
        <v>0</v>
      </c>
      <c r="AU187" s="163"/>
      <c r="AV187" s="163">
        <f t="shared" si="44"/>
        <v>0</v>
      </c>
      <c r="AW187" s="162"/>
      <c r="AX187" s="168">
        <f t="shared" si="45"/>
        <v>0</v>
      </c>
      <c r="AY187" s="169"/>
      <c r="AZ187" s="170">
        <f t="shared" si="46"/>
        <v>0</v>
      </c>
      <c r="BA187" s="160"/>
      <c r="BB187" s="166">
        <f t="shared" si="47"/>
        <v>0</v>
      </c>
    </row>
    <row r="188" spans="1:54" s="115" customFormat="1" ht="31.5">
      <c r="A188" s="148" t="s">
        <v>5744</v>
      </c>
      <c r="B188" s="203" t="s">
        <v>2454</v>
      </c>
      <c r="C188" s="203"/>
      <c r="D188" s="203"/>
      <c r="E188" s="203" t="s">
        <v>3801</v>
      </c>
      <c r="F188" s="205" t="s">
        <v>5746</v>
      </c>
      <c r="G188" s="205" t="s">
        <v>2036</v>
      </c>
      <c r="H188" s="204" t="s">
        <v>3802</v>
      </c>
      <c r="I188" s="204" t="s">
        <v>3803</v>
      </c>
      <c r="J188" s="205" t="s">
        <v>5745</v>
      </c>
      <c r="K188" s="206">
        <v>132323</v>
      </c>
      <c r="L188" s="206"/>
      <c r="M188" s="159">
        <f t="shared" si="32"/>
        <v>0</v>
      </c>
      <c r="N188" s="159"/>
      <c r="O188" s="159"/>
      <c r="P188" s="159"/>
      <c r="Q188" s="159"/>
      <c r="R188" s="159"/>
      <c r="S188" s="150" t="s">
        <v>5118</v>
      </c>
      <c r="T188" s="150" t="s">
        <v>5119</v>
      </c>
      <c r="U188" s="202" t="s">
        <v>3800</v>
      </c>
      <c r="V188" s="204">
        <v>1</v>
      </c>
      <c r="W188" s="203" t="s">
        <v>253</v>
      </c>
      <c r="X188" s="204" t="s">
        <v>5105</v>
      </c>
      <c r="Y188" s="206">
        <v>132323</v>
      </c>
      <c r="Z188" s="207">
        <v>1200</v>
      </c>
      <c r="AA188" s="207">
        <f t="shared" si="33"/>
        <v>158787600</v>
      </c>
      <c r="AB188" s="157">
        <v>1200</v>
      </c>
      <c r="AC188" s="158">
        <f t="shared" si="49"/>
        <v>1200</v>
      </c>
      <c r="AD188" s="159">
        <f t="shared" si="35"/>
        <v>0</v>
      </c>
      <c r="AE188" s="160"/>
      <c r="AF188" s="160">
        <f t="shared" si="36"/>
        <v>0</v>
      </c>
      <c r="AG188" s="165"/>
      <c r="AH188" s="161">
        <f t="shared" si="37"/>
        <v>0</v>
      </c>
      <c r="AI188" s="162"/>
      <c r="AJ188" s="162">
        <f t="shared" si="38"/>
        <v>0</v>
      </c>
      <c r="AK188" s="164"/>
      <c r="AL188" s="164">
        <f t="shared" si="39"/>
        <v>0</v>
      </c>
      <c r="AM188" s="165"/>
      <c r="AN188" s="165">
        <f t="shared" si="40"/>
        <v>0</v>
      </c>
      <c r="AO188" s="166">
        <v>0</v>
      </c>
      <c r="AP188" s="166">
        <f t="shared" si="41"/>
        <v>0</v>
      </c>
      <c r="AQ188" s="162"/>
      <c r="AR188" s="162">
        <f t="shared" si="42"/>
        <v>0</v>
      </c>
      <c r="AS188" s="173"/>
      <c r="AT188" s="167">
        <f t="shared" si="43"/>
        <v>0</v>
      </c>
      <c r="AU188" s="163"/>
      <c r="AV188" s="163">
        <f t="shared" si="44"/>
        <v>0</v>
      </c>
      <c r="AW188" s="168"/>
      <c r="AX188" s="168">
        <f t="shared" si="45"/>
        <v>0</v>
      </c>
      <c r="AY188" s="170"/>
      <c r="AZ188" s="170">
        <f t="shared" si="46"/>
        <v>0</v>
      </c>
      <c r="BA188" s="166"/>
      <c r="BB188" s="166">
        <f t="shared" si="47"/>
        <v>0</v>
      </c>
    </row>
    <row r="189" spans="1:54" s="115" customFormat="1" ht="31.5">
      <c r="A189" s="172" t="s">
        <v>5747</v>
      </c>
      <c r="B189" s="203" t="s">
        <v>1241</v>
      </c>
      <c r="C189" s="203"/>
      <c r="D189" s="203"/>
      <c r="E189" s="203" t="s">
        <v>5751</v>
      </c>
      <c r="F189" s="205" t="s">
        <v>5753</v>
      </c>
      <c r="G189" s="205" t="s">
        <v>1418</v>
      </c>
      <c r="H189" s="204" t="s">
        <v>238</v>
      </c>
      <c r="I189" s="204" t="s">
        <v>11</v>
      </c>
      <c r="J189" s="205" t="s">
        <v>5752</v>
      </c>
      <c r="K189" s="206">
        <v>10899</v>
      </c>
      <c r="L189" s="206"/>
      <c r="M189" s="159">
        <f t="shared" si="32"/>
        <v>0</v>
      </c>
      <c r="N189" s="159"/>
      <c r="O189" s="159"/>
      <c r="P189" s="159"/>
      <c r="Q189" s="159"/>
      <c r="R189" s="159"/>
      <c r="S189" s="149" t="s">
        <v>5748</v>
      </c>
      <c r="T189" s="149" t="s">
        <v>5749</v>
      </c>
      <c r="U189" s="202" t="s">
        <v>5750</v>
      </c>
      <c r="V189" s="204">
        <v>1</v>
      </c>
      <c r="W189" s="203" t="s">
        <v>253</v>
      </c>
      <c r="X189" s="204" t="s">
        <v>5217</v>
      </c>
      <c r="Y189" s="206">
        <v>11000</v>
      </c>
      <c r="Z189" s="207">
        <v>10000</v>
      </c>
      <c r="AA189" s="207">
        <f t="shared" si="33"/>
        <v>108990000</v>
      </c>
      <c r="AB189" s="157">
        <v>10000</v>
      </c>
      <c r="AC189" s="158">
        <f t="shared" si="49"/>
        <v>10000</v>
      </c>
      <c r="AD189" s="159">
        <f t="shared" si="35"/>
        <v>0</v>
      </c>
      <c r="AE189" s="160"/>
      <c r="AF189" s="160">
        <f t="shared" si="36"/>
        <v>0</v>
      </c>
      <c r="AG189" s="165"/>
      <c r="AH189" s="161">
        <f t="shared" si="37"/>
        <v>0</v>
      </c>
      <c r="AI189" s="162"/>
      <c r="AJ189" s="162">
        <f t="shared" si="38"/>
        <v>0</v>
      </c>
      <c r="AK189" s="164"/>
      <c r="AL189" s="164">
        <f t="shared" si="39"/>
        <v>0</v>
      </c>
      <c r="AM189" s="165"/>
      <c r="AN189" s="165">
        <f t="shared" si="40"/>
        <v>0</v>
      </c>
      <c r="AO189" s="166">
        <v>0</v>
      </c>
      <c r="AP189" s="166">
        <f t="shared" si="41"/>
        <v>0</v>
      </c>
      <c r="AQ189" s="162"/>
      <c r="AR189" s="162">
        <f t="shared" si="42"/>
        <v>0</v>
      </c>
      <c r="AS189" s="173"/>
      <c r="AT189" s="167">
        <f t="shared" si="43"/>
        <v>0</v>
      </c>
      <c r="AU189" s="163"/>
      <c r="AV189" s="163">
        <f t="shared" si="44"/>
        <v>0</v>
      </c>
      <c r="AW189" s="168"/>
      <c r="AX189" s="168">
        <f t="shared" si="45"/>
        <v>0</v>
      </c>
      <c r="AY189" s="170"/>
      <c r="AZ189" s="170">
        <f t="shared" si="46"/>
        <v>0</v>
      </c>
      <c r="BA189" s="166"/>
      <c r="BB189" s="166">
        <f t="shared" si="47"/>
        <v>0</v>
      </c>
    </row>
    <row r="190" spans="1:54" s="115" customFormat="1" ht="31.5">
      <c r="A190" s="148" t="s">
        <v>5754</v>
      </c>
      <c r="B190" s="203" t="s">
        <v>1526</v>
      </c>
      <c r="C190" s="203"/>
      <c r="D190" s="203"/>
      <c r="E190" s="203" t="s">
        <v>5626</v>
      </c>
      <c r="F190" s="205" t="s">
        <v>5627</v>
      </c>
      <c r="G190" s="205" t="s">
        <v>929</v>
      </c>
      <c r="H190" s="204" t="s">
        <v>5755</v>
      </c>
      <c r="I190" s="204" t="s">
        <v>520</v>
      </c>
      <c r="J190" s="205" t="s">
        <v>5619</v>
      </c>
      <c r="K190" s="206">
        <v>8513</v>
      </c>
      <c r="L190" s="206"/>
      <c r="M190" s="159">
        <f t="shared" si="32"/>
        <v>0</v>
      </c>
      <c r="N190" s="159"/>
      <c r="O190" s="159"/>
      <c r="P190" s="159"/>
      <c r="Q190" s="159"/>
      <c r="R190" s="159"/>
      <c r="S190" s="149" t="s">
        <v>5099</v>
      </c>
      <c r="T190" s="150" t="s">
        <v>5100</v>
      </c>
      <c r="U190" s="202" t="s">
        <v>4431</v>
      </c>
      <c r="V190" s="204">
        <v>1</v>
      </c>
      <c r="W190" s="203" t="s">
        <v>5104</v>
      </c>
      <c r="X190" s="204" t="s">
        <v>5622</v>
      </c>
      <c r="Y190" s="206">
        <v>10009</v>
      </c>
      <c r="Z190" s="207">
        <v>5000</v>
      </c>
      <c r="AA190" s="207">
        <f t="shared" si="33"/>
        <v>42565000</v>
      </c>
      <c r="AB190" s="157">
        <v>5000</v>
      </c>
      <c r="AC190" s="158">
        <f t="shared" si="49"/>
        <v>5000</v>
      </c>
      <c r="AD190" s="159">
        <f t="shared" si="35"/>
        <v>0</v>
      </c>
      <c r="AE190" s="160"/>
      <c r="AF190" s="160">
        <f t="shared" si="36"/>
        <v>0</v>
      </c>
      <c r="AG190" s="165"/>
      <c r="AH190" s="161">
        <f t="shared" si="37"/>
        <v>0</v>
      </c>
      <c r="AI190" s="162"/>
      <c r="AJ190" s="162">
        <f t="shared" si="38"/>
        <v>0</v>
      </c>
      <c r="AK190" s="164"/>
      <c r="AL190" s="164">
        <f t="shared" si="39"/>
        <v>0</v>
      </c>
      <c r="AM190" s="165"/>
      <c r="AN190" s="165">
        <f t="shared" si="40"/>
        <v>0</v>
      </c>
      <c r="AO190" s="166">
        <v>0</v>
      </c>
      <c r="AP190" s="166">
        <f t="shared" si="41"/>
        <v>0</v>
      </c>
      <c r="AQ190" s="162"/>
      <c r="AR190" s="162">
        <f t="shared" si="42"/>
        <v>0</v>
      </c>
      <c r="AS190" s="173"/>
      <c r="AT190" s="167">
        <f t="shared" si="43"/>
        <v>0</v>
      </c>
      <c r="AU190" s="163"/>
      <c r="AV190" s="163">
        <f t="shared" si="44"/>
        <v>0</v>
      </c>
      <c r="AW190" s="168"/>
      <c r="AX190" s="168">
        <f t="shared" si="45"/>
        <v>0</v>
      </c>
      <c r="AY190" s="170"/>
      <c r="AZ190" s="170">
        <f t="shared" si="46"/>
        <v>0</v>
      </c>
      <c r="BA190" s="166"/>
      <c r="BB190" s="166">
        <f t="shared" si="47"/>
        <v>0</v>
      </c>
    </row>
    <row r="191" spans="1:54" s="115" customFormat="1" ht="63">
      <c r="A191" s="148" t="s">
        <v>5756</v>
      </c>
      <c r="B191" s="203" t="s">
        <v>1526</v>
      </c>
      <c r="C191" s="203"/>
      <c r="D191" s="203"/>
      <c r="E191" s="203" t="s">
        <v>4426</v>
      </c>
      <c r="F191" s="205" t="s">
        <v>923</v>
      </c>
      <c r="G191" s="205" t="s">
        <v>5758</v>
      </c>
      <c r="H191" s="204" t="s">
        <v>4427</v>
      </c>
      <c r="I191" s="204" t="s">
        <v>658</v>
      </c>
      <c r="J191" s="205" t="s">
        <v>5757</v>
      </c>
      <c r="K191" s="206">
        <v>76379</v>
      </c>
      <c r="L191" s="206"/>
      <c r="M191" s="159">
        <f t="shared" si="32"/>
        <v>100</v>
      </c>
      <c r="N191" s="159"/>
      <c r="O191" s="159"/>
      <c r="P191" s="159"/>
      <c r="Q191" s="159"/>
      <c r="R191" s="159"/>
      <c r="S191" s="149" t="s">
        <v>5099</v>
      </c>
      <c r="T191" s="150" t="s">
        <v>5100</v>
      </c>
      <c r="U191" s="202" t="s">
        <v>4425</v>
      </c>
      <c r="V191" s="204">
        <v>1</v>
      </c>
      <c r="W191" s="203" t="s">
        <v>253</v>
      </c>
      <c r="X191" s="204" t="s">
        <v>5759</v>
      </c>
      <c r="Y191" s="206">
        <v>89800</v>
      </c>
      <c r="Z191" s="207">
        <v>1500</v>
      </c>
      <c r="AA191" s="207">
        <f t="shared" si="33"/>
        <v>114568500</v>
      </c>
      <c r="AB191" s="157">
        <v>1500</v>
      </c>
      <c r="AC191" s="158">
        <f t="shared" si="49"/>
        <v>1400</v>
      </c>
      <c r="AD191" s="159">
        <f t="shared" si="35"/>
        <v>7637900</v>
      </c>
      <c r="AE191" s="160"/>
      <c r="AF191" s="160">
        <f t="shared" si="36"/>
        <v>0</v>
      </c>
      <c r="AG191" s="165">
        <v>100</v>
      </c>
      <c r="AH191" s="161">
        <f t="shared" si="37"/>
        <v>7637900</v>
      </c>
      <c r="AI191" s="162"/>
      <c r="AJ191" s="162">
        <f t="shared" si="38"/>
        <v>0</v>
      </c>
      <c r="AK191" s="164"/>
      <c r="AL191" s="164">
        <f t="shared" si="39"/>
        <v>0</v>
      </c>
      <c r="AM191" s="165"/>
      <c r="AN191" s="165">
        <f t="shared" si="40"/>
        <v>0</v>
      </c>
      <c r="AO191" s="166">
        <v>0</v>
      </c>
      <c r="AP191" s="166">
        <f t="shared" si="41"/>
        <v>0</v>
      </c>
      <c r="AQ191" s="162"/>
      <c r="AR191" s="162">
        <f t="shared" si="42"/>
        <v>0</v>
      </c>
      <c r="AS191" s="173"/>
      <c r="AT191" s="167">
        <f t="shared" si="43"/>
        <v>0</v>
      </c>
      <c r="AU191" s="163"/>
      <c r="AV191" s="163">
        <f t="shared" si="44"/>
        <v>0</v>
      </c>
      <c r="AW191" s="168"/>
      <c r="AX191" s="168">
        <f t="shared" si="45"/>
        <v>0</v>
      </c>
      <c r="AY191" s="170"/>
      <c r="AZ191" s="170">
        <f t="shared" si="46"/>
        <v>0</v>
      </c>
      <c r="BA191" s="166"/>
      <c r="BB191" s="166">
        <f t="shared" si="47"/>
        <v>0</v>
      </c>
    </row>
    <row r="192" spans="1:54" s="115" customFormat="1" ht="47.25">
      <c r="A192" s="172" t="s">
        <v>5760</v>
      </c>
      <c r="B192" s="203" t="s">
        <v>5634</v>
      </c>
      <c r="C192" s="203"/>
      <c r="D192" s="203"/>
      <c r="E192" s="203" t="s">
        <v>4323</v>
      </c>
      <c r="F192" s="205" t="s">
        <v>5644</v>
      </c>
      <c r="G192" s="205" t="s">
        <v>935</v>
      </c>
      <c r="H192" s="204" t="s">
        <v>4324</v>
      </c>
      <c r="I192" s="204" t="s">
        <v>5639</v>
      </c>
      <c r="J192" s="205" t="s">
        <v>5643</v>
      </c>
      <c r="K192" s="206">
        <v>278090</v>
      </c>
      <c r="L192" s="206"/>
      <c r="M192" s="159">
        <f t="shared" si="32"/>
        <v>250</v>
      </c>
      <c r="N192" s="159"/>
      <c r="O192" s="159"/>
      <c r="P192" s="159"/>
      <c r="Q192" s="159"/>
      <c r="R192" s="159"/>
      <c r="S192" s="149" t="s">
        <v>5099</v>
      </c>
      <c r="T192" s="150" t="s">
        <v>5100</v>
      </c>
      <c r="U192" s="202" t="s">
        <v>4322</v>
      </c>
      <c r="V192" s="204">
        <v>1</v>
      </c>
      <c r="W192" s="203" t="s">
        <v>253</v>
      </c>
      <c r="X192" s="204" t="s">
        <v>5121</v>
      </c>
      <c r="Y192" s="206">
        <v>305852</v>
      </c>
      <c r="Z192" s="207">
        <v>1000</v>
      </c>
      <c r="AA192" s="207">
        <f t="shared" si="33"/>
        <v>278090000</v>
      </c>
      <c r="AB192" s="157">
        <v>1000</v>
      </c>
      <c r="AC192" s="158">
        <f t="shared" si="49"/>
        <v>750</v>
      </c>
      <c r="AD192" s="159">
        <f t="shared" si="35"/>
        <v>69522500</v>
      </c>
      <c r="AE192" s="160"/>
      <c r="AF192" s="160">
        <f t="shared" si="36"/>
        <v>0</v>
      </c>
      <c r="AG192" s="165">
        <v>150</v>
      </c>
      <c r="AH192" s="161">
        <f t="shared" si="37"/>
        <v>41713500</v>
      </c>
      <c r="AI192" s="162"/>
      <c r="AJ192" s="162">
        <f t="shared" si="38"/>
        <v>0</v>
      </c>
      <c r="AK192" s="164"/>
      <c r="AL192" s="164">
        <f t="shared" si="39"/>
        <v>0</v>
      </c>
      <c r="AM192" s="165"/>
      <c r="AN192" s="165">
        <f t="shared" si="40"/>
        <v>0</v>
      </c>
      <c r="AO192" s="166">
        <v>100</v>
      </c>
      <c r="AP192" s="166">
        <f t="shared" si="41"/>
        <v>27809000</v>
      </c>
      <c r="AQ192" s="162"/>
      <c r="AR192" s="162">
        <f t="shared" si="42"/>
        <v>0</v>
      </c>
      <c r="AS192" s="173"/>
      <c r="AT192" s="167">
        <f t="shared" si="43"/>
        <v>0</v>
      </c>
      <c r="AU192" s="163"/>
      <c r="AV192" s="163">
        <f t="shared" si="44"/>
        <v>0</v>
      </c>
      <c r="AW192" s="168"/>
      <c r="AX192" s="168">
        <f t="shared" si="45"/>
        <v>0</v>
      </c>
      <c r="AY192" s="170"/>
      <c r="AZ192" s="170">
        <f t="shared" si="46"/>
        <v>0</v>
      </c>
      <c r="BA192" s="166"/>
      <c r="BB192" s="166">
        <f t="shared" si="47"/>
        <v>0</v>
      </c>
    </row>
    <row r="193" spans="1:54" s="115" customFormat="1" ht="47.25">
      <c r="A193" s="148" t="s">
        <v>5761</v>
      </c>
      <c r="B193" s="203" t="s">
        <v>4371</v>
      </c>
      <c r="C193" s="203"/>
      <c r="D193" s="203"/>
      <c r="E193" s="203" t="s">
        <v>4370</v>
      </c>
      <c r="F193" s="205" t="s">
        <v>5763</v>
      </c>
      <c r="G193" s="205" t="s">
        <v>2042</v>
      </c>
      <c r="H193" s="204" t="s">
        <v>258</v>
      </c>
      <c r="I193" s="204" t="s">
        <v>11</v>
      </c>
      <c r="J193" s="205" t="s">
        <v>5762</v>
      </c>
      <c r="K193" s="206">
        <v>1636</v>
      </c>
      <c r="L193" s="206"/>
      <c r="M193" s="159">
        <f t="shared" si="32"/>
        <v>3090</v>
      </c>
      <c r="N193" s="159"/>
      <c r="O193" s="159"/>
      <c r="P193" s="159"/>
      <c r="Q193" s="159"/>
      <c r="R193" s="159"/>
      <c r="S193" s="150" t="s">
        <v>5118</v>
      </c>
      <c r="T193" s="150" t="s">
        <v>5119</v>
      </c>
      <c r="U193" s="202" t="s">
        <v>4369</v>
      </c>
      <c r="V193" s="204">
        <v>1</v>
      </c>
      <c r="W193" s="203" t="s">
        <v>5104</v>
      </c>
      <c r="X193" s="204" t="s">
        <v>5116</v>
      </c>
      <c r="Y193" s="206">
        <v>1783</v>
      </c>
      <c r="Z193" s="207">
        <v>30000</v>
      </c>
      <c r="AA193" s="207">
        <f t="shared" si="33"/>
        <v>49080000</v>
      </c>
      <c r="AB193" s="157">
        <v>30000</v>
      </c>
      <c r="AC193" s="158">
        <f t="shared" si="49"/>
        <v>26910</v>
      </c>
      <c r="AD193" s="159">
        <f t="shared" si="35"/>
        <v>5055240</v>
      </c>
      <c r="AE193" s="160"/>
      <c r="AF193" s="160">
        <f t="shared" si="36"/>
        <v>0</v>
      </c>
      <c r="AG193" s="165"/>
      <c r="AH193" s="161">
        <f t="shared" si="37"/>
        <v>0</v>
      </c>
      <c r="AI193" s="162"/>
      <c r="AJ193" s="162">
        <f t="shared" si="38"/>
        <v>0</v>
      </c>
      <c r="AK193" s="164"/>
      <c r="AL193" s="164">
        <f t="shared" si="39"/>
        <v>0</v>
      </c>
      <c r="AM193" s="165">
        <v>2100</v>
      </c>
      <c r="AN193" s="165">
        <f t="shared" si="40"/>
        <v>3435600</v>
      </c>
      <c r="AO193" s="166">
        <v>990</v>
      </c>
      <c r="AP193" s="166">
        <f t="shared" si="41"/>
        <v>1619640</v>
      </c>
      <c r="AQ193" s="162"/>
      <c r="AR193" s="162">
        <f t="shared" si="42"/>
        <v>0</v>
      </c>
      <c r="AS193" s="173"/>
      <c r="AT193" s="167">
        <f t="shared" si="43"/>
        <v>0</v>
      </c>
      <c r="AU193" s="163"/>
      <c r="AV193" s="163">
        <f t="shared" si="44"/>
        <v>0</v>
      </c>
      <c r="AW193" s="168"/>
      <c r="AX193" s="168">
        <f t="shared" si="45"/>
        <v>0</v>
      </c>
      <c r="AY193" s="170"/>
      <c r="AZ193" s="170">
        <f t="shared" si="46"/>
        <v>0</v>
      </c>
      <c r="BA193" s="166"/>
      <c r="BB193" s="166">
        <f t="shared" si="47"/>
        <v>0</v>
      </c>
    </row>
    <row r="194" spans="1:54" s="115" customFormat="1" ht="31.5">
      <c r="A194" s="148" t="s">
        <v>5764</v>
      </c>
      <c r="B194" s="203" t="s">
        <v>4371</v>
      </c>
      <c r="C194" s="203"/>
      <c r="D194" s="203"/>
      <c r="E194" s="203" t="s">
        <v>5765</v>
      </c>
      <c r="F194" s="205" t="s">
        <v>5767</v>
      </c>
      <c r="G194" s="205" t="s">
        <v>2042</v>
      </c>
      <c r="H194" s="204" t="s">
        <v>262</v>
      </c>
      <c r="I194" s="204" t="s">
        <v>11</v>
      </c>
      <c r="J194" s="205" t="s">
        <v>5766</v>
      </c>
      <c r="K194" s="206">
        <v>2579</v>
      </c>
      <c r="L194" s="206"/>
      <c r="M194" s="159">
        <f t="shared" si="32"/>
        <v>0</v>
      </c>
      <c r="N194" s="159"/>
      <c r="O194" s="159"/>
      <c r="P194" s="159"/>
      <c r="Q194" s="159"/>
      <c r="R194" s="159"/>
      <c r="S194" s="150" t="s">
        <v>5118</v>
      </c>
      <c r="T194" s="150" t="s">
        <v>5119</v>
      </c>
      <c r="U194" s="202" t="s">
        <v>4373</v>
      </c>
      <c r="V194" s="204">
        <v>1</v>
      </c>
      <c r="W194" s="203" t="s">
        <v>5111</v>
      </c>
      <c r="X194" s="204" t="s">
        <v>5116</v>
      </c>
      <c r="Y194" s="206">
        <v>2812</v>
      </c>
      <c r="Z194" s="207">
        <v>30000</v>
      </c>
      <c r="AA194" s="207">
        <f t="shared" si="33"/>
        <v>77370000</v>
      </c>
      <c r="AB194" s="157">
        <v>30000</v>
      </c>
      <c r="AC194" s="158">
        <f t="shared" si="49"/>
        <v>30000</v>
      </c>
      <c r="AD194" s="159">
        <f t="shared" si="35"/>
        <v>0</v>
      </c>
      <c r="AE194" s="160"/>
      <c r="AF194" s="160">
        <f t="shared" si="36"/>
        <v>0</v>
      </c>
      <c r="AG194" s="165"/>
      <c r="AH194" s="161">
        <f t="shared" si="37"/>
        <v>0</v>
      </c>
      <c r="AI194" s="162"/>
      <c r="AJ194" s="162">
        <f t="shared" si="38"/>
        <v>0</v>
      </c>
      <c r="AK194" s="164"/>
      <c r="AL194" s="164">
        <f t="shared" si="39"/>
        <v>0</v>
      </c>
      <c r="AM194" s="165"/>
      <c r="AN194" s="165">
        <f t="shared" si="40"/>
        <v>0</v>
      </c>
      <c r="AO194" s="166">
        <v>0</v>
      </c>
      <c r="AP194" s="166">
        <f t="shared" si="41"/>
        <v>0</v>
      </c>
      <c r="AQ194" s="162"/>
      <c r="AR194" s="162">
        <f t="shared" si="42"/>
        <v>0</v>
      </c>
      <c r="AS194" s="173"/>
      <c r="AT194" s="167">
        <f t="shared" si="43"/>
        <v>0</v>
      </c>
      <c r="AU194" s="163"/>
      <c r="AV194" s="163">
        <f t="shared" si="44"/>
        <v>0</v>
      </c>
      <c r="AW194" s="168"/>
      <c r="AX194" s="168">
        <f t="shared" si="45"/>
        <v>0</v>
      </c>
      <c r="AY194" s="170"/>
      <c r="AZ194" s="170">
        <f t="shared" si="46"/>
        <v>0</v>
      </c>
      <c r="BA194" s="166"/>
      <c r="BB194" s="166">
        <f t="shared" si="47"/>
        <v>0</v>
      </c>
    </row>
    <row r="195" spans="1:54" s="115" customFormat="1" ht="31.5">
      <c r="A195" s="172" t="s">
        <v>5768</v>
      </c>
      <c r="B195" s="203" t="s">
        <v>1480</v>
      </c>
      <c r="C195" s="203"/>
      <c r="D195" s="203"/>
      <c r="E195" s="203" t="s">
        <v>5770</v>
      </c>
      <c r="F195" s="205" t="s">
        <v>5772</v>
      </c>
      <c r="G195" s="205" t="s">
        <v>1812</v>
      </c>
      <c r="H195" s="204" t="s">
        <v>310</v>
      </c>
      <c r="I195" s="204" t="s">
        <v>11</v>
      </c>
      <c r="J195" s="205" t="s">
        <v>5771</v>
      </c>
      <c r="K195" s="206">
        <v>1100</v>
      </c>
      <c r="L195" s="206"/>
      <c r="M195" s="159">
        <f t="shared" si="32"/>
        <v>0</v>
      </c>
      <c r="N195" s="159"/>
      <c r="O195" s="159"/>
      <c r="P195" s="159"/>
      <c r="Q195" s="159"/>
      <c r="R195" s="159"/>
      <c r="S195" s="149" t="s">
        <v>5669</v>
      </c>
      <c r="T195" s="149" t="s">
        <v>5670</v>
      </c>
      <c r="U195" s="202" t="s">
        <v>5769</v>
      </c>
      <c r="V195" s="204">
        <v>1</v>
      </c>
      <c r="W195" s="203" t="s">
        <v>5108</v>
      </c>
      <c r="X195" s="204" t="s">
        <v>5156</v>
      </c>
      <c r="Y195" s="206">
        <v>1500</v>
      </c>
      <c r="Z195" s="207">
        <v>80000</v>
      </c>
      <c r="AA195" s="207">
        <f t="shared" si="33"/>
        <v>88000000</v>
      </c>
      <c r="AB195" s="157">
        <v>80000</v>
      </c>
      <c r="AC195" s="158">
        <f t="shared" si="49"/>
        <v>80000</v>
      </c>
      <c r="AD195" s="159">
        <f t="shared" si="35"/>
        <v>0</v>
      </c>
      <c r="AE195" s="160"/>
      <c r="AF195" s="160">
        <f t="shared" si="36"/>
        <v>0</v>
      </c>
      <c r="AG195" s="165"/>
      <c r="AH195" s="161">
        <f t="shared" si="37"/>
        <v>0</v>
      </c>
      <c r="AI195" s="162"/>
      <c r="AJ195" s="162">
        <f t="shared" si="38"/>
        <v>0</v>
      </c>
      <c r="AK195" s="164"/>
      <c r="AL195" s="164">
        <f t="shared" si="39"/>
        <v>0</v>
      </c>
      <c r="AM195" s="165"/>
      <c r="AN195" s="165">
        <f t="shared" si="40"/>
        <v>0</v>
      </c>
      <c r="AO195" s="166">
        <v>0</v>
      </c>
      <c r="AP195" s="166">
        <f t="shared" si="41"/>
        <v>0</v>
      </c>
      <c r="AQ195" s="162"/>
      <c r="AR195" s="162">
        <f t="shared" si="42"/>
        <v>0</v>
      </c>
      <c r="AS195" s="173"/>
      <c r="AT195" s="167">
        <f t="shared" si="43"/>
        <v>0</v>
      </c>
      <c r="AU195" s="163"/>
      <c r="AV195" s="163">
        <f t="shared" si="44"/>
        <v>0</v>
      </c>
      <c r="AW195" s="168"/>
      <c r="AX195" s="168">
        <f t="shared" si="45"/>
        <v>0</v>
      </c>
      <c r="AY195" s="170"/>
      <c r="AZ195" s="170">
        <f t="shared" si="46"/>
        <v>0</v>
      </c>
      <c r="BA195" s="166"/>
      <c r="BB195" s="166">
        <f t="shared" si="47"/>
        <v>0</v>
      </c>
    </row>
    <row r="196" spans="1:54" s="115" customFormat="1" ht="31.5">
      <c r="A196" s="148" t="s">
        <v>5773</v>
      </c>
      <c r="B196" s="203" t="s">
        <v>3967</v>
      </c>
      <c r="C196" s="203"/>
      <c r="D196" s="203"/>
      <c r="E196" s="203" t="s">
        <v>2004</v>
      </c>
      <c r="F196" s="205" t="s">
        <v>2006</v>
      </c>
      <c r="G196" s="205" t="s">
        <v>5775</v>
      </c>
      <c r="H196" s="204" t="s">
        <v>2005</v>
      </c>
      <c r="I196" s="204" t="s">
        <v>11</v>
      </c>
      <c r="J196" s="205" t="s">
        <v>5774</v>
      </c>
      <c r="K196" s="206">
        <v>3585</v>
      </c>
      <c r="L196" s="206"/>
      <c r="M196" s="159">
        <f t="shared" ref="M196:M259" si="50">AE196+AG196+AI196+AK196+AM196+AO196+AQ196+AS196+AU196+AW196+AY196+BA196</f>
        <v>0</v>
      </c>
      <c r="N196" s="159"/>
      <c r="O196" s="159"/>
      <c r="P196" s="159"/>
      <c r="Q196" s="159"/>
      <c r="R196" s="159"/>
      <c r="S196" s="150" t="s">
        <v>5250</v>
      </c>
      <c r="T196" s="150" t="s">
        <v>5251</v>
      </c>
      <c r="U196" s="202" t="s">
        <v>4202</v>
      </c>
      <c r="V196" s="204">
        <v>1</v>
      </c>
      <c r="W196" s="203" t="s">
        <v>5104</v>
      </c>
      <c r="X196" s="204" t="s">
        <v>5116</v>
      </c>
      <c r="Y196" s="206">
        <v>3588</v>
      </c>
      <c r="Z196" s="207">
        <v>60000</v>
      </c>
      <c r="AA196" s="207">
        <f t="shared" ref="AA196:AA259" si="51">Z196*K196</f>
        <v>215100000</v>
      </c>
      <c r="AB196" s="157">
        <v>60000</v>
      </c>
      <c r="AC196" s="158">
        <f t="shared" si="49"/>
        <v>60000</v>
      </c>
      <c r="AD196" s="159">
        <f t="shared" ref="AD196:AD259" si="52">M196*K196</f>
        <v>0</v>
      </c>
      <c r="AE196" s="160"/>
      <c r="AF196" s="160">
        <f t="shared" ref="AF196:AF259" si="53">AE196*K196</f>
        <v>0</v>
      </c>
      <c r="AG196" s="165"/>
      <c r="AH196" s="161">
        <f t="shared" ref="AH196:AH259" si="54">AG196*K196</f>
        <v>0</v>
      </c>
      <c r="AI196" s="162"/>
      <c r="AJ196" s="162">
        <f t="shared" ref="AJ196:AJ259" si="55">AI196*K196</f>
        <v>0</v>
      </c>
      <c r="AK196" s="164"/>
      <c r="AL196" s="164">
        <f t="shared" ref="AL196:AL259" si="56">AK196*K196</f>
        <v>0</v>
      </c>
      <c r="AM196" s="165"/>
      <c r="AN196" s="165">
        <f t="shared" ref="AN196:AN259" si="57">AM196*K196</f>
        <v>0</v>
      </c>
      <c r="AO196" s="166">
        <v>0</v>
      </c>
      <c r="AP196" s="166">
        <f t="shared" ref="AP196:AP259" si="58">AO196*K196</f>
        <v>0</v>
      </c>
      <c r="AQ196" s="162"/>
      <c r="AR196" s="162">
        <f t="shared" ref="AR196:AR259" si="59">AQ196*K196</f>
        <v>0</v>
      </c>
      <c r="AS196" s="173"/>
      <c r="AT196" s="167">
        <f t="shared" ref="AT196:AT259" si="60">AS196*K196</f>
        <v>0</v>
      </c>
      <c r="AU196" s="163"/>
      <c r="AV196" s="163">
        <f t="shared" ref="AV196:AV259" si="61">AU196*K196</f>
        <v>0</v>
      </c>
      <c r="AW196" s="168"/>
      <c r="AX196" s="168">
        <f t="shared" ref="AX196:AX259" si="62">AW196*K196</f>
        <v>0</v>
      </c>
      <c r="AY196" s="170"/>
      <c r="AZ196" s="170">
        <f t="shared" ref="AZ196:AZ259" si="63">AY196*K196</f>
        <v>0</v>
      </c>
      <c r="BA196" s="166"/>
      <c r="BB196" s="166">
        <f t="shared" ref="BB196:BB259" si="64">BA196*K196</f>
        <v>0</v>
      </c>
    </row>
    <row r="197" spans="1:54" s="115" customFormat="1" ht="31.5">
      <c r="A197" s="148" t="s">
        <v>5776</v>
      </c>
      <c r="B197" s="203" t="s">
        <v>560</v>
      </c>
      <c r="C197" s="203"/>
      <c r="D197" s="203"/>
      <c r="E197" s="203" t="s">
        <v>3718</v>
      </c>
      <c r="F197" s="205" t="s">
        <v>5778</v>
      </c>
      <c r="G197" s="205" t="s">
        <v>5779</v>
      </c>
      <c r="H197" s="204" t="s">
        <v>299</v>
      </c>
      <c r="I197" s="204" t="s">
        <v>13</v>
      </c>
      <c r="J197" s="205" t="s">
        <v>5777</v>
      </c>
      <c r="K197" s="206">
        <v>2009</v>
      </c>
      <c r="L197" s="206"/>
      <c r="M197" s="159">
        <f t="shared" si="50"/>
        <v>8000</v>
      </c>
      <c r="N197" s="159"/>
      <c r="O197" s="159"/>
      <c r="P197" s="159"/>
      <c r="Q197" s="159"/>
      <c r="R197" s="159"/>
      <c r="S197" s="149" t="s">
        <v>5099</v>
      </c>
      <c r="T197" s="150" t="s">
        <v>5100</v>
      </c>
      <c r="U197" s="202" t="s">
        <v>3717</v>
      </c>
      <c r="V197" s="204">
        <v>1</v>
      </c>
      <c r="W197" s="203" t="s">
        <v>253</v>
      </c>
      <c r="X197" s="204" t="s">
        <v>5105</v>
      </c>
      <c r="Y197" s="206">
        <v>2677</v>
      </c>
      <c r="Z197" s="207">
        <v>30000</v>
      </c>
      <c r="AA197" s="207">
        <f t="shared" si="51"/>
        <v>60270000</v>
      </c>
      <c r="AB197" s="157">
        <v>30000</v>
      </c>
      <c r="AC197" s="158">
        <f t="shared" si="49"/>
        <v>22000</v>
      </c>
      <c r="AD197" s="159">
        <f t="shared" si="52"/>
        <v>16072000</v>
      </c>
      <c r="AE197" s="160"/>
      <c r="AF197" s="160">
        <f t="shared" si="53"/>
        <v>0</v>
      </c>
      <c r="AG197" s="165">
        <v>500</v>
      </c>
      <c r="AH197" s="161">
        <f t="shared" si="54"/>
        <v>1004500</v>
      </c>
      <c r="AI197" s="162"/>
      <c r="AJ197" s="162">
        <f t="shared" si="55"/>
        <v>0</v>
      </c>
      <c r="AK197" s="164"/>
      <c r="AL197" s="164">
        <f t="shared" si="56"/>
        <v>0</v>
      </c>
      <c r="AM197" s="165">
        <v>2000</v>
      </c>
      <c r="AN197" s="165">
        <f t="shared" si="57"/>
        <v>4018000</v>
      </c>
      <c r="AO197" s="166">
        <v>0</v>
      </c>
      <c r="AP197" s="166">
        <f t="shared" si="58"/>
        <v>0</v>
      </c>
      <c r="AQ197" s="162"/>
      <c r="AR197" s="162">
        <f t="shared" si="59"/>
        <v>0</v>
      </c>
      <c r="AS197" s="173">
        <v>5500</v>
      </c>
      <c r="AT197" s="167">
        <f t="shared" si="60"/>
        <v>11049500</v>
      </c>
      <c r="AU197" s="163"/>
      <c r="AV197" s="163">
        <f t="shared" si="61"/>
        <v>0</v>
      </c>
      <c r="AW197" s="168"/>
      <c r="AX197" s="168">
        <f t="shared" si="62"/>
        <v>0</v>
      </c>
      <c r="AY197" s="170"/>
      <c r="AZ197" s="170">
        <f t="shared" si="63"/>
        <v>0</v>
      </c>
      <c r="BA197" s="166"/>
      <c r="BB197" s="166">
        <f t="shared" si="64"/>
        <v>0</v>
      </c>
    </row>
    <row r="198" spans="1:54" s="115" customFormat="1" ht="31.5">
      <c r="A198" s="172" t="s">
        <v>5780</v>
      </c>
      <c r="B198" s="203" t="s">
        <v>2623</v>
      </c>
      <c r="C198" s="203"/>
      <c r="D198" s="203"/>
      <c r="E198" s="203" t="s">
        <v>5782</v>
      </c>
      <c r="F198" s="205" t="s">
        <v>5785</v>
      </c>
      <c r="G198" s="205" t="s">
        <v>5786</v>
      </c>
      <c r="H198" s="204" t="s">
        <v>225</v>
      </c>
      <c r="I198" s="204" t="s">
        <v>11</v>
      </c>
      <c r="J198" s="205" t="s">
        <v>5783</v>
      </c>
      <c r="K198" s="206">
        <v>1500</v>
      </c>
      <c r="L198" s="206"/>
      <c r="M198" s="159">
        <f t="shared" si="50"/>
        <v>0</v>
      </c>
      <c r="N198" s="159"/>
      <c r="O198" s="159"/>
      <c r="P198" s="159"/>
      <c r="Q198" s="159"/>
      <c r="R198" s="159"/>
      <c r="S198" s="150" t="s">
        <v>5298</v>
      </c>
      <c r="T198" s="150" t="s">
        <v>5299</v>
      </c>
      <c r="U198" s="202" t="s">
        <v>5781</v>
      </c>
      <c r="V198" s="204">
        <v>1</v>
      </c>
      <c r="W198" s="203" t="s">
        <v>5784</v>
      </c>
      <c r="X198" s="204" t="s">
        <v>5787</v>
      </c>
      <c r="Y198" s="206">
        <v>1500</v>
      </c>
      <c r="Z198" s="207">
        <v>2000</v>
      </c>
      <c r="AA198" s="207">
        <f t="shared" si="51"/>
        <v>3000000</v>
      </c>
      <c r="AB198" s="157">
        <v>2000</v>
      </c>
      <c r="AC198" s="158">
        <f t="shared" si="49"/>
        <v>2000</v>
      </c>
      <c r="AD198" s="159">
        <f t="shared" si="52"/>
        <v>0</v>
      </c>
      <c r="AE198" s="160"/>
      <c r="AF198" s="160">
        <f t="shared" si="53"/>
        <v>0</v>
      </c>
      <c r="AG198" s="165"/>
      <c r="AH198" s="161">
        <f t="shared" si="54"/>
        <v>0</v>
      </c>
      <c r="AI198" s="162"/>
      <c r="AJ198" s="162">
        <f t="shared" si="55"/>
        <v>0</v>
      </c>
      <c r="AK198" s="164"/>
      <c r="AL198" s="164">
        <f t="shared" si="56"/>
        <v>0</v>
      </c>
      <c r="AM198" s="165"/>
      <c r="AN198" s="165">
        <f t="shared" si="57"/>
        <v>0</v>
      </c>
      <c r="AO198" s="166">
        <v>0</v>
      </c>
      <c r="AP198" s="166">
        <f t="shared" si="58"/>
        <v>0</v>
      </c>
      <c r="AQ198" s="162"/>
      <c r="AR198" s="162">
        <f t="shared" si="59"/>
        <v>0</v>
      </c>
      <c r="AS198" s="173"/>
      <c r="AT198" s="167">
        <f t="shared" si="60"/>
        <v>0</v>
      </c>
      <c r="AU198" s="163"/>
      <c r="AV198" s="163">
        <f t="shared" si="61"/>
        <v>0</v>
      </c>
      <c r="AW198" s="168"/>
      <c r="AX198" s="168">
        <f t="shared" si="62"/>
        <v>0</v>
      </c>
      <c r="AY198" s="170"/>
      <c r="AZ198" s="170">
        <f t="shared" si="63"/>
        <v>0</v>
      </c>
      <c r="BA198" s="166"/>
      <c r="BB198" s="166">
        <f t="shared" si="64"/>
        <v>0</v>
      </c>
    </row>
    <row r="199" spans="1:54" s="115" customFormat="1" ht="31.5">
      <c r="A199" s="148" t="s">
        <v>5788</v>
      </c>
      <c r="B199" s="203" t="s">
        <v>2439</v>
      </c>
      <c r="C199" s="203"/>
      <c r="D199" s="203"/>
      <c r="E199" s="203" t="s">
        <v>5791</v>
      </c>
      <c r="F199" s="205" t="s">
        <v>5793</v>
      </c>
      <c r="G199" s="205" t="s">
        <v>5794</v>
      </c>
      <c r="H199" s="204" t="s">
        <v>5790</v>
      </c>
      <c r="I199" s="204" t="s">
        <v>15</v>
      </c>
      <c r="J199" s="205" t="s">
        <v>5792</v>
      </c>
      <c r="K199" s="206">
        <v>154035</v>
      </c>
      <c r="L199" s="206"/>
      <c r="M199" s="159">
        <f t="shared" si="50"/>
        <v>0</v>
      </c>
      <c r="N199" s="159"/>
      <c r="O199" s="159"/>
      <c r="P199" s="159"/>
      <c r="Q199" s="159"/>
      <c r="R199" s="159"/>
      <c r="S199" s="150" t="s">
        <v>5162</v>
      </c>
      <c r="T199" s="150" t="s">
        <v>5163</v>
      </c>
      <c r="U199" s="202" t="s">
        <v>5789</v>
      </c>
      <c r="V199" s="204">
        <v>1</v>
      </c>
      <c r="W199" s="203" t="s">
        <v>5104</v>
      </c>
      <c r="X199" s="204" t="s">
        <v>5185</v>
      </c>
      <c r="Y199" s="206">
        <v>160000</v>
      </c>
      <c r="Z199" s="207">
        <v>100</v>
      </c>
      <c r="AA199" s="207">
        <f t="shared" si="51"/>
        <v>15403500</v>
      </c>
      <c r="AB199" s="157">
        <v>100</v>
      </c>
      <c r="AC199" s="158">
        <f t="shared" si="49"/>
        <v>100</v>
      </c>
      <c r="AD199" s="159">
        <f t="shared" si="52"/>
        <v>0</v>
      </c>
      <c r="AE199" s="160"/>
      <c r="AF199" s="160">
        <f t="shared" si="53"/>
        <v>0</v>
      </c>
      <c r="AG199" s="161"/>
      <c r="AH199" s="161">
        <f t="shared" si="54"/>
        <v>0</v>
      </c>
      <c r="AI199" s="162"/>
      <c r="AJ199" s="162">
        <f t="shared" si="55"/>
        <v>0</v>
      </c>
      <c r="AK199" s="164"/>
      <c r="AL199" s="164">
        <f t="shared" si="56"/>
        <v>0</v>
      </c>
      <c r="AM199" s="165"/>
      <c r="AN199" s="165">
        <f t="shared" si="57"/>
        <v>0</v>
      </c>
      <c r="AO199" s="166">
        <v>0</v>
      </c>
      <c r="AP199" s="166">
        <f t="shared" si="58"/>
        <v>0</v>
      </c>
      <c r="AQ199" s="162"/>
      <c r="AR199" s="162">
        <f t="shared" si="59"/>
        <v>0</v>
      </c>
      <c r="AS199" s="167"/>
      <c r="AT199" s="167">
        <f t="shared" si="60"/>
        <v>0</v>
      </c>
      <c r="AU199" s="163"/>
      <c r="AV199" s="163">
        <f t="shared" si="61"/>
        <v>0</v>
      </c>
      <c r="AW199" s="168"/>
      <c r="AX199" s="168">
        <f t="shared" si="62"/>
        <v>0</v>
      </c>
      <c r="AY199" s="170"/>
      <c r="AZ199" s="170">
        <f t="shared" si="63"/>
        <v>0</v>
      </c>
      <c r="BA199" s="166"/>
      <c r="BB199" s="166">
        <f t="shared" si="64"/>
        <v>0</v>
      </c>
    </row>
    <row r="200" spans="1:54" s="115" customFormat="1" ht="31.5">
      <c r="A200" s="148" t="s">
        <v>5795</v>
      </c>
      <c r="B200" s="203" t="s">
        <v>2439</v>
      </c>
      <c r="C200" s="203"/>
      <c r="D200" s="203"/>
      <c r="E200" s="203" t="s">
        <v>2438</v>
      </c>
      <c r="F200" s="205" t="s">
        <v>2671</v>
      </c>
      <c r="G200" s="205" t="s">
        <v>5794</v>
      </c>
      <c r="H200" s="204" t="s">
        <v>2440</v>
      </c>
      <c r="I200" s="204" t="s">
        <v>15</v>
      </c>
      <c r="J200" s="205" t="s">
        <v>5797</v>
      </c>
      <c r="K200" s="206">
        <v>67725</v>
      </c>
      <c r="L200" s="206"/>
      <c r="M200" s="159">
        <f t="shared" si="50"/>
        <v>0</v>
      </c>
      <c r="N200" s="159"/>
      <c r="O200" s="159"/>
      <c r="P200" s="159"/>
      <c r="Q200" s="159"/>
      <c r="R200" s="159"/>
      <c r="S200" s="150" t="s">
        <v>5162</v>
      </c>
      <c r="T200" s="150" t="s">
        <v>5163</v>
      </c>
      <c r="U200" s="202" t="s">
        <v>5796</v>
      </c>
      <c r="V200" s="204">
        <v>1</v>
      </c>
      <c r="W200" s="203" t="s">
        <v>253</v>
      </c>
      <c r="X200" s="204" t="s">
        <v>5185</v>
      </c>
      <c r="Y200" s="206">
        <v>68100</v>
      </c>
      <c r="Z200" s="207">
        <v>200</v>
      </c>
      <c r="AA200" s="207">
        <f t="shared" si="51"/>
        <v>13545000</v>
      </c>
      <c r="AB200" s="157">
        <v>200</v>
      </c>
      <c r="AC200" s="158">
        <f t="shared" si="49"/>
        <v>200</v>
      </c>
      <c r="AD200" s="159">
        <f t="shared" si="52"/>
        <v>0</v>
      </c>
      <c r="AE200" s="160"/>
      <c r="AF200" s="160">
        <f t="shared" si="53"/>
        <v>0</v>
      </c>
      <c r="AG200" s="165"/>
      <c r="AH200" s="161">
        <f t="shared" si="54"/>
        <v>0</v>
      </c>
      <c r="AI200" s="162"/>
      <c r="AJ200" s="162">
        <f t="shared" si="55"/>
        <v>0</v>
      </c>
      <c r="AK200" s="164"/>
      <c r="AL200" s="164">
        <f t="shared" si="56"/>
        <v>0</v>
      </c>
      <c r="AM200" s="165"/>
      <c r="AN200" s="165">
        <f t="shared" si="57"/>
        <v>0</v>
      </c>
      <c r="AO200" s="166">
        <v>0</v>
      </c>
      <c r="AP200" s="166">
        <f t="shared" si="58"/>
        <v>0</v>
      </c>
      <c r="AQ200" s="162"/>
      <c r="AR200" s="162">
        <f t="shared" si="59"/>
        <v>0</v>
      </c>
      <c r="AS200" s="173"/>
      <c r="AT200" s="167">
        <f t="shared" si="60"/>
        <v>0</v>
      </c>
      <c r="AU200" s="163"/>
      <c r="AV200" s="163">
        <f t="shared" si="61"/>
        <v>0</v>
      </c>
      <c r="AW200" s="168"/>
      <c r="AX200" s="168">
        <f t="shared" si="62"/>
        <v>0</v>
      </c>
      <c r="AY200" s="170"/>
      <c r="AZ200" s="170">
        <f t="shared" si="63"/>
        <v>0</v>
      </c>
      <c r="BA200" s="166"/>
      <c r="BB200" s="166">
        <f t="shared" si="64"/>
        <v>0</v>
      </c>
    </row>
    <row r="201" spans="1:54" s="115" customFormat="1" ht="47.25">
      <c r="A201" s="172" t="s">
        <v>5798</v>
      </c>
      <c r="B201" s="203" t="s">
        <v>5800</v>
      </c>
      <c r="C201" s="203"/>
      <c r="D201" s="203"/>
      <c r="E201" s="203" t="s">
        <v>5802</v>
      </c>
      <c r="F201" s="205" t="s">
        <v>5805</v>
      </c>
      <c r="G201" s="205" t="s">
        <v>5806</v>
      </c>
      <c r="H201" s="204" t="s">
        <v>5801</v>
      </c>
      <c r="I201" s="204" t="s">
        <v>5639</v>
      </c>
      <c r="J201" s="205" t="s">
        <v>5803</v>
      </c>
      <c r="K201" s="206">
        <v>98000</v>
      </c>
      <c r="L201" s="206"/>
      <c r="M201" s="159">
        <f t="shared" si="50"/>
        <v>0</v>
      </c>
      <c r="N201" s="159"/>
      <c r="O201" s="159"/>
      <c r="P201" s="159"/>
      <c r="Q201" s="159"/>
      <c r="R201" s="159"/>
      <c r="S201" s="149" t="s">
        <v>5099</v>
      </c>
      <c r="T201" s="150" t="s">
        <v>5100</v>
      </c>
      <c r="U201" s="202" t="s">
        <v>5799</v>
      </c>
      <c r="V201" s="204">
        <v>1</v>
      </c>
      <c r="W201" s="203" t="s">
        <v>5804</v>
      </c>
      <c r="X201" s="204" t="s">
        <v>5807</v>
      </c>
      <c r="Y201" s="206">
        <v>118000</v>
      </c>
      <c r="Z201" s="207">
        <v>40</v>
      </c>
      <c r="AA201" s="207">
        <f t="shared" si="51"/>
        <v>3920000</v>
      </c>
      <c r="AB201" s="157">
        <v>40</v>
      </c>
      <c r="AC201" s="158">
        <f t="shared" si="49"/>
        <v>40</v>
      </c>
      <c r="AD201" s="159">
        <f t="shared" si="52"/>
        <v>0</v>
      </c>
      <c r="AE201" s="160"/>
      <c r="AF201" s="160">
        <f t="shared" si="53"/>
        <v>0</v>
      </c>
      <c r="AG201" s="165"/>
      <c r="AH201" s="161">
        <f t="shared" si="54"/>
        <v>0</v>
      </c>
      <c r="AI201" s="162"/>
      <c r="AJ201" s="162">
        <f t="shared" si="55"/>
        <v>0</v>
      </c>
      <c r="AK201" s="164"/>
      <c r="AL201" s="164">
        <f t="shared" si="56"/>
        <v>0</v>
      </c>
      <c r="AM201" s="165"/>
      <c r="AN201" s="165">
        <f t="shared" si="57"/>
        <v>0</v>
      </c>
      <c r="AO201" s="166">
        <v>0</v>
      </c>
      <c r="AP201" s="166">
        <f t="shared" si="58"/>
        <v>0</v>
      </c>
      <c r="AQ201" s="162"/>
      <c r="AR201" s="162">
        <f t="shared" si="59"/>
        <v>0</v>
      </c>
      <c r="AS201" s="173"/>
      <c r="AT201" s="167">
        <f t="shared" si="60"/>
        <v>0</v>
      </c>
      <c r="AU201" s="163"/>
      <c r="AV201" s="163">
        <f t="shared" si="61"/>
        <v>0</v>
      </c>
      <c r="AW201" s="168"/>
      <c r="AX201" s="168">
        <f t="shared" si="62"/>
        <v>0</v>
      </c>
      <c r="AY201" s="170"/>
      <c r="AZ201" s="170">
        <f t="shared" si="63"/>
        <v>0</v>
      </c>
      <c r="BA201" s="166"/>
      <c r="BB201" s="166">
        <f t="shared" si="64"/>
        <v>0</v>
      </c>
    </row>
    <row r="202" spans="1:54" s="115" customFormat="1" ht="31.5">
      <c r="A202" s="148" t="s">
        <v>5808</v>
      </c>
      <c r="B202" s="203" t="s">
        <v>1961</v>
      </c>
      <c r="C202" s="203"/>
      <c r="D202" s="203"/>
      <c r="E202" s="203" t="s">
        <v>5811</v>
      </c>
      <c r="F202" s="205" t="s">
        <v>5813</v>
      </c>
      <c r="G202" s="205" t="s">
        <v>5814</v>
      </c>
      <c r="H202" s="204" t="s">
        <v>5810</v>
      </c>
      <c r="I202" s="204" t="s">
        <v>11</v>
      </c>
      <c r="J202" s="205" t="s">
        <v>5812</v>
      </c>
      <c r="K202" s="206">
        <v>4000</v>
      </c>
      <c r="L202" s="206"/>
      <c r="M202" s="159">
        <f t="shared" si="50"/>
        <v>0</v>
      </c>
      <c r="N202" s="159"/>
      <c r="O202" s="159"/>
      <c r="P202" s="159"/>
      <c r="Q202" s="159"/>
      <c r="R202" s="159"/>
      <c r="S202" s="150" t="s">
        <v>5118</v>
      </c>
      <c r="T202" s="150" t="s">
        <v>5119</v>
      </c>
      <c r="U202" s="202" t="s">
        <v>5809</v>
      </c>
      <c r="V202" s="204">
        <v>1</v>
      </c>
      <c r="W202" s="203" t="s">
        <v>5104</v>
      </c>
      <c r="X202" s="204" t="s">
        <v>5179</v>
      </c>
      <c r="Y202" s="206">
        <v>5600</v>
      </c>
      <c r="Z202" s="207">
        <v>20000</v>
      </c>
      <c r="AA202" s="207">
        <f t="shared" si="51"/>
        <v>80000000</v>
      </c>
      <c r="AB202" s="157">
        <v>20000</v>
      </c>
      <c r="AC202" s="158">
        <f t="shared" si="49"/>
        <v>20000</v>
      </c>
      <c r="AD202" s="159">
        <f t="shared" si="52"/>
        <v>0</v>
      </c>
      <c r="AE202" s="160"/>
      <c r="AF202" s="160">
        <f t="shared" si="53"/>
        <v>0</v>
      </c>
      <c r="AG202" s="161"/>
      <c r="AH202" s="161">
        <f t="shared" si="54"/>
        <v>0</v>
      </c>
      <c r="AI202" s="162"/>
      <c r="AJ202" s="162">
        <f t="shared" si="55"/>
        <v>0</v>
      </c>
      <c r="AK202" s="164"/>
      <c r="AL202" s="164">
        <f t="shared" si="56"/>
        <v>0</v>
      </c>
      <c r="AM202" s="165"/>
      <c r="AN202" s="165">
        <f t="shared" si="57"/>
        <v>0</v>
      </c>
      <c r="AO202" s="166">
        <v>0</v>
      </c>
      <c r="AP202" s="166">
        <f t="shared" si="58"/>
        <v>0</v>
      </c>
      <c r="AQ202" s="162"/>
      <c r="AR202" s="162">
        <f t="shared" si="59"/>
        <v>0</v>
      </c>
      <c r="AS202" s="167"/>
      <c r="AT202" s="167">
        <f t="shared" si="60"/>
        <v>0</v>
      </c>
      <c r="AU202" s="163"/>
      <c r="AV202" s="163">
        <f t="shared" si="61"/>
        <v>0</v>
      </c>
      <c r="AW202" s="168"/>
      <c r="AX202" s="168">
        <f t="shared" si="62"/>
        <v>0</v>
      </c>
      <c r="AY202" s="170"/>
      <c r="AZ202" s="170">
        <f t="shared" si="63"/>
        <v>0</v>
      </c>
      <c r="BA202" s="166"/>
      <c r="BB202" s="166">
        <f t="shared" si="64"/>
        <v>0</v>
      </c>
    </row>
    <row r="203" spans="1:54" s="115" customFormat="1" ht="31.5">
      <c r="A203" s="148" t="s">
        <v>5815</v>
      </c>
      <c r="B203" s="203" t="s">
        <v>702</v>
      </c>
      <c r="C203" s="203"/>
      <c r="D203" s="203"/>
      <c r="E203" s="203" t="s">
        <v>5817</v>
      </c>
      <c r="F203" s="205" t="s">
        <v>5819</v>
      </c>
      <c r="G203" s="205" t="s">
        <v>458</v>
      </c>
      <c r="H203" s="204" t="s">
        <v>262</v>
      </c>
      <c r="I203" s="204" t="s">
        <v>11</v>
      </c>
      <c r="J203" s="205" t="s">
        <v>5818</v>
      </c>
      <c r="K203" s="206">
        <v>2000</v>
      </c>
      <c r="L203" s="206"/>
      <c r="M203" s="159">
        <f t="shared" si="50"/>
        <v>0</v>
      </c>
      <c r="N203" s="159"/>
      <c r="O203" s="159"/>
      <c r="P203" s="159"/>
      <c r="Q203" s="159"/>
      <c r="R203" s="159"/>
      <c r="S203" s="149" t="s">
        <v>5219</v>
      </c>
      <c r="T203" s="149" t="s">
        <v>5220</v>
      </c>
      <c r="U203" s="202" t="s">
        <v>5816</v>
      </c>
      <c r="V203" s="204">
        <v>1</v>
      </c>
      <c r="W203" s="203" t="s">
        <v>5108</v>
      </c>
      <c r="X203" s="204" t="s">
        <v>5222</v>
      </c>
      <c r="Y203" s="206">
        <v>2250</v>
      </c>
      <c r="Z203" s="207">
        <v>40000</v>
      </c>
      <c r="AA203" s="207">
        <f t="shared" si="51"/>
        <v>80000000</v>
      </c>
      <c r="AB203" s="157">
        <v>40000</v>
      </c>
      <c r="AC203" s="158">
        <f t="shared" si="49"/>
        <v>40000</v>
      </c>
      <c r="AD203" s="159">
        <f t="shared" si="52"/>
        <v>0</v>
      </c>
      <c r="AE203" s="160"/>
      <c r="AF203" s="160">
        <f t="shared" si="53"/>
        <v>0</v>
      </c>
      <c r="AG203" s="165"/>
      <c r="AH203" s="161">
        <f t="shared" si="54"/>
        <v>0</v>
      </c>
      <c r="AI203" s="162"/>
      <c r="AJ203" s="162">
        <f t="shared" si="55"/>
        <v>0</v>
      </c>
      <c r="AK203" s="164"/>
      <c r="AL203" s="164">
        <f t="shared" si="56"/>
        <v>0</v>
      </c>
      <c r="AM203" s="165"/>
      <c r="AN203" s="165">
        <f t="shared" si="57"/>
        <v>0</v>
      </c>
      <c r="AO203" s="166">
        <v>0</v>
      </c>
      <c r="AP203" s="166">
        <f t="shared" si="58"/>
        <v>0</v>
      </c>
      <c r="AQ203" s="162"/>
      <c r="AR203" s="162">
        <f t="shared" si="59"/>
        <v>0</v>
      </c>
      <c r="AS203" s="173"/>
      <c r="AT203" s="167">
        <f t="shared" si="60"/>
        <v>0</v>
      </c>
      <c r="AU203" s="163"/>
      <c r="AV203" s="163">
        <f t="shared" si="61"/>
        <v>0</v>
      </c>
      <c r="AW203" s="168"/>
      <c r="AX203" s="168">
        <f t="shared" si="62"/>
        <v>0</v>
      </c>
      <c r="AY203" s="170"/>
      <c r="AZ203" s="170">
        <f t="shared" si="63"/>
        <v>0</v>
      </c>
      <c r="BA203" s="166"/>
      <c r="BB203" s="166">
        <f t="shared" si="64"/>
        <v>0</v>
      </c>
    </row>
    <row r="204" spans="1:54" s="115" customFormat="1" ht="31.5">
      <c r="A204" s="172" t="s">
        <v>5820</v>
      </c>
      <c r="B204" s="203" t="s">
        <v>5821</v>
      </c>
      <c r="C204" s="203"/>
      <c r="D204" s="203"/>
      <c r="E204" s="203" t="s">
        <v>5012</v>
      </c>
      <c r="F204" s="205" t="s">
        <v>5823</v>
      </c>
      <c r="G204" s="205" t="s">
        <v>2097</v>
      </c>
      <c r="H204" s="204" t="s">
        <v>5014</v>
      </c>
      <c r="I204" s="204" t="s">
        <v>520</v>
      </c>
      <c r="J204" s="205" t="s">
        <v>5822</v>
      </c>
      <c r="K204" s="206">
        <v>5163</v>
      </c>
      <c r="L204" s="206"/>
      <c r="M204" s="159">
        <f t="shared" si="50"/>
        <v>5400</v>
      </c>
      <c r="N204" s="159"/>
      <c r="O204" s="159"/>
      <c r="P204" s="159"/>
      <c r="Q204" s="159"/>
      <c r="R204" s="159"/>
      <c r="S204" s="150" t="s">
        <v>5118</v>
      </c>
      <c r="T204" s="150" t="s">
        <v>5119</v>
      </c>
      <c r="U204" s="202" t="s">
        <v>5011</v>
      </c>
      <c r="V204" s="204">
        <v>1</v>
      </c>
      <c r="W204" s="203" t="s">
        <v>5104</v>
      </c>
      <c r="X204" s="204" t="s">
        <v>5116</v>
      </c>
      <c r="Y204" s="206">
        <v>5318</v>
      </c>
      <c r="Z204" s="207">
        <v>65000</v>
      </c>
      <c r="AA204" s="207">
        <f t="shared" si="51"/>
        <v>335595000</v>
      </c>
      <c r="AB204" s="157">
        <v>65000</v>
      </c>
      <c r="AC204" s="158">
        <f t="shared" si="49"/>
        <v>59600</v>
      </c>
      <c r="AD204" s="159">
        <f t="shared" si="52"/>
        <v>27880200</v>
      </c>
      <c r="AE204" s="160"/>
      <c r="AF204" s="160">
        <f t="shared" si="53"/>
        <v>0</v>
      </c>
      <c r="AG204" s="165"/>
      <c r="AH204" s="161">
        <f t="shared" si="54"/>
        <v>0</v>
      </c>
      <c r="AI204" s="162"/>
      <c r="AJ204" s="162">
        <f t="shared" si="55"/>
        <v>0</v>
      </c>
      <c r="AK204" s="164"/>
      <c r="AL204" s="164">
        <f t="shared" si="56"/>
        <v>0</v>
      </c>
      <c r="AM204" s="165"/>
      <c r="AN204" s="165">
        <f t="shared" si="57"/>
        <v>0</v>
      </c>
      <c r="AO204" s="166">
        <v>0</v>
      </c>
      <c r="AP204" s="166">
        <f t="shared" si="58"/>
        <v>0</v>
      </c>
      <c r="AQ204" s="162"/>
      <c r="AR204" s="162">
        <f t="shared" si="59"/>
        <v>0</v>
      </c>
      <c r="AS204" s="173">
        <v>5400</v>
      </c>
      <c r="AT204" s="167">
        <f t="shared" si="60"/>
        <v>27880200</v>
      </c>
      <c r="AU204" s="163"/>
      <c r="AV204" s="163">
        <f t="shared" si="61"/>
        <v>0</v>
      </c>
      <c r="AW204" s="168"/>
      <c r="AX204" s="168">
        <f t="shared" si="62"/>
        <v>0</v>
      </c>
      <c r="AY204" s="170"/>
      <c r="AZ204" s="170">
        <f t="shared" si="63"/>
        <v>0</v>
      </c>
      <c r="BA204" s="166"/>
      <c r="BB204" s="166">
        <f t="shared" si="64"/>
        <v>0</v>
      </c>
    </row>
    <row r="205" spans="1:54" s="115" customFormat="1" ht="31.5">
      <c r="A205" s="148" t="s">
        <v>5824</v>
      </c>
      <c r="B205" s="203" t="s">
        <v>724</v>
      </c>
      <c r="C205" s="203"/>
      <c r="D205" s="203"/>
      <c r="E205" s="203" t="s">
        <v>777</v>
      </c>
      <c r="F205" s="205" t="s">
        <v>5828</v>
      </c>
      <c r="G205" s="205" t="s">
        <v>2056</v>
      </c>
      <c r="H205" s="204" t="s">
        <v>5826</v>
      </c>
      <c r="I205" s="204" t="s">
        <v>520</v>
      </c>
      <c r="J205" s="205" t="s">
        <v>5827</v>
      </c>
      <c r="K205" s="206">
        <v>57750</v>
      </c>
      <c r="L205" s="206"/>
      <c r="M205" s="159">
        <f t="shared" si="50"/>
        <v>0</v>
      </c>
      <c r="N205" s="159"/>
      <c r="O205" s="159"/>
      <c r="P205" s="159"/>
      <c r="Q205" s="159"/>
      <c r="R205" s="159"/>
      <c r="S205" s="150" t="s">
        <v>5162</v>
      </c>
      <c r="T205" s="150" t="s">
        <v>5163</v>
      </c>
      <c r="U205" s="202" t="s">
        <v>5825</v>
      </c>
      <c r="V205" s="204">
        <v>1</v>
      </c>
      <c r="W205" s="203" t="s">
        <v>5104</v>
      </c>
      <c r="X205" s="204" t="s">
        <v>5165</v>
      </c>
      <c r="Y205" s="206">
        <v>57750</v>
      </c>
      <c r="Z205" s="207">
        <v>50</v>
      </c>
      <c r="AA205" s="207">
        <f t="shared" si="51"/>
        <v>2887500</v>
      </c>
      <c r="AB205" s="157">
        <v>50</v>
      </c>
      <c r="AC205" s="158">
        <f t="shared" si="49"/>
        <v>50</v>
      </c>
      <c r="AD205" s="159">
        <f t="shared" si="52"/>
        <v>0</v>
      </c>
      <c r="AE205" s="160"/>
      <c r="AF205" s="160">
        <f t="shared" si="53"/>
        <v>0</v>
      </c>
      <c r="AG205" s="165"/>
      <c r="AH205" s="161">
        <f t="shared" si="54"/>
        <v>0</v>
      </c>
      <c r="AI205" s="162"/>
      <c r="AJ205" s="162">
        <f t="shared" si="55"/>
        <v>0</v>
      </c>
      <c r="AK205" s="164"/>
      <c r="AL205" s="164">
        <f t="shared" si="56"/>
        <v>0</v>
      </c>
      <c r="AM205" s="165"/>
      <c r="AN205" s="165">
        <f t="shared" si="57"/>
        <v>0</v>
      </c>
      <c r="AO205" s="166">
        <v>0</v>
      </c>
      <c r="AP205" s="166">
        <f t="shared" si="58"/>
        <v>0</v>
      </c>
      <c r="AQ205" s="162"/>
      <c r="AR205" s="162">
        <f t="shared" si="59"/>
        <v>0</v>
      </c>
      <c r="AS205" s="173"/>
      <c r="AT205" s="167">
        <f t="shared" si="60"/>
        <v>0</v>
      </c>
      <c r="AU205" s="163"/>
      <c r="AV205" s="163">
        <f t="shared" si="61"/>
        <v>0</v>
      </c>
      <c r="AW205" s="168"/>
      <c r="AX205" s="168">
        <f t="shared" si="62"/>
        <v>0</v>
      </c>
      <c r="AY205" s="170"/>
      <c r="AZ205" s="170">
        <f t="shared" si="63"/>
        <v>0</v>
      </c>
      <c r="BA205" s="166"/>
      <c r="BB205" s="166">
        <f t="shared" si="64"/>
        <v>0</v>
      </c>
    </row>
    <row r="206" spans="1:54" s="115" customFormat="1" ht="31.5">
      <c r="A206" s="148" t="s">
        <v>5829</v>
      </c>
      <c r="B206" s="203" t="s">
        <v>742</v>
      </c>
      <c r="C206" s="203"/>
      <c r="D206" s="203"/>
      <c r="E206" s="203" t="s">
        <v>743</v>
      </c>
      <c r="F206" s="205" t="s">
        <v>5832</v>
      </c>
      <c r="G206" s="205" t="s">
        <v>5833</v>
      </c>
      <c r="H206" s="204" t="s">
        <v>4187</v>
      </c>
      <c r="I206" s="204" t="s">
        <v>520</v>
      </c>
      <c r="J206" s="205" t="s">
        <v>5316</v>
      </c>
      <c r="K206" s="206">
        <v>43995</v>
      </c>
      <c r="L206" s="206"/>
      <c r="M206" s="159">
        <f t="shared" si="50"/>
        <v>10</v>
      </c>
      <c r="N206" s="159"/>
      <c r="O206" s="159"/>
      <c r="P206" s="159"/>
      <c r="Q206" s="159"/>
      <c r="R206" s="159"/>
      <c r="S206" s="149" t="s">
        <v>5830</v>
      </c>
      <c r="T206" s="149" t="s">
        <v>5831</v>
      </c>
      <c r="U206" s="202" t="s">
        <v>4186</v>
      </c>
      <c r="V206" s="204">
        <v>1</v>
      </c>
      <c r="W206" s="203" t="s">
        <v>5104</v>
      </c>
      <c r="X206" s="204" t="s">
        <v>5185</v>
      </c>
      <c r="Y206" s="206">
        <v>44000</v>
      </c>
      <c r="Z206" s="207">
        <v>100</v>
      </c>
      <c r="AA206" s="207">
        <f t="shared" si="51"/>
        <v>4399500</v>
      </c>
      <c r="AB206" s="157">
        <v>100</v>
      </c>
      <c r="AC206" s="158">
        <f t="shared" si="49"/>
        <v>90</v>
      </c>
      <c r="AD206" s="159">
        <f t="shared" si="52"/>
        <v>439950</v>
      </c>
      <c r="AE206" s="160"/>
      <c r="AF206" s="160">
        <f t="shared" si="53"/>
        <v>0</v>
      </c>
      <c r="AG206" s="165"/>
      <c r="AH206" s="161">
        <f t="shared" si="54"/>
        <v>0</v>
      </c>
      <c r="AI206" s="162"/>
      <c r="AJ206" s="162">
        <f t="shared" si="55"/>
        <v>0</v>
      </c>
      <c r="AK206" s="164"/>
      <c r="AL206" s="164">
        <f t="shared" si="56"/>
        <v>0</v>
      </c>
      <c r="AM206" s="165"/>
      <c r="AN206" s="165">
        <f t="shared" si="57"/>
        <v>0</v>
      </c>
      <c r="AO206" s="166">
        <v>0</v>
      </c>
      <c r="AP206" s="166">
        <f t="shared" si="58"/>
        <v>0</v>
      </c>
      <c r="AQ206" s="162"/>
      <c r="AR206" s="162">
        <f t="shared" si="59"/>
        <v>0</v>
      </c>
      <c r="AS206" s="173">
        <v>10</v>
      </c>
      <c r="AT206" s="167">
        <f t="shared" si="60"/>
        <v>439950</v>
      </c>
      <c r="AU206" s="163"/>
      <c r="AV206" s="163">
        <f t="shared" si="61"/>
        <v>0</v>
      </c>
      <c r="AW206" s="168"/>
      <c r="AX206" s="168">
        <f t="shared" si="62"/>
        <v>0</v>
      </c>
      <c r="AY206" s="170"/>
      <c r="AZ206" s="170">
        <f t="shared" si="63"/>
        <v>0</v>
      </c>
      <c r="BA206" s="166"/>
      <c r="BB206" s="166">
        <f t="shared" si="64"/>
        <v>0</v>
      </c>
    </row>
    <row r="207" spans="1:54" s="115" customFormat="1" ht="31.5">
      <c r="A207" s="172" t="s">
        <v>5834</v>
      </c>
      <c r="B207" s="203" t="s">
        <v>4145</v>
      </c>
      <c r="C207" s="203"/>
      <c r="D207" s="203"/>
      <c r="E207" s="203" t="s">
        <v>4144</v>
      </c>
      <c r="F207" s="205" t="s">
        <v>5836</v>
      </c>
      <c r="G207" s="205" t="s">
        <v>5837</v>
      </c>
      <c r="H207" s="204" t="s">
        <v>733</v>
      </c>
      <c r="I207" s="204" t="s">
        <v>520</v>
      </c>
      <c r="J207" s="205" t="s">
        <v>5835</v>
      </c>
      <c r="K207" s="206">
        <v>35000</v>
      </c>
      <c r="L207" s="206"/>
      <c r="M207" s="159">
        <f t="shared" si="50"/>
        <v>10</v>
      </c>
      <c r="N207" s="159"/>
      <c r="O207" s="159"/>
      <c r="P207" s="159"/>
      <c r="Q207" s="159"/>
      <c r="R207" s="159"/>
      <c r="S207" s="150" t="s">
        <v>5162</v>
      </c>
      <c r="T207" s="150" t="s">
        <v>5163</v>
      </c>
      <c r="U207" s="202" t="s">
        <v>4143</v>
      </c>
      <c r="V207" s="204">
        <v>1</v>
      </c>
      <c r="W207" s="203" t="s">
        <v>253</v>
      </c>
      <c r="X207" s="204" t="s">
        <v>5217</v>
      </c>
      <c r="Y207" s="206">
        <v>35000</v>
      </c>
      <c r="Z207" s="207">
        <v>100</v>
      </c>
      <c r="AA207" s="207">
        <f t="shared" si="51"/>
        <v>3500000</v>
      </c>
      <c r="AB207" s="157">
        <v>100</v>
      </c>
      <c r="AC207" s="158">
        <f t="shared" si="49"/>
        <v>90</v>
      </c>
      <c r="AD207" s="159">
        <f t="shared" si="52"/>
        <v>350000</v>
      </c>
      <c r="AE207" s="160"/>
      <c r="AF207" s="160">
        <f t="shared" si="53"/>
        <v>0</v>
      </c>
      <c r="AG207" s="165">
        <v>10</v>
      </c>
      <c r="AH207" s="161">
        <f t="shared" si="54"/>
        <v>350000</v>
      </c>
      <c r="AI207" s="162"/>
      <c r="AJ207" s="162">
        <f t="shared" si="55"/>
        <v>0</v>
      </c>
      <c r="AK207" s="163"/>
      <c r="AL207" s="164">
        <f t="shared" si="56"/>
        <v>0</v>
      </c>
      <c r="AM207" s="161"/>
      <c r="AN207" s="165">
        <f t="shared" si="57"/>
        <v>0</v>
      </c>
      <c r="AO207" s="160">
        <v>0</v>
      </c>
      <c r="AP207" s="166">
        <f t="shared" si="58"/>
        <v>0</v>
      </c>
      <c r="AQ207" s="162"/>
      <c r="AR207" s="162">
        <f t="shared" si="59"/>
        <v>0</v>
      </c>
      <c r="AS207" s="173"/>
      <c r="AT207" s="167">
        <f t="shared" si="60"/>
        <v>0</v>
      </c>
      <c r="AU207" s="163"/>
      <c r="AV207" s="163">
        <f t="shared" si="61"/>
        <v>0</v>
      </c>
      <c r="AW207" s="162"/>
      <c r="AX207" s="168">
        <f t="shared" si="62"/>
        <v>0</v>
      </c>
      <c r="AY207" s="169"/>
      <c r="AZ207" s="170">
        <f t="shared" si="63"/>
        <v>0</v>
      </c>
      <c r="BA207" s="160"/>
      <c r="BB207" s="166">
        <f t="shared" si="64"/>
        <v>0</v>
      </c>
    </row>
    <row r="208" spans="1:54" s="115" customFormat="1" ht="31.5">
      <c r="A208" s="148" t="s">
        <v>5838</v>
      </c>
      <c r="B208" s="203" t="s">
        <v>5840</v>
      </c>
      <c r="C208" s="203"/>
      <c r="D208" s="203"/>
      <c r="E208" s="203" t="s">
        <v>908</v>
      </c>
      <c r="F208" s="205" t="s">
        <v>911</v>
      </c>
      <c r="G208" s="205" t="s">
        <v>912</v>
      </c>
      <c r="H208" s="204" t="s">
        <v>5841</v>
      </c>
      <c r="I208" s="204" t="s">
        <v>3670</v>
      </c>
      <c r="J208" s="205" t="s">
        <v>5842</v>
      </c>
      <c r="K208" s="206">
        <v>55600</v>
      </c>
      <c r="L208" s="206"/>
      <c r="M208" s="159">
        <f t="shared" si="50"/>
        <v>0</v>
      </c>
      <c r="N208" s="159"/>
      <c r="O208" s="159"/>
      <c r="P208" s="159"/>
      <c r="Q208" s="159"/>
      <c r="R208" s="159"/>
      <c r="S208" s="149" t="s">
        <v>5099</v>
      </c>
      <c r="T208" s="150" t="s">
        <v>5100</v>
      </c>
      <c r="U208" s="202" t="s">
        <v>5839</v>
      </c>
      <c r="V208" s="204">
        <v>1</v>
      </c>
      <c r="W208" s="203" t="s">
        <v>253</v>
      </c>
      <c r="X208" s="204" t="s">
        <v>5661</v>
      </c>
      <c r="Y208" s="206">
        <v>55600</v>
      </c>
      <c r="Z208" s="207">
        <v>100</v>
      </c>
      <c r="AA208" s="207">
        <f t="shared" si="51"/>
        <v>5560000</v>
      </c>
      <c r="AB208" s="157">
        <v>100</v>
      </c>
      <c r="AC208" s="158">
        <f t="shared" si="49"/>
        <v>100</v>
      </c>
      <c r="AD208" s="159">
        <f t="shared" si="52"/>
        <v>0</v>
      </c>
      <c r="AE208" s="160"/>
      <c r="AF208" s="160">
        <f t="shared" si="53"/>
        <v>0</v>
      </c>
      <c r="AG208" s="165"/>
      <c r="AH208" s="161">
        <f t="shared" si="54"/>
        <v>0</v>
      </c>
      <c r="AI208" s="162"/>
      <c r="AJ208" s="162">
        <f t="shared" si="55"/>
        <v>0</v>
      </c>
      <c r="AK208" s="164"/>
      <c r="AL208" s="164">
        <f t="shared" si="56"/>
        <v>0</v>
      </c>
      <c r="AM208" s="165"/>
      <c r="AN208" s="165">
        <f t="shared" si="57"/>
        <v>0</v>
      </c>
      <c r="AO208" s="166">
        <v>0</v>
      </c>
      <c r="AP208" s="166">
        <f t="shared" si="58"/>
        <v>0</v>
      </c>
      <c r="AQ208" s="162"/>
      <c r="AR208" s="162">
        <f t="shared" si="59"/>
        <v>0</v>
      </c>
      <c r="AS208" s="173"/>
      <c r="AT208" s="167">
        <f t="shared" si="60"/>
        <v>0</v>
      </c>
      <c r="AU208" s="163"/>
      <c r="AV208" s="163">
        <f t="shared" si="61"/>
        <v>0</v>
      </c>
      <c r="AW208" s="168"/>
      <c r="AX208" s="168">
        <f t="shared" si="62"/>
        <v>0</v>
      </c>
      <c r="AY208" s="170"/>
      <c r="AZ208" s="170">
        <f t="shared" si="63"/>
        <v>0</v>
      </c>
      <c r="BA208" s="166"/>
      <c r="BB208" s="166">
        <f t="shared" si="64"/>
        <v>0</v>
      </c>
    </row>
    <row r="209" spans="1:54" ht="31.5">
      <c r="A209" s="148" t="s">
        <v>5843</v>
      </c>
      <c r="B209" s="203" t="s">
        <v>2509</v>
      </c>
      <c r="C209" s="203"/>
      <c r="D209" s="203"/>
      <c r="E209" s="203" t="s">
        <v>5237</v>
      </c>
      <c r="F209" s="205" t="s">
        <v>5846</v>
      </c>
      <c r="G209" s="205" t="s">
        <v>505</v>
      </c>
      <c r="H209" s="208">
        <v>0.1</v>
      </c>
      <c r="I209" s="204" t="s">
        <v>658</v>
      </c>
      <c r="J209" s="205" t="s">
        <v>5845</v>
      </c>
      <c r="K209" s="206">
        <v>159000</v>
      </c>
      <c r="L209" s="206"/>
      <c r="M209" s="159">
        <f t="shared" si="50"/>
        <v>0</v>
      </c>
      <c r="N209" s="159"/>
      <c r="O209" s="159"/>
      <c r="P209" s="159"/>
      <c r="Q209" s="159"/>
      <c r="R209" s="159"/>
      <c r="S209" s="150" t="s">
        <v>5250</v>
      </c>
      <c r="T209" s="150" t="s">
        <v>5251</v>
      </c>
      <c r="U209" s="202" t="s">
        <v>5844</v>
      </c>
      <c r="V209" s="204">
        <v>1</v>
      </c>
      <c r="W209" s="203" t="s">
        <v>5104</v>
      </c>
      <c r="X209" s="204" t="s">
        <v>5156</v>
      </c>
      <c r="Y209" s="206">
        <v>159000</v>
      </c>
      <c r="Z209" s="207">
        <v>50</v>
      </c>
      <c r="AA209" s="207">
        <f t="shared" si="51"/>
        <v>7950000</v>
      </c>
      <c r="AB209" s="157">
        <v>50</v>
      </c>
      <c r="AC209" s="158">
        <f t="shared" si="49"/>
        <v>50</v>
      </c>
      <c r="AD209" s="159">
        <f t="shared" si="52"/>
        <v>0</v>
      </c>
      <c r="AE209" s="160"/>
      <c r="AF209" s="160">
        <f t="shared" si="53"/>
        <v>0</v>
      </c>
      <c r="AG209" s="165"/>
      <c r="AH209" s="161">
        <f t="shared" si="54"/>
        <v>0</v>
      </c>
      <c r="AI209" s="162"/>
      <c r="AJ209" s="162">
        <f t="shared" si="55"/>
        <v>0</v>
      </c>
      <c r="AK209" s="164"/>
      <c r="AL209" s="164">
        <f t="shared" si="56"/>
        <v>0</v>
      </c>
      <c r="AM209" s="165"/>
      <c r="AN209" s="165">
        <f t="shared" si="57"/>
        <v>0</v>
      </c>
      <c r="AO209" s="166">
        <v>0</v>
      </c>
      <c r="AP209" s="166">
        <f t="shared" si="58"/>
        <v>0</v>
      </c>
      <c r="AQ209" s="162"/>
      <c r="AR209" s="162">
        <f t="shared" si="59"/>
        <v>0</v>
      </c>
      <c r="AS209" s="173"/>
      <c r="AT209" s="167">
        <f t="shared" si="60"/>
        <v>0</v>
      </c>
      <c r="AU209" s="163"/>
      <c r="AV209" s="163">
        <f t="shared" si="61"/>
        <v>0</v>
      </c>
      <c r="AW209" s="168"/>
      <c r="AX209" s="168">
        <f t="shared" si="62"/>
        <v>0</v>
      </c>
      <c r="AY209" s="170"/>
      <c r="AZ209" s="170">
        <f t="shared" si="63"/>
        <v>0</v>
      </c>
      <c r="BA209" s="166"/>
      <c r="BB209" s="166">
        <f t="shared" si="64"/>
        <v>0</v>
      </c>
    </row>
    <row r="210" spans="1:54" ht="112.5">
      <c r="A210" s="172" t="s">
        <v>5847</v>
      </c>
      <c r="B210" s="203" t="s">
        <v>659</v>
      </c>
      <c r="C210" s="203"/>
      <c r="D210" s="203"/>
      <c r="E210" s="203" t="s">
        <v>5851</v>
      </c>
      <c r="F210" s="205" t="s">
        <v>5853</v>
      </c>
      <c r="G210" s="205" t="s">
        <v>2931</v>
      </c>
      <c r="H210" s="204" t="s">
        <v>262</v>
      </c>
      <c r="I210" s="204" t="s">
        <v>11</v>
      </c>
      <c r="J210" s="205" t="s">
        <v>5852</v>
      </c>
      <c r="K210" s="206">
        <v>3255</v>
      </c>
      <c r="L210" s="206"/>
      <c r="M210" s="159">
        <f t="shared" si="50"/>
        <v>0</v>
      </c>
      <c r="N210" s="159"/>
      <c r="O210" s="159"/>
      <c r="P210" s="159"/>
      <c r="Q210" s="159"/>
      <c r="R210" s="159"/>
      <c r="S210" s="209" t="s">
        <v>5848</v>
      </c>
      <c r="T210" s="203" t="s">
        <v>5849</v>
      </c>
      <c r="U210" s="202" t="s">
        <v>5850</v>
      </c>
      <c r="V210" s="204">
        <v>1</v>
      </c>
      <c r="W210" s="203" t="s">
        <v>253</v>
      </c>
      <c r="X210" s="204" t="s">
        <v>5156</v>
      </c>
      <c r="Y210" s="206">
        <v>6000</v>
      </c>
      <c r="Z210" s="207">
        <v>30000</v>
      </c>
      <c r="AA210" s="207">
        <f t="shared" si="51"/>
        <v>97650000</v>
      </c>
      <c r="AB210" s="157">
        <v>30000</v>
      </c>
      <c r="AC210" s="158">
        <f t="shared" si="49"/>
        <v>30000</v>
      </c>
      <c r="AD210" s="159">
        <f t="shared" si="52"/>
        <v>0</v>
      </c>
      <c r="AE210" s="160"/>
      <c r="AF210" s="160">
        <f t="shared" si="53"/>
        <v>0</v>
      </c>
      <c r="AG210" s="165"/>
      <c r="AH210" s="161">
        <f t="shared" si="54"/>
        <v>0</v>
      </c>
      <c r="AI210" s="162"/>
      <c r="AJ210" s="162">
        <f t="shared" si="55"/>
        <v>0</v>
      </c>
      <c r="AK210" s="164"/>
      <c r="AL210" s="164">
        <f t="shared" si="56"/>
        <v>0</v>
      </c>
      <c r="AM210" s="165"/>
      <c r="AN210" s="165">
        <f t="shared" si="57"/>
        <v>0</v>
      </c>
      <c r="AO210" s="166">
        <v>0</v>
      </c>
      <c r="AP210" s="166">
        <f t="shared" si="58"/>
        <v>0</v>
      </c>
      <c r="AQ210" s="162"/>
      <c r="AR210" s="162">
        <f t="shared" si="59"/>
        <v>0</v>
      </c>
      <c r="AS210" s="173"/>
      <c r="AT210" s="167">
        <f t="shared" si="60"/>
        <v>0</v>
      </c>
      <c r="AU210" s="163"/>
      <c r="AV210" s="163">
        <f t="shared" si="61"/>
        <v>0</v>
      </c>
      <c r="AW210" s="168"/>
      <c r="AX210" s="168">
        <f t="shared" si="62"/>
        <v>0</v>
      </c>
      <c r="AY210" s="170"/>
      <c r="AZ210" s="170">
        <f t="shared" si="63"/>
        <v>0</v>
      </c>
      <c r="BA210" s="166"/>
      <c r="BB210" s="166">
        <f t="shared" si="64"/>
        <v>0</v>
      </c>
    </row>
    <row r="211" spans="1:54" ht="31.5">
      <c r="A211" s="148" t="s">
        <v>5854</v>
      </c>
      <c r="B211" s="203" t="s">
        <v>1179</v>
      </c>
      <c r="C211" s="203"/>
      <c r="D211" s="203"/>
      <c r="E211" s="203" t="s">
        <v>5858</v>
      </c>
      <c r="F211" s="205" t="s">
        <v>5860</v>
      </c>
      <c r="G211" s="205" t="s">
        <v>5861</v>
      </c>
      <c r="H211" s="204" t="s">
        <v>232</v>
      </c>
      <c r="I211" s="204" t="s">
        <v>11</v>
      </c>
      <c r="J211" s="205" t="s">
        <v>5859</v>
      </c>
      <c r="K211" s="206">
        <v>23500</v>
      </c>
      <c r="L211" s="206"/>
      <c r="M211" s="159">
        <f t="shared" si="50"/>
        <v>0</v>
      </c>
      <c r="N211" s="159"/>
      <c r="O211" s="159"/>
      <c r="P211" s="159"/>
      <c r="Q211" s="159"/>
      <c r="R211" s="159"/>
      <c r="S211" s="149" t="s">
        <v>5855</v>
      </c>
      <c r="T211" s="149" t="s">
        <v>5856</v>
      </c>
      <c r="U211" s="202" t="s">
        <v>5857</v>
      </c>
      <c r="V211" s="204">
        <v>1</v>
      </c>
      <c r="W211" s="203" t="s">
        <v>5104</v>
      </c>
      <c r="X211" s="204" t="s">
        <v>5733</v>
      </c>
      <c r="Y211" s="206">
        <v>25000</v>
      </c>
      <c r="Z211" s="207">
        <v>10000</v>
      </c>
      <c r="AA211" s="207">
        <f t="shared" si="51"/>
        <v>235000000</v>
      </c>
      <c r="AB211" s="157">
        <v>10000</v>
      </c>
      <c r="AC211" s="158">
        <f t="shared" si="49"/>
        <v>10000</v>
      </c>
      <c r="AD211" s="159">
        <f t="shared" si="52"/>
        <v>0</v>
      </c>
      <c r="AE211" s="160"/>
      <c r="AF211" s="160">
        <f t="shared" si="53"/>
        <v>0</v>
      </c>
      <c r="AG211" s="165"/>
      <c r="AH211" s="161">
        <f t="shared" si="54"/>
        <v>0</v>
      </c>
      <c r="AI211" s="162"/>
      <c r="AJ211" s="162">
        <f t="shared" si="55"/>
        <v>0</v>
      </c>
      <c r="AK211" s="164"/>
      <c r="AL211" s="164">
        <f t="shared" si="56"/>
        <v>0</v>
      </c>
      <c r="AM211" s="165"/>
      <c r="AN211" s="165">
        <f t="shared" si="57"/>
        <v>0</v>
      </c>
      <c r="AO211" s="166">
        <v>0</v>
      </c>
      <c r="AP211" s="166">
        <f t="shared" si="58"/>
        <v>0</v>
      </c>
      <c r="AQ211" s="162"/>
      <c r="AR211" s="162">
        <f t="shared" si="59"/>
        <v>0</v>
      </c>
      <c r="AS211" s="173"/>
      <c r="AT211" s="167">
        <f t="shared" si="60"/>
        <v>0</v>
      </c>
      <c r="AU211" s="163"/>
      <c r="AV211" s="163">
        <f t="shared" si="61"/>
        <v>0</v>
      </c>
      <c r="AW211" s="168"/>
      <c r="AX211" s="168">
        <f t="shared" si="62"/>
        <v>0</v>
      </c>
      <c r="AY211" s="170"/>
      <c r="AZ211" s="170">
        <f t="shared" si="63"/>
        <v>0</v>
      </c>
      <c r="BA211" s="166"/>
      <c r="BB211" s="166">
        <f t="shared" si="64"/>
        <v>0</v>
      </c>
    </row>
    <row r="212" spans="1:54" ht="31.5">
      <c r="A212" s="148" t="s">
        <v>5862</v>
      </c>
      <c r="B212" s="203" t="s">
        <v>1179</v>
      </c>
      <c r="C212" s="203"/>
      <c r="D212" s="203"/>
      <c r="E212" s="203" t="s">
        <v>5858</v>
      </c>
      <c r="F212" s="205" t="s">
        <v>5864</v>
      </c>
      <c r="G212" s="205" t="s">
        <v>5861</v>
      </c>
      <c r="H212" s="204" t="s">
        <v>1580</v>
      </c>
      <c r="I212" s="204" t="s">
        <v>11</v>
      </c>
      <c r="J212" s="205" t="s">
        <v>5859</v>
      </c>
      <c r="K212" s="206">
        <v>15500</v>
      </c>
      <c r="L212" s="206"/>
      <c r="M212" s="159">
        <f t="shared" si="50"/>
        <v>0</v>
      </c>
      <c r="N212" s="159"/>
      <c r="O212" s="159"/>
      <c r="P212" s="159"/>
      <c r="Q212" s="159"/>
      <c r="R212" s="159"/>
      <c r="S212" s="149" t="s">
        <v>5855</v>
      </c>
      <c r="T212" s="149" t="s">
        <v>5856</v>
      </c>
      <c r="U212" s="202" t="s">
        <v>5863</v>
      </c>
      <c r="V212" s="204">
        <v>1</v>
      </c>
      <c r="W212" s="203" t="s">
        <v>5104</v>
      </c>
      <c r="X212" s="204" t="s">
        <v>5733</v>
      </c>
      <c r="Y212" s="206">
        <v>16000</v>
      </c>
      <c r="Z212" s="207">
        <v>5000</v>
      </c>
      <c r="AA212" s="207">
        <f t="shared" si="51"/>
        <v>77500000</v>
      </c>
      <c r="AB212" s="157">
        <v>5000</v>
      </c>
      <c r="AC212" s="158">
        <f t="shared" si="49"/>
        <v>5000</v>
      </c>
      <c r="AD212" s="159">
        <f t="shared" si="52"/>
        <v>0</v>
      </c>
      <c r="AE212" s="160"/>
      <c r="AF212" s="160">
        <f t="shared" si="53"/>
        <v>0</v>
      </c>
      <c r="AG212" s="165"/>
      <c r="AH212" s="161">
        <f t="shared" si="54"/>
        <v>0</v>
      </c>
      <c r="AI212" s="162"/>
      <c r="AJ212" s="162">
        <f t="shared" si="55"/>
        <v>0</v>
      </c>
      <c r="AK212" s="164"/>
      <c r="AL212" s="164">
        <f t="shared" si="56"/>
        <v>0</v>
      </c>
      <c r="AM212" s="165"/>
      <c r="AN212" s="165">
        <f t="shared" si="57"/>
        <v>0</v>
      </c>
      <c r="AO212" s="166">
        <v>0</v>
      </c>
      <c r="AP212" s="166">
        <f t="shared" si="58"/>
        <v>0</v>
      </c>
      <c r="AQ212" s="162"/>
      <c r="AR212" s="162">
        <f t="shared" si="59"/>
        <v>0</v>
      </c>
      <c r="AS212" s="173"/>
      <c r="AT212" s="167">
        <f t="shared" si="60"/>
        <v>0</v>
      </c>
      <c r="AU212" s="163"/>
      <c r="AV212" s="163">
        <f t="shared" si="61"/>
        <v>0</v>
      </c>
      <c r="AW212" s="168"/>
      <c r="AX212" s="168">
        <f t="shared" si="62"/>
        <v>0</v>
      </c>
      <c r="AY212" s="170"/>
      <c r="AZ212" s="170">
        <f t="shared" si="63"/>
        <v>0</v>
      </c>
      <c r="BA212" s="166"/>
      <c r="BB212" s="166">
        <f t="shared" si="64"/>
        <v>0</v>
      </c>
    </row>
    <row r="213" spans="1:54">
      <c r="A213" s="172" t="s">
        <v>5865</v>
      </c>
      <c r="B213" s="203" t="s">
        <v>2618</v>
      </c>
      <c r="C213" s="203"/>
      <c r="D213" s="203"/>
      <c r="E213" s="203" t="s">
        <v>5867</v>
      </c>
      <c r="F213" s="205" t="s">
        <v>5868</v>
      </c>
      <c r="G213" s="205" t="s">
        <v>5833</v>
      </c>
      <c r="H213" s="204" t="s">
        <v>5866</v>
      </c>
      <c r="I213" s="204" t="s">
        <v>520</v>
      </c>
      <c r="J213" s="205" t="s">
        <v>5316</v>
      </c>
      <c r="K213" s="206">
        <v>18375</v>
      </c>
      <c r="L213" s="206"/>
      <c r="M213" s="159">
        <f t="shared" si="50"/>
        <v>0</v>
      </c>
      <c r="N213" s="159"/>
      <c r="O213" s="159"/>
      <c r="P213" s="159"/>
      <c r="Q213" s="159"/>
      <c r="R213" s="159"/>
      <c r="S213" s="149" t="s">
        <v>5830</v>
      </c>
      <c r="T213" s="149" t="s">
        <v>5831</v>
      </c>
      <c r="U213" s="202" t="s">
        <v>4963</v>
      </c>
      <c r="V213" s="204">
        <v>1</v>
      </c>
      <c r="W213" s="203" t="s">
        <v>5104</v>
      </c>
      <c r="X213" s="204" t="s">
        <v>5185</v>
      </c>
      <c r="Y213" s="206">
        <v>18900</v>
      </c>
      <c r="Z213" s="207">
        <v>50</v>
      </c>
      <c r="AA213" s="207">
        <f t="shared" si="51"/>
        <v>918750</v>
      </c>
      <c r="AB213" s="157">
        <v>50</v>
      </c>
      <c r="AC213" s="158">
        <f t="shared" si="49"/>
        <v>50</v>
      </c>
      <c r="AD213" s="159">
        <f t="shared" si="52"/>
        <v>0</v>
      </c>
      <c r="AE213" s="160"/>
      <c r="AF213" s="160">
        <f t="shared" si="53"/>
        <v>0</v>
      </c>
      <c r="AG213" s="165"/>
      <c r="AH213" s="161">
        <f t="shared" si="54"/>
        <v>0</v>
      </c>
      <c r="AI213" s="162"/>
      <c r="AJ213" s="162">
        <f t="shared" si="55"/>
        <v>0</v>
      </c>
      <c r="AK213" s="164"/>
      <c r="AL213" s="164">
        <f t="shared" si="56"/>
        <v>0</v>
      </c>
      <c r="AM213" s="165"/>
      <c r="AN213" s="165">
        <f t="shared" si="57"/>
        <v>0</v>
      </c>
      <c r="AO213" s="166">
        <v>0</v>
      </c>
      <c r="AP213" s="166">
        <f t="shared" si="58"/>
        <v>0</v>
      </c>
      <c r="AQ213" s="162"/>
      <c r="AR213" s="162">
        <f t="shared" si="59"/>
        <v>0</v>
      </c>
      <c r="AS213" s="173"/>
      <c r="AT213" s="167">
        <f t="shared" si="60"/>
        <v>0</v>
      </c>
      <c r="AU213" s="163"/>
      <c r="AV213" s="163">
        <f t="shared" si="61"/>
        <v>0</v>
      </c>
      <c r="AW213" s="168"/>
      <c r="AX213" s="168">
        <f t="shared" si="62"/>
        <v>0</v>
      </c>
      <c r="AY213" s="170"/>
      <c r="AZ213" s="170">
        <f t="shared" si="63"/>
        <v>0</v>
      </c>
      <c r="BA213" s="166"/>
      <c r="BB213" s="166">
        <f t="shared" si="64"/>
        <v>0</v>
      </c>
    </row>
    <row r="214" spans="1:54" ht="31.5">
      <c r="A214" s="148" t="s">
        <v>5869</v>
      </c>
      <c r="B214" s="203" t="s">
        <v>411</v>
      </c>
      <c r="C214" s="203"/>
      <c r="D214" s="203"/>
      <c r="E214" s="203" t="s">
        <v>5870</v>
      </c>
      <c r="F214" s="205" t="s">
        <v>5872</v>
      </c>
      <c r="G214" s="205" t="s">
        <v>955</v>
      </c>
      <c r="H214" s="204" t="s">
        <v>272</v>
      </c>
      <c r="I214" s="204" t="s">
        <v>13</v>
      </c>
      <c r="J214" s="205" t="s">
        <v>5871</v>
      </c>
      <c r="K214" s="206">
        <v>5090</v>
      </c>
      <c r="L214" s="206"/>
      <c r="M214" s="159">
        <f t="shared" si="50"/>
        <v>0</v>
      </c>
      <c r="N214" s="159"/>
      <c r="O214" s="159"/>
      <c r="P214" s="159"/>
      <c r="Q214" s="159"/>
      <c r="R214" s="159"/>
      <c r="S214" s="149" t="s">
        <v>5099</v>
      </c>
      <c r="T214" s="150" t="s">
        <v>5100</v>
      </c>
      <c r="U214" s="202" t="s">
        <v>4486</v>
      </c>
      <c r="V214" s="204">
        <v>1</v>
      </c>
      <c r="W214" s="203" t="s">
        <v>253</v>
      </c>
      <c r="X214" s="204" t="s">
        <v>5116</v>
      </c>
      <c r="Y214" s="206">
        <v>5091</v>
      </c>
      <c r="Z214" s="207">
        <v>10000</v>
      </c>
      <c r="AA214" s="207">
        <f t="shared" si="51"/>
        <v>50900000</v>
      </c>
      <c r="AB214" s="157">
        <v>10000</v>
      </c>
      <c r="AC214" s="158">
        <f t="shared" si="49"/>
        <v>10000</v>
      </c>
      <c r="AD214" s="159">
        <f t="shared" si="52"/>
        <v>0</v>
      </c>
      <c r="AE214" s="160"/>
      <c r="AF214" s="160">
        <f t="shared" si="53"/>
        <v>0</v>
      </c>
      <c r="AG214" s="161"/>
      <c r="AH214" s="161">
        <f t="shared" si="54"/>
        <v>0</v>
      </c>
      <c r="AI214" s="162"/>
      <c r="AJ214" s="162">
        <f t="shared" si="55"/>
        <v>0</v>
      </c>
      <c r="AK214" s="164"/>
      <c r="AL214" s="164">
        <f t="shared" si="56"/>
        <v>0</v>
      </c>
      <c r="AM214" s="165"/>
      <c r="AN214" s="165">
        <f t="shared" si="57"/>
        <v>0</v>
      </c>
      <c r="AO214" s="166">
        <v>0</v>
      </c>
      <c r="AP214" s="166">
        <f t="shared" si="58"/>
        <v>0</v>
      </c>
      <c r="AQ214" s="162"/>
      <c r="AR214" s="162">
        <f t="shared" si="59"/>
        <v>0</v>
      </c>
      <c r="AS214" s="167"/>
      <c r="AT214" s="167">
        <f t="shared" si="60"/>
        <v>0</v>
      </c>
      <c r="AU214" s="163"/>
      <c r="AV214" s="163">
        <f t="shared" si="61"/>
        <v>0</v>
      </c>
      <c r="AW214" s="168"/>
      <c r="AX214" s="168">
        <f t="shared" si="62"/>
        <v>0</v>
      </c>
      <c r="AY214" s="170"/>
      <c r="AZ214" s="170">
        <f t="shared" si="63"/>
        <v>0</v>
      </c>
      <c r="BA214" s="166"/>
      <c r="BB214" s="166">
        <f t="shared" si="64"/>
        <v>0</v>
      </c>
    </row>
    <row r="215" spans="1:54">
      <c r="A215" s="148" t="s">
        <v>5873</v>
      </c>
      <c r="B215" s="203" t="s">
        <v>683</v>
      </c>
      <c r="C215" s="203"/>
      <c r="D215" s="203"/>
      <c r="E215" s="203" t="s">
        <v>4465</v>
      </c>
      <c r="F215" s="205" t="s">
        <v>5877</v>
      </c>
      <c r="G215" s="205" t="s">
        <v>5878</v>
      </c>
      <c r="H215" s="204" t="s">
        <v>2554</v>
      </c>
      <c r="I215" s="204" t="s">
        <v>658</v>
      </c>
      <c r="J215" s="205" t="s">
        <v>5876</v>
      </c>
      <c r="K215" s="206">
        <v>38997</v>
      </c>
      <c r="L215" s="206"/>
      <c r="M215" s="159">
        <f t="shared" si="50"/>
        <v>50</v>
      </c>
      <c r="N215" s="159"/>
      <c r="O215" s="159"/>
      <c r="P215" s="159"/>
      <c r="Q215" s="159"/>
      <c r="R215" s="159"/>
      <c r="S215" s="149" t="s">
        <v>5874</v>
      </c>
      <c r="T215" s="149" t="s">
        <v>5875</v>
      </c>
      <c r="U215" s="202" t="s">
        <v>4464</v>
      </c>
      <c r="V215" s="204">
        <v>1</v>
      </c>
      <c r="W215" s="203" t="s">
        <v>253</v>
      </c>
      <c r="X215" s="204" t="s">
        <v>5879</v>
      </c>
      <c r="Y215" s="206">
        <v>39000</v>
      </c>
      <c r="Z215" s="207">
        <v>1000</v>
      </c>
      <c r="AA215" s="207">
        <f t="shared" si="51"/>
        <v>38997000</v>
      </c>
      <c r="AB215" s="157">
        <v>1000</v>
      </c>
      <c r="AC215" s="158">
        <f t="shared" si="49"/>
        <v>950</v>
      </c>
      <c r="AD215" s="159">
        <f t="shared" si="52"/>
        <v>1949850</v>
      </c>
      <c r="AE215" s="160"/>
      <c r="AF215" s="160">
        <f t="shared" si="53"/>
        <v>0</v>
      </c>
      <c r="AG215" s="165">
        <v>50</v>
      </c>
      <c r="AH215" s="161">
        <f t="shared" si="54"/>
        <v>1949850</v>
      </c>
      <c r="AI215" s="162"/>
      <c r="AJ215" s="162">
        <f t="shared" si="55"/>
        <v>0</v>
      </c>
      <c r="AK215" s="163"/>
      <c r="AL215" s="164">
        <f t="shared" si="56"/>
        <v>0</v>
      </c>
      <c r="AM215" s="161"/>
      <c r="AN215" s="165">
        <f t="shared" si="57"/>
        <v>0</v>
      </c>
      <c r="AO215" s="160">
        <v>0</v>
      </c>
      <c r="AP215" s="166">
        <f t="shared" si="58"/>
        <v>0</v>
      </c>
      <c r="AQ215" s="162"/>
      <c r="AR215" s="162">
        <f t="shared" si="59"/>
        <v>0</v>
      </c>
      <c r="AS215" s="173"/>
      <c r="AT215" s="167">
        <f t="shared" si="60"/>
        <v>0</v>
      </c>
      <c r="AU215" s="163"/>
      <c r="AV215" s="163">
        <f t="shared" si="61"/>
        <v>0</v>
      </c>
      <c r="AW215" s="162"/>
      <c r="AX215" s="168">
        <f t="shared" si="62"/>
        <v>0</v>
      </c>
      <c r="AY215" s="169"/>
      <c r="AZ215" s="170">
        <f t="shared" si="63"/>
        <v>0</v>
      </c>
      <c r="BA215" s="160"/>
      <c r="BB215" s="166">
        <f t="shared" si="64"/>
        <v>0</v>
      </c>
    </row>
    <row r="216" spans="1:54" ht="31.5">
      <c r="A216" s="172" t="s">
        <v>5880</v>
      </c>
      <c r="B216" s="203" t="s">
        <v>683</v>
      </c>
      <c r="C216" s="203"/>
      <c r="D216" s="203"/>
      <c r="E216" s="203" t="s">
        <v>5883</v>
      </c>
      <c r="F216" s="205" t="s">
        <v>5885</v>
      </c>
      <c r="G216" s="205" t="s">
        <v>2731</v>
      </c>
      <c r="H216" s="204" t="s">
        <v>5882</v>
      </c>
      <c r="I216" s="204" t="s">
        <v>5639</v>
      </c>
      <c r="J216" s="205" t="s">
        <v>5884</v>
      </c>
      <c r="K216" s="206">
        <v>83000</v>
      </c>
      <c r="L216" s="206"/>
      <c r="M216" s="159">
        <f t="shared" si="50"/>
        <v>0</v>
      </c>
      <c r="N216" s="159"/>
      <c r="O216" s="159"/>
      <c r="P216" s="159"/>
      <c r="Q216" s="159"/>
      <c r="R216" s="159"/>
      <c r="S216" s="149" t="s">
        <v>5099</v>
      </c>
      <c r="T216" s="150" t="s">
        <v>5100</v>
      </c>
      <c r="U216" s="202" t="s">
        <v>5881</v>
      </c>
      <c r="V216" s="204">
        <v>1</v>
      </c>
      <c r="W216" s="203" t="s">
        <v>5104</v>
      </c>
      <c r="X216" s="204" t="s">
        <v>5807</v>
      </c>
      <c r="Y216" s="206">
        <v>87579</v>
      </c>
      <c r="Z216" s="207">
        <v>2000</v>
      </c>
      <c r="AA216" s="207">
        <f t="shared" si="51"/>
        <v>166000000</v>
      </c>
      <c r="AB216" s="157">
        <v>2000</v>
      </c>
      <c r="AC216" s="158">
        <f t="shared" si="49"/>
        <v>2000</v>
      </c>
      <c r="AD216" s="159">
        <f t="shared" si="52"/>
        <v>0</v>
      </c>
      <c r="AE216" s="160"/>
      <c r="AF216" s="160">
        <f t="shared" si="53"/>
        <v>0</v>
      </c>
      <c r="AG216" s="161"/>
      <c r="AH216" s="161">
        <f t="shared" si="54"/>
        <v>0</v>
      </c>
      <c r="AI216" s="162"/>
      <c r="AJ216" s="162">
        <f t="shared" si="55"/>
        <v>0</v>
      </c>
      <c r="AK216" s="164"/>
      <c r="AL216" s="164">
        <f t="shared" si="56"/>
        <v>0</v>
      </c>
      <c r="AM216" s="165"/>
      <c r="AN216" s="165">
        <f t="shared" si="57"/>
        <v>0</v>
      </c>
      <c r="AO216" s="166">
        <v>0</v>
      </c>
      <c r="AP216" s="166">
        <f t="shared" si="58"/>
        <v>0</v>
      </c>
      <c r="AQ216" s="162"/>
      <c r="AR216" s="162">
        <f t="shared" si="59"/>
        <v>0</v>
      </c>
      <c r="AS216" s="167"/>
      <c r="AT216" s="167">
        <f t="shared" si="60"/>
        <v>0</v>
      </c>
      <c r="AU216" s="163"/>
      <c r="AV216" s="163">
        <f t="shared" si="61"/>
        <v>0</v>
      </c>
      <c r="AW216" s="168"/>
      <c r="AX216" s="168">
        <f t="shared" si="62"/>
        <v>0</v>
      </c>
      <c r="AY216" s="170"/>
      <c r="AZ216" s="170">
        <f t="shared" si="63"/>
        <v>0</v>
      </c>
      <c r="BA216" s="166"/>
      <c r="BB216" s="166">
        <f t="shared" si="64"/>
        <v>0</v>
      </c>
    </row>
    <row r="217" spans="1:54" ht="31.5">
      <c r="A217" s="148" t="s">
        <v>5886</v>
      </c>
      <c r="B217" s="203" t="s">
        <v>802</v>
      </c>
      <c r="C217" s="203"/>
      <c r="D217" s="203"/>
      <c r="E217" s="203" t="s">
        <v>5891</v>
      </c>
      <c r="F217" s="205" t="s">
        <v>5893</v>
      </c>
      <c r="G217" s="205" t="s">
        <v>5894</v>
      </c>
      <c r="H217" s="204" t="s">
        <v>5890</v>
      </c>
      <c r="I217" s="204" t="s">
        <v>15</v>
      </c>
      <c r="J217" s="205" t="s">
        <v>5892</v>
      </c>
      <c r="K217" s="206">
        <v>92000</v>
      </c>
      <c r="L217" s="206"/>
      <c r="M217" s="159">
        <f t="shared" si="50"/>
        <v>0</v>
      </c>
      <c r="N217" s="159"/>
      <c r="O217" s="159"/>
      <c r="P217" s="159"/>
      <c r="Q217" s="159"/>
      <c r="R217" s="159"/>
      <c r="S217" s="149" t="s">
        <v>5887</v>
      </c>
      <c r="T217" s="149" t="s">
        <v>5888</v>
      </c>
      <c r="U217" s="202" t="s">
        <v>5889</v>
      </c>
      <c r="V217" s="204">
        <v>1</v>
      </c>
      <c r="W217" s="203" t="s">
        <v>253</v>
      </c>
      <c r="X217" s="204" t="s">
        <v>5222</v>
      </c>
      <c r="Y217" s="206">
        <v>92000</v>
      </c>
      <c r="Z217" s="207">
        <v>500</v>
      </c>
      <c r="AA217" s="207">
        <f t="shared" si="51"/>
        <v>46000000</v>
      </c>
      <c r="AB217" s="157">
        <v>500</v>
      </c>
      <c r="AC217" s="158">
        <f t="shared" si="49"/>
        <v>500</v>
      </c>
      <c r="AD217" s="159">
        <f t="shared" si="52"/>
        <v>0</v>
      </c>
      <c r="AE217" s="160"/>
      <c r="AF217" s="160">
        <f t="shared" si="53"/>
        <v>0</v>
      </c>
      <c r="AG217" s="165"/>
      <c r="AH217" s="161">
        <f t="shared" si="54"/>
        <v>0</v>
      </c>
      <c r="AI217" s="162"/>
      <c r="AJ217" s="162">
        <f t="shared" si="55"/>
        <v>0</v>
      </c>
      <c r="AK217" s="164"/>
      <c r="AL217" s="164">
        <f t="shared" si="56"/>
        <v>0</v>
      </c>
      <c r="AM217" s="165"/>
      <c r="AN217" s="165">
        <f t="shared" si="57"/>
        <v>0</v>
      </c>
      <c r="AO217" s="166">
        <v>0</v>
      </c>
      <c r="AP217" s="166">
        <f t="shared" si="58"/>
        <v>0</v>
      </c>
      <c r="AQ217" s="162"/>
      <c r="AR217" s="162">
        <f t="shared" si="59"/>
        <v>0</v>
      </c>
      <c r="AS217" s="173"/>
      <c r="AT217" s="167">
        <f t="shared" si="60"/>
        <v>0</v>
      </c>
      <c r="AU217" s="163"/>
      <c r="AV217" s="163">
        <f t="shared" si="61"/>
        <v>0</v>
      </c>
      <c r="AW217" s="168"/>
      <c r="AX217" s="168">
        <f t="shared" si="62"/>
        <v>0</v>
      </c>
      <c r="AY217" s="170"/>
      <c r="AZ217" s="170">
        <f t="shared" si="63"/>
        <v>0</v>
      </c>
      <c r="BA217" s="166"/>
      <c r="BB217" s="166">
        <f t="shared" si="64"/>
        <v>0</v>
      </c>
    </row>
    <row r="218" spans="1:54">
      <c r="A218" s="148" t="s">
        <v>5895</v>
      </c>
      <c r="B218" s="203" t="s">
        <v>2477</v>
      </c>
      <c r="C218" s="203"/>
      <c r="D218" s="203"/>
      <c r="E218" s="203" t="s">
        <v>5897</v>
      </c>
      <c r="F218" s="205" t="s">
        <v>5899</v>
      </c>
      <c r="G218" s="205" t="s">
        <v>5833</v>
      </c>
      <c r="H218" s="204" t="s">
        <v>799</v>
      </c>
      <c r="I218" s="204" t="s">
        <v>520</v>
      </c>
      <c r="J218" s="205" t="s">
        <v>5898</v>
      </c>
      <c r="K218" s="206">
        <v>17850</v>
      </c>
      <c r="L218" s="206"/>
      <c r="M218" s="159">
        <f t="shared" si="50"/>
        <v>0</v>
      </c>
      <c r="N218" s="159"/>
      <c r="O218" s="159"/>
      <c r="P218" s="159"/>
      <c r="Q218" s="159"/>
      <c r="R218" s="159"/>
      <c r="S218" s="149" t="s">
        <v>5830</v>
      </c>
      <c r="T218" s="149" t="s">
        <v>5831</v>
      </c>
      <c r="U218" s="202" t="s">
        <v>5896</v>
      </c>
      <c r="V218" s="204">
        <v>1</v>
      </c>
      <c r="W218" s="203" t="s">
        <v>5104</v>
      </c>
      <c r="X218" s="204" t="s">
        <v>5185</v>
      </c>
      <c r="Y218" s="206">
        <v>18000</v>
      </c>
      <c r="Z218" s="207">
        <v>50</v>
      </c>
      <c r="AA218" s="207">
        <f t="shared" si="51"/>
        <v>892500</v>
      </c>
      <c r="AB218" s="157">
        <v>50</v>
      </c>
      <c r="AC218" s="158">
        <f t="shared" si="49"/>
        <v>50</v>
      </c>
      <c r="AD218" s="159">
        <f t="shared" si="52"/>
        <v>0</v>
      </c>
      <c r="AE218" s="160"/>
      <c r="AF218" s="160">
        <f t="shared" si="53"/>
        <v>0</v>
      </c>
      <c r="AG218" s="165"/>
      <c r="AH218" s="161">
        <f t="shared" si="54"/>
        <v>0</v>
      </c>
      <c r="AI218" s="162"/>
      <c r="AJ218" s="162">
        <f t="shared" si="55"/>
        <v>0</v>
      </c>
      <c r="AK218" s="164"/>
      <c r="AL218" s="164">
        <f t="shared" si="56"/>
        <v>0</v>
      </c>
      <c r="AM218" s="165"/>
      <c r="AN218" s="165">
        <f t="shared" si="57"/>
        <v>0</v>
      </c>
      <c r="AO218" s="166">
        <v>0</v>
      </c>
      <c r="AP218" s="166">
        <f t="shared" si="58"/>
        <v>0</v>
      </c>
      <c r="AQ218" s="162"/>
      <c r="AR218" s="162">
        <f t="shared" si="59"/>
        <v>0</v>
      </c>
      <c r="AS218" s="173"/>
      <c r="AT218" s="167">
        <f t="shared" si="60"/>
        <v>0</v>
      </c>
      <c r="AU218" s="163"/>
      <c r="AV218" s="163">
        <f t="shared" si="61"/>
        <v>0</v>
      </c>
      <c r="AW218" s="168"/>
      <c r="AX218" s="168">
        <f t="shared" si="62"/>
        <v>0</v>
      </c>
      <c r="AY218" s="170"/>
      <c r="AZ218" s="170">
        <f t="shared" si="63"/>
        <v>0</v>
      </c>
      <c r="BA218" s="166"/>
      <c r="BB218" s="166">
        <f t="shared" si="64"/>
        <v>0</v>
      </c>
    </row>
    <row r="219" spans="1:54" ht="47.25">
      <c r="A219" s="172" t="s">
        <v>5900</v>
      </c>
      <c r="B219" s="203" t="s">
        <v>5902</v>
      </c>
      <c r="C219" s="203"/>
      <c r="D219" s="203"/>
      <c r="E219" s="203" t="s">
        <v>5904</v>
      </c>
      <c r="F219" s="205" t="s">
        <v>5906</v>
      </c>
      <c r="G219" s="205" t="s">
        <v>5806</v>
      </c>
      <c r="H219" s="204" t="s">
        <v>5903</v>
      </c>
      <c r="I219" s="204" t="s">
        <v>5655</v>
      </c>
      <c r="J219" s="205" t="s">
        <v>5905</v>
      </c>
      <c r="K219" s="206">
        <v>32500</v>
      </c>
      <c r="L219" s="206"/>
      <c r="M219" s="159">
        <f t="shared" si="50"/>
        <v>0</v>
      </c>
      <c r="N219" s="159"/>
      <c r="O219" s="159"/>
      <c r="P219" s="159"/>
      <c r="Q219" s="159"/>
      <c r="R219" s="159"/>
      <c r="S219" s="149" t="s">
        <v>5099</v>
      </c>
      <c r="T219" s="150" t="s">
        <v>5100</v>
      </c>
      <c r="U219" s="202" t="s">
        <v>5901</v>
      </c>
      <c r="V219" s="204">
        <v>1</v>
      </c>
      <c r="W219" s="203" t="s">
        <v>5104</v>
      </c>
      <c r="X219" s="204" t="s">
        <v>5807</v>
      </c>
      <c r="Y219" s="206">
        <v>88001</v>
      </c>
      <c r="Z219" s="207">
        <v>50</v>
      </c>
      <c r="AA219" s="207">
        <f t="shared" si="51"/>
        <v>1625000</v>
      </c>
      <c r="AB219" s="157">
        <v>50</v>
      </c>
      <c r="AC219" s="158">
        <f t="shared" si="49"/>
        <v>50</v>
      </c>
      <c r="AD219" s="159">
        <f t="shared" si="52"/>
        <v>0</v>
      </c>
      <c r="AE219" s="160"/>
      <c r="AF219" s="160">
        <f t="shared" si="53"/>
        <v>0</v>
      </c>
      <c r="AG219" s="165"/>
      <c r="AH219" s="161">
        <f t="shared" si="54"/>
        <v>0</v>
      </c>
      <c r="AI219" s="162"/>
      <c r="AJ219" s="162">
        <f t="shared" si="55"/>
        <v>0</v>
      </c>
      <c r="AK219" s="164"/>
      <c r="AL219" s="164">
        <f t="shared" si="56"/>
        <v>0</v>
      </c>
      <c r="AM219" s="165"/>
      <c r="AN219" s="165">
        <f t="shared" si="57"/>
        <v>0</v>
      </c>
      <c r="AO219" s="166">
        <v>0</v>
      </c>
      <c r="AP219" s="166">
        <f t="shared" si="58"/>
        <v>0</v>
      </c>
      <c r="AQ219" s="162"/>
      <c r="AR219" s="162">
        <f t="shared" si="59"/>
        <v>0</v>
      </c>
      <c r="AS219" s="173"/>
      <c r="AT219" s="167">
        <f t="shared" si="60"/>
        <v>0</v>
      </c>
      <c r="AU219" s="163"/>
      <c r="AV219" s="163">
        <f t="shared" si="61"/>
        <v>0</v>
      </c>
      <c r="AW219" s="168"/>
      <c r="AX219" s="168">
        <f t="shared" si="62"/>
        <v>0</v>
      </c>
      <c r="AY219" s="170"/>
      <c r="AZ219" s="170">
        <f t="shared" si="63"/>
        <v>0</v>
      </c>
      <c r="BA219" s="166"/>
      <c r="BB219" s="166">
        <f t="shared" si="64"/>
        <v>0</v>
      </c>
    </row>
    <row r="220" spans="1:54">
      <c r="A220" s="148" t="s">
        <v>5907</v>
      </c>
      <c r="B220" s="203" t="s">
        <v>1510</v>
      </c>
      <c r="C220" s="203"/>
      <c r="D220" s="203"/>
      <c r="E220" s="203" t="s">
        <v>4498</v>
      </c>
      <c r="F220" s="205" t="s">
        <v>5909</v>
      </c>
      <c r="G220" s="205" t="s">
        <v>5910</v>
      </c>
      <c r="H220" s="204" t="s">
        <v>4499</v>
      </c>
      <c r="I220" s="204" t="s">
        <v>658</v>
      </c>
      <c r="J220" s="205" t="s">
        <v>5908</v>
      </c>
      <c r="K220" s="206">
        <v>38493</v>
      </c>
      <c r="L220" s="206"/>
      <c r="M220" s="159">
        <f t="shared" si="50"/>
        <v>100</v>
      </c>
      <c r="N220" s="159"/>
      <c r="O220" s="159"/>
      <c r="P220" s="159"/>
      <c r="Q220" s="159"/>
      <c r="R220" s="159"/>
      <c r="S220" s="149" t="s">
        <v>5874</v>
      </c>
      <c r="T220" s="149" t="s">
        <v>5875</v>
      </c>
      <c r="U220" s="202" t="s">
        <v>4497</v>
      </c>
      <c r="V220" s="204">
        <v>1</v>
      </c>
      <c r="W220" s="203" t="s">
        <v>5104</v>
      </c>
      <c r="X220" s="204" t="s">
        <v>5911</v>
      </c>
      <c r="Y220" s="206">
        <v>39900</v>
      </c>
      <c r="Z220" s="207">
        <v>2000</v>
      </c>
      <c r="AA220" s="207">
        <f t="shared" si="51"/>
        <v>76986000</v>
      </c>
      <c r="AB220" s="157">
        <v>2000</v>
      </c>
      <c r="AC220" s="158">
        <f t="shared" si="49"/>
        <v>1900</v>
      </c>
      <c r="AD220" s="159">
        <f t="shared" si="52"/>
        <v>3849300</v>
      </c>
      <c r="AE220" s="160"/>
      <c r="AF220" s="160">
        <f t="shared" si="53"/>
        <v>0</v>
      </c>
      <c r="AG220" s="165">
        <v>100</v>
      </c>
      <c r="AH220" s="161">
        <f t="shared" si="54"/>
        <v>3849300</v>
      </c>
      <c r="AI220" s="162"/>
      <c r="AJ220" s="162">
        <f t="shared" si="55"/>
        <v>0</v>
      </c>
      <c r="AK220" s="164"/>
      <c r="AL220" s="164">
        <f t="shared" si="56"/>
        <v>0</v>
      </c>
      <c r="AM220" s="165"/>
      <c r="AN220" s="165">
        <f t="shared" si="57"/>
        <v>0</v>
      </c>
      <c r="AO220" s="166">
        <v>0</v>
      </c>
      <c r="AP220" s="166">
        <f t="shared" si="58"/>
        <v>0</v>
      </c>
      <c r="AQ220" s="162"/>
      <c r="AR220" s="162">
        <f t="shared" si="59"/>
        <v>0</v>
      </c>
      <c r="AS220" s="173"/>
      <c r="AT220" s="167">
        <f t="shared" si="60"/>
        <v>0</v>
      </c>
      <c r="AU220" s="163"/>
      <c r="AV220" s="163">
        <f t="shared" si="61"/>
        <v>0</v>
      </c>
      <c r="AW220" s="168"/>
      <c r="AX220" s="168">
        <f t="shared" si="62"/>
        <v>0</v>
      </c>
      <c r="AY220" s="170"/>
      <c r="AZ220" s="170">
        <f t="shared" si="63"/>
        <v>0</v>
      </c>
      <c r="BA220" s="166"/>
      <c r="BB220" s="166">
        <f t="shared" si="64"/>
        <v>0</v>
      </c>
    </row>
    <row r="221" spans="1:54" ht="31.5">
      <c r="A221" s="148" t="s">
        <v>5912</v>
      </c>
      <c r="B221" s="203" t="s">
        <v>4491</v>
      </c>
      <c r="C221" s="203"/>
      <c r="D221" s="203"/>
      <c r="E221" s="203" t="s">
        <v>2123</v>
      </c>
      <c r="F221" s="205" t="s">
        <v>5914</v>
      </c>
      <c r="G221" s="205" t="s">
        <v>5915</v>
      </c>
      <c r="H221" s="204" t="s">
        <v>4492</v>
      </c>
      <c r="I221" s="204" t="s">
        <v>658</v>
      </c>
      <c r="J221" s="205" t="s">
        <v>5913</v>
      </c>
      <c r="K221" s="206">
        <v>43919</v>
      </c>
      <c r="L221" s="206"/>
      <c r="M221" s="159">
        <f t="shared" si="50"/>
        <v>50</v>
      </c>
      <c r="N221" s="159"/>
      <c r="O221" s="159"/>
      <c r="P221" s="159"/>
      <c r="Q221" s="159"/>
      <c r="R221" s="159"/>
      <c r="S221" s="150" t="s">
        <v>5118</v>
      </c>
      <c r="T221" s="150" t="s">
        <v>5119</v>
      </c>
      <c r="U221" s="202" t="s">
        <v>4490</v>
      </c>
      <c r="V221" s="204">
        <v>1</v>
      </c>
      <c r="W221" s="203" t="s">
        <v>253</v>
      </c>
      <c r="X221" s="204" t="s">
        <v>5160</v>
      </c>
      <c r="Y221" s="206">
        <v>45000</v>
      </c>
      <c r="Z221" s="207">
        <v>1000</v>
      </c>
      <c r="AA221" s="207">
        <f t="shared" si="51"/>
        <v>43919000</v>
      </c>
      <c r="AB221" s="157">
        <v>1000</v>
      </c>
      <c r="AC221" s="158">
        <f t="shared" si="49"/>
        <v>950</v>
      </c>
      <c r="AD221" s="159">
        <f t="shared" si="52"/>
        <v>2195950</v>
      </c>
      <c r="AE221" s="160"/>
      <c r="AF221" s="160">
        <f t="shared" si="53"/>
        <v>0</v>
      </c>
      <c r="AG221" s="165"/>
      <c r="AH221" s="161">
        <f t="shared" si="54"/>
        <v>0</v>
      </c>
      <c r="AI221" s="162"/>
      <c r="AJ221" s="162">
        <f t="shared" si="55"/>
        <v>0</v>
      </c>
      <c r="AK221" s="164"/>
      <c r="AL221" s="164">
        <f t="shared" si="56"/>
        <v>0</v>
      </c>
      <c r="AM221" s="165"/>
      <c r="AN221" s="165">
        <f t="shared" si="57"/>
        <v>0</v>
      </c>
      <c r="AO221" s="166">
        <v>50</v>
      </c>
      <c r="AP221" s="166">
        <f t="shared" si="58"/>
        <v>2195950</v>
      </c>
      <c r="AQ221" s="162"/>
      <c r="AR221" s="162">
        <f t="shared" si="59"/>
        <v>0</v>
      </c>
      <c r="AS221" s="173"/>
      <c r="AT221" s="167">
        <f t="shared" si="60"/>
        <v>0</v>
      </c>
      <c r="AU221" s="163"/>
      <c r="AV221" s="163">
        <f t="shared" si="61"/>
        <v>0</v>
      </c>
      <c r="AW221" s="168"/>
      <c r="AX221" s="168">
        <f t="shared" si="62"/>
        <v>0</v>
      </c>
      <c r="AY221" s="170"/>
      <c r="AZ221" s="170">
        <f t="shared" si="63"/>
        <v>0</v>
      </c>
      <c r="BA221" s="166"/>
      <c r="BB221" s="166">
        <f t="shared" si="64"/>
        <v>0</v>
      </c>
    </row>
    <row r="222" spans="1:54" ht="31.5">
      <c r="A222" s="172" t="s">
        <v>5916</v>
      </c>
      <c r="B222" s="203" t="s">
        <v>4459</v>
      </c>
      <c r="C222" s="203"/>
      <c r="D222" s="203"/>
      <c r="E222" s="203" t="s">
        <v>5918</v>
      </c>
      <c r="F222" s="205" t="s">
        <v>5920</v>
      </c>
      <c r="G222" s="205" t="s">
        <v>5775</v>
      </c>
      <c r="H222" s="204" t="s">
        <v>4460</v>
      </c>
      <c r="I222" s="204" t="s">
        <v>11</v>
      </c>
      <c r="J222" s="205" t="s">
        <v>5919</v>
      </c>
      <c r="K222" s="206">
        <v>11800</v>
      </c>
      <c r="L222" s="206"/>
      <c r="M222" s="159">
        <f t="shared" si="50"/>
        <v>0</v>
      </c>
      <c r="N222" s="159"/>
      <c r="O222" s="159"/>
      <c r="P222" s="159"/>
      <c r="Q222" s="159"/>
      <c r="R222" s="159"/>
      <c r="S222" s="150" t="s">
        <v>5250</v>
      </c>
      <c r="T222" s="150" t="s">
        <v>5251</v>
      </c>
      <c r="U222" s="202" t="s">
        <v>5917</v>
      </c>
      <c r="V222" s="204">
        <v>1</v>
      </c>
      <c r="W222" s="203" t="s">
        <v>5104</v>
      </c>
      <c r="X222" s="204" t="s">
        <v>5116</v>
      </c>
      <c r="Y222" s="206">
        <v>11880</v>
      </c>
      <c r="Z222" s="207">
        <v>5000</v>
      </c>
      <c r="AA222" s="207">
        <f t="shared" si="51"/>
        <v>59000000</v>
      </c>
      <c r="AB222" s="157">
        <v>5000</v>
      </c>
      <c r="AC222" s="158">
        <f t="shared" si="49"/>
        <v>5000</v>
      </c>
      <c r="AD222" s="159">
        <f t="shared" si="52"/>
        <v>0</v>
      </c>
      <c r="AE222" s="160"/>
      <c r="AF222" s="160">
        <f t="shared" si="53"/>
        <v>0</v>
      </c>
      <c r="AG222" s="165"/>
      <c r="AH222" s="161">
        <f t="shared" si="54"/>
        <v>0</v>
      </c>
      <c r="AI222" s="162"/>
      <c r="AJ222" s="162">
        <f t="shared" si="55"/>
        <v>0</v>
      </c>
      <c r="AK222" s="164"/>
      <c r="AL222" s="164">
        <f t="shared" si="56"/>
        <v>0</v>
      </c>
      <c r="AM222" s="165"/>
      <c r="AN222" s="165">
        <f t="shared" si="57"/>
        <v>0</v>
      </c>
      <c r="AO222" s="166">
        <v>0</v>
      </c>
      <c r="AP222" s="166">
        <f t="shared" si="58"/>
        <v>0</v>
      </c>
      <c r="AQ222" s="162"/>
      <c r="AR222" s="162">
        <f t="shared" si="59"/>
        <v>0</v>
      </c>
      <c r="AS222" s="173"/>
      <c r="AT222" s="167">
        <f t="shared" si="60"/>
        <v>0</v>
      </c>
      <c r="AU222" s="163"/>
      <c r="AV222" s="163">
        <f t="shared" si="61"/>
        <v>0</v>
      </c>
      <c r="AW222" s="168"/>
      <c r="AX222" s="168">
        <f t="shared" si="62"/>
        <v>0</v>
      </c>
      <c r="AY222" s="170"/>
      <c r="AZ222" s="170">
        <f t="shared" si="63"/>
        <v>0</v>
      </c>
      <c r="BA222" s="166"/>
      <c r="BB222" s="166">
        <f t="shared" si="64"/>
        <v>0</v>
      </c>
    </row>
    <row r="223" spans="1:54" ht="31.5">
      <c r="A223" s="148" t="s">
        <v>5921</v>
      </c>
      <c r="B223" s="203" t="s">
        <v>1029</v>
      </c>
      <c r="C223" s="203"/>
      <c r="D223" s="203"/>
      <c r="E223" s="203" t="s">
        <v>5923</v>
      </c>
      <c r="F223" s="205" t="s">
        <v>5925</v>
      </c>
      <c r="G223" s="205" t="s">
        <v>1033</v>
      </c>
      <c r="H223" s="204" t="s">
        <v>4565</v>
      </c>
      <c r="I223" s="204" t="s">
        <v>11</v>
      </c>
      <c r="J223" s="205" t="s">
        <v>5924</v>
      </c>
      <c r="K223" s="206">
        <v>8848</v>
      </c>
      <c r="L223" s="206"/>
      <c r="M223" s="159">
        <f t="shared" si="50"/>
        <v>0</v>
      </c>
      <c r="N223" s="159"/>
      <c r="O223" s="159"/>
      <c r="P223" s="159"/>
      <c r="Q223" s="159"/>
      <c r="R223" s="159"/>
      <c r="S223" s="150" t="s">
        <v>5118</v>
      </c>
      <c r="T223" s="150" t="s">
        <v>5119</v>
      </c>
      <c r="U223" s="202" t="s">
        <v>5922</v>
      </c>
      <c r="V223" s="204">
        <v>1</v>
      </c>
      <c r="W223" s="203" t="s">
        <v>253</v>
      </c>
      <c r="X223" s="204" t="s">
        <v>5116</v>
      </c>
      <c r="Y223" s="206">
        <v>9645</v>
      </c>
      <c r="Z223" s="207">
        <v>10000</v>
      </c>
      <c r="AA223" s="207">
        <f t="shared" si="51"/>
        <v>88480000</v>
      </c>
      <c r="AB223" s="157">
        <v>10000</v>
      </c>
      <c r="AC223" s="158">
        <f t="shared" si="49"/>
        <v>10000</v>
      </c>
      <c r="AD223" s="159">
        <f t="shared" si="52"/>
        <v>0</v>
      </c>
      <c r="AE223" s="160"/>
      <c r="AF223" s="160">
        <f t="shared" si="53"/>
        <v>0</v>
      </c>
      <c r="AG223" s="165"/>
      <c r="AH223" s="161">
        <f t="shared" si="54"/>
        <v>0</v>
      </c>
      <c r="AI223" s="162"/>
      <c r="AJ223" s="162">
        <f t="shared" si="55"/>
        <v>0</v>
      </c>
      <c r="AK223" s="164"/>
      <c r="AL223" s="164">
        <f t="shared" si="56"/>
        <v>0</v>
      </c>
      <c r="AM223" s="165"/>
      <c r="AN223" s="165">
        <f t="shared" si="57"/>
        <v>0</v>
      </c>
      <c r="AO223" s="166">
        <v>0</v>
      </c>
      <c r="AP223" s="166">
        <f t="shared" si="58"/>
        <v>0</v>
      </c>
      <c r="AQ223" s="162"/>
      <c r="AR223" s="162">
        <f t="shared" si="59"/>
        <v>0</v>
      </c>
      <c r="AS223" s="173"/>
      <c r="AT223" s="167">
        <f t="shared" si="60"/>
        <v>0</v>
      </c>
      <c r="AU223" s="163"/>
      <c r="AV223" s="163">
        <f t="shared" si="61"/>
        <v>0</v>
      </c>
      <c r="AW223" s="168"/>
      <c r="AX223" s="168">
        <f t="shared" si="62"/>
        <v>0</v>
      </c>
      <c r="AY223" s="170"/>
      <c r="AZ223" s="170">
        <f t="shared" si="63"/>
        <v>0</v>
      </c>
      <c r="BA223" s="166"/>
      <c r="BB223" s="166">
        <f t="shared" si="64"/>
        <v>0</v>
      </c>
    </row>
    <row r="224" spans="1:54" ht="47.25">
      <c r="A224" s="148" t="s">
        <v>5926</v>
      </c>
      <c r="B224" s="203" t="s">
        <v>1664</v>
      </c>
      <c r="C224" s="203"/>
      <c r="D224" s="203"/>
      <c r="E224" s="203" t="s">
        <v>5931</v>
      </c>
      <c r="F224" s="205" t="s">
        <v>5933</v>
      </c>
      <c r="G224" s="205" t="s">
        <v>5934</v>
      </c>
      <c r="H224" s="204" t="s">
        <v>5930</v>
      </c>
      <c r="I224" s="204" t="s">
        <v>15</v>
      </c>
      <c r="J224" s="205" t="s">
        <v>5932</v>
      </c>
      <c r="K224" s="206">
        <v>325000</v>
      </c>
      <c r="L224" s="206"/>
      <c r="M224" s="159">
        <f t="shared" si="50"/>
        <v>0</v>
      </c>
      <c r="N224" s="159"/>
      <c r="O224" s="159"/>
      <c r="P224" s="159"/>
      <c r="Q224" s="159"/>
      <c r="R224" s="159"/>
      <c r="S224" s="149" t="s">
        <v>5927</v>
      </c>
      <c r="T224" s="149" t="s">
        <v>5928</v>
      </c>
      <c r="U224" s="202" t="s">
        <v>5929</v>
      </c>
      <c r="V224" s="204">
        <v>1</v>
      </c>
      <c r="W224" s="203" t="s">
        <v>5104</v>
      </c>
      <c r="X224" s="204" t="s">
        <v>5911</v>
      </c>
      <c r="Y224" s="206">
        <v>325000</v>
      </c>
      <c r="Z224" s="207">
        <v>200</v>
      </c>
      <c r="AA224" s="207">
        <f t="shared" si="51"/>
        <v>65000000</v>
      </c>
      <c r="AB224" s="157">
        <v>200</v>
      </c>
      <c r="AC224" s="158">
        <f t="shared" si="49"/>
        <v>200</v>
      </c>
      <c r="AD224" s="159">
        <f t="shared" si="52"/>
        <v>0</v>
      </c>
      <c r="AE224" s="160"/>
      <c r="AF224" s="160">
        <f t="shared" si="53"/>
        <v>0</v>
      </c>
      <c r="AG224" s="165"/>
      <c r="AH224" s="161">
        <f t="shared" si="54"/>
        <v>0</v>
      </c>
      <c r="AI224" s="162"/>
      <c r="AJ224" s="162">
        <f t="shared" si="55"/>
        <v>0</v>
      </c>
      <c r="AK224" s="164"/>
      <c r="AL224" s="164">
        <f t="shared" si="56"/>
        <v>0</v>
      </c>
      <c r="AM224" s="165"/>
      <c r="AN224" s="165">
        <f t="shared" si="57"/>
        <v>0</v>
      </c>
      <c r="AO224" s="166">
        <v>0</v>
      </c>
      <c r="AP224" s="166">
        <f t="shared" si="58"/>
        <v>0</v>
      </c>
      <c r="AQ224" s="162"/>
      <c r="AR224" s="162">
        <f t="shared" si="59"/>
        <v>0</v>
      </c>
      <c r="AS224" s="173"/>
      <c r="AT224" s="167">
        <f t="shared" si="60"/>
        <v>0</v>
      </c>
      <c r="AU224" s="163"/>
      <c r="AV224" s="163">
        <f t="shared" si="61"/>
        <v>0</v>
      </c>
      <c r="AW224" s="168"/>
      <c r="AX224" s="168">
        <f t="shared" si="62"/>
        <v>0</v>
      </c>
      <c r="AY224" s="170"/>
      <c r="AZ224" s="170">
        <f t="shared" si="63"/>
        <v>0</v>
      </c>
      <c r="BA224" s="166"/>
      <c r="BB224" s="166">
        <f t="shared" si="64"/>
        <v>0</v>
      </c>
    </row>
    <row r="225" spans="1:54" ht="31.5">
      <c r="A225" s="172" t="s">
        <v>5935</v>
      </c>
      <c r="B225" s="203" t="s">
        <v>1664</v>
      </c>
      <c r="C225" s="203"/>
      <c r="D225" s="203"/>
      <c r="E225" s="203" t="s">
        <v>5939</v>
      </c>
      <c r="F225" s="205" t="s">
        <v>5941</v>
      </c>
      <c r="G225" s="205" t="s">
        <v>5942</v>
      </c>
      <c r="H225" s="204" t="s">
        <v>334</v>
      </c>
      <c r="I225" s="204" t="s">
        <v>11</v>
      </c>
      <c r="J225" s="205" t="s">
        <v>5940</v>
      </c>
      <c r="K225" s="206">
        <v>48300</v>
      </c>
      <c r="L225" s="206"/>
      <c r="M225" s="159">
        <f t="shared" si="50"/>
        <v>0</v>
      </c>
      <c r="N225" s="159"/>
      <c r="O225" s="159"/>
      <c r="P225" s="159"/>
      <c r="Q225" s="159"/>
      <c r="R225" s="159"/>
      <c r="S225" s="149" t="s">
        <v>5936</v>
      </c>
      <c r="T225" s="149" t="s">
        <v>5937</v>
      </c>
      <c r="U225" s="202" t="s">
        <v>5938</v>
      </c>
      <c r="V225" s="204">
        <v>1</v>
      </c>
      <c r="W225" s="203" t="s">
        <v>253</v>
      </c>
      <c r="X225" s="204" t="s">
        <v>5943</v>
      </c>
      <c r="Y225" s="206">
        <v>49000</v>
      </c>
      <c r="Z225" s="207">
        <v>5000</v>
      </c>
      <c r="AA225" s="207">
        <f t="shared" si="51"/>
        <v>241500000</v>
      </c>
      <c r="AB225" s="157">
        <v>5000</v>
      </c>
      <c r="AC225" s="158">
        <f t="shared" si="49"/>
        <v>5000</v>
      </c>
      <c r="AD225" s="159">
        <f t="shared" si="52"/>
        <v>0</v>
      </c>
      <c r="AE225" s="160"/>
      <c r="AF225" s="160">
        <f t="shared" si="53"/>
        <v>0</v>
      </c>
      <c r="AG225" s="165"/>
      <c r="AH225" s="161">
        <f t="shared" si="54"/>
        <v>0</v>
      </c>
      <c r="AI225" s="162"/>
      <c r="AJ225" s="162">
        <f t="shared" si="55"/>
        <v>0</v>
      </c>
      <c r="AK225" s="164"/>
      <c r="AL225" s="164">
        <f t="shared" si="56"/>
        <v>0</v>
      </c>
      <c r="AM225" s="165"/>
      <c r="AN225" s="165">
        <f t="shared" si="57"/>
        <v>0</v>
      </c>
      <c r="AO225" s="166">
        <v>0</v>
      </c>
      <c r="AP225" s="166">
        <f t="shared" si="58"/>
        <v>0</v>
      </c>
      <c r="AQ225" s="162"/>
      <c r="AR225" s="162">
        <f t="shared" si="59"/>
        <v>0</v>
      </c>
      <c r="AS225" s="173"/>
      <c r="AT225" s="167">
        <f t="shared" si="60"/>
        <v>0</v>
      </c>
      <c r="AU225" s="163"/>
      <c r="AV225" s="163">
        <f t="shared" si="61"/>
        <v>0</v>
      </c>
      <c r="AW225" s="168"/>
      <c r="AX225" s="168">
        <f t="shared" si="62"/>
        <v>0</v>
      </c>
      <c r="AY225" s="170"/>
      <c r="AZ225" s="170">
        <f t="shared" si="63"/>
        <v>0</v>
      </c>
      <c r="BA225" s="166"/>
      <c r="BB225" s="166">
        <f t="shared" si="64"/>
        <v>0</v>
      </c>
    </row>
    <row r="226" spans="1:54" ht="31.5">
      <c r="A226" s="148" t="s">
        <v>5944</v>
      </c>
      <c r="B226" s="203" t="s">
        <v>5948</v>
      </c>
      <c r="C226" s="203"/>
      <c r="D226" s="203"/>
      <c r="E226" s="203" t="s">
        <v>5949</v>
      </c>
      <c r="F226" s="205" t="s">
        <v>5951</v>
      </c>
      <c r="G226" s="205" t="s">
        <v>5952</v>
      </c>
      <c r="H226" s="204" t="s">
        <v>334</v>
      </c>
      <c r="I226" s="204" t="s">
        <v>11</v>
      </c>
      <c r="J226" s="205" t="s">
        <v>5950</v>
      </c>
      <c r="K226" s="206">
        <v>6200</v>
      </c>
      <c r="L226" s="206"/>
      <c r="M226" s="159">
        <f t="shared" si="50"/>
        <v>0</v>
      </c>
      <c r="N226" s="159"/>
      <c r="O226" s="159"/>
      <c r="P226" s="159"/>
      <c r="Q226" s="159"/>
      <c r="R226" s="159"/>
      <c r="S226" s="149" t="s">
        <v>5945</v>
      </c>
      <c r="T226" s="149" t="s">
        <v>5946</v>
      </c>
      <c r="U226" s="202" t="s">
        <v>5947</v>
      </c>
      <c r="V226" s="204">
        <v>1</v>
      </c>
      <c r="W226" s="203" t="s">
        <v>5108</v>
      </c>
      <c r="X226" s="204" t="s">
        <v>5953</v>
      </c>
      <c r="Y226" s="206">
        <v>6700</v>
      </c>
      <c r="Z226" s="207">
        <v>5000</v>
      </c>
      <c r="AA226" s="207">
        <f t="shared" si="51"/>
        <v>31000000</v>
      </c>
      <c r="AB226" s="157">
        <v>5000</v>
      </c>
      <c r="AC226" s="158">
        <f t="shared" si="49"/>
        <v>5000</v>
      </c>
      <c r="AD226" s="159">
        <f t="shared" si="52"/>
        <v>0</v>
      </c>
      <c r="AE226" s="160"/>
      <c r="AF226" s="160">
        <f t="shared" si="53"/>
        <v>0</v>
      </c>
      <c r="AG226" s="165"/>
      <c r="AH226" s="161">
        <f t="shared" si="54"/>
        <v>0</v>
      </c>
      <c r="AI226" s="162"/>
      <c r="AJ226" s="162">
        <f t="shared" si="55"/>
        <v>0</v>
      </c>
      <c r="AK226" s="163"/>
      <c r="AL226" s="164">
        <f t="shared" si="56"/>
        <v>0</v>
      </c>
      <c r="AM226" s="161"/>
      <c r="AN226" s="165">
        <f t="shared" si="57"/>
        <v>0</v>
      </c>
      <c r="AO226" s="160">
        <v>0</v>
      </c>
      <c r="AP226" s="166">
        <f t="shared" si="58"/>
        <v>0</v>
      </c>
      <c r="AQ226" s="162"/>
      <c r="AR226" s="162">
        <f t="shared" si="59"/>
        <v>0</v>
      </c>
      <c r="AS226" s="173"/>
      <c r="AT226" s="167">
        <f t="shared" si="60"/>
        <v>0</v>
      </c>
      <c r="AU226" s="163"/>
      <c r="AV226" s="163">
        <f t="shared" si="61"/>
        <v>0</v>
      </c>
      <c r="AW226" s="162"/>
      <c r="AX226" s="168">
        <f t="shared" si="62"/>
        <v>0</v>
      </c>
      <c r="AY226" s="169"/>
      <c r="AZ226" s="170">
        <f t="shared" si="63"/>
        <v>0</v>
      </c>
      <c r="BA226" s="160"/>
      <c r="BB226" s="166">
        <f t="shared" si="64"/>
        <v>0</v>
      </c>
    </row>
    <row r="227" spans="1:54" ht="31.5">
      <c r="A227" s="148" t="s">
        <v>5954</v>
      </c>
      <c r="B227" s="203" t="s">
        <v>1368</v>
      </c>
      <c r="C227" s="203"/>
      <c r="D227" s="203"/>
      <c r="E227" s="203" t="s">
        <v>5956</v>
      </c>
      <c r="F227" s="205" t="s">
        <v>5958</v>
      </c>
      <c r="G227" s="205" t="s">
        <v>458</v>
      </c>
      <c r="H227" s="204" t="s">
        <v>299</v>
      </c>
      <c r="I227" s="204" t="s">
        <v>11</v>
      </c>
      <c r="J227" s="205" t="s">
        <v>5957</v>
      </c>
      <c r="K227" s="206">
        <v>2560</v>
      </c>
      <c r="L227" s="206"/>
      <c r="M227" s="159">
        <f t="shared" si="50"/>
        <v>0</v>
      </c>
      <c r="N227" s="159"/>
      <c r="O227" s="159"/>
      <c r="P227" s="159"/>
      <c r="Q227" s="159"/>
      <c r="R227" s="159"/>
      <c r="S227" s="149" t="s">
        <v>5219</v>
      </c>
      <c r="T227" s="149" t="s">
        <v>5220</v>
      </c>
      <c r="U227" s="202" t="s">
        <v>5955</v>
      </c>
      <c r="V227" s="204">
        <v>1</v>
      </c>
      <c r="W227" s="203" t="s">
        <v>5108</v>
      </c>
      <c r="X227" s="204" t="s">
        <v>5222</v>
      </c>
      <c r="Y227" s="206">
        <v>3050</v>
      </c>
      <c r="Z227" s="207">
        <v>20000</v>
      </c>
      <c r="AA227" s="207">
        <f t="shared" si="51"/>
        <v>51200000</v>
      </c>
      <c r="AB227" s="157">
        <v>20000</v>
      </c>
      <c r="AC227" s="158">
        <f t="shared" si="49"/>
        <v>20000</v>
      </c>
      <c r="AD227" s="159">
        <f t="shared" si="52"/>
        <v>0</v>
      </c>
      <c r="AE227" s="160"/>
      <c r="AF227" s="160">
        <f t="shared" si="53"/>
        <v>0</v>
      </c>
      <c r="AG227" s="165"/>
      <c r="AH227" s="161">
        <f t="shared" si="54"/>
        <v>0</v>
      </c>
      <c r="AI227" s="162"/>
      <c r="AJ227" s="162">
        <f t="shared" si="55"/>
        <v>0</v>
      </c>
      <c r="AK227" s="164"/>
      <c r="AL227" s="164">
        <f t="shared" si="56"/>
        <v>0</v>
      </c>
      <c r="AM227" s="165"/>
      <c r="AN227" s="165">
        <f t="shared" si="57"/>
        <v>0</v>
      </c>
      <c r="AO227" s="166">
        <v>0</v>
      </c>
      <c r="AP227" s="166">
        <f t="shared" si="58"/>
        <v>0</v>
      </c>
      <c r="AQ227" s="162"/>
      <c r="AR227" s="162">
        <f t="shared" si="59"/>
        <v>0</v>
      </c>
      <c r="AS227" s="173"/>
      <c r="AT227" s="167">
        <f t="shared" si="60"/>
        <v>0</v>
      </c>
      <c r="AU227" s="163"/>
      <c r="AV227" s="163">
        <f t="shared" si="61"/>
        <v>0</v>
      </c>
      <c r="AW227" s="168"/>
      <c r="AX227" s="168">
        <f t="shared" si="62"/>
        <v>0</v>
      </c>
      <c r="AY227" s="170"/>
      <c r="AZ227" s="170">
        <f t="shared" si="63"/>
        <v>0</v>
      </c>
      <c r="BA227" s="166"/>
      <c r="BB227" s="166">
        <f t="shared" si="64"/>
        <v>0</v>
      </c>
    </row>
    <row r="228" spans="1:54" s="220" customFormat="1" ht="31.5">
      <c r="A228" s="210" t="s">
        <v>5959</v>
      </c>
      <c r="B228" s="213" t="s">
        <v>1756</v>
      </c>
      <c r="C228" s="213"/>
      <c r="D228" s="213"/>
      <c r="E228" s="213" t="s">
        <v>5963</v>
      </c>
      <c r="F228" s="205" t="s">
        <v>5965</v>
      </c>
      <c r="G228" s="205" t="s">
        <v>5966</v>
      </c>
      <c r="H228" s="214" t="s">
        <v>232</v>
      </c>
      <c r="I228" s="214" t="s">
        <v>11</v>
      </c>
      <c r="J228" s="205" t="s">
        <v>5964</v>
      </c>
      <c r="K228" s="215">
        <v>29300</v>
      </c>
      <c r="L228" s="215"/>
      <c r="M228" s="159">
        <f t="shared" si="50"/>
        <v>0</v>
      </c>
      <c r="N228" s="159"/>
      <c r="O228" s="159"/>
      <c r="P228" s="159"/>
      <c r="Q228" s="159"/>
      <c r="R228" s="159"/>
      <c r="S228" s="211" t="s">
        <v>5960</v>
      </c>
      <c r="T228" s="149" t="s">
        <v>5961</v>
      </c>
      <c r="U228" s="212" t="s">
        <v>5962</v>
      </c>
      <c r="V228" s="204">
        <v>1</v>
      </c>
      <c r="W228" s="203" t="s">
        <v>5111</v>
      </c>
      <c r="X228" s="214" t="s">
        <v>5693</v>
      </c>
      <c r="Y228" s="206">
        <v>35000</v>
      </c>
      <c r="Z228" s="216">
        <v>1000</v>
      </c>
      <c r="AA228" s="216">
        <f t="shared" si="51"/>
        <v>29300000</v>
      </c>
      <c r="AB228" s="217">
        <v>1000</v>
      </c>
      <c r="AC228" s="218">
        <f t="shared" si="49"/>
        <v>1000</v>
      </c>
      <c r="AD228" s="159">
        <f t="shared" si="52"/>
        <v>0</v>
      </c>
      <c r="AE228" s="219"/>
      <c r="AF228" s="160">
        <f t="shared" si="53"/>
        <v>0</v>
      </c>
      <c r="AG228" s="216"/>
      <c r="AH228" s="161">
        <f t="shared" si="54"/>
        <v>0</v>
      </c>
      <c r="AI228" s="219"/>
      <c r="AJ228" s="219">
        <f t="shared" si="55"/>
        <v>0</v>
      </c>
      <c r="AK228" s="216"/>
      <c r="AL228" s="216">
        <f t="shared" si="56"/>
        <v>0</v>
      </c>
      <c r="AM228" s="216"/>
      <c r="AN228" s="216">
        <f t="shared" si="57"/>
        <v>0</v>
      </c>
      <c r="AO228" s="216">
        <v>0</v>
      </c>
      <c r="AP228" s="216">
        <f t="shared" si="58"/>
        <v>0</v>
      </c>
      <c r="AQ228" s="219"/>
      <c r="AR228" s="219">
        <f t="shared" si="59"/>
        <v>0</v>
      </c>
      <c r="AS228" s="216"/>
      <c r="AT228" s="167">
        <f t="shared" si="60"/>
        <v>0</v>
      </c>
      <c r="AU228" s="219"/>
      <c r="AV228" s="163">
        <f t="shared" si="61"/>
        <v>0</v>
      </c>
      <c r="AW228" s="216"/>
      <c r="AX228" s="216">
        <f t="shared" si="62"/>
        <v>0</v>
      </c>
      <c r="AY228" s="216"/>
      <c r="AZ228" s="170">
        <f t="shared" si="63"/>
        <v>0</v>
      </c>
      <c r="BA228" s="216"/>
      <c r="BB228" s="166">
        <f t="shared" si="64"/>
        <v>0</v>
      </c>
    </row>
    <row r="229" spans="1:54" s="220" customFormat="1" ht="31.5">
      <c r="A229" s="221" t="s">
        <v>5967</v>
      </c>
      <c r="B229" s="213" t="s">
        <v>816</v>
      </c>
      <c r="C229" s="213"/>
      <c r="D229" s="213"/>
      <c r="E229" s="213" t="s">
        <v>5968</v>
      </c>
      <c r="F229" s="205" t="s">
        <v>5970</v>
      </c>
      <c r="G229" s="205" t="s">
        <v>5971</v>
      </c>
      <c r="H229" s="214" t="s">
        <v>299</v>
      </c>
      <c r="I229" s="214" t="s">
        <v>11</v>
      </c>
      <c r="J229" s="205" t="s">
        <v>5969</v>
      </c>
      <c r="K229" s="215">
        <v>9050</v>
      </c>
      <c r="L229" s="215"/>
      <c r="M229" s="159">
        <f t="shared" si="50"/>
        <v>0</v>
      </c>
      <c r="N229" s="159"/>
      <c r="O229" s="159"/>
      <c r="P229" s="159"/>
      <c r="Q229" s="159"/>
      <c r="R229" s="159"/>
      <c r="S229" s="211" t="s">
        <v>5960</v>
      </c>
      <c r="T229" s="149" t="s">
        <v>5961</v>
      </c>
      <c r="U229" s="212" t="s">
        <v>3875</v>
      </c>
      <c r="V229" s="204">
        <v>1</v>
      </c>
      <c r="W229" s="203" t="s">
        <v>5104</v>
      </c>
      <c r="X229" s="214" t="s">
        <v>5717</v>
      </c>
      <c r="Y229" s="206">
        <v>11000</v>
      </c>
      <c r="Z229" s="216">
        <v>30000</v>
      </c>
      <c r="AA229" s="216">
        <f t="shared" si="51"/>
        <v>271500000</v>
      </c>
      <c r="AB229" s="217">
        <v>30000</v>
      </c>
      <c r="AC229" s="218">
        <f t="shared" si="49"/>
        <v>30000</v>
      </c>
      <c r="AD229" s="159">
        <f t="shared" si="52"/>
        <v>0</v>
      </c>
      <c r="AE229" s="219"/>
      <c r="AF229" s="160">
        <f t="shared" si="53"/>
        <v>0</v>
      </c>
      <c r="AG229" s="216"/>
      <c r="AH229" s="161">
        <f t="shared" si="54"/>
        <v>0</v>
      </c>
      <c r="AI229" s="219"/>
      <c r="AJ229" s="219">
        <f t="shared" si="55"/>
        <v>0</v>
      </c>
      <c r="AK229" s="216"/>
      <c r="AL229" s="216">
        <f t="shared" si="56"/>
        <v>0</v>
      </c>
      <c r="AM229" s="216"/>
      <c r="AN229" s="216">
        <f t="shared" si="57"/>
        <v>0</v>
      </c>
      <c r="AO229" s="216">
        <v>0</v>
      </c>
      <c r="AP229" s="216">
        <f t="shared" si="58"/>
        <v>0</v>
      </c>
      <c r="AQ229" s="219"/>
      <c r="AR229" s="219">
        <f t="shared" si="59"/>
        <v>0</v>
      </c>
      <c r="AS229" s="216"/>
      <c r="AT229" s="167">
        <f t="shared" si="60"/>
        <v>0</v>
      </c>
      <c r="AU229" s="219"/>
      <c r="AV229" s="163">
        <f t="shared" si="61"/>
        <v>0</v>
      </c>
      <c r="AW229" s="216"/>
      <c r="AX229" s="216">
        <f t="shared" si="62"/>
        <v>0</v>
      </c>
      <c r="AY229" s="216"/>
      <c r="AZ229" s="170">
        <f t="shared" si="63"/>
        <v>0</v>
      </c>
      <c r="BA229" s="216"/>
      <c r="BB229" s="166">
        <f t="shared" si="64"/>
        <v>0</v>
      </c>
    </row>
    <row r="230" spans="1:54" s="220" customFormat="1">
      <c r="A230" s="221" t="s">
        <v>5972</v>
      </c>
      <c r="B230" s="213" t="s">
        <v>4496</v>
      </c>
      <c r="C230" s="213"/>
      <c r="D230" s="213"/>
      <c r="E230" s="213" t="s">
        <v>5974</v>
      </c>
      <c r="F230" s="205" t="s">
        <v>5976</v>
      </c>
      <c r="G230" s="205" t="s">
        <v>5966</v>
      </c>
      <c r="H230" s="214" t="s">
        <v>258</v>
      </c>
      <c r="I230" s="214" t="s">
        <v>11</v>
      </c>
      <c r="J230" s="205" t="s">
        <v>5975</v>
      </c>
      <c r="K230" s="215">
        <v>16500</v>
      </c>
      <c r="L230" s="215"/>
      <c r="M230" s="159">
        <f t="shared" si="50"/>
        <v>0</v>
      </c>
      <c r="N230" s="159"/>
      <c r="O230" s="159"/>
      <c r="P230" s="159"/>
      <c r="Q230" s="159"/>
      <c r="R230" s="159"/>
      <c r="S230" s="211" t="s">
        <v>5960</v>
      </c>
      <c r="T230" s="149" t="s">
        <v>5961</v>
      </c>
      <c r="U230" s="212" t="s">
        <v>5973</v>
      </c>
      <c r="V230" s="204">
        <v>1</v>
      </c>
      <c r="W230" s="203" t="s">
        <v>5104</v>
      </c>
      <c r="X230" s="214" t="s">
        <v>5693</v>
      </c>
      <c r="Y230" s="206">
        <v>16800</v>
      </c>
      <c r="Z230" s="216">
        <v>5000</v>
      </c>
      <c r="AA230" s="216">
        <f t="shared" si="51"/>
        <v>82500000</v>
      </c>
      <c r="AB230" s="217">
        <v>5000</v>
      </c>
      <c r="AC230" s="218">
        <f t="shared" si="49"/>
        <v>5000</v>
      </c>
      <c r="AD230" s="159">
        <f t="shared" si="52"/>
        <v>0</v>
      </c>
      <c r="AE230" s="219"/>
      <c r="AF230" s="160">
        <f t="shared" si="53"/>
        <v>0</v>
      </c>
      <c r="AG230" s="216"/>
      <c r="AH230" s="161">
        <f t="shared" si="54"/>
        <v>0</v>
      </c>
      <c r="AI230" s="219"/>
      <c r="AJ230" s="219">
        <f t="shared" si="55"/>
        <v>0</v>
      </c>
      <c r="AK230" s="216"/>
      <c r="AL230" s="216">
        <f t="shared" si="56"/>
        <v>0</v>
      </c>
      <c r="AM230" s="216"/>
      <c r="AN230" s="216">
        <f t="shared" si="57"/>
        <v>0</v>
      </c>
      <c r="AO230" s="216">
        <v>0</v>
      </c>
      <c r="AP230" s="216">
        <f t="shared" si="58"/>
        <v>0</v>
      </c>
      <c r="AQ230" s="219"/>
      <c r="AR230" s="219">
        <f t="shared" si="59"/>
        <v>0</v>
      </c>
      <c r="AS230" s="216"/>
      <c r="AT230" s="167">
        <f t="shared" si="60"/>
        <v>0</v>
      </c>
      <c r="AU230" s="219"/>
      <c r="AV230" s="163">
        <f t="shared" si="61"/>
        <v>0</v>
      </c>
      <c r="AW230" s="216"/>
      <c r="AX230" s="216">
        <f t="shared" si="62"/>
        <v>0</v>
      </c>
      <c r="AY230" s="216"/>
      <c r="AZ230" s="170">
        <f t="shared" si="63"/>
        <v>0</v>
      </c>
      <c r="BA230" s="216"/>
      <c r="BB230" s="166">
        <f t="shared" si="64"/>
        <v>0</v>
      </c>
    </row>
    <row r="231" spans="1:54" ht="31.5">
      <c r="A231" s="172" t="s">
        <v>5977</v>
      </c>
      <c r="B231" s="203" t="s">
        <v>5979</v>
      </c>
      <c r="C231" s="203"/>
      <c r="D231" s="203"/>
      <c r="E231" s="203" t="s">
        <v>5918</v>
      </c>
      <c r="F231" s="205" t="s">
        <v>5920</v>
      </c>
      <c r="G231" s="205" t="s">
        <v>5775</v>
      </c>
      <c r="H231" s="204" t="s">
        <v>5980</v>
      </c>
      <c r="I231" s="204" t="s">
        <v>11</v>
      </c>
      <c r="J231" s="205" t="s">
        <v>5919</v>
      </c>
      <c r="K231" s="206">
        <v>11800</v>
      </c>
      <c r="L231" s="206"/>
      <c r="M231" s="159">
        <f t="shared" si="50"/>
        <v>0</v>
      </c>
      <c r="N231" s="159"/>
      <c r="O231" s="159"/>
      <c r="P231" s="159"/>
      <c r="Q231" s="159"/>
      <c r="R231" s="159"/>
      <c r="S231" s="150" t="s">
        <v>5250</v>
      </c>
      <c r="T231" s="150" t="s">
        <v>5251</v>
      </c>
      <c r="U231" s="202" t="s">
        <v>5978</v>
      </c>
      <c r="V231" s="204">
        <v>1</v>
      </c>
      <c r="W231" s="203" t="s">
        <v>5104</v>
      </c>
      <c r="X231" s="204" t="s">
        <v>5116</v>
      </c>
      <c r="Y231" s="206">
        <v>11880</v>
      </c>
      <c r="Z231" s="207">
        <v>2000</v>
      </c>
      <c r="AA231" s="207">
        <f t="shared" si="51"/>
        <v>23600000</v>
      </c>
      <c r="AB231" s="157">
        <v>2000</v>
      </c>
      <c r="AC231" s="158">
        <f t="shared" si="49"/>
        <v>2000</v>
      </c>
      <c r="AD231" s="159">
        <f t="shared" si="52"/>
        <v>0</v>
      </c>
      <c r="AE231" s="160"/>
      <c r="AF231" s="160">
        <f t="shared" si="53"/>
        <v>0</v>
      </c>
      <c r="AG231" s="165"/>
      <c r="AH231" s="161">
        <f t="shared" si="54"/>
        <v>0</v>
      </c>
      <c r="AI231" s="162"/>
      <c r="AJ231" s="162">
        <f t="shared" si="55"/>
        <v>0</v>
      </c>
      <c r="AK231" s="164"/>
      <c r="AL231" s="164">
        <f t="shared" si="56"/>
        <v>0</v>
      </c>
      <c r="AM231" s="165"/>
      <c r="AN231" s="165">
        <f t="shared" si="57"/>
        <v>0</v>
      </c>
      <c r="AO231" s="166">
        <v>0</v>
      </c>
      <c r="AP231" s="166">
        <f t="shared" si="58"/>
        <v>0</v>
      </c>
      <c r="AQ231" s="162"/>
      <c r="AR231" s="162">
        <f t="shared" si="59"/>
        <v>0</v>
      </c>
      <c r="AS231" s="173"/>
      <c r="AT231" s="167">
        <f t="shared" si="60"/>
        <v>0</v>
      </c>
      <c r="AU231" s="163"/>
      <c r="AV231" s="163">
        <f t="shared" si="61"/>
        <v>0</v>
      </c>
      <c r="AW231" s="168"/>
      <c r="AX231" s="168">
        <f t="shared" si="62"/>
        <v>0</v>
      </c>
      <c r="AY231" s="170"/>
      <c r="AZ231" s="170">
        <f t="shared" si="63"/>
        <v>0</v>
      </c>
      <c r="BA231" s="166"/>
      <c r="BB231" s="166">
        <f t="shared" si="64"/>
        <v>0</v>
      </c>
    </row>
    <row r="232" spans="1:54" ht="31.5">
      <c r="A232" s="148" t="s">
        <v>5981</v>
      </c>
      <c r="B232" s="203" t="s">
        <v>5985</v>
      </c>
      <c r="C232" s="203"/>
      <c r="D232" s="203"/>
      <c r="E232" s="203" t="s">
        <v>5987</v>
      </c>
      <c r="F232" s="205" t="s">
        <v>5990</v>
      </c>
      <c r="G232" s="205" t="s">
        <v>5991</v>
      </c>
      <c r="H232" s="204" t="s">
        <v>5986</v>
      </c>
      <c r="I232" s="204" t="s">
        <v>11</v>
      </c>
      <c r="J232" s="205" t="s">
        <v>5988</v>
      </c>
      <c r="K232" s="206">
        <v>9500</v>
      </c>
      <c r="L232" s="206"/>
      <c r="M232" s="159">
        <f t="shared" si="50"/>
        <v>0</v>
      </c>
      <c r="N232" s="159"/>
      <c r="O232" s="159"/>
      <c r="P232" s="159"/>
      <c r="Q232" s="159"/>
      <c r="R232" s="159"/>
      <c r="S232" s="149" t="s">
        <v>5982</v>
      </c>
      <c r="T232" s="149" t="s">
        <v>5983</v>
      </c>
      <c r="U232" s="202" t="s">
        <v>5984</v>
      </c>
      <c r="V232" s="204">
        <v>1</v>
      </c>
      <c r="W232" s="203" t="s">
        <v>5989</v>
      </c>
      <c r="X232" s="204" t="s">
        <v>5116</v>
      </c>
      <c r="Y232" s="206">
        <v>9500</v>
      </c>
      <c r="Z232" s="207">
        <v>2000</v>
      </c>
      <c r="AA232" s="207">
        <f t="shared" si="51"/>
        <v>19000000</v>
      </c>
      <c r="AB232" s="157">
        <v>2000</v>
      </c>
      <c r="AC232" s="158">
        <f t="shared" si="49"/>
        <v>2000</v>
      </c>
      <c r="AD232" s="159">
        <f t="shared" si="52"/>
        <v>0</v>
      </c>
      <c r="AE232" s="160"/>
      <c r="AF232" s="160">
        <f t="shared" si="53"/>
        <v>0</v>
      </c>
      <c r="AG232" s="165"/>
      <c r="AH232" s="161">
        <f t="shared" si="54"/>
        <v>0</v>
      </c>
      <c r="AI232" s="162"/>
      <c r="AJ232" s="162">
        <f t="shared" si="55"/>
        <v>0</v>
      </c>
      <c r="AK232" s="164"/>
      <c r="AL232" s="164">
        <f t="shared" si="56"/>
        <v>0</v>
      </c>
      <c r="AM232" s="165"/>
      <c r="AN232" s="165">
        <f t="shared" si="57"/>
        <v>0</v>
      </c>
      <c r="AO232" s="166">
        <v>0</v>
      </c>
      <c r="AP232" s="166">
        <f t="shared" si="58"/>
        <v>0</v>
      </c>
      <c r="AQ232" s="162"/>
      <c r="AR232" s="162">
        <f t="shared" si="59"/>
        <v>0</v>
      </c>
      <c r="AS232" s="173"/>
      <c r="AT232" s="167">
        <f t="shared" si="60"/>
        <v>0</v>
      </c>
      <c r="AU232" s="163"/>
      <c r="AV232" s="163">
        <f t="shared" si="61"/>
        <v>0</v>
      </c>
      <c r="AW232" s="168"/>
      <c r="AX232" s="168">
        <f t="shared" si="62"/>
        <v>0</v>
      </c>
      <c r="AY232" s="170"/>
      <c r="AZ232" s="170">
        <f t="shared" si="63"/>
        <v>0</v>
      </c>
      <c r="BA232" s="166"/>
      <c r="BB232" s="166">
        <f t="shared" si="64"/>
        <v>0</v>
      </c>
    </row>
    <row r="233" spans="1:54" ht="31.5">
      <c r="A233" s="148" t="s">
        <v>5992</v>
      </c>
      <c r="B233" s="203" t="s">
        <v>1330</v>
      </c>
      <c r="C233" s="203"/>
      <c r="D233" s="203"/>
      <c r="E233" s="203" t="s">
        <v>5996</v>
      </c>
      <c r="F233" s="205" t="s">
        <v>5998</v>
      </c>
      <c r="G233" s="205" t="s">
        <v>5999</v>
      </c>
      <c r="H233" s="204" t="s">
        <v>258</v>
      </c>
      <c r="I233" s="204" t="s">
        <v>11</v>
      </c>
      <c r="J233" s="205" t="s">
        <v>5997</v>
      </c>
      <c r="K233" s="206">
        <v>12600</v>
      </c>
      <c r="L233" s="206"/>
      <c r="M233" s="159">
        <f t="shared" si="50"/>
        <v>0</v>
      </c>
      <c r="N233" s="159"/>
      <c r="O233" s="159"/>
      <c r="P233" s="159"/>
      <c r="Q233" s="159"/>
      <c r="R233" s="159"/>
      <c r="S233" s="149" t="s">
        <v>5993</v>
      </c>
      <c r="T233" s="149" t="s">
        <v>5994</v>
      </c>
      <c r="U233" s="202" t="s">
        <v>5995</v>
      </c>
      <c r="V233" s="204">
        <v>1</v>
      </c>
      <c r="W233" s="203" t="s">
        <v>5104</v>
      </c>
      <c r="X233" s="204" t="s">
        <v>5222</v>
      </c>
      <c r="Y233" s="206">
        <v>15012</v>
      </c>
      <c r="Z233" s="207">
        <v>2000</v>
      </c>
      <c r="AA233" s="207">
        <f t="shared" si="51"/>
        <v>25200000</v>
      </c>
      <c r="AB233" s="157">
        <v>2000</v>
      </c>
      <c r="AC233" s="158">
        <f t="shared" si="49"/>
        <v>2000</v>
      </c>
      <c r="AD233" s="159">
        <f t="shared" si="52"/>
        <v>0</v>
      </c>
      <c r="AE233" s="160"/>
      <c r="AF233" s="160">
        <f t="shared" si="53"/>
        <v>0</v>
      </c>
      <c r="AG233" s="165"/>
      <c r="AH233" s="161">
        <f t="shared" si="54"/>
        <v>0</v>
      </c>
      <c r="AI233" s="162"/>
      <c r="AJ233" s="162">
        <f t="shared" si="55"/>
        <v>0</v>
      </c>
      <c r="AK233" s="164"/>
      <c r="AL233" s="164">
        <f t="shared" si="56"/>
        <v>0</v>
      </c>
      <c r="AM233" s="165"/>
      <c r="AN233" s="165">
        <f t="shared" si="57"/>
        <v>0</v>
      </c>
      <c r="AO233" s="166">
        <v>0</v>
      </c>
      <c r="AP233" s="166">
        <f t="shared" si="58"/>
        <v>0</v>
      </c>
      <c r="AQ233" s="162"/>
      <c r="AR233" s="162">
        <f t="shared" si="59"/>
        <v>0</v>
      </c>
      <c r="AS233" s="173"/>
      <c r="AT233" s="167">
        <f t="shared" si="60"/>
        <v>0</v>
      </c>
      <c r="AU233" s="163"/>
      <c r="AV233" s="163">
        <f t="shared" si="61"/>
        <v>0</v>
      </c>
      <c r="AW233" s="168"/>
      <c r="AX233" s="168">
        <f t="shared" si="62"/>
        <v>0</v>
      </c>
      <c r="AY233" s="170"/>
      <c r="AZ233" s="170">
        <f t="shared" si="63"/>
        <v>0</v>
      </c>
      <c r="BA233" s="166"/>
      <c r="BB233" s="166">
        <f t="shared" si="64"/>
        <v>0</v>
      </c>
    </row>
    <row r="234" spans="1:54" ht="112.5">
      <c r="A234" s="172" t="s">
        <v>6000</v>
      </c>
      <c r="B234" s="203" t="s">
        <v>1330</v>
      </c>
      <c r="C234" s="203"/>
      <c r="D234" s="203"/>
      <c r="E234" s="203" t="s">
        <v>2481</v>
      </c>
      <c r="F234" s="205" t="s">
        <v>6002</v>
      </c>
      <c r="G234" s="205" t="s">
        <v>6003</v>
      </c>
      <c r="H234" s="204" t="s">
        <v>1580</v>
      </c>
      <c r="I234" s="204" t="s">
        <v>520</v>
      </c>
      <c r="J234" s="205" t="s">
        <v>6001</v>
      </c>
      <c r="K234" s="206">
        <v>8900</v>
      </c>
      <c r="L234" s="206"/>
      <c r="M234" s="159">
        <f t="shared" si="50"/>
        <v>600</v>
      </c>
      <c r="N234" s="159"/>
      <c r="O234" s="159"/>
      <c r="P234" s="159"/>
      <c r="Q234" s="159"/>
      <c r="R234" s="159"/>
      <c r="S234" s="209" t="s">
        <v>5848</v>
      </c>
      <c r="T234" s="203" t="s">
        <v>5849</v>
      </c>
      <c r="U234" s="202" t="s">
        <v>3990</v>
      </c>
      <c r="V234" s="204">
        <v>1</v>
      </c>
      <c r="W234" s="203" t="s">
        <v>5104</v>
      </c>
      <c r="X234" s="204" t="s">
        <v>5222</v>
      </c>
      <c r="Y234" s="206">
        <v>9000</v>
      </c>
      <c r="Z234" s="207">
        <v>5000</v>
      </c>
      <c r="AA234" s="207">
        <f t="shared" si="51"/>
        <v>44500000</v>
      </c>
      <c r="AB234" s="157">
        <v>5000</v>
      </c>
      <c r="AC234" s="158">
        <f t="shared" si="49"/>
        <v>4400</v>
      </c>
      <c r="AD234" s="159">
        <f t="shared" si="52"/>
        <v>5340000</v>
      </c>
      <c r="AE234" s="160"/>
      <c r="AF234" s="160">
        <f t="shared" si="53"/>
        <v>0</v>
      </c>
      <c r="AG234" s="165"/>
      <c r="AH234" s="161">
        <f t="shared" si="54"/>
        <v>0</v>
      </c>
      <c r="AI234" s="162"/>
      <c r="AJ234" s="162">
        <f t="shared" si="55"/>
        <v>0</v>
      </c>
      <c r="AK234" s="164"/>
      <c r="AL234" s="164">
        <f t="shared" si="56"/>
        <v>0</v>
      </c>
      <c r="AM234" s="165">
        <v>300</v>
      </c>
      <c r="AN234" s="165">
        <f t="shared" si="57"/>
        <v>2670000</v>
      </c>
      <c r="AO234" s="166">
        <v>0</v>
      </c>
      <c r="AP234" s="166">
        <f t="shared" si="58"/>
        <v>0</v>
      </c>
      <c r="AQ234" s="162"/>
      <c r="AR234" s="162">
        <f t="shared" si="59"/>
        <v>0</v>
      </c>
      <c r="AS234" s="173">
        <v>300</v>
      </c>
      <c r="AT234" s="167">
        <f t="shared" si="60"/>
        <v>2670000</v>
      </c>
      <c r="AU234" s="163"/>
      <c r="AV234" s="163">
        <f t="shared" si="61"/>
        <v>0</v>
      </c>
      <c r="AW234" s="168"/>
      <c r="AX234" s="168">
        <f t="shared" si="62"/>
        <v>0</v>
      </c>
      <c r="AY234" s="170"/>
      <c r="AZ234" s="170">
        <f t="shared" si="63"/>
        <v>0</v>
      </c>
      <c r="BA234" s="166"/>
      <c r="BB234" s="166">
        <f t="shared" si="64"/>
        <v>0</v>
      </c>
    </row>
    <row r="235" spans="1:54" ht="31.5">
      <c r="A235" s="148" t="s">
        <v>6004</v>
      </c>
      <c r="B235" s="203" t="s">
        <v>6006</v>
      </c>
      <c r="C235" s="203"/>
      <c r="D235" s="203"/>
      <c r="E235" s="203" t="s">
        <v>6008</v>
      </c>
      <c r="F235" s="205" t="s">
        <v>6010</v>
      </c>
      <c r="G235" s="205" t="s">
        <v>6011</v>
      </c>
      <c r="H235" s="204" t="s">
        <v>6007</v>
      </c>
      <c r="I235" s="204" t="s">
        <v>11</v>
      </c>
      <c r="J235" s="205" t="s">
        <v>6009</v>
      </c>
      <c r="K235" s="206">
        <v>13986</v>
      </c>
      <c r="L235" s="206"/>
      <c r="M235" s="159">
        <f t="shared" si="50"/>
        <v>0</v>
      </c>
      <c r="N235" s="159"/>
      <c r="O235" s="159"/>
      <c r="P235" s="159"/>
      <c r="Q235" s="159"/>
      <c r="R235" s="159"/>
      <c r="S235" s="150" t="s">
        <v>5270</v>
      </c>
      <c r="T235" s="150" t="s">
        <v>5271</v>
      </c>
      <c r="U235" s="202" t="s">
        <v>6005</v>
      </c>
      <c r="V235" s="204">
        <v>1</v>
      </c>
      <c r="W235" s="203" t="s">
        <v>253</v>
      </c>
      <c r="X235" s="204" t="s">
        <v>6012</v>
      </c>
      <c r="Y235" s="206">
        <v>15200</v>
      </c>
      <c r="Z235" s="207">
        <v>20000</v>
      </c>
      <c r="AA235" s="207">
        <f t="shared" si="51"/>
        <v>279720000</v>
      </c>
      <c r="AB235" s="157">
        <v>20000</v>
      </c>
      <c r="AC235" s="158">
        <f t="shared" si="49"/>
        <v>20000</v>
      </c>
      <c r="AD235" s="159">
        <f t="shared" si="52"/>
        <v>0</v>
      </c>
      <c r="AE235" s="160"/>
      <c r="AF235" s="160">
        <f t="shared" si="53"/>
        <v>0</v>
      </c>
      <c r="AG235" s="165"/>
      <c r="AH235" s="161">
        <f t="shared" si="54"/>
        <v>0</v>
      </c>
      <c r="AI235" s="162"/>
      <c r="AJ235" s="162">
        <f t="shared" si="55"/>
        <v>0</v>
      </c>
      <c r="AK235" s="164"/>
      <c r="AL235" s="164">
        <f t="shared" si="56"/>
        <v>0</v>
      </c>
      <c r="AM235" s="165"/>
      <c r="AN235" s="165">
        <f t="shared" si="57"/>
        <v>0</v>
      </c>
      <c r="AO235" s="166">
        <v>0</v>
      </c>
      <c r="AP235" s="166">
        <f t="shared" si="58"/>
        <v>0</v>
      </c>
      <c r="AQ235" s="162"/>
      <c r="AR235" s="162">
        <f t="shared" si="59"/>
        <v>0</v>
      </c>
      <c r="AS235" s="173"/>
      <c r="AT235" s="167">
        <f t="shared" si="60"/>
        <v>0</v>
      </c>
      <c r="AU235" s="163"/>
      <c r="AV235" s="163">
        <f t="shared" si="61"/>
        <v>0</v>
      </c>
      <c r="AW235" s="168"/>
      <c r="AX235" s="168">
        <f t="shared" si="62"/>
        <v>0</v>
      </c>
      <c r="AY235" s="170"/>
      <c r="AZ235" s="170">
        <f t="shared" si="63"/>
        <v>0</v>
      </c>
      <c r="BA235" s="166"/>
      <c r="BB235" s="166">
        <f t="shared" si="64"/>
        <v>0</v>
      </c>
    </row>
    <row r="236" spans="1:54" s="131" customFormat="1" ht="31.5">
      <c r="A236" s="148" t="s">
        <v>6013</v>
      </c>
      <c r="B236" s="203" t="s">
        <v>4011</v>
      </c>
      <c r="C236" s="203"/>
      <c r="D236" s="203"/>
      <c r="E236" s="203" t="s">
        <v>4010</v>
      </c>
      <c r="F236" s="205" t="s">
        <v>6015</v>
      </c>
      <c r="G236" s="205" t="s">
        <v>6016</v>
      </c>
      <c r="H236" s="204" t="s">
        <v>4012</v>
      </c>
      <c r="I236" s="204" t="s">
        <v>3670</v>
      </c>
      <c r="J236" s="205" t="s">
        <v>6014</v>
      </c>
      <c r="K236" s="206">
        <v>47500</v>
      </c>
      <c r="L236" s="206"/>
      <c r="M236" s="159">
        <f t="shared" si="50"/>
        <v>80</v>
      </c>
      <c r="N236" s="159"/>
      <c r="O236" s="159"/>
      <c r="P236" s="159"/>
      <c r="Q236" s="159"/>
      <c r="R236" s="159"/>
      <c r="S236" s="149" t="s">
        <v>5099</v>
      </c>
      <c r="T236" s="150" t="s">
        <v>5100</v>
      </c>
      <c r="U236" s="202" t="s">
        <v>4009</v>
      </c>
      <c r="V236" s="204">
        <v>1</v>
      </c>
      <c r="W236" s="203" t="s">
        <v>5108</v>
      </c>
      <c r="X236" s="204" t="s">
        <v>5179</v>
      </c>
      <c r="Y236" s="206">
        <v>47700</v>
      </c>
      <c r="Z236" s="207">
        <v>2500</v>
      </c>
      <c r="AA236" s="207">
        <f t="shared" si="51"/>
        <v>118750000</v>
      </c>
      <c r="AB236" s="157">
        <v>2500</v>
      </c>
      <c r="AC236" s="158">
        <f t="shared" ref="AC236:AC299" si="65">AB236-M236</f>
        <v>2420</v>
      </c>
      <c r="AD236" s="159">
        <f t="shared" si="52"/>
        <v>3800000</v>
      </c>
      <c r="AE236" s="160"/>
      <c r="AF236" s="160">
        <f t="shared" si="53"/>
        <v>0</v>
      </c>
      <c r="AG236" s="165">
        <v>30</v>
      </c>
      <c r="AH236" s="161">
        <f t="shared" si="54"/>
        <v>1425000</v>
      </c>
      <c r="AI236" s="162"/>
      <c r="AJ236" s="162">
        <f t="shared" si="55"/>
        <v>0</v>
      </c>
      <c r="AK236" s="164"/>
      <c r="AL236" s="164">
        <f t="shared" si="56"/>
        <v>0</v>
      </c>
      <c r="AM236" s="165"/>
      <c r="AN236" s="165">
        <f t="shared" si="57"/>
        <v>0</v>
      </c>
      <c r="AO236" s="166">
        <v>0</v>
      </c>
      <c r="AP236" s="166">
        <f t="shared" si="58"/>
        <v>0</v>
      </c>
      <c r="AQ236" s="162"/>
      <c r="AR236" s="162">
        <f t="shared" si="59"/>
        <v>0</v>
      </c>
      <c r="AS236" s="173">
        <v>50</v>
      </c>
      <c r="AT236" s="167">
        <f t="shared" si="60"/>
        <v>2375000</v>
      </c>
      <c r="AU236" s="163"/>
      <c r="AV236" s="163">
        <f t="shared" si="61"/>
        <v>0</v>
      </c>
      <c r="AW236" s="168"/>
      <c r="AX236" s="168">
        <f t="shared" si="62"/>
        <v>0</v>
      </c>
      <c r="AY236" s="170"/>
      <c r="AZ236" s="170">
        <f t="shared" si="63"/>
        <v>0</v>
      </c>
      <c r="BA236" s="166"/>
      <c r="BB236" s="166">
        <f t="shared" si="64"/>
        <v>0</v>
      </c>
    </row>
    <row r="237" spans="1:54" s="131" customFormat="1" ht="47.25">
      <c r="A237" s="172" t="s">
        <v>6017</v>
      </c>
      <c r="B237" s="203" t="s">
        <v>1668</v>
      </c>
      <c r="C237" s="203"/>
      <c r="D237" s="203"/>
      <c r="E237" s="203" t="s">
        <v>4121</v>
      </c>
      <c r="F237" s="205" t="s">
        <v>6019</v>
      </c>
      <c r="G237" s="205" t="s">
        <v>6020</v>
      </c>
      <c r="H237" s="204" t="s">
        <v>869</v>
      </c>
      <c r="I237" s="204" t="s">
        <v>11</v>
      </c>
      <c r="J237" s="205" t="s">
        <v>6018</v>
      </c>
      <c r="K237" s="206">
        <v>4620</v>
      </c>
      <c r="L237" s="206"/>
      <c r="M237" s="159">
        <f t="shared" si="50"/>
        <v>6000</v>
      </c>
      <c r="N237" s="159"/>
      <c r="O237" s="159"/>
      <c r="P237" s="159"/>
      <c r="Q237" s="159"/>
      <c r="R237" s="159"/>
      <c r="S237" s="149" t="s">
        <v>5099</v>
      </c>
      <c r="T237" s="150" t="s">
        <v>5100</v>
      </c>
      <c r="U237" s="202" t="s">
        <v>4120</v>
      </c>
      <c r="V237" s="204">
        <v>1</v>
      </c>
      <c r="W237" s="203" t="s">
        <v>5111</v>
      </c>
      <c r="X237" s="204" t="s">
        <v>6021</v>
      </c>
      <c r="Y237" s="206">
        <v>4620</v>
      </c>
      <c r="Z237" s="207">
        <v>20000</v>
      </c>
      <c r="AA237" s="207">
        <f t="shared" si="51"/>
        <v>92400000</v>
      </c>
      <c r="AB237" s="157">
        <v>20000</v>
      </c>
      <c r="AC237" s="158">
        <f t="shared" si="65"/>
        <v>14000</v>
      </c>
      <c r="AD237" s="159">
        <f t="shared" si="52"/>
        <v>27720000</v>
      </c>
      <c r="AE237" s="160"/>
      <c r="AF237" s="160">
        <f t="shared" si="53"/>
        <v>0</v>
      </c>
      <c r="AG237" s="165"/>
      <c r="AH237" s="161">
        <f t="shared" si="54"/>
        <v>0</v>
      </c>
      <c r="AI237" s="162"/>
      <c r="AJ237" s="162">
        <f t="shared" si="55"/>
        <v>0</v>
      </c>
      <c r="AK237" s="163"/>
      <c r="AL237" s="164">
        <f t="shared" si="56"/>
        <v>0</v>
      </c>
      <c r="AM237" s="161">
        <v>6000</v>
      </c>
      <c r="AN237" s="165">
        <f t="shared" si="57"/>
        <v>27720000</v>
      </c>
      <c r="AO237" s="160">
        <v>0</v>
      </c>
      <c r="AP237" s="166">
        <f t="shared" si="58"/>
        <v>0</v>
      </c>
      <c r="AQ237" s="162"/>
      <c r="AR237" s="162">
        <f t="shared" si="59"/>
        <v>0</v>
      </c>
      <c r="AS237" s="173"/>
      <c r="AT237" s="167">
        <f t="shared" si="60"/>
        <v>0</v>
      </c>
      <c r="AU237" s="163"/>
      <c r="AV237" s="163">
        <f t="shared" si="61"/>
        <v>0</v>
      </c>
      <c r="AW237" s="162"/>
      <c r="AX237" s="168">
        <f t="shared" si="62"/>
        <v>0</v>
      </c>
      <c r="AY237" s="169"/>
      <c r="AZ237" s="170">
        <f t="shared" si="63"/>
        <v>0</v>
      </c>
      <c r="BA237" s="160"/>
      <c r="BB237" s="166">
        <f t="shared" si="64"/>
        <v>0</v>
      </c>
    </row>
    <row r="238" spans="1:54" s="131" customFormat="1">
      <c r="A238" s="148" t="s">
        <v>6022</v>
      </c>
      <c r="B238" s="203" t="s">
        <v>4958</v>
      </c>
      <c r="C238" s="203"/>
      <c r="D238" s="203"/>
      <c r="E238" s="203" t="s">
        <v>738</v>
      </c>
      <c r="F238" s="205" t="s">
        <v>741</v>
      </c>
      <c r="G238" s="205" t="s">
        <v>5833</v>
      </c>
      <c r="H238" s="204" t="s">
        <v>1016</v>
      </c>
      <c r="I238" s="204" t="s">
        <v>520</v>
      </c>
      <c r="J238" s="205" t="s">
        <v>5316</v>
      </c>
      <c r="K238" s="206">
        <v>27930</v>
      </c>
      <c r="L238" s="206"/>
      <c r="M238" s="159">
        <f t="shared" si="50"/>
        <v>0</v>
      </c>
      <c r="N238" s="159"/>
      <c r="O238" s="159"/>
      <c r="P238" s="159"/>
      <c r="Q238" s="159"/>
      <c r="R238" s="159"/>
      <c r="S238" s="149" t="s">
        <v>5830</v>
      </c>
      <c r="T238" s="149" t="s">
        <v>5831</v>
      </c>
      <c r="U238" s="202" t="s">
        <v>4957</v>
      </c>
      <c r="V238" s="204">
        <v>1</v>
      </c>
      <c r="W238" s="203" t="s">
        <v>5104</v>
      </c>
      <c r="X238" s="204" t="s">
        <v>5185</v>
      </c>
      <c r="Y238" s="206">
        <v>28000</v>
      </c>
      <c r="Z238" s="207">
        <v>2000</v>
      </c>
      <c r="AA238" s="207">
        <f t="shared" si="51"/>
        <v>55860000</v>
      </c>
      <c r="AB238" s="157">
        <v>2000</v>
      </c>
      <c r="AC238" s="158">
        <f t="shared" si="65"/>
        <v>2000</v>
      </c>
      <c r="AD238" s="159">
        <f t="shared" si="52"/>
        <v>0</v>
      </c>
      <c r="AE238" s="160"/>
      <c r="AF238" s="160">
        <f t="shared" si="53"/>
        <v>0</v>
      </c>
      <c r="AG238" s="165"/>
      <c r="AH238" s="161">
        <f t="shared" si="54"/>
        <v>0</v>
      </c>
      <c r="AI238" s="162"/>
      <c r="AJ238" s="162">
        <f t="shared" si="55"/>
        <v>0</v>
      </c>
      <c r="AK238" s="163"/>
      <c r="AL238" s="164">
        <f t="shared" si="56"/>
        <v>0</v>
      </c>
      <c r="AM238" s="161"/>
      <c r="AN238" s="165">
        <f t="shared" si="57"/>
        <v>0</v>
      </c>
      <c r="AO238" s="160">
        <v>0</v>
      </c>
      <c r="AP238" s="166">
        <f t="shared" si="58"/>
        <v>0</v>
      </c>
      <c r="AQ238" s="162"/>
      <c r="AR238" s="162">
        <f t="shared" si="59"/>
        <v>0</v>
      </c>
      <c r="AS238" s="173"/>
      <c r="AT238" s="167">
        <f t="shared" si="60"/>
        <v>0</v>
      </c>
      <c r="AU238" s="163"/>
      <c r="AV238" s="163">
        <f t="shared" si="61"/>
        <v>0</v>
      </c>
      <c r="AW238" s="162"/>
      <c r="AX238" s="168">
        <f t="shared" si="62"/>
        <v>0</v>
      </c>
      <c r="AY238" s="169"/>
      <c r="AZ238" s="170">
        <f t="shared" si="63"/>
        <v>0</v>
      </c>
      <c r="BA238" s="160"/>
      <c r="BB238" s="166">
        <f t="shared" si="64"/>
        <v>0</v>
      </c>
    </row>
    <row r="239" spans="1:54" s="131" customFormat="1" ht="31.5">
      <c r="A239" s="148" t="s">
        <v>6023</v>
      </c>
      <c r="B239" s="203" t="s">
        <v>2513</v>
      </c>
      <c r="C239" s="203"/>
      <c r="D239" s="203"/>
      <c r="E239" s="203" t="s">
        <v>4051</v>
      </c>
      <c r="F239" s="205" t="s">
        <v>6025</v>
      </c>
      <c r="G239" s="205" t="s">
        <v>5814</v>
      </c>
      <c r="H239" s="204" t="s">
        <v>4052</v>
      </c>
      <c r="I239" s="204" t="s">
        <v>891</v>
      </c>
      <c r="J239" s="205" t="s">
        <v>6024</v>
      </c>
      <c r="K239" s="206">
        <v>94999</v>
      </c>
      <c r="L239" s="206"/>
      <c r="M239" s="159">
        <f t="shared" si="50"/>
        <v>12</v>
      </c>
      <c r="N239" s="159"/>
      <c r="O239" s="159"/>
      <c r="P239" s="159"/>
      <c r="Q239" s="159"/>
      <c r="R239" s="159"/>
      <c r="S239" s="150" t="s">
        <v>5118</v>
      </c>
      <c r="T239" s="150" t="s">
        <v>5119</v>
      </c>
      <c r="U239" s="202" t="s">
        <v>4050</v>
      </c>
      <c r="V239" s="204">
        <v>1</v>
      </c>
      <c r="W239" s="203" t="s">
        <v>253</v>
      </c>
      <c r="X239" s="204" t="s">
        <v>5179</v>
      </c>
      <c r="Y239" s="206">
        <v>95000</v>
      </c>
      <c r="Z239" s="207">
        <v>300</v>
      </c>
      <c r="AA239" s="207">
        <f t="shared" si="51"/>
        <v>28499700</v>
      </c>
      <c r="AB239" s="157">
        <v>300</v>
      </c>
      <c r="AC239" s="158">
        <f t="shared" si="65"/>
        <v>288</v>
      </c>
      <c r="AD239" s="159">
        <f t="shared" si="52"/>
        <v>1139988</v>
      </c>
      <c r="AE239" s="160"/>
      <c r="AF239" s="160">
        <f t="shared" si="53"/>
        <v>0</v>
      </c>
      <c r="AG239" s="165"/>
      <c r="AH239" s="161">
        <f t="shared" si="54"/>
        <v>0</v>
      </c>
      <c r="AI239" s="162"/>
      <c r="AJ239" s="162">
        <f t="shared" si="55"/>
        <v>0</v>
      </c>
      <c r="AK239" s="163"/>
      <c r="AL239" s="164">
        <f t="shared" si="56"/>
        <v>0</v>
      </c>
      <c r="AM239" s="161">
        <v>12</v>
      </c>
      <c r="AN239" s="165">
        <f t="shared" si="57"/>
        <v>1139988</v>
      </c>
      <c r="AO239" s="160">
        <v>0</v>
      </c>
      <c r="AP239" s="166">
        <f t="shared" si="58"/>
        <v>0</v>
      </c>
      <c r="AQ239" s="162"/>
      <c r="AR239" s="162">
        <f t="shared" si="59"/>
        <v>0</v>
      </c>
      <c r="AS239" s="173"/>
      <c r="AT239" s="167">
        <f t="shared" si="60"/>
        <v>0</v>
      </c>
      <c r="AU239" s="163"/>
      <c r="AV239" s="163">
        <f t="shared" si="61"/>
        <v>0</v>
      </c>
      <c r="AW239" s="162"/>
      <c r="AX239" s="168">
        <f t="shared" si="62"/>
        <v>0</v>
      </c>
      <c r="AY239" s="169"/>
      <c r="AZ239" s="170">
        <f t="shared" si="63"/>
        <v>0</v>
      </c>
      <c r="BA239" s="160"/>
      <c r="BB239" s="166">
        <f t="shared" si="64"/>
        <v>0</v>
      </c>
    </row>
    <row r="240" spans="1:54" s="131" customFormat="1" ht="31.5">
      <c r="A240" s="172" t="s">
        <v>6026</v>
      </c>
      <c r="B240" s="203" t="s">
        <v>765</v>
      </c>
      <c r="C240" s="203"/>
      <c r="D240" s="203"/>
      <c r="E240" s="203" t="s">
        <v>3631</v>
      </c>
      <c r="F240" s="205" t="s">
        <v>6028</v>
      </c>
      <c r="G240" s="205" t="s">
        <v>6029</v>
      </c>
      <c r="H240" s="204" t="s">
        <v>767</v>
      </c>
      <c r="I240" s="204" t="s">
        <v>520</v>
      </c>
      <c r="J240" s="205" t="s">
        <v>6027</v>
      </c>
      <c r="K240" s="206">
        <v>9430</v>
      </c>
      <c r="L240" s="206"/>
      <c r="M240" s="159">
        <f t="shared" si="50"/>
        <v>0</v>
      </c>
      <c r="N240" s="159"/>
      <c r="O240" s="159"/>
      <c r="P240" s="159"/>
      <c r="Q240" s="159"/>
      <c r="R240" s="159"/>
      <c r="S240" s="149" t="s">
        <v>5830</v>
      </c>
      <c r="T240" s="149" t="s">
        <v>5831</v>
      </c>
      <c r="U240" s="202" t="s">
        <v>4167</v>
      </c>
      <c r="V240" s="204">
        <v>1</v>
      </c>
      <c r="W240" s="203" t="s">
        <v>5108</v>
      </c>
      <c r="X240" s="204" t="s">
        <v>5222</v>
      </c>
      <c r="Y240" s="206">
        <v>11288</v>
      </c>
      <c r="Z240" s="207">
        <v>500</v>
      </c>
      <c r="AA240" s="207">
        <f t="shared" si="51"/>
        <v>4715000</v>
      </c>
      <c r="AB240" s="157">
        <v>500</v>
      </c>
      <c r="AC240" s="158">
        <f t="shared" si="65"/>
        <v>500</v>
      </c>
      <c r="AD240" s="159">
        <f t="shared" si="52"/>
        <v>0</v>
      </c>
      <c r="AE240" s="160"/>
      <c r="AF240" s="160">
        <f t="shared" si="53"/>
        <v>0</v>
      </c>
      <c r="AG240" s="165"/>
      <c r="AH240" s="161">
        <f t="shared" si="54"/>
        <v>0</v>
      </c>
      <c r="AI240" s="162"/>
      <c r="AJ240" s="162">
        <f t="shared" si="55"/>
        <v>0</v>
      </c>
      <c r="AK240" s="164"/>
      <c r="AL240" s="164">
        <f t="shared" si="56"/>
        <v>0</v>
      </c>
      <c r="AM240" s="165"/>
      <c r="AN240" s="165">
        <f t="shared" si="57"/>
        <v>0</v>
      </c>
      <c r="AO240" s="166">
        <v>0</v>
      </c>
      <c r="AP240" s="166">
        <f t="shared" si="58"/>
        <v>0</v>
      </c>
      <c r="AQ240" s="162"/>
      <c r="AR240" s="162">
        <f t="shared" si="59"/>
        <v>0</v>
      </c>
      <c r="AS240" s="173"/>
      <c r="AT240" s="167">
        <f t="shared" si="60"/>
        <v>0</v>
      </c>
      <c r="AU240" s="163"/>
      <c r="AV240" s="163">
        <f t="shared" si="61"/>
        <v>0</v>
      </c>
      <c r="AW240" s="168"/>
      <c r="AX240" s="168">
        <f t="shared" si="62"/>
        <v>0</v>
      </c>
      <c r="AY240" s="170"/>
      <c r="AZ240" s="170">
        <f t="shared" si="63"/>
        <v>0</v>
      </c>
      <c r="BA240" s="166"/>
      <c r="BB240" s="166">
        <f t="shared" si="64"/>
        <v>0</v>
      </c>
    </row>
    <row r="241" spans="1:54" s="131" customFormat="1" ht="31.5">
      <c r="A241" s="148" t="s">
        <v>6030</v>
      </c>
      <c r="B241" s="203" t="s">
        <v>765</v>
      </c>
      <c r="C241" s="203"/>
      <c r="D241" s="203"/>
      <c r="E241" s="203" t="s">
        <v>6032</v>
      </c>
      <c r="F241" s="205" t="s">
        <v>6034</v>
      </c>
      <c r="G241" s="205" t="s">
        <v>6003</v>
      </c>
      <c r="H241" s="204" t="s">
        <v>770</v>
      </c>
      <c r="I241" s="204" t="s">
        <v>520</v>
      </c>
      <c r="J241" s="205" t="s">
        <v>6033</v>
      </c>
      <c r="K241" s="206">
        <v>19300</v>
      </c>
      <c r="L241" s="206"/>
      <c r="M241" s="159">
        <f t="shared" si="50"/>
        <v>0</v>
      </c>
      <c r="N241" s="159"/>
      <c r="O241" s="159"/>
      <c r="P241" s="159"/>
      <c r="Q241" s="159"/>
      <c r="R241" s="159"/>
      <c r="S241" s="149" t="s">
        <v>5830</v>
      </c>
      <c r="T241" s="149" t="s">
        <v>5831</v>
      </c>
      <c r="U241" s="202" t="s">
        <v>6031</v>
      </c>
      <c r="V241" s="204">
        <v>1</v>
      </c>
      <c r="W241" s="203" t="s">
        <v>5108</v>
      </c>
      <c r="X241" s="204" t="s">
        <v>5222</v>
      </c>
      <c r="Y241" s="206">
        <v>21546</v>
      </c>
      <c r="Z241" s="207">
        <v>500</v>
      </c>
      <c r="AA241" s="207">
        <f t="shared" si="51"/>
        <v>9650000</v>
      </c>
      <c r="AB241" s="157">
        <v>500</v>
      </c>
      <c r="AC241" s="158">
        <f t="shared" si="65"/>
        <v>500</v>
      </c>
      <c r="AD241" s="159">
        <f t="shared" si="52"/>
        <v>0</v>
      </c>
      <c r="AE241" s="160"/>
      <c r="AF241" s="160">
        <f t="shared" si="53"/>
        <v>0</v>
      </c>
      <c r="AG241" s="165"/>
      <c r="AH241" s="161">
        <f t="shared" si="54"/>
        <v>0</v>
      </c>
      <c r="AI241" s="162"/>
      <c r="AJ241" s="162">
        <f t="shared" si="55"/>
        <v>0</v>
      </c>
      <c r="AK241" s="164"/>
      <c r="AL241" s="164">
        <f t="shared" si="56"/>
        <v>0</v>
      </c>
      <c r="AM241" s="165"/>
      <c r="AN241" s="165">
        <f t="shared" si="57"/>
        <v>0</v>
      </c>
      <c r="AO241" s="166">
        <v>0</v>
      </c>
      <c r="AP241" s="166">
        <f t="shared" si="58"/>
        <v>0</v>
      </c>
      <c r="AQ241" s="162"/>
      <c r="AR241" s="162">
        <f t="shared" si="59"/>
        <v>0</v>
      </c>
      <c r="AS241" s="173"/>
      <c r="AT241" s="167">
        <f t="shared" si="60"/>
        <v>0</v>
      </c>
      <c r="AU241" s="163"/>
      <c r="AV241" s="163">
        <f t="shared" si="61"/>
        <v>0</v>
      </c>
      <c r="AW241" s="168"/>
      <c r="AX241" s="168">
        <f t="shared" si="62"/>
        <v>0</v>
      </c>
      <c r="AY241" s="170"/>
      <c r="AZ241" s="170">
        <f t="shared" si="63"/>
        <v>0</v>
      </c>
      <c r="BA241" s="166"/>
      <c r="BB241" s="166">
        <f t="shared" si="64"/>
        <v>0</v>
      </c>
    </row>
    <row r="242" spans="1:54" s="131" customFormat="1" ht="31.5">
      <c r="A242" s="148" t="s">
        <v>6035</v>
      </c>
      <c r="B242" s="203" t="s">
        <v>6037</v>
      </c>
      <c r="C242" s="203"/>
      <c r="D242" s="203"/>
      <c r="E242" s="203" t="s">
        <v>6038</v>
      </c>
      <c r="F242" s="205" t="s">
        <v>6040</v>
      </c>
      <c r="G242" s="205" t="s">
        <v>458</v>
      </c>
      <c r="H242" s="204" t="s">
        <v>730</v>
      </c>
      <c r="I242" s="204" t="s">
        <v>11</v>
      </c>
      <c r="J242" s="205" t="s">
        <v>6039</v>
      </c>
      <c r="K242" s="206">
        <v>4900</v>
      </c>
      <c r="L242" s="206"/>
      <c r="M242" s="159">
        <f t="shared" si="50"/>
        <v>0</v>
      </c>
      <c r="N242" s="159"/>
      <c r="O242" s="159"/>
      <c r="P242" s="159"/>
      <c r="Q242" s="159"/>
      <c r="R242" s="159"/>
      <c r="S242" s="149" t="s">
        <v>5219</v>
      </c>
      <c r="T242" s="149" t="s">
        <v>5220</v>
      </c>
      <c r="U242" s="202" t="s">
        <v>6036</v>
      </c>
      <c r="V242" s="204">
        <v>1</v>
      </c>
      <c r="W242" s="203" t="s">
        <v>5108</v>
      </c>
      <c r="X242" s="204" t="s">
        <v>5222</v>
      </c>
      <c r="Y242" s="206">
        <v>4900</v>
      </c>
      <c r="Z242" s="207">
        <v>20000</v>
      </c>
      <c r="AA242" s="207">
        <f t="shared" si="51"/>
        <v>98000000</v>
      </c>
      <c r="AB242" s="157">
        <v>20000</v>
      </c>
      <c r="AC242" s="158">
        <f t="shared" si="65"/>
        <v>20000</v>
      </c>
      <c r="AD242" s="159">
        <f t="shared" si="52"/>
        <v>0</v>
      </c>
      <c r="AE242" s="160"/>
      <c r="AF242" s="160">
        <f t="shared" si="53"/>
        <v>0</v>
      </c>
      <c r="AG242" s="165"/>
      <c r="AH242" s="161">
        <f t="shared" si="54"/>
        <v>0</v>
      </c>
      <c r="AI242" s="162"/>
      <c r="AJ242" s="162">
        <f t="shared" si="55"/>
        <v>0</v>
      </c>
      <c r="AK242" s="164"/>
      <c r="AL242" s="164">
        <f t="shared" si="56"/>
        <v>0</v>
      </c>
      <c r="AM242" s="165"/>
      <c r="AN242" s="165">
        <f t="shared" si="57"/>
        <v>0</v>
      </c>
      <c r="AO242" s="166">
        <v>0</v>
      </c>
      <c r="AP242" s="166">
        <f t="shared" si="58"/>
        <v>0</v>
      </c>
      <c r="AQ242" s="162"/>
      <c r="AR242" s="162">
        <f t="shared" si="59"/>
        <v>0</v>
      </c>
      <c r="AS242" s="173"/>
      <c r="AT242" s="167">
        <f t="shared" si="60"/>
        <v>0</v>
      </c>
      <c r="AU242" s="163"/>
      <c r="AV242" s="163">
        <f t="shared" si="61"/>
        <v>0</v>
      </c>
      <c r="AW242" s="168"/>
      <c r="AX242" s="168">
        <f t="shared" si="62"/>
        <v>0</v>
      </c>
      <c r="AY242" s="170"/>
      <c r="AZ242" s="170">
        <f t="shared" si="63"/>
        <v>0</v>
      </c>
      <c r="BA242" s="166"/>
      <c r="BB242" s="166">
        <f t="shared" si="64"/>
        <v>0</v>
      </c>
    </row>
    <row r="243" spans="1:54" s="131" customFormat="1" ht="31.5">
      <c r="A243" s="172" t="s">
        <v>6041</v>
      </c>
      <c r="B243" s="203" t="s">
        <v>1365</v>
      </c>
      <c r="C243" s="203"/>
      <c r="D243" s="203"/>
      <c r="E243" s="203" t="s">
        <v>2103</v>
      </c>
      <c r="F243" s="205" t="s">
        <v>2104</v>
      </c>
      <c r="G243" s="205" t="s">
        <v>2105</v>
      </c>
      <c r="H243" s="204" t="s">
        <v>533</v>
      </c>
      <c r="I243" s="204" t="s">
        <v>520</v>
      </c>
      <c r="J243" s="205" t="s">
        <v>6043</v>
      </c>
      <c r="K243" s="206">
        <v>33000</v>
      </c>
      <c r="L243" s="206"/>
      <c r="M243" s="159">
        <f t="shared" si="50"/>
        <v>0</v>
      </c>
      <c r="N243" s="159"/>
      <c r="O243" s="159"/>
      <c r="P243" s="159"/>
      <c r="Q243" s="159"/>
      <c r="R243" s="159"/>
      <c r="S243" s="150" t="s">
        <v>5118</v>
      </c>
      <c r="T243" s="150" t="s">
        <v>5119</v>
      </c>
      <c r="U243" s="202" t="s">
        <v>6042</v>
      </c>
      <c r="V243" s="204">
        <v>1</v>
      </c>
      <c r="W243" s="203" t="s">
        <v>5104</v>
      </c>
      <c r="X243" s="204" t="s">
        <v>5116</v>
      </c>
      <c r="Y243" s="206">
        <v>34000</v>
      </c>
      <c r="Z243" s="207">
        <v>300</v>
      </c>
      <c r="AA243" s="207">
        <f t="shared" si="51"/>
        <v>9900000</v>
      </c>
      <c r="AB243" s="157">
        <v>300</v>
      </c>
      <c r="AC243" s="158">
        <f t="shared" si="65"/>
        <v>300</v>
      </c>
      <c r="AD243" s="159">
        <f t="shared" si="52"/>
        <v>0</v>
      </c>
      <c r="AE243" s="160"/>
      <c r="AF243" s="160">
        <f t="shared" si="53"/>
        <v>0</v>
      </c>
      <c r="AG243" s="165"/>
      <c r="AH243" s="161">
        <f t="shared" si="54"/>
        <v>0</v>
      </c>
      <c r="AI243" s="162"/>
      <c r="AJ243" s="162">
        <f t="shared" si="55"/>
        <v>0</v>
      </c>
      <c r="AK243" s="164"/>
      <c r="AL243" s="164">
        <f t="shared" si="56"/>
        <v>0</v>
      </c>
      <c r="AM243" s="165"/>
      <c r="AN243" s="165">
        <f t="shared" si="57"/>
        <v>0</v>
      </c>
      <c r="AO243" s="166">
        <v>0</v>
      </c>
      <c r="AP243" s="166">
        <f t="shared" si="58"/>
        <v>0</v>
      </c>
      <c r="AQ243" s="162"/>
      <c r="AR243" s="162">
        <f t="shared" si="59"/>
        <v>0</v>
      </c>
      <c r="AS243" s="173"/>
      <c r="AT243" s="167">
        <f t="shared" si="60"/>
        <v>0</v>
      </c>
      <c r="AU243" s="163"/>
      <c r="AV243" s="163">
        <f t="shared" si="61"/>
        <v>0</v>
      </c>
      <c r="AW243" s="168"/>
      <c r="AX243" s="168">
        <f t="shared" si="62"/>
        <v>0</v>
      </c>
      <c r="AY243" s="170"/>
      <c r="AZ243" s="170">
        <f t="shared" si="63"/>
        <v>0</v>
      </c>
      <c r="BA243" s="166"/>
      <c r="BB243" s="166">
        <f t="shared" si="64"/>
        <v>0</v>
      </c>
    </row>
    <row r="244" spans="1:54" s="131" customFormat="1" ht="31.5">
      <c r="A244" s="148" t="s">
        <v>6044</v>
      </c>
      <c r="B244" s="203" t="s">
        <v>731</v>
      </c>
      <c r="C244" s="203"/>
      <c r="D244" s="203"/>
      <c r="E244" s="203" t="s">
        <v>732</v>
      </c>
      <c r="F244" s="205" t="s">
        <v>735</v>
      </c>
      <c r="G244" s="205" t="s">
        <v>5833</v>
      </c>
      <c r="H244" s="204" t="s">
        <v>6045</v>
      </c>
      <c r="I244" s="204" t="s">
        <v>520</v>
      </c>
      <c r="J244" s="205" t="s">
        <v>6046</v>
      </c>
      <c r="K244" s="206">
        <v>80283</v>
      </c>
      <c r="L244" s="206"/>
      <c r="M244" s="159">
        <f t="shared" si="50"/>
        <v>0</v>
      </c>
      <c r="N244" s="159"/>
      <c r="O244" s="159"/>
      <c r="P244" s="159"/>
      <c r="Q244" s="159"/>
      <c r="R244" s="159"/>
      <c r="S244" s="149" t="s">
        <v>5830</v>
      </c>
      <c r="T244" s="149" t="s">
        <v>5831</v>
      </c>
      <c r="U244" s="202" t="s">
        <v>4086</v>
      </c>
      <c r="V244" s="204">
        <v>1</v>
      </c>
      <c r="W244" s="203" t="s">
        <v>5104</v>
      </c>
      <c r="X244" s="204" t="s">
        <v>5185</v>
      </c>
      <c r="Y244" s="206">
        <v>80300</v>
      </c>
      <c r="Z244" s="207">
        <v>200</v>
      </c>
      <c r="AA244" s="207">
        <f t="shared" si="51"/>
        <v>16056600</v>
      </c>
      <c r="AB244" s="157">
        <v>200</v>
      </c>
      <c r="AC244" s="158">
        <f t="shared" si="65"/>
        <v>200</v>
      </c>
      <c r="AD244" s="159">
        <f t="shared" si="52"/>
        <v>0</v>
      </c>
      <c r="AE244" s="160"/>
      <c r="AF244" s="160">
        <f t="shared" si="53"/>
        <v>0</v>
      </c>
      <c r="AG244" s="165"/>
      <c r="AH244" s="161">
        <f t="shared" si="54"/>
        <v>0</v>
      </c>
      <c r="AI244" s="162"/>
      <c r="AJ244" s="162">
        <f t="shared" si="55"/>
        <v>0</v>
      </c>
      <c r="AK244" s="164"/>
      <c r="AL244" s="164">
        <f t="shared" si="56"/>
        <v>0</v>
      </c>
      <c r="AM244" s="165"/>
      <c r="AN244" s="165">
        <f t="shared" si="57"/>
        <v>0</v>
      </c>
      <c r="AO244" s="166">
        <v>0</v>
      </c>
      <c r="AP244" s="166">
        <f t="shared" si="58"/>
        <v>0</v>
      </c>
      <c r="AQ244" s="162"/>
      <c r="AR244" s="162">
        <f t="shared" si="59"/>
        <v>0</v>
      </c>
      <c r="AS244" s="173"/>
      <c r="AT244" s="167">
        <f t="shared" si="60"/>
        <v>0</v>
      </c>
      <c r="AU244" s="163"/>
      <c r="AV244" s="163">
        <f t="shared" si="61"/>
        <v>0</v>
      </c>
      <c r="AW244" s="168"/>
      <c r="AX244" s="168">
        <f t="shared" si="62"/>
        <v>0</v>
      </c>
      <c r="AY244" s="170"/>
      <c r="AZ244" s="170">
        <f t="shared" si="63"/>
        <v>0</v>
      </c>
      <c r="BA244" s="166"/>
      <c r="BB244" s="166">
        <f t="shared" si="64"/>
        <v>0</v>
      </c>
    </row>
    <row r="245" spans="1:54" s="131" customFormat="1" ht="31.5">
      <c r="A245" s="148" t="s">
        <v>6047</v>
      </c>
      <c r="B245" s="203" t="s">
        <v>592</v>
      </c>
      <c r="C245" s="203"/>
      <c r="D245" s="203"/>
      <c r="E245" s="203" t="s">
        <v>1415</v>
      </c>
      <c r="F245" s="205" t="s">
        <v>1417</v>
      </c>
      <c r="G245" s="205" t="s">
        <v>1418</v>
      </c>
      <c r="H245" s="204" t="s">
        <v>594</v>
      </c>
      <c r="I245" s="204" t="s">
        <v>11</v>
      </c>
      <c r="J245" s="205" t="s">
        <v>6048</v>
      </c>
      <c r="K245" s="206">
        <v>2590</v>
      </c>
      <c r="L245" s="206"/>
      <c r="M245" s="159">
        <f t="shared" si="50"/>
        <v>9960</v>
      </c>
      <c r="N245" s="159"/>
      <c r="O245" s="159"/>
      <c r="P245" s="159"/>
      <c r="Q245" s="159"/>
      <c r="R245" s="159"/>
      <c r="S245" s="149" t="s">
        <v>5206</v>
      </c>
      <c r="T245" s="149" t="s">
        <v>5207</v>
      </c>
      <c r="U245" s="202" t="s">
        <v>4390</v>
      </c>
      <c r="V245" s="204">
        <v>1</v>
      </c>
      <c r="W245" s="203" t="s">
        <v>6049</v>
      </c>
      <c r="X245" s="204" t="s">
        <v>5217</v>
      </c>
      <c r="Y245" s="206">
        <v>2600</v>
      </c>
      <c r="Z245" s="207">
        <v>10000</v>
      </c>
      <c r="AA245" s="207">
        <f t="shared" si="51"/>
        <v>25900000</v>
      </c>
      <c r="AB245" s="157">
        <v>10000</v>
      </c>
      <c r="AC245" s="158">
        <f t="shared" si="65"/>
        <v>40</v>
      </c>
      <c r="AD245" s="159">
        <f t="shared" si="52"/>
        <v>25796400</v>
      </c>
      <c r="AE245" s="160"/>
      <c r="AF245" s="160">
        <f t="shared" si="53"/>
        <v>0</v>
      </c>
      <c r="AG245" s="165"/>
      <c r="AH245" s="161">
        <f t="shared" si="54"/>
        <v>0</v>
      </c>
      <c r="AI245" s="162"/>
      <c r="AJ245" s="162">
        <f t="shared" si="55"/>
        <v>0</v>
      </c>
      <c r="AK245" s="164"/>
      <c r="AL245" s="164">
        <f t="shared" si="56"/>
        <v>0</v>
      </c>
      <c r="AM245" s="165"/>
      <c r="AN245" s="165">
        <f t="shared" si="57"/>
        <v>0</v>
      </c>
      <c r="AO245" s="166">
        <v>0</v>
      </c>
      <c r="AP245" s="166">
        <f t="shared" si="58"/>
        <v>0</v>
      </c>
      <c r="AQ245" s="162"/>
      <c r="AR245" s="162">
        <f t="shared" si="59"/>
        <v>0</v>
      </c>
      <c r="AS245" s="173">
        <v>9960</v>
      </c>
      <c r="AT245" s="167">
        <f t="shared" si="60"/>
        <v>25796400</v>
      </c>
      <c r="AU245" s="163"/>
      <c r="AV245" s="163">
        <f t="shared" si="61"/>
        <v>0</v>
      </c>
      <c r="AW245" s="168"/>
      <c r="AX245" s="168">
        <f t="shared" si="62"/>
        <v>0</v>
      </c>
      <c r="AY245" s="170"/>
      <c r="AZ245" s="170">
        <f t="shared" si="63"/>
        <v>0</v>
      </c>
      <c r="BA245" s="166"/>
      <c r="BB245" s="166">
        <f t="shared" si="64"/>
        <v>0</v>
      </c>
    </row>
    <row r="246" spans="1:54" s="131" customFormat="1" ht="31.5">
      <c r="A246" s="172" t="s">
        <v>6050</v>
      </c>
      <c r="B246" s="203" t="s">
        <v>592</v>
      </c>
      <c r="C246" s="203"/>
      <c r="D246" s="203"/>
      <c r="E246" s="203" t="s">
        <v>6054</v>
      </c>
      <c r="F246" s="205" t="s">
        <v>6056</v>
      </c>
      <c r="G246" s="205" t="s">
        <v>6057</v>
      </c>
      <c r="H246" s="204" t="s">
        <v>235</v>
      </c>
      <c r="I246" s="204" t="s">
        <v>11</v>
      </c>
      <c r="J246" s="205" t="s">
        <v>6055</v>
      </c>
      <c r="K246" s="206">
        <v>1890</v>
      </c>
      <c r="L246" s="206"/>
      <c r="M246" s="159">
        <f t="shared" si="50"/>
        <v>0</v>
      </c>
      <c r="N246" s="159"/>
      <c r="O246" s="159"/>
      <c r="P246" s="159"/>
      <c r="Q246" s="159"/>
      <c r="R246" s="159"/>
      <c r="S246" s="149" t="s">
        <v>6051</v>
      </c>
      <c r="T246" s="149" t="s">
        <v>6052</v>
      </c>
      <c r="U246" s="202" t="s">
        <v>6053</v>
      </c>
      <c r="V246" s="204">
        <v>1</v>
      </c>
      <c r="W246" s="203" t="s">
        <v>5104</v>
      </c>
      <c r="X246" s="204" t="s">
        <v>6058</v>
      </c>
      <c r="Y246" s="206">
        <v>1890</v>
      </c>
      <c r="Z246" s="207">
        <v>20000</v>
      </c>
      <c r="AA246" s="207">
        <f t="shared" si="51"/>
        <v>37800000</v>
      </c>
      <c r="AB246" s="157">
        <v>20000</v>
      </c>
      <c r="AC246" s="158">
        <f t="shared" si="65"/>
        <v>20000</v>
      </c>
      <c r="AD246" s="159">
        <f t="shared" si="52"/>
        <v>0</v>
      </c>
      <c r="AE246" s="160"/>
      <c r="AF246" s="160">
        <f t="shared" si="53"/>
        <v>0</v>
      </c>
      <c r="AG246" s="165"/>
      <c r="AH246" s="161">
        <f t="shared" si="54"/>
        <v>0</v>
      </c>
      <c r="AI246" s="162"/>
      <c r="AJ246" s="162">
        <f t="shared" si="55"/>
        <v>0</v>
      </c>
      <c r="AK246" s="164"/>
      <c r="AL246" s="164">
        <f t="shared" si="56"/>
        <v>0</v>
      </c>
      <c r="AM246" s="165"/>
      <c r="AN246" s="165">
        <f t="shared" si="57"/>
        <v>0</v>
      </c>
      <c r="AO246" s="166">
        <v>0</v>
      </c>
      <c r="AP246" s="166">
        <f t="shared" si="58"/>
        <v>0</v>
      </c>
      <c r="AQ246" s="162"/>
      <c r="AR246" s="162">
        <f t="shared" si="59"/>
        <v>0</v>
      </c>
      <c r="AS246" s="173"/>
      <c r="AT246" s="167">
        <f t="shared" si="60"/>
        <v>0</v>
      </c>
      <c r="AU246" s="163"/>
      <c r="AV246" s="163">
        <f t="shared" si="61"/>
        <v>0</v>
      </c>
      <c r="AW246" s="168"/>
      <c r="AX246" s="168">
        <f t="shared" si="62"/>
        <v>0</v>
      </c>
      <c r="AY246" s="170"/>
      <c r="AZ246" s="170">
        <f t="shared" si="63"/>
        <v>0</v>
      </c>
      <c r="BA246" s="166"/>
      <c r="BB246" s="166">
        <f t="shared" si="64"/>
        <v>0</v>
      </c>
    </row>
    <row r="247" spans="1:54" s="131" customFormat="1" ht="31.5">
      <c r="A247" s="148" t="s">
        <v>6059</v>
      </c>
      <c r="B247" s="203" t="s">
        <v>3890</v>
      </c>
      <c r="C247" s="203"/>
      <c r="D247" s="203"/>
      <c r="E247" s="203" t="s">
        <v>3891</v>
      </c>
      <c r="F247" s="205" t="s">
        <v>5648</v>
      </c>
      <c r="G247" s="205" t="s">
        <v>298</v>
      </c>
      <c r="H247" s="204" t="s">
        <v>3892</v>
      </c>
      <c r="I247" s="204" t="s">
        <v>520</v>
      </c>
      <c r="J247" s="205" t="s">
        <v>5647</v>
      </c>
      <c r="K247" s="206">
        <v>30048</v>
      </c>
      <c r="L247" s="206"/>
      <c r="M247" s="159">
        <f t="shared" si="50"/>
        <v>18</v>
      </c>
      <c r="N247" s="159"/>
      <c r="O247" s="159"/>
      <c r="P247" s="159"/>
      <c r="Q247" s="159"/>
      <c r="R247" s="159"/>
      <c r="S247" s="150" t="s">
        <v>5118</v>
      </c>
      <c r="T247" s="150" t="s">
        <v>5119</v>
      </c>
      <c r="U247" s="202" t="s">
        <v>3889</v>
      </c>
      <c r="V247" s="204">
        <v>1</v>
      </c>
      <c r="W247" s="203" t="s">
        <v>253</v>
      </c>
      <c r="X247" s="204" t="s">
        <v>5116</v>
      </c>
      <c r="Y247" s="206">
        <v>30049</v>
      </c>
      <c r="Z247" s="207">
        <v>300</v>
      </c>
      <c r="AA247" s="207">
        <f t="shared" si="51"/>
        <v>9014400</v>
      </c>
      <c r="AB247" s="157">
        <v>300</v>
      </c>
      <c r="AC247" s="158">
        <f t="shared" si="65"/>
        <v>282</v>
      </c>
      <c r="AD247" s="159">
        <f t="shared" si="52"/>
        <v>540864</v>
      </c>
      <c r="AE247" s="160"/>
      <c r="AF247" s="160">
        <f t="shared" si="53"/>
        <v>0</v>
      </c>
      <c r="AG247" s="161"/>
      <c r="AH247" s="161">
        <f t="shared" si="54"/>
        <v>0</v>
      </c>
      <c r="AI247" s="162"/>
      <c r="AJ247" s="162">
        <f t="shared" si="55"/>
        <v>0</v>
      </c>
      <c r="AK247" s="164"/>
      <c r="AL247" s="164">
        <f t="shared" si="56"/>
        <v>0</v>
      </c>
      <c r="AM247" s="165"/>
      <c r="AN247" s="165">
        <f t="shared" si="57"/>
        <v>0</v>
      </c>
      <c r="AO247" s="166">
        <v>0</v>
      </c>
      <c r="AP247" s="166">
        <f t="shared" si="58"/>
        <v>0</v>
      </c>
      <c r="AQ247" s="162">
        <v>18</v>
      </c>
      <c r="AR247" s="162">
        <f t="shared" si="59"/>
        <v>540864</v>
      </c>
      <c r="AS247" s="167"/>
      <c r="AT247" s="167">
        <f t="shared" si="60"/>
        <v>0</v>
      </c>
      <c r="AU247" s="163"/>
      <c r="AV247" s="163">
        <f t="shared" si="61"/>
        <v>0</v>
      </c>
      <c r="AW247" s="168"/>
      <c r="AX247" s="168">
        <f t="shared" si="62"/>
        <v>0</v>
      </c>
      <c r="AY247" s="170"/>
      <c r="AZ247" s="170">
        <f t="shared" si="63"/>
        <v>0</v>
      </c>
      <c r="BA247" s="166"/>
      <c r="BB247" s="166">
        <f t="shared" si="64"/>
        <v>0</v>
      </c>
    </row>
    <row r="248" spans="1:54" s="131" customFormat="1" ht="31.5">
      <c r="A248" s="148" t="s">
        <v>6060</v>
      </c>
      <c r="B248" s="203" t="s">
        <v>750</v>
      </c>
      <c r="C248" s="203"/>
      <c r="D248" s="203"/>
      <c r="E248" s="203" t="s">
        <v>3987</v>
      </c>
      <c r="F248" s="205" t="s">
        <v>6062</v>
      </c>
      <c r="G248" s="205" t="s">
        <v>6063</v>
      </c>
      <c r="H248" s="204" t="s">
        <v>232</v>
      </c>
      <c r="I248" s="204" t="s">
        <v>11</v>
      </c>
      <c r="J248" s="205" t="s">
        <v>6061</v>
      </c>
      <c r="K248" s="206">
        <v>2258</v>
      </c>
      <c r="L248" s="206"/>
      <c r="M248" s="159">
        <f t="shared" si="50"/>
        <v>200</v>
      </c>
      <c r="N248" s="159"/>
      <c r="O248" s="159"/>
      <c r="P248" s="159"/>
      <c r="Q248" s="159"/>
      <c r="R248" s="159"/>
      <c r="S248" s="150" t="s">
        <v>5118</v>
      </c>
      <c r="T248" s="150" t="s">
        <v>5119</v>
      </c>
      <c r="U248" s="202" t="s">
        <v>3986</v>
      </c>
      <c r="V248" s="204">
        <v>1</v>
      </c>
      <c r="W248" s="203" t="s">
        <v>5104</v>
      </c>
      <c r="X248" s="204" t="s">
        <v>5116</v>
      </c>
      <c r="Y248" s="206">
        <v>2421</v>
      </c>
      <c r="Z248" s="207">
        <v>20000</v>
      </c>
      <c r="AA248" s="207">
        <f t="shared" si="51"/>
        <v>45160000</v>
      </c>
      <c r="AB248" s="157">
        <v>20000</v>
      </c>
      <c r="AC248" s="158">
        <f t="shared" si="65"/>
        <v>19800</v>
      </c>
      <c r="AD248" s="159">
        <f t="shared" si="52"/>
        <v>451600</v>
      </c>
      <c r="AE248" s="160"/>
      <c r="AF248" s="160">
        <f t="shared" si="53"/>
        <v>0</v>
      </c>
      <c r="AG248" s="165"/>
      <c r="AH248" s="161">
        <f t="shared" si="54"/>
        <v>0</v>
      </c>
      <c r="AI248" s="162"/>
      <c r="AJ248" s="162">
        <f t="shared" si="55"/>
        <v>0</v>
      </c>
      <c r="AK248" s="163"/>
      <c r="AL248" s="164">
        <f t="shared" si="56"/>
        <v>0</v>
      </c>
      <c r="AM248" s="161"/>
      <c r="AN248" s="165">
        <f t="shared" si="57"/>
        <v>0</v>
      </c>
      <c r="AO248" s="160">
        <v>200</v>
      </c>
      <c r="AP248" s="166">
        <f t="shared" si="58"/>
        <v>451600</v>
      </c>
      <c r="AQ248" s="162"/>
      <c r="AR248" s="162">
        <f t="shared" si="59"/>
        <v>0</v>
      </c>
      <c r="AS248" s="173"/>
      <c r="AT248" s="167">
        <f t="shared" si="60"/>
        <v>0</v>
      </c>
      <c r="AU248" s="163"/>
      <c r="AV248" s="163">
        <f t="shared" si="61"/>
        <v>0</v>
      </c>
      <c r="AW248" s="162"/>
      <c r="AX248" s="168">
        <f t="shared" si="62"/>
        <v>0</v>
      </c>
      <c r="AY248" s="169"/>
      <c r="AZ248" s="170">
        <f t="shared" si="63"/>
        <v>0</v>
      </c>
      <c r="BA248" s="160"/>
      <c r="BB248" s="166">
        <f t="shared" si="64"/>
        <v>0</v>
      </c>
    </row>
    <row r="249" spans="1:54" s="131" customFormat="1" ht="78.75">
      <c r="A249" s="172" t="s">
        <v>6064</v>
      </c>
      <c r="B249" s="203" t="s">
        <v>750</v>
      </c>
      <c r="C249" s="203"/>
      <c r="D249" s="203"/>
      <c r="E249" s="203" t="s">
        <v>6066</v>
      </c>
      <c r="F249" s="205" t="s">
        <v>6068</v>
      </c>
      <c r="G249" s="205" t="s">
        <v>6069</v>
      </c>
      <c r="H249" s="204" t="s">
        <v>1772</v>
      </c>
      <c r="I249" s="204" t="s">
        <v>658</v>
      </c>
      <c r="J249" s="205" t="s">
        <v>6067</v>
      </c>
      <c r="K249" s="206">
        <v>42000</v>
      </c>
      <c r="L249" s="206"/>
      <c r="M249" s="159">
        <f t="shared" si="50"/>
        <v>0</v>
      </c>
      <c r="N249" s="159"/>
      <c r="O249" s="159"/>
      <c r="P249" s="159"/>
      <c r="Q249" s="159"/>
      <c r="R249" s="159"/>
      <c r="S249" s="149" t="s">
        <v>5830</v>
      </c>
      <c r="T249" s="149" t="s">
        <v>5831</v>
      </c>
      <c r="U249" s="202" t="s">
        <v>6065</v>
      </c>
      <c r="V249" s="204">
        <v>1</v>
      </c>
      <c r="W249" s="203" t="s">
        <v>253</v>
      </c>
      <c r="X249" s="204" t="s">
        <v>5185</v>
      </c>
      <c r="Y249" s="206">
        <v>46500</v>
      </c>
      <c r="Z249" s="207">
        <v>1000</v>
      </c>
      <c r="AA249" s="207">
        <f t="shared" si="51"/>
        <v>42000000</v>
      </c>
      <c r="AB249" s="157">
        <v>1000</v>
      </c>
      <c r="AC249" s="158">
        <f t="shared" si="65"/>
        <v>1000</v>
      </c>
      <c r="AD249" s="159">
        <f t="shared" si="52"/>
        <v>0</v>
      </c>
      <c r="AE249" s="160"/>
      <c r="AF249" s="160">
        <f t="shared" si="53"/>
        <v>0</v>
      </c>
      <c r="AG249" s="165"/>
      <c r="AH249" s="161">
        <f t="shared" si="54"/>
        <v>0</v>
      </c>
      <c r="AI249" s="162"/>
      <c r="AJ249" s="162">
        <f t="shared" si="55"/>
        <v>0</v>
      </c>
      <c r="AK249" s="163"/>
      <c r="AL249" s="164">
        <f t="shared" si="56"/>
        <v>0</v>
      </c>
      <c r="AM249" s="161"/>
      <c r="AN249" s="165">
        <f t="shared" si="57"/>
        <v>0</v>
      </c>
      <c r="AO249" s="160">
        <v>0</v>
      </c>
      <c r="AP249" s="166">
        <f t="shared" si="58"/>
        <v>0</v>
      </c>
      <c r="AQ249" s="162"/>
      <c r="AR249" s="162">
        <f t="shared" si="59"/>
        <v>0</v>
      </c>
      <c r="AS249" s="173"/>
      <c r="AT249" s="167">
        <f t="shared" si="60"/>
        <v>0</v>
      </c>
      <c r="AU249" s="163"/>
      <c r="AV249" s="163">
        <f t="shared" si="61"/>
        <v>0</v>
      </c>
      <c r="AW249" s="162"/>
      <c r="AX249" s="168">
        <f t="shared" si="62"/>
        <v>0</v>
      </c>
      <c r="AY249" s="169"/>
      <c r="AZ249" s="170">
        <f t="shared" si="63"/>
        <v>0</v>
      </c>
      <c r="BA249" s="160"/>
      <c r="BB249" s="166">
        <f t="shared" si="64"/>
        <v>0</v>
      </c>
    </row>
    <row r="250" spans="1:54" s="131" customFormat="1" ht="31.5">
      <c r="A250" s="148" t="s">
        <v>6070</v>
      </c>
      <c r="B250" s="203" t="s">
        <v>347</v>
      </c>
      <c r="C250" s="203"/>
      <c r="D250" s="203"/>
      <c r="E250" s="203" t="s">
        <v>3772</v>
      </c>
      <c r="F250" s="205" t="s">
        <v>6072</v>
      </c>
      <c r="G250" s="205" t="s">
        <v>954</v>
      </c>
      <c r="H250" s="204" t="s">
        <v>238</v>
      </c>
      <c r="I250" s="204" t="s">
        <v>11</v>
      </c>
      <c r="J250" s="205" t="s">
        <v>6071</v>
      </c>
      <c r="K250" s="206">
        <v>1009</v>
      </c>
      <c r="L250" s="206"/>
      <c r="M250" s="159">
        <f t="shared" si="50"/>
        <v>5700</v>
      </c>
      <c r="N250" s="159"/>
      <c r="O250" s="159"/>
      <c r="P250" s="159"/>
      <c r="Q250" s="159"/>
      <c r="R250" s="159"/>
      <c r="S250" s="149" t="s">
        <v>5099</v>
      </c>
      <c r="T250" s="150" t="s">
        <v>5100</v>
      </c>
      <c r="U250" s="202" t="s">
        <v>3771</v>
      </c>
      <c r="V250" s="204">
        <v>1</v>
      </c>
      <c r="W250" s="203" t="s">
        <v>5104</v>
      </c>
      <c r="X250" s="204" t="s">
        <v>6012</v>
      </c>
      <c r="Y250" s="206">
        <v>3020</v>
      </c>
      <c r="Z250" s="207">
        <v>40000</v>
      </c>
      <c r="AA250" s="207">
        <f t="shared" si="51"/>
        <v>40360000</v>
      </c>
      <c r="AB250" s="157">
        <v>40000</v>
      </c>
      <c r="AC250" s="158">
        <f t="shared" si="65"/>
        <v>34300</v>
      </c>
      <c r="AD250" s="159">
        <f t="shared" si="52"/>
        <v>5751300</v>
      </c>
      <c r="AE250" s="160"/>
      <c r="AF250" s="160">
        <f t="shared" si="53"/>
        <v>0</v>
      </c>
      <c r="AG250" s="161">
        <v>2400</v>
      </c>
      <c r="AH250" s="161">
        <f t="shared" si="54"/>
        <v>2421600</v>
      </c>
      <c r="AI250" s="162"/>
      <c r="AJ250" s="162">
        <f t="shared" si="55"/>
        <v>0</v>
      </c>
      <c r="AK250" s="164"/>
      <c r="AL250" s="164">
        <f t="shared" si="56"/>
        <v>0</v>
      </c>
      <c r="AM250" s="165"/>
      <c r="AN250" s="165">
        <f t="shared" si="57"/>
        <v>0</v>
      </c>
      <c r="AO250" s="166">
        <v>0</v>
      </c>
      <c r="AP250" s="166">
        <f t="shared" si="58"/>
        <v>0</v>
      </c>
      <c r="AQ250" s="162"/>
      <c r="AR250" s="162">
        <f t="shared" si="59"/>
        <v>0</v>
      </c>
      <c r="AS250" s="167">
        <v>3300</v>
      </c>
      <c r="AT250" s="167">
        <f t="shared" si="60"/>
        <v>3329700</v>
      </c>
      <c r="AU250" s="163"/>
      <c r="AV250" s="163">
        <f t="shared" si="61"/>
        <v>0</v>
      </c>
      <c r="AW250" s="168"/>
      <c r="AX250" s="168">
        <f t="shared" si="62"/>
        <v>0</v>
      </c>
      <c r="AY250" s="170"/>
      <c r="AZ250" s="170">
        <f t="shared" si="63"/>
        <v>0</v>
      </c>
      <c r="BA250" s="166"/>
      <c r="BB250" s="166">
        <f t="shared" si="64"/>
        <v>0</v>
      </c>
    </row>
    <row r="251" spans="1:54" s="131" customFormat="1">
      <c r="A251" s="148" t="s">
        <v>6073</v>
      </c>
      <c r="B251" s="203" t="s">
        <v>649</v>
      </c>
      <c r="C251" s="203"/>
      <c r="D251" s="203"/>
      <c r="E251" s="203" t="s">
        <v>650</v>
      </c>
      <c r="F251" s="205" t="s">
        <v>6075</v>
      </c>
      <c r="G251" s="205" t="s">
        <v>245</v>
      </c>
      <c r="H251" s="204" t="s">
        <v>651</v>
      </c>
      <c r="I251" s="204" t="s">
        <v>11</v>
      </c>
      <c r="J251" s="205" t="s">
        <v>6074</v>
      </c>
      <c r="K251" s="206">
        <v>4725</v>
      </c>
      <c r="L251" s="206"/>
      <c r="M251" s="159">
        <f t="shared" si="50"/>
        <v>3000</v>
      </c>
      <c r="N251" s="159"/>
      <c r="O251" s="159"/>
      <c r="P251" s="159"/>
      <c r="Q251" s="159"/>
      <c r="R251" s="159"/>
      <c r="S251" s="150" t="s">
        <v>5153</v>
      </c>
      <c r="T251" s="150" t="s">
        <v>5154</v>
      </c>
      <c r="U251" s="202" t="s">
        <v>4146</v>
      </c>
      <c r="V251" s="204">
        <v>1</v>
      </c>
      <c r="W251" s="203" t="s">
        <v>5104</v>
      </c>
      <c r="X251" s="204" t="s">
        <v>5156</v>
      </c>
      <c r="Y251" s="206">
        <v>7035</v>
      </c>
      <c r="Z251" s="207">
        <v>30000</v>
      </c>
      <c r="AA251" s="207">
        <f t="shared" si="51"/>
        <v>141750000</v>
      </c>
      <c r="AB251" s="157">
        <v>30000</v>
      </c>
      <c r="AC251" s="158">
        <f t="shared" si="65"/>
        <v>27000</v>
      </c>
      <c r="AD251" s="159">
        <f t="shared" si="52"/>
        <v>14175000</v>
      </c>
      <c r="AE251" s="160"/>
      <c r="AF251" s="160">
        <f t="shared" si="53"/>
        <v>0</v>
      </c>
      <c r="AG251" s="161"/>
      <c r="AH251" s="161">
        <f t="shared" si="54"/>
        <v>0</v>
      </c>
      <c r="AI251" s="162"/>
      <c r="AJ251" s="162">
        <f t="shared" si="55"/>
        <v>0</v>
      </c>
      <c r="AK251" s="164"/>
      <c r="AL251" s="164">
        <f t="shared" si="56"/>
        <v>0</v>
      </c>
      <c r="AM251" s="165">
        <v>3000</v>
      </c>
      <c r="AN251" s="165">
        <f t="shared" si="57"/>
        <v>14175000</v>
      </c>
      <c r="AO251" s="166">
        <v>0</v>
      </c>
      <c r="AP251" s="166">
        <f t="shared" si="58"/>
        <v>0</v>
      </c>
      <c r="AQ251" s="162"/>
      <c r="AR251" s="162">
        <f t="shared" si="59"/>
        <v>0</v>
      </c>
      <c r="AS251" s="167"/>
      <c r="AT251" s="167">
        <f t="shared" si="60"/>
        <v>0</v>
      </c>
      <c r="AU251" s="163"/>
      <c r="AV251" s="163">
        <f t="shared" si="61"/>
        <v>0</v>
      </c>
      <c r="AW251" s="168"/>
      <c r="AX251" s="168">
        <f t="shared" si="62"/>
        <v>0</v>
      </c>
      <c r="AY251" s="170"/>
      <c r="AZ251" s="170">
        <f t="shared" si="63"/>
        <v>0</v>
      </c>
      <c r="BA251" s="166"/>
      <c r="BB251" s="166">
        <f t="shared" si="64"/>
        <v>0</v>
      </c>
    </row>
    <row r="252" spans="1:54" s="131" customFormat="1">
      <c r="A252" s="172" t="s">
        <v>6076</v>
      </c>
      <c r="B252" s="203" t="s">
        <v>624</v>
      </c>
      <c r="C252" s="203"/>
      <c r="D252" s="203"/>
      <c r="E252" s="203" t="s">
        <v>6077</v>
      </c>
      <c r="F252" s="205" t="s">
        <v>6078</v>
      </c>
      <c r="G252" s="205" t="s">
        <v>6079</v>
      </c>
      <c r="H252" s="204" t="s">
        <v>625</v>
      </c>
      <c r="I252" s="204" t="s">
        <v>11</v>
      </c>
      <c r="J252" s="205" t="s">
        <v>5707</v>
      </c>
      <c r="K252" s="206">
        <v>2248</v>
      </c>
      <c r="L252" s="206"/>
      <c r="M252" s="159">
        <f t="shared" si="50"/>
        <v>0</v>
      </c>
      <c r="N252" s="159"/>
      <c r="O252" s="159"/>
      <c r="P252" s="159"/>
      <c r="Q252" s="159"/>
      <c r="R252" s="159"/>
      <c r="S252" s="149" t="s">
        <v>5206</v>
      </c>
      <c r="T252" s="149" t="s">
        <v>5207</v>
      </c>
      <c r="U252" s="202" t="s">
        <v>3829</v>
      </c>
      <c r="V252" s="204">
        <v>1</v>
      </c>
      <c r="W252" s="203" t="s">
        <v>5104</v>
      </c>
      <c r="X252" s="204" t="s">
        <v>6080</v>
      </c>
      <c r="Y252" s="206">
        <v>2300</v>
      </c>
      <c r="Z252" s="207">
        <v>40000</v>
      </c>
      <c r="AA252" s="207">
        <f t="shared" si="51"/>
        <v>89920000</v>
      </c>
      <c r="AB252" s="157">
        <v>40000</v>
      </c>
      <c r="AC252" s="158">
        <f t="shared" si="65"/>
        <v>40000</v>
      </c>
      <c r="AD252" s="159">
        <f t="shared" si="52"/>
        <v>0</v>
      </c>
      <c r="AE252" s="160"/>
      <c r="AF252" s="160">
        <f t="shared" si="53"/>
        <v>0</v>
      </c>
      <c r="AG252" s="161"/>
      <c r="AH252" s="161">
        <f t="shared" si="54"/>
        <v>0</v>
      </c>
      <c r="AI252" s="162"/>
      <c r="AJ252" s="162">
        <f t="shared" si="55"/>
        <v>0</v>
      </c>
      <c r="AK252" s="164"/>
      <c r="AL252" s="164">
        <f t="shared" si="56"/>
        <v>0</v>
      </c>
      <c r="AM252" s="165"/>
      <c r="AN252" s="165">
        <f t="shared" si="57"/>
        <v>0</v>
      </c>
      <c r="AO252" s="166">
        <v>0</v>
      </c>
      <c r="AP252" s="166">
        <f t="shared" si="58"/>
        <v>0</v>
      </c>
      <c r="AQ252" s="162"/>
      <c r="AR252" s="162">
        <f t="shared" si="59"/>
        <v>0</v>
      </c>
      <c r="AS252" s="167"/>
      <c r="AT252" s="167">
        <f t="shared" si="60"/>
        <v>0</v>
      </c>
      <c r="AU252" s="163"/>
      <c r="AV252" s="163">
        <f t="shared" si="61"/>
        <v>0</v>
      </c>
      <c r="AW252" s="168"/>
      <c r="AX252" s="168">
        <f t="shared" si="62"/>
        <v>0</v>
      </c>
      <c r="AY252" s="170"/>
      <c r="AZ252" s="170">
        <f t="shared" si="63"/>
        <v>0</v>
      </c>
      <c r="BA252" s="166"/>
      <c r="BB252" s="166">
        <f t="shared" si="64"/>
        <v>0</v>
      </c>
    </row>
    <row r="253" spans="1:54" s="131" customFormat="1" ht="31.5">
      <c r="A253" s="148" t="s">
        <v>6081</v>
      </c>
      <c r="B253" s="203" t="s">
        <v>624</v>
      </c>
      <c r="C253" s="203"/>
      <c r="D253" s="203"/>
      <c r="E253" s="203" t="s">
        <v>6085</v>
      </c>
      <c r="F253" s="205" t="s">
        <v>6087</v>
      </c>
      <c r="G253" s="205" t="s">
        <v>6088</v>
      </c>
      <c r="H253" s="204" t="s">
        <v>327</v>
      </c>
      <c r="I253" s="204" t="s">
        <v>11</v>
      </c>
      <c r="J253" s="205" t="s">
        <v>6086</v>
      </c>
      <c r="K253" s="206">
        <v>1407</v>
      </c>
      <c r="L253" s="206"/>
      <c r="M253" s="159">
        <f t="shared" si="50"/>
        <v>0</v>
      </c>
      <c r="N253" s="159"/>
      <c r="O253" s="159"/>
      <c r="P253" s="159"/>
      <c r="Q253" s="159"/>
      <c r="R253" s="159"/>
      <c r="S253" s="149" t="s">
        <v>6082</v>
      </c>
      <c r="T253" s="149" t="s">
        <v>6083</v>
      </c>
      <c r="U253" s="202" t="s">
        <v>6084</v>
      </c>
      <c r="V253" s="204">
        <v>1</v>
      </c>
      <c r="W253" s="203" t="s">
        <v>253</v>
      </c>
      <c r="X253" s="204" t="s">
        <v>213</v>
      </c>
      <c r="Y253" s="206">
        <v>2000</v>
      </c>
      <c r="Z253" s="207">
        <v>20000</v>
      </c>
      <c r="AA253" s="207">
        <f t="shared" si="51"/>
        <v>28140000</v>
      </c>
      <c r="AB253" s="157">
        <v>20000</v>
      </c>
      <c r="AC253" s="158">
        <f t="shared" si="65"/>
        <v>20000</v>
      </c>
      <c r="AD253" s="159">
        <f t="shared" si="52"/>
        <v>0</v>
      </c>
      <c r="AE253" s="160"/>
      <c r="AF253" s="160">
        <f t="shared" si="53"/>
        <v>0</v>
      </c>
      <c r="AG253" s="165"/>
      <c r="AH253" s="161">
        <f t="shared" si="54"/>
        <v>0</v>
      </c>
      <c r="AI253" s="162"/>
      <c r="AJ253" s="162">
        <f t="shared" si="55"/>
        <v>0</v>
      </c>
      <c r="AK253" s="164"/>
      <c r="AL253" s="164">
        <f t="shared" si="56"/>
        <v>0</v>
      </c>
      <c r="AM253" s="165"/>
      <c r="AN253" s="165">
        <f t="shared" si="57"/>
        <v>0</v>
      </c>
      <c r="AO253" s="166">
        <v>0</v>
      </c>
      <c r="AP253" s="166">
        <f t="shared" si="58"/>
        <v>0</v>
      </c>
      <c r="AQ253" s="162"/>
      <c r="AR253" s="162">
        <f t="shared" si="59"/>
        <v>0</v>
      </c>
      <c r="AS253" s="173"/>
      <c r="AT253" s="167">
        <f t="shared" si="60"/>
        <v>0</v>
      </c>
      <c r="AU253" s="163"/>
      <c r="AV253" s="163">
        <f t="shared" si="61"/>
        <v>0</v>
      </c>
      <c r="AW253" s="168"/>
      <c r="AX253" s="168">
        <f t="shared" si="62"/>
        <v>0</v>
      </c>
      <c r="AY253" s="170"/>
      <c r="AZ253" s="170">
        <f t="shared" si="63"/>
        <v>0</v>
      </c>
      <c r="BA253" s="166"/>
      <c r="BB253" s="166">
        <f t="shared" si="64"/>
        <v>0</v>
      </c>
    </row>
    <row r="254" spans="1:54" s="131" customFormat="1" ht="31.5">
      <c r="A254" s="148" t="s">
        <v>6089</v>
      </c>
      <c r="B254" s="203" t="s">
        <v>6091</v>
      </c>
      <c r="C254" s="203"/>
      <c r="D254" s="203"/>
      <c r="E254" s="203" t="s">
        <v>6093</v>
      </c>
      <c r="F254" s="205" t="s">
        <v>6095</v>
      </c>
      <c r="G254" s="205" t="s">
        <v>5794</v>
      </c>
      <c r="H254" s="204" t="s">
        <v>6092</v>
      </c>
      <c r="I254" s="204" t="s">
        <v>520</v>
      </c>
      <c r="J254" s="205" t="s">
        <v>6094</v>
      </c>
      <c r="K254" s="206">
        <v>120000</v>
      </c>
      <c r="L254" s="206"/>
      <c r="M254" s="159">
        <f t="shared" si="50"/>
        <v>0</v>
      </c>
      <c r="N254" s="159"/>
      <c r="O254" s="159"/>
      <c r="P254" s="159"/>
      <c r="Q254" s="159"/>
      <c r="R254" s="159"/>
      <c r="S254" s="150" t="s">
        <v>5162</v>
      </c>
      <c r="T254" s="150" t="s">
        <v>5163</v>
      </c>
      <c r="U254" s="202" t="s">
        <v>6090</v>
      </c>
      <c r="V254" s="204">
        <v>1</v>
      </c>
      <c r="W254" s="203" t="s">
        <v>253</v>
      </c>
      <c r="X254" s="204" t="s">
        <v>5185</v>
      </c>
      <c r="Y254" s="206">
        <v>120000</v>
      </c>
      <c r="Z254" s="207">
        <v>10</v>
      </c>
      <c r="AA254" s="207">
        <f t="shared" si="51"/>
        <v>1200000</v>
      </c>
      <c r="AB254" s="157">
        <v>10</v>
      </c>
      <c r="AC254" s="158">
        <f t="shared" si="65"/>
        <v>10</v>
      </c>
      <c r="AD254" s="159">
        <f t="shared" si="52"/>
        <v>0</v>
      </c>
      <c r="AE254" s="160"/>
      <c r="AF254" s="160">
        <f t="shared" si="53"/>
        <v>0</v>
      </c>
      <c r="AG254" s="165"/>
      <c r="AH254" s="161">
        <f t="shared" si="54"/>
        <v>0</v>
      </c>
      <c r="AI254" s="162"/>
      <c r="AJ254" s="162">
        <f t="shared" si="55"/>
        <v>0</v>
      </c>
      <c r="AK254" s="164"/>
      <c r="AL254" s="164">
        <f t="shared" si="56"/>
        <v>0</v>
      </c>
      <c r="AM254" s="165"/>
      <c r="AN254" s="165">
        <f t="shared" si="57"/>
        <v>0</v>
      </c>
      <c r="AO254" s="166">
        <v>0</v>
      </c>
      <c r="AP254" s="166">
        <f t="shared" si="58"/>
        <v>0</v>
      </c>
      <c r="AQ254" s="162"/>
      <c r="AR254" s="162">
        <f t="shared" si="59"/>
        <v>0</v>
      </c>
      <c r="AS254" s="173"/>
      <c r="AT254" s="167">
        <f t="shared" si="60"/>
        <v>0</v>
      </c>
      <c r="AU254" s="163"/>
      <c r="AV254" s="163">
        <f t="shared" si="61"/>
        <v>0</v>
      </c>
      <c r="AW254" s="168"/>
      <c r="AX254" s="168">
        <f t="shared" si="62"/>
        <v>0</v>
      </c>
      <c r="AY254" s="170"/>
      <c r="AZ254" s="170">
        <f t="shared" si="63"/>
        <v>0</v>
      </c>
      <c r="BA254" s="166"/>
      <c r="BB254" s="166">
        <f t="shared" si="64"/>
        <v>0</v>
      </c>
    </row>
    <row r="255" spans="1:54" s="131" customFormat="1">
      <c r="A255" s="172" t="s">
        <v>6096</v>
      </c>
      <c r="B255" s="203" t="s">
        <v>1481</v>
      </c>
      <c r="C255" s="203"/>
      <c r="D255" s="203"/>
      <c r="E255" s="203" t="s">
        <v>3908</v>
      </c>
      <c r="F255" s="205" t="s">
        <v>1691</v>
      </c>
      <c r="G255" s="205" t="s">
        <v>854</v>
      </c>
      <c r="H255" s="204" t="s">
        <v>1690</v>
      </c>
      <c r="I255" s="204" t="s">
        <v>11</v>
      </c>
      <c r="J255" s="205" t="s">
        <v>6099</v>
      </c>
      <c r="K255" s="206">
        <v>3450</v>
      </c>
      <c r="L255" s="206"/>
      <c r="M255" s="159">
        <f t="shared" si="50"/>
        <v>9990</v>
      </c>
      <c r="N255" s="159"/>
      <c r="O255" s="159"/>
      <c r="P255" s="159"/>
      <c r="Q255" s="159"/>
      <c r="R255" s="159"/>
      <c r="S255" s="149" t="s">
        <v>6097</v>
      </c>
      <c r="T255" s="149" t="s">
        <v>6098</v>
      </c>
      <c r="U255" s="202" t="s">
        <v>3907</v>
      </c>
      <c r="V255" s="204">
        <v>1</v>
      </c>
      <c r="W255" s="203" t="s">
        <v>5104</v>
      </c>
      <c r="X255" s="204" t="s">
        <v>5222</v>
      </c>
      <c r="Y255" s="206">
        <v>4400</v>
      </c>
      <c r="Z255" s="207">
        <v>60000</v>
      </c>
      <c r="AA255" s="207">
        <f t="shared" si="51"/>
        <v>207000000</v>
      </c>
      <c r="AB255" s="157">
        <v>60000</v>
      </c>
      <c r="AC255" s="158">
        <f t="shared" si="65"/>
        <v>50010</v>
      </c>
      <c r="AD255" s="159">
        <f t="shared" si="52"/>
        <v>34465500</v>
      </c>
      <c r="AE255" s="160"/>
      <c r="AF255" s="160">
        <f t="shared" si="53"/>
        <v>0</v>
      </c>
      <c r="AG255" s="165">
        <v>9990</v>
      </c>
      <c r="AH255" s="161">
        <f t="shared" si="54"/>
        <v>34465500</v>
      </c>
      <c r="AI255" s="162"/>
      <c r="AJ255" s="162">
        <f t="shared" si="55"/>
        <v>0</v>
      </c>
      <c r="AK255" s="164"/>
      <c r="AL255" s="164">
        <f t="shared" si="56"/>
        <v>0</v>
      </c>
      <c r="AM255" s="165"/>
      <c r="AN255" s="165">
        <f t="shared" si="57"/>
        <v>0</v>
      </c>
      <c r="AO255" s="166">
        <v>0</v>
      </c>
      <c r="AP255" s="166">
        <f t="shared" si="58"/>
        <v>0</v>
      </c>
      <c r="AQ255" s="162"/>
      <c r="AR255" s="162">
        <f t="shared" si="59"/>
        <v>0</v>
      </c>
      <c r="AS255" s="173"/>
      <c r="AT255" s="167">
        <f t="shared" si="60"/>
        <v>0</v>
      </c>
      <c r="AU255" s="163"/>
      <c r="AV255" s="163">
        <f t="shared" si="61"/>
        <v>0</v>
      </c>
      <c r="AW255" s="168"/>
      <c r="AX255" s="168">
        <f t="shared" si="62"/>
        <v>0</v>
      </c>
      <c r="AY255" s="170"/>
      <c r="AZ255" s="170">
        <f t="shared" si="63"/>
        <v>0</v>
      </c>
      <c r="BA255" s="166"/>
      <c r="BB255" s="166">
        <f t="shared" si="64"/>
        <v>0</v>
      </c>
    </row>
    <row r="256" spans="1:54" s="131" customFormat="1" ht="112.5">
      <c r="A256" s="148" t="s">
        <v>6100</v>
      </c>
      <c r="B256" s="203" t="s">
        <v>4017</v>
      </c>
      <c r="C256" s="203"/>
      <c r="D256" s="203"/>
      <c r="E256" s="203" t="s">
        <v>4016</v>
      </c>
      <c r="F256" s="205" t="s">
        <v>1753</v>
      </c>
      <c r="G256" s="205" t="s">
        <v>6102</v>
      </c>
      <c r="H256" s="204" t="s">
        <v>327</v>
      </c>
      <c r="I256" s="204" t="s">
        <v>11</v>
      </c>
      <c r="J256" s="205" t="s">
        <v>6101</v>
      </c>
      <c r="K256" s="206">
        <v>1400</v>
      </c>
      <c r="L256" s="206"/>
      <c r="M256" s="159">
        <f t="shared" si="50"/>
        <v>12000</v>
      </c>
      <c r="N256" s="159"/>
      <c r="O256" s="159"/>
      <c r="P256" s="159"/>
      <c r="Q256" s="159"/>
      <c r="R256" s="159"/>
      <c r="S256" s="209" t="s">
        <v>5848</v>
      </c>
      <c r="T256" s="203" t="s">
        <v>5849</v>
      </c>
      <c r="U256" s="202" t="s">
        <v>4015</v>
      </c>
      <c r="V256" s="204">
        <v>1</v>
      </c>
      <c r="W256" s="203" t="s">
        <v>5104</v>
      </c>
      <c r="X256" s="204" t="s">
        <v>213</v>
      </c>
      <c r="Y256" s="206">
        <v>1500</v>
      </c>
      <c r="Z256" s="207">
        <v>20000</v>
      </c>
      <c r="AA256" s="207">
        <f t="shared" si="51"/>
        <v>28000000</v>
      </c>
      <c r="AB256" s="157">
        <v>20000</v>
      </c>
      <c r="AC256" s="158">
        <f t="shared" si="65"/>
        <v>8000</v>
      </c>
      <c r="AD256" s="159">
        <f t="shared" si="52"/>
        <v>16800000</v>
      </c>
      <c r="AE256" s="160"/>
      <c r="AF256" s="160">
        <f t="shared" si="53"/>
        <v>0</v>
      </c>
      <c r="AG256" s="165"/>
      <c r="AH256" s="161">
        <f t="shared" si="54"/>
        <v>0</v>
      </c>
      <c r="AI256" s="162"/>
      <c r="AJ256" s="162">
        <f t="shared" si="55"/>
        <v>0</v>
      </c>
      <c r="AK256" s="164"/>
      <c r="AL256" s="164">
        <f t="shared" si="56"/>
        <v>0</v>
      </c>
      <c r="AM256" s="165">
        <v>6000</v>
      </c>
      <c r="AN256" s="165">
        <f t="shared" si="57"/>
        <v>8400000</v>
      </c>
      <c r="AO256" s="166">
        <v>0</v>
      </c>
      <c r="AP256" s="166">
        <f t="shared" si="58"/>
        <v>0</v>
      </c>
      <c r="AQ256" s="162"/>
      <c r="AR256" s="162">
        <f t="shared" si="59"/>
        <v>0</v>
      </c>
      <c r="AS256" s="173">
        <v>6000</v>
      </c>
      <c r="AT256" s="167">
        <f t="shared" si="60"/>
        <v>8400000</v>
      </c>
      <c r="AU256" s="163"/>
      <c r="AV256" s="163">
        <f t="shared" si="61"/>
        <v>0</v>
      </c>
      <c r="AW256" s="168"/>
      <c r="AX256" s="168">
        <f t="shared" si="62"/>
        <v>0</v>
      </c>
      <c r="AY256" s="170"/>
      <c r="AZ256" s="170">
        <f t="shared" si="63"/>
        <v>0</v>
      </c>
      <c r="BA256" s="166"/>
      <c r="BB256" s="166">
        <f t="shared" si="64"/>
        <v>0</v>
      </c>
    </row>
    <row r="257" spans="1:54" s="131" customFormat="1">
      <c r="A257" s="148" t="s">
        <v>6103</v>
      </c>
      <c r="B257" s="203" t="s">
        <v>555</v>
      </c>
      <c r="C257" s="203"/>
      <c r="D257" s="203"/>
      <c r="E257" s="203" t="s">
        <v>4263</v>
      </c>
      <c r="F257" s="205" t="s">
        <v>6105</v>
      </c>
      <c r="G257" s="205" t="s">
        <v>6106</v>
      </c>
      <c r="H257" s="204" t="s">
        <v>262</v>
      </c>
      <c r="I257" s="204" t="s">
        <v>11</v>
      </c>
      <c r="J257" s="205" t="s">
        <v>6104</v>
      </c>
      <c r="K257" s="206">
        <v>6500</v>
      </c>
      <c r="L257" s="206"/>
      <c r="M257" s="159">
        <f t="shared" si="50"/>
        <v>10000</v>
      </c>
      <c r="N257" s="159"/>
      <c r="O257" s="159"/>
      <c r="P257" s="159"/>
      <c r="Q257" s="159"/>
      <c r="R257" s="159"/>
      <c r="S257" s="149" t="s">
        <v>5855</v>
      </c>
      <c r="T257" s="149" t="s">
        <v>5856</v>
      </c>
      <c r="U257" s="202" t="s">
        <v>4262</v>
      </c>
      <c r="V257" s="204">
        <v>1</v>
      </c>
      <c r="W257" s="203" t="s">
        <v>5104</v>
      </c>
      <c r="X257" s="204" t="s">
        <v>5733</v>
      </c>
      <c r="Y257" s="206">
        <v>7753</v>
      </c>
      <c r="Z257" s="207">
        <v>10000</v>
      </c>
      <c r="AA257" s="207">
        <f t="shared" si="51"/>
        <v>65000000</v>
      </c>
      <c r="AB257" s="157">
        <v>10000</v>
      </c>
      <c r="AC257" s="158">
        <f t="shared" si="65"/>
        <v>0</v>
      </c>
      <c r="AD257" s="159">
        <f t="shared" si="52"/>
        <v>65000000</v>
      </c>
      <c r="AE257" s="160"/>
      <c r="AF257" s="160">
        <f t="shared" si="53"/>
        <v>0</v>
      </c>
      <c r="AG257" s="165"/>
      <c r="AH257" s="161">
        <f t="shared" si="54"/>
        <v>0</v>
      </c>
      <c r="AI257" s="162"/>
      <c r="AJ257" s="162">
        <f t="shared" si="55"/>
        <v>0</v>
      </c>
      <c r="AK257" s="164"/>
      <c r="AL257" s="164">
        <f t="shared" si="56"/>
        <v>0</v>
      </c>
      <c r="AM257" s="165"/>
      <c r="AN257" s="165">
        <f t="shared" si="57"/>
        <v>0</v>
      </c>
      <c r="AO257" s="166">
        <v>0</v>
      </c>
      <c r="AP257" s="166">
        <f t="shared" si="58"/>
        <v>0</v>
      </c>
      <c r="AQ257" s="162"/>
      <c r="AR257" s="162">
        <f t="shared" si="59"/>
        <v>0</v>
      </c>
      <c r="AS257" s="173">
        <v>10000</v>
      </c>
      <c r="AT257" s="167">
        <f t="shared" si="60"/>
        <v>65000000</v>
      </c>
      <c r="AU257" s="163"/>
      <c r="AV257" s="163">
        <f t="shared" si="61"/>
        <v>0</v>
      </c>
      <c r="AW257" s="168"/>
      <c r="AX257" s="168">
        <f t="shared" si="62"/>
        <v>0</v>
      </c>
      <c r="AY257" s="170"/>
      <c r="AZ257" s="170">
        <f t="shared" si="63"/>
        <v>0</v>
      </c>
      <c r="BA257" s="166"/>
      <c r="BB257" s="166">
        <f t="shared" si="64"/>
        <v>0</v>
      </c>
    </row>
    <row r="258" spans="1:54" s="131" customFormat="1" ht="31.5">
      <c r="A258" s="172" t="s">
        <v>6107</v>
      </c>
      <c r="B258" s="203" t="s">
        <v>1540</v>
      </c>
      <c r="C258" s="203"/>
      <c r="D258" s="203"/>
      <c r="E258" s="203" t="s">
        <v>6109</v>
      </c>
      <c r="F258" s="205" t="s">
        <v>6110</v>
      </c>
      <c r="G258" s="205" t="s">
        <v>954</v>
      </c>
      <c r="H258" s="204" t="s">
        <v>1542</v>
      </c>
      <c r="I258" s="204" t="s">
        <v>11</v>
      </c>
      <c r="J258" s="205" t="s">
        <v>6009</v>
      </c>
      <c r="K258" s="206">
        <v>4159</v>
      </c>
      <c r="L258" s="206"/>
      <c r="M258" s="159">
        <f t="shared" si="50"/>
        <v>0</v>
      </c>
      <c r="N258" s="159"/>
      <c r="O258" s="159"/>
      <c r="P258" s="159"/>
      <c r="Q258" s="159"/>
      <c r="R258" s="159"/>
      <c r="S258" s="149" t="s">
        <v>5099</v>
      </c>
      <c r="T258" s="150" t="s">
        <v>5100</v>
      </c>
      <c r="U258" s="202" t="s">
        <v>6108</v>
      </c>
      <c r="V258" s="204">
        <v>1</v>
      </c>
      <c r="W258" s="203" t="s">
        <v>253</v>
      </c>
      <c r="X258" s="204" t="s">
        <v>6012</v>
      </c>
      <c r="Y258" s="206">
        <v>6000</v>
      </c>
      <c r="Z258" s="207">
        <v>40000</v>
      </c>
      <c r="AA258" s="207">
        <f t="shared" si="51"/>
        <v>166360000</v>
      </c>
      <c r="AB258" s="157">
        <v>40000</v>
      </c>
      <c r="AC258" s="158">
        <f t="shared" si="65"/>
        <v>40000</v>
      </c>
      <c r="AD258" s="159">
        <f t="shared" si="52"/>
        <v>0</v>
      </c>
      <c r="AE258" s="160"/>
      <c r="AF258" s="160">
        <f t="shared" si="53"/>
        <v>0</v>
      </c>
      <c r="AG258" s="165"/>
      <c r="AH258" s="161">
        <f t="shared" si="54"/>
        <v>0</v>
      </c>
      <c r="AI258" s="162"/>
      <c r="AJ258" s="162">
        <f t="shared" si="55"/>
        <v>0</v>
      </c>
      <c r="AK258" s="164"/>
      <c r="AL258" s="164">
        <f t="shared" si="56"/>
        <v>0</v>
      </c>
      <c r="AM258" s="165"/>
      <c r="AN258" s="165">
        <f t="shared" si="57"/>
        <v>0</v>
      </c>
      <c r="AO258" s="166">
        <v>0</v>
      </c>
      <c r="AP258" s="166">
        <f t="shared" si="58"/>
        <v>0</v>
      </c>
      <c r="AQ258" s="162"/>
      <c r="AR258" s="162">
        <f t="shared" si="59"/>
        <v>0</v>
      </c>
      <c r="AS258" s="173"/>
      <c r="AT258" s="167">
        <f t="shared" si="60"/>
        <v>0</v>
      </c>
      <c r="AU258" s="163"/>
      <c r="AV258" s="163">
        <f t="shared" si="61"/>
        <v>0</v>
      </c>
      <c r="AW258" s="168"/>
      <c r="AX258" s="168">
        <f t="shared" si="62"/>
        <v>0</v>
      </c>
      <c r="AY258" s="170"/>
      <c r="AZ258" s="170">
        <f t="shared" si="63"/>
        <v>0</v>
      </c>
      <c r="BA258" s="166"/>
      <c r="BB258" s="166">
        <f t="shared" si="64"/>
        <v>0</v>
      </c>
    </row>
    <row r="259" spans="1:54" s="131" customFormat="1" ht="31.5">
      <c r="A259" s="148" t="s">
        <v>6111</v>
      </c>
      <c r="B259" s="203" t="s">
        <v>556</v>
      </c>
      <c r="C259" s="203"/>
      <c r="D259" s="203"/>
      <c r="E259" s="203" t="s">
        <v>3622</v>
      </c>
      <c r="F259" s="205" t="s">
        <v>6114</v>
      </c>
      <c r="G259" s="205" t="s">
        <v>6115</v>
      </c>
      <c r="H259" s="204" t="s">
        <v>238</v>
      </c>
      <c r="I259" s="204" t="s">
        <v>11</v>
      </c>
      <c r="J259" s="205" t="s">
        <v>6113</v>
      </c>
      <c r="K259" s="206">
        <v>1990</v>
      </c>
      <c r="L259" s="206"/>
      <c r="M259" s="159">
        <f t="shared" si="50"/>
        <v>0</v>
      </c>
      <c r="N259" s="159"/>
      <c r="O259" s="159"/>
      <c r="P259" s="159"/>
      <c r="Q259" s="159"/>
      <c r="R259" s="159"/>
      <c r="S259" s="149" t="s">
        <v>5669</v>
      </c>
      <c r="T259" s="149" t="s">
        <v>5670</v>
      </c>
      <c r="U259" s="202" t="s">
        <v>6112</v>
      </c>
      <c r="V259" s="204">
        <v>1</v>
      </c>
      <c r="W259" s="203" t="s">
        <v>5104</v>
      </c>
      <c r="X259" s="204" t="s">
        <v>213</v>
      </c>
      <c r="Y259" s="206">
        <v>2300</v>
      </c>
      <c r="Z259" s="207">
        <v>40000</v>
      </c>
      <c r="AA259" s="207">
        <f t="shared" si="51"/>
        <v>79600000</v>
      </c>
      <c r="AB259" s="157">
        <v>40000</v>
      </c>
      <c r="AC259" s="158">
        <f t="shared" si="65"/>
        <v>40000</v>
      </c>
      <c r="AD259" s="159">
        <f t="shared" si="52"/>
        <v>0</v>
      </c>
      <c r="AE259" s="160"/>
      <c r="AF259" s="160">
        <f t="shared" si="53"/>
        <v>0</v>
      </c>
      <c r="AG259" s="165"/>
      <c r="AH259" s="161">
        <f t="shared" si="54"/>
        <v>0</v>
      </c>
      <c r="AI259" s="162"/>
      <c r="AJ259" s="162">
        <f t="shared" si="55"/>
        <v>0</v>
      </c>
      <c r="AK259" s="163"/>
      <c r="AL259" s="164">
        <f t="shared" si="56"/>
        <v>0</v>
      </c>
      <c r="AM259" s="161"/>
      <c r="AN259" s="165">
        <f t="shared" si="57"/>
        <v>0</v>
      </c>
      <c r="AO259" s="160">
        <v>0</v>
      </c>
      <c r="AP259" s="166">
        <f t="shared" si="58"/>
        <v>0</v>
      </c>
      <c r="AQ259" s="162"/>
      <c r="AR259" s="162">
        <f t="shared" si="59"/>
        <v>0</v>
      </c>
      <c r="AS259" s="173"/>
      <c r="AT259" s="167">
        <f t="shared" si="60"/>
        <v>0</v>
      </c>
      <c r="AU259" s="163"/>
      <c r="AV259" s="163">
        <f t="shared" si="61"/>
        <v>0</v>
      </c>
      <c r="AW259" s="162"/>
      <c r="AX259" s="168">
        <f t="shared" si="62"/>
        <v>0</v>
      </c>
      <c r="AY259" s="169"/>
      <c r="AZ259" s="170">
        <f t="shared" si="63"/>
        <v>0</v>
      </c>
      <c r="BA259" s="160"/>
      <c r="BB259" s="166">
        <f t="shared" si="64"/>
        <v>0</v>
      </c>
    </row>
    <row r="260" spans="1:54" s="131" customFormat="1">
      <c r="A260" s="148" t="s">
        <v>6116</v>
      </c>
      <c r="B260" s="203" t="s">
        <v>556</v>
      </c>
      <c r="C260" s="203"/>
      <c r="D260" s="203"/>
      <c r="E260" s="203" t="s">
        <v>6120</v>
      </c>
      <c r="F260" s="205" t="s">
        <v>6122</v>
      </c>
      <c r="G260" s="205" t="s">
        <v>6123</v>
      </c>
      <c r="H260" s="204" t="s">
        <v>327</v>
      </c>
      <c r="I260" s="204" t="s">
        <v>11</v>
      </c>
      <c r="J260" s="205" t="s">
        <v>6121</v>
      </c>
      <c r="K260" s="206">
        <v>3360</v>
      </c>
      <c r="L260" s="206"/>
      <c r="M260" s="159">
        <f t="shared" ref="M260:M323" si="66">AE260+AG260+AI260+AK260+AM260+AO260+AQ260+AS260+AU260+AW260+AY260+BA260</f>
        <v>0</v>
      </c>
      <c r="N260" s="159"/>
      <c r="O260" s="159"/>
      <c r="P260" s="159"/>
      <c r="Q260" s="159"/>
      <c r="R260" s="159"/>
      <c r="S260" s="149" t="s">
        <v>6117</v>
      </c>
      <c r="T260" s="149" t="s">
        <v>6118</v>
      </c>
      <c r="U260" s="202" t="s">
        <v>6119</v>
      </c>
      <c r="V260" s="204">
        <v>1</v>
      </c>
      <c r="W260" s="203" t="s">
        <v>5104</v>
      </c>
      <c r="X260" s="204" t="s">
        <v>5717</v>
      </c>
      <c r="Y260" s="206">
        <v>3360</v>
      </c>
      <c r="Z260" s="207">
        <v>40000</v>
      </c>
      <c r="AA260" s="207">
        <f t="shared" ref="AA260:AA323" si="67">Z260*K260</f>
        <v>134400000</v>
      </c>
      <c r="AB260" s="157">
        <v>40000</v>
      </c>
      <c r="AC260" s="158">
        <f t="shared" si="65"/>
        <v>40000</v>
      </c>
      <c r="AD260" s="159">
        <f t="shared" ref="AD260:AD323" si="68">M260*K260</f>
        <v>0</v>
      </c>
      <c r="AE260" s="160"/>
      <c r="AF260" s="160">
        <f t="shared" ref="AF260:AF323" si="69">AE260*K260</f>
        <v>0</v>
      </c>
      <c r="AG260" s="165"/>
      <c r="AH260" s="161">
        <f t="shared" ref="AH260:AH323" si="70">AG260*K260</f>
        <v>0</v>
      </c>
      <c r="AI260" s="162"/>
      <c r="AJ260" s="162">
        <f t="shared" ref="AJ260:AJ323" si="71">AI260*K260</f>
        <v>0</v>
      </c>
      <c r="AK260" s="163"/>
      <c r="AL260" s="164">
        <f t="shared" ref="AL260:AL323" si="72">AK260*K260</f>
        <v>0</v>
      </c>
      <c r="AM260" s="161"/>
      <c r="AN260" s="165">
        <f t="shared" ref="AN260:AN323" si="73">AM260*K260</f>
        <v>0</v>
      </c>
      <c r="AO260" s="160">
        <v>0</v>
      </c>
      <c r="AP260" s="166">
        <f t="shared" ref="AP260:AP323" si="74">AO260*K260</f>
        <v>0</v>
      </c>
      <c r="AQ260" s="162"/>
      <c r="AR260" s="162">
        <f t="shared" ref="AR260:AR323" si="75">AQ260*K260</f>
        <v>0</v>
      </c>
      <c r="AS260" s="173"/>
      <c r="AT260" s="167">
        <f t="shared" ref="AT260:AT323" si="76">AS260*K260</f>
        <v>0</v>
      </c>
      <c r="AU260" s="163"/>
      <c r="AV260" s="163">
        <f t="shared" ref="AV260:AV323" si="77">AU260*K260</f>
        <v>0</v>
      </c>
      <c r="AW260" s="162"/>
      <c r="AX260" s="168">
        <f t="shared" ref="AX260:AX323" si="78">AW260*K260</f>
        <v>0</v>
      </c>
      <c r="AY260" s="169"/>
      <c r="AZ260" s="170">
        <f t="shared" ref="AZ260:AZ323" si="79">AY260*K260</f>
        <v>0</v>
      </c>
      <c r="BA260" s="160"/>
      <c r="BB260" s="166">
        <f t="shared" ref="BB260:BB323" si="80">BA260*K260</f>
        <v>0</v>
      </c>
    </row>
    <row r="261" spans="1:54" s="131" customFormat="1" ht="112.5">
      <c r="A261" s="172" t="s">
        <v>6124</v>
      </c>
      <c r="B261" s="203" t="s">
        <v>645</v>
      </c>
      <c r="C261" s="203"/>
      <c r="D261" s="203"/>
      <c r="E261" s="203" t="s">
        <v>6126</v>
      </c>
      <c r="F261" s="205" t="s">
        <v>6127</v>
      </c>
      <c r="G261" s="205" t="s">
        <v>6102</v>
      </c>
      <c r="H261" s="204" t="s">
        <v>291</v>
      </c>
      <c r="I261" s="204" t="s">
        <v>11</v>
      </c>
      <c r="J261" s="205" t="s">
        <v>6009</v>
      </c>
      <c r="K261" s="206">
        <v>1400</v>
      </c>
      <c r="L261" s="206"/>
      <c r="M261" s="159">
        <f t="shared" si="66"/>
        <v>0</v>
      </c>
      <c r="N261" s="159"/>
      <c r="O261" s="159"/>
      <c r="P261" s="159"/>
      <c r="Q261" s="159"/>
      <c r="R261" s="159"/>
      <c r="S261" s="209" t="s">
        <v>5848</v>
      </c>
      <c r="T261" s="203" t="s">
        <v>5849</v>
      </c>
      <c r="U261" s="202" t="s">
        <v>6125</v>
      </c>
      <c r="V261" s="204">
        <v>1</v>
      </c>
      <c r="W261" s="203" t="s">
        <v>5104</v>
      </c>
      <c r="X261" s="204" t="s">
        <v>213</v>
      </c>
      <c r="Y261" s="206">
        <v>2500</v>
      </c>
      <c r="Z261" s="207">
        <v>10000</v>
      </c>
      <c r="AA261" s="207">
        <f t="shared" si="67"/>
        <v>14000000</v>
      </c>
      <c r="AB261" s="157">
        <v>10000</v>
      </c>
      <c r="AC261" s="158">
        <f t="shared" si="65"/>
        <v>10000</v>
      </c>
      <c r="AD261" s="159">
        <f t="shared" si="68"/>
        <v>0</v>
      </c>
      <c r="AE261" s="160"/>
      <c r="AF261" s="160">
        <f t="shared" si="69"/>
        <v>0</v>
      </c>
      <c r="AG261" s="165"/>
      <c r="AH261" s="161">
        <f t="shared" si="70"/>
        <v>0</v>
      </c>
      <c r="AI261" s="162"/>
      <c r="AJ261" s="162">
        <f t="shared" si="71"/>
        <v>0</v>
      </c>
      <c r="AK261" s="164"/>
      <c r="AL261" s="164">
        <f t="shared" si="72"/>
        <v>0</v>
      </c>
      <c r="AM261" s="165"/>
      <c r="AN261" s="165">
        <f t="shared" si="73"/>
        <v>0</v>
      </c>
      <c r="AO261" s="166">
        <v>0</v>
      </c>
      <c r="AP261" s="166">
        <f t="shared" si="74"/>
        <v>0</v>
      </c>
      <c r="AQ261" s="162"/>
      <c r="AR261" s="162">
        <f t="shared" si="75"/>
        <v>0</v>
      </c>
      <c r="AS261" s="173"/>
      <c r="AT261" s="167">
        <f t="shared" si="76"/>
        <v>0</v>
      </c>
      <c r="AU261" s="163"/>
      <c r="AV261" s="163">
        <f t="shared" si="77"/>
        <v>0</v>
      </c>
      <c r="AW261" s="168"/>
      <c r="AX261" s="168">
        <f t="shared" si="78"/>
        <v>0</v>
      </c>
      <c r="AY261" s="170"/>
      <c r="AZ261" s="170">
        <f t="shared" si="79"/>
        <v>0</v>
      </c>
      <c r="BA261" s="166"/>
      <c r="BB261" s="166">
        <f t="shared" si="80"/>
        <v>0</v>
      </c>
    </row>
    <row r="262" spans="1:54" s="131" customFormat="1">
      <c r="A262" s="148" t="s">
        <v>6128</v>
      </c>
      <c r="B262" s="203" t="s">
        <v>1488</v>
      </c>
      <c r="C262" s="203"/>
      <c r="D262" s="203"/>
      <c r="E262" s="203" t="s">
        <v>3881</v>
      </c>
      <c r="F262" s="205" t="s">
        <v>6130</v>
      </c>
      <c r="G262" s="205" t="s">
        <v>6131</v>
      </c>
      <c r="H262" s="204" t="s">
        <v>1173</v>
      </c>
      <c r="I262" s="204" t="s">
        <v>11</v>
      </c>
      <c r="J262" s="205" t="s">
        <v>6129</v>
      </c>
      <c r="K262" s="206">
        <v>4053</v>
      </c>
      <c r="L262" s="206"/>
      <c r="M262" s="159">
        <f t="shared" si="66"/>
        <v>24360</v>
      </c>
      <c r="N262" s="159"/>
      <c r="O262" s="159"/>
      <c r="P262" s="159"/>
      <c r="Q262" s="159"/>
      <c r="R262" s="159"/>
      <c r="S262" s="149" t="s">
        <v>5874</v>
      </c>
      <c r="T262" s="149" t="s">
        <v>5875</v>
      </c>
      <c r="U262" s="202" t="s">
        <v>3880</v>
      </c>
      <c r="V262" s="204">
        <v>1</v>
      </c>
      <c r="W262" s="203" t="s">
        <v>5111</v>
      </c>
      <c r="X262" s="204" t="s">
        <v>5185</v>
      </c>
      <c r="Y262" s="206">
        <v>7350</v>
      </c>
      <c r="Z262" s="207">
        <v>60000</v>
      </c>
      <c r="AA262" s="207">
        <f t="shared" si="67"/>
        <v>243180000</v>
      </c>
      <c r="AB262" s="157">
        <v>60000</v>
      </c>
      <c r="AC262" s="158">
        <f t="shared" si="65"/>
        <v>35640</v>
      </c>
      <c r="AD262" s="159">
        <f t="shared" si="68"/>
        <v>98731080</v>
      </c>
      <c r="AE262" s="160"/>
      <c r="AF262" s="160">
        <f t="shared" si="69"/>
        <v>0</v>
      </c>
      <c r="AG262" s="165"/>
      <c r="AH262" s="161">
        <f t="shared" si="70"/>
        <v>0</v>
      </c>
      <c r="AI262" s="162"/>
      <c r="AJ262" s="162">
        <f t="shared" si="71"/>
        <v>0</v>
      </c>
      <c r="AK262" s="164"/>
      <c r="AL262" s="164">
        <f t="shared" si="72"/>
        <v>0</v>
      </c>
      <c r="AM262" s="165">
        <v>21560</v>
      </c>
      <c r="AN262" s="165">
        <f t="shared" si="73"/>
        <v>87382680</v>
      </c>
      <c r="AO262" s="166">
        <v>0</v>
      </c>
      <c r="AP262" s="166">
        <f t="shared" si="74"/>
        <v>0</v>
      </c>
      <c r="AQ262" s="162"/>
      <c r="AR262" s="162">
        <f t="shared" si="75"/>
        <v>0</v>
      </c>
      <c r="AS262" s="173">
        <v>2800</v>
      </c>
      <c r="AT262" s="167">
        <f t="shared" si="76"/>
        <v>11348400</v>
      </c>
      <c r="AU262" s="163"/>
      <c r="AV262" s="163">
        <f t="shared" si="77"/>
        <v>0</v>
      </c>
      <c r="AW262" s="168"/>
      <c r="AX262" s="168">
        <f t="shared" si="78"/>
        <v>0</v>
      </c>
      <c r="AY262" s="170"/>
      <c r="AZ262" s="170">
        <f t="shared" si="79"/>
        <v>0</v>
      </c>
      <c r="BA262" s="166"/>
      <c r="BB262" s="166">
        <f t="shared" si="80"/>
        <v>0</v>
      </c>
    </row>
    <row r="263" spans="1:54" s="131" customFormat="1" ht="31.5">
      <c r="A263" s="148" t="s">
        <v>6132</v>
      </c>
      <c r="B263" s="203" t="s">
        <v>6133</v>
      </c>
      <c r="C263" s="203"/>
      <c r="D263" s="203"/>
      <c r="E263" s="203" t="s">
        <v>6135</v>
      </c>
      <c r="F263" s="205" t="s">
        <v>2109</v>
      </c>
      <c r="G263" s="205" t="s">
        <v>2056</v>
      </c>
      <c r="H263" s="204" t="s">
        <v>6134</v>
      </c>
      <c r="I263" s="204" t="s">
        <v>520</v>
      </c>
      <c r="J263" s="205" t="s">
        <v>6136</v>
      </c>
      <c r="K263" s="206">
        <v>124999</v>
      </c>
      <c r="L263" s="206"/>
      <c r="M263" s="159">
        <f t="shared" si="66"/>
        <v>0</v>
      </c>
      <c r="N263" s="159"/>
      <c r="O263" s="159"/>
      <c r="P263" s="159"/>
      <c r="Q263" s="159"/>
      <c r="R263" s="159"/>
      <c r="S263" s="150" t="s">
        <v>5118</v>
      </c>
      <c r="T263" s="150" t="s">
        <v>5119</v>
      </c>
      <c r="U263" s="202" t="s">
        <v>4204</v>
      </c>
      <c r="V263" s="204">
        <v>1</v>
      </c>
      <c r="W263" s="203" t="s">
        <v>253</v>
      </c>
      <c r="X263" s="204" t="s">
        <v>5116</v>
      </c>
      <c r="Y263" s="206">
        <v>125000</v>
      </c>
      <c r="Z263" s="207">
        <v>50</v>
      </c>
      <c r="AA263" s="207">
        <f t="shared" si="67"/>
        <v>6249950</v>
      </c>
      <c r="AB263" s="157">
        <v>50</v>
      </c>
      <c r="AC263" s="158">
        <f t="shared" si="65"/>
        <v>50</v>
      </c>
      <c r="AD263" s="159">
        <f t="shared" si="68"/>
        <v>0</v>
      </c>
      <c r="AE263" s="160"/>
      <c r="AF263" s="160">
        <f t="shared" si="69"/>
        <v>0</v>
      </c>
      <c r="AG263" s="165"/>
      <c r="AH263" s="161">
        <f t="shared" si="70"/>
        <v>0</v>
      </c>
      <c r="AI263" s="162"/>
      <c r="AJ263" s="162">
        <f t="shared" si="71"/>
        <v>0</v>
      </c>
      <c r="AK263" s="164"/>
      <c r="AL263" s="164">
        <f t="shared" si="72"/>
        <v>0</v>
      </c>
      <c r="AM263" s="165"/>
      <c r="AN263" s="165">
        <f t="shared" si="73"/>
        <v>0</v>
      </c>
      <c r="AO263" s="166">
        <v>0</v>
      </c>
      <c r="AP263" s="166">
        <f t="shared" si="74"/>
        <v>0</v>
      </c>
      <c r="AQ263" s="162"/>
      <c r="AR263" s="162">
        <f t="shared" si="75"/>
        <v>0</v>
      </c>
      <c r="AS263" s="173"/>
      <c r="AT263" s="167">
        <f t="shared" si="76"/>
        <v>0</v>
      </c>
      <c r="AU263" s="163"/>
      <c r="AV263" s="163">
        <f t="shared" si="77"/>
        <v>0</v>
      </c>
      <c r="AW263" s="168"/>
      <c r="AX263" s="168">
        <f t="shared" si="78"/>
        <v>0</v>
      </c>
      <c r="AY263" s="170"/>
      <c r="AZ263" s="170">
        <f t="shared" si="79"/>
        <v>0</v>
      </c>
      <c r="BA263" s="166"/>
      <c r="BB263" s="166">
        <f t="shared" si="80"/>
        <v>0</v>
      </c>
    </row>
    <row r="264" spans="1:54" s="131" customFormat="1" ht="31.5">
      <c r="A264" s="172" t="s">
        <v>6137</v>
      </c>
      <c r="B264" s="203" t="s">
        <v>1123</v>
      </c>
      <c r="C264" s="203"/>
      <c r="D264" s="203"/>
      <c r="E264" s="203" t="s">
        <v>6139</v>
      </c>
      <c r="F264" s="205" t="s">
        <v>6141</v>
      </c>
      <c r="G264" s="205" t="s">
        <v>954</v>
      </c>
      <c r="H264" s="204" t="s">
        <v>310</v>
      </c>
      <c r="I264" s="204" t="s">
        <v>11</v>
      </c>
      <c r="J264" s="205" t="s">
        <v>6140</v>
      </c>
      <c r="K264" s="206">
        <v>3555</v>
      </c>
      <c r="L264" s="206"/>
      <c r="M264" s="159">
        <f t="shared" si="66"/>
        <v>0</v>
      </c>
      <c r="N264" s="159"/>
      <c r="O264" s="159"/>
      <c r="P264" s="159"/>
      <c r="Q264" s="159"/>
      <c r="R264" s="159"/>
      <c r="S264" s="149" t="s">
        <v>5099</v>
      </c>
      <c r="T264" s="150" t="s">
        <v>5100</v>
      </c>
      <c r="U264" s="202" t="s">
        <v>6138</v>
      </c>
      <c r="V264" s="204">
        <v>1</v>
      </c>
      <c r="W264" s="203" t="s">
        <v>253</v>
      </c>
      <c r="X264" s="204" t="s">
        <v>6012</v>
      </c>
      <c r="Y264" s="206">
        <v>6351</v>
      </c>
      <c r="Z264" s="207">
        <v>20000</v>
      </c>
      <c r="AA264" s="207">
        <f t="shared" si="67"/>
        <v>71100000</v>
      </c>
      <c r="AB264" s="157">
        <v>20000</v>
      </c>
      <c r="AC264" s="158">
        <f t="shared" si="65"/>
        <v>20000</v>
      </c>
      <c r="AD264" s="159">
        <f t="shared" si="68"/>
        <v>0</v>
      </c>
      <c r="AE264" s="160"/>
      <c r="AF264" s="160">
        <f t="shared" si="69"/>
        <v>0</v>
      </c>
      <c r="AG264" s="165"/>
      <c r="AH264" s="161">
        <f t="shared" si="70"/>
        <v>0</v>
      </c>
      <c r="AI264" s="162"/>
      <c r="AJ264" s="162">
        <f t="shared" si="71"/>
        <v>0</v>
      </c>
      <c r="AK264" s="164"/>
      <c r="AL264" s="164">
        <f t="shared" si="72"/>
        <v>0</v>
      </c>
      <c r="AM264" s="165"/>
      <c r="AN264" s="165">
        <f t="shared" si="73"/>
        <v>0</v>
      </c>
      <c r="AO264" s="166">
        <v>0</v>
      </c>
      <c r="AP264" s="166">
        <f t="shared" si="74"/>
        <v>0</v>
      </c>
      <c r="AQ264" s="162"/>
      <c r="AR264" s="162">
        <f t="shared" si="75"/>
        <v>0</v>
      </c>
      <c r="AS264" s="173"/>
      <c r="AT264" s="167">
        <f t="shared" si="76"/>
        <v>0</v>
      </c>
      <c r="AU264" s="163"/>
      <c r="AV264" s="163">
        <f t="shared" si="77"/>
        <v>0</v>
      </c>
      <c r="AW264" s="168"/>
      <c r="AX264" s="168">
        <f t="shared" si="78"/>
        <v>0</v>
      </c>
      <c r="AY264" s="170"/>
      <c r="AZ264" s="170">
        <f t="shared" si="79"/>
        <v>0</v>
      </c>
      <c r="BA264" s="166"/>
      <c r="BB264" s="166">
        <f t="shared" si="80"/>
        <v>0</v>
      </c>
    </row>
    <row r="265" spans="1:54" s="131" customFormat="1" ht="31.5">
      <c r="A265" s="148" t="s">
        <v>6142</v>
      </c>
      <c r="B265" s="203" t="s">
        <v>788</v>
      </c>
      <c r="C265" s="203"/>
      <c r="D265" s="203"/>
      <c r="E265" s="203" t="s">
        <v>4252</v>
      </c>
      <c r="F265" s="205" t="s">
        <v>6144</v>
      </c>
      <c r="G265" s="205" t="s">
        <v>954</v>
      </c>
      <c r="H265" s="204" t="s">
        <v>390</v>
      </c>
      <c r="I265" s="204" t="s">
        <v>11</v>
      </c>
      <c r="J265" s="205" t="s">
        <v>6143</v>
      </c>
      <c r="K265" s="206">
        <v>1515</v>
      </c>
      <c r="L265" s="206"/>
      <c r="M265" s="159">
        <f t="shared" si="66"/>
        <v>3000</v>
      </c>
      <c r="N265" s="159"/>
      <c r="O265" s="159"/>
      <c r="P265" s="159"/>
      <c r="Q265" s="159"/>
      <c r="R265" s="159"/>
      <c r="S265" s="149" t="s">
        <v>5099</v>
      </c>
      <c r="T265" s="150" t="s">
        <v>5100</v>
      </c>
      <c r="U265" s="202" t="s">
        <v>4251</v>
      </c>
      <c r="V265" s="204">
        <v>1</v>
      </c>
      <c r="W265" s="203" t="s">
        <v>253</v>
      </c>
      <c r="X265" s="204" t="s">
        <v>6012</v>
      </c>
      <c r="Y265" s="206">
        <v>3000</v>
      </c>
      <c r="Z265" s="207">
        <v>10000</v>
      </c>
      <c r="AA265" s="207">
        <f t="shared" si="67"/>
        <v>15150000</v>
      </c>
      <c r="AB265" s="157">
        <v>10000</v>
      </c>
      <c r="AC265" s="158">
        <f t="shared" si="65"/>
        <v>7000</v>
      </c>
      <c r="AD265" s="159">
        <f t="shared" si="68"/>
        <v>4545000</v>
      </c>
      <c r="AE265" s="160"/>
      <c r="AF265" s="160">
        <f t="shared" si="69"/>
        <v>0</v>
      </c>
      <c r="AG265" s="165"/>
      <c r="AH265" s="161">
        <f t="shared" si="70"/>
        <v>0</v>
      </c>
      <c r="AI265" s="162"/>
      <c r="AJ265" s="162">
        <f t="shared" si="71"/>
        <v>0</v>
      </c>
      <c r="AK265" s="164"/>
      <c r="AL265" s="164">
        <f t="shared" si="72"/>
        <v>0</v>
      </c>
      <c r="AM265" s="165"/>
      <c r="AN265" s="165">
        <f t="shared" si="73"/>
        <v>0</v>
      </c>
      <c r="AO265" s="166">
        <v>0</v>
      </c>
      <c r="AP265" s="166">
        <f t="shared" si="74"/>
        <v>0</v>
      </c>
      <c r="AQ265" s="162"/>
      <c r="AR265" s="162">
        <f t="shared" si="75"/>
        <v>0</v>
      </c>
      <c r="AS265" s="173">
        <f>300+2700</f>
        <v>3000</v>
      </c>
      <c r="AT265" s="167">
        <f t="shared" si="76"/>
        <v>4545000</v>
      </c>
      <c r="AU265" s="163"/>
      <c r="AV265" s="163">
        <f t="shared" si="77"/>
        <v>0</v>
      </c>
      <c r="AW265" s="168"/>
      <c r="AX265" s="168">
        <f t="shared" si="78"/>
        <v>0</v>
      </c>
      <c r="AY265" s="170"/>
      <c r="AZ265" s="170">
        <f t="shared" si="79"/>
        <v>0</v>
      </c>
      <c r="BA265" s="166"/>
      <c r="BB265" s="166">
        <f t="shared" si="80"/>
        <v>0</v>
      </c>
    </row>
    <row r="266" spans="1:54" s="131" customFormat="1" ht="31.5">
      <c r="A266" s="148" t="s">
        <v>6145</v>
      </c>
      <c r="B266" s="203" t="s">
        <v>3898</v>
      </c>
      <c r="C266" s="203"/>
      <c r="D266" s="203"/>
      <c r="E266" s="203" t="s">
        <v>3897</v>
      </c>
      <c r="F266" s="205" t="s">
        <v>1009</v>
      </c>
      <c r="G266" s="205" t="s">
        <v>1010</v>
      </c>
      <c r="H266" s="204" t="s">
        <v>3899</v>
      </c>
      <c r="I266" s="204" t="s">
        <v>11</v>
      </c>
      <c r="J266" s="205" t="s">
        <v>6146</v>
      </c>
      <c r="K266" s="206">
        <v>6589</v>
      </c>
      <c r="L266" s="206"/>
      <c r="M266" s="159">
        <f t="shared" si="66"/>
        <v>4950</v>
      </c>
      <c r="N266" s="159"/>
      <c r="O266" s="159"/>
      <c r="P266" s="159"/>
      <c r="Q266" s="159"/>
      <c r="R266" s="159"/>
      <c r="S266" s="149" t="s">
        <v>5099</v>
      </c>
      <c r="T266" s="150" t="s">
        <v>5100</v>
      </c>
      <c r="U266" s="202" t="s">
        <v>3896</v>
      </c>
      <c r="V266" s="204">
        <v>1</v>
      </c>
      <c r="W266" s="203" t="s">
        <v>5104</v>
      </c>
      <c r="X266" s="204" t="s">
        <v>6147</v>
      </c>
      <c r="Y266" s="206">
        <v>7242</v>
      </c>
      <c r="Z266" s="207">
        <v>40000</v>
      </c>
      <c r="AA266" s="207">
        <f t="shared" si="67"/>
        <v>263560000</v>
      </c>
      <c r="AB266" s="157">
        <v>40000</v>
      </c>
      <c r="AC266" s="158">
        <f t="shared" si="65"/>
        <v>35050</v>
      </c>
      <c r="AD266" s="159">
        <f t="shared" si="68"/>
        <v>32615550</v>
      </c>
      <c r="AE266" s="160"/>
      <c r="AF266" s="160">
        <f t="shared" si="69"/>
        <v>0</v>
      </c>
      <c r="AG266" s="165">
        <v>3000</v>
      </c>
      <c r="AH266" s="161">
        <f t="shared" si="70"/>
        <v>19767000</v>
      </c>
      <c r="AI266" s="162"/>
      <c r="AJ266" s="162">
        <f t="shared" si="71"/>
        <v>0</v>
      </c>
      <c r="AK266" s="164"/>
      <c r="AL266" s="164">
        <f t="shared" si="72"/>
        <v>0</v>
      </c>
      <c r="AM266" s="165">
        <v>1500</v>
      </c>
      <c r="AN266" s="165">
        <f t="shared" si="73"/>
        <v>9883500</v>
      </c>
      <c r="AO266" s="166">
        <v>0</v>
      </c>
      <c r="AP266" s="166">
        <f t="shared" si="74"/>
        <v>0</v>
      </c>
      <c r="AQ266" s="162"/>
      <c r="AR266" s="162">
        <f t="shared" si="75"/>
        <v>0</v>
      </c>
      <c r="AS266" s="173">
        <v>450</v>
      </c>
      <c r="AT266" s="167">
        <f t="shared" si="76"/>
        <v>2965050</v>
      </c>
      <c r="AU266" s="163"/>
      <c r="AV266" s="163">
        <f t="shared" si="77"/>
        <v>0</v>
      </c>
      <c r="AW266" s="168"/>
      <c r="AX266" s="168">
        <f t="shared" si="78"/>
        <v>0</v>
      </c>
      <c r="AY266" s="170"/>
      <c r="AZ266" s="170">
        <f t="shared" si="79"/>
        <v>0</v>
      </c>
      <c r="BA266" s="166"/>
      <c r="BB266" s="166">
        <f t="shared" si="80"/>
        <v>0</v>
      </c>
    </row>
    <row r="267" spans="1:54" s="131" customFormat="1" ht="31.5">
      <c r="A267" s="172" t="s">
        <v>6148</v>
      </c>
      <c r="B267" s="203" t="s">
        <v>1245</v>
      </c>
      <c r="C267" s="203"/>
      <c r="D267" s="203"/>
      <c r="E267" s="203" t="s">
        <v>3904</v>
      </c>
      <c r="F267" s="205" t="s">
        <v>2850</v>
      </c>
      <c r="G267" s="205" t="s">
        <v>312</v>
      </c>
      <c r="H267" s="204" t="s">
        <v>3905</v>
      </c>
      <c r="I267" s="204" t="s">
        <v>11</v>
      </c>
      <c r="J267" s="205" t="s">
        <v>6149</v>
      </c>
      <c r="K267" s="206">
        <v>6500</v>
      </c>
      <c r="L267" s="206"/>
      <c r="M267" s="159">
        <f t="shared" si="66"/>
        <v>3450</v>
      </c>
      <c r="N267" s="159"/>
      <c r="O267" s="159"/>
      <c r="P267" s="159"/>
      <c r="Q267" s="159"/>
      <c r="R267" s="159"/>
      <c r="S267" s="149" t="s">
        <v>5099</v>
      </c>
      <c r="T267" s="150" t="s">
        <v>5100</v>
      </c>
      <c r="U267" s="202" t="s">
        <v>3903</v>
      </c>
      <c r="V267" s="204">
        <v>1</v>
      </c>
      <c r="W267" s="203" t="s">
        <v>5104</v>
      </c>
      <c r="X267" s="204" t="s">
        <v>5116</v>
      </c>
      <c r="Y267" s="206">
        <v>6500</v>
      </c>
      <c r="Z267" s="207">
        <v>30000</v>
      </c>
      <c r="AA267" s="207">
        <f t="shared" si="67"/>
        <v>195000000</v>
      </c>
      <c r="AB267" s="157">
        <v>30000</v>
      </c>
      <c r="AC267" s="158">
        <f t="shared" si="65"/>
        <v>26550</v>
      </c>
      <c r="AD267" s="159">
        <f t="shared" si="68"/>
        <v>22425000</v>
      </c>
      <c r="AE267" s="160"/>
      <c r="AF267" s="160">
        <f t="shared" si="69"/>
        <v>0</v>
      </c>
      <c r="AG267" s="165"/>
      <c r="AH267" s="161">
        <f t="shared" si="70"/>
        <v>0</v>
      </c>
      <c r="AI267" s="162">
        <v>3000</v>
      </c>
      <c r="AJ267" s="162">
        <f t="shared" si="71"/>
        <v>19500000</v>
      </c>
      <c r="AK267" s="164"/>
      <c r="AL267" s="164">
        <f t="shared" si="72"/>
        <v>0</v>
      </c>
      <c r="AM267" s="165"/>
      <c r="AN267" s="165">
        <f t="shared" si="73"/>
        <v>0</v>
      </c>
      <c r="AO267" s="166">
        <v>0</v>
      </c>
      <c r="AP267" s="166">
        <f t="shared" si="74"/>
        <v>0</v>
      </c>
      <c r="AQ267" s="162"/>
      <c r="AR267" s="162">
        <f t="shared" si="75"/>
        <v>0</v>
      </c>
      <c r="AS267" s="173">
        <v>450</v>
      </c>
      <c r="AT267" s="167">
        <f t="shared" si="76"/>
        <v>2925000</v>
      </c>
      <c r="AU267" s="163"/>
      <c r="AV267" s="163">
        <f t="shared" si="77"/>
        <v>0</v>
      </c>
      <c r="AW267" s="168"/>
      <c r="AX267" s="168">
        <f t="shared" si="78"/>
        <v>0</v>
      </c>
      <c r="AY267" s="170"/>
      <c r="AZ267" s="170">
        <f t="shared" si="79"/>
        <v>0</v>
      </c>
      <c r="BA267" s="166"/>
      <c r="BB267" s="166">
        <f t="shared" si="80"/>
        <v>0</v>
      </c>
    </row>
    <row r="268" spans="1:54" s="131" customFormat="1" ht="31.5">
      <c r="A268" s="148" t="s">
        <v>6150</v>
      </c>
      <c r="B268" s="203" t="s">
        <v>4285</v>
      </c>
      <c r="C268" s="203"/>
      <c r="D268" s="203"/>
      <c r="E268" s="203" t="s">
        <v>4284</v>
      </c>
      <c r="F268" s="205" t="s">
        <v>6154</v>
      </c>
      <c r="G268" s="205" t="s">
        <v>6155</v>
      </c>
      <c r="H268" s="204" t="s">
        <v>327</v>
      </c>
      <c r="I268" s="204" t="s">
        <v>11</v>
      </c>
      <c r="J268" s="205" t="s">
        <v>6153</v>
      </c>
      <c r="K268" s="206">
        <v>5481</v>
      </c>
      <c r="L268" s="206"/>
      <c r="M268" s="159">
        <f t="shared" si="66"/>
        <v>9856</v>
      </c>
      <c r="N268" s="159"/>
      <c r="O268" s="159"/>
      <c r="P268" s="159"/>
      <c r="Q268" s="159"/>
      <c r="R268" s="159"/>
      <c r="S268" s="149" t="s">
        <v>6151</v>
      </c>
      <c r="T268" s="150" t="s">
        <v>6152</v>
      </c>
      <c r="U268" s="202" t="s">
        <v>4283</v>
      </c>
      <c r="V268" s="204">
        <v>1</v>
      </c>
      <c r="W268" s="203" t="s">
        <v>5104</v>
      </c>
      <c r="X268" s="204" t="s">
        <v>6156</v>
      </c>
      <c r="Y268" s="206">
        <v>5500</v>
      </c>
      <c r="Z268" s="207">
        <v>20000</v>
      </c>
      <c r="AA268" s="207">
        <f t="shared" si="67"/>
        <v>109620000</v>
      </c>
      <c r="AB268" s="157">
        <v>20000</v>
      </c>
      <c r="AC268" s="158">
        <f t="shared" si="65"/>
        <v>10144</v>
      </c>
      <c r="AD268" s="159">
        <f t="shared" si="68"/>
        <v>54020736</v>
      </c>
      <c r="AE268" s="160"/>
      <c r="AF268" s="160">
        <f t="shared" si="69"/>
        <v>0</v>
      </c>
      <c r="AG268" s="165"/>
      <c r="AH268" s="161">
        <f t="shared" si="70"/>
        <v>0</v>
      </c>
      <c r="AI268" s="162"/>
      <c r="AJ268" s="162">
        <f t="shared" si="71"/>
        <v>0</v>
      </c>
      <c r="AK268" s="164"/>
      <c r="AL268" s="164">
        <f t="shared" si="72"/>
        <v>0</v>
      </c>
      <c r="AM268" s="165">
        <v>2968</v>
      </c>
      <c r="AN268" s="165">
        <f t="shared" si="73"/>
        <v>16267608</v>
      </c>
      <c r="AO268" s="166">
        <v>2968</v>
      </c>
      <c r="AP268" s="166">
        <f t="shared" si="74"/>
        <v>16267608</v>
      </c>
      <c r="AQ268" s="162"/>
      <c r="AR268" s="162">
        <f t="shared" si="75"/>
        <v>0</v>
      </c>
      <c r="AS268" s="173"/>
      <c r="AT268" s="167">
        <f t="shared" si="76"/>
        <v>0</v>
      </c>
      <c r="AU268" s="163">
        <f>1848+2072</f>
        <v>3920</v>
      </c>
      <c r="AV268" s="163">
        <f t="shared" si="77"/>
        <v>21485520</v>
      </c>
      <c r="AW268" s="168"/>
      <c r="AX268" s="168">
        <f t="shared" si="78"/>
        <v>0</v>
      </c>
      <c r="AY268" s="170"/>
      <c r="AZ268" s="170">
        <f t="shared" si="79"/>
        <v>0</v>
      </c>
      <c r="BA268" s="166"/>
      <c r="BB268" s="166">
        <f t="shared" si="80"/>
        <v>0</v>
      </c>
    </row>
    <row r="269" spans="1:54" s="131" customFormat="1" ht="31.5">
      <c r="A269" s="148" t="s">
        <v>6157</v>
      </c>
      <c r="B269" s="203" t="s">
        <v>1999</v>
      </c>
      <c r="C269" s="203"/>
      <c r="D269" s="203"/>
      <c r="E269" s="203" t="s">
        <v>3730</v>
      </c>
      <c r="F269" s="205" t="s">
        <v>6158</v>
      </c>
      <c r="G269" s="205" t="s">
        <v>1412</v>
      </c>
      <c r="H269" s="204" t="s">
        <v>2001</v>
      </c>
      <c r="I269" s="204" t="s">
        <v>11</v>
      </c>
      <c r="J269" s="205" t="s">
        <v>5707</v>
      </c>
      <c r="K269" s="206">
        <v>9800</v>
      </c>
      <c r="L269" s="206"/>
      <c r="M269" s="159">
        <f t="shared" si="66"/>
        <v>19992</v>
      </c>
      <c r="N269" s="159"/>
      <c r="O269" s="159"/>
      <c r="P269" s="159"/>
      <c r="Q269" s="159"/>
      <c r="R269" s="159"/>
      <c r="S269" s="149" t="s">
        <v>5206</v>
      </c>
      <c r="T269" s="149" t="s">
        <v>5207</v>
      </c>
      <c r="U269" s="202" t="s">
        <v>3729</v>
      </c>
      <c r="V269" s="204">
        <v>1</v>
      </c>
      <c r="W269" s="203" t="s">
        <v>253</v>
      </c>
      <c r="X269" s="204" t="s">
        <v>5710</v>
      </c>
      <c r="Y269" s="206">
        <v>9800</v>
      </c>
      <c r="Z269" s="207">
        <v>20000</v>
      </c>
      <c r="AA269" s="207">
        <f t="shared" si="67"/>
        <v>196000000</v>
      </c>
      <c r="AB269" s="157">
        <v>20000</v>
      </c>
      <c r="AC269" s="158">
        <f t="shared" si="65"/>
        <v>8</v>
      </c>
      <c r="AD269" s="159">
        <f t="shared" si="68"/>
        <v>195921600</v>
      </c>
      <c r="AE269" s="160"/>
      <c r="AF269" s="160">
        <f t="shared" si="69"/>
        <v>0</v>
      </c>
      <c r="AG269" s="165"/>
      <c r="AH269" s="161">
        <f t="shared" si="70"/>
        <v>0</v>
      </c>
      <c r="AI269" s="162"/>
      <c r="AJ269" s="162">
        <f t="shared" si="71"/>
        <v>0</v>
      </c>
      <c r="AK269" s="164"/>
      <c r="AL269" s="164">
        <f t="shared" si="72"/>
        <v>0</v>
      </c>
      <c r="AM269" s="165">
        <f>9996+9996</f>
        <v>19992</v>
      </c>
      <c r="AN269" s="165">
        <f t="shared" si="73"/>
        <v>195921600</v>
      </c>
      <c r="AO269" s="166">
        <v>0</v>
      </c>
      <c r="AP269" s="166">
        <f t="shared" si="74"/>
        <v>0</v>
      </c>
      <c r="AQ269" s="162"/>
      <c r="AR269" s="162">
        <f t="shared" si="75"/>
        <v>0</v>
      </c>
      <c r="AS269" s="173"/>
      <c r="AT269" s="167">
        <f t="shared" si="76"/>
        <v>0</v>
      </c>
      <c r="AU269" s="163"/>
      <c r="AV269" s="163">
        <f t="shared" si="77"/>
        <v>0</v>
      </c>
      <c r="AW269" s="168"/>
      <c r="AX269" s="168">
        <f t="shared" si="78"/>
        <v>0</v>
      </c>
      <c r="AY269" s="170"/>
      <c r="AZ269" s="170">
        <f t="shared" si="79"/>
        <v>0</v>
      </c>
      <c r="BA269" s="166"/>
      <c r="BB269" s="166">
        <f t="shared" si="80"/>
        <v>0</v>
      </c>
    </row>
    <row r="270" spans="1:54" s="131" customFormat="1" ht="31.5">
      <c r="A270" s="172" t="s">
        <v>6159</v>
      </c>
      <c r="B270" s="203" t="s">
        <v>719</v>
      </c>
      <c r="C270" s="203"/>
      <c r="D270" s="203"/>
      <c r="E270" s="203" t="s">
        <v>720</v>
      </c>
      <c r="F270" s="205" t="s">
        <v>6161</v>
      </c>
      <c r="G270" s="205" t="s">
        <v>5833</v>
      </c>
      <c r="H270" s="204" t="s">
        <v>721</v>
      </c>
      <c r="I270" s="204" t="s">
        <v>658</v>
      </c>
      <c r="J270" s="205" t="s">
        <v>6160</v>
      </c>
      <c r="K270" s="206">
        <v>144900</v>
      </c>
      <c r="L270" s="206"/>
      <c r="M270" s="159">
        <f t="shared" si="66"/>
        <v>10</v>
      </c>
      <c r="N270" s="159"/>
      <c r="O270" s="159"/>
      <c r="P270" s="159"/>
      <c r="Q270" s="159"/>
      <c r="R270" s="159"/>
      <c r="S270" s="149" t="s">
        <v>5830</v>
      </c>
      <c r="T270" s="149" t="s">
        <v>5831</v>
      </c>
      <c r="U270" s="202" t="s">
        <v>3940</v>
      </c>
      <c r="V270" s="204">
        <v>1</v>
      </c>
      <c r="W270" s="203" t="s">
        <v>253</v>
      </c>
      <c r="X270" s="204" t="s">
        <v>5185</v>
      </c>
      <c r="Y270" s="206">
        <v>145000</v>
      </c>
      <c r="Z270" s="207">
        <v>50</v>
      </c>
      <c r="AA270" s="207">
        <f t="shared" si="67"/>
        <v>7245000</v>
      </c>
      <c r="AB270" s="157">
        <v>50</v>
      </c>
      <c r="AC270" s="158">
        <f t="shared" si="65"/>
        <v>40</v>
      </c>
      <c r="AD270" s="159">
        <f t="shared" si="68"/>
        <v>1449000</v>
      </c>
      <c r="AE270" s="160"/>
      <c r="AF270" s="160">
        <f t="shared" si="69"/>
        <v>0</v>
      </c>
      <c r="AG270" s="165">
        <v>10</v>
      </c>
      <c r="AH270" s="161">
        <f t="shared" si="70"/>
        <v>1449000</v>
      </c>
      <c r="AI270" s="162"/>
      <c r="AJ270" s="162">
        <f t="shared" si="71"/>
        <v>0</v>
      </c>
      <c r="AK270" s="163"/>
      <c r="AL270" s="164">
        <f t="shared" si="72"/>
        <v>0</v>
      </c>
      <c r="AM270" s="161"/>
      <c r="AN270" s="165">
        <f t="shared" si="73"/>
        <v>0</v>
      </c>
      <c r="AO270" s="160">
        <v>0</v>
      </c>
      <c r="AP270" s="166">
        <f t="shared" si="74"/>
        <v>0</v>
      </c>
      <c r="AQ270" s="162"/>
      <c r="AR270" s="162">
        <f t="shared" si="75"/>
        <v>0</v>
      </c>
      <c r="AS270" s="173"/>
      <c r="AT270" s="167">
        <f t="shared" si="76"/>
        <v>0</v>
      </c>
      <c r="AU270" s="163"/>
      <c r="AV270" s="163">
        <f t="shared" si="77"/>
        <v>0</v>
      </c>
      <c r="AW270" s="162"/>
      <c r="AX270" s="168">
        <f t="shared" si="78"/>
        <v>0</v>
      </c>
      <c r="AY270" s="169"/>
      <c r="AZ270" s="170">
        <f t="shared" si="79"/>
        <v>0</v>
      </c>
      <c r="BA270" s="160"/>
      <c r="BB270" s="166">
        <f t="shared" si="80"/>
        <v>0</v>
      </c>
    </row>
    <row r="271" spans="1:54" s="131" customFormat="1" ht="31.5">
      <c r="A271" s="148" t="s">
        <v>6162</v>
      </c>
      <c r="B271" s="203" t="s">
        <v>2605</v>
      </c>
      <c r="C271" s="203"/>
      <c r="D271" s="203"/>
      <c r="E271" s="203" t="s">
        <v>2604</v>
      </c>
      <c r="F271" s="205" t="s">
        <v>6164</v>
      </c>
      <c r="G271" s="205" t="s">
        <v>5837</v>
      </c>
      <c r="H271" s="204" t="s">
        <v>3957</v>
      </c>
      <c r="I271" s="204" t="s">
        <v>520</v>
      </c>
      <c r="J271" s="205" t="s">
        <v>6163</v>
      </c>
      <c r="K271" s="206">
        <v>23940</v>
      </c>
      <c r="L271" s="206"/>
      <c r="M271" s="159">
        <f t="shared" si="66"/>
        <v>20</v>
      </c>
      <c r="N271" s="159"/>
      <c r="O271" s="159"/>
      <c r="P271" s="159"/>
      <c r="Q271" s="159"/>
      <c r="R271" s="159"/>
      <c r="S271" s="150" t="s">
        <v>5162</v>
      </c>
      <c r="T271" s="150" t="s">
        <v>5163</v>
      </c>
      <c r="U271" s="202" t="s">
        <v>3956</v>
      </c>
      <c r="V271" s="204">
        <v>1</v>
      </c>
      <c r="W271" s="203" t="s">
        <v>253</v>
      </c>
      <c r="X271" s="204" t="s">
        <v>5217</v>
      </c>
      <c r="Y271" s="206">
        <v>24000</v>
      </c>
      <c r="Z271" s="207">
        <v>100</v>
      </c>
      <c r="AA271" s="207">
        <f t="shared" si="67"/>
        <v>2394000</v>
      </c>
      <c r="AB271" s="157">
        <v>100</v>
      </c>
      <c r="AC271" s="158">
        <f t="shared" si="65"/>
        <v>80</v>
      </c>
      <c r="AD271" s="159">
        <f t="shared" si="68"/>
        <v>478800</v>
      </c>
      <c r="AE271" s="160"/>
      <c r="AF271" s="160">
        <f t="shared" si="69"/>
        <v>0</v>
      </c>
      <c r="AG271" s="165">
        <v>20</v>
      </c>
      <c r="AH271" s="161">
        <f t="shared" si="70"/>
        <v>478800</v>
      </c>
      <c r="AI271" s="162"/>
      <c r="AJ271" s="162">
        <f t="shared" si="71"/>
        <v>0</v>
      </c>
      <c r="AK271" s="163"/>
      <c r="AL271" s="164">
        <f t="shared" si="72"/>
        <v>0</v>
      </c>
      <c r="AM271" s="161"/>
      <c r="AN271" s="165">
        <f t="shared" si="73"/>
        <v>0</v>
      </c>
      <c r="AO271" s="160">
        <v>0</v>
      </c>
      <c r="AP271" s="166">
        <f t="shared" si="74"/>
        <v>0</v>
      </c>
      <c r="AQ271" s="162"/>
      <c r="AR271" s="162">
        <f t="shared" si="75"/>
        <v>0</v>
      </c>
      <c r="AS271" s="173"/>
      <c r="AT271" s="167">
        <f t="shared" si="76"/>
        <v>0</v>
      </c>
      <c r="AU271" s="163"/>
      <c r="AV271" s="163">
        <f t="shared" si="77"/>
        <v>0</v>
      </c>
      <c r="AW271" s="162"/>
      <c r="AX271" s="168">
        <f t="shared" si="78"/>
        <v>0</v>
      </c>
      <c r="AY271" s="169"/>
      <c r="AZ271" s="170">
        <f t="shared" si="79"/>
        <v>0</v>
      </c>
      <c r="BA271" s="160"/>
      <c r="BB271" s="166">
        <f t="shared" si="80"/>
        <v>0</v>
      </c>
    </row>
    <row r="272" spans="1:54" s="131" customFormat="1" ht="31.5">
      <c r="A272" s="148" t="s">
        <v>6165</v>
      </c>
      <c r="B272" s="203" t="s">
        <v>365</v>
      </c>
      <c r="C272" s="203"/>
      <c r="D272" s="203"/>
      <c r="E272" s="203" t="s">
        <v>6167</v>
      </c>
      <c r="F272" s="205" t="s">
        <v>6169</v>
      </c>
      <c r="G272" s="205" t="s">
        <v>6170</v>
      </c>
      <c r="H272" s="204" t="s">
        <v>238</v>
      </c>
      <c r="I272" s="204" t="s">
        <v>11</v>
      </c>
      <c r="J272" s="205" t="s">
        <v>6168</v>
      </c>
      <c r="K272" s="206">
        <v>1800</v>
      </c>
      <c r="L272" s="206"/>
      <c r="M272" s="159">
        <f t="shared" si="66"/>
        <v>0</v>
      </c>
      <c r="N272" s="159"/>
      <c r="O272" s="159"/>
      <c r="P272" s="159"/>
      <c r="Q272" s="159"/>
      <c r="R272" s="159"/>
      <c r="S272" s="149" t="s">
        <v>5982</v>
      </c>
      <c r="T272" s="149" t="s">
        <v>5983</v>
      </c>
      <c r="U272" s="202" t="s">
        <v>6166</v>
      </c>
      <c r="V272" s="204">
        <v>1</v>
      </c>
      <c r="W272" s="203" t="s">
        <v>5104</v>
      </c>
      <c r="X272" s="204" t="s">
        <v>6012</v>
      </c>
      <c r="Y272" s="206">
        <v>3200</v>
      </c>
      <c r="Z272" s="207">
        <v>20000</v>
      </c>
      <c r="AA272" s="207">
        <f t="shared" si="67"/>
        <v>36000000</v>
      </c>
      <c r="AB272" s="157">
        <v>20000</v>
      </c>
      <c r="AC272" s="158">
        <f t="shared" si="65"/>
        <v>20000</v>
      </c>
      <c r="AD272" s="159">
        <f t="shared" si="68"/>
        <v>0</v>
      </c>
      <c r="AE272" s="160"/>
      <c r="AF272" s="160">
        <f t="shared" si="69"/>
        <v>0</v>
      </c>
      <c r="AG272" s="165"/>
      <c r="AH272" s="161">
        <f t="shared" si="70"/>
        <v>0</v>
      </c>
      <c r="AI272" s="162"/>
      <c r="AJ272" s="162">
        <f t="shared" si="71"/>
        <v>0</v>
      </c>
      <c r="AK272" s="163"/>
      <c r="AL272" s="164">
        <f t="shared" si="72"/>
        <v>0</v>
      </c>
      <c r="AM272" s="161"/>
      <c r="AN272" s="165">
        <f t="shared" si="73"/>
        <v>0</v>
      </c>
      <c r="AO272" s="160">
        <v>0</v>
      </c>
      <c r="AP272" s="166">
        <f t="shared" si="74"/>
        <v>0</v>
      </c>
      <c r="AQ272" s="162"/>
      <c r="AR272" s="162">
        <f t="shared" si="75"/>
        <v>0</v>
      </c>
      <c r="AS272" s="173"/>
      <c r="AT272" s="167">
        <f t="shared" si="76"/>
        <v>0</v>
      </c>
      <c r="AU272" s="163"/>
      <c r="AV272" s="163">
        <f t="shared" si="77"/>
        <v>0</v>
      </c>
      <c r="AW272" s="162"/>
      <c r="AX272" s="168">
        <f t="shared" si="78"/>
        <v>0</v>
      </c>
      <c r="AY272" s="169"/>
      <c r="AZ272" s="170">
        <f t="shared" si="79"/>
        <v>0</v>
      </c>
      <c r="BA272" s="160"/>
      <c r="BB272" s="166">
        <f t="shared" si="80"/>
        <v>0</v>
      </c>
    </row>
    <row r="273" spans="1:54" s="131" customFormat="1" ht="31.5">
      <c r="A273" s="172" t="s">
        <v>6171</v>
      </c>
      <c r="B273" s="203" t="s">
        <v>376</v>
      </c>
      <c r="C273" s="203"/>
      <c r="D273" s="203"/>
      <c r="E273" s="203" t="s">
        <v>6173</v>
      </c>
      <c r="F273" s="205" t="s">
        <v>6175</v>
      </c>
      <c r="G273" s="205" t="s">
        <v>6176</v>
      </c>
      <c r="H273" s="204" t="s">
        <v>299</v>
      </c>
      <c r="I273" s="204" t="s">
        <v>11</v>
      </c>
      <c r="J273" s="205" t="s">
        <v>6174</v>
      </c>
      <c r="K273" s="206">
        <v>7053</v>
      </c>
      <c r="L273" s="206"/>
      <c r="M273" s="159">
        <f t="shared" si="66"/>
        <v>0</v>
      </c>
      <c r="N273" s="159"/>
      <c r="O273" s="159"/>
      <c r="P273" s="159"/>
      <c r="Q273" s="159"/>
      <c r="R273" s="159"/>
      <c r="S273" s="150" t="s">
        <v>5118</v>
      </c>
      <c r="T273" s="150" t="s">
        <v>5119</v>
      </c>
      <c r="U273" s="202" t="s">
        <v>6172</v>
      </c>
      <c r="V273" s="204">
        <v>1</v>
      </c>
      <c r="W273" s="203" t="s">
        <v>5104</v>
      </c>
      <c r="X273" s="204" t="s">
        <v>5116</v>
      </c>
      <c r="Y273" s="206">
        <v>7053</v>
      </c>
      <c r="Z273" s="207">
        <v>20000</v>
      </c>
      <c r="AA273" s="207">
        <f t="shared" si="67"/>
        <v>141060000</v>
      </c>
      <c r="AB273" s="157">
        <v>20000</v>
      </c>
      <c r="AC273" s="158">
        <f t="shared" si="65"/>
        <v>20000</v>
      </c>
      <c r="AD273" s="159">
        <f t="shared" si="68"/>
        <v>0</v>
      </c>
      <c r="AE273" s="160"/>
      <c r="AF273" s="160">
        <f t="shared" si="69"/>
        <v>0</v>
      </c>
      <c r="AG273" s="165"/>
      <c r="AH273" s="161">
        <f t="shared" si="70"/>
        <v>0</v>
      </c>
      <c r="AI273" s="162"/>
      <c r="AJ273" s="162">
        <f t="shared" si="71"/>
        <v>0</v>
      </c>
      <c r="AK273" s="164"/>
      <c r="AL273" s="164">
        <f t="shared" si="72"/>
        <v>0</v>
      </c>
      <c r="AM273" s="165"/>
      <c r="AN273" s="165">
        <f t="shared" si="73"/>
        <v>0</v>
      </c>
      <c r="AO273" s="166">
        <v>0</v>
      </c>
      <c r="AP273" s="166">
        <f t="shared" si="74"/>
        <v>0</v>
      </c>
      <c r="AQ273" s="162"/>
      <c r="AR273" s="162">
        <f t="shared" si="75"/>
        <v>0</v>
      </c>
      <c r="AS273" s="173"/>
      <c r="AT273" s="167">
        <f t="shared" si="76"/>
        <v>0</v>
      </c>
      <c r="AU273" s="163"/>
      <c r="AV273" s="163">
        <f t="shared" si="77"/>
        <v>0</v>
      </c>
      <c r="AW273" s="168"/>
      <c r="AX273" s="168">
        <f t="shared" si="78"/>
        <v>0</v>
      </c>
      <c r="AY273" s="170"/>
      <c r="AZ273" s="170">
        <f t="shared" si="79"/>
        <v>0</v>
      </c>
      <c r="BA273" s="166"/>
      <c r="BB273" s="166">
        <f t="shared" si="80"/>
        <v>0</v>
      </c>
    </row>
    <row r="274" spans="1:54" s="131" customFormat="1" ht="31.5">
      <c r="A274" s="148" t="s">
        <v>5016</v>
      </c>
      <c r="B274" s="203" t="s">
        <v>1220</v>
      </c>
      <c r="C274" s="203"/>
      <c r="D274" s="203"/>
      <c r="E274" s="203" t="s">
        <v>1814</v>
      </c>
      <c r="F274" s="205" t="s">
        <v>6180</v>
      </c>
      <c r="G274" s="205" t="s">
        <v>1817</v>
      </c>
      <c r="H274" s="204" t="s">
        <v>869</v>
      </c>
      <c r="I274" s="204" t="s">
        <v>11</v>
      </c>
      <c r="J274" s="205" t="s">
        <v>6179</v>
      </c>
      <c r="K274" s="206">
        <v>6000</v>
      </c>
      <c r="L274" s="206"/>
      <c r="M274" s="159">
        <f t="shared" si="66"/>
        <v>0</v>
      </c>
      <c r="N274" s="159"/>
      <c r="O274" s="159"/>
      <c r="P274" s="159"/>
      <c r="Q274" s="159"/>
      <c r="R274" s="159"/>
      <c r="S274" s="149" t="s">
        <v>6177</v>
      </c>
      <c r="T274" s="149" t="s">
        <v>6178</v>
      </c>
      <c r="U274" s="202" t="s">
        <v>4055</v>
      </c>
      <c r="V274" s="204">
        <v>1</v>
      </c>
      <c r="W274" s="203" t="s">
        <v>5104</v>
      </c>
      <c r="X274" s="204" t="s">
        <v>6181</v>
      </c>
      <c r="Y274" s="206">
        <v>6000</v>
      </c>
      <c r="Z274" s="207">
        <v>50000</v>
      </c>
      <c r="AA274" s="207">
        <f t="shared" si="67"/>
        <v>300000000</v>
      </c>
      <c r="AB274" s="157">
        <v>50000</v>
      </c>
      <c r="AC274" s="158">
        <f t="shared" si="65"/>
        <v>50000</v>
      </c>
      <c r="AD274" s="159">
        <f t="shared" si="68"/>
        <v>0</v>
      </c>
      <c r="AE274" s="160"/>
      <c r="AF274" s="160">
        <f t="shared" si="69"/>
        <v>0</v>
      </c>
      <c r="AG274" s="165"/>
      <c r="AH274" s="161">
        <f t="shared" si="70"/>
        <v>0</v>
      </c>
      <c r="AI274" s="162"/>
      <c r="AJ274" s="162">
        <f t="shared" si="71"/>
        <v>0</v>
      </c>
      <c r="AK274" s="164"/>
      <c r="AL274" s="164">
        <f t="shared" si="72"/>
        <v>0</v>
      </c>
      <c r="AM274" s="165"/>
      <c r="AN274" s="165">
        <f t="shared" si="73"/>
        <v>0</v>
      </c>
      <c r="AO274" s="166">
        <v>0</v>
      </c>
      <c r="AP274" s="166">
        <f t="shared" si="74"/>
        <v>0</v>
      </c>
      <c r="AQ274" s="162"/>
      <c r="AR274" s="162">
        <f t="shared" si="75"/>
        <v>0</v>
      </c>
      <c r="AS274" s="173"/>
      <c r="AT274" s="167">
        <f t="shared" si="76"/>
        <v>0</v>
      </c>
      <c r="AU274" s="163"/>
      <c r="AV274" s="163">
        <f t="shared" si="77"/>
        <v>0</v>
      </c>
      <c r="AW274" s="168"/>
      <c r="AX274" s="168">
        <f t="shared" si="78"/>
        <v>0</v>
      </c>
      <c r="AY274" s="170"/>
      <c r="AZ274" s="170">
        <f t="shared" si="79"/>
        <v>0</v>
      </c>
      <c r="BA274" s="166"/>
      <c r="BB274" s="166">
        <f t="shared" si="80"/>
        <v>0</v>
      </c>
    </row>
    <row r="275" spans="1:54" s="131" customFormat="1" ht="31.5">
      <c r="A275" s="148" t="s">
        <v>6182</v>
      </c>
      <c r="B275" s="203" t="s">
        <v>855</v>
      </c>
      <c r="C275" s="203"/>
      <c r="D275" s="203"/>
      <c r="E275" s="203" t="s">
        <v>6183</v>
      </c>
      <c r="F275" s="205" t="s">
        <v>6185</v>
      </c>
      <c r="G275" s="205" t="s">
        <v>505</v>
      </c>
      <c r="H275" s="204" t="s">
        <v>641</v>
      </c>
      <c r="I275" s="204" t="s">
        <v>11</v>
      </c>
      <c r="J275" s="205" t="s">
        <v>6184</v>
      </c>
      <c r="K275" s="206">
        <v>1400</v>
      </c>
      <c r="L275" s="206"/>
      <c r="M275" s="159">
        <f t="shared" si="66"/>
        <v>0</v>
      </c>
      <c r="N275" s="159"/>
      <c r="O275" s="159"/>
      <c r="P275" s="159"/>
      <c r="Q275" s="159"/>
      <c r="R275" s="159"/>
      <c r="S275" s="150" t="s">
        <v>5250</v>
      </c>
      <c r="T275" s="150" t="s">
        <v>5251</v>
      </c>
      <c r="U275" s="202" t="s">
        <v>4271</v>
      </c>
      <c r="V275" s="204">
        <v>1</v>
      </c>
      <c r="W275" s="203" t="s">
        <v>5104</v>
      </c>
      <c r="X275" s="204" t="s">
        <v>5156</v>
      </c>
      <c r="Y275" s="206">
        <v>2850</v>
      </c>
      <c r="Z275" s="207">
        <v>100000</v>
      </c>
      <c r="AA275" s="207">
        <f t="shared" si="67"/>
        <v>140000000</v>
      </c>
      <c r="AB275" s="157">
        <v>100000</v>
      </c>
      <c r="AC275" s="158">
        <f t="shared" si="65"/>
        <v>100000</v>
      </c>
      <c r="AD275" s="159">
        <f t="shared" si="68"/>
        <v>0</v>
      </c>
      <c r="AE275" s="160"/>
      <c r="AF275" s="160">
        <f t="shared" si="69"/>
        <v>0</v>
      </c>
      <c r="AG275" s="165"/>
      <c r="AH275" s="161">
        <f t="shared" si="70"/>
        <v>0</v>
      </c>
      <c r="AI275" s="162"/>
      <c r="AJ275" s="162">
        <f t="shared" si="71"/>
        <v>0</v>
      </c>
      <c r="AK275" s="164"/>
      <c r="AL275" s="164">
        <f t="shared" si="72"/>
        <v>0</v>
      </c>
      <c r="AM275" s="165"/>
      <c r="AN275" s="165">
        <f t="shared" si="73"/>
        <v>0</v>
      </c>
      <c r="AO275" s="166">
        <v>0</v>
      </c>
      <c r="AP275" s="166">
        <f t="shared" si="74"/>
        <v>0</v>
      </c>
      <c r="AQ275" s="162"/>
      <c r="AR275" s="162">
        <f t="shared" si="75"/>
        <v>0</v>
      </c>
      <c r="AS275" s="173"/>
      <c r="AT275" s="167">
        <f t="shared" si="76"/>
        <v>0</v>
      </c>
      <c r="AU275" s="163"/>
      <c r="AV275" s="163">
        <f t="shared" si="77"/>
        <v>0</v>
      </c>
      <c r="AW275" s="168"/>
      <c r="AX275" s="168">
        <f t="shared" si="78"/>
        <v>0</v>
      </c>
      <c r="AY275" s="170"/>
      <c r="AZ275" s="170">
        <f t="shared" si="79"/>
        <v>0</v>
      </c>
      <c r="BA275" s="166"/>
      <c r="BB275" s="166">
        <f t="shared" si="80"/>
        <v>0</v>
      </c>
    </row>
    <row r="276" spans="1:54" s="131" customFormat="1" ht="31.5">
      <c r="A276" s="172" t="s">
        <v>6186</v>
      </c>
      <c r="B276" s="203" t="s">
        <v>855</v>
      </c>
      <c r="C276" s="203"/>
      <c r="D276" s="203"/>
      <c r="E276" s="203" t="s">
        <v>1176</v>
      </c>
      <c r="F276" s="205" t="s">
        <v>6189</v>
      </c>
      <c r="G276" s="205" t="s">
        <v>6190</v>
      </c>
      <c r="H276" s="204" t="s">
        <v>1177</v>
      </c>
      <c r="I276" s="204" t="s">
        <v>11</v>
      </c>
      <c r="J276" s="205" t="s">
        <v>6188</v>
      </c>
      <c r="K276" s="206">
        <v>2290</v>
      </c>
      <c r="L276" s="206"/>
      <c r="M276" s="159">
        <f t="shared" si="66"/>
        <v>0</v>
      </c>
      <c r="N276" s="159"/>
      <c r="O276" s="159"/>
      <c r="P276" s="159"/>
      <c r="Q276" s="159"/>
      <c r="R276" s="159"/>
      <c r="S276" s="149" t="s">
        <v>5669</v>
      </c>
      <c r="T276" s="149" t="s">
        <v>5670</v>
      </c>
      <c r="U276" s="202" t="s">
        <v>6187</v>
      </c>
      <c r="V276" s="204">
        <v>1</v>
      </c>
      <c r="W276" s="203" t="s">
        <v>5104</v>
      </c>
      <c r="X276" s="204" t="s">
        <v>213</v>
      </c>
      <c r="Y276" s="206">
        <v>3000</v>
      </c>
      <c r="Z276" s="207">
        <v>50000</v>
      </c>
      <c r="AA276" s="207">
        <f t="shared" si="67"/>
        <v>114500000</v>
      </c>
      <c r="AB276" s="157">
        <v>50000</v>
      </c>
      <c r="AC276" s="158">
        <f t="shared" si="65"/>
        <v>50000</v>
      </c>
      <c r="AD276" s="159">
        <f t="shared" si="68"/>
        <v>0</v>
      </c>
      <c r="AE276" s="160"/>
      <c r="AF276" s="160">
        <f t="shared" si="69"/>
        <v>0</v>
      </c>
      <c r="AG276" s="165"/>
      <c r="AH276" s="161">
        <f t="shared" si="70"/>
        <v>0</v>
      </c>
      <c r="AI276" s="162"/>
      <c r="AJ276" s="162">
        <f t="shared" si="71"/>
        <v>0</v>
      </c>
      <c r="AK276" s="164"/>
      <c r="AL276" s="164">
        <f t="shared" si="72"/>
        <v>0</v>
      </c>
      <c r="AM276" s="165"/>
      <c r="AN276" s="165">
        <f t="shared" si="73"/>
        <v>0</v>
      </c>
      <c r="AO276" s="166">
        <v>0</v>
      </c>
      <c r="AP276" s="166">
        <f t="shared" si="74"/>
        <v>0</v>
      </c>
      <c r="AQ276" s="162"/>
      <c r="AR276" s="162">
        <f t="shared" si="75"/>
        <v>0</v>
      </c>
      <c r="AS276" s="173"/>
      <c r="AT276" s="167">
        <f t="shared" si="76"/>
        <v>0</v>
      </c>
      <c r="AU276" s="163"/>
      <c r="AV276" s="163">
        <f t="shared" si="77"/>
        <v>0</v>
      </c>
      <c r="AW276" s="168"/>
      <c r="AX276" s="168">
        <f t="shared" si="78"/>
        <v>0</v>
      </c>
      <c r="AY276" s="170"/>
      <c r="AZ276" s="170">
        <f t="shared" si="79"/>
        <v>0</v>
      </c>
      <c r="BA276" s="166"/>
      <c r="BB276" s="166">
        <f t="shared" si="80"/>
        <v>0</v>
      </c>
    </row>
    <row r="277" spans="1:54" s="131" customFormat="1">
      <c r="A277" s="148" t="s">
        <v>6191</v>
      </c>
      <c r="B277" s="203" t="s">
        <v>668</v>
      </c>
      <c r="C277" s="203"/>
      <c r="D277" s="203"/>
      <c r="E277" s="203" t="s">
        <v>669</v>
      </c>
      <c r="F277" s="205" t="s">
        <v>670</v>
      </c>
      <c r="G277" s="205" t="s">
        <v>245</v>
      </c>
      <c r="H277" s="204" t="s">
        <v>238</v>
      </c>
      <c r="I277" s="204" t="s">
        <v>11</v>
      </c>
      <c r="J277" s="205" t="s">
        <v>6192</v>
      </c>
      <c r="K277" s="206">
        <v>3600</v>
      </c>
      <c r="L277" s="206"/>
      <c r="M277" s="159">
        <f t="shared" si="66"/>
        <v>0</v>
      </c>
      <c r="N277" s="159"/>
      <c r="O277" s="159"/>
      <c r="P277" s="159"/>
      <c r="Q277" s="159"/>
      <c r="R277" s="159"/>
      <c r="S277" s="150" t="s">
        <v>5153</v>
      </c>
      <c r="T277" s="150" t="s">
        <v>5154</v>
      </c>
      <c r="U277" s="202" t="s">
        <v>3861</v>
      </c>
      <c r="V277" s="204">
        <v>1</v>
      </c>
      <c r="W277" s="203" t="s">
        <v>5108</v>
      </c>
      <c r="X277" s="204" t="s">
        <v>5156</v>
      </c>
      <c r="Y277" s="206">
        <v>5173</v>
      </c>
      <c r="Z277" s="207">
        <v>20000</v>
      </c>
      <c r="AA277" s="207">
        <f t="shared" si="67"/>
        <v>72000000</v>
      </c>
      <c r="AB277" s="157">
        <v>20000</v>
      </c>
      <c r="AC277" s="158">
        <f t="shared" si="65"/>
        <v>20000</v>
      </c>
      <c r="AD277" s="159">
        <f t="shared" si="68"/>
        <v>0</v>
      </c>
      <c r="AE277" s="160"/>
      <c r="AF277" s="160">
        <f t="shared" si="69"/>
        <v>0</v>
      </c>
      <c r="AG277" s="165"/>
      <c r="AH277" s="161">
        <f t="shared" si="70"/>
        <v>0</v>
      </c>
      <c r="AI277" s="162"/>
      <c r="AJ277" s="162">
        <f t="shared" si="71"/>
        <v>0</v>
      </c>
      <c r="AK277" s="163"/>
      <c r="AL277" s="164">
        <f t="shared" si="72"/>
        <v>0</v>
      </c>
      <c r="AM277" s="161"/>
      <c r="AN277" s="165">
        <f t="shared" si="73"/>
        <v>0</v>
      </c>
      <c r="AO277" s="160">
        <v>0</v>
      </c>
      <c r="AP277" s="166">
        <f t="shared" si="74"/>
        <v>0</v>
      </c>
      <c r="AQ277" s="162"/>
      <c r="AR277" s="162">
        <f t="shared" si="75"/>
        <v>0</v>
      </c>
      <c r="AS277" s="173"/>
      <c r="AT277" s="167">
        <f t="shared" si="76"/>
        <v>0</v>
      </c>
      <c r="AU277" s="163"/>
      <c r="AV277" s="163">
        <f t="shared" si="77"/>
        <v>0</v>
      </c>
      <c r="AW277" s="162"/>
      <c r="AX277" s="168">
        <f t="shared" si="78"/>
        <v>0</v>
      </c>
      <c r="AY277" s="169"/>
      <c r="AZ277" s="170">
        <f t="shared" si="79"/>
        <v>0</v>
      </c>
      <c r="BA277" s="160"/>
      <c r="BB277" s="166">
        <f t="shared" si="80"/>
        <v>0</v>
      </c>
    </row>
    <row r="278" spans="1:54" s="131" customFormat="1">
      <c r="A278" s="148" t="s">
        <v>6193</v>
      </c>
      <c r="B278" s="203" t="s">
        <v>668</v>
      </c>
      <c r="C278" s="203"/>
      <c r="D278" s="203"/>
      <c r="E278" s="203" t="s">
        <v>6194</v>
      </c>
      <c r="F278" s="205" t="s">
        <v>6196</v>
      </c>
      <c r="G278" s="205" t="s">
        <v>245</v>
      </c>
      <c r="H278" s="204" t="s">
        <v>327</v>
      </c>
      <c r="I278" s="204" t="s">
        <v>11</v>
      </c>
      <c r="J278" s="205" t="s">
        <v>6195</v>
      </c>
      <c r="K278" s="206">
        <v>2320</v>
      </c>
      <c r="L278" s="206"/>
      <c r="M278" s="159">
        <f t="shared" si="66"/>
        <v>0</v>
      </c>
      <c r="N278" s="159"/>
      <c r="O278" s="159"/>
      <c r="P278" s="159"/>
      <c r="Q278" s="159"/>
      <c r="R278" s="159"/>
      <c r="S278" s="150" t="s">
        <v>5153</v>
      </c>
      <c r="T278" s="150" t="s">
        <v>5154</v>
      </c>
      <c r="U278" s="202" t="s">
        <v>3858</v>
      </c>
      <c r="V278" s="204">
        <v>1</v>
      </c>
      <c r="W278" s="203" t="s">
        <v>5108</v>
      </c>
      <c r="X278" s="204" t="s">
        <v>5156</v>
      </c>
      <c r="Y278" s="206">
        <v>3067</v>
      </c>
      <c r="Z278" s="207">
        <v>20000</v>
      </c>
      <c r="AA278" s="207">
        <f t="shared" si="67"/>
        <v>46400000</v>
      </c>
      <c r="AB278" s="157">
        <v>20000</v>
      </c>
      <c r="AC278" s="158">
        <f t="shared" si="65"/>
        <v>20000</v>
      </c>
      <c r="AD278" s="159">
        <f t="shared" si="68"/>
        <v>0</v>
      </c>
      <c r="AE278" s="160"/>
      <c r="AF278" s="160">
        <f t="shared" si="69"/>
        <v>0</v>
      </c>
      <c r="AG278" s="165"/>
      <c r="AH278" s="161">
        <f t="shared" si="70"/>
        <v>0</v>
      </c>
      <c r="AI278" s="162"/>
      <c r="AJ278" s="162">
        <f t="shared" si="71"/>
        <v>0</v>
      </c>
      <c r="AK278" s="163"/>
      <c r="AL278" s="164">
        <f t="shared" si="72"/>
        <v>0</v>
      </c>
      <c r="AM278" s="161"/>
      <c r="AN278" s="165">
        <f t="shared" si="73"/>
        <v>0</v>
      </c>
      <c r="AO278" s="160">
        <v>0</v>
      </c>
      <c r="AP278" s="166">
        <f t="shared" si="74"/>
        <v>0</v>
      </c>
      <c r="AQ278" s="162"/>
      <c r="AR278" s="162">
        <f t="shared" si="75"/>
        <v>0</v>
      </c>
      <c r="AS278" s="173"/>
      <c r="AT278" s="167">
        <f t="shared" si="76"/>
        <v>0</v>
      </c>
      <c r="AU278" s="163"/>
      <c r="AV278" s="163">
        <f t="shared" si="77"/>
        <v>0</v>
      </c>
      <c r="AW278" s="162"/>
      <c r="AX278" s="168">
        <f t="shared" si="78"/>
        <v>0</v>
      </c>
      <c r="AY278" s="169"/>
      <c r="AZ278" s="170">
        <f t="shared" si="79"/>
        <v>0</v>
      </c>
      <c r="BA278" s="160"/>
      <c r="BB278" s="166">
        <f t="shared" si="80"/>
        <v>0</v>
      </c>
    </row>
    <row r="279" spans="1:54" s="131" customFormat="1" ht="31.5">
      <c r="A279" s="172" t="s">
        <v>6197</v>
      </c>
      <c r="B279" s="203" t="s">
        <v>6199</v>
      </c>
      <c r="C279" s="203"/>
      <c r="D279" s="203"/>
      <c r="E279" s="203" t="s">
        <v>6201</v>
      </c>
      <c r="F279" s="205" t="s">
        <v>6203</v>
      </c>
      <c r="G279" s="205" t="s">
        <v>5833</v>
      </c>
      <c r="H279" s="204" t="s">
        <v>6200</v>
      </c>
      <c r="I279" s="204" t="s">
        <v>520</v>
      </c>
      <c r="J279" s="205" t="s">
        <v>6202</v>
      </c>
      <c r="K279" s="206">
        <v>11800</v>
      </c>
      <c r="L279" s="206"/>
      <c r="M279" s="159">
        <f t="shared" si="66"/>
        <v>0</v>
      </c>
      <c r="N279" s="159"/>
      <c r="O279" s="159"/>
      <c r="P279" s="159"/>
      <c r="Q279" s="159"/>
      <c r="R279" s="159"/>
      <c r="S279" s="150" t="s">
        <v>5298</v>
      </c>
      <c r="T279" s="150" t="s">
        <v>5299</v>
      </c>
      <c r="U279" s="202" t="s">
        <v>6198</v>
      </c>
      <c r="V279" s="204">
        <v>1</v>
      </c>
      <c r="W279" s="203" t="s">
        <v>253</v>
      </c>
      <c r="X279" s="204" t="s">
        <v>5105</v>
      </c>
      <c r="Y279" s="206">
        <v>13000</v>
      </c>
      <c r="Z279" s="207">
        <v>30</v>
      </c>
      <c r="AA279" s="207">
        <f t="shared" si="67"/>
        <v>354000</v>
      </c>
      <c r="AB279" s="157">
        <v>30</v>
      </c>
      <c r="AC279" s="158">
        <f t="shared" si="65"/>
        <v>30</v>
      </c>
      <c r="AD279" s="159">
        <f t="shared" si="68"/>
        <v>0</v>
      </c>
      <c r="AE279" s="160"/>
      <c r="AF279" s="160">
        <f t="shared" si="69"/>
        <v>0</v>
      </c>
      <c r="AG279" s="165"/>
      <c r="AH279" s="161">
        <f t="shared" si="70"/>
        <v>0</v>
      </c>
      <c r="AI279" s="162"/>
      <c r="AJ279" s="162">
        <f t="shared" si="71"/>
        <v>0</v>
      </c>
      <c r="AK279" s="164"/>
      <c r="AL279" s="164">
        <f t="shared" si="72"/>
        <v>0</v>
      </c>
      <c r="AM279" s="165"/>
      <c r="AN279" s="165">
        <f t="shared" si="73"/>
        <v>0</v>
      </c>
      <c r="AO279" s="166">
        <v>0</v>
      </c>
      <c r="AP279" s="166">
        <f t="shared" si="74"/>
        <v>0</v>
      </c>
      <c r="AQ279" s="162"/>
      <c r="AR279" s="162">
        <f t="shared" si="75"/>
        <v>0</v>
      </c>
      <c r="AS279" s="173"/>
      <c r="AT279" s="167">
        <f t="shared" si="76"/>
        <v>0</v>
      </c>
      <c r="AU279" s="163"/>
      <c r="AV279" s="163">
        <f t="shared" si="77"/>
        <v>0</v>
      </c>
      <c r="AW279" s="168"/>
      <c r="AX279" s="168">
        <f t="shared" si="78"/>
        <v>0</v>
      </c>
      <c r="AY279" s="170"/>
      <c r="AZ279" s="170">
        <f t="shared" si="79"/>
        <v>0</v>
      </c>
      <c r="BA279" s="166"/>
      <c r="BB279" s="166">
        <f t="shared" si="80"/>
        <v>0</v>
      </c>
    </row>
    <row r="280" spans="1:54" s="131" customFormat="1" ht="31.5">
      <c r="A280" s="148" t="s">
        <v>6204</v>
      </c>
      <c r="B280" s="203" t="s">
        <v>359</v>
      </c>
      <c r="C280" s="203"/>
      <c r="D280" s="203"/>
      <c r="E280" s="203" t="s">
        <v>1532</v>
      </c>
      <c r="F280" s="205" t="s">
        <v>6207</v>
      </c>
      <c r="G280" s="205" t="s">
        <v>458</v>
      </c>
      <c r="H280" s="204" t="s">
        <v>258</v>
      </c>
      <c r="I280" s="204" t="s">
        <v>11</v>
      </c>
      <c r="J280" s="205" t="s">
        <v>6206</v>
      </c>
      <c r="K280" s="206">
        <v>1750</v>
      </c>
      <c r="L280" s="206"/>
      <c r="M280" s="159">
        <f t="shared" si="66"/>
        <v>0</v>
      </c>
      <c r="N280" s="159"/>
      <c r="O280" s="159"/>
      <c r="P280" s="159"/>
      <c r="Q280" s="159"/>
      <c r="R280" s="159"/>
      <c r="S280" s="149" t="s">
        <v>5219</v>
      </c>
      <c r="T280" s="149" t="s">
        <v>5220</v>
      </c>
      <c r="U280" s="202" t="s">
        <v>6205</v>
      </c>
      <c r="V280" s="204">
        <v>1</v>
      </c>
      <c r="W280" s="203" t="s">
        <v>5108</v>
      </c>
      <c r="X280" s="204" t="s">
        <v>5222</v>
      </c>
      <c r="Y280" s="206">
        <v>1750</v>
      </c>
      <c r="Z280" s="207">
        <v>20000</v>
      </c>
      <c r="AA280" s="207">
        <f t="shared" si="67"/>
        <v>35000000</v>
      </c>
      <c r="AB280" s="157">
        <v>20000</v>
      </c>
      <c r="AC280" s="158">
        <f t="shared" si="65"/>
        <v>20000</v>
      </c>
      <c r="AD280" s="159">
        <f t="shared" si="68"/>
        <v>0</v>
      </c>
      <c r="AE280" s="160"/>
      <c r="AF280" s="160">
        <f t="shared" si="69"/>
        <v>0</v>
      </c>
      <c r="AG280" s="161"/>
      <c r="AH280" s="161">
        <f t="shared" si="70"/>
        <v>0</v>
      </c>
      <c r="AI280" s="162"/>
      <c r="AJ280" s="162">
        <f t="shared" si="71"/>
        <v>0</v>
      </c>
      <c r="AK280" s="164"/>
      <c r="AL280" s="164">
        <f t="shared" si="72"/>
        <v>0</v>
      </c>
      <c r="AM280" s="165"/>
      <c r="AN280" s="165">
        <f t="shared" si="73"/>
        <v>0</v>
      </c>
      <c r="AO280" s="166">
        <v>0</v>
      </c>
      <c r="AP280" s="166">
        <f t="shared" si="74"/>
        <v>0</v>
      </c>
      <c r="AQ280" s="162"/>
      <c r="AR280" s="162">
        <f t="shared" si="75"/>
        <v>0</v>
      </c>
      <c r="AS280" s="167"/>
      <c r="AT280" s="167">
        <f t="shared" si="76"/>
        <v>0</v>
      </c>
      <c r="AU280" s="163"/>
      <c r="AV280" s="163">
        <f t="shared" si="77"/>
        <v>0</v>
      </c>
      <c r="AW280" s="168"/>
      <c r="AX280" s="168">
        <f t="shared" si="78"/>
        <v>0</v>
      </c>
      <c r="AY280" s="170"/>
      <c r="AZ280" s="170">
        <f t="shared" si="79"/>
        <v>0</v>
      </c>
      <c r="BA280" s="166"/>
      <c r="BB280" s="166">
        <f t="shared" si="80"/>
        <v>0</v>
      </c>
    </row>
    <row r="281" spans="1:54" s="131" customFormat="1" ht="31.5">
      <c r="A281" s="148" t="s">
        <v>6208</v>
      </c>
      <c r="B281" s="203" t="s">
        <v>246</v>
      </c>
      <c r="C281" s="203"/>
      <c r="D281" s="203"/>
      <c r="E281" s="203" t="s">
        <v>665</v>
      </c>
      <c r="F281" s="205" t="s">
        <v>666</v>
      </c>
      <c r="G281" s="205" t="s">
        <v>245</v>
      </c>
      <c r="H281" s="204" t="s">
        <v>291</v>
      </c>
      <c r="I281" s="204" t="s">
        <v>11</v>
      </c>
      <c r="J281" s="205" t="s">
        <v>6209</v>
      </c>
      <c r="K281" s="206">
        <v>4200</v>
      </c>
      <c r="L281" s="206"/>
      <c r="M281" s="159">
        <f t="shared" si="66"/>
        <v>0</v>
      </c>
      <c r="N281" s="159"/>
      <c r="O281" s="159"/>
      <c r="P281" s="159"/>
      <c r="Q281" s="159"/>
      <c r="R281" s="159"/>
      <c r="S281" s="150" t="s">
        <v>5153</v>
      </c>
      <c r="T281" s="150" t="s">
        <v>5154</v>
      </c>
      <c r="U281" s="202" t="s">
        <v>4433</v>
      </c>
      <c r="V281" s="204">
        <v>1</v>
      </c>
      <c r="W281" s="203" t="s">
        <v>5108</v>
      </c>
      <c r="X281" s="204" t="s">
        <v>5156</v>
      </c>
      <c r="Y281" s="206">
        <v>4935</v>
      </c>
      <c r="Z281" s="207">
        <v>20000</v>
      </c>
      <c r="AA281" s="207">
        <f t="shared" si="67"/>
        <v>84000000</v>
      </c>
      <c r="AB281" s="157">
        <v>20000</v>
      </c>
      <c r="AC281" s="158">
        <f t="shared" si="65"/>
        <v>20000</v>
      </c>
      <c r="AD281" s="159">
        <f t="shared" si="68"/>
        <v>0</v>
      </c>
      <c r="AE281" s="160"/>
      <c r="AF281" s="160">
        <f t="shared" si="69"/>
        <v>0</v>
      </c>
      <c r="AG281" s="165"/>
      <c r="AH281" s="161">
        <f t="shared" si="70"/>
        <v>0</v>
      </c>
      <c r="AI281" s="162"/>
      <c r="AJ281" s="162">
        <f t="shared" si="71"/>
        <v>0</v>
      </c>
      <c r="AK281" s="164"/>
      <c r="AL281" s="164">
        <f t="shared" si="72"/>
        <v>0</v>
      </c>
      <c r="AM281" s="165"/>
      <c r="AN281" s="165">
        <f t="shared" si="73"/>
        <v>0</v>
      </c>
      <c r="AO281" s="166">
        <v>0</v>
      </c>
      <c r="AP281" s="166">
        <f t="shared" si="74"/>
        <v>0</v>
      </c>
      <c r="AQ281" s="162"/>
      <c r="AR281" s="162">
        <f t="shared" si="75"/>
        <v>0</v>
      </c>
      <c r="AS281" s="173"/>
      <c r="AT281" s="167">
        <f t="shared" si="76"/>
        <v>0</v>
      </c>
      <c r="AU281" s="163"/>
      <c r="AV281" s="163">
        <f t="shared" si="77"/>
        <v>0</v>
      </c>
      <c r="AW281" s="168"/>
      <c r="AX281" s="168">
        <f t="shared" si="78"/>
        <v>0</v>
      </c>
      <c r="AY281" s="170"/>
      <c r="AZ281" s="170">
        <f t="shared" si="79"/>
        <v>0</v>
      </c>
      <c r="BA281" s="166"/>
      <c r="BB281" s="166">
        <f t="shared" si="80"/>
        <v>0</v>
      </c>
    </row>
    <row r="282" spans="1:54" s="131" customFormat="1" ht="31.5">
      <c r="A282" s="172" t="s">
        <v>6210</v>
      </c>
      <c r="B282" s="203" t="s">
        <v>6212</v>
      </c>
      <c r="C282" s="203"/>
      <c r="D282" s="203"/>
      <c r="E282" s="203" t="s">
        <v>6214</v>
      </c>
      <c r="F282" s="205" t="s">
        <v>6216</v>
      </c>
      <c r="G282" s="205" t="s">
        <v>2097</v>
      </c>
      <c r="H282" s="204" t="s">
        <v>6213</v>
      </c>
      <c r="I282" s="204" t="s">
        <v>12</v>
      </c>
      <c r="J282" s="205" t="s">
        <v>6215</v>
      </c>
      <c r="K282" s="206">
        <v>3751</v>
      </c>
      <c r="L282" s="206"/>
      <c r="M282" s="159">
        <f t="shared" si="66"/>
        <v>0</v>
      </c>
      <c r="N282" s="159"/>
      <c r="O282" s="159"/>
      <c r="P282" s="159"/>
      <c r="Q282" s="159"/>
      <c r="R282" s="159"/>
      <c r="S282" s="150" t="s">
        <v>5118</v>
      </c>
      <c r="T282" s="150" t="s">
        <v>5119</v>
      </c>
      <c r="U282" s="202" t="s">
        <v>6211</v>
      </c>
      <c r="V282" s="204">
        <v>1</v>
      </c>
      <c r="W282" s="203" t="s">
        <v>5104</v>
      </c>
      <c r="X282" s="204" t="s">
        <v>5116</v>
      </c>
      <c r="Y282" s="206">
        <v>3752</v>
      </c>
      <c r="Z282" s="207">
        <v>6000</v>
      </c>
      <c r="AA282" s="207">
        <f t="shared" si="67"/>
        <v>22506000</v>
      </c>
      <c r="AB282" s="157">
        <v>6000</v>
      </c>
      <c r="AC282" s="158">
        <f t="shared" si="65"/>
        <v>6000</v>
      </c>
      <c r="AD282" s="159">
        <f t="shared" si="68"/>
        <v>0</v>
      </c>
      <c r="AE282" s="160"/>
      <c r="AF282" s="160">
        <f t="shared" si="69"/>
        <v>0</v>
      </c>
      <c r="AG282" s="161"/>
      <c r="AH282" s="161">
        <f t="shared" si="70"/>
        <v>0</v>
      </c>
      <c r="AI282" s="162"/>
      <c r="AJ282" s="162">
        <f t="shared" si="71"/>
        <v>0</v>
      </c>
      <c r="AK282" s="164"/>
      <c r="AL282" s="164">
        <f t="shared" si="72"/>
        <v>0</v>
      </c>
      <c r="AM282" s="165"/>
      <c r="AN282" s="165">
        <f t="shared" si="73"/>
        <v>0</v>
      </c>
      <c r="AO282" s="166">
        <v>0</v>
      </c>
      <c r="AP282" s="166">
        <f t="shared" si="74"/>
        <v>0</v>
      </c>
      <c r="AQ282" s="162"/>
      <c r="AR282" s="162">
        <f t="shared" si="75"/>
        <v>0</v>
      </c>
      <c r="AS282" s="167"/>
      <c r="AT282" s="167">
        <f t="shared" si="76"/>
        <v>0</v>
      </c>
      <c r="AU282" s="163"/>
      <c r="AV282" s="163">
        <f t="shared" si="77"/>
        <v>0</v>
      </c>
      <c r="AW282" s="168"/>
      <c r="AX282" s="168">
        <f t="shared" si="78"/>
        <v>0</v>
      </c>
      <c r="AY282" s="170"/>
      <c r="AZ282" s="170">
        <f t="shared" si="79"/>
        <v>0</v>
      </c>
      <c r="BA282" s="166"/>
      <c r="BB282" s="166">
        <f t="shared" si="80"/>
        <v>0</v>
      </c>
    </row>
    <row r="283" spans="1:54" s="131" customFormat="1" ht="31.5">
      <c r="A283" s="148" t="s">
        <v>6217</v>
      </c>
      <c r="B283" s="203" t="s">
        <v>287</v>
      </c>
      <c r="C283" s="203"/>
      <c r="D283" s="203"/>
      <c r="E283" s="203" t="s">
        <v>6220</v>
      </c>
      <c r="F283" s="205" t="s">
        <v>6222</v>
      </c>
      <c r="G283" s="205" t="s">
        <v>245</v>
      </c>
      <c r="H283" s="204" t="s">
        <v>6219</v>
      </c>
      <c r="I283" s="204" t="s">
        <v>520</v>
      </c>
      <c r="J283" s="205" t="s">
        <v>6221</v>
      </c>
      <c r="K283" s="206">
        <v>38850</v>
      </c>
      <c r="L283" s="206"/>
      <c r="M283" s="159">
        <f t="shared" si="66"/>
        <v>0</v>
      </c>
      <c r="N283" s="159"/>
      <c r="O283" s="159"/>
      <c r="P283" s="159"/>
      <c r="Q283" s="159"/>
      <c r="R283" s="159"/>
      <c r="S283" s="150" t="s">
        <v>5153</v>
      </c>
      <c r="T283" s="150" t="s">
        <v>5154</v>
      </c>
      <c r="U283" s="202" t="s">
        <v>6218</v>
      </c>
      <c r="V283" s="204">
        <v>1</v>
      </c>
      <c r="W283" s="203" t="s">
        <v>5104</v>
      </c>
      <c r="X283" s="204" t="s">
        <v>5156</v>
      </c>
      <c r="Y283" s="206">
        <v>64240</v>
      </c>
      <c r="Z283" s="207">
        <v>300</v>
      </c>
      <c r="AA283" s="207">
        <f t="shared" si="67"/>
        <v>11655000</v>
      </c>
      <c r="AB283" s="157">
        <v>300</v>
      </c>
      <c r="AC283" s="158">
        <f t="shared" si="65"/>
        <v>300</v>
      </c>
      <c r="AD283" s="159">
        <f t="shared" si="68"/>
        <v>0</v>
      </c>
      <c r="AE283" s="160"/>
      <c r="AF283" s="160">
        <f t="shared" si="69"/>
        <v>0</v>
      </c>
      <c r="AG283" s="161"/>
      <c r="AH283" s="161">
        <f t="shared" si="70"/>
        <v>0</v>
      </c>
      <c r="AI283" s="162"/>
      <c r="AJ283" s="162">
        <f t="shared" si="71"/>
        <v>0</v>
      </c>
      <c r="AK283" s="164"/>
      <c r="AL283" s="164">
        <f t="shared" si="72"/>
        <v>0</v>
      </c>
      <c r="AM283" s="165"/>
      <c r="AN283" s="165">
        <f t="shared" si="73"/>
        <v>0</v>
      </c>
      <c r="AO283" s="166">
        <v>0</v>
      </c>
      <c r="AP283" s="166">
        <f t="shared" si="74"/>
        <v>0</v>
      </c>
      <c r="AQ283" s="162"/>
      <c r="AR283" s="162">
        <f t="shared" si="75"/>
        <v>0</v>
      </c>
      <c r="AS283" s="167"/>
      <c r="AT283" s="167">
        <f t="shared" si="76"/>
        <v>0</v>
      </c>
      <c r="AU283" s="163"/>
      <c r="AV283" s="163">
        <f t="shared" si="77"/>
        <v>0</v>
      </c>
      <c r="AW283" s="168"/>
      <c r="AX283" s="168">
        <f t="shared" si="78"/>
        <v>0</v>
      </c>
      <c r="AY283" s="170"/>
      <c r="AZ283" s="170">
        <f t="shared" si="79"/>
        <v>0</v>
      </c>
      <c r="BA283" s="166"/>
      <c r="BB283" s="166">
        <f t="shared" si="80"/>
        <v>0</v>
      </c>
    </row>
    <row r="284" spans="1:54" ht="31.5">
      <c r="A284" s="148" t="s">
        <v>6223</v>
      </c>
      <c r="B284" s="203" t="s">
        <v>1109</v>
      </c>
      <c r="C284" s="203"/>
      <c r="D284" s="203"/>
      <c r="E284" s="203" t="s">
        <v>1110</v>
      </c>
      <c r="F284" s="205" t="s">
        <v>6227</v>
      </c>
      <c r="G284" s="205" t="s">
        <v>6228</v>
      </c>
      <c r="H284" s="204" t="s">
        <v>384</v>
      </c>
      <c r="I284" s="204" t="s">
        <v>11</v>
      </c>
      <c r="J284" s="205" t="s">
        <v>6226</v>
      </c>
      <c r="K284" s="206">
        <v>4990</v>
      </c>
      <c r="L284" s="206"/>
      <c r="M284" s="159">
        <f t="shared" si="66"/>
        <v>0</v>
      </c>
      <c r="N284" s="159"/>
      <c r="O284" s="159"/>
      <c r="P284" s="159"/>
      <c r="Q284" s="159"/>
      <c r="R284" s="159"/>
      <c r="S284" s="149" t="s">
        <v>6224</v>
      </c>
      <c r="T284" s="149" t="s">
        <v>6225</v>
      </c>
      <c r="U284" s="202" t="s">
        <v>4316</v>
      </c>
      <c r="V284" s="204">
        <v>1</v>
      </c>
      <c r="W284" s="203" t="s">
        <v>253</v>
      </c>
      <c r="X284" s="204" t="s">
        <v>5121</v>
      </c>
      <c r="Y284" s="206">
        <v>5000</v>
      </c>
      <c r="Z284" s="207">
        <v>30000</v>
      </c>
      <c r="AA284" s="207">
        <f t="shared" si="67"/>
        <v>149700000</v>
      </c>
      <c r="AB284" s="157">
        <v>30000</v>
      </c>
      <c r="AC284" s="158">
        <f t="shared" si="65"/>
        <v>30000</v>
      </c>
      <c r="AD284" s="159">
        <f t="shared" si="68"/>
        <v>0</v>
      </c>
      <c r="AE284" s="160"/>
      <c r="AF284" s="160">
        <f t="shared" si="69"/>
        <v>0</v>
      </c>
      <c r="AG284" s="165"/>
      <c r="AH284" s="161">
        <f t="shared" si="70"/>
        <v>0</v>
      </c>
      <c r="AI284" s="162"/>
      <c r="AJ284" s="162">
        <f t="shared" si="71"/>
        <v>0</v>
      </c>
      <c r="AK284" s="164"/>
      <c r="AL284" s="164">
        <f t="shared" si="72"/>
        <v>0</v>
      </c>
      <c r="AM284" s="165"/>
      <c r="AN284" s="165">
        <f t="shared" si="73"/>
        <v>0</v>
      </c>
      <c r="AO284" s="166">
        <v>0</v>
      </c>
      <c r="AP284" s="166">
        <f t="shared" si="74"/>
        <v>0</v>
      </c>
      <c r="AQ284" s="162"/>
      <c r="AR284" s="162">
        <f t="shared" si="75"/>
        <v>0</v>
      </c>
      <c r="AS284" s="173"/>
      <c r="AT284" s="167">
        <f t="shared" si="76"/>
        <v>0</v>
      </c>
      <c r="AU284" s="163"/>
      <c r="AV284" s="163">
        <f t="shared" si="77"/>
        <v>0</v>
      </c>
      <c r="AW284" s="168"/>
      <c r="AX284" s="168">
        <f t="shared" si="78"/>
        <v>0</v>
      </c>
      <c r="AY284" s="170"/>
      <c r="AZ284" s="170">
        <f t="shared" si="79"/>
        <v>0</v>
      </c>
      <c r="BA284" s="166"/>
      <c r="BB284" s="166">
        <f t="shared" si="80"/>
        <v>0</v>
      </c>
    </row>
    <row r="285" spans="1:54" s="220" customFormat="1">
      <c r="A285" s="172" t="s">
        <v>6229</v>
      </c>
      <c r="B285" s="203" t="s">
        <v>1109</v>
      </c>
      <c r="C285" s="203"/>
      <c r="D285" s="203"/>
      <c r="E285" s="203" t="s">
        <v>1486</v>
      </c>
      <c r="F285" s="205" t="s">
        <v>1487</v>
      </c>
      <c r="G285" s="205" t="s">
        <v>6233</v>
      </c>
      <c r="H285" s="204" t="s">
        <v>4040</v>
      </c>
      <c r="I285" s="204" t="s">
        <v>11</v>
      </c>
      <c r="J285" s="205" t="s">
        <v>6232</v>
      </c>
      <c r="K285" s="206">
        <v>9500</v>
      </c>
      <c r="L285" s="206"/>
      <c r="M285" s="159">
        <f t="shared" si="66"/>
        <v>18200</v>
      </c>
      <c r="N285" s="159"/>
      <c r="O285" s="159"/>
      <c r="P285" s="159"/>
      <c r="Q285" s="159"/>
      <c r="R285" s="159"/>
      <c r="S285" s="149" t="s">
        <v>6230</v>
      </c>
      <c r="T285" s="149" t="s">
        <v>6231</v>
      </c>
      <c r="U285" s="202" t="s">
        <v>4038</v>
      </c>
      <c r="V285" s="204">
        <v>1</v>
      </c>
      <c r="W285" s="203" t="s">
        <v>5104</v>
      </c>
      <c r="X285" s="204" t="s">
        <v>6234</v>
      </c>
      <c r="Y285" s="206">
        <v>9500</v>
      </c>
      <c r="Z285" s="207">
        <v>30000</v>
      </c>
      <c r="AA285" s="207">
        <f t="shared" si="67"/>
        <v>285000000</v>
      </c>
      <c r="AB285" s="157">
        <v>30000</v>
      </c>
      <c r="AC285" s="158">
        <f t="shared" si="65"/>
        <v>11800</v>
      </c>
      <c r="AD285" s="159">
        <f t="shared" si="68"/>
        <v>172900000</v>
      </c>
      <c r="AE285" s="160"/>
      <c r="AF285" s="160">
        <f t="shared" si="69"/>
        <v>0</v>
      </c>
      <c r="AG285" s="165">
        <v>9800</v>
      </c>
      <c r="AH285" s="161">
        <f t="shared" si="70"/>
        <v>93100000</v>
      </c>
      <c r="AI285" s="162"/>
      <c r="AJ285" s="162">
        <f t="shared" si="71"/>
        <v>0</v>
      </c>
      <c r="AK285" s="164"/>
      <c r="AL285" s="164">
        <f t="shared" si="72"/>
        <v>0</v>
      </c>
      <c r="AM285" s="165"/>
      <c r="AN285" s="165">
        <f t="shared" si="73"/>
        <v>0</v>
      </c>
      <c r="AO285" s="166">
        <v>0</v>
      </c>
      <c r="AP285" s="166">
        <f t="shared" si="74"/>
        <v>0</v>
      </c>
      <c r="AQ285" s="162"/>
      <c r="AR285" s="162">
        <f t="shared" si="75"/>
        <v>0</v>
      </c>
      <c r="AS285" s="173">
        <v>5600</v>
      </c>
      <c r="AT285" s="167">
        <f t="shared" si="76"/>
        <v>53200000</v>
      </c>
      <c r="AU285" s="163">
        <v>2800</v>
      </c>
      <c r="AV285" s="163">
        <f t="shared" si="77"/>
        <v>26600000</v>
      </c>
      <c r="AW285" s="168"/>
      <c r="AX285" s="168">
        <f t="shared" si="78"/>
        <v>0</v>
      </c>
      <c r="AY285" s="170"/>
      <c r="AZ285" s="170">
        <f t="shared" si="79"/>
        <v>0</v>
      </c>
      <c r="BA285" s="166"/>
      <c r="BB285" s="166">
        <f t="shared" si="80"/>
        <v>0</v>
      </c>
    </row>
    <row r="286" spans="1:54" ht="31.5">
      <c r="A286" s="148" t="s">
        <v>6235</v>
      </c>
      <c r="B286" s="203" t="s">
        <v>392</v>
      </c>
      <c r="C286" s="203"/>
      <c r="D286" s="203"/>
      <c r="E286" s="203" t="s">
        <v>2533</v>
      </c>
      <c r="F286" s="205" t="s">
        <v>6240</v>
      </c>
      <c r="G286" s="205" t="s">
        <v>6241</v>
      </c>
      <c r="H286" s="204" t="s">
        <v>267</v>
      </c>
      <c r="I286" s="204" t="s">
        <v>658</v>
      </c>
      <c r="J286" s="205" t="s">
        <v>6239</v>
      </c>
      <c r="K286" s="206">
        <v>34950</v>
      </c>
      <c r="L286" s="206"/>
      <c r="M286" s="159">
        <f t="shared" si="66"/>
        <v>0</v>
      </c>
      <c r="N286" s="159"/>
      <c r="O286" s="159"/>
      <c r="P286" s="159"/>
      <c r="Q286" s="159"/>
      <c r="R286" s="159"/>
      <c r="S286" s="149" t="s">
        <v>6236</v>
      </c>
      <c r="T286" s="149" t="s">
        <v>6237</v>
      </c>
      <c r="U286" s="202" t="s">
        <v>6238</v>
      </c>
      <c r="V286" s="204">
        <v>1</v>
      </c>
      <c r="W286" s="203" t="s">
        <v>253</v>
      </c>
      <c r="X286" s="204" t="s">
        <v>5717</v>
      </c>
      <c r="Y286" s="206">
        <v>75000</v>
      </c>
      <c r="Z286" s="207">
        <v>400</v>
      </c>
      <c r="AA286" s="207">
        <f t="shared" si="67"/>
        <v>13980000</v>
      </c>
      <c r="AB286" s="157">
        <v>400</v>
      </c>
      <c r="AC286" s="158">
        <f t="shared" si="65"/>
        <v>400</v>
      </c>
      <c r="AD286" s="159">
        <f t="shared" si="68"/>
        <v>0</v>
      </c>
      <c r="AE286" s="160"/>
      <c r="AF286" s="160">
        <f t="shared" si="69"/>
        <v>0</v>
      </c>
      <c r="AG286" s="165"/>
      <c r="AH286" s="161">
        <f t="shared" si="70"/>
        <v>0</v>
      </c>
      <c r="AI286" s="162"/>
      <c r="AJ286" s="162">
        <f t="shared" si="71"/>
        <v>0</v>
      </c>
      <c r="AK286" s="164"/>
      <c r="AL286" s="164">
        <f t="shared" si="72"/>
        <v>0</v>
      </c>
      <c r="AM286" s="165"/>
      <c r="AN286" s="165">
        <f t="shared" si="73"/>
        <v>0</v>
      </c>
      <c r="AO286" s="166">
        <v>0</v>
      </c>
      <c r="AP286" s="166">
        <f t="shared" si="74"/>
        <v>0</v>
      </c>
      <c r="AQ286" s="162"/>
      <c r="AR286" s="162">
        <f t="shared" si="75"/>
        <v>0</v>
      </c>
      <c r="AS286" s="173"/>
      <c r="AT286" s="167">
        <f t="shared" si="76"/>
        <v>0</v>
      </c>
      <c r="AU286" s="163"/>
      <c r="AV286" s="163">
        <f t="shared" si="77"/>
        <v>0</v>
      </c>
      <c r="AW286" s="168"/>
      <c r="AX286" s="168">
        <f t="shared" si="78"/>
        <v>0</v>
      </c>
      <c r="AY286" s="170"/>
      <c r="AZ286" s="170">
        <f t="shared" si="79"/>
        <v>0</v>
      </c>
      <c r="BA286" s="166"/>
      <c r="BB286" s="166">
        <f t="shared" si="80"/>
        <v>0</v>
      </c>
    </row>
    <row r="287" spans="1:54" ht="31.5">
      <c r="A287" s="148" t="s">
        <v>6242</v>
      </c>
      <c r="B287" s="203" t="s">
        <v>392</v>
      </c>
      <c r="C287" s="203"/>
      <c r="D287" s="203"/>
      <c r="E287" s="203" t="s">
        <v>6244</v>
      </c>
      <c r="F287" s="205" t="s">
        <v>6246</v>
      </c>
      <c r="G287" s="205" t="s">
        <v>6011</v>
      </c>
      <c r="H287" s="204" t="s">
        <v>267</v>
      </c>
      <c r="I287" s="204" t="s">
        <v>11</v>
      </c>
      <c r="J287" s="205" t="s">
        <v>6245</v>
      </c>
      <c r="K287" s="206">
        <v>5082</v>
      </c>
      <c r="L287" s="206"/>
      <c r="M287" s="159">
        <f t="shared" si="66"/>
        <v>0</v>
      </c>
      <c r="N287" s="159"/>
      <c r="O287" s="159"/>
      <c r="P287" s="159"/>
      <c r="Q287" s="159"/>
      <c r="R287" s="159"/>
      <c r="S287" s="150" t="s">
        <v>5270</v>
      </c>
      <c r="T287" s="150" t="s">
        <v>5271</v>
      </c>
      <c r="U287" s="202" t="s">
        <v>6243</v>
      </c>
      <c r="V287" s="204">
        <v>1</v>
      </c>
      <c r="W287" s="203" t="s">
        <v>5104</v>
      </c>
      <c r="X287" s="204" t="s">
        <v>6012</v>
      </c>
      <c r="Y287" s="206">
        <v>15300</v>
      </c>
      <c r="Z287" s="207">
        <v>20000</v>
      </c>
      <c r="AA287" s="207">
        <f t="shared" si="67"/>
        <v>101640000</v>
      </c>
      <c r="AB287" s="157">
        <v>20000</v>
      </c>
      <c r="AC287" s="158">
        <f t="shared" si="65"/>
        <v>20000</v>
      </c>
      <c r="AD287" s="159">
        <f t="shared" si="68"/>
        <v>0</v>
      </c>
      <c r="AE287" s="160"/>
      <c r="AF287" s="160">
        <f t="shared" si="69"/>
        <v>0</v>
      </c>
      <c r="AG287" s="165"/>
      <c r="AH287" s="161">
        <f t="shared" si="70"/>
        <v>0</v>
      </c>
      <c r="AI287" s="162"/>
      <c r="AJ287" s="162">
        <f t="shared" si="71"/>
        <v>0</v>
      </c>
      <c r="AK287" s="164"/>
      <c r="AL287" s="164">
        <f t="shared" si="72"/>
        <v>0</v>
      </c>
      <c r="AM287" s="165"/>
      <c r="AN287" s="165">
        <f t="shared" si="73"/>
        <v>0</v>
      </c>
      <c r="AO287" s="166">
        <v>0</v>
      </c>
      <c r="AP287" s="166">
        <f t="shared" si="74"/>
        <v>0</v>
      </c>
      <c r="AQ287" s="162"/>
      <c r="AR287" s="162">
        <f t="shared" si="75"/>
        <v>0</v>
      </c>
      <c r="AS287" s="173"/>
      <c r="AT287" s="167">
        <f t="shared" si="76"/>
        <v>0</v>
      </c>
      <c r="AU287" s="163"/>
      <c r="AV287" s="163">
        <f t="shared" si="77"/>
        <v>0</v>
      </c>
      <c r="AW287" s="168"/>
      <c r="AX287" s="168">
        <f t="shared" si="78"/>
        <v>0</v>
      </c>
      <c r="AY287" s="170"/>
      <c r="AZ287" s="170">
        <f t="shared" si="79"/>
        <v>0</v>
      </c>
      <c r="BA287" s="166"/>
      <c r="BB287" s="166">
        <f t="shared" si="80"/>
        <v>0</v>
      </c>
    </row>
    <row r="288" spans="1:54" ht="31.5">
      <c r="A288" s="172" t="s">
        <v>6247</v>
      </c>
      <c r="B288" s="203" t="s">
        <v>634</v>
      </c>
      <c r="C288" s="203"/>
      <c r="D288" s="203"/>
      <c r="E288" s="203" t="s">
        <v>6251</v>
      </c>
      <c r="F288" s="205" t="s">
        <v>6253</v>
      </c>
      <c r="G288" s="205" t="s">
        <v>6254</v>
      </c>
      <c r="H288" s="204" t="s">
        <v>267</v>
      </c>
      <c r="I288" s="204" t="s">
        <v>658</v>
      </c>
      <c r="J288" s="205" t="s">
        <v>6252</v>
      </c>
      <c r="K288" s="206">
        <v>79779</v>
      </c>
      <c r="L288" s="206"/>
      <c r="M288" s="159">
        <f t="shared" si="66"/>
        <v>0</v>
      </c>
      <c r="N288" s="159"/>
      <c r="O288" s="159"/>
      <c r="P288" s="159"/>
      <c r="Q288" s="159"/>
      <c r="R288" s="159"/>
      <c r="S288" s="149" t="s">
        <v>6248</v>
      </c>
      <c r="T288" s="149" t="s">
        <v>6249</v>
      </c>
      <c r="U288" s="202" t="s">
        <v>6250</v>
      </c>
      <c r="V288" s="204">
        <v>1</v>
      </c>
      <c r="W288" s="203" t="s">
        <v>253</v>
      </c>
      <c r="X288" s="204" t="s">
        <v>5943</v>
      </c>
      <c r="Y288" s="206">
        <v>118000</v>
      </c>
      <c r="Z288" s="207">
        <v>500</v>
      </c>
      <c r="AA288" s="207">
        <f t="shared" si="67"/>
        <v>39889500</v>
      </c>
      <c r="AB288" s="157">
        <v>500</v>
      </c>
      <c r="AC288" s="158">
        <f t="shared" si="65"/>
        <v>500</v>
      </c>
      <c r="AD288" s="159">
        <f t="shared" si="68"/>
        <v>0</v>
      </c>
      <c r="AE288" s="160"/>
      <c r="AF288" s="160">
        <f t="shared" si="69"/>
        <v>0</v>
      </c>
      <c r="AG288" s="165"/>
      <c r="AH288" s="161">
        <f t="shared" si="70"/>
        <v>0</v>
      </c>
      <c r="AI288" s="162"/>
      <c r="AJ288" s="162">
        <f t="shared" si="71"/>
        <v>0</v>
      </c>
      <c r="AK288" s="164"/>
      <c r="AL288" s="164">
        <f t="shared" si="72"/>
        <v>0</v>
      </c>
      <c r="AM288" s="165"/>
      <c r="AN288" s="165">
        <f t="shared" si="73"/>
        <v>0</v>
      </c>
      <c r="AO288" s="166">
        <v>0</v>
      </c>
      <c r="AP288" s="166">
        <f t="shared" si="74"/>
        <v>0</v>
      </c>
      <c r="AQ288" s="162"/>
      <c r="AR288" s="162">
        <f t="shared" si="75"/>
        <v>0</v>
      </c>
      <c r="AS288" s="173"/>
      <c r="AT288" s="167">
        <f t="shared" si="76"/>
        <v>0</v>
      </c>
      <c r="AU288" s="163"/>
      <c r="AV288" s="163">
        <f t="shared" si="77"/>
        <v>0</v>
      </c>
      <c r="AW288" s="168"/>
      <c r="AX288" s="168">
        <f t="shared" si="78"/>
        <v>0</v>
      </c>
      <c r="AY288" s="170"/>
      <c r="AZ288" s="170">
        <f t="shared" si="79"/>
        <v>0</v>
      </c>
      <c r="BA288" s="166"/>
      <c r="BB288" s="166">
        <f t="shared" si="80"/>
        <v>0</v>
      </c>
    </row>
    <row r="289" spans="1:54" ht="31.5">
      <c r="A289" s="148" t="s">
        <v>6255</v>
      </c>
      <c r="B289" s="203" t="s">
        <v>634</v>
      </c>
      <c r="C289" s="203"/>
      <c r="D289" s="203"/>
      <c r="E289" s="203" t="s">
        <v>1795</v>
      </c>
      <c r="F289" s="205" t="s">
        <v>1796</v>
      </c>
      <c r="G289" s="205" t="s">
        <v>6011</v>
      </c>
      <c r="H289" s="204" t="s">
        <v>235</v>
      </c>
      <c r="I289" s="204" t="s">
        <v>11</v>
      </c>
      <c r="J289" s="205" t="s">
        <v>6257</v>
      </c>
      <c r="K289" s="206">
        <v>9450</v>
      </c>
      <c r="L289" s="206"/>
      <c r="M289" s="159">
        <f t="shared" si="66"/>
        <v>0</v>
      </c>
      <c r="N289" s="159"/>
      <c r="O289" s="159"/>
      <c r="P289" s="159"/>
      <c r="Q289" s="159"/>
      <c r="R289" s="159"/>
      <c r="S289" s="150" t="s">
        <v>5270</v>
      </c>
      <c r="T289" s="150" t="s">
        <v>5271</v>
      </c>
      <c r="U289" s="202" t="s">
        <v>6256</v>
      </c>
      <c r="V289" s="204">
        <v>1</v>
      </c>
      <c r="W289" s="203" t="s">
        <v>253</v>
      </c>
      <c r="X289" s="204" t="s">
        <v>6012</v>
      </c>
      <c r="Y289" s="206">
        <v>14000</v>
      </c>
      <c r="Z289" s="207">
        <v>10000</v>
      </c>
      <c r="AA289" s="207">
        <f t="shared" si="67"/>
        <v>94500000</v>
      </c>
      <c r="AB289" s="157">
        <v>10000</v>
      </c>
      <c r="AC289" s="158">
        <f t="shared" si="65"/>
        <v>10000</v>
      </c>
      <c r="AD289" s="159">
        <f t="shared" si="68"/>
        <v>0</v>
      </c>
      <c r="AE289" s="160"/>
      <c r="AF289" s="160">
        <f t="shared" si="69"/>
        <v>0</v>
      </c>
      <c r="AG289" s="165"/>
      <c r="AH289" s="161">
        <f t="shared" si="70"/>
        <v>0</v>
      </c>
      <c r="AI289" s="162"/>
      <c r="AJ289" s="162">
        <f t="shared" si="71"/>
        <v>0</v>
      </c>
      <c r="AK289" s="164"/>
      <c r="AL289" s="164">
        <f t="shared" si="72"/>
        <v>0</v>
      </c>
      <c r="AM289" s="165"/>
      <c r="AN289" s="165">
        <f t="shared" si="73"/>
        <v>0</v>
      </c>
      <c r="AO289" s="166">
        <v>0</v>
      </c>
      <c r="AP289" s="166">
        <f t="shared" si="74"/>
        <v>0</v>
      </c>
      <c r="AQ289" s="162"/>
      <c r="AR289" s="162">
        <f t="shared" si="75"/>
        <v>0</v>
      </c>
      <c r="AS289" s="173"/>
      <c r="AT289" s="167">
        <f t="shared" si="76"/>
        <v>0</v>
      </c>
      <c r="AU289" s="163"/>
      <c r="AV289" s="163">
        <f t="shared" si="77"/>
        <v>0</v>
      </c>
      <c r="AW289" s="168"/>
      <c r="AX289" s="168">
        <f t="shared" si="78"/>
        <v>0</v>
      </c>
      <c r="AY289" s="170"/>
      <c r="AZ289" s="170">
        <f t="shared" si="79"/>
        <v>0</v>
      </c>
      <c r="BA289" s="166"/>
      <c r="BB289" s="166">
        <f t="shared" si="80"/>
        <v>0</v>
      </c>
    </row>
    <row r="290" spans="1:54" ht="31.5">
      <c r="A290" s="148" t="s">
        <v>6258</v>
      </c>
      <c r="B290" s="203" t="s">
        <v>572</v>
      </c>
      <c r="C290" s="203"/>
      <c r="D290" s="203"/>
      <c r="E290" s="203" t="s">
        <v>6262</v>
      </c>
      <c r="F290" s="205" t="s">
        <v>6264</v>
      </c>
      <c r="G290" s="205" t="s">
        <v>954</v>
      </c>
      <c r="H290" s="204" t="s">
        <v>235</v>
      </c>
      <c r="I290" s="204" t="s">
        <v>11</v>
      </c>
      <c r="J290" s="205" t="s">
        <v>6263</v>
      </c>
      <c r="K290" s="206">
        <v>11550</v>
      </c>
      <c r="L290" s="206"/>
      <c r="M290" s="159">
        <f t="shared" si="66"/>
        <v>0</v>
      </c>
      <c r="N290" s="159"/>
      <c r="O290" s="159"/>
      <c r="P290" s="159"/>
      <c r="Q290" s="159"/>
      <c r="R290" s="159"/>
      <c r="S290" s="149" t="s">
        <v>6259</v>
      </c>
      <c r="T290" s="150" t="s">
        <v>6260</v>
      </c>
      <c r="U290" s="202" t="s">
        <v>6261</v>
      </c>
      <c r="V290" s="204">
        <v>1</v>
      </c>
      <c r="W290" s="203" t="s">
        <v>253</v>
      </c>
      <c r="X290" s="204" t="s">
        <v>6012</v>
      </c>
      <c r="Y290" s="206">
        <v>12500</v>
      </c>
      <c r="Z290" s="207">
        <v>20000</v>
      </c>
      <c r="AA290" s="207">
        <f t="shared" si="67"/>
        <v>231000000</v>
      </c>
      <c r="AB290" s="157">
        <v>20000</v>
      </c>
      <c r="AC290" s="158">
        <f t="shared" si="65"/>
        <v>20000</v>
      </c>
      <c r="AD290" s="159">
        <f t="shared" si="68"/>
        <v>0</v>
      </c>
      <c r="AE290" s="160"/>
      <c r="AF290" s="160">
        <f t="shared" si="69"/>
        <v>0</v>
      </c>
      <c r="AG290" s="165"/>
      <c r="AH290" s="161">
        <f t="shared" si="70"/>
        <v>0</v>
      </c>
      <c r="AI290" s="162"/>
      <c r="AJ290" s="162">
        <f t="shared" si="71"/>
        <v>0</v>
      </c>
      <c r="AK290" s="164"/>
      <c r="AL290" s="164">
        <f t="shared" si="72"/>
        <v>0</v>
      </c>
      <c r="AM290" s="165"/>
      <c r="AN290" s="165">
        <f t="shared" si="73"/>
        <v>0</v>
      </c>
      <c r="AO290" s="166">
        <v>0</v>
      </c>
      <c r="AP290" s="166">
        <f t="shared" si="74"/>
        <v>0</v>
      </c>
      <c r="AQ290" s="162"/>
      <c r="AR290" s="162">
        <f t="shared" si="75"/>
        <v>0</v>
      </c>
      <c r="AS290" s="173"/>
      <c r="AT290" s="167">
        <f t="shared" si="76"/>
        <v>0</v>
      </c>
      <c r="AU290" s="163"/>
      <c r="AV290" s="163">
        <f t="shared" si="77"/>
        <v>0</v>
      </c>
      <c r="AW290" s="168"/>
      <c r="AX290" s="168">
        <f t="shared" si="78"/>
        <v>0</v>
      </c>
      <c r="AY290" s="170"/>
      <c r="AZ290" s="170">
        <f t="shared" si="79"/>
        <v>0</v>
      </c>
      <c r="BA290" s="166"/>
      <c r="BB290" s="166">
        <f t="shared" si="80"/>
        <v>0</v>
      </c>
    </row>
    <row r="291" spans="1:54" ht="31.5">
      <c r="A291" s="172" t="s">
        <v>6265</v>
      </c>
      <c r="B291" s="203" t="s">
        <v>329</v>
      </c>
      <c r="C291" s="203"/>
      <c r="D291" s="203"/>
      <c r="E291" s="203" t="s">
        <v>6267</v>
      </c>
      <c r="F291" s="205" t="s">
        <v>6269</v>
      </c>
      <c r="G291" s="205" t="s">
        <v>6003</v>
      </c>
      <c r="H291" s="204" t="s">
        <v>794</v>
      </c>
      <c r="I291" s="204" t="s">
        <v>520</v>
      </c>
      <c r="J291" s="205" t="s">
        <v>6268</v>
      </c>
      <c r="K291" s="206">
        <v>22900</v>
      </c>
      <c r="L291" s="206"/>
      <c r="M291" s="159">
        <f t="shared" si="66"/>
        <v>0</v>
      </c>
      <c r="N291" s="159"/>
      <c r="O291" s="159"/>
      <c r="P291" s="159"/>
      <c r="Q291" s="159"/>
      <c r="R291" s="159"/>
      <c r="S291" s="149" t="s">
        <v>5993</v>
      </c>
      <c r="T291" s="149" t="s">
        <v>5994</v>
      </c>
      <c r="U291" s="202" t="s">
        <v>6266</v>
      </c>
      <c r="V291" s="204">
        <v>1</v>
      </c>
      <c r="W291" s="203" t="s">
        <v>253</v>
      </c>
      <c r="X291" s="204" t="s">
        <v>5222</v>
      </c>
      <c r="Y291" s="206">
        <v>25781</v>
      </c>
      <c r="Z291" s="207">
        <v>200</v>
      </c>
      <c r="AA291" s="207">
        <f t="shared" si="67"/>
        <v>4580000</v>
      </c>
      <c r="AB291" s="157">
        <v>200</v>
      </c>
      <c r="AC291" s="158">
        <f t="shared" si="65"/>
        <v>200</v>
      </c>
      <c r="AD291" s="159">
        <f t="shared" si="68"/>
        <v>0</v>
      </c>
      <c r="AE291" s="160"/>
      <c r="AF291" s="160">
        <f t="shared" si="69"/>
        <v>0</v>
      </c>
      <c r="AG291" s="165"/>
      <c r="AH291" s="161">
        <f t="shared" si="70"/>
        <v>0</v>
      </c>
      <c r="AI291" s="162"/>
      <c r="AJ291" s="162">
        <f t="shared" si="71"/>
        <v>0</v>
      </c>
      <c r="AK291" s="164"/>
      <c r="AL291" s="164">
        <f t="shared" si="72"/>
        <v>0</v>
      </c>
      <c r="AM291" s="165"/>
      <c r="AN291" s="165">
        <f t="shared" si="73"/>
        <v>0</v>
      </c>
      <c r="AO291" s="166">
        <v>0</v>
      </c>
      <c r="AP291" s="166">
        <f t="shared" si="74"/>
        <v>0</v>
      </c>
      <c r="AQ291" s="162"/>
      <c r="AR291" s="162">
        <f t="shared" si="75"/>
        <v>0</v>
      </c>
      <c r="AS291" s="173"/>
      <c r="AT291" s="167">
        <f t="shared" si="76"/>
        <v>0</v>
      </c>
      <c r="AU291" s="163"/>
      <c r="AV291" s="163">
        <f t="shared" si="77"/>
        <v>0</v>
      </c>
      <c r="AW291" s="168"/>
      <c r="AX291" s="168">
        <f t="shared" si="78"/>
        <v>0</v>
      </c>
      <c r="AY291" s="170"/>
      <c r="AZ291" s="170">
        <f t="shared" si="79"/>
        <v>0</v>
      </c>
      <c r="BA291" s="166"/>
      <c r="BB291" s="166">
        <f t="shared" si="80"/>
        <v>0</v>
      </c>
    </row>
    <row r="292" spans="1:54" ht="31.5">
      <c r="A292" s="148" t="s">
        <v>6270</v>
      </c>
      <c r="B292" s="203" t="s">
        <v>638</v>
      </c>
      <c r="C292" s="203"/>
      <c r="D292" s="203"/>
      <c r="E292" s="203" t="s">
        <v>1491</v>
      </c>
      <c r="F292" s="205" t="s">
        <v>6272</v>
      </c>
      <c r="G292" s="205" t="s">
        <v>6233</v>
      </c>
      <c r="H292" s="204" t="s">
        <v>429</v>
      </c>
      <c r="I292" s="204" t="s">
        <v>12</v>
      </c>
      <c r="J292" s="205" t="s">
        <v>6271</v>
      </c>
      <c r="K292" s="206">
        <v>4840</v>
      </c>
      <c r="L292" s="206"/>
      <c r="M292" s="159">
        <f t="shared" si="66"/>
        <v>0</v>
      </c>
      <c r="N292" s="159"/>
      <c r="O292" s="159"/>
      <c r="P292" s="159"/>
      <c r="Q292" s="159"/>
      <c r="R292" s="159"/>
      <c r="S292" s="149" t="s">
        <v>6230</v>
      </c>
      <c r="T292" s="149" t="s">
        <v>6231</v>
      </c>
      <c r="U292" s="202" t="s">
        <v>4423</v>
      </c>
      <c r="V292" s="204">
        <v>1</v>
      </c>
      <c r="W292" s="203" t="s">
        <v>5104</v>
      </c>
      <c r="X292" s="204" t="s">
        <v>6234</v>
      </c>
      <c r="Y292" s="206">
        <v>5080</v>
      </c>
      <c r="Z292" s="207">
        <v>50000</v>
      </c>
      <c r="AA292" s="207">
        <f t="shared" si="67"/>
        <v>242000000</v>
      </c>
      <c r="AB292" s="157">
        <v>50000</v>
      </c>
      <c r="AC292" s="158">
        <f t="shared" si="65"/>
        <v>50000</v>
      </c>
      <c r="AD292" s="159">
        <f t="shared" si="68"/>
        <v>0</v>
      </c>
      <c r="AE292" s="160"/>
      <c r="AF292" s="160">
        <f t="shared" si="69"/>
        <v>0</v>
      </c>
      <c r="AG292" s="165"/>
      <c r="AH292" s="161">
        <f t="shared" si="70"/>
        <v>0</v>
      </c>
      <c r="AI292" s="162"/>
      <c r="AJ292" s="162">
        <f t="shared" si="71"/>
        <v>0</v>
      </c>
      <c r="AK292" s="164"/>
      <c r="AL292" s="164">
        <f t="shared" si="72"/>
        <v>0</v>
      </c>
      <c r="AM292" s="165"/>
      <c r="AN292" s="165">
        <f t="shared" si="73"/>
        <v>0</v>
      </c>
      <c r="AO292" s="166">
        <v>0</v>
      </c>
      <c r="AP292" s="166">
        <f t="shared" si="74"/>
        <v>0</v>
      </c>
      <c r="AQ292" s="162"/>
      <c r="AR292" s="162">
        <f t="shared" si="75"/>
        <v>0</v>
      </c>
      <c r="AS292" s="173"/>
      <c r="AT292" s="167">
        <f t="shared" si="76"/>
        <v>0</v>
      </c>
      <c r="AU292" s="163"/>
      <c r="AV292" s="163">
        <f t="shared" si="77"/>
        <v>0</v>
      </c>
      <c r="AW292" s="168"/>
      <c r="AX292" s="168">
        <f t="shared" si="78"/>
        <v>0</v>
      </c>
      <c r="AY292" s="170"/>
      <c r="AZ292" s="170">
        <f t="shared" si="79"/>
        <v>0</v>
      </c>
      <c r="BA292" s="166"/>
      <c r="BB292" s="166">
        <f t="shared" si="80"/>
        <v>0</v>
      </c>
    </row>
    <row r="293" spans="1:54" ht="31.5">
      <c r="A293" s="148" t="s">
        <v>6273</v>
      </c>
      <c r="B293" s="203" t="s">
        <v>2038</v>
      </c>
      <c r="C293" s="203"/>
      <c r="D293" s="203"/>
      <c r="E293" s="203" t="s">
        <v>4362</v>
      </c>
      <c r="F293" s="205" t="s">
        <v>2045</v>
      </c>
      <c r="G293" s="205" t="s">
        <v>2046</v>
      </c>
      <c r="H293" s="204" t="s">
        <v>225</v>
      </c>
      <c r="I293" s="204" t="s">
        <v>11</v>
      </c>
      <c r="J293" s="205" t="s">
        <v>6274</v>
      </c>
      <c r="K293" s="206">
        <v>4612</v>
      </c>
      <c r="L293" s="206"/>
      <c r="M293" s="159">
        <f t="shared" si="66"/>
        <v>3000</v>
      </c>
      <c r="N293" s="159"/>
      <c r="O293" s="159"/>
      <c r="P293" s="159"/>
      <c r="Q293" s="159"/>
      <c r="R293" s="159"/>
      <c r="S293" s="150" t="s">
        <v>5118</v>
      </c>
      <c r="T293" s="150" t="s">
        <v>5119</v>
      </c>
      <c r="U293" s="202" t="s">
        <v>4361</v>
      </c>
      <c r="V293" s="204">
        <v>1</v>
      </c>
      <c r="W293" s="203" t="s">
        <v>5104</v>
      </c>
      <c r="X293" s="204" t="s">
        <v>213</v>
      </c>
      <c r="Y293" s="206">
        <v>4862</v>
      </c>
      <c r="Z293" s="207">
        <v>20000</v>
      </c>
      <c r="AA293" s="207">
        <f t="shared" si="67"/>
        <v>92240000</v>
      </c>
      <c r="AB293" s="157">
        <v>20000</v>
      </c>
      <c r="AC293" s="158">
        <f t="shared" si="65"/>
        <v>17000</v>
      </c>
      <c r="AD293" s="159">
        <f t="shared" si="68"/>
        <v>13836000</v>
      </c>
      <c r="AE293" s="160"/>
      <c r="AF293" s="160">
        <f t="shared" si="69"/>
        <v>0</v>
      </c>
      <c r="AG293" s="161"/>
      <c r="AH293" s="161">
        <f t="shared" si="70"/>
        <v>0</v>
      </c>
      <c r="AI293" s="162"/>
      <c r="AJ293" s="162">
        <f t="shared" si="71"/>
        <v>0</v>
      </c>
      <c r="AK293" s="163"/>
      <c r="AL293" s="164">
        <f t="shared" si="72"/>
        <v>0</v>
      </c>
      <c r="AM293" s="161"/>
      <c r="AN293" s="165">
        <f t="shared" si="73"/>
        <v>0</v>
      </c>
      <c r="AO293" s="160">
        <v>3000</v>
      </c>
      <c r="AP293" s="166">
        <f t="shared" si="74"/>
        <v>13836000</v>
      </c>
      <c r="AQ293" s="162"/>
      <c r="AR293" s="162">
        <f t="shared" si="75"/>
        <v>0</v>
      </c>
      <c r="AS293" s="167"/>
      <c r="AT293" s="167">
        <f t="shared" si="76"/>
        <v>0</v>
      </c>
      <c r="AU293" s="163"/>
      <c r="AV293" s="163">
        <f t="shared" si="77"/>
        <v>0</v>
      </c>
      <c r="AW293" s="162"/>
      <c r="AX293" s="168">
        <f t="shared" si="78"/>
        <v>0</v>
      </c>
      <c r="AY293" s="169"/>
      <c r="AZ293" s="170">
        <f t="shared" si="79"/>
        <v>0</v>
      </c>
      <c r="BA293" s="160"/>
      <c r="BB293" s="166">
        <f t="shared" si="80"/>
        <v>0</v>
      </c>
    </row>
    <row r="294" spans="1:54" ht="31.5">
      <c r="A294" s="172" t="s">
        <v>6275</v>
      </c>
      <c r="B294" s="203" t="s">
        <v>1333</v>
      </c>
      <c r="C294" s="203"/>
      <c r="D294" s="203"/>
      <c r="E294" s="203" t="s">
        <v>1538</v>
      </c>
      <c r="F294" s="205" t="s">
        <v>1539</v>
      </c>
      <c r="G294" s="205" t="s">
        <v>458</v>
      </c>
      <c r="H294" s="204" t="s">
        <v>238</v>
      </c>
      <c r="I294" s="204" t="s">
        <v>11</v>
      </c>
      <c r="J294" s="205" t="s">
        <v>5957</v>
      </c>
      <c r="K294" s="206">
        <v>980</v>
      </c>
      <c r="L294" s="206"/>
      <c r="M294" s="159">
        <f t="shared" si="66"/>
        <v>10500</v>
      </c>
      <c r="N294" s="159"/>
      <c r="O294" s="159"/>
      <c r="P294" s="159"/>
      <c r="Q294" s="159"/>
      <c r="R294" s="159"/>
      <c r="S294" s="149" t="s">
        <v>5219</v>
      </c>
      <c r="T294" s="149" t="s">
        <v>5220</v>
      </c>
      <c r="U294" s="202" t="s">
        <v>3948</v>
      </c>
      <c r="V294" s="204">
        <v>1</v>
      </c>
      <c r="W294" s="203" t="s">
        <v>5108</v>
      </c>
      <c r="X294" s="204" t="s">
        <v>5222</v>
      </c>
      <c r="Y294" s="206">
        <v>1380</v>
      </c>
      <c r="Z294" s="207">
        <v>40000</v>
      </c>
      <c r="AA294" s="207">
        <f t="shared" si="67"/>
        <v>39200000</v>
      </c>
      <c r="AB294" s="157">
        <v>40000</v>
      </c>
      <c r="AC294" s="158">
        <f t="shared" si="65"/>
        <v>29500</v>
      </c>
      <c r="AD294" s="159">
        <f t="shared" si="68"/>
        <v>10290000</v>
      </c>
      <c r="AE294" s="160"/>
      <c r="AF294" s="160">
        <f t="shared" si="69"/>
        <v>0</v>
      </c>
      <c r="AG294" s="165"/>
      <c r="AH294" s="161">
        <f t="shared" si="70"/>
        <v>0</v>
      </c>
      <c r="AI294" s="162"/>
      <c r="AJ294" s="162">
        <f t="shared" si="71"/>
        <v>0</v>
      </c>
      <c r="AK294" s="163"/>
      <c r="AL294" s="164">
        <f t="shared" si="72"/>
        <v>0</v>
      </c>
      <c r="AM294" s="161"/>
      <c r="AN294" s="165">
        <f t="shared" si="73"/>
        <v>0</v>
      </c>
      <c r="AO294" s="160">
        <v>0</v>
      </c>
      <c r="AP294" s="166">
        <f t="shared" si="74"/>
        <v>0</v>
      </c>
      <c r="AQ294" s="162"/>
      <c r="AR294" s="162">
        <f t="shared" si="75"/>
        <v>0</v>
      </c>
      <c r="AS294" s="173">
        <v>10500</v>
      </c>
      <c r="AT294" s="167">
        <f t="shared" si="76"/>
        <v>10290000</v>
      </c>
      <c r="AU294" s="163"/>
      <c r="AV294" s="163">
        <f t="shared" si="77"/>
        <v>0</v>
      </c>
      <c r="AW294" s="162"/>
      <c r="AX294" s="168">
        <f t="shared" si="78"/>
        <v>0</v>
      </c>
      <c r="AY294" s="169"/>
      <c r="AZ294" s="170">
        <f t="shared" si="79"/>
        <v>0</v>
      </c>
      <c r="BA294" s="160"/>
      <c r="BB294" s="166">
        <f t="shared" si="80"/>
        <v>0</v>
      </c>
    </row>
    <row r="295" spans="1:54">
      <c r="A295" s="148" t="s">
        <v>6276</v>
      </c>
      <c r="B295" s="203" t="s">
        <v>1356</v>
      </c>
      <c r="C295" s="203"/>
      <c r="D295" s="203"/>
      <c r="E295" s="203" t="s">
        <v>2543</v>
      </c>
      <c r="F295" s="205" t="s">
        <v>3308</v>
      </c>
      <c r="G295" s="205" t="s">
        <v>6280</v>
      </c>
      <c r="H295" s="204" t="s">
        <v>238</v>
      </c>
      <c r="I295" s="204" t="s">
        <v>11</v>
      </c>
      <c r="J295" s="205" t="s">
        <v>6279</v>
      </c>
      <c r="K295" s="206">
        <v>1831</v>
      </c>
      <c r="L295" s="206"/>
      <c r="M295" s="159">
        <f t="shared" si="66"/>
        <v>0</v>
      </c>
      <c r="N295" s="159"/>
      <c r="O295" s="159"/>
      <c r="P295" s="159"/>
      <c r="Q295" s="159"/>
      <c r="R295" s="159"/>
      <c r="S295" s="149" t="s">
        <v>2326</v>
      </c>
      <c r="T295" s="149" t="s">
        <v>6277</v>
      </c>
      <c r="U295" s="202" t="s">
        <v>6278</v>
      </c>
      <c r="V295" s="204">
        <v>1</v>
      </c>
      <c r="W295" s="203" t="s">
        <v>5104</v>
      </c>
      <c r="X295" s="204" t="s">
        <v>5116</v>
      </c>
      <c r="Y295" s="206">
        <v>1843</v>
      </c>
      <c r="Z295" s="207">
        <v>10000</v>
      </c>
      <c r="AA295" s="207">
        <f t="shared" si="67"/>
        <v>18310000</v>
      </c>
      <c r="AB295" s="157">
        <v>10000</v>
      </c>
      <c r="AC295" s="158">
        <f t="shared" si="65"/>
        <v>10000</v>
      </c>
      <c r="AD295" s="159">
        <f t="shared" si="68"/>
        <v>0</v>
      </c>
      <c r="AE295" s="160"/>
      <c r="AF295" s="160">
        <f t="shared" si="69"/>
        <v>0</v>
      </c>
      <c r="AG295" s="165"/>
      <c r="AH295" s="161">
        <f t="shared" si="70"/>
        <v>0</v>
      </c>
      <c r="AI295" s="162"/>
      <c r="AJ295" s="162">
        <f t="shared" si="71"/>
        <v>0</v>
      </c>
      <c r="AK295" s="164"/>
      <c r="AL295" s="164">
        <f t="shared" si="72"/>
        <v>0</v>
      </c>
      <c r="AM295" s="165"/>
      <c r="AN295" s="165">
        <f t="shared" si="73"/>
        <v>0</v>
      </c>
      <c r="AO295" s="166">
        <v>0</v>
      </c>
      <c r="AP295" s="166">
        <f t="shared" si="74"/>
        <v>0</v>
      </c>
      <c r="AQ295" s="162"/>
      <c r="AR295" s="162">
        <f t="shared" si="75"/>
        <v>0</v>
      </c>
      <c r="AS295" s="173"/>
      <c r="AT295" s="167">
        <f t="shared" si="76"/>
        <v>0</v>
      </c>
      <c r="AU295" s="163"/>
      <c r="AV295" s="163">
        <f t="shared" si="77"/>
        <v>0</v>
      </c>
      <c r="AW295" s="168"/>
      <c r="AX295" s="168">
        <f t="shared" si="78"/>
        <v>0</v>
      </c>
      <c r="AY295" s="170"/>
      <c r="AZ295" s="170">
        <f t="shared" si="79"/>
        <v>0</v>
      </c>
      <c r="BA295" s="166"/>
      <c r="BB295" s="166">
        <f t="shared" si="80"/>
        <v>0</v>
      </c>
    </row>
    <row r="296" spans="1:54" ht="112.5">
      <c r="A296" s="148" t="s">
        <v>6281</v>
      </c>
      <c r="B296" s="203" t="s">
        <v>3974</v>
      </c>
      <c r="C296" s="203"/>
      <c r="D296" s="203"/>
      <c r="E296" s="203" t="s">
        <v>6283</v>
      </c>
      <c r="F296" s="205" t="s">
        <v>6285</v>
      </c>
      <c r="G296" s="205" t="s">
        <v>6286</v>
      </c>
      <c r="H296" s="204" t="s">
        <v>267</v>
      </c>
      <c r="I296" s="204" t="s">
        <v>11</v>
      </c>
      <c r="J296" s="205" t="s">
        <v>6284</v>
      </c>
      <c r="K296" s="206">
        <v>1200</v>
      </c>
      <c r="L296" s="206"/>
      <c r="M296" s="159">
        <f t="shared" si="66"/>
        <v>0</v>
      </c>
      <c r="N296" s="159"/>
      <c r="O296" s="159"/>
      <c r="P296" s="159"/>
      <c r="Q296" s="159"/>
      <c r="R296" s="159"/>
      <c r="S296" s="209" t="s">
        <v>5848</v>
      </c>
      <c r="T296" s="203" t="s">
        <v>5849</v>
      </c>
      <c r="U296" s="202" t="s">
        <v>6282</v>
      </c>
      <c r="V296" s="204">
        <v>1</v>
      </c>
      <c r="W296" s="203" t="s">
        <v>5104</v>
      </c>
      <c r="X296" s="204" t="s">
        <v>5156</v>
      </c>
      <c r="Y296" s="206">
        <v>1250</v>
      </c>
      <c r="Z296" s="207">
        <v>20000</v>
      </c>
      <c r="AA296" s="207">
        <f t="shared" si="67"/>
        <v>24000000</v>
      </c>
      <c r="AB296" s="157">
        <v>20000</v>
      </c>
      <c r="AC296" s="158">
        <f t="shared" si="65"/>
        <v>20000</v>
      </c>
      <c r="AD296" s="159">
        <f t="shared" si="68"/>
        <v>0</v>
      </c>
      <c r="AE296" s="160"/>
      <c r="AF296" s="160">
        <f t="shared" si="69"/>
        <v>0</v>
      </c>
      <c r="AG296" s="165"/>
      <c r="AH296" s="161">
        <f t="shared" si="70"/>
        <v>0</v>
      </c>
      <c r="AI296" s="162"/>
      <c r="AJ296" s="162">
        <f t="shared" si="71"/>
        <v>0</v>
      </c>
      <c r="AK296" s="163"/>
      <c r="AL296" s="164">
        <f t="shared" si="72"/>
        <v>0</v>
      </c>
      <c r="AM296" s="161"/>
      <c r="AN296" s="165">
        <f t="shared" si="73"/>
        <v>0</v>
      </c>
      <c r="AO296" s="160">
        <v>0</v>
      </c>
      <c r="AP296" s="166">
        <f t="shared" si="74"/>
        <v>0</v>
      </c>
      <c r="AQ296" s="162"/>
      <c r="AR296" s="162">
        <f t="shared" si="75"/>
        <v>0</v>
      </c>
      <c r="AS296" s="173"/>
      <c r="AT296" s="167">
        <f t="shared" si="76"/>
        <v>0</v>
      </c>
      <c r="AU296" s="163"/>
      <c r="AV296" s="163">
        <f t="shared" si="77"/>
        <v>0</v>
      </c>
      <c r="AW296" s="162"/>
      <c r="AX296" s="168">
        <f t="shared" si="78"/>
        <v>0</v>
      </c>
      <c r="AY296" s="169"/>
      <c r="AZ296" s="170">
        <f t="shared" si="79"/>
        <v>0</v>
      </c>
      <c r="BA296" s="160"/>
      <c r="BB296" s="166">
        <f t="shared" si="80"/>
        <v>0</v>
      </c>
    </row>
    <row r="297" spans="1:54" ht="31.5">
      <c r="A297" s="172" t="s">
        <v>6287</v>
      </c>
      <c r="B297" s="203" t="s">
        <v>6289</v>
      </c>
      <c r="C297" s="203"/>
      <c r="D297" s="203"/>
      <c r="E297" s="203" t="s">
        <v>6290</v>
      </c>
      <c r="F297" s="205" t="s">
        <v>6292</v>
      </c>
      <c r="G297" s="205" t="s">
        <v>6293</v>
      </c>
      <c r="H297" s="204" t="s">
        <v>299</v>
      </c>
      <c r="I297" s="204" t="s">
        <v>11</v>
      </c>
      <c r="J297" s="205" t="s">
        <v>6291</v>
      </c>
      <c r="K297" s="206">
        <v>5870</v>
      </c>
      <c r="L297" s="206"/>
      <c r="M297" s="159">
        <f t="shared" si="66"/>
        <v>0</v>
      </c>
      <c r="N297" s="159"/>
      <c r="O297" s="159"/>
      <c r="P297" s="159"/>
      <c r="Q297" s="159"/>
      <c r="R297" s="159"/>
      <c r="S297" s="150" t="s">
        <v>5118</v>
      </c>
      <c r="T297" s="150" t="s">
        <v>5119</v>
      </c>
      <c r="U297" s="202" t="s">
        <v>6288</v>
      </c>
      <c r="V297" s="204">
        <v>1</v>
      </c>
      <c r="W297" s="203" t="s">
        <v>5104</v>
      </c>
      <c r="X297" s="204" t="s">
        <v>5116</v>
      </c>
      <c r="Y297" s="206">
        <v>5870</v>
      </c>
      <c r="Z297" s="207">
        <v>40000</v>
      </c>
      <c r="AA297" s="207">
        <f t="shared" si="67"/>
        <v>234800000</v>
      </c>
      <c r="AB297" s="157">
        <v>40000</v>
      </c>
      <c r="AC297" s="158">
        <f t="shared" si="65"/>
        <v>40000</v>
      </c>
      <c r="AD297" s="159">
        <f t="shared" si="68"/>
        <v>0</v>
      </c>
      <c r="AE297" s="160"/>
      <c r="AF297" s="160">
        <f t="shared" si="69"/>
        <v>0</v>
      </c>
      <c r="AG297" s="165"/>
      <c r="AH297" s="161">
        <f t="shared" si="70"/>
        <v>0</v>
      </c>
      <c r="AI297" s="162"/>
      <c r="AJ297" s="162">
        <f t="shared" si="71"/>
        <v>0</v>
      </c>
      <c r="AK297" s="164"/>
      <c r="AL297" s="164">
        <f t="shared" si="72"/>
        <v>0</v>
      </c>
      <c r="AM297" s="165"/>
      <c r="AN297" s="165">
        <f t="shared" si="73"/>
        <v>0</v>
      </c>
      <c r="AO297" s="166">
        <v>0</v>
      </c>
      <c r="AP297" s="166">
        <f t="shared" si="74"/>
        <v>0</v>
      </c>
      <c r="AQ297" s="162"/>
      <c r="AR297" s="162">
        <f t="shared" si="75"/>
        <v>0</v>
      </c>
      <c r="AS297" s="173"/>
      <c r="AT297" s="167">
        <f t="shared" si="76"/>
        <v>0</v>
      </c>
      <c r="AU297" s="163"/>
      <c r="AV297" s="163">
        <f t="shared" si="77"/>
        <v>0</v>
      </c>
      <c r="AW297" s="168"/>
      <c r="AX297" s="168">
        <f t="shared" si="78"/>
        <v>0</v>
      </c>
      <c r="AY297" s="170"/>
      <c r="AZ297" s="170">
        <f t="shared" si="79"/>
        <v>0</v>
      </c>
      <c r="BA297" s="166"/>
      <c r="BB297" s="166">
        <f t="shared" si="80"/>
        <v>0</v>
      </c>
    </row>
    <row r="298" spans="1:54" ht="31.5">
      <c r="A298" s="148" t="s">
        <v>6294</v>
      </c>
      <c r="B298" s="203" t="s">
        <v>2083</v>
      </c>
      <c r="C298" s="203"/>
      <c r="D298" s="203"/>
      <c r="E298" s="203" t="s">
        <v>6296</v>
      </c>
      <c r="F298" s="205" t="s">
        <v>6298</v>
      </c>
      <c r="G298" s="205" t="s">
        <v>5806</v>
      </c>
      <c r="H298" s="204" t="s">
        <v>6295</v>
      </c>
      <c r="I298" s="204" t="s">
        <v>12</v>
      </c>
      <c r="J298" s="205" t="s">
        <v>6297</v>
      </c>
      <c r="K298" s="206">
        <v>2688</v>
      </c>
      <c r="L298" s="206"/>
      <c r="M298" s="159">
        <f t="shared" si="66"/>
        <v>0</v>
      </c>
      <c r="N298" s="159"/>
      <c r="O298" s="159"/>
      <c r="P298" s="159"/>
      <c r="Q298" s="159"/>
      <c r="R298" s="159"/>
      <c r="S298" s="149" t="s">
        <v>6117</v>
      </c>
      <c r="T298" s="149" t="s">
        <v>6118</v>
      </c>
      <c r="U298" s="202" t="s">
        <v>3976</v>
      </c>
      <c r="V298" s="204">
        <v>1</v>
      </c>
      <c r="W298" s="203" t="s">
        <v>253</v>
      </c>
      <c r="X298" s="204" t="s">
        <v>6299</v>
      </c>
      <c r="Y298" s="206">
        <v>4500</v>
      </c>
      <c r="Z298" s="207">
        <v>15000</v>
      </c>
      <c r="AA298" s="207">
        <f t="shared" si="67"/>
        <v>40320000</v>
      </c>
      <c r="AB298" s="157">
        <v>15000</v>
      </c>
      <c r="AC298" s="158">
        <f t="shared" si="65"/>
        <v>15000</v>
      </c>
      <c r="AD298" s="159">
        <f t="shared" si="68"/>
        <v>0</v>
      </c>
      <c r="AE298" s="160"/>
      <c r="AF298" s="160">
        <f t="shared" si="69"/>
        <v>0</v>
      </c>
      <c r="AG298" s="165"/>
      <c r="AH298" s="161">
        <f t="shared" si="70"/>
        <v>0</v>
      </c>
      <c r="AI298" s="162"/>
      <c r="AJ298" s="162">
        <f t="shared" si="71"/>
        <v>0</v>
      </c>
      <c r="AK298" s="164"/>
      <c r="AL298" s="164">
        <f t="shared" si="72"/>
        <v>0</v>
      </c>
      <c r="AM298" s="165"/>
      <c r="AN298" s="165">
        <f t="shared" si="73"/>
        <v>0</v>
      </c>
      <c r="AO298" s="166">
        <v>0</v>
      </c>
      <c r="AP298" s="166">
        <f t="shared" si="74"/>
        <v>0</v>
      </c>
      <c r="AQ298" s="162"/>
      <c r="AR298" s="162">
        <f t="shared" si="75"/>
        <v>0</v>
      </c>
      <c r="AS298" s="173"/>
      <c r="AT298" s="167">
        <f t="shared" si="76"/>
        <v>0</v>
      </c>
      <c r="AU298" s="163"/>
      <c r="AV298" s="163">
        <f t="shared" si="77"/>
        <v>0</v>
      </c>
      <c r="AW298" s="168"/>
      <c r="AX298" s="168">
        <f t="shared" si="78"/>
        <v>0</v>
      </c>
      <c r="AY298" s="170"/>
      <c r="AZ298" s="170">
        <f t="shared" si="79"/>
        <v>0</v>
      </c>
      <c r="BA298" s="166"/>
      <c r="BB298" s="166">
        <f t="shared" si="80"/>
        <v>0</v>
      </c>
    </row>
    <row r="299" spans="1:54" ht="31.5">
      <c r="A299" s="148" t="s">
        <v>6300</v>
      </c>
      <c r="B299" s="203" t="s">
        <v>4036</v>
      </c>
      <c r="C299" s="203"/>
      <c r="D299" s="203"/>
      <c r="E299" s="203" t="s">
        <v>989</v>
      </c>
      <c r="F299" s="205" t="s">
        <v>6303</v>
      </c>
      <c r="G299" s="205" t="s">
        <v>948</v>
      </c>
      <c r="H299" s="204" t="s">
        <v>6301</v>
      </c>
      <c r="I299" s="204" t="s">
        <v>12</v>
      </c>
      <c r="J299" s="205" t="s">
        <v>6302</v>
      </c>
      <c r="K299" s="206">
        <v>4275</v>
      </c>
      <c r="L299" s="206"/>
      <c r="M299" s="159">
        <f t="shared" si="66"/>
        <v>0</v>
      </c>
      <c r="N299" s="159"/>
      <c r="O299" s="159"/>
      <c r="P299" s="159"/>
      <c r="Q299" s="159"/>
      <c r="R299" s="159"/>
      <c r="S299" s="150" t="s">
        <v>5118</v>
      </c>
      <c r="T299" s="150" t="s">
        <v>5119</v>
      </c>
      <c r="U299" s="202" t="s">
        <v>4035</v>
      </c>
      <c r="V299" s="204">
        <v>1</v>
      </c>
      <c r="W299" s="203" t="s">
        <v>5104</v>
      </c>
      <c r="X299" s="204" t="s">
        <v>5116</v>
      </c>
      <c r="Y299" s="206">
        <v>4275</v>
      </c>
      <c r="Z299" s="207">
        <v>10000</v>
      </c>
      <c r="AA299" s="207">
        <f t="shared" si="67"/>
        <v>42750000</v>
      </c>
      <c r="AB299" s="157">
        <v>10000</v>
      </c>
      <c r="AC299" s="158">
        <f t="shared" si="65"/>
        <v>10000</v>
      </c>
      <c r="AD299" s="159">
        <f t="shared" si="68"/>
        <v>0</v>
      </c>
      <c r="AE299" s="160"/>
      <c r="AF299" s="160">
        <f t="shared" si="69"/>
        <v>0</v>
      </c>
      <c r="AG299" s="165"/>
      <c r="AH299" s="161">
        <f t="shared" si="70"/>
        <v>0</v>
      </c>
      <c r="AI299" s="162"/>
      <c r="AJ299" s="162">
        <f t="shared" si="71"/>
        <v>0</v>
      </c>
      <c r="AK299" s="163"/>
      <c r="AL299" s="164">
        <f t="shared" si="72"/>
        <v>0</v>
      </c>
      <c r="AM299" s="161"/>
      <c r="AN299" s="165">
        <f t="shared" si="73"/>
        <v>0</v>
      </c>
      <c r="AO299" s="160">
        <v>0</v>
      </c>
      <c r="AP299" s="166">
        <f t="shared" si="74"/>
        <v>0</v>
      </c>
      <c r="AQ299" s="162"/>
      <c r="AR299" s="162">
        <f t="shared" si="75"/>
        <v>0</v>
      </c>
      <c r="AS299" s="173"/>
      <c r="AT299" s="167">
        <f t="shared" si="76"/>
        <v>0</v>
      </c>
      <c r="AU299" s="163"/>
      <c r="AV299" s="163">
        <f t="shared" si="77"/>
        <v>0</v>
      </c>
      <c r="AW299" s="162"/>
      <c r="AX299" s="168">
        <f t="shared" si="78"/>
        <v>0</v>
      </c>
      <c r="AY299" s="169"/>
      <c r="AZ299" s="170">
        <f t="shared" si="79"/>
        <v>0</v>
      </c>
      <c r="BA299" s="160"/>
      <c r="BB299" s="166">
        <f t="shared" si="80"/>
        <v>0</v>
      </c>
    </row>
    <row r="300" spans="1:54" ht="31.5">
      <c r="A300" s="172" t="s">
        <v>6304</v>
      </c>
      <c r="B300" s="203" t="s">
        <v>3727</v>
      </c>
      <c r="C300" s="203"/>
      <c r="D300" s="203"/>
      <c r="E300" s="203" t="s">
        <v>6305</v>
      </c>
      <c r="F300" s="205" t="s">
        <v>947</v>
      </c>
      <c r="G300" s="205" t="s">
        <v>948</v>
      </c>
      <c r="H300" s="204" t="s">
        <v>945</v>
      </c>
      <c r="I300" s="204" t="s">
        <v>12</v>
      </c>
      <c r="J300" s="205" t="s">
        <v>6306</v>
      </c>
      <c r="K300" s="206">
        <v>3156</v>
      </c>
      <c r="L300" s="206"/>
      <c r="M300" s="159">
        <f t="shared" si="66"/>
        <v>0</v>
      </c>
      <c r="N300" s="159"/>
      <c r="O300" s="159"/>
      <c r="P300" s="159"/>
      <c r="Q300" s="159"/>
      <c r="R300" s="159"/>
      <c r="S300" s="150" t="s">
        <v>5118</v>
      </c>
      <c r="T300" s="150" t="s">
        <v>5119</v>
      </c>
      <c r="U300" s="202" t="s">
        <v>3726</v>
      </c>
      <c r="V300" s="204">
        <v>1</v>
      </c>
      <c r="W300" s="203" t="s">
        <v>5104</v>
      </c>
      <c r="X300" s="204" t="s">
        <v>5116</v>
      </c>
      <c r="Y300" s="206">
        <v>3157</v>
      </c>
      <c r="Z300" s="207">
        <v>6000</v>
      </c>
      <c r="AA300" s="207">
        <f t="shared" si="67"/>
        <v>18936000</v>
      </c>
      <c r="AB300" s="157">
        <v>6000</v>
      </c>
      <c r="AC300" s="158">
        <f t="shared" ref="AC300:AC363" si="81">AB300-M300</f>
        <v>6000</v>
      </c>
      <c r="AD300" s="159">
        <f t="shared" si="68"/>
        <v>0</v>
      </c>
      <c r="AE300" s="160"/>
      <c r="AF300" s="160">
        <f t="shared" si="69"/>
        <v>0</v>
      </c>
      <c r="AG300" s="161"/>
      <c r="AH300" s="161">
        <f t="shared" si="70"/>
        <v>0</v>
      </c>
      <c r="AI300" s="162"/>
      <c r="AJ300" s="162">
        <f t="shared" si="71"/>
        <v>0</v>
      </c>
      <c r="AK300" s="164"/>
      <c r="AL300" s="164">
        <f t="shared" si="72"/>
        <v>0</v>
      </c>
      <c r="AM300" s="165"/>
      <c r="AN300" s="165">
        <f t="shared" si="73"/>
        <v>0</v>
      </c>
      <c r="AO300" s="166">
        <v>0</v>
      </c>
      <c r="AP300" s="166">
        <f t="shared" si="74"/>
        <v>0</v>
      </c>
      <c r="AQ300" s="162"/>
      <c r="AR300" s="162">
        <f t="shared" si="75"/>
        <v>0</v>
      </c>
      <c r="AS300" s="167"/>
      <c r="AT300" s="167">
        <f t="shared" si="76"/>
        <v>0</v>
      </c>
      <c r="AU300" s="163"/>
      <c r="AV300" s="163">
        <f t="shared" si="77"/>
        <v>0</v>
      </c>
      <c r="AW300" s="168"/>
      <c r="AX300" s="168">
        <f t="shared" si="78"/>
        <v>0</v>
      </c>
      <c r="AY300" s="170"/>
      <c r="AZ300" s="170">
        <f t="shared" si="79"/>
        <v>0</v>
      </c>
      <c r="BA300" s="166"/>
      <c r="BB300" s="166">
        <f t="shared" si="80"/>
        <v>0</v>
      </c>
    </row>
    <row r="301" spans="1:54" ht="31.5">
      <c r="A301" s="148" t="s">
        <v>6307</v>
      </c>
      <c r="B301" s="203" t="s">
        <v>1212</v>
      </c>
      <c r="C301" s="203"/>
      <c r="D301" s="203"/>
      <c r="E301" s="203" t="s">
        <v>6308</v>
      </c>
      <c r="F301" s="205" t="s">
        <v>970</v>
      </c>
      <c r="G301" s="205" t="s">
        <v>948</v>
      </c>
      <c r="H301" s="204" t="s">
        <v>945</v>
      </c>
      <c r="I301" s="204" t="s">
        <v>12</v>
      </c>
      <c r="J301" s="205" t="s">
        <v>6309</v>
      </c>
      <c r="K301" s="206">
        <v>3475</v>
      </c>
      <c r="L301" s="206"/>
      <c r="M301" s="159">
        <f t="shared" si="66"/>
        <v>0</v>
      </c>
      <c r="N301" s="159"/>
      <c r="O301" s="159"/>
      <c r="P301" s="159"/>
      <c r="Q301" s="159"/>
      <c r="R301" s="159"/>
      <c r="S301" s="150" t="s">
        <v>5118</v>
      </c>
      <c r="T301" s="150" t="s">
        <v>5119</v>
      </c>
      <c r="U301" s="202" t="s">
        <v>4337</v>
      </c>
      <c r="V301" s="204">
        <v>1</v>
      </c>
      <c r="W301" s="203" t="s">
        <v>5104</v>
      </c>
      <c r="X301" s="204" t="s">
        <v>5116</v>
      </c>
      <c r="Y301" s="206">
        <v>3476</v>
      </c>
      <c r="Z301" s="207">
        <v>15000</v>
      </c>
      <c r="AA301" s="207">
        <f t="shared" si="67"/>
        <v>52125000</v>
      </c>
      <c r="AB301" s="157">
        <v>15000</v>
      </c>
      <c r="AC301" s="158">
        <f t="shared" si="81"/>
        <v>15000</v>
      </c>
      <c r="AD301" s="159">
        <f t="shared" si="68"/>
        <v>0</v>
      </c>
      <c r="AE301" s="160"/>
      <c r="AF301" s="160">
        <f t="shared" si="69"/>
        <v>0</v>
      </c>
      <c r="AG301" s="165"/>
      <c r="AH301" s="161">
        <f t="shared" si="70"/>
        <v>0</v>
      </c>
      <c r="AI301" s="162"/>
      <c r="AJ301" s="162">
        <f t="shared" si="71"/>
        <v>0</v>
      </c>
      <c r="AK301" s="163"/>
      <c r="AL301" s="164">
        <f t="shared" si="72"/>
        <v>0</v>
      </c>
      <c r="AM301" s="161"/>
      <c r="AN301" s="165">
        <f t="shared" si="73"/>
        <v>0</v>
      </c>
      <c r="AO301" s="160">
        <v>0</v>
      </c>
      <c r="AP301" s="166">
        <f t="shared" si="74"/>
        <v>0</v>
      </c>
      <c r="AQ301" s="162"/>
      <c r="AR301" s="162">
        <f t="shared" si="75"/>
        <v>0</v>
      </c>
      <c r="AS301" s="173"/>
      <c r="AT301" s="167">
        <f t="shared" si="76"/>
        <v>0</v>
      </c>
      <c r="AU301" s="163"/>
      <c r="AV301" s="163">
        <f t="shared" si="77"/>
        <v>0</v>
      </c>
      <c r="AW301" s="162"/>
      <c r="AX301" s="168">
        <f t="shared" si="78"/>
        <v>0</v>
      </c>
      <c r="AY301" s="169"/>
      <c r="AZ301" s="170">
        <f t="shared" si="79"/>
        <v>0</v>
      </c>
      <c r="BA301" s="160"/>
      <c r="BB301" s="166">
        <f t="shared" si="80"/>
        <v>0</v>
      </c>
    </row>
    <row r="302" spans="1:54" ht="31.5">
      <c r="A302" s="148" t="s">
        <v>6310</v>
      </c>
      <c r="B302" s="203" t="s">
        <v>6314</v>
      </c>
      <c r="C302" s="203"/>
      <c r="D302" s="203"/>
      <c r="E302" s="203" t="s">
        <v>6315</v>
      </c>
      <c r="F302" s="205" t="s">
        <v>6317</v>
      </c>
      <c r="G302" s="205" t="s">
        <v>6318</v>
      </c>
      <c r="H302" s="204" t="s">
        <v>272</v>
      </c>
      <c r="I302" s="204" t="s">
        <v>12</v>
      </c>
      <c r="J302" s="205" t="s">
        <v>6316</v>
      </c>
      <c r="K302" s="206">
        <v>4600</v>
      </c>
      <c r="L302" s="206"/>
      <c r="M302" s="159">
        <f t="shared" si="66"/>
        <v>0</v>
      </c>
      <c r="N302" s="159"/>
      <c r="O302" s="159"/>
      <c r="P302" s="159"/>
      <c r="Q302" s="159"/>
      <c r="R302" s="159"/>
      <c r="S302" s="149" t="s">
        <v>6311</v>
      </c>
      <c r="T302" s="149" t="s">
        <v>6312</v>
      </c>
      <c r="U302" s="202" t="s">
        <v>6313</v>
      </c>
      <c r="V302" s="204">
        <v>1</v>
      </c>
      <c r="W302" s="203" t="s">
        <v>5108</v>
      </c>
      <c r="X302" s="204" t="s">
        <v>5717</v>
      </c>
      <c r="Y302" s="206">
        <v>5500</v>
      </c>
      <c r="Z302" s="207">
        <v>10000</v>
      </c>
      <c r="AA302" s="207">
        <f t="shared" si="67"/>
        <v>46000000</v>
      </c>
      <c r="AB302" s="157">
        <v>10000</v>
      </c>
      <c r="AC302" s="158">
        <f t="shared" si="81"/>
        <v>10000</v>
      </c>
      <c r="AD302" s="159">
        <f t="shared" si="68"/>
        <v>0</v>
      </c>
      <c r="AE302" s="160"/>
      <c r="AF302" s="160">
        <f t="shared" si="69"/>
        <v>0</v>
      </c>
      <c r="AG302" s="165"/>
      <c r="AH302" s="161">
        <f t="shared" si="70"/>
        <v>0</v>
      </c>
      <c r="AI302" s="162"/>
      <c r="AJ302" s="162">
        <f t="shared" si="71"/>
        <v>0</v>
      </c>
      <c r="AK302" s="164"/>
      <c r="AL302" s="164">
        <f t="shared" si="72"/>
        <v>0</v>
      </c>
      <c r="AM302" s="165"/>
      <c r="AN302" s="165">
        <f t="shared" si="73"/>
        <v>0</v>
      </c>
      <c r="AO302" s="166">
        <v>0</v>
      </c>
      <c r="AP302" s="166">
        <f t="shared" si="74"/>
        <v>0</v>
      </c>
      <c r="AQ302" s="162"/>
      <c r="AR302" s="162">
        <f t="shared" si="75"/>
        <v>0</v>
      </c>
      <c r="AS302" s="173"/>
      <c r="AT302" s="167">
        <f t="shared" si="76"/>
        <v>0</v>
      </c>
      <c r="AU302" s="163"/>
      <c r="AV302" s="163">
        <f t="shared" si="77"/>
        <v>0</v>
      </c>
      <c r="AW302" s="168"/>
      <c r="AX302" s="168">
        <f t="shared" si="78"/>
        <v>0</v>
      </c>
      <c r="AY302" s="170"/>
      <c r="AZ302" s="170">
        <f t="shared" si="79"/>
        <v>0</v>
      </c>
      <c r="BA302" s="166"/>
      <c r="BB302" s="166">
        <f t="shared" si="80"/>
        <v>0</v>
      </c>
    </row>
    <row r="303" spans="1:54" ht="31.5">
      <c r="A303" s="172" t="s">
        <v>6319</v>
      </c>
      <c r="B303" s="203" t="s">
        <v>6320</v>
      </c>
      <c r="C303" s="203"/>
      <c r="D303" s="203"/>
      <c r="E303" s="203" t="s">
        <v>4057</v>
      </c>
      <c r="F303" s="205" t="s">
        <v>6322</v>
      </c>
      <c r="G303" s="205" t="s">
        <v>948</v>
      </c>
      <c r="H303" s="204" t="s">
        <v>3962</v>
      </c>
      <c r="I303" s="204" t="s">
        <v>11</v>
      </c>
      <c r="J303" s="205" t="s">
        <v>6321</v>
      </c>
      <c r="K303" s="206">
        <v>3238</v>
      </c>
      <c r="L303" s="206"/>
      <c r="M303" s="159">
        <f t="shared" si="66"/>
        <v>1590</v>
      </c>
      <c r="N303" s="159"/>
      <c r="O303" s="159"/>
      <c r="P303" s="159"/>
      <c r="Q303" s="159"/>
      <c r="R303" s="159"/>
      <c r="S303" s="150" t="s">
        <v>5118</v>
      </c>
      <c r="T303" s="150" t="s">
        <v>5119</v>
      </c>
      <c r="U303" s="202" t="s">
        <v>4056</v>
      </c>
      <c r="V303" s="204">
        <v>1</v>
      </c>
      <c r="W303" s="203" t="s">
        <v>253</v>
      </c>
      <c r="X303" s="204" t="s">
        <v>5116</v>
      </c>
      <c r="Y303" s="206">
        <v>3401</v>
      </c>
      <c r="Z303" s="207">
        <v>5000</v>
      </c>
      <c r="AA303" s="207">
        <f t="shared" si="67"/>
        <v>16190000</v>
      </c>
      <c r="AB303" s="157">
        <v>5000</v>
      </c>
      <c r="AC303" s="158">
        <f t="shared" si="81"/>
        <v>3410</v>
      </c>
      <c r="AD303" s="159">
        <f t="shared" si="68"/>
        <v>5148420</v>
      </c>
      <c r="AE303" s="160"/>
      <c r="AF303" s="160">
        <f t="shared" si="69"/>
        <v>0</v>
      </c>
      <c r="AG303" s="165"/>
      <c r="AH303" s="161">
        <f t="shared" si="70"/>
        <v>0</v>
      </c>
      <c r="AI303" s="162"/>
      <c r="AJ303" s="162">
        <f t="shared" si="71"/>
        <v>0</v>
      </c>
      <c r="AK303" s="164"/>
      <c r="AL303" s="164">
        <f t="shared" si="72"/>
        <v>0</v>
      </c>
      <c r="AM303" s="165">
        <v>600</v>
      </c>
      <c r="AN303" s="165">
        <f t="shared" si="73"/>
        <v>1942800</v>
      </c>
      <c r="AO303" s="166">
        <v>990</v>
      </c>
      <c r="AP303" s="166">
        <f t="shared" si="74"/>
        <v>3205620</v>
      </c>
      <c r="AQ303" s="162"/>
      <c r="AR303" s="162">
        <f t="shared" si="75"/>
        <v>0</v>
      </c>
      <c r="AS303" s="173"/>
      <c r="AT303" s="167">
        <f t="shared" si="76"/>
        <v>0</v>
      </c>
      <c r="AU303" s="163"/>
      <c r="AV303" s="163">
        <f t="shared" si="77"/>
        <v>0</v>
      </c>
      <c r="AW303" s="168"/>
      <c r="AX303" s="168">
        <f t="shared" si="78"/>
        <v>0</v>
      </c>
      <c r="AY303" s="170"/>
      <c r="AZ303" s="170">
        <f t="shared" si="79"/>
        <v>0</v>
      </c>
      <c r="BA303" s="166"/>
      <c r="BB303" s="166">
        <f t="shared" si="80"/>
        <v>0</v>
      </c>
    </row>
    <row r="304" spans="1:54" ht="31.5">
      <c r="A304" s="148" t="s">
        <v>6323</v>
      </c>
      <c r="B304" s="203" t="s">
        <v>1215</v>
      </c>
      <c r="C304" s="203"/>
      <c r="D304" s="203"/>
      <c r="E304" s="203" t="s">
        <v>4421</v>
      </c>
      <c r="F304" s="205" t="s">
        <v>6325</v>
      </c>
      <c r="G304" s="205" t="s">
        <v>1536</v>
      </c>
      <c r="H304" s="204" t="s">
        <v>1217</v>
      </c>
      <c r="I304" s="204" t="s">
        <v>11</v>
      </c>
      <c r="J304" s="205" t="s">
        <v>6324</v>
      </c>
      <c r="K304" s="206">
        <v>2990</v>
      </c>
      <c r="L304" s="206"/>
      <c r="M304" s="159">
        <f t="shared" si="66"/>
        <v>4980</v>
      </c>
      <c r="N304" s="159"/>
      <c r="O304" s="159"/>
      <c r="P304" s="159"/>
      <c r="Q304" s="159"/>
      <c r="R304" s="159"/>
      <c r="S304" s="149" t="s">
        <v>5219</v>
      </c>
      <c r="T304" s="149" t="s">
        <v>5220</v>
      </c>
      <c r="U304" s="202" t="s">
        <v>3910</v>
      </c>
      <c r="V304" s="204">
        <v>1</v>
      </c>
      <c r="W304" s="203" t="s">
        <v>5104</v>
      </c>
      <c r="X304" s="204" t="s">
        <v>5717</v>
      </c>
      <c r="Y304" s="206">
        <v>3200</v>
      </c>
      <c r="Z304" s="207">
        <v>40000</v>
      </c>
      <c r="AA304" s="207">
        <f t="shared" si="67"/>
        <v>119600000</v>
      </c>
      <c r="AB304" s="157">
        <v>40000</v>
      </c>
      <c r="AC304" s="158">
        <f t="shared" si="81"/>
        <v>35020</v>
      </c>
      <c r="AD304" s="159">
        <f t="shared" si="68"/>
        <v>14890200</v>
      </c>
      <c r="AE304" s="160"/>
      <c r="AF304" s="160">
        <f t="shared" si="69"/>
        <v>0</v>
      </c>
      <c r="AG304" s="165"/>
      <c r="AH304" s="161">
        <f t="shared" si="70"/>
        <v>0</v>
      </c>
      <c r="AI304" s="162"/>
      <c r="AJ304" s="162">
        <f t="shared" si="71"/>
        <v>0</v>
      </c>
      <c r="AK304" s="163"/>
      <c r="AL304" s="164">
        <f t="shared" si="72"/>
        <v>0</v>
      </c>
      <c r="AM304" s="161"/>
      <c r="AN304" s="165">
        <f t="shared" si="73"/>
        <v>0</v>
      </c>
      <c r="AO304" s="160">
        <v>0</v>
      </c>
      <c r="AP304" s="166">
        <f t="shared" si="74"/>
        <v>0</v>
      </c>
      <c r="AQ304" s="162"/>
      <c r="AR304" s="162">
        <f t="shared" si="75"/>
        <v>0</v>
      </c>
      <c r="AS304" s="173">
        <v>4980</v>
      </c>
      <c r="AT304" s="167">
        <f t="shared" si="76"/>
        <v>14890200</v>
      </c>
      <c r="AU304" s="163"/>
      <c r="AV304" s="163">
        <f t="shared" si="77"/>
        <v>0</v>
      </c>
      <c r="AW304" s="162"/>
      <c r="AX304" s="168">
        <f t="shared" si="78"/>
        <v>0</v>
      </c>
      <c r="AY304" s="169"/>
      <c r="AZ304" s="170">
        <f t="shared" si="79"/>
        <v>0</v>
      </c>
      <c r="BA304" s="160"/>
      <c r="BB304" s="166">
        <f t="shared" si="80"/>
        <v>0</v>
      </c>
    </row>
    <row r="305" spans="1:54" ht="31.5">
      <c r="A305" s="148" t="s">
        <v>6326</v>
      </c>
      <c r="B305" s="203" t="s">
        <v>4220</v>
      </c>
      <c r="C305" s="203"/>
      <c r="D305" s="203"/>
      <c r="E305" s="203" t="s">
        <v>913</v>
      </c>
      <c r="F305" s="205" t="s">
        <v>6328</v>
      </c>
      <c r="G305" s="205" t="s">
        <v>6329</v>
      </c>
      <c r="H305" s="204" t="s">
        <v>4221</v>
      </c>
      <c r="I305" s="204" t="s">
        <v>520</v>
      </c>
      <c r="J305" s="205" t="s">
        <v>6327</v>
      </c>
      <c r="K305" s="206">
        <v>88788</v>
      </c>
      <c r="L305" s="206"/>
      <c r="M305" s="159">
        <f t="shared" si="66"/>
        <v>20</v>
      </c>
      <c r="N305" s="159"/>
      <c r="O305" s="159"/>
      <c r="P305" s="159"/>
      <c r="Q305" s="159"/>
      <c r="R305" s="159"/>
      <c r="S305" s="149" t="s">
        <v>6117</v>
      </c>
      <c r="T305" s="149" t="s">
        <v>6118</v>
      </c>
      <c r="U305" s="202" t="s">
        <v>4219</v>
      </c>
      <c r="V305" s="204">
        <v>1</v>
      </c>
      <c r="W305" s="203" t="s">
        <v>5104</v>
      </c>
      <c r="X305" s="204" t="s">
        <v>6330</v>
      </c>
      <c r="Y305" s="206">
        <v>189500</v>
      </c>
      <c r="Z305" s="207">
        <v>200</v>
      </c>
      <c r="AA305" s="207">
        <f t="shared" si="67"/>
        <v>17757600</v>
      </c>
      <c r="AB305" s="157">
        <v>200</v>
      </c>
      <c r="AC305" s="158">
        <f t="shared" si="81"/>
        <v>180</v>
      </c>
      <c r="AD305" s="159">
        <f t="shared" si="68"/>
        <v>1775760</v>
      </c>
      <c r="AE305" s="160"/>
      <c r="AF305" s="160">
        <f t="shared" si="69"/>
        <v>0</v>
      </c>
      <c r="AG305" s="165"/>
      <c r="AH305" s="161">
        <f t="shared" si="70"/>
        <v>0</v>
      </c>
      <c r="AI305" s="162"/>
      <c r="AJ305" s="162">
        <f t="shared" si="71"/>
        <v>0</v>
      </c>
      <c r="AK305" s="164"/>
      <c r="AL305" s="164">
        <f t="shared" si="72"/>
        <v>0</v>
      </c>
      <c r="AM305" s="165"/>
      <c r="AN305" s="165">
        <f t="shared" si="73"/>
        <v>0</v>
      </c>
      <c r="AO305" s="166">
        <v>20</v>
      </c>
      <c r="AP305" s="166">
        <f t="shared" si="74"/>
        <v>1775760</v>
      </c>
      <c r="AQ305" s="162"/>
      <c r="AR305" s="162">
        <f t="shared" si="75"/>
        <v>0</v>
      </c>
      <c r="AS305" s="173"/>
      <c r="AT305" s="167">
        <f t="shared" si="76"/>
        <v>0</v>
      </c>
      <c r="AU305" s="163"/>
      <c r="AV305" s="163">
        <f t="shared" si="77"/>
        <v>0</v>
      </c>
      <c r="AW305" s="168"/>
      <c r="AX305" s="168">
        <f t="shared" si="78"/>
        <v>0</v>
      </c>
      <c r="AY305" s="170"/>
      <c r="AZ305" s="170">
        <f t="shared" si="79"/>
        <v>0</v>
      </c>
      <c r="BA305" s="166"/>
      <c r="BB305" s="166">
        <f t="shared" si="80"/>
        <v>0</v>
      </c>
    </row>
    <row r="306" spans="1:54" ht="31.5">
      <c r="A306" s="172" t="s">
        <v>6331</v>
      </c>
      <c r="B306" s="203" t="s">
        <v>1780</v>
      </c>
      <c r="C306" s="203"/>
      <c r="D306" s="203"/>
      <c r="E306" s="203" t="s">
        <v>6333</v>
      </c>
      <c r="F306" s="205" t="s">
        <v>6335</v>
      </c>
      <c r="G306" s="205" t="s">
        <v>5696</v>
      </c>
      <c r="H306" s="204" t="s">
        <v>6332</v>
      </c>
      <c r="I306" s="204" t="s">
        <v>5639</v>
      </c>
      <c r="J306" s="205" t="s">
        <v>6334</v>
      </c>
      <c r="K306" s="206">
        <v>53300</v>
      </c>
      <c r="L306" s="206"/>
      <c r="M306" s="159">
        <f t="shared" si="66"/>
        <v>0</v>
      </c>
      <c r="N306" s="159"/>
      <c r="O306" s="159"/>
      <c r="P306" s="159"/>
      <c r="Q306" s="159"/>
      <c r="R306" s="159"/>
      <c r="S306" s="149" t="s">
        <v>5099</v>
      </c>
      <c r="T306" s="150" t="s">
        <v>5100</v>
      </c>
      <c r="U306" s="202" t="s">
        <v>4003</v>
      </c>
      <c r="V306" s="204">
        <v>1</v>
      </c>
      <c r="W306" s="203" t="s">
        <v>5104</v>
      </c>
      <c r="X306" s="204" t="s">
        <v>5105</v>
      </c>
      <c r="Y306" s="206">
        <v>53300</v>
      </c>
      <c r="Z306" s="207">
        <v>5000</v>
      </c>
      <c r="AA306" s="207">
        <f t="shared" si="67"/>
        <v>266500000</v>
      </c>
      <c r="AB306" s="157">
        <v>5000</v>
      </c>
      <c r="AC306" s="158">
        <f t="shared" si="81"/>
        <v>5000</v>
      </c>
      <c r="AD306" s="159">
        <f t="shared" si="68"/>
        <v>0</v>
      </c>
      <c r="AE306" s="160"/>
      <c r="AF306" s="160">
        <f t="shared" si="69"/>
        <v>0</v>
      </c>
      <c r="AG306" s="165"/>
      <c r="AH306" s="161">
        <f t="shared" si="70"/>
        <v>0</v>
      </c>
      <c r="AI306" s="162"/>
      <c r="AJ306" s="162">
        <f t="shared" si="71"/>
        <v>0</v>
      </c>
      <c r="AK306" s="164"/>
      <c r="AL306" s="164">
        <f t="shared" si="72"/>
        <v>0</v>
      </c>
      <c r="AM306" s="165"/>
      <c r="AN306" s="165">
        <f t="shared" si="73"/>
        <v>0</v>
      </c>
      <c r="AO306" s="166">
        <v>0</v>
      </c>
      <c r="AP306" s="166">
        <f t="shared" si="74"/>
        <v>0</v>
      </c>
      <c r="AQ306" s="162"/>
      <c r="AR306" s="162">
        <f t="shared" si="75"/>
        <v>0</v>
      </c>
      <c r="AS306" s="173"/>
      <c r="AT306" s="167">
        <f t="shared" si="76"/>
        <v>0</v>
      </c>
      <c r="AU306" s="163"/>
      <c r="AV306" s="163">
        <f t="shared" si="77"/>
        <v>0</v>
      </c>
      <c r="AW306" s="168"/>
      <c r="AX306" s="168">
        <f t="shared" si="78"/>
        <v>0</v>
      </c>
      <c r="AY306" s="170"/>
      <c r="AZ306" s="170">
        <f t="shared" si="79"/>
        <v>0</v>
      </c>
      <c r="BA306" s="166"/>
      <c r="BB306" s="166">
        <f t="shared" si="80"/>
        <v>0</v>
      </c>
    </row>
    <row r="307" spans="1:54" ht="31.5">
      <c r="A307" s="148" t="s">
        <v>6336</v>
      </c>
      <c r="B307" s="203" t="s">
        <v>1780</v>
      </c>
      <c r="C307" s="203"/>
      <c r="D307" s="203"/>
      <c r="E307" s="203" t="s">
        <v>4000</v>
      </c>
      <c r="F307" s="205" t="s">
        <v>1027</v>
      </c>
      <c r="G307" s="205" t="s">
        <v>1028</v>
      </c>
      <c r="H307" s="204" t="s">
        <v>267</v>
      </c>
      <c r="I307" s="204" t="s">
        <v>11</v>
      </c>
      <c r="J307" s="205" t="s">
        <v>6337</v>
      </c>
      <c r="K307" s="206">
        <v>838</v>
      </c>
      <c r="L307" s="206"/>
      <c r="M307" s="159">
        <f t="shared" si="66"/>
        <v>1000</v>
      </c>
      <c r="N307" s="159"/>
      <c r="O307" s="159"/>
      <c r="P307" s="159"/>
      <c r="Q307" s="159"/>
      <c r="R307" s="159"/>
      <c r="S307" s="149" t="s">
        <v>5099</v>
      </c>
      <c r="T307" s="150" t="s">
        <v>5100</v>
      </c>
      <c r="U307" s="202" t="s">
        <v>3999</v>
      </c>
      <c r="V307" s="204">
        <v>1</v>
      </c>
      <c r="W307" s="203" t="s">
        <v>5104</v>
      </c>
      <c r="X307" s="204" t="s">
        <v>5105</v>
      </c>
      <c r="Y307" s="206">
        <v>838</v>
      </c>
      <c r="Z307" s="207">
        <v>50000</v>
      </c>
      <c r="AA307" s="207">
        <f t="shared" si="67"/>
        <v>41900000</v>
      </c>
      <c r="AB307" s="157">
        <v>50000</v>
      </c>
      <c r="AC307" s="158">
        <f t="shared" si="81"/>
        <v>49000</v>
      </c>
      <c r="AD307" s="159">
        <f t="shared" si="68"/>
        <v>838000</v>
      </c>
      <c r="AE307" s="160"/>
      <c r="AF307" s="160">
        <f t="shared" si="69"/>
        <v>0</v>
      </c>
      <c r="AG307" s="165">
        <v>1000</v>
      </c>
      <c r="AH307" s="161">
        <f t="shared" si="70"/>
        <v>838000</v>
      </c>
      <c r="AI307" s="162"/>
      <c r="AJ307" s="162">
        <f t="shared" si="71"/>
        <v>0</v>
      </c>
      <c r="AK307" s="164"/>
      <c r="AL307" s="164">
        <f t="shared" si="72"/>
        <v>0</v>
      </c>
      <c r="AM307" s="165"/>
      <c r="AN307" s="165">
        <f t="shared" si="73"/>
        <v>0</v>
      </c>
      <c r="AO307" s="166">
        <v>0</v>
      </c>
      <c r="AP307" s="166">
        <f t="shared" si="74"/>
        <v>0</v>
      </c>
      <c r="AQ307" s="162"/>
      <c r="AR307" s="162">
        <f t="shared" si="75"/>
        <v>0</v>
      </c>
      <c r="AS307" s="173"/>
      <c r="AT307" s="167">
        <f t="shared" si="76"/>
        <v>0</v>
      </c>
      <c r="AU307" s="163"/>
      <c r="AV307" s="163">
        <f t="shared" si="77"/>
        <v>0</v>
      </c>
      <c r="AW307" s="168"/>
      <c r="AX307" s="168">
        <f t="shared" si="78"/>
        <v>0</v>
      </c>
      <c r="AY307" s="170"/>
      <c r="AZ307" s="170">
        <f t="shared" si="79"/>
        <v>0</v>
      </c>
      <c r="BA307" s="166"/>
      <c r="BB307" s="166">
        <f t="shared" si="80"/>
        <v>0</v>
      </c>
    </row>
    <row r="308" spans="1:54" ht="31.5">
      <c r="A308" s="148" t="s">
        <v>6338</v>
      </c>
      <c r="B308" s="203" t="s">
        <v>4589</v>
      </c>
      <c r="C308" s="203"/>
      <c r="D308" s="203"/>
      <c r="E308" s="203" t="s">
        <v>5665</v>
      </c>
      <c r="F308" s="205" t="s">
        <v>5667</v>
      </c>
      <c r="G308" s="205" t="s">
        <v>881</v>
      </c>
      <c r="H308" s="204" t="s">
        <v>5664</v>
      </c>
      <c r="I308" s="204" t="s">
        <v>2780</v>
      </c>
      <c r="J308" s="205" t="s">
        <v>5666</v>
      </c>
      <c r="K308" s="206">
        <v>486948</v>
      </c>
      <c r="L308" s="206"/>
      <c r="M308" s="159">
        <f t="shared" si="66"/>
        <v>0</v>
      </c>
      <c r="N308" s="159"/>
      <c r="O308" s="159"/>
      <c r="P308" s="159"/>
      <c r="Q308" s="159"/>
      <c r="R308" s="159"/>
      <c r="S308" s="149" t="s">
        <v>5099</v>
      </c>
      <c r="T308" s="150" t="s">
        <v>5100</v>
      </c>
      <c r="U308" s="202" t="s">
        <v>6339</v>
      </c>
      <c r="V308" s="204">
        <v>1</v>
      </c>
      <c r="W308" s="203" t="s">
        <v>253</v>
      </c>
      <c r="X308" s="204" t="s">
        <v>5661</v>
      </c>
      <c r="Y308" s="206">
        <v>486948</v>
      </c>
      <c r="Z308" s="207">
        <v>500</v>
      </c>
      <c r="AA308" s="207">
        <f t="shared" si="67"/>
        <v>243474000</v>
      </c>
      <c r="AB308" s="157">
        <v>500</v>
      </c>
      <c r="AC308" s="158">
        <f t="shared" si="81"/>
        <v>500</v>
      </c>
      <c r="AD308" s="159">
        <f t="shared" si="68"/>
        <v>0</v>
      </c>
      <c r="AE308" s="160"/>
      <c r="AF308" s="160">
        <f t="shared" si="69"/>
        <v>0</v>
      </c>
      <c r="AG308" s="161"/>
      <c r="AH308" s="161">
        <f t="shared" si="70"/>
        <v>0</v>
      </c>
      <c r="AI308" s="162"/>
      <c r="AJ308" s="162">
        <f t="shared" si="71"/>
        <v>0</v>
      </c>
      <c r="AK308" s="164"/>
      <c r="AL308" s="164">
        <f t="shared" si="72"/>
        <v>0</v>
      </c>
      <c r="AM308" s="165"/>
      <c r="AN308" s="165">
        <f t="shared" si="73"/>
        <v>0</v>
      </c>
      <c r="AO308" s="166">
        <v>0</v>
      </c>
      <c r="AP308" s="166">
        <f t="shared" si="74"/>
        <v>0</v>
      </c>
      <c r="AQ308" s="162"/>
      <c r="AR308" s="162">
        <f t="shared" si="75"/>
        <v>0</v>
      </c>
      <c r="AS308" s="167"/>
      <c r="AT308" s="167">
        <f t="shared" si="76"/>
        <v>0</v>
      </c>
      <c r="AU308" s="163"/>
      <c r="AV308" s="163">
        <f t="shared" si="77"/>
        <v>0</v>
      </c>
      <c r="AW308" s="168"/>
      <c r="AX308" s="168">
        <f t="shared" si="78"/>
        <v>0</v>
      </c>
      <c r="AY308" s="170"/>
      <c r="AZ308" s="170">
        <f t="shared" si="79"/>
        <v>0</v>
      </c>
      <c r="BA308" s="166"/>
      <c r="BB308" s="166">
        <f t="shared" si="80"/>
        <v>0</v>
      </c>
    </row>
    <row r="309" spans="1:54" s="115" customFormat="1" ht="31.5">
      <c r="A309" s="172" t="s">
        <v>6340</v>
      </c>
      <c r="B309" s="203" t="s">
        <v>6342</v>
      </c>
      <c r="C309" s="203"/>
      <c r="D309" s="203"/>
      <c r="E309" s="203" t="s">
        <v>6343</v>
      </c>
      <c r="F309" s="205" t="s">
        <v>6345</v>
      </c>
      <c r="G309" s="205" t="s">
        <v>2088</v>
      </c>
      <c r="H309" s="204" t="s">
        <v>238</v>
      </c>
      <c r="I309" s="204" t="s">
        <v>11</v>
      </c>
      <c r="J309" s="205" t="s">
        <v>6344</v>
      </c>
      <c r="K309" s="206">
        <v>7360</v>
      </c>
      <c r="L309" s="206"/>
      <c r="M309" s="159">
        <f t="shared" si="66"/>
        <v>0</v>
      </c>
      <c r="N309" s="159"/>
      <c r="O309" s="159"/>
      <c r="P309" s="159"/>
      <c r="Q309" s="159"/>
      <c r="R309" s="159"/>
      <c r="S309" s="150" t="s">
        <v>5118</v>
      </c>
      <c r="T309" s="150" t="s">
        <v>5119</v>
      </c>
      <c r="U309" s="202" t="s">
        <v>6341</v>
      </c>
      <c r="V309" s="204">
        <v>1</v>
      </c>
      <c r="W309" s="203" t="s">
        <v>5108</v>
      </c>
      <c r="X309" s="204" t="s">
        <v>6346</v>
      </c>
      <c r="Y309" s="206">
        <v>8096</v>
      </c>
      <c r="Z309" s="207">
        <v>1000</v>
      </c>
      <c r="AA309" s="207">
        <f t="shared" si="67"/>
        <v>7360000</v>
      </c>
      <c r="AB309" s="157">
        <v>1000</v>
      </c>
      <c r="AC309" s="158">
        <f t="shared" si="81"/>
        <v>1000</v>
      </c>
      <c r="AD309" s="159">
        <f t="shared" si="68"/>
        <v>0</v>
      </c>
      <c r="AE309" s="160"/>
      <c r="AF309" s="160">
        <f t="shared" si="69"/>
        <v>0</v>
      </c>
      <c r="AG309" s="165"/>
      <c r="AH309" s="161">
        <f t="shared" si="70"/>
        <v>0</v>
      </c>
      <c r="AI309" s="162"/>
      <c r="AJ309" s="162">
        <f t="shared" si="71"/>
        <v>0</v>
      </c>
      <c r="AK309" s="163"/>
      <c r="AL309" s="164">
        <f t="shared" si="72"/>
        <v>0</v>
      </c>
      <c r="AM309" s="161"/>
      <c r="AN309" s="165">
        <f t="shared" si="73"/>
        <v>0</v>
      </c>
      <c r="AO309" s="160">
        <v>0</v>
      </c>
      <c r="AP309" s="166">
        <f t="shared" si="74"/>
        <v>0</v>
      </c>
      <c r="AQ309" s="162"/>
      <c r="AR309" s="162">
        <f t="shared" si="75"/>
        <v>0</v>
      </c>
      <c r="AS309" s="173"/>
      <c r="AT309" s="167">
        <f t="shared" si="76"/>
        <v>0</v>
      </c>
      <c r="AU309" s="163"/>
      <c r="AV309" s="163">
        <f t="shared" si="77"/>
        <v>0</v>
      </c>
      <c r="AW309" s="162"/>
      <c r="AX309" s="168">
        <f t="shared" si="78"/>
        <v>0</v>
      </c>
      <c r="AY309" s="169"/>
      <c r="AZ309" s="170">
        <f t="shared" si="79"/>
        <v>0</v>
      </c>
      <c r="BA309" s="160"/>
      <c r="BB309" s="166">
        <f t="shared" si="80"/>
        <v>0</v>
      </c>
    </row>
    <row r="310" spans="1:54" ht="31.5">
      <c r="A310" s="148" t="s">
        <v>6347</v>
      </c>
      <c r="B310" s="203" t="s">
        <v>2089</v>
      </c>
      <c r="C310" s="203"/>
      <c r="D310" s="203"/>
      <c r="E310" s="203" t="s">
        <v>2090</v>
      </c>
      <c r="F310" s="205" t="s">
        <v>6349</v>
      </c>
      <c r="G310" s="205" t="s">
        <v>2092</v>
      </c>
      <c r="H310" s="204" t="s">
        <v>327</v>
      </c>
      <c r="I310" s="204" t="s">
        <v>11</v>
      </c>
      <c r="J310" s="205" t="s">
        <v>6348</v>
      </c>
      <c r="K310" s="206">
        <v>1900</v>
      </c>
      <c r="L310" s="206"/>
      <c r="M310" s="159">
        <f t="shared" si="66"/>
        <v>0</v>
      </c>
      <c r="N310" s="159"/>
      <c r="O310" s="159"/>
      <c r="P310" s="159"/>
      <c r="Q310" s="159"/>
      <c r="R310" s="159"/>
      <c r="S310" s="150" t="s">
        <v>5118</v>
      </c>
      <c r="T310" s="150" t="s">
        <v>5119</v>
      </c>
      <c r="U310" s="202" t="s">
        <v>4230</v>
      </c>
      <c r="V310" s="204">
        <v>1</v>
      </c>
      <c r="W310" s="203" t="s">
        <v>5108</v>
      </c>
      <c r="X310" s="204" t="s">
        <v>6346</v>
      </c>
      <c r="Y310" s="206">
        <v>2070</v>
      </c>
      <c r="Z310" s="207">
        <v>2000</v>
      </c>
      <c r="AA310" s="207">
        <f t="shared" si="67"/>
        <v>3800000</v>
      </c>
      <c r="AB310" s="157">
        <v>2000</v>
      </c>
      <c r="AC310" s="158">
        <f t="shared" si="81"/>
        <v>2000</v>
      </c>
      <c r="AD310" s="159">
        <f t="shared" si="68"/>
        <v>0</v>
      </c>
      <c r="AE310" s="160"/>
      <c r="AF310" s="160">
        <f t="shared" si="69"/>
        <v>0</v>
      </c>
      <c r="AG310" s="165"/>
      <c r="AH310" s="161">
        <f t="shared" si="70"/>
        <v>0</v>
      </c>
      <c r="AI310" s="162"/>
      <c r="AJ310" s="162">
        <f t="shared" si="71"/>
        <v>0</v>
      </c>
      <c r="AK310" s="163"/>
      <c r="AL310" s="164">
        <f t="shared" si="72"/>
        <v>0</v>
      </c>
      <c r="AM310" s="161"/>
      <c r="AN310" s="165">
        <f t="shared" si="73"/>
        <v>0</v>
      </c>
      <c r="AO310" s="160">
        <v>0</v>
      </c>
      <c r="AP310" s="166">
        <f t="shared" si="74"/>
        <v>0</v>
      </c>
      <c r="AQ310" s="162"/>
      <c r="AR310" s="162">
        <f t="shared" si="75"/>
        <v>0</v>
      </c>
      <c r="AS310" s="173"/>
      <c r="AT310" s="167">
        <f t="shared" si="76"/>
        <v>0</v>
      </c>
      <c r="AU310" s="163"/>
      <c r="AV310" s="163">
        <f t="shared" si="77"/>
        <v>0</v>
      </c>
      <c r="AW310" s="162"/>
      <c r="AX310" s="168">
        <f t="shared" si="78"/>
        <v>0</v>
      </c>
      <c r="AY310" s="169"/>
      <c r="AZ310" s="170">
        <f t="shared" si="79"/>
        <v>0</v>
      </c>
      <c r="BA310" s="160"/>
      <c r="BB310" s="166">
        <f t="shared" si="80"/>
        <v>0</v>
      </c>
    </row>
    <row r="311" spans="1:54" ht="31.5">
      <c r="A311" s="148" t="s">
        <v>6350</v>
      </c>
      <c r="B311" s="203" t="s">
        <v>1318</v>
      </c>
      <c r="C311" s="203"/>
      <c r="D311" s="203"/>
      <c r="E311" s="203" t="s">
        <v>6353</v>
      </c>
      <c r="F311" s="205" t="s">
        <v>6355</v>
      </c>
      <c r="G311" s="205" t="s">
        <v>6356</v>
      </c>
      <c r="H311" s="204" t="s">
        <v>238</v>
      </c>
      <c r="I311" s="204" t="s">
        <v>16</v>
      </c>
      <c r="J311" s="205" t="s">
        <v>6354</v>
      </c>
      <c r="K311" s="206">
        <v>4150</v>
      </c>
      <c r="L311" s="206"/>
      <c r="M311" s="159">
        <f t="shared" si="66"/>
        <v>0</v>
      </c>
      <c r="N311" s="159"/>
      <c r="O311" s="159"/>
      <c r="P311" s="159"/>
      <c r="Q311" s="159"/>
      <c r="R311" s="159"/>
      <c r="S311" s="149" t="s">
        <v>6351</v>
      </c>
      <c r="T311" s="149" t="s">
        <v>6352</v>
      </c>
      <c r="U311" s="202" t="s">
        <v>3833</v>
      </c>
      <c r="V311" s="204">
        <v>1</v>
      </c>
      <c r="W311" s="203" t="s">
        <v>5104</v>
      </c>
      <c r="X311" s="204" t="s">
        <v>6357</v>
      </c>
      <c r="Y311" s="206">
        <v>4200</v>
      </c>
      <c r="Z311" s="207">
        <v>50000</v>
      </c>
      <c r="AA311" s="207">
        <f t="shared" si="67"/>
        <v>207500000</v>
      </c>
      <c r="AB311" s="157">
        <v>50000</v>
      </c>
      <c r="AC311" s="158">
        <f t="shared" si="81"/>
        <v>50000</v>
      </c>
      <c r="AD311" s="159">
        <f t="shared" si="68"/>
        <v>0</v>
      </c>
      <c r="AE311" s="160"/>
      <c r="AF311" s="160">
        <f t="shared" si="69"/>
        <v>0</v>
      </c>
      <c r="AG311" s="165"/>
      <c r="AH311" s="161">
        <f t="shared" si="70"/>
        <v>0</v>
      </c>
      <c r="AI311" s="162"/>
      <c r="AJ311" s="162">
        <f t="shared" si="71"/>
        <v>0</v>
      </c>
      <c r="AK311" s="164"/>
      <c r="AL311" s="164">
        <f t="shared" si="72"/>
        <v>0</v>
      </c>
      <c r="AM311" s="165"/>
      <c r="AN311" s="165">
        <f t="shared" si="73"/>
        <v>0</v>
      </c>
      <c r="AO311" s="166">
        <v>0</v>
      </c>
      <c r="AP311" s="166">
        <f t="shared" si="74"/>
        <v>0</v>
      </c>
      <c r="AQ311" s="162"/>
      <c r="AR311" s="162">
        <f t="shared" si="75"/>
        <v>0</v>
      </c>
      <c r="AS311" s="173"/>
      <c r="AT311" s="167">
        <f t="shared" si="76"/>
        <v>0</v>
      </c>
      <c r="AU311" s="163"/>
      <c r="AV311" s="163">
        <f t="shared" si="77"/>
        <v>0</v>
      </c>
      <c r="AW311" s="168"/>
      <c r="AX311" s="168">
        <f t="shared" si="78"/>
        <v>0</v>
      </c>
      <c r="AY311" s="170"/>
      <c r="AZ311" s="170">
        <f t="shared" si="79"/>
        <v>0</v>
      </c>
      <c r="BA311" s="166"/>
      <c r="BB311" s="166">
        <f t="shared" si="80"/>
        <v>0</v>
      </c>
    </row>
    <row r="312" spans="1:54" ht="63">
      <c r="A312" s="172" t="s">
        <v>6358</v>
      </c>
      <c r="B312" s="203" t="s">
        <v>4403</v>
      </c>
      <c r="C312" s="203"/>
      <c r="D312" s="203"/>
      <c r="E312" s="203" t="s">
        <v>6360</v>
      </c>
      <c r="F312" s="205" t="s">
        <v>6362</v>
      </c>
      <c r="G312" s="205" t="s">
        <v>6363</v>
      </c>
      <c r="H312" s="204" t="s">
        <v>258</v>
      </c>
      <c r="I312" s="204" t="s">
        <v>11</v>
      </c>
      <c r="J312" s="205" t="s">
        <v>6361</v>
      </c>
      <c r="K312" s="206">
        <v>6500</v>
      </c>
      <c r="L312" s="206"/>
      <c r="M312" s="159">
        <f t="shared" si="66"/>
        <v>0</v>
      </c>
      <c r="N312" s="159"/>
      <c r="O312" s="159"/>
      <c r="P312" s="159"/>
      <c r="Q312" s="159"/>
      <c r="R312" s="159"/>
      <c r="S312" s="149" t="s">
        <v>5099</v>
      </c>
      <c r="T312" s="150" t="s">
        <v>5100</v>
      </c>
      <c r="U312" s="202" t="s">
        <v>6359</v>
      </c>
      <c r="V312" s="204">
        <v>1</v>
      </c>
      <c r="W312" s="203" t="s">
        <v>5104</v>
      </c>
      <c r="X312" s="204" t="s">
        <v>6364</v>
      </c>
      <c r="Y312" s="206">
        <v>7424</v>
      </c>
      <c r="Z312" s="207">
        <v>1000</v>
      </c>
      <c r="AA312" s="207">
        <f t="shared" si="67"/>
        <v>6500000</v>
      </c>
      <c r="AB312" s="157">
        <v>1000</v>
      </c>
      <c r="AC312" s="158">
        <f t="shared" si="81"/>
        <v>1000</v>
      </c>
      <c r="AD312" s="159">
        <f t="shared" si="68"/>
        <v>0</v>
      </c>
      <c r="AE312" s="160"/>
      <c r="AF312" s="160">
        <f t="shared" si="69"/>
        <v>0</v>
      </c>
      <c r="AG312" s="165"/>
      <c r="AH312" s="161">
        <f t="shared" si="70"/>
        <v>0</v>
      </c>
      <c r="AI312" s="162"/>
      <c r="AJ312" s="162">
        <f t="shared" si="71"/>
        <v>0</v>
      </c>
      <c r="AK312" s="164"/>
      <c r="AL312" s="164">
        <f t="shared" si="72"/>
        <v>0</v>
      </c>
      <c r="AM312" s="165"/>
      <c r="AN312" s="165">
        <f t="shared" si="73"/>
        <v>0</v>
      </c>
      <c r="AO312" s="166">
        <v>0</v>
      </c>
      <c r="AP312" s="166">
        <f t="shared" si="74"/>
        <v>0</v>
      </c>
      <c r="AQ312" s="162"/>
      <c r="AR312" s="162">
        <f t="shared" si="75"/>
        <v>0</v>
      </c>
      <c r="AS312" s="173"/>
      <c r="AT312" s="167">
        <f t="shared" si="76"/>
        <v>0</v>
      </c>
      <c r="AU312" s="163"/>
      <c r="AV312" s="163">
        <f t="shared" si="77"/>
        <v>0</v>
      </c>
      <c r="AW312" s="168"/>
      <c r="AX312" s="168">
        <f t="shared" si="78"/>
        <v>0</v>
      </c>
      <c r="AY312" s="170"/>
      <c r="AZ312" s="170">
        <f t="shared" si="79"/>
        <v>0</v>
      </c>
      <c r="BA312" s="166"/>
      <c r="BB312" s="166">
        <f t="shared" si="80"/>
        <v>0</v>
      </c>
    </row>
    <row r="313" spans="1:54" ht="63">
      <c r="A313" s="148" t="s">
        <v>6365</v>
      </c>
      <c r="B313" s="203" t="s">
        <v>4403</v>
      </c>
      <c r="C313" s="203"/>
      <c r="D313" s="203"/>
      <c r="E313" s="203" t="s">
        <v>6366</v>
      </c>
      <c r="F313" s="205" t="s">
        <v>6368</v>
      </c>
      <c r="G313" s="205" t="s">
        <v>6363</v>
      </c>
      <c r="H313" s="204" t="s">
        <v>299</v>
      </c>
      <c r="I313" s="204" t="s">
        <v>11</v>
      </c>
      <c r="J313" s="205" t="s">
        <v>6367</v>
      </c>
      <c r="K313" s="206">
        <v>13000</v>
      </c>
      <c r="L313" s="206"/>
      <c r="M313" s="159">
        <f t="shared" si="66"/>
        <v>0</v>
      </c>
      <c r="N313" s="159"/>
      <c r="O313" s="159"/>
      <c r="P313" s="159"/>
      <c r="Q313" s="159"/>
      <c r="R313" s="159"/>
      <c r="S313" s="149" t="s">
        <v>5099</v>
      </c>
      <c r="T313" s="150" t="s">
        <v>5100</v>
      </c>
      <c r="U313" s="202" t="s">
        <v>4402</v>
      </c>
      <c r="V313" s="204">
        <v>1</v>
      </c>
      <c r="W313" s="203" t="s">
        <v>5104</v>
      </c>
      <c r="X313" s="204" t="s">
        <v>6364</v>
      </c>
      <c r="Y313" s="206">
        <v>14850</v>
      </c>
      <c r="Z313" s="207">
        <v>2000</v>
      </c>
      <c r="AA313" s="207">
        <f t="shared" si="67"/>
        <v>26000000</v>
      </c>
      <c r="AB313" s="157">
        <v>2000</v>
      </c>
      <c r="AC313" s="158">
        <f t="shared" si="81"/>
        <v>2000</v>
      </c>
      <c r="AD313" s="159">
        <f t="shared" si="68"/>
        <v>0</v>
      </c>
      <c r="AE313" s="160"/>
      <c r="AF313" s="160">
        <f t="shared" si="69"/>
        <v>0</v>
      </c>
      <c r="AG313" s="165"/>
      <c r="AH313" s="161">
        <f t="shared" si="70"/>
        <v>0</v>
      </c>
      <c r="AI313" s="162"/>
      <c r="AJ313" s="162">
        <f t="shared" si="71"/>
        <v>0</v>
      </c>
      <c r="AK313" s="164"/>
      <c r="AL313" s="164">
        <f t="shared" si="72"/>
        <v>0</v>
      </c>
      <c r="AM313" s="165"/>
      <c r="AN313" s="165">
        <f t="shared" si="73"/>
        <v>0</v>
      </c>
      <c r="AO313" s="166">
        <v>0</v>
      </c>
      <c r="AP313" s="166">
        <f t="shared" si="74"/>
        <v>0</v>
      </c>
      <c r="AQ313" s="162"/>
      <c r="AR313" s="162">
        <f t="shared" si="75"/>
        <v>0</v>
      </c>
      <c r="AS313" s="173"/>
      <c r="AT313" s="167">
        <f t="shared" si="76"/>
        <v>0</v>
      </c>
      <c r="AU313" s="163"/>
      <c r="AV313" s="163">
        <f t="shared" si="77"/>
        <v>0</v>
      </c>
      <c r="AW313" s="168"/>
      <c r="AX313" s="168">
        <f t="shared" si="78"/>
        <v>0</v>
      </c>
      <c r="AY313" s="170"/>
      <c r="AZ313" s="170">
        <f t="shared" si="79"/>
        <v>0</v>
      </c>
      <c r="BA313" s="166"/>
      <c r="BB313" s="166">
        <f t="shared" si="80"/>
        <v>0</v>
      </c>
    </row>
    <row r="314" spans="1:54" ht="31.5">
      <c r="A314" s="148" t="s">
        <v>6369</v>
      </c>
      <c r="B314" s="203" t="s">
        <v>583</v>
      </c>
      <c r="C314" s="203"/>
      <c r="D314" s="203"/>
      <c r="E314" s="203" t="s">
        <v>6370</v>
      </c>
      <c r="F314" s="205" t="s">
        <v>6371</v>
      </c>
      <c r="G314" s="205" t="s">
        <v>979</v>
      </c>
      <c r="H314" s="204" t="s">
        <v>222</v>
      </c>
      <c r="I314" s="204" t="s">
        <v>11</v>
      </c>
      <c r="J314" s="205" t="s">
        <v>6143</v>
      </c>
      <c r="K314" s="206">
        <v>1677</v>
      </c>
      <c r="L314" s="206"/>
      <c r="M314" s="159">
        <f t="shared" si="66"/>
        <v>0</v>
      </c>
      <c r="N314" s="159"/>
      <c r="O314" s="159"/>
      <c r="P314" s="159"/>
      <c r="Q314" s="159"/>
      <c r="R314" s="159"/>
      <c r="S314" s="149" t="s">
        <v>5099</v>
      </c>
      <c r="T314" s="150" t="s">
        <v>5100</v>
      </c>
      <c r="U314" s="202" t="s">
        <v>3845</v>
      </c>
      <c r="V314" s="204">
        <v>1</v>
      </c>
      <c r="W314" s="203" t="s">
        <v>5104</v>
      </c>
      <c r="X314" s="204" t="s">
        <v>6058</v>
      </c>
      <c r="Y314" s="206">
        <v>1677</v>
      </c>
      <c r="Z314" s="207">
        <v>40000</v>
      </c>
      <c r="AA314" s="207">
        <f t="shared" si="67"/>
        <v>67080000</v>
      </c>
      <c r="AB314" s="157">
        <v>40000</v>
      </c>
      <c r="AC314" s="158">
        <f t="shared" si="81"/>
        <v>40000</v>
      </c>
      <c r="AD314" s="159">
        <f t="shared" si="68"/>
        <v>0</v>
      </c>
      <c r="AE314" s="160"/>
      <c r="AF314" s="160">
        <f t="shared" si="69"/>
        <v>0</v>
      </c>
      <c r="AG314" s="165"/>
      <c r="AH314" s="161">
        <f t="shared" si="70"/>
        <v>0</v>
      </c>
      <c r="AI314" s="162"/>
      <c r="AJ314" s="162">
        <f t="shared" si="71"/>
        <v>0</v>
      </c>
      <c r="AK314" s="164"/>
      <c r="AL314" s="164">
        <f t="shared" si="72"/>
        <v>0</v>
      </c>
      <c r="AM314" s="165"/>
      <c r="AN314" s="165">
        <f t="shared" si="73"/>
        <v>0</v>
      </c>
      <c r="AO314" s="166">
        <v>0</v>
      </c>
      <c r="AP314" s="166">
        <f t="shared" si="74"/>
        <v>0</v>
      </c>
      <c r="AQ314" s="162"/>
      <c r="AR314" s="162">
        <f t="shared" si="75"/>
        <v>0</v>
      </c>
      <c r="AS314" s="173"/>
      <c r="AT314" s="167">
        <f t="shared" si="76"/>
        <v>0</v>
      </c>
      <c r="AU314" s="163"/>
      <c r="AV314" s="163">
        <f t="shared" si="77"/>
        <v>0</v>
      </c>
      <c r="AW314" s="168"/>
      <c r="AX314" s="168">
        <f t="shared" si="78"/>
        <v>0</v>
      </c>
      <c r="AY314" s="170"/>
      <c r="AZ314" s="170">
        <f t="shared" si="79"/>
        <v>0</v>
      </c>
      <c r="BA314" s="166"/>
      <c r="BB314" s="166">
        <f t="shared" si="80"/>
        <v>0</v>
      </c>
    </row>
    <row r="315" spans="1:54" ht="31.5">
      <c r="A315" s="172" t="s">
        <v>6372</v>
      </c>
      <c r="B315" s="203" t="s">
        <v>583</v>
      </c>
      <c r="C315" s="203"/>
      <c r="D315" s="203"/>
      <c r="E315" s="203" t="s">
        <v>3847</v>
      </c>
      <c r="F315" s="205" t="s">
        <v>6373</v>
      </c>
      <c r="G315" s="205" t="s">
        <v>979</v>
      </c>
      <c r="H315" s="204" t="s">
        <v>390</v>
      </c>
      <c r="I315" s="204" t="s">
        <v>11</v>
      </c>
      <c r="J315" s="205" t="s">
        <v>6143</v>
      </c>
      <c r="K315" s="206">
        <v>2754</v>
      </c>
      <c r="L315" s="206"/>
      <c r="M315" s="159">
        <f t="shared" si="66"/>
        <v>12000</v>
      </c>
      <c r="N315" s="159"/>
      <c r="O315" s="159"/>
      <c r="P315" s="159"/>
      <c r="Q315" s="159"/>
      <c r="R315" s="159"/>
      <c r="S315" s="149" t="s">
        <v>5099</v>
      </c>
      <c r="T315" s="150" t="s">
        <v>5100</v>
      </c>
      <c r="U315" s="202" t="s">
        <v>3846</v>
      </c>
      <c r="V315" s="204">
        <v>1</v>
      </c>
      <c r="W315" s="203" t="s">
        <v>5104</v>
      </c>
      <c r="X315" s="204" t="s">
        <v>6058</v>
      </c>
      <c r="Y315" s="206">
        <v>3029</v>
      </c>
      <c r="Z315" s="207">
        <v>30000</v>
      </c>
      <c r="AA315" s="207">
        <f t="shared" si="67"/>
        <v>82620000</v>
      </c>
      <c r="AB315" s="157">
        <v>30000</v>
      </c>
      <c r="AC315" s="158">
        <f t="shared" si="81"/>
        <v>18000</v>
      </c>
      <c r="AD315" s="159">
        <f t="shared" si="68"/>
        <v>33048000</v>
      </c>
      <c r="AE315" s="160"/>
      <c r="AF315" s="160">
        <f t="shared" si="69"/>
        <v>0</v>
      </c>
      <c r="AG315" s="165"/>
      <c r="AH315" s="161">
        <f t="shared" si="70"/>
        <v>0</v>
      </c>
      <c r="AI315" s="162"/>
      <c r="AJ315" s="162">
        <f t="shared" si="71"/>
        <v>0</v>
      </c>
      <c r="AK315" s="164"/>
      <c r="AL315" s="164">
        <f t="shared" si="72"/>
        <v>0</v>
      </c>
      <c r="AM315" s="165"/>
      <c r="AN315" s="165">
        <f t="shared" si="73"/>
        <v>0</v>
      </c>
      <c r="AO315" s="166">
        <v>0</v>
      </c>
      <c r="AP315" s="166">
        <f t="shared" si="74"/>
        <v>0</v>
      </c>
      <c r="AQ315" s="162"/>
      <c r="AR315" s="162">
        <f t="shared" si="75"/>
        <v>0</v>
      </c>
      <c r="AS315" s="173">
        <v>12000</v>
      </c>
      <c r="AT315" s="167">
        <f t="shared" si="76"/>
        <v>33048000</v>
      </c>
      <c r="AU315" s="163"/>
      <c r="AV315" s="163">
        <f t="shared" si="77"/>
        <v>0</v>
      </c>
      <c r="AW315" s="168"/>
      <c r="AX315" s="168">
        <f t="shared" si="78"/>
        <v>0</v>
      </c>
      <c r="AY315" s="170"/>
      <c r="AZ315" s="170">
        <f t="shared" si="79"/>
        <v>0</v>
      </c>
      <c r="BA315" s="166"/>
      <c r="BB315" s="166">
        <f t="shared" si="80"/>
        <v>0</v>
      </c>
    </row>
    <row r="316" spans="1:54" s="131" customFormat="1" ht="31.5">
      <c r="A316" s="148" t="s">
        <v>6374</v>
      </c>
      <c r="B316" s="203" t="s">
        <v>6376</v>
      </c>
      <c r="C316" s="203"/>
      <c r="D316" s="203"/>
      <c r="E316" s="203" t="s">
        <v>6378</v>
      </c>
      <c r="F316" s="205" t="s">
        <v>6380</v>
      </c>
      <c r="G316" s="205" t="s">
        <v>6381</v>
      </c>
      <c r="H316" s="204" t="s">
        <v>6377</v>
      </c>
      <c r="I316" s="204" t="s">
        <v>4139</v>
      </c>
      <c r="J316" s="205" t="s">
        <v>6379</v>
      </c>
      <c r="K316" s="206">
        <v>153999</v>
      </c>
      <c r="L316" s="206"/>
      <c r="M316" s="159">
        <f t="shared" si="66"/>
        <v>0</v>
      </c>
      <c r="N316" s="159"/>
      <c r="O316" s="159"/>
      <c r="P316" s="159"/>
      <c r="Q316" s="159"/>
      <c r="R316" s="159"/>
      <c r="S316" s="150" t="s">
        <v>5118</v>
      </c>
      <c r="T316" s="150" t="s">
        <v>5119</v>
      </c>
      <c r="U316" s="202" t="s">
        <v>6375</v>
      </c>
      <c r="V316" s="204">
        <v>1</v>
      </c>
      <c r="W316" s="203" t="s">
        <v>6049</v>
      </c>
      <c r="X316" s="204" t="s">
        <v>5116</v>
      </c>
      <c r="Y316" s="206">
        <v>163333</v>
      </c>
      <c r="Z316" s="207">
        <v>100</v>
      </c>
      <c r="AA316" s="207">
        <f t="shared" si="67"/>
        <v>15399900</v>
      </c>
      <c r="AB316" s="157">
        <v>100</v>
      </c>
      <c r="AC316" s="158">
        <f t="shared" si="81"/>
        <v>100</v>
      </c>
      <c r="AD316" s="159">
        <f t="shared" si="68"/>
        <v>0</v>
      </c>
      <c r="AE316" s="160"/>
      <c r="AF316" s="160">
        <f t="shared" si="69"/>
        <v>0</v>
      </c>
      <c r="AG316" s="165"/>
      <c r="AH316" s="161">
        <f t="shared" si="70"/>
        <v>0</v>
      </c>
      <c r="AI316" s="162"/>
      <c r="AJ316" s="162">
        <f t="shared" si="71"/>
        <v>0</v>
      </c>
      <c r="AK316" s="164"/>
      <c r="AL316" s="164">
        <f t="shared" si="72"/>
        <v>0</v>
      </c>
      <c r="AM316" s="165"/>
      <c r="AN316" s="165">
        <f t="shared" si="73"/>
        <v>0</v>
      </c>
      <c r="AO316" s="166">
        <v>0</v>
      </c>
      <c r="AP316" s="166">
        <f t="shared" si="74"/>
        <v>0</v>
      </c>
      <c r="AQ316" s="162"/>
      <c r="AR316" s="162">
        <f t="shared" si="75"/>
        <v>0</v>
      </c>
      <c r="AS316" s="173"/>
      <c r="AT316" s="167">
        <f t="shared" si="76"/>
        <v>0</v>
      </c>
      <c r="AU316" s="163"/>
      <c r="AV316" s="163">
        <f t="shared" si="77"/>
        <v>0</v>
      </c>
      <c r="AW316" s="168"/>
      <c r="AX316" s="168">
        <f t="shared" si="78"/>
        <v>0</v>
      </c>
      <c r="AY316" s="170"/>
      <c r="AZ316" s="170">
        <f t="shared" si="79"/>
        <v>0</v>
      </c>
      <c r="BA316" s="166"/>
      <c r="BB316" s="166">
        <f t="shared" si="80"/>
        <v>0</v>
      </c>
    </row>
    <row r="317" spans="1:54" s="131" customFormat="1" ht="31.5">
      <c r="A317" s="148" t="s">
        <v>5015</v>
      </c>
      <c r="B317" s="203" t="s">
        <v>6382</v>
      </c>
      <c r="C317" s="203"/>
      <c r="D317" s="203"/>
      <c r="E317" s="203" t="s">
        <v>6384</v>
      </c>
      <c r="F317" s="205" t="s">
        <v>6386</v>
      </c>
      <c r="G317" s="205" t="s">
        <v>6381</v>
      </c>
      <c r="H317" s="204" t="s">
        <v>6383</v>
      </c>
      <c r="I317" s="204" t="s">
        <v>4139</v>
      </c>
      <c r="J317" s="205" t="s">
        <v>6385</v>
      </c>
      <c r="K317" s="206">
        <v>198000</v>
      </c>
      <c r="L317" s="206"/>
      <c r="M317" s="159">
        <f t="shared" si="66"/>
        <v>0</v>
      </c>
      <c r="N317" s="159"/>
      <c r="O317" s="159"/>
      <c r="P317" s="159"/>
      <c r="Q317" s="159"/>
      <c r="R317" s="159"/>
      <c r="S317" s="150" t="s">
        <v>5118</v>
      </c>
      <c r="T317" s="150" t="s">
        <v>5119</v>
      </c>
      <c r="U317" s="202" t="s">
        <v>3773</v>
      </c>
      <c r="V317" s="204">
        <v>1</v>
      </c>
      <c r="W317" s="203" t="s">
        <v>6049</v>
      </c>
      <c r="X317" s="204" t="s">
        <v>5116</v>
      </c>
      <c r="Y317" s="206">
        <v>252234</v>
      </c>
      <c r="Z317" s="207">
        <v>30</v>
      </c>
      <c r="AA317" s="207">
        <f t="shared" si="67"/>
        <v>5940000</v>
      </c>
      <c r="AB317" s="157">
        <v>30</v>
      </c>
      <c r="AC317" s="158">
        <f t="shared" si="81"/>
        <v>30</v>
      </c>
      <c r="AD317" s="159">
        <f t="shared" si="68"/>
        <v>0</v>
      </c>
      <c r="AE317" s="160"/>
      <c r="AF317" s="160">
        <f t="shared" si="69"/>
        <v>0</v>
      </c>
      <c r="AG317" s="165"/>
      <c r="AH317" s="161">
        <f t="shared" si="70"/>
        <v>0</v>
      </c>
      <c r="AI317" s="162"/>
      <c r="AJ317" s="162">
        <f t="shared" si="71"/>
        <v>0</v>
      </c>
      <c r="AK317" s="164"/>
      <c r="AL317" s="164">
        <f t="shared" si="72"/>
        <v>0</v>
      </c>
      <c r="AM317" s="165"/>
      <c r="AN317" s="165">
        <f t="shared" si="73"/>
        <v>0</v>
      </c>
      <c r="AO317" s="166">
        <v>0</v>
      </c>
      <c r="AP317" s="166">
        <f t="shared" si="74"/>
        <v>0</v>
      </c>
      <c r="AQ317" s="162"/>
      <c r="AR317" s="162">
        <f t="shared" si="75"/>
        <v>0</v>
      </c>
      <c r="AS317" s="173"/>
      <c r="AT317" s="167">
        <f t="shared" si="76"/>
        <v>0</v>
      </c>
      <c r="AU317" s="163"/>
      <c r="AV317" s="163">
        <f t="shared" si="77"/>
        <v>0</v>
      </c>
      <c r="AW317" s="168"/>
      <c r="AX317" s="168">
        <f t="shared" si="78"/>
        <v>0</v>
      </c>
      <c r="AY317" s="170"/>
      <c r="AZ317" s="170">
        <f t="shared" si="79"/>
        <v>0</v>
      </c>
      <c r="BA317" s="166"/>
      <c r="BB317" s="166">
        <f t="shared" si="80"/>
        <v>0</v>
      </c>
    </row>
    <row r="318" spans="1:54" s="131" customFormat="1" ht="31.5">
      <c r="A318" s="172" t="s">
        <v>6387</v>
      </c>
      <c r="B318" s="203" t="s">
        <v>6388</v>
      </c>
      <c r="C318" s="203"/>
      <c r="D318" s="203"/>
      <c r="E318" s="203" t="s">
        <v>4213</v>
      </c>
      <c r="F318" s="205" t="s">
        <v>6390</v>
      </c>
      <c r="G318" s="205" t="s">
        <v>2072</v>
      </c>
      <c r="H318" s="204" t="s">
        <v>4215</v>
      </c>
      <c r="I318" s="204" t="s">
        <v>4139</v>
      </c>
      <c r="J318" s="205" t="s">
        <v>6389</v>
      </c>
      <c r="K318" s="206">
        <v>227850</v>
      </c>
      <c r="L318" s="206"/>
      <c r="M318" s="159">
        <f t="shared" si="66"/>
        <v>1500</v>
      </c>
      <c r="N318" s="159"/>
      <c r="O318" s="159"/>
      <c r="P318" s="159"/>
      <c r="Q318" s="159"/>
      <c r="R318" s="159"/>
      <c r="S318" s="150" t="s">
        <v>5118</v>
      </c>
      <c r="T318" s="150" t="s">
        <v>5119</v>
      </c>
      <c r="U318" s="202" t="s">
        <v>4178</v>
      </c>
      <c r="V318" s="204">
        <v>1</v>
      </c>
      <c r="W318" s="203" t="s">
        <v>253</v>
      </c>
      <c r="X318" s="204" t="s">
        <v>6391</v>
      </c>
      <c r="Y318" s="206">
        <v>250745</v>
      </c>
      <c r="Z318" s="207">
        <v>10000</v>
      </c>
      <c r="AA318" s="207">
        <f t="shared" si="67"/>
        <v>2278500000</v>
      </c>
      <c r="AB318" s="157">
        <v>10000</v>
      </c>
      <c r="AC318" s="158">
        <f t="shared" si="81"/>
        <v>8500</v>
      </c>
      <c r="AD318" s="159">
        <f t="shared" si="68"/>
        <v>341775000</v>
      </c>
      <c r="AE318" s="160"/>
      <c r="AF318" s="160">
        <f t="shared" si="69"/>
        <v>0</v>
      </c>
      <c r="AG318" s="165"/>
      <c r="AH318" s="161">
        <f t="shared" si="70"/>
        <v>0</v>
      </c>
      <c r="AI318" s="162"/>
      <c r="AJ318" s="162">
        <f t="shared" si="71"/>
        <v>0</v>
      </c>
      <c r="AK318" s="164"/>
      <c r="AL318" s="164">
        <f t="shared" si="72"/>
        <v>0</v>
      </c>
      <c r="AM318" s="165">
        <v>1000</v>
      </c>
      <c r="AN318" s="165">
        <f t="shared" si="73"/>
        <v>227850000</v>
      </c>
      <c r="AO318" s="166">
        <v>0</v>
      </c>
      <c r="AP318" s="166">
        <f t="shared" si="74"/>
        <v>0</v>
      </c>
      <c r="AQ318" s="162"/>
      <c r="AR318" s="162">
        <f t="shared" si="75"/>
        <v>0</v>
      </c>
      <c r="AS318" s="173">
        <v>500</v>
      </c>
      <c r="AT318" s="167">
        <f t="shared" si="76"/>
        <v>113925000</v>
      </c>
      <c r="AU318" s="163"/>
      <c r="AV318" s="163">
        <f t="shared" si="77"/>
        <v>0</v>
      </c>
      <c r="AW318" s="168"/>
      <c r="AX318" s="168">
        <f t="shared" si="78"/>
        <v>0</v>
      </c>
      <c r="AY318" s="170"/>
      <c r="AZ318" s="170">
        <f t="shared" si="79"/>
        <v>0</v>
      </c>
      <c r="BA318" s="166"/>
      <c r="BB318" s="166">
        <f t="shared" si="80"/>
        <v>0</v>
      </c>
    </row>
    <row r="319" spans="1:54" s="131" customFormat="1" ht="94.5">
      <c r="A319" s="148" t="s">
        <v>6392</v>
      </c>
      <c r="B319" s="203" t="s">
        <v>6388</v>
      </c>
      <c r="C319" s="203"/>
      <c r="D319" s="203"/>
      <c r="E319" s="203" t="s">
        <v>2063</v>
      </c>
      <c r="F319" s="205" t="s">
        <v>6396</v>
      </c>
      <c r="G319" s="205" t="s">
        <v>2067</v>
      </c>
      <c r="H319" s="204" t="s">
        <v>6394</v>
      </c>
      <c r="I319" s="204" t="s">
        <v>4139</v>
      </c>
      <c r="J319" s="205" t="s">
        <v>6395</v>
      </c>
      <c r="K319" s="206">
        <v>227000</v>
      </c>
      <c r="L319" s="206"/>
      <c r="M319" s="159">
        <f t="shared" si="66"/>
        <v>0</v>
      </c>
      <c r="N319" s="159"/>
      <c r="O319" s="159"/>
      <c r="P319" s="159"/>
      <c r="Q319" s="159"/>
      <c r="R319" s="159"/>
      <c r="S319" s="150" t="s">
        <v>5118</v>
      </c>
      <c r="T319" s="150" t="s">
        <v>5119</v>
      </c>
      <c r="U319" s="202" t="s">
        <v>6393</v>
      </c>
      <c r="V319" s="204">
        <v>1</v>
      </c>
      <c r="W319" s="203" t="s">
        <v>5104</v>
      </c>
      <c r="X319" s="204" t="s">
        <v>6397</v>
      </c>
      <c r="Y319" s="206">
        <v>240000</v>
      </c>
      <c r="Z319" s="207">
        <v>2000</v>
      </c>
      <c r="AA319" s="207">
        <f t="shared" si="67"/>
        <v>454000000</v>
      </c>
      <c r="AB319" s="157">
        <v>2000</v>
      </c>
      <c r="AC319" s="158">
        <f t="shared" si="81"/>
        <v>2000</v>
      </c>
      <c r="AD319" s="159">
        <f t="shared" si="68"/>
        <v>0</v>
      </c>
      <c r="AE319" s="160"/>
      <c r="AF319" s="160">
        <f t="shared" si="69"/>
        <v>0</v>
      </c>
      <c r="AG319" s="165"/>
      <c r="AH319" s="161">
        <f t="shared" si="70"/>
        <v>0</v>
      </c>
      <c r="AI319" s="162"/>
      <c r="AJ319" s="162">
        <f t="shared" si="71"/>
        <v>0</v>
      </c>
      <c r="AK319" s="164"/>
      <c r="AL319" s="164">
        <f t="shared" si="72"/>
        <v>0</v>
      </c>
      <c r="AM319" s="165"/>
      <c r="AN319" s="165">
        <f t="shared" si="73"/>
        <v>0</v>
      </c>
      <c r="AO319" s="166">
        <v>0</v>
      </c>
      <c r="AP319" s="166">
        <f t="shared" si="74"/>
        <v>0</v>
      </c>
      <c r="AQ319" s="162"/>
      <c r="AR319" s="162">
        <f t="shared" si="75"/>
        <v>0</v>
      </c>
      <c r="AS319" s="173"/>
      <c r="AT319" s="167">
        <f t="shared" si="76"/>
        <v>0</v>
      </c>
      <c r="AU319" s="163"/>
      <c r="AV319" s="163">
        <f t="shared" si="77"/>
        <v>0</v>
      </c>
      <c r="AW319" s="168"/>
      <c r="AX319" s="168">
        <f t="shared" si="78"/>
        <v>0</v>
      </c>
      <c r="AY319" s="170"/>
      <c r="AZ319" s="170">
        <f t="shared" si="79"/>
        <v>0</v>
      </c>
      <c r="BA319" s="166"/>
      <c r="BB319" s="166">
        <f t="shared" si="80"/>
        <v>0</v>
      </c>
    </row>
    <row r="320" spans="1:54" s="131" customFormat="1" ht="94.5">
      <c r="A320" s="148" t="s">
        <v>6398</v>
      </c>
      <c r="B320" s="203" t="s">
        <v>6388</v>
      </c>
      <c r="C320" s="203"/>
      <c r="D320" s="203"/>
      <c r="E320" s="203" t="s">
        <v>2070</v>
      </c>
      <c r="F320" s="205" t="s">
        <v>6401</v>
      </c>
      <c r="G320" s="205" t="s">
        <v>2067</v>
      </c>
      <c r="H320" s="204" t="s">
        <v>6400</v>
      </c>
      <c r="I320" s="204" t="s">
        <v>4139</v>
      </c>
      <c r="J320" s="205" t="s">
        <v>6395</v>
      </c>
      <c r="K320" s="206">
        <v>227000</v>
      </c>
      <c r="L320" s="206"/>
      <c r="M320" s="159">
        <f t="shared" si="66"/>
        <v>0</v>
      </c>
      <c r="N320" s="159"/>
      <c r="O320" s="159"/>
      <c r="P320" s="159"/>
      <c r="Q320" s="159"/>
      <c r="R320" s="159"/>
      <c r="S320" s="150" t="s">
        <v>5118</v>
      </c>
      <c r="T320" s="150" t="s">
        <v>5119</v>
      </c>
      <c r="U320" s="202" t="s">
        <v>6399</v>
      </c>
      <c r="V320" s="204">
        <v>1</v>
      </c>
      <c r="W320" s="203" t="s">
        <v>5104</v>
      </c>
      <c r="X320" s="204" t="s">
        <v>6397</v>
      </c>
      <c r="Y320" s="206">
        <v>240000</v>
      </c>
      <c r="Z320" s="207">
        <v>1000</v>
      </c>
      <c r="AA320" s="207">
        <f t="shared" si="67"/>
        <v>227000000</v>
      </c>
      <c r="AB320" s="157">
        <v>1000</v>
      </c>
      <c r="AC320" s="158">
        <f t="shared" si="81"/>
        <v>1000</v>
      </c>
      <c r="AD320" s="159">
        <f t="shared" si="68"/>
        <v>0</v>
      </c>
      <c r="AE320" s="160"/>
      <c r="AF320" s="160">
        <f t="shared" si="69"/>
        <v>0</v>
      </c>
      <c r="AG320" s="165"/>
      <c r="AH320" s="161">
        <f t="shared" si="70"/>
        <v>0</v>
      </c>
      <c r="AI320" s="162"/>
      <c r="AJ320" s="162">
        <f t="shared" si="71"/>
        <v>0</v>
      </c>
      <c r="AK320" s="164"/>
      <c r="AL320" s="164">
        <f t="shared" si="72"/>
        <v>0</v>
      </c>
      <c r="AM320" s="165"/>
      <c r="AN320" s="165">
        <f t="shared" si="73"/>
        <v>0</v>
      </c>
      <c r="AO320" s="166">
        <v>0</v>
      </c>
      <c r="AP320" s="166">
        <f t="shared" si="74"/>
        <v>0</v>
      </c>
      <c r="AQ320" s="162"/>
      <c r="AR320" s="162">
        <f t="shared" si="75"/>
        <v>0</v>
      </c>
      <c r="AS320" s="173"/>
      <c r="AT320" s="167">
        <f t="shared" si="76"/>
        <v>0</v>
      </c>
      <c r="AU320" s="163"/>
      <c r="AV320" s="163">
        <f t="shared" si="77"/>
        <v>0</v>
      </c>
      <c r="AW320" s="168"/>
      <c r="AX320" s="168">
        <f t="shared" si="78"/>
        <v>0</v>
      </c>
      <c r="AY320" s="170"/>
      <c r="AZ320" s="170">
        <f t="shared" si="79"/>
        <v>0</v>
      </c>
      <c r="BA320" s="166"/>
      <c r="BB320" s="166">
        <f t="shared" si="80"/>
        <v>0</v>
      </c>
    </row>
    <row r="321" spans="1:54" s="131" customFormat="1" ht="47.25">
      <c r="A321" s="172" t="s">
        <v>6402</v>
      </c>
      <c r="B321" s="203" t="s">
        <v>6405</v>
      </c>
      <c r="C321" s="203"/>
      <c r="D321" s="203"/>
      <c r="E321" s="203" t="s">
        <v>6407</v>
      </c>
      <c r="F321" s="205" t="s">
        <v>6409</v>
      </c>
      <c r="G321" s="205" t="s">
        <v>6410</v>
      </c>
      <c r="H321" s="204" t="s">
        <v>6406</v>
      </c>
      <c r="I321" s="204" t="s">
        <v>4139</v>
      </c>
      <c r="J321" s="205" t="s">
        <v>6408</v>
      </c>
      <c r="K321" s="206">
        <v>123400</v>
      </c>
      <c r="L321" s="206"/>
      <c r="M321" s="159">
        <f t="shared" si="66"/>
        <v>0</v>
      </c>
      <c r="N321" s="159"/>
      <c r="O321" s="159"/>
      <c r="P321" s="159"/>
      <c r="Q321" s="159"/>
      <c r="R321" s="159"/>
      <c r="S321" s="150" t="s">
        <v>6403</v>
      </c>
      <c r="T321" s="150" t="s">
        <v>6404</v>
      </c>
      <c r="U321" s="202" t="s">
        <v>4179</v>
      </c>
      <c r="V321" s="204">
        <v>1</v>
      </c>
      <c r="W321" s="203" t="s">
        <v>5104</v>
      </c>
      <c r="X321" s="204" t="s">
        <v>5116</v>
      </c>
      <c r="Y321" s="206">
        <v>162500</v>
      </c>
      <c r="Z321" s="207">
        <v>5000</v>
      </c>
      <c r="AA321" s="207">
        <f t="shared" si="67"/>
        <v>617000000</v>
      </c>
      <c r="AB321" s="157">
        <v>5000</v>
      </c>
      <c r="AC321" s="158">
        <f t="shared" si="81"/>
        <v>5000</v>
      </c>
      <c r="AD321" s="159">
        <f t="shared" si="68"/>
        <v>0</v>
      </c>
      <c r="AE321" s="160"/>
      <c r="AF321" s="160">
        <f t="shared" si="69"/>
        <v>0</v>
      </c>
      <c r="AG321" s="165"/>
      <c r="AH321" s="161">
        <f t="shared" si="70"/>
        <v>0</v>
      </c>
      <c r="AI321" s="162"/>
      <c r="AJ321" s="162">
        <f t="shared" si="71"/>
        <v>0</v>
      </c>
      <c r="AK321" s="164"/>
      <c r="AL321" s="164">
        <f t="shared" si="72"/>
        <v>0</v>
      </c>
      <c r="AM321" s="165"/>
      <c r="AN321" s="165">
        <f t="shared" si="73"/>
        <v>0</v>
      </c>
      <c r="AO321" s="166">
        <v>0</v>
      </c>
      <c r="AP321" s="166">
        <f t="shared" si="74"/>
        <v>0</v>
      </c>
      <c r="AQ321" s="162"/>
      <c r="AR321" s="162">
        <f t="shared" si="75"/>
        <v>0</v>
      </c>
      <c r="AS321" s="173"/>
      <c r="AT321" s="167">
        <f t="shared" si="76"/>
        <v>0</v>
      </c>
      <c r="AU321" s="163"/>
      <c r="AV321" s="163">
        <f t="shared" si="77"/>
        <v>0</v>
      </c>
      <c r="AW321" s="168"/>
      <c r="AX321" s="168">
        <f t="shared" si="78"/>
        <v>0</v>
      </c>
      <c r="AY321" s="170"/>
      <c r="AZ321" s="170">
        <f t="shared" si="79"/>
        <v>0</v>
      </c>
      <c r="BA321" s="166"/>
      <c r="BB321" s="166">
        <f t="shared" si="80"/>
        <v>0</v>
      </c>
    </row>
    <row r="322" spans="1:54" s="131" customFormat="1" ht="47.25">
      <c r="A322" s="148" t="s">
        <v>6411</v>
      </c>
      <c r="B322" s="203" t="s">
        <v>6412</v>
      </c>
      <c r="C322" s="203"/>
      <c r="D322" s="203"/>
      <c r="E322" s="203" t="s">
        <v>4136</v>
      </c>
      <c r="F322" s="205" t="s">
        <v>896</v>
      </c>
      <c r="G322" s="205" t="s">
        <v>6414</v>
      </c>
      <c r="H322" s="204" t="s">
        <v>4138</v>
      </c>
      <c r="I322" s="204" t="s">
        <v>4139</v>
      </c>
      <c r="J322" s="205" t="s">
        <v>6413</v>
      </c>
      <c r="K322" s="206">
        <v>276500</v>
      </c>
      <c r="L322" s="206"/>
      <c r="M322" s="159">
        <f t="shared" si="66"/>
        <v>1300</v>
      </c>
      <c r="N322" s="159"/>
      <c r="O322" s="159"/>
      <c r="P322" s="159"/>
      <c r="Q322" s="159"/>
      <c r="R322" s="159"/>
      <c r="S322" s="149" t="s">
        <v>5600</v>
      </c>
      <c r="T322" s="149" t="s">
        <v>5601</v>
      </c>
      <c r="U322" s="202" t="s">
        <v>4135</v>
      </c>
      <c r="V322" s="204">
        <v>1</v>
      </c>
      <c r="W322" s="203" t="s">
        <v>5104</v>
      </c>
      <c r="X322" s="204" t="s">
        <v>5185</v>
      </c>
      <c r="Y322" s="206">
        <v>428550</v>
      </c>
      <c r="Z322" s="207">
        <v>2000</v>
      </c>
      <c r="AA322" s="207">
        <f t="shared" si="67"/>
        <v>553000000</v>
      </c>
      <c r="AB322" s="157">
        <v>2000</v>
      </c>
      <c r="AC322" s="158">
        <f t="shared" si="81"/>
        <v>700</v>
      </c>
      <c r="AD322" s="159">
        <f t="shared" si="68"/>
        <v>359450000</v>
      </c>
      <c r="AE322" s="160">
        <v>200</v>
      </c>
      <c r="AF322" s="160">
        <f t="shared" si="69"/>
        <v>55300000</v>
      </c>
      <c r="AG322" s="165"/>
      <c r="AH322" s="161">
        <f t="shared" si="70"/>
        <v>0</v>
      </c>
      <c r="AI322" s="162">
        <v>200</v>
      </c>
      <c r="AJ322" s="162">
        <f t="shared" si="71"/>
        <v>55300000</v>
      </c>
      <c r="AK322" s="164">
        <v>400</v>
      </c>
      <c r="AL322" s="164">
        <f t="shared" si="72"/>
        <v>110600000</v>
      </c>
      <c r="AM322" s="165"/>
      <c r="AN322" s="165">
        <f t="shared" si="73"/>
        <v>0</v>
      </c>
      <c r="AO322" s="166">
        <v>0</v>
      </c>
      <c r="AP322" s="166">
        <f t="shared" si="74"/>
        <v>0</v>
      </c>
      <c r="AQ322" s="162"/>
      <c r="AR322" s="162">
        <f t="shared" si="75"/>
        <v>0</v>
      </c>
      <c r="AS322" s="173"/>
      <c r="AT322" s="167">
        <f t="shared" si="76"/>
        <v>0</v>
      </c>
      <c r="AU322" s="163">
        <v>500</v>
      </c>
      <c r="AV322" s="163">
        <f t="shared" si="77"/>
        <v>138250000</v>
      </c>
      <c r="AW322" s="168"/>
      <c r="AX322" s="168">
        <f t="shared" si="78"/>
        <v>0</v>
      </c>
      <c r="AY322" s="170"/>
      <c r="AZ322" s="170">
        <f t="shared" si="79"/>
        <v>0</v>
      </c>
      <c r="BA322" s="166"/>
      <c r="BB322" s="166">
        <f t="shared" si="80"/>
        <v>0</v>
      </c>
    </row>
    <row r="323" spans="1:54" s="131" customFormat="1" ht="31.5">
      <c r="A323" s="148" t="s">
        <v>6415</v>
      </c>
      <c r="B323" s="203" t="s">
        <v>1618</v>
      </c>
      <c r="C323" s="203"/>
      <c r="D323" s="203"/>
      <c r="E323" s="203" t="s">
        <v>6417</v>
      </c>
      <c r="F323" s="205" t="s">
        <v>6419</v>
      </c>
      <c r="G323" s="205" t="s">
        <v>6420</v>
      </c>
      <c r="H323" s="204" t="s">
        <v>1232</v>
      </c>
      <c r="I323" s="204" t="s">
        <v>11</v>
      </c>
      <c r="J323" s="205" t="s">
        <v>6418</v>
      </c>
      <c r="K323" s="206">
        <v>2400</v>
      </c>
      <c r="L323" s="206"/>
      <c r="M323" s="159">
        <f t="shared" si="66"/>
        <v>0</v>
      </c>
      <c r="N323" s="159"/>
      <c r="O323" s="159"/>
      <c r="P323" s="159"/>
      <c r="Q323" s="159"/>
      <c r="R323" s="159"/>
      <c r="S323" s="150" t="s">
        <v>5250</v>
      </c>
      <c r="T323" s="150" t="s">
        <v>5251</v>
      </c>
      <c r="U323" s="202" t="s">
        <v>6416</v>
      </c>
      <c r="V323" s="204">
        <v>1</v>
      </c>
      <c r="W323" s="203" t="s">
        <v>5104</v>
      </c>
      <c r="X323" s="204" t="s">
        <v>5105</v>
      </c>
      <c r="Y323" s="206">
        <v>2400</v>
      </c>
      <c r="Z323" s="207">
        <v>30000</v>
      </c>
      <c r="AA323" s="207">
        <f t="shared" si="67"/>
        <v>72000000</v>
      </c>
      <c r="AB323" s="157">
        <v>30000</v>
      </c>
      <c r="AC323" s="158">
        <f t="shared" si="81"/>
        <v>30000</v>
      </c>
      <c r="AD323" s="159">
        <f t="shared" si="68"/>
        <v>0</v>
      </c>
      <c r="AE323" s="160"/>
      <c r="AF323" s="160">
        <f t="shared" si="69"/>
        <v>0</v>
      </c>
      <c r="AG323" s="165"/>
      <c r="AH323" s="161">
        <f t="shared" si="70"/>
        <v>0</v>
      </c>
      <c r="AI323" s="162"/>
      <c r="AJ323" s="162">
        <f t="shared" si="71"/>
        <v>0</v>
      </c>
      <c r="AK323" s="164"/>
      <c r="AL323" s="164">
        <f t="shared" si="72"/>
        <v>0</v>
      </c>
      <c r="AM323" s="165"/>
      <c r="AN323" s="165">
        <f t="shared" si="73"/>
        <v>0</v>
      </c>
      <c r="AO323" s="166">
        <v>0</v>
      </c>
      <c r="AP323" s="166">
        <f t="shared" si="74"/>
        <v>0</v>
      </c>
      <c r="AQ323" s="162"/>
      <c r="AR323" s="162">
        <f t="shared" si="75"/>
        <v>0</v>
      </c>
      <c r="AS323" s="173"/>
      <c r="AT323" s="167">
        <f t="shared" si="76"/>
        <v>0</v>
      </c>
      <c r="AU323" s="163"/>
      <c r="AV323" s="163">
        <f t="shared" si="77"/>
        <v>0</v>
      </c>
      <c r="AW323" s="168"/>
      <c r="AX323" s="168">
        <f t="shared" si="78"/>
        <v>0</v>
      </c>
      <c r="AY323" s="170"/>
      <c r="AZ323" s="170">
        <f t="shared" si="79"/>
        <v>0</v>
      </c>
      <c r="BA323" s="166"/>
      <c r="BB323" s="166">
        <f t="shared" si="80"/>
        <v>0</v>
      </c>
    </row>
    <row r="324" spans="1:54" s="131" customFormat="1" ht="31.5">
      <c r="A324" s="172" t="s">
        <v>6421</v>
      </c>
      <c r="B324" s="203" t="s">
        <v>1618</v>
      </c>
      <c r="C324" s="203"/>
      <c r="D324" s="203"/>
      <c r="E324" s="203" t="s">
        <v>6423</v>
      </c>
      <c r="F324" s="205" t="s">
        <v>995</v>
      </c>
      <c r="G324" s="205" t="s">
        <v>979</v>
      </c>
      <c r="H324" s="204" t="s">
        <v>994</v>
      </c>
      <c r="I324" s="204" t="s">
        <v>11</v>
      </c>
      <c r="J324" s="205" t="s">
        <v>6009</v>
      </c>
      <c r="K324" s="206">
        <v>599</v>
      </c>
      <c r="L324" s="206"/>
      <c r="M324" s="159">
        <f t="shared" ref="M324:M387" si="82">AE324+AG324+AI324+AK324+AM324+AO324+AQ324+AS324+AU324+AW324+AY324+BA324</f>
        <v>0</v>
      </c>
      <c r="N324" s="159"/>
      <c r="O324" s="159"/>
      <c r="P324" s="159"/>
      <c r="Q324" s="159"/>
      <c r="R324" s="159"/>
      <c r="S324" s="149" t="s">
        <v>5099</v>
      </c>
      <c r="T324" s="150" t="s">
        <v>5100</v>
      </c>
      <c r="U324" s="202" t="s">
        <v>6422</v>
      </c>
      <c r="V324" s="204">
        <v>1</v>
      </c>
      <c r="W324" s="203" t="s">
        <v>5104</v>
      </c>
      <c r="X324" s="204" t="s">
        <v>6058</v>
      </c>
      <c r="Y324" s="206">
        <v>1550</v>
      </c>
      <c r="Z324" s="207">
        <v>100000</v>
      </c>
      <c r="AA324" s="207">
        <f t="shared" ref="AA324:AA387" si="83">Z324*K324</f>
        <v>59900000</v>
      </c>
      <c r="AB324" s="157">
        <v>100000</v>
      </c>
      <c r="AC324" s="158">
        <f t="shared" si="81"/>
        <v>100000</v>
      </c>
      <c r="AD324" s="159">
        <f t="shared" ref="AD324:AD387" si="84">M324*K324</f>
        <v>0</v>
      </c>
      <c r="AE324" s="160"/>
      <c r="AF324" s="160">
        <f t="shared" ref="AF324:AF387" si="85">AE324*K324</f>
        <v>0</v>
      </c>
      <c r="AG324" s="165"/>
      <c r="AH324" s="161">
        <f t="shared" ref="AH324:AH387" si="86">AG324*K324</f>
        <v>0</v>
      </c>
      <c r="AI324" s="162"/>
      <c r="AJ324" s="162">
        <f t="shared" ref="AJ324:AJ387" si="87">AI324*K324</f>
        <v>0</v>
      </c>
      <c r="AK324" s="164"/>
      <c r="AL324" s="164">
        <f t="shared" ref="AL324:AL387" si="88">AK324*K324</f>
        <v>0</v>
      </c>
      <c r="AM324" s="165"/>
      <c r="AN324" s="165">
        <f t="shared" ref="AN324:AN387" si="89">AM324*K324</f>
        <v>0</v>
      </c>
      <c r="AO324" s="166">
        <v>0</v>
      </c>
      <c r="AP324" s="166">
        <f t="shared" ref="AP324:AP387" si="90">AO324*K324</f>
        <v>0</v>
      </c>
      <c r="AQ324" s="162"/>
      <c r="AR324" s="162">
        <f t="shared" ref="AR324:AR387" si="91">AQ324*K324</f>
        <v>0</v>
      </c>
      <c r="AS324" s="173"/>
      <c r="AT324" s="167">
        <f t="shared" ref="AT324:AT387" si="92">AS324*K324</f>
        <v>0</v>
      </c>
      <c r="AU324" s="163"/>
      <c r="AV324" s="163">
        <f t="shared" ref="AV324:AV387" si="93">AU324*K324</f>
        <v>0</v>
      </c>
      <c r="AW324" s="168"/>
      <c r="AX324" s="168">
        <f t="shared" ref="AX324:AX387" si="94">AW324*K324</f>
        <v>0</v>
      </c>
      <c r="AY324" s="170"/>
      <c r="AZ324" s="170">
        <f t="shared" ref="AZ324:AZ387" si="95">AY324*K324</f>
        <v>0</v>
      </c>
      <c r="BA324" s="166"/>
      <c r="BB324" s="166">
        <f t="shared" ref="BB324:BB387" si="96">BA324*K324</f>
        <v>0</v>
      </c>
    </row>
    <row r="325" spans="1:54" s="131" customFormat="1" ht="31.5">
      <c r="A325" s="148" t="s">
        <v>6424</v>
      </c>
      <c r="B325" s="203" t="s">
        <v>1618</v>
      </c>
      <c r="C325" s="203"/>
      <c r="D325" s="203"/>
      <c r="E325" s="203" t="s">
        <v>6426</v>
      </c>
      <c r="F325" s="205" t="s">
        <v>6428</v>
      </c>
      <c r="G325" s="205" t="s">
        <v>6429</v>
      </c>
      <c r="H325" s="204" t="s">
        <v>225</v>
      </c>
      <c r="I325" s="204" t="s">
        <v>11</v>
      </c>
      <c r="J325" s="205" t="s">
        <v>6427</v>
      </c>
      <c r="K325" s="206">
        <v>589</v>
      </c>
      <c r="L325" s="206"/>
      <c r="M325" s="159">
        <f t="shared" si="82"/>
        <v>0</v>
      </c>
      <c r="N325" s="159"/>
      <c r="O325" s="159"/>
      <c r="P325" s="159"/>
      <c r="Q325" s="159"/>
      <c r="R325" s="159"/>
      <c r="S325" s="149" t="s">
        <v>6051</v>
      </c>
      <c r="T325" s="149" t="s">
        <v>6052</v>
      </c>
      <c r="U325" s="202" t="s">
        <v>6425</v>
      </c>
      <c r="V325" s="204">
        <v>1</v>
      </c>
      <c r="W325" s="203" t="s">
        <v>5108</v>
      </c>
      <c r="X325" s="204" t="s">
        <v>213</v>
      </c>
      <c r="Y325" s="206">
        <v>930</v>
      </c>
      <c r="Z325" s="207">
        <v>50000</v>
      </c>
      <c r="AA325" s="207">
        <f t="shared" si="83"/>
        <v>29450000</v>
      </c>
      <c r="AB325" s="157">
        <v>50000</v>
      </c>
      <c r="AC325" s="158">
        <f t="shared" si="81"/>
        <v>50000</v>
      </c>
      <c r="AD325" s="159">
        <f t="shared" si="84"/>
        <v>0</v>
      </c>
      <c r="AE325" s="160"/>
      <c r="AF325" s="160">
        <f t="shared" si="85"/>
        <v>0</v>
      </c>
      <c r="AG325" s="165"/>
      <c r="AH325" s="161">
        <f t="shared" si="86"/>
        <v>0</v>
      </c>
      <c r="AI325" s="162"/>
      <c r="AJ325" s="162">
        <f t="shared" si="87"/>
        <v>0</v>
      </c>
      <c r="AK325" s="164"/>
      <c r="AL325" s="164">
        <f t="shared" si="88"/>
        <v>0</v>
      </c>
      <c r="AM325" s="165"/>
      <c r="AN325" s="165">
        <f t="shared" si="89"/>
        <v>0</v>
      </c>
      <c r="AO325" s="166">
        <v>0</v>
      </c>
      <c r="AP325" s="166">
        <f t="shared" si="90"/>
        <v>0</v>
      </c>
      <c r="AQ325" s="162"/>
      <c r="AR325" s="162">
        <f t="shared" si="91"/>
        <v>0</v>
      </c>
      <c r="AS325" s="173"/>
      <c r="AT325" s="167">
        <f t="shared" si="92"/>
        <v>0</v>
      </c>
      <c r="AU325" s="163"/>
      <c r="AV325" s="163">
        <f t="shared" si="93"/>
        <v>0</v>
      </c>
      <c r="AW325" s="168"/>
      <c r="AX325" s="168">
        <f t="shared" si="94"/>
        <v>0</v>
      </c>
      <c r="AY325" s="170"/>
      <c r="AZ325" s="170">
        <f t="shared" si="95"/>
        <v>0</v>
      </c>
      <c r="BA325" s="166"/>
      <c r="BB325" s="166">
        <f t="shared" si="96"/>
        <v>0</v>
      </c>
    </row>
    <row r="326" spans="1:54" s="131" customFormat="1" ht="31.5">
      <c r="A326" s="148" t="s">
        <v>6430</v>
      </c>
      <c r="B326" s="203" t="s">
        <v>611</v>
      </c>
      <c r="C326" s="203"/>
      <c r="D326" s="203"/>
      <c r="E326" s="203" t="s">
        <v>6432</v>
      </c>
      <c r="F326" s="205" t="s">
        <v>6434</v>
      </c>
      <c r="G326" s="205" t="s">
        <v>6435</v>
      </c>
      <c r="H326" s="204" t="s">
        <v>291</v>
      </c>
      <c r="I326" s="204" t="s">
        <v>11</v>
      </c>
      <c r="J326" s="205" t="s">
        <v>6433</v>
      </c>
      <c r="K326" s="206">
        <v>8225</v>
      </c>
      <c r="L326" s="206"/>
      <c r="M326" s="159">
        <f t="shared" si="82"/>
        <v>0</v>
      </c>
      <c r="N326" s="159"/>
      <c r="O326" s="159"/>
      <c r="P326" s="159"/>
      <c r="Q326" s="159"/>
      <c r="R326" s="159"/>
      <c r="S326" s="149" t="s">
        <v>5099</v>
      </c>
      <c r="T326" s="150" t="s">
        <v>5100</v>
      </c>
      <c r="U326" s="202" t="s">
        <v>6431</v>
      </c>
      <c r="V326" s="204">
        <v>1</v>
      </c>
      <c r="W326" s="203" t="s">
        <v>5104</v>
      </c>
      <c r="X326" s="204" t="s">
        <v>5121</v>
      </c>
      <c r="Y326" s="206">
        <v>8226</v>
      </c>
      <c r="Z326" s="207">
        <v>20000</v>
      </c>
      <c r="AA326" s="207">
        <f t="shared" si="83"/>
        <v>164500000</v>
      </c>
      <c r="AB326" s="157">
        <v>20000</v>
      </c>
      <c r="AC326" s="158">
        <f t="shared" si="81"/>
        <v>20000</v>
      </c>
      <c r="AD326" s="159">
        <f t="shared" si="84"/>
        <v>0</v>
      </c>
      <c r="AE326" s="160"/>
      <c r="AF326" s="160">
        <f t="shared" si="85"/>
        <v>0</v>
      </c>
      <c r="AG326" s="165"/>
      <c r="AH326" s="161">
        <f t="shared" si="86"/>
        <v>0</v>
      </c>
      <c r="AI326" s="162"/>
      <c r="AJ326" s="162">
        <f t="shared" si="87"/>
        <v>0</v>
      </c>
      <c r="AK326" s="163"/>
      <c r="AL326" s="164">
        <f t="shared" si="88"/>
        <v>0</v>
      </c>
      <c r="AM326" s="161"/>
      <c r="AN326" s="165">
        <f t="shared" si="89"/>
        <v>0</v>
      </c>
      <c r="AO326" s="160">
        <v>0</v>
      </c>
      <c r="AP326" s="166">
        <f t="shared" si="90"/>
        <v>0</v>
      </c>
      <c r="AQ326" s="162"/>
      <c r="AR326" s="162">
        <f t="shared" si="91"/>
        <v>0</v>
      </c>
      <c r="AS326" s="173"/>
      <c r="AT326" s="167">
        <f t="shared" si="92"/>
        <v>0</v>
      </c>
      <c r="AU326" s="163"/>
      <c r="AV326" s="163">
        <f t="shared" si="93"/>
        <v>0</v>
      </c>
      <c r="AW326" s="162"/>
      <c r="AX326" s="168">
        <f t="shared" si="94"/>
        <v>0</v>
      </c>
      <c r="AY326" s="169"/>
      <c r="AZ326" s="170">
        <f t="shared" si="95"/>
        <v>0</v>
      </c>
      <c r="BA326" s="160"/>
      <c r="BB326" s="166">
        <f t="shared" si="96"/>
        <v>0</v>
      </c>
    </row>
    <row r="327" spans="1:54" s="131" customFormat="1" ht="31.5">
      <c r="A327" s="172" t="s">
        <v>6436</v>
      </c>
      <c r="B327" s="203" t="s">
        <v>6438</v>
      </c>
      <c r="C327" s="203"/>
      <c r="D327" s="203"/>
      <c r="E327" s="203" t="s">
        <v>6440</v>
      </c>
      <c r="F327" s="205" t="s">
        <v>6442</v>
      </c>
      <c r="G327" s="205" t="s">
        <v>6443</v>
      </c>
      <c r="H327" s="204" t="s">
        <v>6439</v>
      </c>
      <c r="I327" s="204" t="s">
        <v>11</v>
      </c>
      <c r="J327" s="205" t="s">
        <v>6441</v>
      </c>
      <c r="K327" s="206">
        <v>9274</v>
      </c>
      <c r="L327" s="206"/>
      <c r="M327" s="159">
        <f t="shared" si="82"/>
        <v>0</v>
      </c>
      <c r="N327" s="159"/>
      <c r="O327" s="159"/>
      <c r="P327" s="159"/>
      <c r="Q327" s="159"/>
      <c r="R327" s="159"/>
      <c r="S327" s="149" t="s">
        <v>5099</v>
      </c>
      <c r="T327" s="150" t="s">
        <v>5100</v>
      </c>
      <c r="U327" s="202" t="s">
        <v>6437</v>
      </c>
      <c r="V327" s="204">
        <v>1</v>
      </c>
      <c r="W327" s="203" t="s">
        <v>5804</v>
      </c>
      <c r="X327" s="204" t="s">
        <v>5105</v>
      </c>
      <c r="Y327" s="206">
        <v>9686</v>
      </c>
      <c r="Z327" s="207">
        <v>20000</v>
      </c>
      <c r="AA327" s="207">
        <f t="shared" si="83"/>
        <v>185480000</v>
      </c>
      <c r="AB327" s="157">
        <v>20000</v>
      </c>
      <c r="AC327" s="158">
        <f t="shared" si="81"/>
        <v>20000</v>
      </c>
      <c r="AD327" s="159">
        <f t="shared" si="84"/>
        <v>0</v>
      </c>
      <c r="AE327" s="160"/>
      <c r="AF327" s="160">
        <f t="shared" si="85"/>
        <v>0</v>
      </c>
      <c r="AG327" s="165"/>
      <c r="AH327" s="161">
        <f t="shared" si="86"/>
        <v>0</v>
      </c>
      <c r="AI327" s="162"/>
      <c r="AJ327" s="162">
        <f t="shared" si="87"/>
        <v>0</v>
      </c>
      <c r="AK327" s="163"/>
      <c r="AL327" s="164">
        <f t="shared" si="88"/>
        <v>0</v>
      </c>
      <c r="AM327" s="161"/>
      <c r="AN327" s="165">
        <f t="shared" si="89"/>
        <v>0</v>
      </c>
      <c r="AO327" s="160">
        <v>0</v>
      </c>
      <c r="AP327" s="166">
        <f t="shared" si="90"/>
        <v>0</v>
      </c>
      <c r="AQ327" s="162"/>
      <c r="AR327" s="162">
        <f t="shared" si="91"/>
        <v>0</v>
      </c>
      <c r="AS327" s="173"/>
      <c r="AT327" s="167">
        <f t="shared" si="92"/>
        <v>0</v>
      </c>
      <c r="AU327" s="163"/>
      <c r="AV327" s="163">
        <f t="shared" si="93"/>
        <v>0</v>
      </c>
      <c r="AW327" s="162"/>
      <c r="AX327" s="168">
        <f t="shared" si="94"/>
        <v>0</v>
      </c>
      <c r="AY327" s="169"/>
      <c r="AZ327" s="170">
        <f t="shared" si="95"/>
        <v>0</v>
      </c>
      <c r="BA327" s="160"/>
      <c r="BB327" s="166">
        <f t="shared" si="96"/>
        <v>0</v>
      </c>
    </row>
    <row r="328" spans="1:54" s="131" customFormat="1" ht="31.5">
      <c r="A328" s="148" t="s">
        <v>6444</v>
      </c>
      <c r="B328" s="203" t="s">
        <v>797</v>
      </c>
      <c r="C328" s="203"/>
      <c r="D328" s="203"/>
      <c r="E328" s="203" t="s">
        <v>6446</v>
      </c>
      <c r="F328" s="205" t="s">
        <v>6448</v>
      </c>
      <c r="G328" s="205" t="s">
        <v>6449</v>
      </c>
      <c r="H328" s="204" t="s">
        <v>799</v>
      </c>
      <c r="I328" s="204" t="s">
        <v>658</v>
      </c>
      <c r="J328" s="205" t="s">
        <v>6447</v>
      </c>
      <c r="K328" s="206">
        <v>16002</v>
      </c>
      <c r="L328" s="206"/>
      <c r="M328" s="159">
        <f t="shared" si="82"/>
        <v>0</v>
      </c>
      <c r="N328" s="159"/>
      <c r="O328" s="159"/>
      <c r="P328" s="159"/>
      <c r="Q328" s="159"/>
      <c r="R328" s="159"/>
      <c r="S328" s="149" t="s">
        <v>6117</v>
      </c>
      <c r="T328" s="149" t="s">
        <v>6118</v>
      </c>
      <c r="U328" s="202" t="s">
        <v>6445</v>
      </c>
      <c r="V328" s="204">
        <v>1</v>
      </c>
      <c r="W328" s="203" t="s">
        <v>5104</v>
      </c>
      <c r="X328" s="204" t="s">
        <v>6450</v>
      </c>
      <c r="Y328" s="206">
        <v>24000</v>
      </c>
      <c r="Z328" s="207">
        <v>200</v>
      </c>
      <c r="AA328" s="207">
        <f t="shared" si="83"/>
        <v>3200400</v>
      </c>
      <c r="AB328" s="157">
        <v>200</v>
      </c>
      <c r="AC328" s="158">
        <f t="shared" si="81"/>
        <v>200</v>
      </c>
      <c r="AD328" s="159">
        <f t="shared" si="84"/>
        <v>0</v>
      </c>
      <c r="AE328" s="160"/>
      <c r="AF328" s="160">
        <f t="shared" si="85"/>
        <v>0</v>
      </c>
      <c r="AG328" s="165"/>
      <c r="AH328" s="161">
        <f t="shared" si="86"/>
        <v>0</v>
      </c>
      <c r="AI328" s="162"/>
      <c r="AJ328" s="162">
        <f t="shared" si="87"/>
        <v>0</v>
      </c>
      <c r="AK328" s="164"/>
      <c r="AL328" s="164">
        <f t="shared" si="88"/>
        <v>0</v>
      </c>
      <c r="AM328" s="165"/>
      <c r="AN328" s="165">
        <f t="shared" si="89"/>
        <v>0</v>
      </c>
      <c r="AO328" s="166">
        <v>0</v>
      </c>
      <c r="AP328" s="166">
        <f t="shared" si="90"/>
        <v>0</v>
      </c>
      <c r="AQ328" s="162"/>
      <c r="AR328" s="162">
        <f t="shared" si="91"/>
        <v>0</v>
      </c>
      <c r="AS328" s="173"/>
      <c r="AT328" s="167">
        <f t="shared" si="92"/>
        <v>0</v>
      </c>
      <c r="AU328" s="163"/>
      <c r="AV328" s="163">
        <f t="shared" si="93"/>
        <v>0</v>
      </c>
      <c r="AW328" s="168"/>
      <c r="AX328" s="168">
        <f t="shared" si="94"/>
        <v>0</v>
      </c>
      <c r="AY328" s="170"/>
      <c r="AZ328" s="170">
        <f t="shared" si="95"/>
        <v>0</v>
      </c>
      <c r="BA328" s="166"/>
      <c r="BB328" s="166">
        <f t="shared" si="96"/>
        <v>0</v>
      </c>
    </row>
    <row r="329" spans="1:54" s="131" customFormat="1" ht="112.5">
      <c r="A329" s="148" t="s">
        <v>6451</v>
      </c>
      <c r="B329" s="203" t="s">
        <v>6453</v>
      </c>
      <c r="C329" s="203"/>
      <c r="D329" s="203"/>
      <c r="E329" s="203" t="s">
        <v>6454</v>
      </c>
      <c r="F329" s="205" t="s">
        <v>6456</v>
      </c>
      <c r="G329" s="205" t="s">
        <v>6457</v>
      </c>
      <c r="H329" s="204" t="s">
        <v>238</v>
      </c>
      <c r="I329" s="204" t="s">
        <v>11</v>
      </c>
      <c r="J329" s="205" t="s">
        <v>6455</v>
      </c>
      <c r="K329" s="206">
        <v>9900</v>
      </c>
      <c r="L329" s="206"/>
      <c r="M329" s="159">
        <f t="shared" si="82"/>
        <v>0</v>
      </c>
      <c r="N329" s="159"/>
      <c r="O329" s="159"/>
      <c r="P329" s="159"/>
      <c r="Q329" s="159"/>
      <c r="R329" s="159"/>
      <c r="S329" s="209" t="s">
        <v>5848</v>
      </c>
      <c r="T329" s="203" t="s">
        <v>5849</v>
      </c>
      <c r="U329" s="202" t="s">
        <v>6452</v>
      </c>
      <c r="V329" s="204">
        <v>1</v>
      </c>
      <c r="W329" s="203" t="s">
        <v>253</v>
      </c>
      <c r="X329" s="204" t="s">
        <v>5717</v>
      </c>
      <c r="Y329" s="206">
        <v>9900</v>
      </c>
      <c r="Z329" s="207">
        <v>10000</v>
      </c>
      <c r="AA329" s="207">
        <f t="shared" si="83"/>
        <v>99000000</v>
      </c>
      <c r="AB329" s="157">
        <v>10000</v>
      </c>
      <c r="AC329" s="158">
        <f t="shared" si="81"/>
        <v>10000</v>
      </c>
      <c r="AD329" s="159">
        <f t="shared" si="84"/>
        <v>0</v>
      </c>
      <c r="AE329" s="160"/>
      <c r="AF329" s="160">
        <f t="shared" si="85"/>
        <v>0</v>
      </c>
      <c r="AG329" s="165"/>
      <c r="AH329" s="161">
        <f t="shared" si="86"/>
        <v>0</v>
      </c>
      <c r="AI329" s="162"/>
      <c r="AJ329" s="162">
        <f t="shared" si="87"/>
        <v>0</v>
      </c>
      <c r="AK329" s="163"/>
      <c r="AL329" s="164">
        <f t="shared" si="88"/>
        <v>0</v>
      </c>
      <c r="AM329" s="161"/>
      <c r="AN329" s="165">
        <f t="shared" si="89"/>
        <v>0</v>
      </c>
      <c r="AO329" s="160">
        <v>0</v>
      </c>
      <c r="AP329" s="166">
        <f t="shared" si="90"/>
        <v>0</v>
      </c>
      <c r="AQ329" s="162"/>
      <c r="AR329" s="162">
        <f t="shared" si="91"/>
        <v>0</v>
      </c>
      <c r="AS329" s="173"/>
      <c r="AT329" s="167">
        <f t="shared" si="92"/>
        <v>0</v>
      </c>
      <c r="AU329" s="163"/>
      <c r="AV329" s="163">
        <f t="shared" si="93"/>
        <v>0</v>
      </c>
      <c r="AW329" s="162"/>
      <c r="AX329" s="168">
        <f t="shared" si="94"/>
        <v>0</v>
      </c>
      <c r="AY329" s="169"/>
      <c r="AZ329" s="170">
        <f t="shared" si="95"/>
        <v>0</v>
      </c>
      <c r="BA329" s="160"/>
      <c r="BB329" s="166">
        <f t="shared" si="96"/>
        <v>0</v>
      </c>
    </row>
    <row r="330" spans="1:54" s="131" customFormat="1" ht="47.25">
      <c r="A330" s="172" t="s">
        <v>4568</v>
      </c>
      <c r="B330" s="203" t="s">
        <v>4033</v>
      </c>
      <c r="C330" s="203"/>
      <c r="D330" s="203"/>
      <c r="E330" s="203" t="s">
        <v>6459</v>
      </c>
      <c r="F330" s="205" t="s">
        <v>6461</v>
      </c>
      <c r="G330" s="205" t="s">
        <v>6462</v>
      </c>
      <c r="H330" s="204" t="s">
        <v>903</v>
      </c>
      <c r="I330" s="204" t="s">
        <v>15</v>
      </c>
      <c r="J330" s="205" t="s">
        <v>6460</v>
      </c>
      <c r="K330" s="206">
        <v>265000</v>
      </c>
      <c r="L330" s="206"/>
      <c r="M330" s="159">
        <f t="shared" si="82"/>
        <v>0</v>
      </c>
      <c r="N330" s="159"/>
      <c r="O330" s="159"/>
      <c r="P330" s="159"/>
      <c r="Q330" s="159"/>
      <c r="R330" s="159"/>
      <c r="S330" s="150" t="s">
        <v>5118</v>
      </c>
      <c r="T330" s="150" t="s">
        <v>5119</v>
      </c>
      <c r="U330" s="202" t="s">
        <v>6458</v>
      </c>
      <c r="V330" s="204">
        <v>1</v>
      </c>
      <c r="W330" s="203" t="s">
        <v>5108</v>
      </c>
      <c r="X330" s="204" t="s">
        <v>6463</v>
      </c>
      <c r="Y330" s="206">
        <v>387200</v>
      </c>
      <c r="Z330" s="207">
        <v>5</v>
      </c>
      <c r="AA330" s="207">
        <f t="shared" si="83"/>
        <v>1325000</v>
      </c>
      <c r="AB330" s="157">
        <v>5</v>
      </c>
      <c r="AC330" s="158">
        <f t="shared" si="81"/>
        <v>5</v>
      </c>
      <c r="AD330" s="159">
        <f t="shared" si="84"/>
        <v>0</v>
      </c>
      <c r="AE330" s="160"/>
      <c r="AF330" s="160">
        <f t="shared" si="85"/>
        <v>0</v>
      </c>
      <c r="AG330" s="165"/>
      <c r="AH330" s="161">
        <f t="shared" si="86"/>
        <v>0</v>
      </c>
      <c r="AI330" s="162"/>
      <c r="AJ330" s="162">
        <f t="shared" si="87"/>
        <v>0</v>
      </c>
      <c r="AK330" s="164"/>
      <c r="AL330" s="164">
        <f t="shared" si="88"/>
        <v>0</v>
      </c>
      <c r="AM330" s="165"/>
      <c r="AN330" s="165">
        <f t="shared" si="89"/>
        <v>0</v>
      </c>
      <c r="AO330" s="166">
        <v>0</v>
      </c>
      <c r="AP330" s="166">
        <f t="shared" si="90"/>
        <v>0</v>
      </c>
      <c r="AQ330" s="162"/>
      <c r="AR330" s="162">
        <f t="shared" si="91"/>
        <v>0</v>
      </c>
      <c r="AS330" s="173"/>
      <c r="AT330" s="167">
        <f t="shared" si="92"/>
        <v>0</v>
      </c>
      <c r="AU330" s="163"/>
      <c r="AV330" s="163">
        <f t="shared" si="93"/>
        <v>0</v>
      </c>
      <c r="AW330" s="168"/>
      <c r="AX330" s="168">
        <f t="shared" si="94"/>
        <v>0</v>
      </c>
      <c r="AY330" s="170"/>
      <c r="AZ330" s="170">
        <f t="shared" si="95"/>
        <v>0</v>
      </c>
      <c r="BA330" s="166"/>
      <c r="BB330" s="166">
        <f t="shared" si="96"/>
        <v>0</v>
      </c>
    </row>
    <row r="331" spans="1:54" s="131" customFormat="1" ht="31.5">
      <c r="A331" s="148" t="s">
        <v>6464</v>
      </c>
      <c r="B331" s="203" t="s">
        <v>1494</v>
      </c>
      <c r="C331" s="203"/>
      <c r="D331" s="203"/>
      <c r="E331" s="203" t="s">
        <v>6466</v>
      </c>
      <c r="F331" s="205" t="s">
        <v>6468</v>
      </c>
      <c r="G331" s="205" t="s">
        <v>6293</v>
      </c>
      <c r="H331" s="204" t="s">
        <v>2050</v>
      </c>
      <c r="I331" s="204" t="s">
        <v>11</v>
      </c>
      <c r="J331" s="205" t="s">
        <v>6467</v>
      </c>
      <c r="K331" s="206">
        <v>5962</v>
      </c>
      <c r="L331" s="206"/>
      <c r="M331" s="159">
        <f t="shared" si="82"/>
        <v>0</v>
      </c>
      <c r="N331" s="159"/>
      <c r="O331" s="159"/>
      <c r="P331" s="159"/>
      <c r="Q331" s="159"/>
      <c r="R331" s="159"/>
      <c r="S331" s="150" t="s">
        <v>5118</v>
      </c>
      <c r="T331" s="150" t="s">
        <v>5119</v>
      </c>
      <c r="U331" s="202" t="s">
        <v>6465</v>
      </c>
      <c r="V331" s="204">
        <v>1</v>
      </c>
      <c r="W331" s="203" t="s">
        <v>5104</v>
      </c>
      <c r="X331" s="204" t="s">
        <v>5116</v>
      </c>
      <c r="Y331" s="206">
        <v>5962</v>
      </c>
      <c r="Z331" s="207">
        <v>20000</v>
      </c>
      <c r="AA331" s="207">
        <f t="shared" si="83"/>
        <v>119240000</v>
      </c>
      <c r="AB331" s="157">
        <v>20000</v>
      </c>
      <c r="AC331" s="158">
        <f t="shared" si="81"/>
        <v>20000</v>
      </c>
      <c r="AD331" s="159">
        <f t="shared" si="84"/>
        <v>0</v>
      </c>
      <c r="AE331" s="160"/>
      <c r="AF331" s="160">
        <f t="shared" si="85"/>
        <v>0</v>
      </c>
      <c r="AG331" s="161"/>
      <c r="AH331" s="161">
        <f t="shared" si="86"/>
        <v>0</v>
      </c>
      <c r="AI331" s="162"/>
      <c r="AJ331" s="162">
        <f t="shared" si="87"/>
        <v>0</v>
      </c>
      <c r="AK331" s="164"/>
      <c r="AL331" s="164">
        <f t="shared" si="88"/>
        <v>0</v>
      </c>
      <c r="AM331" s="165"/>
      <c r="AN331" s="165">
        <f t="shared" si="89"/>
        <v>0</v>
      </c>
      <c r="AO331" s="166">
        <v>0</v>
      </c>
      <c r="AP331" s="166">
        <f t="shared" si="90"/>
        <v>0</v>
      </c>
      <c r="AQ331" s="162"/>
      <c r="AR331" s="162">
        <f t="shared" si="91"/>
        <v>0</v>
      </c>
      <c r="AS331" s="167"/>
      <c r="AT331" s="167">
        <f t="shared" si="92"/>
        <v>0</v>
      </c>
      <c r="AU331" s="163"/>
      <c r="AV331" s="163">
        <f t="shared" si="93"/>
        <v>0</v>
      </c>
      <c r="AW331" s="168"/>
      <c r="AX331" s="168">
        <f t="shared" si="94"/>
        <v>0</v>
      </c>
      <c r="AY331" s="170"/>
      <c r="AZ331" s="170">
        <f t="shared" si="95"/>
        <v>0</v>
      </c>
      <c r="BA331" s="166"/>
      <c r="BB331" s="166">
        <f t="shared" si="96"/>
        <v>0</v>
      </c>
    </row>
    <row r="332" spans="1:54" s="131" customFormat="1" ht="31.5">
      <c r="A332" s="148" t="s">
        <v>6469</v>
      </c>
      <c r="B332" s="203" t="s">
        <v>1494</v>
      </c>
      <c r="C332" s="203"/>
      <c r="D332" s="203"/>
      <c r="E332" s="203" t="s">
        <v>2715</v>
      </c>
      <c r="F332" s="205" t="s">
        <v>2716</v>
      </c>
      <c r="G332" s="205" t="s">
        <v>2717</v>
      </c>
      <c r="H332" s="204" t="s">
        <v>387</v>
      </c>
      <c r="I332" s="204" t="s">
        <v>11</v>
      </c>
      <c r="J332" s="205" t="s">
        <v>6473</v>
      </c>
      <c r="K332" s="206">
        <v>1930</v>
      </c>
      <c r="L332" s="206"/>
      <c r="M332" s="159">
        <f t="shared" si="82"/>
        <v>0</v>
      </c>
      <c r="N332" s="159"/>
      <c r="O332" s="159"/>
      <c r="P332" s="159"/>
      <c r="Q332" s="159"/>
      <c r="R332" s="159"/>
      <c r="S332" s="149" t="s">
        <v>6470</v>
      </c>
      <c r="T332" s="149" t="s">
        <v>6471</v>
      </c>
      <c r="U332" s="202" t="s">
        <v>6472</v>
      </c>
      <c r="V332" s="204">
        <v>1</v>
      </c>
      <c r="W332" s="203" t="s">
        <v>5104</v>
      </c>
      <c r="X332" s="204" t="s">
        <v>5185</v>
      </c>
      <c r="Y332" s="206">
        <v>3160</v>
      </c>
      <c r="Z332" s="207">
        <v>20000</v>
      </c>
      <c r="AA332" s="207">
        <f t="shared" si="83"/>
        <v>38600000</v>
      </c>
      <c r="AB332" s="157">
        <v>20000</v>
      </c>
      <c r="AC332" s="158">
        <f t="shared" si="81"/>
        <v>20000</v>
      </c>
      <c r="AD332" s="159">
        <f t="shared" si="84"/>
        <v>0</v>
      </c>
      <c r="AE332" s="160"/>
      <c r="AF332" s="160">
        <f t="shared" si="85"/>
        <v>0</v>
      </c>
      <c r="AG332" s="165"/>
      <c r="AH332" s="161">
        <f t="shared" si="86"/>
        <v>0</v>
      </c>
      <c r="AI332" s="162"/>
      <c r="AJ332" s="162">
        <f t="shared" si="87"/>
        <v>0</v>
      </c>
      <c r="AK332" s="164"/>
      <c r="AL332" s="164">
        <f t="shared" si="88"/>
        <v>0</v>
      </c>
      <c r="AM332" s="165"/>
      <c r="AN332" s="165">
        <f t="shared" si="89"/>
        <v>0</v>
      </c>
      <c r="AO332" s="166">
        <v>0</v>
      </c>
      <c r="AP332" s="166">
        <f t="shared" si="90"/>
        <v>0</v>
      </c>
      <c r="AQ332" s="162"/>
      <c r="AR332" s="162">
        <f t="shared" si="91"/>
        <v>0</v>
      </c>
      <c r="AS332" s="173"/>
      <c r="AT332" s="167">
        <f t="shared" si="92"/>
        <v>0</v>
      </c>
      <c r="AU332" s="163"/>
      <c r="AV332" s="163">
        <f t="shared" si="93"/>
        <v>0</v>
      </c>
      <c r="AW332" s="168"/>
      <c r="AX332" s="168">
        <f t="shared" si="94"/>
        <v>0</v>
      </c>
      <c r="AY332" s="170"/>
      <c r="AZ332" s="170">
        <f t="shared" si="95"/>
        <v>0</v>
      </c>
      <c r="BA332" s="166"/>
      <c r="BB332" s="166">
        <f t="shared" si="96"/>
        <v>0</v>
      </c>
    </row>
    <row r="333" spans="1:54" s="131" customFormat="1" ht="31.5">
      <c r="A333" s="172" t="s">
        <v>6474</v>
      </c>
      <c r="B333" s="203" t="s">
        <v>1352</v>
      </c>
      <c r="C333" s="203"/>
      <c r="D333" s="203"/>
      <c r="E333" s="203" t="s">
        <v>1798</v>
      </c>
      <c r="F333" s="205" t="s">
        <v>6475</v>
      </c>
      <c r="G333" s="205" t="s">
        <v>6011</v>
      </c>
      <c r="H333" s="204" t="s">
        <v>327</v>
      </c>
      <c r="I333" s="204" t="s">
        <v>11</v>
      </c>
      <c r="J333" s="205" t="s">
        <v>6009</v>
      </c>
      <c r="K333" s="206">
        <v>6279</v>
      </c>
      <c r="L333" s="206"/>
      <c r="M333" s="159">
        <f t="shared" si="82"/>
        <v>0</v>
      </c>
      <c r="N333" s="159"/>
      <c r="O333" s="159"/>
      <c r="P333" s="159"/>
      <c r="Q333" s="159"/>
      <c r="R333" s="159"/>
      <c r="S333" s="150" t="s">
        <v>5270</v>
      </c>
      <c r="T333" s="150" t="s">
        <v>5271</v>
      </c>
      <c r="U333" s="202" t="s">
        <v>4141</v>
      </c>
      <c r="V333" s="204">
        <v>1</v>
      </c>
      <c r="W333" s="203" t="s">
        <v>5104</v>
      </c>
      <c r="X333" s="204" t="s">
        <v>6012</v>
      </c>
      <c r="Y333" s="206">
        <v>6300</v>
      </c>
      <c r="Z333" s="207">
        <v>30000</v>
      </c>
      <c r="AA333" s="207">
        <f t="shared" si="83"/>
        <v>188370000</v>
      </c>
      <c r="AB333" s="157">
        <v>30000</v>
      </c>
      <c r="AC333" s="158">
        <f t="shared" si="81"/>
        <v>30000</v>
      </c>
      <c r="AD333" s="159">
        <f t="shared" si="84"/>
        <v>0</v>
      </c>
      <c r="AE333" s="160"/>
      <c r="AF333" s="160">
        <f t="shared" si="85"/>
        <v>0</v>
      </c>
      <c r="AG333" s="165"/>
      <c r="AH333" s="161">
        <f t="shared" si="86"/>
        <v>0</v>
      </c>
      <c r="AI333" s="162"/>
      <c r="AJ333" s="162">
        <f t="shared" si="87"/>
        <v>0</v>
      </c>
      <c r="AK333" s="164"/>
      <c r="AL333" s="164">
        <f t="shared" si="88"/>
        <v>0</v>
      </c>
      <c r="AM333" s="165"/>
      <c r="AN333" s="165">
        <f t="shared" si="89"/>
        <v>0</v>
      </c>
      <c r="AO333" s="166">
        <v>0</v>
      </c>
      <c r="AP333" s="166">
        <f t="shared" si="90"/>
        <v>0</v>
      </c>
      <c r="AQ333" s="162"/>
      <c r="AR333" s="162">
        <f t="shared" si="91"/>
        <v>0</v>
      </c>
      <c r="AS333" s="173"/>
      <c r="AT333" s="167">
        <f t="shared" si="92"/>
        <v>0</v>
      </c>
      <c r="AU333" s="163"/>
      <c r="AV333" s="163">
        <f t="shared" si="93"/>
        <v>0</v>
      </c>
      <c r="AW333" s="168"/>
      <c r="AX333" s="168">
        <f t="shared" si="94"/>
        <v>0</v>
      </c>
      <c r="AY333" s="170"/>
      <c r="AZ333" s="170">
        <f t="shared" si="95"/>
        <v>0</v>
      </c>
      <c r="BA333" s="166"/>
      <c r="BB333" s="166">
        <f t="shared" si="96"/>
        <v>0</v>
      </c>
    </row>
    <row r="334" spans="1:54" s="131" customFormat="1" ht="31.5">
      <c r="A334" s="148" t="s">
        <v>6476</v>
      </c>
      <c r="B334" s="203" t="s">
        <v>713</v>
      </c>
      <c r="C334" s="203"/>
      <c r="D334" s="203"/>
      <c r="E334" s="203" t="s">
        <v>714</v>
      </c>
      <c r="F334" s="205" t="s">
        <v>717</v>
      </c>
      <c r="G334" s="205" t="s">
        <v>5833</v>
      </c>
      <c r="H334" s="204" t="s">
        <v>1767</v>
      </c>
      <c r="I334" s="204" t="s">
        <v>520</v>
      </c>
      <c r="J334" s="205" t="s">
        <v>5898</v>
      </c>
      <c r="K334" s="206">
        <v>7707</v>
      </c>
      <c r="L334" s="206"/>
      <c r="M334" s="159">
        <f t="shared" si="82"/>
        <v>20</v>
      </c>
      <c r="N334" s="159"/>
      <c r="O334" s="159"/>
      <c r="P334" s="159"/>
      <c r="Q334" s="159"/>
      <c r="R334" s="159"/>
      <c r="S334" s="149" t="s">
        <v>5830</v>
      </c>
      <c r="T334" s="149" t="s">
        <v>5831</v>
      </c>
      <c r="U334" s="202" t="s">
        <v>4961</v>
      </c>
      <c r="V334" s="204">
        <v>1</v>
      </c>
      <c r="W334" s="203" t="s">
        <v>253</v>
      </c>
      <c r="X334" s="204" t="s">
        <v>5185</v>
      </c>
      <c r="Y334" s="206">
        <v>7720</v>
      </c>
      <c r="Z334" s="207">
        <v>300</v>
      </c>
      <c r="AA334" s="207">
        <f t="shared" si="83"/>
        <v>2312100</v>
      </c>
      <c r="AB334" s="157">
        <v>300</v>
      </c>
      <c r="AC334" s="158">
        <f t="shared" si="81"/>
        <v>280</v>
      </c>
      <c r="AD334" s="159">
        <f t="shared" si="84"/>
        <v>154140</v>
      </c>
      <c r="AE334" s="160"/>
      <c r="AF334" s="160">
        <f t="shared" si="85"/>
        <v>0</v>
      </c>
      <c r="AG334" s="165"/>
      <c r="AH334" s="161">
        <f t="shared" si="86"/>
        <v>0</v>
      </c>
      <c r="AI334" s="162"/>
      <c r="AJ334" s="162">
        <f t="shared" si="87"/>
        <v>0</v>
      </c>
      <c r="AK334" s="163"/>
      <c r="AL334" s="164">
        <f t="shared" si="88"/>
        <v>0</v>
      </c>
      <c r="AM334" s="161">
        <v>20</v>
      </c>
      <c r="AN334" s="165">
        <f t="shared" si="89"/>
        <v>154140</v>
      </c>
      <c r="AO334" s="160">
        <v>0</v>
      </c>
      <c r="AP334" s="166">
        <f t="shared" si="90"/>
        <v>0</v>
      </c>
      <c r="AQ334" s="162"/>
      <c r="AR334" s="162">
        <f t="shared" si="91"/>
        <v>0</v>
      </c>
      <c r="AS334" s="173"/>
      <c r="AT334" s="167">
        <f t="shared" si="92"/>
        <v>0</v>
      </c>
      <c r="AU334" s="163"/>
      <c r="AV334" s="163">
        <f t="shared" si="93"/>
        <v>0</v>
      </c>
      <c r="AW334" s="162"/>
      <c r="AX334" s="168">
        <f t="shared" si="94"/>
        <v>0</v>
      </c>
      <c r="AY334" s="169"/>
      <c r="AZ334" s="170">
        <f t="shared" si="95"/>
        <v>0</v>
      </c>
      <c r="BA334" s="160"/>
      <c r="BB334" s="166">
        <f t="shared" si="96"/>
        <v>0</v>
      </c>
    </row>
    <row r="335" spans="1:54" s="131" customFormat="1" ht="31.5">
      <c r="A335" s="148" t="s">
        <v>6477</v>
      </c>
      <c r="B335" s="203" t="s">
        <v>713</v>
      </c>
      <c r="C335" s="203"/>
      <c r="D335" s="203"/>
      <c r="E335" s="203" t="s">
        <v>4965</v>
      </c>
      <c r="F335" s="205" t="s">
        <v>6479</v>
      </c>
      <c r="G335" s="205" t="s">
        <v>245</v>
      </c>
      <c r="H335" s="204" t="s">
        <v>327</v>
      </c>
      <c r="I335" s="204" t="s">
        <v>11</v>
      </c>
      <c r="J335" s="205" t="s">
        <v>6478</v>
      </c>
      <c r="K335" s="206">
        <v>630</v>
      </c>
      <c r="L335" s="206"/>
      <c r="M335" s="159">
        <f t="shared" si="82"/>
        <v>3100</v>
      </c>
      <c r="N335" s="159"/>
      <c r="O335" s="159"/>
      <c r="P335" s="159"/>
      <c r="Q335" s="159"/>
      <c r="R335" s="159"/>
      <c r="S335" s="150" t="s">
        <v>5162</v>
      </c>
      <c r="T335" s="150" t="s">
        <v>5163</v>
      </c>
      <c r="U335" s="202" t="s">
        <v>4964</v>
      </c>
      <c r="V335" s="204">
        <v>1</v>
      </c>
      <c r="W335" s="203" t="s">
        <v>5108</v>
      </c>
      <c r="X335" s="204" t="s">
        <v>5156</v>
      </c>
      <c r="Y335" s="206">
        <v>647</v>
      </c>
      <c r="Z335" s="207">
        <v>10000</v>
      </c>
      <c r="AA335" s="207">
        <f t="shared" si="83"/>
        <v>6300000</v>
      </c>
      <c r="AB335" s="157">
        <v>10000</v>
      </c>
      <c r="AC335" s="158">
        <f t="shared" si="81"/>
        <v>6900</v>
      </c>
      <c r="AD335" s="159">
        <f t="shared" si="84"/>
        <v>1953000</v>
      </c>
      <c r="AE335" s="160"/>
      <c r="AF335" s="160">
        <f t="shared" si="85"/>
        <v>0</v>
      </c>
      <c r="AG335" s="165"/>
      <c r="AH335" s="161">
        <f t="shared" si="86"/>
        <v>0</v>
      </c>
      <c r="AI335" s="162"/>
      <c r="AJ335" s="162">
        <f t="shared" si="87"/>
        <v>0</v>
      </c>
      <c r="AK335" s="164">
        <v>3100</v>
      </c>
      <c r="AL335" s="164">
        <f t="shared" si="88"/>
        <v>1953000</v>
      </c>
      <c r="AM335" s="165"/>
      <c r="AN335" s="165">
        <f t="shared" si="89"/>
        <v>0</v>
      </c>
      <c r="AO335" s="166">
        <v>0</v>
      </c>
      <c r="AP335" s="166">
        <f t="shared" si="90"/>
        <v>0</v>
      </c>
      <c r="AQ335" s="162"/>
      <c r="AR335" s="162">
        <f t="shared" si="91"/>
        <v>0</v>
      </c>
      <c r="AS335" s="173"/>
      <c r="AT335" s="167">
        <f t="shared" si="92"/>
        <v>0</v>
      </c>
      <c r="AU335" s="163"/>
      <c r="AV335" s="163">
        <f t="shared" si="93"/>
        <v>0</v>
      </c>
      <c r="AW335" s="168"/>
      <c r="AX335" s="168">
        <f t="shared" si="94"/>
        <v>0</v>
      </c>
      <c r="AY335" s="170"/>
      <c r="AZ335" s="170">
        <f t="shared" si="95"/>
        <v>0</v>
      </c>
      <c r="BA335" s="166"/>
      <c r="BB335" s="166">
        <f t="shared" si="96"/>
        <v>0</v>
      </c>
    </row>
    <row r="336" spans="1:54" s="131" customFormat="1" ht="31.5">
      <c r="A336" s="172" t="s">
        <v>6480</v>
      </c>
      <c r="B336" s="203" t="s">
        <v>792</v>
      </c>
      <c r="C336" s="203"/>
      <c r="D336" s="203"/>
      <c r="E336" s="203" t="s">
        <v>793</v>
      </c>
      <c r="F336" s="205" t="s">
        <v>795</v>
      </c>
      <c r="G336" s="205" t="s">
        <v>505</v>
      </c>
      <c r="H336" s="204" t="s">
        <v>794</v>
      </c>
      <c r="I336" s="204" t="s">
        <v>520</v>
      </c>
      <c r="J336" s="205" t="s">
        <v>6481</v>
      </c>
      <c r="K336" s="206">
        <v>13520</v>
      </c>
      <c r="L336" s="206"/>
      <c r="M336" s="159">
        <f t="shared" si="82"/>
        <v>200</v>
      </c>
      <c r="N336" s="159"/>
      <c r="O336" s="159"/>
      <c r="P336" s="159"/>
      <c r="Q336" s="159"/>
      <c r="R336" s="159"/>
      <c r="S336" s="150" t="s">
        <v>5250</v>
      </c>
      <c r="T336" s="150" t="s">
        <v>5251</v>
      </c>
      <c r="U336" s="202" t="s">
        <v>4254</v>
      </c>
      <c r="V336" s="204">
        <v>1</v>
      </c>
      <c r="W336" s="203" t="s">
        <v>5108</v>
      </c>
      <c r="X336" s="204" t="s">
        <v>5156</v>
      </c>
      <c r="Y336" s="206">
        <v>15000</v>
      </c>
      <c r="Z336" s="207">
        <v>3000</v>
      </c>
      <c r="AA336" s="207">
        <f t="shared" si="83"/>
        <v>40560000</v>
      </c>
      <c r="AB336" s="157">
        <v>3000</v>
      </c>
      <c r="AC336" s="158">
        <f t="shared" si="81"/>
        <v>2800</v>
      </c>
      <c r="AD336" s="159">
        <f t="shared" si="84"/>
        <v>2704000</v>
      </c>
      <c r="AE336" s="160"/>
      <c r="AF336" s="160">
        <f t="shared" si="85"/>
        <v>0</v>
      </c>
      <c r="AG336" s="165"/>
      <c r="AH336" s="161">
        <f t="shared" si="86"/>
        <v>0</v>
      </c>
      <c r="AI336" s="162"/>
      <c r="AJ336" s="162">
        <f t="shared" si="87"/>
        <v>0</v>
      </c>
      <c r="AK336" s="164"/>
      <c r="AL336" s="164">
        <f t="shared" si="88"/>
        <v>0</v>
      </c>
      <c r="AM336" s="165"/>
      <c r="AN336" s="165">
        <f t="shared" si="89"/>
        <v>0</v>
      </c>
      <c r="AO336" s="166">
        <v>0</v>
      </c>
      <c r="AP336" s="166">
        <f t="shared" si="90"/>
        <v>0</v>
      </c>
      <c r="AQ336" s="162"/>
      <c r="AR336" s="162">
        <f t="shared" si="91"/>
        <v>0</v>
      </c>
      <c r="AS336" s="173">
        <v>200</v>
      </c>
      <c r="AT336" s="167">
        <f t="shared" si="92"/>
        <v>2704000</v>
      </c>
      <c r="AU336" s="163"/>
      <c r="AV336" s="163">
        <f t="shared" si="93"/>
        <v>0</v>
      </c>
      <c r="AW336" s="168"/>
      <c r="AX336" s="168">
        <f t="shared" si="94"/>
        <v>0</v>
      </c>
      <c r="AY336" s="170"/>
      <c r="AZ336" s="170">
        <f t="shared" si="95"/>
        <v>0</v>
      </c>
      <c r="BA336" s="166"/>
      <c r="BB336" s="166">
        <f t="shared" si="96"/>
        <v>0</v>
      </c>
    </row>
    <row r="337" spans="1:54" s="131" customFormat="1" ht="31.5">
      <c r="A337" s="148" t="s">
        <v>6482</v>
      </c>
      <c r="B337" s="203" t="s">
        <v>4993</v>
      </c>
      <c r="C337" s="203"/>
      <c r="D337" s="203"/>
      <c r="E337" s="203" t="s">
        <v>1471</v>
      </c>
      <c r="F337" s="205" t="s">
        <v>6484</v>
      </c>
      <c r="G337" s="205" t="s">
        <v>357</v>
      </c>
      <c r="H337" s="204" t="s">
        <v>1472</v>
      </c>
      <c r="I337" s="204" t="s">
        <v>520</v>
      </c>
      <c r="J337" s="205" t="s">
        <v>6483</v>
      </c>
      <c r="K337" s="206">
        <v>13300</v>
      </c>
      <c r="L337" s="206"/>
      <c r="M337" s="159">
        <f t="shared" si="82"/>
        <v>0</v>
      </c>
      <c r="N337" s="159"/>
      <c r="O337" s="159"/>
      <c r="P337" s="159"/>
      <c r="Q337" s="159"/>
      <c r="R337" s="159"/>
      <c r="S337" s="149" t="s">
        <v>6351</v>
      </c>
      <c r="T337" s="149" t="s">
        <v>6352</v>
      </c>
      <c r="U337" s="202" t="s">
        <v>5018</v>
      </c>
      <c r="V337" s="204">
        <v>2</v>
      </c>
      <c r="W337" s="203" t="s">
        <v>5104</v>
      </c>
      <c r="X337" s="204" t="s">
        <v>5296</v>
      </c>
      <c r="Y337" s="206">
        <v>14900</v>
      </c>
      <c r="Z337" s="207">
        <v>1000</v>
      </c>
      <c r="AA337" s="207">
        <f t="shared" si="83"/>
        <v>13300000</v>
      </c>
      <c r="AB337" s="157">
        <v>1000</v>
      </c>
      <c r="AC337" s="158">
        <f t="shared" si="81"/>
        <v>1000</v>
      </c>
      <c r="AD337" s="159">
        <f t="shared" si="84"/>
        <v>0</v>
      </c>
      <c r="AE337" s="160"/>
      <c r="AF337" s="160">
        <f t="shared" si="85"/>
        <v>0</v>
      </c>
      <c r="AG337" s="165"/>
      <c r="AH337" s="161">
        <f t="shared" si="86"/>
        <v>0</v>
      </c>
      <c r="AI337" s="162"/>
      <c r="AJ337" s="162">
        <f t="shared" si="87"/>
        <v>0</v>
      </c>
      <c r="AK337" s="164"/>
      <c r="AL337" s="164">
        <f t="shared" si="88"/>
        <v>0</v>
      </c>
      <c r="AM337" s="165"/>
      <c r="AN337" s="165">
        <f t="shared" si="89"/>
        <v>0</v>
      </c>
      <c r="AO337" s="166">
        <v>0</v>
      </c>
      <c r="AP337" s="166">
        <f t="shared" si="90"/>
        <v>0</v>
      </c>
      <c r="AQ337" s="162"/>
      <c r="AR337" s="162">
        <f t="shared" si="91"/>
        <v>0</v>
      </c>
      <c r="AS337" s="173"/>
      <c r="AT337" s="167">
        <f t="shared" si="92"/>
        <v>0</v>
      </c>
      <c r="AU337" s="163"/>
      <c r="AV337" s="163">
        <f t="shared" si="93"/>
        <v>0</v>
      </c>
      <c r="AW337" s="168"/>
      <c r="AX337" s="168">
        <f t="shared" si="94"/>
        <v>0</v>
      </c>
      <c r="AY337" s="170"/>
      <c r="AZ337" s="170">
        <f t="shared" si="95"/>
        <v>0</v>
      </c>
      <c r="BA337" s="166"/>
      <c r="BB337" s="166">
        <f t="shared" si="96"/>
        <v>0</v>
      </c>
    </row>
    <row r="338" spans="1:54" s="131" customFormat="1" ht="112.5">
      <c r="A338" s="148" t="s">
        <v>6485</v>
      </c>
      <c r="B338" s="203" t="s">
        <v>1241</v>
      </c>
      <c r="C338" s="203"/>
      <c r="D338" s="203"/>
      <c r="E338" s="203" t="s">
        <v>6487</v>
      </c>
      <c r="F338" s="205" t="s">
        <v>6489</v>
      </c>
      <c r="G338" s="205" t="s">
        <v>6102</v>
      </c>
      <c r="H338" s="204" t="s">
        <v>390</v>
      </c>
      <c r="I338" s="204" t="s">
        <v>11</v>
      </c>
      <c r="J338" s="205" t="s">
        <v>6488</v>
      </c>
      <c r="K338" s="206">
        <v>1400</v>
      </c>
      <c r="L338" s="206"/>
      <c r="M338" s="159">
        <f t="shared" si="82"/>
        <v>0</v>
      </c>
      <c r="N338" s="159"/>
      <c r="O338" s="159"/>
      <c r="P338" s="159"/>
      <c r="Q338" s="159"/>
      <c r="R338" s="159"/>
      <c r="S338" s="209" t="s">
        <v>5848</v>
      </c>
      <c r="T338" s="203" t="s">
        <v>5849</v>
      </c>
      <c r="U338" s="202" t="s">
        <v>6486</v>
      </c>
      <c r="V338" s="204">
        <v>2</v>
      </c>
      <c r="W338" s="203" t="s">
        <v>253</v>
      </c>
      <c r="X338" s="204" t="s">
        <v>213</v>
      </c>
      <c r="Y338" s="206">
        <v>4000</v>
      </c>
      <c r="Z338" s="207">
        <v>20000</v>
      </c>
      <c r="AA338" s="207">
        <f t="shared" si="83"/>
        <v>28000000</v>
      </c>
      <c r="AB338" s="157">
        <v>20000</v>
      </c>
      <c r="AC338" s="158">
        <f t="shared" si="81"/>
        <v>20000</v>
      </c>
      <c r="AD338" s="159">
        <f t="shared" si="84"/>
        <v>0</v>
      </c>
      <c r="AE338" s="160"/>
      <c r="AF338" s="160">
        <f t="shared" si="85"/>
        <v>0</v>
      </c>
      <c r="AG338" s="165"/>
      <c r="AH338" s="161">
        <f t="shared" si="86"/>
        <v>0</v>
      </c>
      <c r="AI338" s="162"/>
      <c r="AJ338" s="162">
        <f t="shared" si="87"/>
        <v>0</v>
      </c>
      <c r="AK338" s="164"/>
      <c r="AL338" s="164">
        <f t="shared" si="88"/>
        <v>0</v>
      </c>
      <c r="AM338" s="165"/>
      <c r="AN338" s="165">
        <f t="shared" si="89"/>
        <v>0</v>
      </c>
      <c r="AO338" s="166">
        <v>0</v>
      </c>
      <c r="AP338" s="166">
        <f t="shared" si="90"/>
        <v>0</v>
      </c>
      <c r="AQ338" s="162"/>
      <c r="AR338" s="162">
        <f t="shared" si="91"/>
        <v>0</v>
      </c>
      <c r="AS338" s="173"/>
      <c r="AT338" s="167">
        <f t="shared" si="92"/>
        <v>0</v>
      </c>
      <c r="AU338" s="163"/>
      <c r="AV338" s="163">
        <f t="shared" si="93"/>
        <v>0</v>
      </c>
      <c r="AW338" s="168"/>
      <c r="AX338" s="168">
        <f t="shared" si="94"/>
        <v>0</v>
      </c>
      <c r="AY338" s="170"/>
      <c r="AZ338" s="170">
        <f t="shared" si="95"/>
        <v>0</v>
      </c>
      <c r="BA338" s="166"/>
      <c r="BB338" s="166">
        <f t="shared" si="96"/>
        <v>0</v>
      </c>
    </row>
    <row r="339" spans="1:54" s="131" customFormat="1" ht="112.5">
      <c r="A339" s="172" t="s">
        <v>6490</v>
      </c>
      <c r="B339" s="203" t="s">
        <v>1241</v>
      </c>
      <c r="C339" s="203"/>
      <c r="D339" s="203"/>
      <c r="E339" s="203" t="s">
        <v>6491</v>
      </c>
      <c r="F339" s="205" t="s">
        <v>6492</v>
      </c>
      <c r="G339" s="205" t="s">
        <v>6493</v>
      </c>
      <c r="H339" s="204" t="s">
        <v>327</v>
      </c>
      <c r="I339" s="204" t="s">
        <v>11</v>
      </c>
      <c r="J339" s="205" t="s">
        <v>6488</v>
      </c>
      <c r="K339" s="206">
        <v>1500</v>
      </c>
      <c r="L339" s="206"/>
      <c r="M339" s="159">
        <f t="shared" si="82"/>
        <v>0</v>
      </c>
      <c r="N339" s="159"/>
      <c r="O339" s="159"/>
      <c r="P339" s="159"/>
      <c r="Q339" s="159"/>
      <c r="R339" s="159"/>
      <c r="S339" s="209" t="s">
        <v>5848</v>
      </c>
      <c r="T339" s="203" t="s">
        <v>5849</v>
      </c>
      <c r="U339" s="202" t="s">
        <v>4061</v>
      </c>
      <c r="V339" s="204">
        <v>2</v>
      </c>
      <c r="W339" s="203" t="s">
        <v>253</v>
      </c>
      <c r="X339" s="204" t="s">
        <v>5273</v>
      </c>
      <c r="Y339" s="206">
        <v>5500</v>
      </c>
      <c r="Z339" s="207">
        <v>20000</v>
      </c>
      <c r="AA339" s="207">
        <f t="shared" si="83"/>
        <v>30000000</v>
      </c>
      <c r="AB339" s="157">
        <v>20000</v>
      </c>
      <c r="AC339" s="158">
        <f t="shared" si="81"/>
        <v>20000</v>
      </c>
      <c r="AD339" s="159">
        <f t="shared" si="84"/>
        <v>0</v>
      </c>
      <c r="AE339" s="160"/>
      <c r="AF339" s="160">
        <f t="shared" si="85"/>
        <v>0</v>
      </c>
      <c r="AG339" s="165"/>
      <c r="AH339" s="161">
        <f t="shared" si="86"/>
        <v>0</v>
      </c>
      <c r="AI339" s="162"/>
      <c r="AJ339" s="162">
        <f t="shared" si="87"/>
        <v>0</v>
      </c>
      <c r="AK339" s="164"/>
      <c r="AL339" s="164">
        <f t="shared" si="88"/>
        <v>0</v>
      </c>
      <c r="AM339" s="165"/>
      <c r="AN339" s="165">
        <f t="shared" si="89"/>
        <v>0</v>
      </c>
      <c r="AO339" s="166">
        <v>0</v>
      </c>
      <c r="AP339" s="166">
        <f t="shared" si="90"/>
        <v>0</v>
      </c>
      <c r="AQ339" s="162"/>
      <c r="AR339" s="162">
        <f t="shared" si="91"/>
        <v>0</v>
      </c>
      <c r="AS339" s="173"/>
      <c r="AT339" s="167">
        <f t="shared" si="92"/>
        <v>0</v>
      </c>
      <c r="AU339" s="163"/>
      <c r="AV339" s="163">
        <f t="shared" si="93"/>
        <v>0</v>
      </c>
      <c r="AW339" s="168"/>
      <c r="AX339" s="168">
        <f t="shared" si="94"/>
        <v>0</v>
      </c>
      <c r="AY339" s="170"/>
      <c r="AZ339" s="170">
        <f t="shared" si="95"/>
        <v>0</v>
      </c>
      <c r="BA339" s="166"/>
      <c r="BB339" s="166">
        <f t="shared" si="96"/>
        <v>0</v>
      </c>
    </row>
    <row r="340" spans="1:54" s="131" customFormat="1" ht="31.5">
      <c r="A340" s="148" t="s">
        <v>6494</v>
      </c>
      <c r="B340" s="203" t="s">
        <v>1241</v>
      </c>
      <c r="C340" s="203"/>
      <c r="D340" s="203"/>
      <c r="E340" s="203" t="s">
        <v>6495</v>
      </c>
      <c r="F340" s="205" t="s">
        <v>6496</v>
      </c>
      <c r="G340" s="205" t="s">
        <v>1765</v>
      </c>
      <c r="H340" s="204" t="s">
        <v>238</v>
      </c>
      <c r="I340" s="204" t="s">
        <v>11</v>
      </c>
      <c r="J340" s="205" t="s">
        <v>6009</v>
      </c>
      <c r="K340" s="206">
        <v>1250</v>
      </c>
      <c r="L340" s="206"/>
      <c r="M340" s="159">
        <f t="shared" si="82"/>
        <v>0</v>
      </c>
      <c r="N340" s="159"/>
      <c r="O340" s="159"/>
      <c r="P340" s="159"/>
      <c r="Q340" s="159"/>
      <c r="R340" s="159"/>
      <c r="S340" s="149" t="s">
        <v>5830</v>
      </c>
      <c r="T340" s="149" t="s">
        <v>5831</v>
      </c>
      <c r="U340" s="202" t="s">
        <v>4062</v>
      </c>
      <c r="V340" s="204">
        <v>2</v>
      </c>
      <c r="W340" s="203" t="s">
        <v>253</v>
      </c>
      <c r="X340" s="204" t="s">
        <v>5605</v>
      </c>
      <c r="Y340" s="206">
        <v>6000</v>
      </c>
      <c r="Z340" s="207">
        <v>10000</v>
      </c>
      <c r="AA340" s="207">
        <f t="shared" si="83"/>
        <v>12500000</v>
      </c>
      <c r="AB340" s="157">
        <v>10000</v>
      </c>
      <c r="AC340" s="158">
        <f t="shared" si="81"/>
        <v>10000</v>
      </c>
      <c r="AD340" s="159">
        <f t="shared" si="84"/>
        <v>0</v>
      </c>
      <c r="AE340" s="160"/>
      <c r="AF340" s="160">
        <f t="shared" si="85"/>
        <v>0</v>
      </c>
      <c r="AG340" s="165"/>
      <c r="AH340" s="161">
        <f t="shared" si="86"/>
        <v>0</v>
      </c>
      <c r="AI340" s="162"/>
      <c r="AJ340" s="162">
        <f t="shared" si="87"/>
        <v>0</v>
      </c>
      <c r="AK340" s="164"/>
      <c r="AL340" s="164">
        <f t="shared" si="88"/>
        <v>0</v>
      </c>
      <c r="AM340" s="165"/>
      <c r="AN340" s="165">
        <f t="shared" si="89"/>
        <v>0</v>
      </c>
      <c r="AO340" s="166">
        <v>0</v>
      </c>
      <c r="AP340" s="166">
        <f t="shared" si="90"/>
        <v>0</v>
      </c>
      <c r="AQ340" s="162"/>
      <c r="AR340" s="162">
        <f t="shared" si="91"/>
        <v>0</v>
      </c>
      <c r="AS340" s="173"/>
      <c r="AT340" s="167">
        <f t="shared" si="92"/>
        <v>0</v>
      </c>
      <c r="AU340" s="163"/>
      <c r="AV340" s="163">
        <f t="shared" si="93"/>
        <v>0</v>
      </c>
      <c r="AW340" s="168"/>
      <c r="AX340" s="168">
        <f t="shared" si="94"/>
        <v>0</v>
      </c>
      <c r="AY340" s="170"/>
      <c r="AZ340" s="170">
        <f t="shared" si="95"/>
        <v>0</v>
      </c>
      <c r="BA340" s="166"/>
      <c r="BB340" s="166">
        <f t="shared" si="96"/>
        <v>0</v>
      </c>
    </row>
    <row r="341" spans="1:54" s="131" customFormat="1" ht="47.25">
      <c r="A341" s="148" t="s">
        <v>6497</v>
      </c>
      <c r="B341" s="203" t="s">
        <v>4371</v>
      </c>
      <c r="C341" s="203"/>
      <c r="D341" s="203"/>
      <c r="E341" s="203" t="s">
        <v>4370</v>
      </c>
      <c r="F341" s="205" t="s">
        <v>5763</v>
      </c>
      <c r="G341" s="205" t="s">
        <v>2042</v>
      </c>
      <c r="H341" s="204" t="s">
        <v>258</v>
      </c>
      <c r="I341" s="204" t="s">
        <v>11</v>
      </c>
      <c r="J341" s="205" t="s">
        <v>5762</v>
      </c>
      <c r="K341" s="206">
        <v>1636</v>
      </c>
      <c r="L341" s="206"/>
      <c r="M341" s="159">
        <f t="shared" si="82"/>
        <v>0</v>
      </c>
      <c r="N341" s="159"/>
      <c r="O341" s="159"/>
      <c r="P341" s="159"/>
      <c r="Q341" s="159"/>
      <c r="R341" s="159"/>
      <c r="S341" s="150" t="s">
        <v>5118</v>
      </c>
      <c r="T341" s="150" t="s">
        <v>5119</v>
      </c>
      <c r="U341" s="202" t="s">
        <v>6498</v>
      </c>
      <c r="V341" s="204">
        <v>2</v>
      </c>
      <c r="W341" s="203" t="s">
        <v>5104</v>
      </c>
      <c r="X341" s="204" t="s">
        <v>5116</v>
      </c>
      <c r="Y341" s="206">
        <v>1783</v>
      </c>
      <c r="Z341" s="207">
        <v>70000</v>
      </c>
      <c r="AA341" s="207">
        <f t="shared" si="83"/>
        <v>114520000</v>
      </c>
      <c r="AB341" s="157">
        <v>70000</v>
      </c>
      <c r="AC341" s="158">
        <f t="shared" si="81"/>
        <v>70000</v>
      </c>
      <c r="AD341" s="159">
        <f t="shared" si="84"/>
        <v>0</v>
      </c>
      <c r="AE341" s="160"/>
      <c r="AF341" s="160">
        <f t="shared" si="85"/>
        <v>0</v>
      </c>
      <c r="AG341" s="165"/>
      <c r="AH341" s="161">
        <f t="shared" si="86"/>
        <v>0</v>
      </c>
      <c r="AI341" s="162"/>
      <c r="AJ341" s="162">
        <f t="shared" si="87"/>
        <v>0</v>
      </c>
      <c r="AK341" s="164"/>
      <c r="AL341" s="164">
        <f t="shared" si="88"/>
        <v>0</v>
      </c>
      <c r="AM341" s="165"/>
      <c r="AN341" s="165">
        <f t="shared" si="89"/>
        <v>0</v>
      </c>
      <c r="AO341" s="166">
        <v>0</v>
      </c>
      <c r="AP341" s="166">
        <f t="shared" si="90"/>
        <v>0</v>
      </c>
      <c r="AQ341" s="162"/>
      <c r="AR341" s="162">
        <f t="shared" si="91"/>
        <v>0</v>
      </c>
      <c r="AS341" s="173"/>
      <c r="AT341" s="167">
        <f t="shared" si="92"/>
        <v>0</v>
      </c>
      <c r="AU341" s="163"/>
      <c r="AV341" s="163">
        <f t="shared" si="93"/>
        <v>0</v>
      </c>
      <c r="AW341" s="168"/>
      <c r="AX341" s="168">
        <f t="shared" si="94"/>
        <v>0</v>
      </c>
      <c r="AY341" s="170"/>
      <c r="AZ341" s="170">
        <f t="shared" si="95"/>
        <v>0</v>
      </c>
      <c r="BA341" s="166"/>
      <c r="BB341" s="166">
        <f t="shared" si="96"/>
        <v>0</v>
      </c>
    </row>
    <row r="342" spans="1:54" s="131" customFormat="1" ht="31.5">
      <c r="A342" s="172" t="s">
        <v>6499</v>
      </c>
      <c r="B342" s="203" t="s">
        <v>4392</v>
      </c>
      <c r="C342" s="203"/>
      <c r="D342" s="203"/>
      <c r="E342" s="203" t="s">
        <v>6503</v>
      </c>
      <c r="F342" s="205" t="s">
        <v>6505</v>
      </c>
      <c r="G342" s="205" t="s">
        <v>6506</v>
      </c>
      <c r="H342" s="204" t="s">
        <v>291</v>
      </c>
      <c r="I342" s="204" t="s">
        <v>11</v>
      </c>
      <c r="J342" s="205" t="s">
        <v>6504</v>
      </c>
      <c r="K342" s="206">
        <v>1500</v>
      </c>
      <c r="L342" s="206"/>
      <c r="M342" s="159">
        <f t="shared" si="82"/>
        <v>0</v>
      </c>
      <c r="N342" s="159"/>
      <c r="O342" s="159"/>
      <c r="P342" s="159"/>
      <c r="Q342" s="159"/>
      <c r="R342" s="159"/>
      <c r="S342" s="149" t="s">
        <v>6500</v>
      </c>
      <c r="T342" s="149" t="s">
        <v>6501</v>
      </c>
      <c r="U342" s="202" t="s">
        <v>6502</v>
      </c>
      <c r="V342" s="204">
        <v>2</v>
      </c>
      <c r="W342" s="203" t="s">
        <v>5104</v>
      </c>
      <c r="X342" s="204" t="s">
        <v>213</v>
      </c>
      <c r="Y342" s="206">
        <v>1500</v>
      </c>
      <c r="Z342" s="207">
        <v>10000</v>
      </c>
      <c r="AA342" s="207">
        <f t="shared" si="83"/>
        <v>15000000</v>
      </c>
      <c r="AB342" s="157">
        <v>10000</v>
      </c>
      <c r="AC342" s="158">
        <f t="shared" si="81"/>
        <v>10000</v>
      </c>
      <c r="AD342" s="159">
        <f t="shared" si="84"/>
        <v>0</v>
      </c>
      <c r="AE342" s="160"/>
      <c r="AF342" s="160">
        <f t="shared" si="85"/>
        <v>0</v>
      </c>
      <c r="AG342" s="165"/>
      <c r="AH342" s="161">
        <f t="shared" si="86"/>
        <v>0</v>
      </c>
      <c r="AI342" s="162"/>
      <c r="AJ342" s="162">
        <f t="shared" si="87"/>
        <v>0</v>
      </c>
      <c r="AK342" s="164"/>
      <c r="AL342" s="164">
        <f t="shared" si="88"/>
        <v>0</v>
      </c>
      <c r="AM342" s="165"/>
      <c r="AN342" s="165">
        <f t="shared" si="89"/>
        <v>0</v>
      </c>
      <c r="AO342" s="166">
        <v>0</v>
      </c>
      <c r="AP342" s="166">
        <f t="shared" si="90"/>
        <v>0</v>
      </c>
      <c r="AQ342" s="162"/>
      <c r="AR342" s="162">
        <f t="shared" si="91"/>
        <v>0</v>
      </c>
      <c r="AS342" s="173"/>
      <c r="AT342" s="167">
        <f t="shared" si="92"/>
        <v>0</v>
      </c>
      <c r="AU342" s="163"/>
      <c r="AV342" s="163">
        <f t="shared" si="93"/>
        <v>0</v>
      </c>
      <c r="AW342" s="168"/>
      <c r="AX342" s="168">
        <f t="shared" si="94"/>
        <v>0</v>
      </c>
      <c r="AY342" s="170"/>
      <c r="AZ342" s="170">
        <f t="shared" si="95"/>
        <v>0</v>
      </c>
      <c r="BA342" s="166"/>
      <c r="BB342" s="166">
        <f t="shared" si="96"/>
        <v>0</v>
      </c>
    </row>
    <row r="343" spans="1:54" s="131" customFormat="1" ht="112.5">
      <c r="A343" s="148" t="s">
        <v>6507</v>
      </c>
      <c r="B343" s="203" t="s">
        <v>747</v>
      </c>
      <c r="C343" s="203"/>
      <c r="D343" s="203"/>
      <c r="E343" s="203" t="s">
        <v>1068</v>
      </c>
      <c r="F343" s="205" t="s">
        <v>6509</v>
      </c>
      <c r="G343" s="205" t="s">
        <v>6510</v>
      </c>
      <c r="H343" s="204" t="s">
        <v>4449</v>
      </c>
      <c r="I343" s="204" t="s">
        <v>15</v>
      </c>
      <c r="J343" s="205" t="s">
        <v>6508</v>
      </c>
      <c r="K343" s="206">
        <v>8820</v>
      </c>
      <c r="L343" s="206"/>
      <c r="M343" s="159">
        <f t="shared" si="82"/>
        <v>1000</v>
      </c>
      <c r="N343" s="159"/>
      <c r="O343" s="159"/>
      <c r="P343" s="159"/>
      <c r="Q343" s="159"/>
      <c r="R343" s="159"/>
      <c r="S343" s="209" t="s">
        <v>5848</v>
      </c>
      <c r="T343" s="203" t="s">
        <v>5849</v>
      </c>
      <c r="U343" s="202" t="s">
        <v>4442</v>
      </c>
      <c r="V343" s="204">
        <v>2</v>
      </c>
      <c r="W343" s="203" t="s">
        <v>5104</v>
      </c>
      <c r="X343" s="204" t="s">
        <v>213</v>
      </c>
      <c r="Y343" s="206">
        <v>10000</v>
      </c>
      <c r="Z343" s="207">
        <v>10000</v>
      </c>
      <c r="AA343" s="207">
        <f t="shared" si="83"/>
        <v>88200000</v>
      </c>
      <c r="AB343" s="157">
        <v>10000</v>
      </c>
      <c r="AC343" s="158">
        <f t="shared" si="81"/>
        <v>9000</v>
      </c>
      <c r="AD343" s="159">
        <f t="shared" si="84"/>
        <v>8820000</v>
      </c>
      <c r="AE343" s="160"/>
      <c r="AF343" s="160">
        <f t="shared" si="85"/>
        <v>0</v>
      </c>
      <c r="AG343" s="165"/>
      <c r="AH343" s="161">
        <f t="shared" si="86"/>
        <v>0</v>
      </c>
      <c r="AI343" s="162"/>
      <c r="AJ343" s="162">
        <f t="shared" si="87"/>
        <v>0</v>
      </c>
      <c r="AK343" s="164">
        <v>500</v>
      </c>
      <c r="AL343" s="164">
        <f t="shared" si="88"/>
        <v>4410000</v>
      </c>
      <c r="AM343" s="165"/>
      <c r="AN343" s="165">
        <f t="shared" si="89"/>
        <v>0</v>
      </c>
      <c r="AO343" s="166">
        <v>0</v>
      </c>
      <c r="AP343" s="166">
        <f t="shared" si="90"/>
        <v>0</v>
      </c>
      <c r="AQ343" s="162"/>
      <c r="AR343" s="162">
        <f t="shared" si="91"/>
        <v>0</v>
      </c>
      <c r="AS343" s="173">
        <v>500</v>
      </c>
      <c r="AT343" s="167">
        <f t="shared" si="92"/>
        <v>4410000</v>
      </c>
      <c r="AU343" s="163"/>
      <c r="AV343" s="163">
        <f t="shared" si="93"/>
        <v>0</v>
      </c>
      <c r="AW343" s="168"/>
      <c r="AX343" s="168">
        <f t="shared" si="94"/>
        <v>0</v>
      </c>
      <c r="AY343" s="170"/>
      <c r="AZ343" s="170">
        <f t="shared" si="95"/>
        <v>0</v>
      </c>
      <c r="BA343" s="166"/>
      <c r="BB343" s="166">
        <f t="shared" si="96"/>
        <v>0</v>
      </c>
    </row>
    <row r="344" spans="1:54" s="131" customFormat="1" ht="112.5">
      <c r="A344" s="148" t="s">
        <v>6511</v>
      </c>
      <c r="B344" s="203" t="s">
        <v>758</v>
      </c>
      <c r="C344" s="203"/>
      <c r="D344" s="203"/>
      <c r="E344" s="203" t="s">
        <v>2569</v>
      </c>
      <c r="F344" s="205" t="s">
        <v>3332</v>
      </c>
      <c r="G344" s="205" t="s">
        <v>6510</v>
      </c>
      <c r="H344" s="204" t="s">
        <v>759</v>
      </c>
      <c r="I344" s="204" t="s">
        <v>15</v>
      </c>
      <c r="J344" s="205" t="s">
        <v>6508</v>
      </c>
      <c r="K344" s="206">
        <v>8925</v>
      </c>
      <c r="L344" s="206"/>
      <c r="M344" s="159">
        <f t="shared" si="82"/>
        <v>300</v>
      </c>
      <c r="N344" s="159"/>
      <c r="O344" s="159"/>
      <c r="P344" s="159"/>
      <c r="Q344" s="159"/>
      <c r="R344" s="159"/>
      <c r="S344" s="209" t="s">
        <v>5848</v>
      </c>
      <c r="T344" s="203" t="s">
        <v>5849</v>
      </c>
      <c r="U344" s="202" t="s">
        <v>4454</v>
      </c>
      <c r="V344" s="204">
        <v>2</v>
      </c>
      <c r="W344" s="203" t="s">
        <v>5104</v>
      </c>
      <c r="X344" s="204" t="s">
        <v>213</v>
      </c>
      <c r="Y344" s="206">
        <v>10500</v>
      </c>
      <c r="Z344" s="207">
        <v>6000</v>
      </c>
      <c r="AA344" s="207">
        <f t="shared" si="83"/>
        <v>53550000</v>
      </c>
      <c r="AB344" s="157">
        <v>6000</v>
      </c>
      <c r="AC344" s="158">
        <f t="shared" si="81"/>
        <v>5700</v>
      </c>
      <c r="AD344" s="159">
        <f t="shared" si="84"/>
        <v>2677500</v>
      </c>
      <c r="AE344" s="160"/>
      <c r="AF344" s="160">
        <f t="shared" si="85"/>
        <v>0</v>
      </c>
      <c r="AG344" s="165"/>
      <c r="AH344" s="161">
        <f t="shared" si="86"/>
        <v>0</v>
      </c>
      <c r="AI344" s="162"/>
      <c r="AJ344" s="162">
        <f t="shared" si="87"/>
        <v>0</v>
      </c>
      <c r="AK344" s="164"/>
      <c r="AL344" s="164">
        <f t="shared" si="88"/>
        <v>0</v>
      </c>
      <c r="AM344" s="165"/>
      <c r="AN344" s="165">
        <f t="shared" si="89"/>
        <v>0</v>
      </c>
      <c r="AO344" s="166">
        <v>0</v>
      </c>
      <c r="AP344" s="166">
        <f t="shared" si="90"/>
        <v>0</v>
      </c>
      <c r="AQ344" s="162"/>
      <c r="AR344" s="162">
        <f t="shared" si="91"/>
        <v>0</v>
      </c>
      <c r="AS344" s="173">
        <v>300</v>
      </c>
      <c r="AT344" s="167">
        <f t="shared" si="92"/>
        <v>2677500</v>
      </c>
      <c r="AU344" s="163"/>
      <c r="AV344" s="163">
        <f t="shared" si="93"/>
        <v>0</v>
      </c>
      <c r="AW344" s="168"/>
      <c r="AX344" s="168">
        <f t="shared" si="94"/>
        <v>0</v>
      </c>
      <c r="AY344" s="170"/>
      <c r="AZ344" s="170">
        <f t="shared" si="95"/>
        <v>0</v>
      </c>
      <c r="BA344" s="166"/>
      <c r="BB344" s="166">
        <f t="shared" si="96"/>
        <v>0</v>
      </c>
    </row>
    <row r="345" spans="1:54" s="131" customFormat="1" ht="31.5">
      <c r="A345" s="172" t="s">
        <v>6512</v>
      </c>
      <c r="B345" s="203" t="s">
        <v>1514</v>
      </c>
      <c r="C345" s="203"/>
      <c r="D345" s="203"/>
      <c r="E345" s="203" t="s">
        <v>5001</v>
      </c>
      <c r="F345" s="205" t="s">
        <v>6514</v>
      </c>
      <c r="G345" s="205" t="s">
        <v>6515</v>
      </c>
      <c r="H345" s="204" t="s">
        <v>1959</v>
      </c>
      <c r="I345" s="204" t="s">
        <v>11</v>
      </c>
      <c r="J345" s="205" t="s">
        <v>6513</v>
      </c>
      <c r="K345" s="206">
        <v>3500</v>
      </c>
      <c r="L345" s="206"/>
      <c r="M345" s="159">
        <f t="shared" si="82"/>
        <v>4300</v>
      </c>
      <c r="N345" s="159"/>
      <c r="O345" s="159"/>
      <c r="P345" s="159"/>
      <c r="Q345" s="159"/>
      <c r="R345" s="159"/>
      <c r="S345" s="149" t="s">
        <v>5669</v>
      </c>
      <c r="T345" s="149" t="s">
        <v>5670</v>
      </c>
      <c r="U345" s="202" t="s">
        <v>5000</v>
      </c>
      <c r="V345" s="204">
        <v>2</v>
      </c>
      <c r="W345" s="203" t="s">
        <v>253</v>
      </c>
      <c r="X345" s="204" t="s">
        <v>213</v>
      </c>
      <c r="Y345" s="206">
        <v>3520</v>
      </c>
      <c r="Z345" s="207">
        <v>100000</v>
      </c>
      <c r="AA345" s="207">
        <f t="shared" si="83"/>
        <v>350000000</v>
      </c>
      <c r="AB345" s="157">
        <v>100000</v>
      </c>
      <c r="AC345" s="158">
        <f t="shared" si="81"/>
        <v>95700</v>
      </c>
      <c r="AD345" s="159">
        <f t="shared" si="84"/>
        <v>15050000</v>
      </c>
      <c r="AE345" s="160"/>
      <c r="AF345" s="160">
        <f t="shared" si="85"/>
        <v>0</v>
      </c>
      <c r="AG345" s="165">
        <f>1400+2900</f>
        <v>4300</v>
      </c>
      <c r="AH345" s="161">
        <f t="shared" si="86"/>
        <v>15050000</v>
      </c>
      <c r="AI345" s="162"/>
      <c r="AJ345" s="162">
        <f t="shared" si="87"/>
        <v>0</v>
      </c>
      <c r="AK345" s="163"/>
      <c r="AL345" s="164">
        <f t="shared" si="88"/>
        <v>0</v>
      </c>
      <c r="AM345" s="161"/>
      <c r="AN345" s="165">
        <f t="shared" si="89"/>
        <v>0</v>
      </c>
      <c r="AO345" s="160">
        <v>0</v>
      </c>
      <c r="AP345" s="166">
        <f t="shared" si="90"/>
        <v>0</v>
      </c>
      <c r="AQ345" s="162"/>
      <c r="AR345" s="162">
        <f t="shared" si="91"/>
        <v>0</v>
      </c>
      <c r="AS345" s="173"/>
      <c r="AT345" s="167">
        <f t="shared" si="92"/>
        <v>0</v>
      </c>
      <c r="AU345" s="163"/>
      <c r="AV345" s="163">
        <f t="shared" si="93"/>
        <v>0</v>
      </c>
      <c r="AW345" s="162"/>
      <c r="AX345" s="168">
        <f t="shared" si="94"/>
        <v>0</v>
      </c>
      <c r="AY345" s="169"/>
      <c r="AZ345" s="170">
        <f t="shared" si="95"/>
        <v>0</v>
      </c>
      <c r="BA345" s="160"/>
      <c r="BB345" s="166">
        <f t="shared" si="96"/>
        <v>0</v>
      </c>
    </row>
    <row r="346" spans="1:54" s="131" customFormat="1" ht="31.5">
      <c r="A346" s="148" t="s">
        <v>6516</v>
      </c>
      <c r="B346" s="203" t="s">
        <v>1697</v>
      </c>
      <c r="C346" s="203"/>
      <c r="D346" s="203"/>
      <c r="E346" s="203" t="s">
        <v>6518</v>
      </c>
      <c r="F346" s="205" t="s">
        <v>6520</v>
      </c>
      <c r="G346" s="205" t="s">
        <v>6521</v>
      </c>
      <c r="H346" s="204" t="s">
        <v>4990</v>
      </c>
      <c r="I346" s="204" t="s">
        <v>11</v>
      </c>
      <c r="J346" s="205" t="s">
        <v>6519</v>
      </c>
      <c r="K346" s="206">
        <v>2040</v>
      </c>
      <c r="L346" s="206"/>
      <c r="M346" s="159">
        <f t="shared" si="82"/>
        <v>0</v>
      </c>
      <c r="N346" s="159"/>
      <c r="O346" s="159"/>
      <c r="P346" s="159"/>
      <c r="Q346" s="159"/>
      <c r="R346" s="159"/>
      <c r="S346" s="149" t="s">
        <v>5600</v>
      </c>
      <c r="T346" s="149" t="s">
        <v>5601</v>
      </c>
      <c r="U346" s="202" t="s">
        <v>6517</v>
      </c>
      <c r="V346" s="204">
        <v>2</v>
      </c>
      <c r="W346" s="203" t="s">
        <v>5104</v>
      </c>
      <c r="X346" s="204" t="s">
        <v>6522</v>
      </c>
      <c r="Y346" s="206">
        <v>2700</v>
      </c>
      <c r="Z346" s="207">
        <v>50000</v>
      </c>
      <c r="AA346" s="207">
        <f t="shared" si="83"/>
        <v>102000000</v>
      </c>
      <c r="AB346" s="157">
        <v>50000</v>
      </c>
      <c r="AC346" s="158">
        <f t="shared" si="81"/>
        <v>50000</v>
      </c>
      <c r="AD346" s="159">
        <f t="shared" si="84"/>
        <v>0</v>
      </c>
      <c r="AE346" s="160"/>
      <c r="AF346" s="160">
        <f t="shared" si="85"/>
        <v>0</v>
      </c>
      <c r="AG346" s="165"/>
      <c r="AH346" s="161">
        <f t="shared" si="86"/>
        <v>0</v>
      </c>
      <c r="AI346" s="162"/>
      <c r="AJ346" s="162">
        <f t="shared" si="87"/>
        <v>0</v>
      </c>
      <c r="AK346" s="164"/>
      <c r="AL346" s="164">
        <f t="shared" si="88"/>
        <v>0</v>
      </c>
      <c r="AM346" s="165"/>
      <c r="AN346" s="165">
        <f t="shared" si="89"/>
        <v>0</v>
      </c>
      <c r="AO346" s="166">
        <v>0</v>
      </c>
      <c r="AP346" s="166">
        <f t="shared" si="90"/>
        <v>0</v>
      </c>
      <c r="AQ346" s="162"/>
      <c r="AR346" s="162">
        <f t="shared" si="91"/>
        <v>0</v>
      </c>
      <c r="AS346" s="173"/>
      <c r="AT346" s="167">
        <f t="shared" si="92"/>
        <v>0</v>
      </c>
      <c r="AU346" s="163"/>
      <c r="AV346" s="163">
        <f t="shared" si="93"/>
        <v>0</v>
      </c>
      <c r="AW346" s="168"/>
      <c r="AX346" s="168">
        <f t="shared" si="94"/>
        <v>0</v>
      </c>
      <c r="AY346" s="170"/>
      <c r="AZ346" s="170">
        <f t="shared" si="95"/>
        <v>0</v>
      </c>
      <c r="BA346" s="166"/>
      <c r="BB346" s="166">
        <f t="shared" si="96"/>
        <v>0</v>
      </c>
    </row>
    <row r="347" spans="1:54" s="131" customFormat="1" ht="31.5">
      <c r="A347" s="148" t="s">
        <v>6523</v>
      </c>
      <c r="B347" s="203" t="s">
        <v>1289</v>
      </c>
      <c r="C347" s="203"/>
      <c r="D347" s="203"/>
      <c r="E347" s="203" t="s">
        <v>3146</v>
      </c>
      <c r="F347" s="205" t="s">
        <v>6525</v>
      </c>
      <c r="G347" s="205" t="s">
        <v>6526</v>
      </c>
      <c r="H347" s="204" t="s">
        <v>1290</v>
      </c>
      <c r="I347" s="204" t="s">
        <v>11</v>
      </c>
      <c r="J347" s="205" t="s">
        <v>6524</v>
      </c>
      <c r="K347" s="206">
        <v>1500</v>
      </c>
      <c r="L347" s="206"/>
      <c r="M347" s="159">
        <f t="shared" si="82"/>
        <v>4980</v>
      </c>
      <c r="N347" s="159"/>
      <c r="O347" s="159"/>
      <c r="P347" s="159"/>
      <c r="Q347" s="159"/>
      <c r="R347" s="159"/>
      <c r="S347" s="149" t="s">
        <v>6259</v>
      </c>
      <c r="T347" s="150" t="s">
        <v>6260</v>
      </c>
      <c r="U347" s="202" t="s">
        <v>4161</v>
      </c>
      <c r="V347" s="204">
        <v>2</v>
      </c>
      <c r="W347" s="203" t="s">
        <v>253</v>
      </c>
      <c r="X347" s="204" t="s">
        <v>6527</v>
      </c>
      <c r="Y347" s="206">
        <v>2400</v>
      </c>
      <c r="Z347" s="207">
        <v>20000</v>
      </c>
      <c r="AA347" s="207">
        <f t="shared" si="83"/>
        <v>30000000</v>
      </c>
      <c r="AB347" s="157">
        <v>20000</v>
      </c>
      <c r="AC347" s="158">
        <f t="shared" si="81"/>
        <v>15020</v>
      </c>
      <c r="AD347" s="159">
        <f t="shared" si="84"/>
        <v>7470000</v>
      </c>
      <c r="AE347" s="160"/>
      <c r="AF347" s="160">
        <f t="shared" si="85"/>
        <v>0</v>
      </c>
      <c r="AG347" s="165">
        <v>4980</v>
      </c>
      <c r="AH347" s="161">
        <f t="shared" si="86"/>
        <v>7470000</v>
      </c>
      <c r="AI347" s="162"/>
      <c r="AJ347" s="162">
        <f t="shared" si="87"/>
        <v>0</v>
      </c>
      <c r="AK347" s="164"/>
      <c r="AL347" s="164">
        <f t="shared" si="88"/>
        <v>0</v>
      </c>
      <c r="AM347" s="165"/>
      <c r="AN347" s="165">
        <f t="shared" si="89"/>
        <v>0</v>
      </c>
      <c r="AO347" s="166">
        <v>0</v>
      </c>
      <c r="AP347" s="166">
        <f t="shared" si="90"/>
        <v>0</v>
      </c>
      <c r="AQ347" s="162"/>
      <c r="AR347" s="162">
        <f t="shared" si="91"/>
        <v>0</v>
      </c>
      <c r="AS347" s="173"/>
      <c r="AT347" s="167">
        <f t="shared" si="92"/>
        <v>0</v>
      </c>
      <c r="AU347" s="163"/>
      <c r="AV347" s="163">
        <f t="shared" si="93"/>
        <v>0</v>
      </c>
      <c r="AW347" s="168"/>
      <c r="AX347" s="168">
        <f t="shared" si="94"/>
        <v>0</v>
      </c>
      <c r="AY347" s="170"/>
      <c r="AZ347" s="170">
        <f t="shared" si="95"/>
        <v>0</v>
      </c>
      <c r="BA347" s="166"/>
      <c r="BB347" s="166">
        <f t="shared" si="96"/>
        <v>0</v>
      </c>
    </row>
    <row r="348" spans="1:54" ht="31.5">
      <c r="A348" s="172" t="s">
        <v>6528</v>
      </c>
      <c r="B348" s="203" t="s">
        <v>1127</v>
      </c>
      <c r="C348" s="203"/>
      <c r="D348" s="203"/>
      <c r="E348" s="203" t="s">
        <v>1128</v>
      </c>
      <c r="F348" s="205" t="s">
        <v>6531</v>
      </c>
      <c r="G348" s="205" t="s">
        <v>6532</v>
      </c>
      <c r="H348" s="204" t="s">
        <v>6529</v>
      </c>
      <c r="I348" s="204" t="s">
        <v>11</v>
      </c>
      <c r="J348" s="205" t="s">
        <v>6530</v>
      </c>
      <c r="K348" s="206">
        <v>1495</v>
      </c>
      <c r="L348" s="206"/>
      <c r="M348" s="159">
        <f t="shared" si="82"/>
        <v>0</v>
      </c>
      <c r="N348" s="159"/>
      <c r="O348" s="159"/>
      <c r="P348" s="159"/>
      <c r="Q348" s="159"/>
      <c r="R348" s="159"/>
      <c r="S348" s="149" t="s">
        <v>6224</v>
      </c>
      <c r="T348" s="149" t="s">
        <v>6225</v>
      </c>
      <c r="U348" s="202" t="s">
        <v>5043</v>
      </c>
      <c r="V348" s="204">
        <v>2</v>
      </c>
      <c r="W348" s="203" t="s">
        <v>253</v>
      </c>
      <c r="X348" s="204" t="s">
        <v>213</v>
      </c>
      <c r="Y348" s="206">
        <v>1545</v>
      </c>
      <c r="Z348" s="207">
        <v>250000</v>
      </c>
      <c r="AA348" s="207">
        <f t="shared" si="83"/>
        <v>373750000</v>
      </c>
      <c r="AB348" s="157">
        <v>250000</v>
      </c>
      <c r="AC348" s="158">
        <f t="shared" si="81"/>
        <v>250000</v>
      </c>
      <c r="AD348" s="159">
        <f t="shared" si="84"/>
        <v>0</v>
      </c>
      <c r="AE348" s="160"/>
      <c r="AF348" s="160">
        <f t="shared" si="85"/>
        <v>0</v>
      </c>
      <c r="AG348" s="165"/>
      <c r="AH348" s="161">
        <f t="shared" si="86"/>
        <v>0</v>
      </c>
      <c r="AI348" s="162"/>
      <c r="AJ348" s="162">
        <f t="shared" si="87"/>
        <v>0</v>
      </c>
      <c r="AK348" s="164"/>
      <c r="AL348" s="164">
        <f t="shared" si="88"/>
        <v>0</v>
      </c>
      <c r="AM348" s="165"/>
      <c r="AN348" s="165">
        <f t="shared" si="89"/>
        <v>0</v>
      </c>
      <c r="AO348" s="166">
        <v>0</v>
      </c>
      <c r="AP348" s="166">
        <f t="shared" si="90"/>
        <v>0</v>
      </c>
      <c r="AQ348" s="162"/>
      <c r="AR348" s="162">
        <f t="shared" si="91"/>
        <v>0</v>
      </c>
      <c r="AS348" s="173"/>
      <c r="AT348" s="167">
        <f t="shared" si="92"/>
        <v>0</v>
      </c>
      <c r="AU348" s="163"/>
      <c r="AV348" s="163">
        <f t="shared" si="93"/>
        <v>0</v>
      </c>
      <c r="AW348" s="168"/>
      <c r="AX348" s="168">
        <f t="shared" si="94"/>
        <v>0</v>
      </c>
      <c r="AY348" s="170"/>
      <c r="AZ348" s="170">
        <f t="shared" si="95"/>
        <v>0</v>
      </c>
      <c r="BA348" s="166"/>
      <c r="BB348" s="166">
        <f t="shared" si="96"/>
        <v>0</v>
      </c>
    </row>
    <row r="349" spans="1:54" ht="31.5">
      <c r="A349" s="148" t="s">
        <v>6533</v>
      </c>
      <c r="B349" s="203" t="s">
        <v>843</v>
      </c>
      <c r="C349" s="203"/>
      <c r="D349" s="203"/>
      <c r="E349" s="203" t="s">
        <v>1231</v>
      </c>
      <c r="F349" s="205" t="s">
        <v>1234</v>
      </c>
      <c r="G349" s="205" t="s">
        <v>6536</v>
      </c>
      <c r="H349" s="204" t="s">
        <v>1232</v>
      </c>
      <c r="I349" s="204" t="s">
        <v>11</v>
      </c>
      <c r="J349" s="205" t="s">
        <v>6535</v>
      </c>
      <c r="K349" s="206">
        <v>1150</v>
      </c>
      <c r="L349" s="206"/>
      <c r="M349" s="159">
        <f t="shared" si="82"/>
        <v>0</v>
      </c>
      <c r="N349" s="159"/>
      <c r="O349" s="159"/>
      <c r="P349" s="159"/>
      <c r="Q349" s="159"/>
      <c r="R349" s="159"/>
      <c r="S349" s="149" t="s">
        <v>5530</v>
      </c>
      <c r="T349" s="149" t="s">
        <v>5531</v>
      </c>
      <c r="U349" s="202" t="s">
        <v>6534</v>
      </c>
      <c r="V349" s="204">
        <v>2</v>
      </c>
      <c r="W349" s="203" t="s">
        <v>253</v>
      </c>
      <c r="X349" s="204" t="s">
        <v>213</v>
      </c>
      <c r="Y349" s="206">
        <v>1575</v>
      </c>
      <c r="Z349" s="207">
        <v>100000</v>
      </c>
      <c r="AA349" s="207">
        <f t="shared" si="83"/>
        <v>115000000</v>
      </c>
      <c r="AB349" s="157">
        <v>100000</v>
      </c>
      <c r="AC349" s="158">
        <f t="shared" si="81"/>
        <v>100000</v>
      </c>
      <c r="AD349" s="159">
        <f t="shared" si="84"/>
        <v>0</v>
      </c>
      <c r="AE349" s="160"/>
      <c r="AF349" s="160">
        <f t="shared" si="85"/>
        <v>0</v>
      </c>
      <c r="AG349" s="165"/>
      <c r="AH349" s="161">
        <f t="shared" si="86"/>
        <v>0</v>
      </c>
      <c r="AI349" s="162"/>
      <c r="AJ349" s="162">
        <f t="shared" si="87"/>
        <v>0</v>
      </c>
      <c r="AK349" s="164"/>
      <c r="AL349" s="164">
        <f t="shared" si="88"/>
        <v>0</v>
      </c>
      <c r="AM349" s="165"/>
      <c r="AN349" s="165">
        <f t="shared" si="89"/>
        <v>0</v>
      </c>
      <c r="AO349" s="166">
        <v>0</v>
      </c>
      <c r="AP349" s="166">
        <f t="shared" si="90"/>
        <v>0</v>
      </c>
      <c r="AQ349" s="162"/>
      <c r="AR349" s="162">
        <f t="shared" si="91"/>
        <v>0</v>
      </c>
      <c r="AS349" s="173"/>
      <c r="AT349" s="167">
        <f t="shared" si="92"/>
        <v>0</v>
      </c>
      <c r="AU349" s="163"/>
      <c r="AV349" s="163">
        <f t="shared" si="93"/>
        <v>0</v>
      </c>
      <c r="AW349" s="168"/>
      <c r="AX349" s="168">
        <f t="shared" si="94"/>
        <v>0</v>
      </c>
      <c r="AY349" s="170"/>
      <c r="AZ349" s="170">
        <f t="shared" si="95"/>
        <v>0</v>
      </c>
      <c r="BA349" s="166"/>
      <c r="BB349" s="166">
        <f t="shared" si="96"/>
        <v>0</v>
      </c>
    </row>
    <row r="350" spans="1:54" ht="31.5">
      <c r="A350" s="148" t="s">
        <v>6537</v>
      </c>
      <c r="B350" s="203" t="s">
        <v>659</v>
      </c>
      <c r="C350" s="203"/>
      <c r="D350" s="203"/>
      <c r="E350" s="203" t="s">
        <v>6539</v>
      </c>
      <c r="F350" s="205" t="s">
        <v>6541</v>
      </c>
      <c r="G350" s="205" t="s">
        <v>6526</v>
      </c>
      <c r="H350" s="204" t="s">
        <v>334</v>
      </c>
      <c r="I350" s="204" t="s">
        <v>11</v>
      </c>
      <c r="J350" s="205" t="s">
        <v>6540</v>
      </c>
      <c r="K350" s="206">
        <v>6400</v>
      </c>
      <c r="L350" s="206"/>
      <c r="M350" s="159">
        <f t="shared" si="82"/>
        <v>0</v>
      </c>
      <c r="N350" s="159"/>
      <c r="O350" s="159"/>
      <c r="P350" s="159"/>
      <c r="Q350" s="159"/>
      <c r="R350" s="159"/>
      <c r="S350" s="149" t="s">
        <v>6259</v>
      </c>
      <c r="T350" s="150" t="s">
        <v>6260</v>
      </c>
      <c r="U350" s="202" t="s">
        <v>6538</v>
      </c>
      <c r="V350" s="204">
        <v>2</v>
      </c>
      <c r="W350" s="203" t="s">
        <v>5104</v>
      </c>
      <c r="X350" s="204" t="s">
        <v>6527</v>
      </c>
      <c r="Y350" s="206">
        <v>6400</v>
      </c>
      <c r="Z350" s="207">
        <v>30000</v>
      </c>
      <c r="AA350" s="207">
        <f t="shared" si="83"/>
        <v>192000000</v>
      </c>
      <c r="AB350" s="157">
        <v>30000</v>
      </c>
      <c r="AC350" s="158">
        <f t="shared" si="81"/>
        <v>30000</v>
      </c>
      <c r="AD350" s="159">
        <f t="shared" si="84"/>
        <v>0</v>
      </c>
      <c r="AE350" s="160"/>
      <c r="AF350" s="160">
        <f t="shared" si="85"/>
        <v>0</v>
      </c>
      <c r="AG350" s="165"/>
      <c r="AH350" s="161">
        <f t="shared" si="86"/>
        <v>0</v>
      </c>
      <c r="AI350" s="162"/>
      <c r="AJ350" s="162">
        <f t="shared" si="87"/>
        <v>0</v>
      </c>
      <c r="AK350" s="164"/>
      <c r="AL350" s="164">
        <f t="shared" si="88"/>
        <v>0</v>
      </c>
      <c r="AM350" s="165"/>
      <c r="AN350" s="165">
        <f t="shared" si="89"/>
        <v>0</v>
      </c>
      <c r="AO350" s="166">
        <v>0</v>
      </c>
      <c r="AP350" s="166">
        <f t="shared" si="90"/>
        <v>0</v>
      </c>
      <c r="AQ350" s="162"/>
      <c r="AR350" s="162">
        <f t="shared" si="91"/>
        <v>0</v>
      </c>
      <c r="AS350" s="173"/>
      <c r="AT350" s="167">
        <f t="shared" si="92"/>
        <v>0</v>
      </c>
      <c r="AU350" s="163"/>
      <c r="AV350" s="163">
        <f t="shared" si="93"/>
        <v>0</v>
      </c>
      <c r="AW350" s="168"/>
      <c r="AX350" s="168">
        <f t="shared" si="94"/>
        <v>0</v>
      </c>
      <c r="AY350" s="170"/>
      <c r="AZ350" s="170">
        <f t="shared" si="95"/>
        <v>0</v>
      </c>
      <c r="BA350" s="166"/>
      <c r="BB350" s="166">
        <f t="shared" si="96"/>
        <v>0</v>
      </c>
    </row>
    <row r="351" spans="1:54" ht="31.5">
      <c r="A351" s="172" t="s">
        <v>6542</v>
      </c>
      <c r="B351" s="203" t="s">
        <v>1179</v>
      </c>
      <c r="C351" s="203"/>
      <c r="D351" s="203"/>
      <c r="E351" s="203" t="s">
        <v>6544</v>
      </c>
      <c r="F351" s="205" t="s">
        <v>6546</v>
      </c>
      <c r="G351" s="205" t="s">
        <v>1765</v>
      </c>
      <c r="H351" s="204" t="s">
        <v>291</v>
      </c>
      <c r="I351" s="204" t="s">
        <v>11</v>
      </c>
      <c r="J351" s="205" t="s">
        <v>6545</v>
      </c>
      <c r="K351" s="206">
        <v>9500</v>
      </c>
      <c r="L351" s="206"/>
      <c r="M351" s="159">
        <f t="shared" si="82"/>
        <v>0</v>
      </c>
      <c r="N351" s="159"/>
      <c r="O351" s="159"/>
      <c r="P351" s="159"/>
      <c r="Q351" s="159"/>
      <c r="R351" s="159"/>
      <c r="S351" s="149" t="s">
        <v>6177</v>
      </c>
      <c r="T351" s="149" t="s">
        <v>6178</v>
      </c>
      <c r="U351" s="202" t="s">
        <v>6543</v>
      </c>
      <c r="V351" s="204">
        <v>2</v>
      </c>
      <c r="W351" s="203" t="s">
        <v>5104</v>
      </c>
      <c r="X351" s="204" t="s">
        <v>5273</v>
      </c>
      <c r="Y351" s="206">
        <v>9500</v>
      </c>
      <c r="Z351" s="207">
        <v>10000</v>
      </c>
      <c r="AA351" s="207">
        <f t="shared" si="83"/>
        <v>95000000</v>
      </c>
      <c r="AB351" s="157">
        <v>10000</v>
      </c>
      <c r="AC351" s="158">
        <f t="shared" si="81"/>
        <v>10000</v>
      </c>
      <c r="AD351" s="159">
        <f t="shared" si="84"/>
        <v>0</v>
      </c>
      <c r="AE351" s="160"/>
      <c r="AF351" s="160">
        <f t="shared" si="85"/>
        <v>0</v>
      </c>
      <c r="AG351" s="165"/>
      <c r="AH351" s="161">
        <f t="shared" si="86"/>
        <v>0</v>
      </c>
      <c r="AI351" s="162"/>
      <c r="AJ351" s="162">
        <f t="shared" si="87"/>
        <v>0</v>
      </c>
      <c r="AK351" s="164"/>
      <c r="AL351" s="164">
        <f t="shared" si="88"/>
        <v>0</v>
      </c>
      <c r="AM351" s="165"/>
      <c r="AN351" s="165">
        <f t="shared" si="89"/>
        <v>0</v>
      </c>
      <c r="AO351" s="166">
        <v>0</v>
      </c>
      <c r="AP351" s="166">
        <f t="shared" si="90"/>
        <v>0</v>
      </c>
      <c r="AQ351" s="162"/>
      <c r="AR351" s="162">
        <f t="shared" si="91"/>
        <v>0</v>
      </c>
      <c r="AS351" s="173"/>
      <c r="AT351" s="167">
        <f t="shared" si="92"/>
        <v>0</v>
      </c>
      <c r="AU351" s="163"/>
      <c r="AV351" s="163">
        <f t="shared" si="93"/>
        <v>0</v>
      </c>
      <c r="AW351" s="168"/>
      <c r="AX351" s="168">
        <f t="shared" si="94"/>
        <v>0</v>
      </c>
      <c r="AY351" s="170"/>
      <c r="AZ351" s="170">
        <f t="shared" si="95"/>
        <v>0</v>
      </c>
      <c r="BA351" s="166"/>
      <c r="BB351" s="166">
        <f t="shared" si="96"/>
        <v>0</v>
      </c>
    </row>
    <row r="352" spans="1:54" ht="31.5">
      <c r="A352" s="148" t="s">
        <v>6547</v>
      </c>
      <c r="B352" s="203" t="s">
        <v>1179</v>
      </c>
      <c r="C352" s="203"/>
      <c r="D352" s="203"/>
      <c r="E352" s="203" t="s">
        <v>6549</v>
      </c>
      <c r="F352" s="205" t="s">
        <v>6551</v>
      </c>
      <c r="G352" s="205" t="s">
        <v>6552</v>
      </c>
      <c r="H352" s="204" t="s">
        <v>232</v>
      </c>
      <c r="I352" s="204" t="s">
        <v>11</v>
      </c>
      <c r="J352" s="205" t="s">
        <v>6550</v>
      </c>
      <c r="K352" s="206">
        <v>5300</v>
      </c>
      <c r="L352" s="206"/>
      <c r="M352" s="159">
        <f t="shared" si="82"/>
        <v>0</v>
      </c>
      <c r="N352" s="159"/>
      <c r="O352" s="159"/>
      <c r="P352" s="159"/>
      <c r="Q352" s="159"/>
      <c r="R352" s="159"/>
      <c r="S352" s="150" t="s">
        <v>5301</v>
      </c>
      <c r="T352" s="150" t="s">
        <v>5302</v>
      </c>
      <c r="U352" s="202" t="s">
        <v>6548</v>
      </c>
      <c r="V352" s="204">
        <v>2</v>
      </c>
      <c r="W352" s="203" t="s">
        <v>5104</v>
      </c>
      <c r="X352" s="204" t="s">
        <v>213</v>
      </c>
      <c r="Y352" s="206">
        <v>13500</v>
      </c>
      <c r="Z352" s="207">
        <v>10000</v>
      </c>
      <c r="AA352" s="207">
        <f t="shared" si="83"/>
        <v>53000000</v>
      </c>
      <c r="AB352" s="157">
        <v>10000</v>
      </c>
      <c r="AC352" s="158">
        <f t="shared" si="81"/>
        <v>10000</v>
      </c>
      <c r="AD352" s="159">
        <f t="shared" si="84"/>
        <v>0</v>
      </c>
      <c r="AE352" s="160"/>
      <c r="AF352" s="160">
        <f t="shared" si="85"/>
        <v>0</v>
      </c>
      <c r="AG352" s="165"/>
      <c r="AH352" s="161">
        <f t="shared" si="86"/>
        <v>0</v>
      </c>
      <c r="AI352" s="162"/>
      <c r="AJ352" s="162">
        <f t="shared" si="87"/>
        <v>0</v>
      </c>
      <c r="AK352" s="164"/>
      <c r="AL352" s="164">
        <f t="shared" si="88"/>
        <v>0</v>
      </c>
      <c r="AM352" s="165"/>
      <c r="AN352" s="165">
        <f t="shared" si="89"/>
        <v>0</v>
      </c>
      <c r="AO352" s="166">
        <v>0</v>
      </c>
      <c r="AP352" s="166">
        <f t="shared" si="90"/>
        <v>0</v>
      </c>
      <c r="AQ352" s="162"/>
      <c r="AR352" s="162">
        <f t="shared" si="91"/>
        <v>0</v>
      </c>
      <c r="AS352" s="173"/>
      <c r="AT352" s="167">
        <f t="shared" si="92"/>
        <v>0</v>
      </c>
      <c r="AU352" s="163"/>
      <c r="AV352" s="163">
        <f t="shared" si="93"/>
        <v>0</v>
      </c>
      <c r="AW352" s="168"/>
      <c r="AX352" s="168">
        <f t="shared" si="94"/>
        <v>0</v>
      </c>
      <c r="AY352" s="170"/>
      <c r="AZ352" s="170">
        <f t="shared" si="95"/>
        <v>0</v>
      </c>
      <c r="BA352" s="166"/>
      <c r="BB352" s="166">
        <f t="shared" si="96"/>
        <v>0</v>
      </c>
    </row>
    <row r="353" spans="1:54" ht="112.5">
      <c r="A353" s="148" t="s">
        <v>6553</v>
      </c>
      <c r="B353" s="203" t="s">
        <v>1179</v>
      </c>
      <c r="C353" s="203"/>
      <c r="D353" s="203"/>
      <c r="E353" s="203" t="s">
        <v>6555</v>
      </c>
      <c r="F353" s="205" t="s">
        <v>6557</v>
      </c>
      <c r="G353" s="205" t="s">
        <v>6493</v>
      </c>
      <c r="H353" s="204" t="s">
        <v>1580</v>
      </c>
      <c r="I353" s="204" t="s">
        <v>11</v>
      </c>
      <c r="J353" s="205" t="s">
        <v>6556</v>
      </c>
      <c r="K353" s="206">
        <v>2150</v>
      </c>
      <c r="L353" s="206"/>
      <c r="M353" s="159">
        <f t="shared" si="82"/>
        <v>0</v>
      </c>
      <c r="N353" s="159"/>
      <c r="O353" s="159"/>
      <c r="P353" s="159"/>
      <c r="Q353" s="159"/>
      <c r="R353" s="159"/>
      <c r="S353" s="209" t="s">
        <v>5848</v>
      </c>
      <c r="T353" s="203" t="s">
        <v>5849</v>
      </c>
      <c r="U353" s="202" t="s">
        <v>6554</v>
      </c>
      <c r="V353" s="204">
        <v>2</v>
      </c>
      <c r="W353" s="203" t="s">
        <v>253</v>
      </c>
      <c r="X353" s="204" t="s">
        <v>5273</v>
      </c>
      <c r="Y353" s="206">
        <v>5300</v>
      </c>
      <c r="Z353" s="207">
        <v>10000</v>
      </c>
      <c r="AA353" s="207">
        <f t="shared" si="83"/>
        <v>21500000</v>
      </c>
      <c r="AB353" s="157">
        <v>10000</v>
      </c>
      <c r="AC353" s="158">
        <f t="shared" si="81"/>
        <v>10000</v>
      </c>
      <c r="AD353" s="159">
        <f t="shared" si="84"/>
        <v>0</v>
      </c>
      <c r="AE353" s="160"/>
      <c r="AF353" s="160">
        <f t="shared" si="85"/>
        <v>0</v>
      </c>
      <c r="AG353" s="165"/>
      <c r="AH353" s="161">
        <f t="shared" si="86"/>
        <v>0</v>
      </c>
      <c r="AI353" s="162"/>
      <c r="AJ353" s="162">
        <f t="shared" si="87"/>
        <v>0</v>
      </c>
      <c r="AK353" s="164"/>
      <c r="AL353" s="164">
        <f t="shared" si="88"/>
        <v>0</v>
      </c>
      <c r="AM353" s="165"/>
      <c r="AN353" s="165">
        <f t="shared" si="89"/>
        <v>0</v>
      </c>
      <c r="AO353" s="166">
        <v>0</v>
      </c>
      <c r="AP353" s="166">
        <f t="shared" si="90"/>
        <v>0</v>
      </c>
      <c r="AQ353" s="162"/>
      <c r="AR353" s="162">
        <f t="shared" si="91"/>
        <v>0</v>
      </c>
      <c r="AS353" s="173"/>
      <c r="AT353" s="167">
        <f t="shared" si="92"/>
        <v>0</v>
      </c>
      <c r="AU353" s="163"/>
      <c r="AV353" s="163">
        <f t="shared" si="93"/>
        <v>0</v>
      </c>
      <c r="AW353" s="168"/>
      <c r="AX353" s="168">
        <f t="shared" si="94"/>
        <v>0</v>
      </c>
      <c r="AY353" s="170"/>
      <c r="AZ353" s="170">
        <f t="shared" si="95"/>
        <v>0</v>
      </c>
      <c r="BA353" s="166"/>
      <c r="BB353" s="166">
        <f t="shared" si="96"/>
        <v>0</v>
      </c>
    </row>
    <row r="354" spans="1:54" ht="31.5">
      <c r="A354" s="172" t="s">
        <v>6558</v>
      </c>
      <c r="B354" s="203" t="s">
        <v>683</v>
      </c>
      <c r="C354" s="203"/>
      <c r="D354" s="203"/>
      <c r="E354" s="203" t="s">
        <v>6560</v>
      </c>
      <c r="F354" s="205" t="s">
        <v>6562</v>
      </c>
      <c r="G354" s="205" t="s">
        <v>6563</v>
      </c>
      <c r="H354" s="204" t="s">
        <v>2554</v>
      </c>
      <c r="I354" s="204" t="s">
        <v>658</v>
      </c>
      <c r="J354" s="205" t="s">
        <v>6561</v>
      </c>
      <c r="K354" s="206">
        <v>32970</v>
      </c>
      <c r="L354" s="206"/>
      <c r="M354" s="159">
        <f t="shared" si="82"/>
        <v>0</v>
      </c>
      <c r="N354" s="159"/>
      <c r="O354" s="159"/>
      <c r="P354" s="159"/>
      <c r="Q354" s="159"/>
      <c r="R354" s="159"/>
      <c r="S354" s="149" t="s">
        <v>5874</v>
      </c>
      <c r="T354" s="149" t="s">
        <v>5875</v>
      </c>
      <c r="U354" s="202" t="s">
        <v>6559</v>
      </c>
      <c r="V354" s="204">
        <v>2</v>
      </c>
      <c r="W354" s="203" t="s">
        <v>253</v>
      </c>
      <c r="X354" s="204" t="s">
        <v>6564</v>
      </c>
      <c r="Y354" s="206">
        <v>38000</v>
      </c>
      <c r="Z354" s="207">
        <v>1000</v>
      </c>
      <c r="AA354" s="207">
        <f t="shared" si="83"/>
        <v>32970000</v>
      </c>
      <c r="AB354" s="157">
        <v>1000</v>
      </c>
      <c r="AC354" s="158">
        <f t="shared" si="81"/>
        <v>1000</v>
      </c>
      <c r="AD354" s="159">
        <f t="shared" si="84"/>
        <v>0</v>
      </c>
      <c r="AE354" s="160"/>
      <c r="AF354" s="160">
        <f t="shared" si="85"/>
        <v>0</v>
      </c>
      <c r="AG354" s="165"/>
      <c r="AH354" s="161">
        <f t="shared" si="86"/>
        <v>0</v>
      </c>
      <c r="AI354" s="162"/>
      <c r="AJ354" s="162">
        <f t="shared" si="87"/>
        <v>0</v>
      </c>
      <c r="AK354" s="163"/>
      <c r="AL354" s="164">
        <f t="shared" si="88"/>
        <v>0</v>
      </c>
      <c r="AM354" s="161"/>
      <c r="AN354" s="165">
        <f t="shared" si="89"/>
        <v>0</v>
      </c>
      <c r="AO354" s="160">
        <v>0</v>
      </c>
      <c r="AP354" s="166">
        <f t="shared" si="90"/>
        <v>0</v>
      </c>
      <c r="AQ354" s="162"/>
      <c r="AR354" s="162">
        <f t="shared" si="91"/>
        <v>0</v>
      </c>
      <c r="AS354" s="173"/>
      <c r="AT354" s="167">
        <f t="shared" si="92"/>
        <v>0</v>
      </c>
      <c r="AU354" s="163"/>
      <c r="AV354" s="163">
        <f t="shared" si="93"/>
        <v>0</v>
      </c>
      <c r="AW354" s="162"/>
      <c r="AX354" s="168">
        <f t="shared" si="94"/>
        <v>0</v>
      </c>
      <c r="AY354" s="169"/>
      <c r="AZ354" s="170">
        <f t="shared" si="95"/>
        <v>0</v>
      </c>
      <c r="BA354" s="160"/>
      <c r="BB354" s="166">
        <f t="shared" si="96"/>
        <v>0</v>
      </c>
    </row>
    <row r="355" spans="1:54">
      <c r="A355" s="148" t="s">
        <v>6565</v>
      </c>
      <c r="B355" s="203" t="s">
        <v>802</v>
      </c>
      <c r="C355" s="203"/>
      <c r="D355" s="203"/>
      <c r="E355" s="203" t="s">
        <v>6566</v>
      </c>
      <c r="F355" s="205" t="s">
        <v>6568</v>
      </c>
      <c r="G355" s="205" t="s">
        <v>463</v>
      </c>
      <c r="H355" s="204" t="s">
        <v>272</v>
      </c>
      <c r="I355" s="204" t="s">
        <v>11</v>
      </c>
      <c r="J355" s="205" t="s">
        <v>6567</v>
      </c>
      <c r="K355" s="206">
        <v>3100</v>
      </c>
      <c r="L355" s="206"/>
      <c r="M355" s="159">
        <f t="shared" si="82"/>
        <v>0</v>
      </c>
      <c r="N355" s="159"/>
      <c r="O355" s="159"/>
      <c r="P355" s="159"/>
      <c r="Q355" s="159"/>
      <c r="R355" s="159"/>
      <c r="S355" s="149" t="s">
        <v>5275</v>
      </c>
      <c r="T355" s="150" t="s">
        <v>463</v>
      </c>
      <c r="U355" s="202" t="s">
        <v>4556</v>
      </c>
      <c r="V355" s="204">
        <v>2</v>
      </c>
      <c r="W355" s="203" t="s">
        <v>5104</v>
      </c>
      <c r="X355" s="204" t="s">
        <v>213</v>
      </c>
      <c r="Y355" s="206">
        <v>5180</v>
      </c>
      <c r="Z355" s="207">
        <v>30000</v>
      </c>
      <c r="AA355" s="207">
        <f t="shared" si="83"/>
        <v>93000000</v>
      </c>
      <c r="AB355" s="157">
        <v>30000</v>
      </c>
      <c r="AC355" s="158">
        <f t="shared" si="81"/>
        <v>30000</v>
      </c>
      <c r="AD355" s="159">
        <f t="shared" si="84"/>
        <v>0</v>
      </c>
      <c r="AE355" s="160"/>
      <c r="AF355" s="160">
        <f t="shared" si="85"/>
        <v>0</v>
      </c>
      <c r="AG355" s="161"/>
      <c r="AH355" s="161">
        <f t="shared" si="86"/>
        <v>0</v>
      </c>
      <c r="AI355" s="162"/>
      <c r="AJ355" s="162">
        <f t="shared" si="87"/>
        <v>0</v>
      </c>
      <c r="AK355" s="164"/>
      <c r="AL355" s="164">
        <f t="shared" si="88"/>
        <v>0</v>
      </c>
      <c r="AM355" s="165"/>
      <c r="AN355" s="165">
        <f t="shared" si="89"/>
        <v>0</v>
      </c>
      <c r="AO355" s="166">
        <v>0</v>
      </c>
      <c r="AP355" s="166">
        <f t="shared" si="90"/>
        <v>0</v>
      </c>
      <c r="AQ355" s="162"/>
      <c r="AR355" s="162">
        <f t="shared" si="91"/>
        <v>0</v>
      </c>
      <c r="AS355" s="167"/>
      <c r="AT355" s="167">
        <f t="shared" si="92"/>
        <v>0</v>
      </c>
      <c r="AU355" s="163"/>
      <c r="AV355" s="163">
        <f t="shared" si="93"/>
        <v>0</v>
      </c>
      <c r="AW355" s="168"/>
      <c r="AX355" s="168">
        <f t="shared" si="94"/>
        <v>0</v>
      </c>
      <c r="AY355" s="170"/>
      <c r="AZ355" s="170">
        <f t="shared" si="95"/>
        <v>0</v>
      </c>
      <c r="BA355" s="166"/>
      <c r="BB355" s="166">
        <f t="shared" si="96"/>
        <v>0</v>
      </c>
    </row>
    <row r="356" spans="1:54">
      <c r="A356" s="148" t="s">
        <v>6569</v>
      </c>
      <c r="B356" s="203" t="s">
        <v>847</v>
      </c>
      <c r="C356" s="203"/>
      <c r="D356" s="203"/>
      <c r="E356" s="203" t="s">
        <v>4480</v>
      </c>
      <c r="F356" s="205" t="s">
        <v>6571</v>
      </c>
      <c r="G356" s="205" t="s">
        <v>463</v>
      </c>
      <c r="H356" s="204" t="s">
        <v>272</v>
      </c>
      <c r="I356" s="204" t="s">
        <v>11</v>
      </c>
      <c r="J356" s="205" t="s">
        <v>6570</v>
      </c>
      <c r="K356" s="206">
        <v>1380</v>
      </c>
      <c r="L356" s="206"/>
      <c r="M356" s="159">
        <f t="shared" si="82"/>
        <v>3500</v>
      </c>
      <c r="N356" s="159"/>
      <c r="O356" s="159"/>
      <c r="P356" s="159"/>
      <c r="Q356" s="159"/>
      <c r="R356" s="159"/>
      <c r="S356" s="149" t="s">
        <v>5275</v>
      </c>
      <c r="T356" s="150" t="s">
        <v>463</v>
      </c>
      <c r="U356" s="202" t="s">
        <v>4479</v>
      </c>
      <c r="V356" s="204">
        <v>2</v>
      </c>
      <c r="W356" s="203" t="s">
        <v>5104</v>
      </c>
      <c r="X356" s="204" t="s">
        <v>213</v>
      </c>
      <c r="Y356" s="206">
        <v>1450</v>
      </c>
      <c r="Z356" s="207">
        <v>40000</v>
      </c>
      <c r="AA356" s="207">
        <f t="shared" si="83"/>
        <v>55200000</v>
      </c>
      <c r="AB356" s="157">
        <v>40000</v>
      </c>
      <c r="AC356" s="158">
        <f t="shared" si="81"/>
        <v>36500</v>
      </c>
      <c r="AD356" s="159">
        <f t="shared" si="84"/>
        <v>4830000</v>
      </c>
      <c r="AE356" s="160"/>
      <c r="AF356" s="160">
        <f t="shared" si="85"/>
        <v>0</v>
      </c>
      <c r="AG356" s="161"/>
      <c r="AH356" s="161">
        <f t="shared" si="86"/>
        <v>0</v>
      </c>
      <c r="AI356" s="162"/>
      <c r="AJ356" s="162">
        <f t="shared" si="87"/>
        <v>0</v>
      </c>
      <c r="AK356" s="164"/>
      <c r="AL356" s="164">
        <f t="shared" si="88"/>
        <v>0</v>
      </c>
      <c r="AM356" s="165">
        <f>1500+1500</f>
        <v>3000</v>
      </c>
      <c r="AN356" s="165">
        <f t="shared" si="89"/>
        <v>4140000</v>
      </c>
      <c r="AO356" s="166">
        <v>0</v>
      </c>
      <c r="AP356" s="166">
        <f t="shared" si="90"/>
        <v>0</v>
      </c>
      <c r="AQ356" s="162"/>
      <c r="AR356" s="162">
        <f t="shared" si="91"/>
        <v>0</v>
      </c>
      <c r="AS356" s="167">
        <v>500</v>
      </c>
      <c r="AT356" s="167">
        <f t="shared" si="92"/>
        <v>690000</v>
      </c>
      <c r="AU356" s="163"/>
      <c r="AV356" s="163">
        <f t="shared" si="93"/>
        <v>0</v>
      </c>
      <c r="AW356" s="168"/>
      <c r="AX356" s="168">
        <f t="shared" si="94"/>
        <v>0</v>
      </c>
      <c r="AY356" s="170"/>
      <c r="AZ356" s="170">
        <f t="shared" si="95"/>
        <v>0</v>
      </c>
      <c r="BA356" s="166"/>
      <c r="BB356" s="166">
        <f t="shared" si="96"/>
        <v>0</v>
      </c>
    </row>
    <row r="357" spans="1:54">
      <c r="A357" s="172" t="s">
        <v>6572</v>
      </c>
      <c r="B357" s="203" t="s">
        <v>847</v>
      </c>
      <c r="C357" s="203"/>
      <c r="D357" s="203"/>
      <c r="E357" s="203" t="s">
        <v>6574</v>
      </c>
      <c r="F357" s="205" t="s">
        <v>6575</v>
      </c>
      <c r="G357" s="205" t="s">
        <v>463</v>
      </c>
      <c r="H357" s="204" t="s">
        <v>225</v>
      </c>
      <c r="I357" s="204" t="s">
        <v>11</v>
      </c>
      <c r="J357" s="205" t="s">
        <v>6570</v>
      </c>
      <c r="K357" s="206">
        <v>2400</v>
      </c>
      <c r="L357" s="206"/>
      <c r="M357" s="159">
        <f t="shared" si="82"/>
        <v>0</v>
      </c>
      <c r="N357" s="159"/>
      <c r="O357" s="159"/>
      <c r="P357" s="159"/>
      <c r="Q357" s="159"/>
      <c r="R357" s="159"/>
      <c r="S357" s="149" t="s">
        <v>5275</v>
      </c>
      <c r="T357" s="150" t="s">
        <v>463</v>
      </c>
      <c r="U357" s="202" t="s">
        <v>6573</v>
      </c>
      <c r="V357" s="204">
        <v>2</v>
      </c>
      <c r="W357" s="203" t="s">
        <v>5104</v>
      </c>
      <c r="X357" s="204" t="s">
        <v>213</v>
      </c>
      <c r="Y357" s="206">
        <v>2600</v>
      </c>
      <c r="Z357" s="207">
        <v>30000</v>
      </c>
      <c r="AA357" s="207">
        <f t="shared" si="83"/>
        <v>72000000</v>
      </c>
      <c r="AB357" s="157">
        <v>30000</v>
      </c>
      <c r="AC357" s="158">
        <f t="shared" si="81"/>
        <v>30000</v>
      </c>
      <c r="AD357" s="159">
        <f t="shared" si="84"/>
        <v>0</v>
      </c>
      <c r="AE357" s="160"/>
      <c r="AF357" s="160">
        <f t="shared" si="85"/>
        <v>0</v>
      </c>
      <c r="AG357" s="165"/>
      <c r="AH357" s="161">
        <f t="shared" si="86"/>
        <v>0</v>
      </c>
      <c r="AI357" s="162"/>
      <c r="AJ357" s="162">
        <f t="shared" si="87"/>
        <v>0</v>
      </c>
      <c r="AK357" s="164"/>
      <c r="AL357" s="164">
        <f t="shared" si="88"/>
        <v>0</v>
      </c>
      <c r="AM357" s="165"/>
      <c r="AN357" s="165">
        <f t="shared" si="89"/>
        <v>0</v>
      </c>
      <c r="AO357" s="166">
        <v>0</v>
      </c>
      <c r="AP357" s="166">
        <f t="shared" si="90"/>
        <v>0</v>
      </c>
      <c r="AQ357" s="162"/>
      <c r="AR357" s="162">
        <f t="shared" si="91"/>
        <v>0</v>
      </c>
      <c r="AS357" s="173"/>
      <c r="AT357" s="167">
        <f t="shared" si="92"/>
        <v>0</v>
      </c>
      <c r="AU357" s="163"/>
      <c r="AV357" s="163">
        <f t="shared" si="93"/>
        <v>0</v>
      </c>
      <c r="AW357" s="168"/>
      <c r="AX357" s="168">
        <f t="shared" si="94"/>
        <v>0</v>
      </c>
      <c r="AY357" s="170"/>
      <c r="AZ357" s="170">
        <f t="shared" si="95"/>
        <v>0</v>
      </c>
      <c r="BA357" s="166"/>
      <c r="BB357" s="166">
        <f t="shared" si="96"/>
        <v>0</v>
      </c>
    </row>
    <row r="358" spans="1:54">
      <c r="A358" s="148" t="s">
        <v>6576</v>
      </c>
      <c r="B358" s="203" t="s">
        <v>1235</v>
      </c>
      <c r="C358" s="203"/>
      <c r="D358" s="203"/>
      <c r="E358" s="203" t="s">
        <v>1610</v>
      </c>
      <c r="F358" s="205" t="s">
        <v>1611</v>
      </c>
      <c r="G358" s="205" t="s">
        <v>463</v>
      </c>
      <c r="H358" s="204" t="s">
        <v>900</v>
      </c>
      <c r="I358" s="204" t="s">
        <v>11</v>
      </c>
      <c r="J358" s="205" t="s">
        <v>6578</v>
      </c>
      <c r="K358" s="206">
        <v>8950</v>
      </c>
      <c r="L358" s="206"/>
      <c r="M358" s="159">
        <f t="shared" si="82"/>
        <v>0</v>
      </c>
      <c r="N358" s="159"/>
      <c r="O358" s="159"/>
      <c r="P358" s="159"/>
      <c r="Q358" s="159"/>
      <c r="R358" s="159"/>
      <c r="S358" s="149" t="s">
        <v>5275</v>
      </c>
      <c r="T358" s="150" t="s">
        <v>463</v>
      </c>
      <c r="U358" s="202" t="s">
        <v>6577</v>
      </c>
      <c r="V358" s="204">
        <v>2</v>
      </c>
      <c r="W358" s="203" t="s">
        <v>5104</v>
      </c>
      <c r="X358" s="204" t="s">
        <v>213</v>
      </c>
      <c r="Y358" s="206">
        <v>12000</v>
      </c>
      <c r="Z358" s="207">
        <v>30000</v>
      </c>
      <c r="AA358" s="207">
        <f t="shared" si="83"/>
        <v>268500000</v>
      </c>
      <c r="AB358" s="157">
        <v>30000</v>
      </c>
      <c r="AC358" s="158">
        <f t="shared" si="81"/>
        <v>30000</v>
      </c>
      <c r="AD358" s="159">
        <f t="shared" si="84"/>
        <v>0</v>
      </c>
      <c r="AE358" s="160"/>
      <c r="AF358" s="160">
        <f t="shared" si="85"/>
        <v>0</v>
      </c>
      <c r="AG358" s="165"/>
      <c r="AH358" s="161">
        <f t="shared" si="86"/>
        <v>0</v>
      </c>
      <c r="AI358" s="162"/>
      <c r="AJ358" s="162">
        <f t="shared" si="87"/>
        <v>0</v>
      </c>
      <c r="AK358" s="164"/>
      <c r="AL358" s="164">
        <f t="shared" si="88"/>
        <v>0</v>
      </c>
      <c r="AM358" s="165"/>
      <c r="AN358" s="165">
        <f t="shared" si="89"/>
        <v>0</v>
      </c>
      <c r="AO358" s="166">
        <v>0</v>
      </c>
      <c r="AP358" s="166">
        <f t="shared" si="90"/>
        <v>0</v>
      </c>
      <c r="AQ358" s="162"/>
      <c r="AR358" s="162">
        <f t="shared" si="91"/>
        <v>0</v>
      </c>
      <c r="AS358" s="173"/>
      <c r="AT358" s="167">
        <f t="shared" si="92"/>
        <v>0</v>
      </c>
      <c r="AU358" s="163"/>
      <c r="AV358" s="163">
        <f t="shared" si="93"/>
        <v>0</v>
      </c>
      <c r="AW358" s="168"/>
      <c r="AX358" s="168">
        <f t="shared" si="94"/>
        <v>0</v>
      </c>
      <c r="AY358" s="170"/>
      <c r="AZ358" s="170">
        <f t="shared" si="95"/>
        <v>0</v>
      </c>
      <c r="BA358" s="166"/>
      <c r="BB358" s="166">
        <f t="shared" si="96"/>
        <v>0</v>
      </c>
    </row>
    <row r="359" spans="1:54" s="115" customFormat="1" ht="31.5">
      <c r="A359" s="148" t="s">
        <v>6579</v>
      </c>
      <c r="B359" s="203" t="s">
        <v>256</v>
      </c>
      <c r="C359" s="203"/>
      <c r="D359" s="203"/>
      <c r="E359" s="203" t="s">
        <v>3639</v>
      </c>
      <c r="F359" s="205" t="s">
        <v>1614</v>
      </c>
      <c r="G359" s="205" t="s">
        <v>463</v>
      </c>
      <c r="H359" s="204" t="s">
        <v>334</v>
      </c>
      <c r="I359" s="204" t="s">
        <v>11</v>
      </c>
      <c r="J359" s="205" t="s">
        <v>6580</v>
      </c>
      <c r="K359" s="206">
        <v>12600</v>
      </c>
      <c r="L359" s="206"/>
      <c r="M359" s="159">
        <f t="shared" si="82"/>
        <v>0</v>
      </c>
      <c r="N359" s="159"/>
      <c r="O359" s="159"/>
      <c r="P359" s="159"/>
      <c r="Q359" s="159"/>
      <c r="R359" s="159"/>
      <c r="S359" s="149" t="s">
        <v>5275</v>
      </c>
      <c r="T359" s="150" t="s">
        <v>463</v>
      </c>
      <c r="U359" s="202" t="s">
        <v>4536</v>
      </c>
      <c r="V359" s="204">
        <v>2</v>
      </c>
      <c r="W359" s="203" t="s">
        <v>5104</v>
      </c>
      <c r="X359" s="204" t="s">
        <v>213</v>
      </c>
      <c r="Y359" s="206">
        <v>16000</v>
      </c>
      <c r="Z359" s="207">
        <v>10000</v>
      </c>
      <c r="AA359" s="207">
        <f t="shared" si="83"/>
        <v>126000000</v>
      </c>
      <c r="AB359" s="157">
        <v>10000</v>
      </c>
      <c r="AC359" s="158">
        <f t="shared" si="81"/>
        <v>10000</v>
      </c>
      <c r="AD359" s="159">
        <f t="shared" si="84"/>
        <v>0</v>
      </c>
      <c r="AE359" s="160"/>
      <c r="AF359" s="160">
        <f t="shared" si="85"/>
        <v>0</v>
      </c>
      <c r="AG359" s="165"/>
      <c r="AH359" s="161">
        <f t="shared" si="86"/>
        <v>0</v>
      </c>
      <c r="AI359" s="162"/>
      <c r="AJ359" s="162">
        <f t="shared" si="87"/>
        <v>0</v>
      </c>
      <c r="AK359" s="164"/>
      <c r="AL359" s="164">
        <f t="shared" si="88"/>
        <v>0</v>
      </c>
      <c r="AM359" s="165"/>
      <c r="AN359" s="165">
        <f t="shared" si="89"/>
        <v>0</v>
      </c>
      <c r="AO359" s="166">
        <v>0</v>
      </c>
      <c r="AP359" s="166">
        <f t="shared" si="90"/>
        <v>0</v>
      </c>
      <c r="AQ359" s="162"/>
      <c r="AR359" s="162">
        <f t="shared" si="91"/>
        <v>0</v>
      </c>
      <c r="AS359" s="173"/>
      <c r="AT359" s="167">
        <f t="shared" si="92"/>
        <v>0</v>
      </c>
      <c r="AU359" s="163"/>
      <c r="AV359" s="163">
        <f t="shared" si="93"/>
        <v>0</v>
      </c>
      <c r="AW359" s="168"/>
      <c r="AX359" s="168">
        <f t="shared" si="94"/>
        <v>0</v>
      </c>
      <c r="AY359" s="170"/>
      <c r="AZ359" s="170">
        <f t="shared" si="95"/>
        <v>0</v>
      </c>
      <c r="BA359" s="166"/>
      <c r="BB359" s="166">
        <f t="shared" si="96"/>
        <v>0</v>
      </c>
    </row>
    <row r="360" spans="1:54">
      <c r="A360" s="172" t="s">
        <v>6581</v>
      </c>
      <c r="B360" s="203" t="s">
        <v>6583</v>
      </c>
      <c r="C360" s="203"/>
      <c r="D360" s="203"/>
      <c r="E360" s="203" t="s">
        <v>6585</v>
      </c>
      <c r="F360" s="205" t="s">
        <v>6587</v>
      </c>
      <c r="G360" s="205" t="s">
        <v>463</v>
      </c>
      <c r="H360" s="204" t="s">
        <v>6584</v>
      </c>
      <c r="I360" s="204" t="s">
        <v>11</v>
      </c>
      <c r="J360" s="205" t="s">
        <v>6586</v>
      </c>
      <c r="K360" s="206">
        <v>2500</v>
      </c>
      <c r="L360" s="206"/>
      <c r="M360" s="159">
        <f t="shared" si="82"/>
        <v>0</v>
      </c>
      <c r="N360" s="159"/>
      <c r="O360" s="159"/>
      <c r="P360" s="159"/>
      <c r="Q360" s="159"/>
      <c r="R360" s="159"/>
      <c r="S360" s="149" t="s">
        <v>5275</v>
      </c>
      <c r="T360" s="150" t="s">
        <v>463</v>
      </c>
      <c r="U360" s="202" t="s">
        <v>6582</v>
      </c>
      <c r="V360" s="204">
        <v>2</v>
      </c>
      <c r="W360" s="203" t="s">
        <v>5104</v>
      </c>
      <c r="X360" s="204" t="s">
        <v>213</v>
      </c>
      <c r="Y360" s="206">
        <v>2500</v>
      </c>
      <c r="Z360" s="207">
        <v>40000</v>
      </c>
      <c r="AA360" s="207">
        <f t="shared" si="83"/>
        <v>100000000</v>
      </c>
      <c r="AB360" s="157">
        <v>40000</v>
      </c>
      <c r="AC360" s="158">
        <f t="shared" si="81"/>
        <v>40000</v>
      </c>
      <c r="AD360" s="159">
        <f t="shared" si="84"/>
        <v>0</v>
      </c>
      <c r="AE360" s="160"/>
      <c r="AF360" s="160">
        <f t="shared" si="85"/>
        <v>0</v>
      </c>
      <c r="AG360" s="165"/>
      <c r="AH360" s="161">
        <f t="shared" si="86"/>
        <v>0</v>
      </c>
      <c r="AI360" s="162"/>
      <c r="AJ360" s="162">
        <f t="shared" si="87"/>
        <v>0</v>
      </c>
      <c r="AK360" s="164"/>
      <c r="AL360" s="164">
        <f t="shared" si="88"/>
        <v>0</v>
      </c>
      <c r="AM360" s="165"/>
      <c r="AN360" s="165">
        <f t="shared" si="89"/>
        <v>0</v>
      </c>
      <c r="AO360" s="166">
        <v>0</v>
      </c>
      <c r="AP360" s="166">
        <f t="shared" si="90"/>
        <v>0</v>
      </c>
      <c r="AQ360" s="162"/>
      <c r="AR360" s="162">
        <f t="shared" si="91"/>
        <v>0</v>
      </c>
      <c r="AS360" s="173"/>
      <c r="AT360" s="167">
        <f t="shared" si="92"/>
        <v>0</v>
      </c>
      <c r="AU360" s="163"/>
      <c r="AV360" s="163">
        <f t="shared" si="93"/>
        <v>0</v>
      </c>
      <c r="AW360" s="168"/>
      <c r="AX360" s="168">
        <f t="shared" si="94"/>
        <v>0</v>
      </c>
      <c r="AY360" s="170"/>
      <c r="AZ360" s="170">
        <f t="shared" si="95"/>
        <v>0</v>
      </c>
      <c r="BA360" s="166"/>
      <c r="BB360" s="166">
        <f t="shared" si="96"/>
        <v>0</v>
      </c>
    </row>
    <row r="361" spans="1:54" ht="31.5">
      <c r="A361" s="148" t="s">
        <v>6588</v>
      </c>
      <c r="B361" s="203" t="s">
        <v>1510</v>
      </c>
      <c r="C361" s="203"/>
      <c r="D361" s="203"/>
      <c r="E361" s="203" t="s">
        <v>6590</v>
      </c>
      <c r="F361" s="205" t="s">
        <v>6593</v>
      </c>
      <c r="G361" s="205" t="s">
        <v>6594</v>
      </c>
      <c r="H361" s="204" t="s">
        <v>4499</v>
      </c>
      <c r="I361" s="204" t="s">
        <v>658</v>
      </c>
      <c r="J361" s="205" t="s">
        <v>6591</v>
      </c>
      <c r="K361" s="206">
        <v>30000</v>
      </c>
      <c r="L361" s="206"/>
      <c r="M361" s="159">
        <f t="shared" si="82"/>
        <v>0</v>
      </c>
      <c r="N361" s="159"/>
      <c r="O361" s="159"/>
      <c r="P361" s="159"/>
      <c r="Q361" s="159"/>
      <c r="R361" s="159"/>
      <c r="S361" s="150" t="s">
        <v>5442</v>
      </c>
      <c r="T361" s="150" t="s">
        <v>5443</v>
      </c>
      <c r="U361" s="202" t="s">
        <v>6589</v>
      </c>
      <c r="V361" s="204">
        <v>2</v>
      </c>
      <c r="W361" s="203" t="s">
        <v>6592</v>
      </c>
      <c r="X361" s="204" t="s">
        <v>5551</v>
      </c>
      <c r="Y361" s="206">
        <v>30000</v>
      </c>
      <c r="Z361" s="207">
        <v>2000</v>
      </c>
      <c r="AA361" s="207">
        <f t="shared" si="83"/>
        <v>60000000</v>
      </c>
      <c r="AB361" s="157">
        <v>2000</v>
      </c>
      <c r="AC361" s="158">
        <f t="shared" si="81"/>
        <v>2000</v>
      </c>
      <c r="AD361" s="159">
        <f t="shared" si="84"/>
        <v>0</v>
      </c>
      <c r="AE361" s="160"/>
      <c r="AF361" s="160">
        <f t="shared" si="85"/>
        <v>0</v>
      </c>
      <c r="AG361" s="165"/>
      <c r="AH361" s="161">
        <f t="shared" si="86"/>
        <v>0</v>
      </c>
      <c r="AI361" s="162"/>
      <c r="AJ361" s="162">
        <f t="shared" si="87"/>
        <v>0</v>
      </c>
      <c r="AK361" s="164"/>
      <c r="AL361" s="164">
        <f t="shared" si="88"/>
        <v>0</v>
      </c>
      <c r="AM361" s="165"/>
      <c r="AN361" s="165">
        <f t="shared" si="89"/>
        <v>0</v>
      </c>
      <c r="AO361" s="166">
        <v>0</v>
      </c>
      <c r="AP361" s="166">
        <f t="shared" si="90"/>
        <v>0</v>
      </c>
      <c r="AQ361" s="162"/>
      <c r="AR361" s="162">
        <f t="shared" si="91"/>
        <v>0</v>
      </c>
      <c r="AS361" s="173"/>
      <c r="AT361" s="167">
        <f t="shared" si="92"/>
        <v>0</v>
      </c>
      <c r="AU361" s="163"/>
      <c r="AV361" s="163">
        <f t="shared" si="93"/>
        <v>0</v>
      </c>
      <c r="AW361" s="168"/>
      <c r="AX361" s="168">
        <f t="shared" si="94"/>
        <v>0</v>
      </c>
      <c r="AY361" s="170"/>
      <c r="AZ361" s="170">
        <f t="shared" si="95"/>
        <v>0</v>
      </c>
      <c r="BA361" s="166"/>
      <c r="BB361" s="166">
        <f t="shared" si="96"/>
        <v>0</v>
      </c>
    </row>
    <row r="362" spans="1:54" ht="31.5">
      <c r="A362" s="148" t="s">
        <v>6595</v>
      </c>
      <c r="B362" s="203" t="s">
        <v>337</v>
      </c>
      <c r="C362" s="203"/>
      <c r="D362" s="203"/>
      <c r="E362" s="203" t="s">
        <v>6597</v>
      </c>
      <c r="F362" s="205" t="s">
        <v>6599</v>
      </c>
      <c r="G362" s="205" t="s">
        <v>6600</v>
      </c>
      <c r="H362" s="204" t="s">
        <v>272</v>
      </c>
      <c r="I362" s="204" t="s">
        <v>11</v>
      </c>
      <c r="J362" s="205" t="s">
        <v>6598</v>
      </c>
      <c r="K362" s="206">
        <v>2800</v>
      </c>
      <c r="L362" s="206"/>
      <c r="M362" s="159">
        <f t="shared" si="82"/>
        <v>0</v>
      </c>
      <c r="N362" s="159"/>
      <c r="O362" s="159"/>
      <c r="P362" s="159"/>
      <c r="Q362" s="159"/>
      <c r="R362" s="159"/>
      <c r="S362" s="150" t="s">
        <v>5298</v>
      </c>
      <c r="T362" s="150" t="s">
        <v>5299</v>
      </c>
      <c r="U362" s="202" t="s">
        <v>6596</v>
      </c>
      <c r="V362" s="204">
        <v>2</v>
      </c>
      <c r="W362" s="203" t="s">
        <v>5784</v>
      </c>
      <c r="X362" s="204" t="s">
        <v>5605</v>
      </c>
      <c r="Y362" s="206">
        <v>3050</v>
      </c>
      <c r="Z362" s="207">
        <v>10000</v>
      </c>
      <c r="AA362" s="207">
        <f t="shared" si="83"/>
        <v>28000000</v>
      </c>
      <c r="AB362" s="157">
        <v>10000</v>
      </c>
      <c r="AC362" s="158">
        <f t="shared" si="81"/>
        <v>10000</v>
      </c>
      <c r="AD362" s="159">
        <f t="shared" si="84"/>
        <v>0</v>
      </c>
      <c r="AE362" s="160"/>
      <c r="AF362" s="160">
        <f t="shared" si="85"/>
        <v>0</v>
      </c>
      <c r="AG362" s="165"/>
      <c r="AH362" s="161">
        <f t="shared" si="86"/>
        <v>0</v>
      </c>
      <c r="AI362" s="162"/>
      <c r="AJ362" s="162">
        <f t="shared" si="87"/>
        <v>0</v>
      </c>
      <c r="AK362" s="164"/>
      <c r="AL362" s="164">
        <f t="shared" si="88"/>
        <v>0</v>
      </c>
      <c r="AM362" s="165"/>
      <c r="AN362" s="165">
        <f t="shared" si="89"/>
        <v>0</v>
      </c>
      <c r="AO362" s="166">
        <v>0</v>
      </c>
      <c r="AP362" s="166">
        <f t="shared" si="90"/>
        <v>0</v>
      </c>
      <c r="AQ362" s="162"/>
      <c r="AR362" s="162">
        <f t="shared" si="91"/>
        <v>0</v>
      </c>
      <c r="AS362" s="173"/>
      <c r="AT362" s="167">
        <f t="shared" si="92"/>
        <v>0</v>
      </c>
      <c r="AU362" s="163"/>
      <c r="AV362" s="163">
        <f t="shared" si="93"/>
        <v>0</v>
      </c>
      <c r="AW362" s="168"/>
      <c r="AX362" s="168">
        <f t="shared" si="94"/>
        <v>0</v>
      </c>
      <c r="AY362" s="170"/>
      <c r="AZ362" s="170">
        <f t="shared" si="95"/>
        <v>0</v>
      </c>
      <c r="BA362" s="166"/>
      <c r="BB362" s="166">
        <f t="shared" si="96"/>
        <v>0</v>
      </c>
    </row>
    <row r="363" spans="1:54" ht="31.5">
      <c r="A363" s="172" t="s">
        <v>6601</v>
      </c>
      <c r="B363" s="203" t="s">
        <v>1390</v>
      </c>
      <c r="C363" s="203"/>
      <c r="D363" s="203"/>
      <c r="E363" s="203" t="s">
        <v>6603</v>
      </c>
      <c r="F363" s="205" t="s">
        <v>6605</v>
      </c>
      <c r="G363" s="205" t="s">
        <v>6606</v>
      </c>
      <c r="H363" s="204" t="s">
        <v>3144</v>
      </c>
      <c r="I363" s="204" t="s">
        <v>11</v>
      </c>
      <c r="J363" s="205" t="s">
        <v>6604</v>
      </c>
      <c r="K363" s="206">
        <v>3180</v>
      </c>
      <c r="L363" s="206"/>
      <c r="M363" s="159">
        <f t="shared" si="82"/>
        <v>0</v>
      </c>
      <c r="N363" s="159"/>
      <c r="O363" s="159"/>
      <c r="P363" s="159"/>
      <c r="Q363" s="159"/>
      <c r="R363" s="159"/>
      <c r="S363" s="149" t="s">
        <v>6177</v>
      </c>
      <c r="T363" s="149" t="s">
        <v>6178</v>
      </c>
      <c r="U363" s="202" t="s">
        <v>6602</v>
      </c>
      <c r="V363" s="204">
        <v>2</v>
      </c>
      <c r="W363" s="203" t="s">
        <v>5104</v>
      </c>
      <c r="X363" s="204" t="s">
        <v>213</v>
      </c>
      <c r="Y363" s="206">
        <v>3180</v>
      </c>
      <c r="Z363" s="207">
        <v>60000</v>
      </c>
      <c r="AA363" s="207">
        <f t="shared" si="83"/>
        <v>190800000</v>
      </c>
      <c r="AB363" s="157">
        <v>60000</v>
      </c>
      <c r="AC363" s="158">
        <f t="shared" si="81"/>
        <v>60000</v>
      </c>
      <c r="AD363" s="159">
        <f t="shared" si="84"/>
        <v>0</v>
      </c>
      <c r="AE363" s="160"/>
      <c r="AF363" s="160">
        <f t="shared" si="85"/>
        <v>0</v>
      </c>
      <c r="AG363" s="165"/>
      <c r="AH363" s="161">
        <f t="shared" si="86"/>
        <v>0</v>
      </c>
      <c r="AI363" s="162"/>
      <c r="AJ363" s="162">
        <f t="shared" si="87"/>
        <v>0</v>
      </c>
      <c r="AK363" s="164"/>
      <c r="AL363" s="164">
        <f t="shared" si="88"/>
        <v>0</v>
      </c>
      <c r="AM363" s="165"/>
      <c r="AN363" s="165">
        <f t="shared" si="89"/>
        <v>0</v>
      </c>
      <c r="AO363" s="166">
        <v>0</v>
      </c>
      <c r="AP363" s="166">
        <f t="shared" si="90"/>
        <v>0</v>
      </c>
      <c r="AQ363" s="162"/>
      <c r="AR363" s="162">
        <f t="shared" si="91"/>
        <v>0</v>
      </c>
      <c r="AS363" s="173"/>
      <c r="AT363" s="167">
        <f t="shared" si="92"/>
        <v>0</v>
      </c>
      <c r="AU363" s="163"/>
      <c r="AV363" s="163">
        <f t="shared" si="93"/>
        <v>0</v>
      </c>
      <c r="AW363" s="168"/>
      <c r="AX363" s="168">
        <f t="shared" si="94"/>
        <v>0</v>
      </c>
      <c r="AY363" s="170"/>
      <c r="AZ363" s="170">
        <f t="shared" si="95"/>
        <v>0</v>
      </c>
      <c r="BA363" s="166"/>
      <c r="BB363" s="166">
        <f t="shared" si="96"/>
        <v>0</v>
      </c>
    </row>
    <row r="364" spans="1:54" ht="112.5">
      <c r="A364" s="148" t="s">
        <v>6607</v>
      </c>
      <c r="B364" s="203" t="s">
        <v>4509</v>
      </c>
      <c r="C364" s="203"/>
      <c r="D364" s="203"/>
      <c r="E364" s="203" t="s">
        <v>6608</v>
      </c>
      <c r="F364" s="205" t="s">
        <v>6610</v>
      </c>
      <c r="G364" s="205" t="s">
        <v>6611</v>
      </c>
      <c r="H364" s="204" t="s">
        <v>232</v>
      </c>
      <c r="I364" s="204" t="s">
        <v>11</v>
      </c>
      <c r="J364" s="205" t="s">
        <v>6609</v>
      </c>
      <c r="K364" s="206">
        <v>36000</v>
      </c>
      <c r="L364" s="206"/>
      <c r="M364" s="159">
        <f t="shared" si="82"/>
        <v>0</v>
      </c>
      <c r="N364" s="159"/>
      <c r="O364" s="159"/>
      <c r="P364" s="159"/>
      <c r="Q364" s="159"/>
      <c r="R364" s="159"/>
      <c r="S364" s="209" t="s">
        <v>5848</v>
      </c>
      <c r="T364" s="203" t="s">
        <v>5849</v>
      </c>
      <c r="U364" s="202" t="s">
        <v>4507</v>
      </c>
      <c r="V364" s="204">
        <v>2</v>
      </c>
      <c r="W364" s="203" t="s">
        <v>5104</v>
      </c>
      <c r="X364" s="204" t="s">
        <v>5296</v>
      </c>
      <c r="Y364" s="206">
        <v>41000</v>
      </c>
      <c r="Z364" s="207">
        <v>4000</v>
      </c>
      <c r="AA364" s="207">
        <f t="shared" si="83"/>
        <v>144000000</v>
      </c>
      <c r="AB364" s="157">
        <v>4000</v>
      </c>
      <c r="AC364" s="158">
        <f t="shared" ref="AC364:AC427" si="97">AB364-M364</f>
        <v>4000</v>
      </c>
      <c r="AD364" s="159">
        <f t="shared" si="84"/>
        <v>0</v>
      </c>
      <c r="AE364" s="160"/>
      <c r="AF364" s="160">
        <f t="shared" si="85"/>
        <v>0</v>
      </c>
      <c r="AG364" s="165"/>
      <c r="AH364" s="161">
        <f t="shared" si="86"/>
        <v>0</v>
      </c>
      <c r="AI364" s="162"/>
      <c r="AJ364" s="162">
        <f t="shared" si="87"/>
        <v>0</v>
      </c>
      <c r="AK364" s="163"/>
      <c r="AL364" s="164">
        <f t="shared" si="88"/>
        <v>0</v>
      </c>
      <c r="AM364" s="161"/>
      <c r="AN364" s="165">
        <f t="shared" si="89"/>
        <v>0</v>
      </c>
      <c r="AO364" s="160">
        <v>0</v>
      </c>
      <c r="AP364" s="166">
        <f t="shared" si="90"/>
        <v>0</v>
      </c>
      <c r="AQ364" s="162"/>
      <c r="AR364" s="162">
        <f t="shared" si="91"/>
        <v>0</v>
      </c>
      <c r="AS364" s="173"/>
      <c r="AT364" s="167">
        <f t="shared" si="92"/>
        <v>0</v>
      </c>
      <c r="AU364" s="163"/>
      <c r="AV364" s="163">
        <f t="shared" si="93"/>
        <v>0</v>
      </c>
      <c r="AW364" s="162"/>
      <c r="AX364" s="168">
        <f t="shared" si="94"/>
        <v>0</v>
      </c>
      <c r="AY364" s="169"/>
      <c r="AZ364" s="170">
        <f t="shared" si="95"/>
        <v>0</v>
      </c>
      <c r="BA364" s="160"/>
      <c r="BB364" s="166">
        <f t="shared" si="96"/>
        <v>0</v>
      </c>
    </row>
    <row r="365" spans="1:54" ht="31.5">
      <c r="A365" s="148" t="s">
        <v>6612</v>
      </c>
      <c r="B365" s="203" t="s">
        <v>816</v>
      </c>
      <c r="C365" s="203"/>
      <c r="D365" s="203"/>
      <c r="E365" s="203" t="s">
        <v>3864</v>
      </c>
      <c r="F365" s="205" t="s">
        <v>6613</v>
      </c>
      <c r="G365" s="205" t="s">
        <v>1765</v>
      </c>
      <c r="H365" s="204" t="s">
        <v>299</v>
      </c>
      <c r="I365" s="204" t="s">
        <v>11</v>
      </c>
      <c r="J365" s="205" t="s">
        <v>6321</v>
      </c>
      <c r="K365" s="206">
        <v>830</v>
      </c>
      <c r="L365" s="206"/>
      <c r="M365" s="159">
        <f t="shared" si="82"/>
        <v>12000</v>
      </c>
      <c r="N365" s="159"/>
      <c r="O365" s="159"/>
      <c r="P365" s="159"/>
      <c r="Q365" s="159"/>
      <c r="R365" s="159"/>
      <c r="S365" s="149" t="s">
        <v>5830</v>
      </c>
      <c r="T365" s="149" t="s">
        <v>5831</v>
      </c>
      <c r="U365" s="202" t="s">
        <v>3863</v>
      </c>
      <c r="V365" s="204">
        <v>2</v>
      </c>
      <c r="W365" s="203" t="s">
        <v>253</v>
      </c>
      <c r="X365" s="204" t="s">
        <v>5605</v>
      </c>
      <c r="Y365" s="206">
        <v>3200</v>
      </c>
      <c r="Z365" s="207">
        <v>30000</v>
      </c>
      <c r="AA365" s="207">
        <f t="shared" si="83"/>
        <v>24900000</v>
      </c>
      <c r="AB365" s="157">
        <v>30000</v>
      </c>
      <c r="AC365" s="158">
        <f t="shared" si="97"/>
        <v>18000</v>
      </c>
      <c r="AD365" s="159">
        <f t="shared" si="84"/>
        <v>9960000</v>
      </c>
      <c r="AE365" s="160"/>
      <c r="AF365" s="160">
        <f t="shared" si="85"/>
        <v>0</v>
      </c>
      <c r="AG365" s="165"/>
      <c r="AH365" s="161">
        <f t="shared" si="86"/>
        <v>0</v>
      </c>
      <c r="AI365" s="162"/>
      <c r="AJ365" s="162">
        <f t="shared" si="87"/>
        <v>0</v>
      </c>
      <c r="AK365" s="164"/>
      <c r="AL365" s="164">
        <f t="shared" si="88"/>
        <v>0</v>
      </c>
      <c r="AM365" s="165"/>
      <c r="AN365" s="165">
        <f t="shared" si="89"/>
        <v>0</v>
      </c>
      <c r="AO365" s="166">
        <v>0</v>
      </c>
      <c r="AP365" s="166">
        <f t="shared" si="90"/>
        <v>0</v>
      </c>
      <c r="AQ365" s="162"/>
      <c r="AR365" s="162">
        <f t="shared" si="91"/>
        <v>0</v>
      </c>
      <c r="AS365" s="173">
        <v>12000</v>
      </c>
      <c r="AT365" s="167">
        <f t="shared" si="92"/>
        <v>9960000</v>
      </c>
      <c r="AU365" s="163"/>
      <c r="AV365" s="163">
        <f t="shared" si="93"/>
        <v>0</v>
      </c>
      <c r="AW365" s="168"/>
      <c r="AX365" s="168">
        <f t="shared" si="94"/>
        <v>0</v>
      </c>
      <c r="AY365" s="170"/>
      <c r="AZ365" s="170">
        <f t="shared" si="95"/>
        <v>0</v>
      </c>
      <c r="BA365" s="166"/>
      <c r="BB365" s="166">
        <f t="shared" si="96"/>
        <v>0</v>
      </c>
    </row>
    <row r="366" spans="1:54" ht="31.5">
      <c r="A366" s="172" t="s">
        <v>6614</v>
      </c>
      <c r="B366" s="203" t="s">
        <v>1140</v>
      </c>
      <c r="C366" s="203"/>
      <c r="D366" s="203"/>
      <c r="E366" s="203" t="s">
        <v>4544</v>
      </c>
      <c r="F366" s="205" t="s">
        <v>6616</v>
      </c>
      <c r="G366" s="205" t="s">
        <v>6617</v>
      </c>
      <c r="H366" s="204" t="s">
        <v>4545</v>
      </c>
      <c r="I366" s="204" t="s">
        <v>4240</v>
      </c>
      <c r="J366" s="205" t="s">
        <v>6615</v>
      </c>
      <c r="K366" s="206">
        <v>28400</v>
      </c>
      <c r="L366" s="206"/>
      <c r="M366" s="159">
        <f t="shared" si="82"/>
        <v>150</v>
      </c>
      <c r="N366" s="159"/>
      <c r="O366" s="159"/>
      <c r="P366" s="159"/>
      <c r="Q366" s="159"/>
      <c r="R366" s="159"/>
      <c r="S366" s="150" t="s">
        <v>5118</v>
      </c>
      <c r="T366" s="150" t="s">
        <v>5119</v>
      </c>
      <c r="U366" s="202" t="s">
        <v>4543</v>
      </c>
      <c r="V366" s="204">
        <v>2</v>
      </c>
      <c r="W366" s="203" t="s">
        <v>5104</v>
      </c>
      <c r="X366" s="204" t="s">
        <v>6618</v>
      </c>
      <c r="Y366" s="206">
        <v>30814</v>
      </c>
      <c r="Z366" s="207">
        <v>1000</v>
      </c>
      <c r="AA366" s="207">
        <f t="shared" si="83"/>
        <v>28400000</v>
      </c>
      <c r="AB366" s="157">
        <v>1000</v>
      </c>
      <c r="AC366" s="158">
        <f t="shared" si="97"/>
        <v>850</v>
      </c>
      <c r="AD366" s="159">
        <f t="shared" si="84"/>
        <v>4260000</v>
      </c>
      <c r="AE366" s="160"/>
      <c r="AF366" s="160">
        <f t="shared" si="85"/>
        <v>0</v>
      </c>
      <c r="AG366" s="165"/>
      <c r="AH366" s="161">
        <f t="shared" si="86"/>
        <v>0</v>
      </c>
      <c r="AI366" s="162"/>
      <c r="AJ366" s="162">
        <f t="shared" si="87"/>
        <v>0</v>
      </c>
      <c r="AK366" s="164"/>
      <c r="AL366" s="164">
        <f t="shared" si="88"/>
        <v>0</v>
      </c>
      <c r="AM366" s="165">
        <v>120</v>
      </c>
      <c r="AN366" s="165">
        <f t="shared" si="89"/>
        <v>3408000</v>
      </c>
      <c r="AO366" s="166">
        <v>30</v>
      </c>
      <c r="AP366" s="166">
        <f t="shared" si="90"/>
        <v>852000</v>
      </c>
      <c r="AQ366" s="162"/>
      <c r="AR366" s="162">
        <f t="shared" si="91"/>
        <v>0</v>
      </c>
      <c r="AS366" s="173"/>
      <c r="AT366" s="167">
        <f t="shared" si="92"/>
        <v>0</v>
      </c>
      <c r="AU366" s="163"/>
      <c r="AV366" s="163">
        <f t="shared" si="93"/>
        <v>0</v>
      </c>
      <c r="AW366" s="168"/>
      <c r="AX366" s="168">
        <f t="shared" si="94"/>
        <v>0</v>
      </c>
      <c r="AY366" s="170"/>
      <c r="AZ366" s="170">
        <f t="shared" si="95"/>
        <v>0</v>
      </c>
      <c r="BA366" s="166"/>
      <c r="BB366" s="166">
        <f t="shared" si="96"/>
        <v>0</v>
      </c>
    </row>
    <row r="367" spans="1:54" ht="31.5">
      <c r="A367" s="148" t="s">
        <v>6619</v>
      </c>
      <c r="B367" s="203" t="s">
        <v>6623</v>
      </c>
      <c r="C367" s="203"/>
      <c r="D367" s="203"/>
      <c r="E367" s="203" t="s">
        <v>6624</v>
      </c>
      <c r="F367" s="205" t="s">
        <v>6626</v>
      </c>
      <c r="G367" s="205" t="s">
        <v>6627</v>
      </c>
      <c r="H367" s="204" t="s">
        <v>1915</v>
      </c>
      <c r="I367" s="204" t="s">
        <v>11</v>
      </c>
      <c r="J367" s="205" t="s">
        <v>6625</v>
      </c>
      <c r="K367" s="206">
        <v>290</v>
      </c>
      <c r="L367" s="206"/>
      <c r="M367" s="159">
        <f t="shared" si="82"/>
        <v>0</v>
      </c>
      <c r="N367" s="159"/>
      <c r="O367" s="159"/>
      <c r="P367" s="159"/>
      <c r="Q367" s="159"/>
      <c r="R367" s="159"/>
      <c r="S367" s="150" t="s">
        <v>6620</v>
      </c>
      <c r="T367" s="150" t="s">
        <v>6621</v>
      </c>
      <c r="U367" s="202" t="s">
        <v>6622</v>
      </c>
      <c r="V367" s="204">
        <v>2</v>
      </c>
      <c r="W367" s="203" t="s">
        <v>253</v>
      </c>
      <c r="X367" s="204" t="s">
        <v>6628</v>
      </c>
      <c r="Y367" s="206">
        <v>350</v>
      </c>
      <c r="Z367" s="207">
        <v>20000</v>
      </c>
      <c r="AA367" s="207">
        <f t="shared" si="83"/>
        <v>5800000</v>
      </c>
      <c r="AB367" s="157">
        <v>20000</v>
      </c>
      <c r="AC367" s="158">
        <f t="shared" si="97"/>
        <v>20000</v>
      </c>
      <c r="AD367" s="159">
        <f t="shared" si="84"/>
        <v>0</v>
      </c>
      <c r="AE367" s="160"/>
      <c r="AF367" s="160">
        <f t="shared" si="85"/>
        <v>0</v>
      </c>
      <c r="AG367" s="165"/>
      <c r="AH367" s="161">
        <f t="shared" si="86"/>
        <v>0</v>
      </c>
      <c r="AI367" s="162"/>
      <c r="AJ367" s="162">
        <f t="shared" si="87"/>
        <v>0</v>
      </c>
      <c r="AK367" s="163"/>
      <c r="AL367" s="164">
        <f t="shared" si="88"/>
        <v>0</v>
      </c>
      <c r="AM367" s="161"/>
      <c r="AN367" s="165">
        <f t="shared" si="89"/>
        <v>0</v>
      </c>
      <c r="AO367" s="160">
        <v>0</v>
      </c>
      <c r="AP367" s="166">
        <f t="shared" si="90"/>
        <v>0</v>
      </c>
      <c r="AQ367" s="162"/>
      <c r="AR367" s="162">
        <f t="shared" si="91"/>
        <v>0</v>
      </c>
      <c r="AS367" s="173"/>
      <c r="AT367" s="167">
        <f t="shared" si="92"/>
        <v>0</v>
      </c>
      <c r="AU367" s="163"/>
      <c r="AV367" s="163">
        <f t="shared" si="93"/>
        <v>0</v>
      </c>
      <c r="AW367" s="162"/>
      <c r="AX367" s="168">
        <f t="shared" si="94"/>
        <v>0</v>
      </c>
      <c r="AY367" s="169"/>
      <c r="AZ367" s="170">
        <f t="shared" si="95"/>
        <v>0</v>
      </c>
      <c r="BA367" s="160"/>
      <c r="BB367" s="166">
        <f t="shared" si="96"/>
        <v>0</v>
      </c>
    </row>
    <row r="368" spans="1:54" s="115" customFormat="1" ht="31.5">
      <c r="A368" s="148" t="s">
        <v>6629</v>
      </c>
      <c r="B368" s="203" t="s">
        <v>6006</v>
      </c>
      <c r="C368" s="203"/>
      <c r="D368" s="203"/>
      <c r="E368" s="203" t="s">
        <v>6631</v>
      </c>
      <c r="F368" s="205" t="s">
        <v>6633</v>
      </c>
      <c r="G368" s="205" t="s">
        <v>6634</v>
      </c>
      <c r="H368" s="204" t="s">
        <v>310</v>
      </c>
      <c r="I368" s="204" t="s">
        <v>11</v>
      </c>
      <c r="J368" s="205" t="s">
        <v>6632</v>
      </c>
      <c r="K368" s="206">
        <v>4000</v>
      </c>
      <c r="L368" s="206"/>
      <c r="M368" s="159">
        <f t="shared" si="82"/>
        <v>0</v>
      </c>
      <c r="N368" s="159"/>
      <c r="O368" s="159"/>
      <c r="P368" s="159"/>
      <c r="Q368" s="159"/>
      <c r="R368" s="159"/>
      <c r="S368" s="149" t="s">
        <v>5669</v>
      </c>
      <c r="T368" s="149" t="s">
        <v>5670</v>
      </c>
      <c r="U368" s="202" t="s">
        <v>6630</v>
      </c>
      <c r="V368" s="204">
        <v>2</v>
      </c>
      <c r="W368" s="203" t="s">
        <v>5104</v>
      </c>
      <c r="X368" s="204" t="s">
        <v>213</v>
      </c>
      <c r="Y368" s="206">
        <v>4000</v>
      </c>
      <c r="Z368" s="207">
        <v>10000</v>
      </c>
      <c r="AA368" s="207">
        <f t="shared" si="83"/>
        <v>40000000</v>
      </c>
      <c r="AB368" s="157">
        <v>10000</v>
      </c>
      <c r="AC368" s="158">
        <f t="shared" si="97"/>
        <v>10000</v>
      </c>
      <c r="AD368" s="159">
        <f t="shared" si="84"/>
        <v>0</v>
      </c>
      <c r="AE368" s="160"/>
      <c r="AF368" s="160">
        <f t="shared" si="85"/>
        <v>0</v>
      </c>
      <c r="AG368" s="165"/>
      <c r="AH368" s="161">
        <f t="shared" si="86"/>
        <v>0</v>
      </c>
      <c r="AI368" s="162"/>
      <c r="AJ368" s="162">
        <f t="shared" si="87"/>
        <v>0</v>
      </c>
      <c r="AK368" s="164"/>
      <c r="AL368" s="164">
        <f t="shared" si="88"/>
        <v>0</v>
      </c>
      <c r="AM368" s="165"/>
      <c r="AN368" s="165">
        <f t="shared" si="89"/>
        <v>0</v>
      </c>
      <c r="AO368" s="166">
        <v>0</v>
      </c>
      <c r="AP368" s="166">
        <f t="shared" si="90"/>
        <v>0</v>
      </c>
      <c r="AQ368" s="162"/>
      <c r="AR368" s="162">
        <f t="shared" si="91"/>
        <v>0</v>
      </c>
      <c r="AS368" s="173"/>
      <c r="AT368" s="167">
        <f t="shared" si="92"/>
        <v>0</v>
      </c>
      <c r="AU368" s="163"/>
      <c r="AV368" s="163">
        <f t="shared" si="93"/>
        <v>0</v>
      </c>
      <c r="AW368" s="168"/>
      <c r="AX368" s="168">
        <f t="shared" si="94"/>
        <v>0</v>
      </c>
      <c r="AY368" s="170"/>
      <c r="AZ368" s="170">
        <f t="shared" si="95"/>
        <v>0</v>
      </c>
      <c r="BA368" s="166"/>
      <c r="BB368" s="166">
        <f t="shared" si="96"/>
        <v>0</v>
      </c>
    </row>
    <row r="369" spans="1:54" s="115" customFormat="1" ht="112.5">
      <c r="A369" s="172" t="s">
        <v>6635</v>
      </c>
      <c r="B369" s="203" t="s">
        <v>1702</v>
      </c>
      <c r="C369" s="203"/>
      <c r="D369" s="203"/>
      <c r="E369" s="203" t="s">
        <v>6636</v>
      </c>
      <c r="F369" s="205" t="s">
        <v>1760</v>
      </c>
      <c r="G369" s="205" t="s">
        <v>6102</v>
      </c>
      <c r="H369" s="204" t="s">
        <v>327</v>
      </c>
      <c r="I369" s="204" t="s">
        <v>11</v>
      </c>
      <c r="J369" s="205" t="s">
        <v>6637</v>
      </c>
      <c r="K369" s="206">
        <v>1200</v>
      </c>
      <c r="L369" s="206"/>
      <c r="M369" s="159">
        <f t="shared" si="82"/>
        <v>0</v>
      </c>
      <c r="N369" s="159"/>
      <c r="O369" s="159"/>
      <c r="P369" s="159"/>
      <c r="Q369" s="159"/>
      <c r="R369" s="159"/>
      <c r="S369" s="209" t="s">
        <v>5848</v>
      </c>
      <c r="T369" s="203" t="s">
        <v>5849</v>
      </c>
      <c r="U369" s="202" t="s">
        <v>4029</v>
      </c>
      <c r="V369" s="204">
        <v>2</v>
      </c>
      <c r="W369" s="203" t="s">
        <v>253</v>
      </c>
      <c r="X369" s="204" t="s">
        <v>213</v>
      </c>
      <c r="Y369" s="206">
        <v>1800</v>
      </c>
      <c r="Z369" s="207">
        <v>30000</v>
      </c>
      <c r="AA369" s="207">
        <f t="shared" si="83"/>
        <v>36000000</v>
      </c>
      <c r="AB369" s="157">
        <v>30000</v>
      </c>
      <c r="AC369" s="158">
        <f t="shared" si="97"/>
        <v>30000</v>
      </c>
      <c r="AD369" s="159">
        <f t="shared" si="84"/>
        <v>0</v>
      </c>
      <c r="AE369" s="160"/>
      <c r="AF369" s="160">
        <f t="shared" si="85"/>
        <v>0</v>
      </c>
      <c r="AG369" s="165"/>
      <c r="AH369" s="161">
        <f t="shared" si="86"/>
        <v>0</v>
      </c>
      <c r="AI369" s="162"/>
      <c r="AJ369" s="162">
        <f t="shared" si="87"/>
        <v>0</v>
      </c>
      <c r="AK369" s="164"/>
      <c r="AL369" s="164">
        <f t="shared" si="88"/>
        <v>0</v>
      </c>
      <c r="AM369" s="165"/>
      <c r="AN369" s="165">
        <f t="shared" si="89"/>
        <v>0</v>
      </c>
      <c r="AO369" s="166">
        <v>0</v>
      </c>
      <c r="AP369" s="166">
        <f t="shared" si="90"/>
        <v>0</v>
      </c>
      <c r="AQ369" s="162"/>
      <c r="AR369" s="162">
        <f t="shared" si="91"/>
        <v>0</v>
      </c>
      <c r="AS369" s="173"/>
      <c r="AT369" s="167">
        <f t="shared" si="92"/>
        <v>0</v>
      </c>
      <c r="AU369" s="163"/>
      <c r="AV369" s="163">
        <f t="shared" si="93"/>
        <v>0</v>
      </c>
      <c r="AW369" s="168"/>
      <c r="AX369" s="168">
        <f t="shared" si="94"/>
        <v>0</v>
      </c>
      <c r="AY369" s="170"/>
      <c r="AZ369" s="170">
        <f t="shared" si="95"/>
        <v>0</v>
      </c>
      <c r="BA369" s="166"/>
      <c r="BB369" s="166">
        <f t="shared" si="96"/>
        <v>0</v>
      </c>
    </row>
    <row r="370" spans="1:54" s="115" customFormat="1" ht="31.5">
      <c r="A370" s="148" t="s">
        <v>6638</v>
      </c>
      <c r="B370" s="203" t="s">
        <v>6642</v>
      </c>
      <c r="C370" s="203"/>
      <c r="D370" s="203"/>
      <c r="E370" s="203" t="s">
        <v>6643</v>
      </c>
      <c r="F370" s="205" t="s">
        <v>6645</v>
      </c>
      <c r="G370" s="205" t="s">
        <v>6532</v>
      </c>
      <c r="H370" s="204" t="s">
        <v>291</v>
      </c>
      <c r="I370" s="204" t="s">
        <v>11</v>
      </c>
      <c r="J370" s="205" t="s">
        <v>6644</v>
      </c>
      <c r="K370" s="206">
        <v>23000</v>
      </c>
      <c r="L370" s="206"/>
      <c r="M370" s="159">
        <f t="shared" si="82"/>
        <v>0</v>
      </c>
      <c r="N370" s="159"/>
      <c r="O370" s="159"/>
      <c r="P370" s="159"/>
      <c r="Q370" s="159"/>
      <c r="R370" s="159"/>
      <c r="S370" s="149" t="s">
        <v>6639</v>
      </c>
      <c r="T370" s="149" t="s">
        <v>6640</v>
      </c>
      <c r="U370" s="202" t="s">
        <v>6641</v>
      </c>
      <c r="V370" s="204">
        <v>2</v>
      </c>
      <c r="W370" s="203" t="s">
        <v>5104</v>
      </c>
      <c r="X370" s="204" t="s">
        <v>213</v>
      </c>
      <c r="Y370" s="206">
        <v>24000</v>
      </c>
      <c r="Z370" s="207">
        <v>10000</v>
      </c>
      <c r="AA370" s="207">
        <f t="shared" si="83"/>
        <v>230000000</v>
      </c>
      <c r="AB370" s="157">
        <v>10000</v>
      </c>
      <c r="AC370" s="158">
        <f t="shared" si="97"/>
        <v>10000</v>
      </c>
      <c r="AD370" s="159">
        <f t="shared" si="84"/>
        <v>0</v>
      </c>
      <c r="AE370" s="160"/>
      <c r="AF370" s="160">
        <f t="shared" si="85"/>
        <v>0</v>
      </c>
      <c r="AG370" s="165"/>
      <c r="AH370" s="161">
        <f t="shared" si="86"/>
        <v>0</v>
      </c>
      <c r="AI370" s="162"/>
      <c r="AJ370" s="162">
        <f t="shared" si="87"/>
        <v>0</v>
      </c>
      <c r="AK370" s="164"/>
      <c r="AL370" s="164">
        <f t="shared" si="88"/>
        <v>0</v>
      </c>
      <c r="AM370" s="165"/>
      <c r="AN370" s="165">
        <f t="shared" si="89"/>
        <v>0</v>
      </c>
      <c r="AO370" s="166">
        <v>0</v>
      </c>
      <c r="AP370" s="166">
        <f t="shared" si="90"/>
        <v>0</v>
      </c>
      <c r="AQ370" s="162"/>
      <c r="AR370" s="162">
        <f t="shared" si="91"/>
        <v>0</v>
      </c>
      <c r="AS370" s="173"/>
      <c r="AT370" s="167">
        <f t="shared" si="92"/>
        <v>0</v>
      </c>
      <c r="AU370" s="163"/>
      <c r="AV370" s="163">
        <f t="shared" si="93"/>
        <v>0</v>
      </c>
      <c r="AW370" s="168"/>
      <c r="AX370" s="168">
        <f t="shared" si="94"/>
        <v>0</v>
      </c>
      <c r="AY370" s="170"/>
      <c r="AZ370" s="170">
        <f t="shared" si="95"/>
        <v>0</v>
      </c>
      <c r="BA370" s="166"/>
      <c r="BB370" s="166">
        <f t="shared" si="96"/>
        <v>0</v>
      </c>
    </row>
    <row r="371" spans="1:54" ht="31.5">
      <c r="A371" s="148" t="s">
        <v>6646</v>
      </c>
      <c r="B371" s="203" t="s">
        <v>378</v>
      </c>
      <c r="C371" s="203"/>
      <c r="D371" s="203"/>
      <c r="E371" s="203" t="s">
        <v>6649</v>
      </c>
      <c r="F371" s="205" t="s">
        <v>6651</v>
      </c>
      <c r="G371" s="205" t="s">
        <v>6652</v>
      </c>
      <c r="H371" s="204" t="s">
        <v>6648</v>
      </c>
      <c r="I371" s="204" t="s">
        <v>658</v>
      </c>
      <c r="J371" s="205" t="s">
        <v>6650</v>
      </c>
      <c r="K371" s="206">
        <v>55000</v>
      </c>
      <c r="L371" s="206"/>
      <c r="M371" s="159">
        <f t="shared" si="82"/>
        <v>0</v>
      </c>
      <c r="N371" s="159"/>
      <c r="O371" s="159"/>
      <c r="P371" s="159"/>
      <c r="Q371" s="159"/>
      <c r="R371" s="159"/>
      <c r="S371" s="150" t="s">
        <v>5118</v>
      </c>
      <c r="T371" s="150" t="s">
        <v>5119</v>
      </c>
      <c r="U371" s="202" t="s">
        <v>6647</v>
      </c>
      <c r="V371" s="204">
        <v>2</v>
      </c>
      <c r="W371" s="203" t="s">
        <v>5104</v>
      </c>
      <c r="X371" s="204" t="s">
        <v>6564</v>
      </c>
      <c r="Y371" s="206">
        <v>55000</v>
      </c>
      <c r="Z371" s="207">
        <v>5000</v>
      </c>
      <c r="AA371" s="207">
        <f t="shared" si="83"/>
        <v>275000000</v>
      </c>
      <c r="AB371" s="157">
        <v>5000</v>
      </c>
      <c r="AC371" s="158">
        <f t="shared" si="97"/>
        <v>5000</v>
      </c>
      <c r="AD371" s="159">
        <f t="shared" si="84"/>
        <v>0</v>
      </c>
      <c r="AE371" s="160"/>
      <c r="AF371" s="160">
        <f t="shared" si="85"/>
        <v>0</v>
      </c>
      <c r="AG371" s="165"/>
      <c r="AH371" s="161">
        <f t="shared" si="86"/>
        <v>0</v>
      </c>
      <c r="AI371" s="162"/>
      <c r="AJ371" s="162">
        <f t="shared" si="87"/>
        <v>0</v>
      </c>
      <c r="AK371" s="164"/>
      <c r="AL371" s="164">
        <f t="shared" si="88"/>
        <v>0</v>
      </c>
      <c r="AM371" s="165"/>
      <c r="AN371" s="165">
        <f t="shared" si="89"/>
        <v>0</v>
      </c>
      <c r="AO371" s="166">
        <v>0</v>
      </c>
      <c r="AP371" s="166">
        <f t="shared" si="90"/>
        <v>0</v>
      </c>
      <c r="AQ371" s="162"/>
      <c r="AR371" s="162">
        <f t="shared" si="91"/>
        <v>0</v>
      </c>
      <c r="AS371" s="173"/>
      <c r="AT371" s="167">
        <f t="shared" si="92"/>
        <v>0</v>
      </c>
      <c r="AU371" s="163"/>
      <c r="AV371" s="163">
        <f t="shared" si="93"/>
        <v>0</v>
      </c>
      <c r="AW371" s="168"/>
      <c r="AX371" s="168">
        <f t="shared" si="94"/>
        <v>0</v>
      </c>
      <c r="AY371" s="170"/>
      <c r="AZ371" s="170">
        <f t="shared" si="95"/>
        <v>0</v>
      </c>
      <c r="BA371" s="166"/>
      <c r="BB371" s="166">
        <f t="shared" si="96"/>
        <v>0</v>
      </c>
    </row>
    <row r="372" spans="1:54" ht="31.5">
      <c r="A372" s="172" t="s">
        <v>6653</v>
      </c>
      <c r="B372" s="203" t="s">
        <v>765</v>
      </c>
      <c r="C372" s="203"/>
      <c r="D372" s="203"/>
      <c r="E372" s="203" t="s">
        <v>6654</v>
      </c>
      <c r="F372" s="205" t="s">
        <v>6656</v>
      </c>
      <c r="G372" s="205" t="s">
        <v>6657</v>
      </c>
      <c r="H372" s="204" t="s">
        <v>767</v>
      </c>
      <c r="I372" s="204" t="s">
        <v>520</v>
      </c>
      <c r="J372" s="205" t="s">
        <v>6655</v>
      </c>
      <c r="K372" s="206">
        <v>7690</v>
      </c>
      <c r="L372" s="206"/>
      <c r="M372" s="159">
        <f t="shared" si="82"/>
        <v>0</v>
      </c>
      <c r="N372" s="159"/>
      <c r="O372" s="159"/>
      <c r="P372" s="159"/>
      <c r="Q372" s="159"/>
      <c r="R372" s="159"/>
      <c r="S372" s="149" t="s">
        <v>6351</v>
      </c>
      <c r="T372" s="149" t="s">
        <v>6352</v>
      </c>
      <c r="U372" s="202" t="s">
        <v>4099</v>
      </c>
      <c r="V372" s="204">
        <v>2</v>
      </c>
      <c r="W372" s="203" t="s">
        <v>5108</v>
      </c>
      <c r="X372" s="204" t="s">
        <v>6658</v>
      </c>
      <c r="Y372" s="206">
        <v>9500</v>
      </c>
      <c r="Z372" s="207">
        <v>500</v>
      </c>
      <c r="AA372" s="207">
        <f t="shared" si="83"/>
        <v>3845000</v>
      </c>
      <c r="AB372" s="157">
        <v>500</v>
      </c>
      <c r="AC372" s="158">
        <f t="shared" si="97"/>
        <v>500</v>
      </c>
      <c r="AD372" s="159">
        <f t="shared" si="84"/>
        <v>0</v>
      </c>
      <c r="AE372" s="160"/>
      <c r="AF372" s="160">
        <f t="shared" si="85"/>
        <v>0</v>
      </c>
      <c r="AG372" s="165"/>
      <c r="AH372" s="161">
        <f t="shared" si="86"/>
        <v>0</v>
      </c>
      <c r="AI372" s="162"/>
      <c r="AJ372" s="162">
        <f t="shared" si="87"/>
        <v>0</v>
      </c>
      <c r="AK372" s="164"/>
      <c r="AL372" s="164">
        <f t="shared" si="88"/>
        <v>0</v>
      </c>
      <c r="AM372" s="165"/>
      <c r="AN372" s="165">
        <f t="shared" si="89"/>
        <v>0</v>
      </c>
      <c r="AO372" s="166">
        <v>0</v>
      </c>
      <c r="AP372" s="166">
        <f t="shared" si="90"/>
        <v>0</v>
      </c>
      <c r="AQ372" s="162"/>
      <c r="AR372" s="162">
        <f t="shared" si="91"/>
        <v>0</v>
      </c>
      <c r="AS372" s="173"/>
      <c r="AT372" s="167">
        <f t="shared" si="92"/>
        <v>0</v>
      </c>
      <c r="AU372" s="163"/>
      <c r="AV372" s="163">
        <f t="shared" si="93"/>
        <v>0</v>
      </c>
      <c r="AW372" s="168"/>
      <c r="AX372" s="168">
        <f t="shared" si="94"/>
        <v>0</v>
      </c>
      <c r="AY372" s="170"/>
      <c r="AZ372" s="170">
        <f t="shared" si="95"/>
        <v>0</v>
      </c>
      <c r="BA372" s="166"/>
      <c r="BB372" s="166">
        <f t="shared" si="96"/>
        <v>0</v>
      </c>
    </row>
    <row r="373" spans="1:54" ht="31.5">
      <c r="A373" s="148" t="s">
        <v>6659</v>
      </c>
      <c r="B373" s="203" t="s">
        <v>1119</v>
      </c>
      <c r="C373" s="203"/>
      <c r="D373" s="203"/>
      <c r="E373" s="203" t="s">
        <v>6661</v>
      </c>
      <c r="F373" s="205" t="s">
        <v>6662</v>
      </c>
      <c r="G373" s="205" t="s">
        <v>6532</v>
      </c>
      <c r="H373" s="204" t="s">
        <v>225</v>
      </c>
      <c r="I373" s="204" t="s">
        <v>11</v>
      </c>
      <c r="J373" s="205" t="s">
        <v>6530</v>
      </c>
      <c r="K373" s="206">
        <v>4200</v>
      </c>
      <c r="L373" s="206"/>
      <c r="M373" s="159">
        <f t="shared" si="82"/>
        <v>0</v>
      </c>
      <c r="N373" s="159"/>
      <c r="O373" s="159"/>
      <c r="P373" s="159"/>
      <c r="Q373" s="159"/>
      <c r="R373" s="159"/>
      <c r="S373" s="149" t="s">
        <v>6224</v>
      </c>
      <c r="T373" s="149" t="s">
        <v>6225</v>
      </c>
      <c r="U373" s="202" t="s">
        <v>6660</v>
      </c>
      <c r="V373" s="204">
        <v>2</v>
      </c>
      <c r="W373" s="203" t="s">
        <v>5104</v>
      </c>
      <c r="X373" s="204" t="s">
        <v>213</v>
      </c>
      <c r="Y373" s="206">
        <v>4500</v>
      </c>
      <c r="Z373" s="207">
        <v>30000</v>
      </c>
      <c r="AA373" s="207">
        <f t="shared" si="83"/>
        <v>126000000</v>
      </c>
      <c r="AB373" s="157">
        <v>30000</v>
      </c>
      <c r="AC373" s="158">
        <f t="shared" si="97"/>
        <v>30000</v>
      </c>
      <c r="AD373" s="159">
        <f t="shared" si="84"/>
        <v>0</v>
      </c>
      <c r="AE373" s="160"/>
      <c r="AF373" s="160">
        <f t="shared" si="85"/>
        <v>0</v>
      </c>
      <c r="AG373" s="165"/>
      <c r="AH373" s="161">
        <f t="shared" si="86"/>
        <v>0</v>
      </c>
      <c r="AI373" s="162"/>
      <c r="AJ373" s="162">
        <f t="shared" si="87"/>
        <v>0</v>
      </c>
      <c r="AK373" s="164"/>
      <c r="AL373" s="164">
        <f t="shared" si="88"/>
        <v>0</v>
      </c>
      <c r="AM373" s="165"/>
      <c r="AN373" s="165">
        <f t="shared" si="89"/>
        <v>0</v>
      </c>
      <c r="AO373" s="166">
        <v>0</v>
      </c>
      <c r="AP373" s="166">
        <f t="shared" si="90"/>
        <v>0</v>
      </c>
      <c r="AQ373" s="162"/>
      <c r="AR373" s="162">
        <f t="shared" si="91"/>
        <v>0</v>
      </c>
      <c r="AS373" s="173"/>
      <c r="AT373" s="167">
        <f t="shared" si="92"/>
        <v>0</v>
      </c>
      <c r="AU373" s="163"/>
      <c r="AV373" s="163">
        <f t="shared" si="93"/>
        <v>0</v>
      </c>
      <c r="AW373" s="168"/>
      <c r="AX373" s="168">
        <f t="shared" si="94"/>
        <v>0</v>
      </c>
      <c r="AY373" s="170"/>
      <c r="AZ373" s="170">
        <f t="shared" si="95"/>
        <v>0</v>
      </c>
      <c r="BA373" s="166"/>
      <c r="BB373" s="166">
        <f t="shared" si="96"/>
        <v>0</v>
      </c>
    </row>
    <row r="374" spans="1:54" ht="112.5">
      <c r="A374" s="148" t="s">
        <v>6663</v>
      </c>
      <c r="B374" s="203" t="s">
        <v>6665</v>
      </c>
      <c r="C374" s="203"/>
      <c r="D374" s="203"/>
      <c r="E374" s="203" t="s">
        <v>6666</v>
      </c>
      <c r="F374" s="205" t="s">
        <v>6667</v>
      </c>
      <c r="G374" s="205" t="s">
        <v>6102</v>
      </c>
      <c r="H374" s="204" t="s">
        <v>869</v>
      </c>
      <c r="I374" s="204" t="s">
        <v>11</v>
      </c>
      <c r="J374" s="205" t="s">
        <v>6143</v>
      </c>
      <c r="K374" s="206">
        <v>1200</v>
      </c>
      <c r="L374" s="206"/>
      <c r="M374" s="159">
        <f t="shared" si="82"/>
        <v>0</v>
      </c>
      <c r="N374" s="159"/>
      <c r="O374" s="159"/>
      <c r="P374" s="159"/>
      <c r="Q374" s="159"/>
      <c r="R374" s="159"/>
      <c r="S374" s="209" t="s">
        <v>5848</v>
      </c>
      <c r="T374" s="203" t="s">
        <v>5849</v>
      </c>
      <c r="U374" s="202" t="s">
        <v>6664</v>
      </c>
      <c r="V374" s="204">
        <v>2</v>
      </c>
      <c r="W374" s="203" t="s">
        <v>253</v>
      </c>
      <c r="X374" s="204" t="s">
        <v>213</v>
      </c>
      <c r="Y374" s="206">
        <v>4185</v>
      </c>
      <c r="Z374" s="207">
        <v>7500</v>
      </c>
      <c r="AA374" s="207">
        <f t="shared" si="83"/>
        <v>9000000</v>
      </c>
      <c r="AB374" s="157">
        <v>7500</v>
      </c>
      <c r="AC374" s="158">
        <f t="shared" si="97"/>
        <v>7500</v>
      </c>
      <c r="AD374" s="159">
        <f t="shared" si="84"/>
        <v>0</v>
      </c>
      <c r="AE374" s="160"/>
      <c r="AF374" s="160">
        <f t="shared" si="85"/>
        <v>0</v>
      </c>
      <c r="AG374" s="165"/>
      <c r="AH374" s="161">
        <f t="shared" si="86"/>
        <v>0</v>
      </c>
      <c r="AI374" s="162"/>
      <c r="AJ374" s="162">
        <f t="shared" si="87"/>
        <v>0</v>
      </c>
      <c r="AK374" s="164"/>
      <c r="AL374" s="164">
        <f t="shared" si="88"/>
        <v>0</v>
      </c>
      <c r="AM374" s="165"/>
      <c r="AN374" s="165">
        <f t="shared" si="89"/>
        <v>0</v>
      </c>
      <c r="AO374" s="166">
        <v>0</v>
      </c>
      <c r="AP374" s="166">
        <f t="shared" si="90"/>
        <v>0</v>
      </c>
      <c r="AQ374" s="162"/>
      <c r="AR374" s="162">
        <f t="shared" si="91"/>
        <v>0</v>
      </c>
      <c r="AS374" s="173"/>
      <c r="AT374" s="167">
        <f t="shared" si="92"/>
        <v>0</v>
      </c>
      <c r="AU374" s="163"/>
      <c r="AV374" s="163">
        <f t="shared" si="93"/>
        <v>0</v>
      </c>
      <c r="AW374" s="168"/>
      <c r="AX374" s="168">
        <f t="shared" si="94"/>
        <v>0</v>
      </c>
      <c r="AY374" s="170"/>
      <c r="AZ374" s="170">
        <f t="shared" si="95"/>
        <v>0</v>
      </c>
      <c r="BA374" s="166"/>
      <c r="BB374" s="166">
        <f t="shared" si="96"/>
        <v>0</v>
      </c>
    </row>
    <row r="375" spans="1:54" ht="31.5">
      <c r="A375" s="172" t="s">
        <v>6668</v>
      </c>
      <c r="B375" s="203" t="s">
        <v>592</v>
      </c>
      <c r="C375" s="203"/>
      <c r="D375" s="203"/>
      <c r="E375" s="203" t="s">
        <v>3368</v>
      </c>
      <c r="F375" s="205" t="s">
        <v>6670</v>
      </c>
      <c r="G375" s="205" t="s">
        <v>6552</v>
      </c>
      <c r="H375" s="204" t="s">
        <v>594</v>
      </c>
      <c r="I375" s="204" t="s">
        <v>11</v>
      </c>
      <c r="J375" s="205" t="s">
        <v>6669</v>
      </c>
      <c r="K375" s="206">
        <v>599</v>
      </c>
      <c r="L375" s="206"/>
      <c r="M375" s="159">
        <f t="shared" si="82"/>
        <v>19980</v>
      </c>
      <c r="N375" s="159"/>
      <c r="O375" s="159"/>
      <c r="P375" s="159"/>
      <c r="Q375" s="159"/>
      <c r="R375" s="159"/>
      <c r="S375" s="150" t="s">
        <v>5301</v>
      </c>
      <c r="T375" s="150" t="s">
        <v>5302</v>
      </c>
      <c r="U375" s="202" t="s">
        <v>4311</v>
      </c>
      <c r="V375" s="204">
        <v>2</v>
      </c>
      <c r="W375" s="203" t="s">
        <v>5104</v>
      </c>
      <c r="X375" s="204" t="s">
        <v>213</v>
      </c>
      <c r="Y375" s="206">
        <v>1400</v>
      </c>
      <c r="Z375" s="207">
        <v>20000</v>
      </c>
      <c r="AA375" s="207">
        <f t="shared" si="83"/>
        <v>11980000</v>
      </c>
      <c r="AB375" s="157">
        <v>20000</v>
      </c>
      <c r="AC375" s="158">
        <f t="shared" si="97"/>
        <v>20</v>
      </c>
      <c r="AD375" s="159">
        <f t="shared" si="84"/>
        <v>11968020</v>
      </c>
      <c r="AE375" s="160"/>
      <c r="AF375" s="160">
        <f t="shared" si="85"/>
        <v>0</v>
      </c>
      <c r="AG375" s="165">
        <v>9990</v>
      </c>
      <c r="AH375" s="161">
        <f t="shared" si="86"/>
        <v>5984010</v>
      </c>
      <c r="AI375" s="162"/>
      <c r="AJ375" s="162">
        <f t="shared" si="87"/>
        <v>0</v>
      </c>
      <c r="AK375" s="163"/>
      <c r="AL375" s="164">
        <f t="shared" si="88"/>
        <v>0</v>
      </c>
      <c r="AM375" s="161"/>
      <c r="AN375" s="165">
        <f t="shared" si="89"/>
        <v>0</v>
      </c>
      <c r="AO375" s="160">
        <v>0</v>
      </c>
      <c r="AP375" s="166">
        <f t="shared" si="90"/>
        <v>0</v>
      </c>
      <c r="AQ375" s="162"/>
      <c r="AR375" s="162">
        <f t="shared" si="91"/>
        <v>0</v>
      </c>
      <c r="AS375" s="173">
        <v>9990</v>
      </c>
      <c r="AT375" s="167">
        <f t="shared" si="92"/>
        <v>5984010</v>
      </c>
      <c r="AU375" s="163"/>
      <c r="AV375" s="163">
        <f t="shared" si="93"/>
        <v>0</v>
      </c>
      <c r="AW375" s="162"/>
      <c r="AX375" s="168">
        <f t="shared" si="94"/>
        <v>0</v>
      </c>
      <c r="AY375" s="169"/>
      <c r="AZ375" s="170">
        <f t="shared" si="95"/>
        <v>0</v>
      </c>
      <c r="BA375" s="160"/>
      <c r="BB375" s="166">
        <f t="shared" si="96"/>
        <v>0</v>
      </c>
    </row>
    <row r="376" spans="1:54" ht="31.5">
      <c r="A376" s="148" t="s">
        <v>6671</v>
      </c>
      <c r="B376" s="203" t="s">
        <v>4131</v>
      </c>
      <c r="C376" s="203"/>
      <c r="D376" s="203"/>
      <c r="E376" s="203" t="s">
        <v>4130</v>
      </c>
      <c r="F376" s="205" t="s">
        <v>6675</v>
      </c>
      <c r="G376" s="205" t="s">
        <v>6676</v>
      </c>
      <c r="H376" s="204" t="s">
        <v>753</v>
      </c>
      <c r="I376" s="204" t="s">
        <v>11</v>
      </c>
      <c r="J376" s="205" t="s">
        <v>6674</v>
      </c>
      <c r="K376" s="206">
        <v>4200</v>
      </c>
      <c r="L376" s="206"/>
      <c r="M376" s="159">
        <f t="shared" si="82"/>
        <v>5000</v>
      </c>
      <c r="N376" s="159"/>
      <c r="O376" s="159"/>
      <c r="P376" s="159"/>
      <c r="Q376" s="159"/>
      <c r="R376" s="159"/>
      <c r="S376" s="149" t="s">
        <v>6672</v>
      </c>
      <c r="T376" s="149" t="s">
        <v>6673</v>
      </c>
      <c r="U376" s="202" t="s">
        <v>4129</v>
      </c>
      <c r="V376" s="204">
        <v>2</v>
      </c>
      <c r="W376" s="203" t="s">
        <v>5104</v>
      </c>
      <c r="X376" s="204" t="s">
        <v>5551</v>
      </c>
      <c r="Y376" s="206">
        <v>5300</v>
      </c>
      <c r="Z376" s="207">
        <v>60000</v>
      </c>
      <c r="AA376" s="207">
        <f t="shared" si="83"/>
        <v>252000000</v>
      </c>
      <c r="AB376" s="157">
        <v>60000</v>
      </c>
      <c r="AC376" s="158">
        <f t="shared" si="97"/>
        <v>55000</v>
      </c>
      <c r="AD376" s="159">
        <f t="shared" si="84"/>
        <v>21000000</v>
      </c>
      <c r="AE376" s="160"/>
      <c r="AF376" s="160">
        <f t="shared" si="85"/>
        <v>0</v>
      </c>
      <c r="AG376" s="165"/>
      <c r="AH376" s="161">
        <f t="shared" si="86"/>
        <v>0</v>
      </c>
      <c r="AI376" s="162"/>
      <c r="AJ376" s="162">
        <f t="shared" si="87"/>
        <v>0</v>
      </c>
      <c r="AK376" s="164"/>
      <c r="AL376" s="164">
        <f t="shared" si="88"/>
        <v>0</v>
      </c>
      <c r="AM376" s="165"/>
      <c r="AN376" s="165">
        <f t="shared" si="89"/>
        <v>0</v>
      </c>
      <c r="AO376" s="166">
        <v>0</v>
      </c>
      <c r="AP376" s="166">
        <f t="shared" si="90"/>
        <v>0</v>
      </c>
      <c r="AQ376" s="162"/>
      <c r="AR376" s="162">
        <f t="shared" si="91"/>
        <v>0</v>
      </c>
      <c r="AS376" s="173">
        <v>5000</v>
      </c>
      <c r="AT376" s="167">
        <f t="shared" si="92"/>
        <v>21000000</v>
      </c>
      <c r="AU376" s="163"/>
      <c r="AV376" s="163">
        <f t="shared" si="93"/>
        <v>0</v>
      </c>
      <c r="AW376" s="168"/>
      <c r="AX376" s="168">
        <f t="shared" si="94"/>
        <v>0</v>
      </c>
      <c r="AY376" s="170"/>
      <c r="AZ376" s="170">
        <f t="shared" si="95"/>
        <v>0</v>
      </c>
      <c r="BA376" s="166"/>
      <c r="BB376" s="166">
        <f t="shared" si="96"/>
        <v>0</v>
      </c>
    </row>
    <row r="377" spans="1:54" ht="112.5">
      <c r="A377" s="148" t="s">
        <v>6677</v>
      </c>
      <c r="B377" s="203" t="s">
        <v>750</v>
      </c>
      <c r="C377" s="203"/>
      <c r="D377" s="203"/>
      <c r="E377" s="203" t="s">
        <v>1771</v>
      </c>
      <c r="F377" s="205" t="s">
        <v>1773</v>
      </c>
      <c r="G377" s="205" t="s">
        <v>6510</v>
      </c>
      <c r="H377" s="204" t="s">
        <v>1772</v>
      </c>
      <c r="I377" s="204" t="s">
        <v>15</v>
      </c>
      <c r="J377" s="205" t="s">
        <v>6678</v>
      </c>
      <c r="K377" s="206">
        <v>15740</v>
      </c>
      <c r="L377" s="206"/>
      <c r="M377" s="159">
        <f t="shared" si="82"/>
        <v>520</v>
      </c>
      <c r="N377" s="159"/>
      <c r="O377" s="159"/>
      <c r="P377" s="159"/>
      <c r="Q377" s="159"/>
      <c r="R377" s="159"/>
      <c r="S377" s="209" t="s">
        <v>5848</v>
      </c>
      <c r="T377" s="203" t="s">
        <v>5849</v>
      </c>
      <c r="U377" s="202" t="s">
        <v>4242</v>
      </c>
      <c r="V377" s="204">
        <v>2</v>
      </c>
      <c r="W377" s="203" t="s">
        <v>5104</v>
      </c>
      <c r="X377" s="204" t="s">
        <v>213</v>
      </c>
      <c r="Y377" s="206">
        <v>36000</v>
      </c>
      <c r="Z377" s="207">
        <v>1000</v>
      </c>
      <c r="AA377" s="207">
        <f t="shared" si="83"/>
        <v>15740000</v>
      </c>
      <c r="AB377" s="157">
        <v>1000</v>
      </c>
      <c r="AC377" s="158">
        <f t="shared" si="97"/>
        <v>480</v>
      </c>
      <c r="AD377" s="159">
        <f t="shared" si="84"/>
        <v>8184800</v>
      </c>
      <c r="AE377" s="160"/>
      <c r="AF377" s="160">
        <f t="shared" si="85"/>
        <v>0</v>
      </c>
      <c r="AG377" s="165"/>
      <c r="AH377" s="161">
        <f t="shared" si="86"/>
        <v>0</v>
      </c>
      <c r="AI377" s="162"/>
      <c r="AJ377" s="162">
        <f t="shared" si="87"/>
        <v>0</v>
      </c>
      <c r="AK377" s="163"/>
      <c r="AL377" s="164">
        <f t="shared" si="88"/>
        <v>0</v>
      </c>
      <c r="AM377" s="161">
        <v>480</v>
      </c>
      <c r="AN377" s="165">
        <f t="shared" si="89"/>
        <v>7555200</v>
      </c>
      <c r="AO377" s="160">
        <v>0</v>
      </c>
      <c r="AP377" s="166">
        <f t="shared" si="90"/>
        <v>0</v>
      </c>
      <c r="AQ377" s="162"/>
      <c r="AR377" s="162">
        <f t="shared" si="91"/>
        <v>0</v>
      </c>
      <c r="AS377" s="173">
        <v>40</v>
      </c>
      <c r="AT377" s="167">
        <f t="shared" si="92"/>
        <v>629600</v>
      </c>
      <c r="AU377" s="163"/>
      <c r="AV377" s="163">
        <f t="shared" si="93"/>
        <v>0</v>
      </c>
      <c r="AW377" s="162"/>
      <c r="AX377" s="168">
        <f t="shared" si="94"/>
        <v>0</v>
      </c>
      <c r="AY377" s="169"/>
      <c r="AZ377" s="170">
        <f t="shared" si="95"/>
        <v>0</v>
      </c>
      <c r="BA377" s="160"/>
      <c r="BB377" s="166">
        <f t="shared" si="96"/>
        <v>0</v>
      </c>
    </row>
    <row r="378" spans="1:54" ht="31.5">
      <c r="A378" s="172" t="s">
        <v>6679</v>
      </c>
      <c r="B378" s="203" t="s">
        <v>347</v>
      </c>
      <c r="C378" s="203"/>
      <c r="D378" s="203"/>
      <c r="E378" s="203" t="s">
        <v>3772</v>
      </c>
      <c r="F378" s="205" t="s">
        <v>6072</v>
      </c>
      <c r="G378" s="205" t="s">
        <v>954</v>
      </c>
      <c r="H378" s="204" t="s">
        <v>238</v>
      </c>
      <c r="I378" s="204" t="s">
        <v>11</v>
      </c>
      <c r="J378" s="205" t="s">
        <v>6071</v>
      </c>
      <c r="K378" s="206">
        <v>1009</v>
      </c>
      <c r="L378" s="206"/>
      <c r="M378" s="159">
        <f t="shared" si="82"/>
        <v>0</v>
      </c>
      <c r="N378" s="159"/>
      <c r="O378" s="159"/>
      <c r="P378" s="159"/>
      <c r="Q378" s="159"/>
      <c r="R378" s="159"/>
      <c r="S378" s="149" t="s">
        <v>5099</v>
      </c>
      <c r="T378" s="150" t="s">
        <v>5100</v>
      </c>
      <c r="U378" s="202" t="s">
        <v>6680</v>
      </c>
      <c r="V378" s="204">
        <v>2</v>
      </c>
      <c r="W378" s="203" t="s">
        <v>5104</v>
      </c>
      <c r="X378" s="204" t="s">
        <v>6012</v>
      </c>
      <c r="Y378" s="206">
        <v>3020</v>
      </c>
      <c r="Z378" s="207">
        <v>20000</v>
      </c>
      <c r="AA378" s="207">
        <f t="shared" si="83"/>
        <v>20180000</v>
      </c>
      <c r="AB378" s="157">
        <v>20000</v>
      </c>
      <c r="AC378" s="158">
        <f t="shared" si="97"/>
        <v>20000</v>
      </c>
      <c r="AD378" s="159">
        <f t="shared" si="84"/>
        <v>0</v>
      </c>
      <c r="AE378" s="160"/>
      <c r="AF378" s="160">
        <f t="shared" si="85"/>
        <v>0</v>
      </c>
      <c r="AG378" s="161"/>
      <c r="AH378" s="161">
        <f t="shared" si="86"/>
        <v>0</v>
      </c>
      <c r="AI378" s="162"/>
      <c r="AJ378" s="162">
        <f t="shared" si="87"/>
        <v>0</v>
      </c>
      <c r="AK378" s="164"/>
      <c r="AL378" s="164">
        <f t="shared" si="88"/>
        <v>0</v>
      </c>
      <c r="AM378" s="165"/>
      <c r="AN378" s="165">
        <f t="shared" si="89"/>
        <v>0</v>
      </c>
      <c r="AO378" s="166">
        <v>0</v>
      </c>
      <c r="AP378" s="166">
        <f t="shared" si="90"/>
        <v>0</v>
      </c>
      <c r="AQ378" s="162"/>
      <c r="AR378" s="162">
        <f t="shared" si="91"/>
        <v>0</v>
      </c>
      <c r="AS378" s="167"/>
      <c r="AT378" s="167">
        <f t="shared" si="92"/>
        <v>0</v>
      </c>
      <c r="AU378" s="163"/>
      <c r="AV378" s="163">
        <f t="shared" si="93"/>
        <v>0</v>
      </c>
      <c r="AW378" s="168"/>
      <c r="AX378" s="168">
        <f t="shared" si="94"/>
        <v>0</v>
      </c>
      <c r="AY378" s="170"/>
      <c r="AZ378" s="170">
        <f t="shared" si="95"/>
        <v>0</v>
      </c>
      <c r="BA378" s="166"/>
      <c r="BB378" s="166">
        <f t="shared" si="96"/>
        <v>0</v>
      </c>
    </row>
    <row r="379" spans="1:54" ht="31.5">
      <c r="A379" s="148" t="s">
        <v>6681</v>
      </c>
      <c r="B379" s="203" t="s">
        <v>624</v>
      </c>
      <c r="C379" s="203"/>
      <c r="D379" s="203"/>
      <c r="E379" s="203" t="s">
        <v>1641</v>
      </c>
      <c r="F379" s="205" t="s">
        <v>1643</v>
      </c>
      <c r="G379" s="205" t="s">
        <v>6552</v>
      </c>
      <c r="H379" s="204" t="s">
        <v>625</v>
      </c>
      <c r="I379" s="204" t="s">
        <v>11</v>
      </c>
      <c r="J379" s="205" t="s">
        <v>6550</v>
      </c>
      <c r="K379" s="206">
        <v>384</v>
      </c>
      <c r="L379" s="206"/>
      <c r="M379" s="159">
        <f t="shared" si="82"/>
        <v>0</v>
      </c>
      <c r="N379" s="159"/>
      <c r="O379" s="159"/>
      <c r="P379" s="159"/>
      <c r="Q379" s="159"/>
      <c r="R379" s="159"/>
      <c r="S379" s="150" t="s">
        <v>5301</v>
      </c>
      <c r="T379" s="150" t="s">
        <v>5302</v>
      </c>
      <c r="U379" s="202" t="s">
        <v>6682</v>
      </c>
      <c r="V379" s="204">
        <v>2</v>
      </c>
      <c r="W379" s="203" t="s">
        <v>5104</v>
      </c>
      <c r="X379" s="204" t="s">
        <v>213</v>
      </c>
      <c r="Y379" s="206">
        <v>1200</v>
      </c>
      <c r="Z379" s="207">
        <v>20000</v>
      </c>
      <c r="AA379" s="207">
        <f t="shared" si="83"/>
        <v>7680000</v>
      </c>
      <c r="AB379" s="157">
        <v>20000</v>
      </c>
      <c r="AC379" s="158">
        <f t="shared" si="97"/>
        <v>20000</v>
      </c>
      <c r="AD379" s="159">
        <f t="shared" si="84"/>
        <v>0</v>
      </c>
      <c r="AE379" s="160"/>
      <c r="AF379" s="160">
        <f t="shared" si="85"/>
        <v>0</v>
      </c>
      <c r="AG379" s="161"/>
      <c r="AH379" s="161">
        <f t="shared" si="86"/>
        <v>0</v>
      </c>
      <c r="AI379" s="162"/>
      <c r="AJ379" s="162">
        <f t="shared" si="87"/>
        <v>0</v>
      </c>
      <c r="AK379" s="164"/>
      <c r="AL379" s="164">
        <f t="shared" si="88"/>
        <v>0</v>
      </c>
      <c r="AM379" s="165"/>
      <c r="AN379" s="165">
        <f t="shared" si="89"/>
        <v>0</v>
      </c>
      <c r="AO379" s="166">
        <v>0</v>
      </c>
      <c r="AP379" s="166">
        <f t="shared" si="90"/>
        <v>0</v>
      </c>
      <c r="AQ379" s="162"/>
      <c r="AR379" s="162">
        <f t="shared" si="91"/>
        <v>0</v>
      </c>
      <c r="AS379" s="167"/>
      <c r="AT379" s="167">
        <f t="shared" si="92"/>
        <v>0</v>
      </c>
      <c r="AU379" s="163"/>
      <c r="AV379" s="163">
        <f t="shared" si="93"/>
        <v>0</v>
      </c>
      <c r="AW379" s="168"/>
      <c r="AX379" s="168">
        <f t="shared" si="94"/>
        <v>0</v>
      </c>
      <c r="AY379" s="170"/>
      <c r="AZ379" s="170">
        <f t="shared" si="95"/>
        <v>0</v>
      </c>
      <c r="BA379" s="166"/>
      <c r="BB379" s="166">
        <f t="shared" si="96"/>
        <v>0</v>
      </c>
    </row>
    <row r="380" spans="1:54" ht="31.5">
      <c r="A380" s="148" t="s">
        <v>6683</v>
      </c>
      <c r="B380" s="203" t="s">
        <v>624</v>
      </c>
      <c r="C380" s="203"/>
      <c r="D380" s="203"/>
      <c r="E380" s="203" t="s">
        <v>1645</v>
      </c>
      <c r="F380" s="205" t="s">
        <v>1646</v>
      </c>
      <c r="G380" s="205" t="s">
        <v>6552</v>
      </c>
      <c r="H380" s="204" t="s">
        <v>327</v>
      </c>
      <c r="I380" s="204" t="s">
        <v>11</v>
      </c>
      <c r="J380" s="205" t="s">
        <v>6550</v>
      </c>
      <c r="K380" s="206">
        <v>484</v>
      </c>
      <c r="L380" s="206"/>
      <c r="M380" s="159">
        <f t="shared" si="82"/>
        <v>0</v>
      </c>
      <c r="N380" s="159"/>
      <c r="O380" s="159"/>
      <c r="P380" s="159"/>
      <c r="Q380" s="159"/>
      <c r="R380" s="159"/>
      <c r="S380" s="150" t="s">
        <v>5301</v>
      </c>
      <c r="T380" s="150" t="s">
        <v>5302</v>
      </c>
      <c r="U380" s="202" t="s">
        <v>6684</v>
      </c>
      <c r="V380" s="204">
        <v>2</v>
      </c>
      <c r="W380" s="203" t="s">
        <v>5104</v>
      </c>
      <c r="X380" s="204" t="s">
        <v>213</v>
      </c>
      <c r="Y380" s="206">
        <v>1500</v>
      </c>
      <c r="Z380" s="207">
        <v>20000</v>
      </c>
      <c r="AA380" s="207">
        <f t="shared" si="83"/>
        <v>9680000</v>
      </c>
      <c r="AB380" s="157">
        <v>20000</v>
      </c>
      <c r="AC380" s="158">
        <f t="shared" si="97"/>
        <v>20000</v>
      </c>
      <c r="AD380" s="159">
        <f t="shared" si="84"/>
        <v>0</v>
      </c>
      <c r="AE380" s="160"/>
      <c r="AF380" s="160">
        <f t="shared" si="85"/>
        <v>0</v>
      </c>
      <c r="AG380" s="161"/>
      <c r="AH380" s="161">
        <f t="shared" si="86"/>
        <v>0</v>
      </c>
      <c r="AI380" s="162"/>
      <c r="AJ380" s="162">
        <f t="shared" si="87"/>
        <v>0</v>
      </c>
      <c r="AK380" s="164"/>
      <c r="AL380" s="164">
        <f t="shared" si="88"/>
        <v>0</v>
      </c>
      <c r="AM380" s="165"/>
      <c r="AN380" s="165">
        <f t="shared" si="89"/>
        <v>0</v>
      </c>
      <c r="AO380" s="166">
        <v>0</v>
      </c>
      <c r="AP380" s="166">
        <f t="shared" si="90"/>
        <v>0</v>
      </c>
      <c r="AQ380" s="162"/>
      <c r="AR380" s="162">
        <f t="shared" si="91"/>
        <v>0</v>
      </c>
      <c r="AS380" s="167"/>
      <c r="AT380" s="167">
        <f t="shared" si="92"/>
        <v>0</v>
      </c>
      <c r="AU380" s="163"/>
      <c r="AV380" s="163">
        <f t="shared" si="93"/>
        <v>0</v>
      </c>
      <c r="AW380" s="168"/>
      <c r="AX380" s="168">
        <f t="shared" si="94"/>
        <v>0</v>
      </c>
      <c r="AY380" s="170"/>
      <c r="AZ380" s="170">
        <f t="shared" si="95"/>
        <v>0</v>
      </c>
      <c r="BA380" s="166"/>
      <c r="BB380" s="166">
        <f t="shared" si="96"/>
        <v>0</v>
      </c>
    </row>
    <row r="381" spans="1:54" ht="31.5">
      <c r="A381" s="172" t="s">
        <v>6685</v>
      </c>
      <c r="B381" s="203" t="s">
        <v>624</v>
      </c>
      <c r="C381" s="203"/>
      <c r="D381" s="203"/>
      <c r="E381" s="203" t="s">
        <v>6687</v>
      </c>
      <c r="F381" s="205" t="s">
        <v>6688</v>
      </c>
      <c r="G381" s="205" t="s">
        <v>6689</v>
      </c>
      <c r="H381" s="204" t="s">
        <v>238</v>
      </c>
      <c r="I381" s="204" t="s">
        <v>11</v>
      </c>
      <c r="J381" s="205" t="s">
        <v>6009</v>
      </c>
      <c r="K381" s="206">
        <v>2950</v>
      </c>
      <c r="L381" s="206"/>
      <c r="M381" s="159">
        <f t="shared" si="82"/>
        <v>0</v>
      </c>
      <c r="N381" s="159"/>
      <c r="O381" s="159"/>
      <c r="P381" s="159"/>
      <c r="Q381" s="159"/>
      <c r="R381" s="159"/>
      <c r="S381" s="149" t="s">
        <v>2385</v>
      </c>
      <c r="T381" s="150" t="s">
        <v>2380</v>
      </c>
      <c r="U381" s="202" t="s">
        <v>6686</v>
      </c>
      <c r="V381" s="204">
        <v>2</v>
      </c>
      <c r="W381" s="203" t="s">
        <v>5104</v>
      </c>
      <c r="X381" s="204" t="s">
        <v>213</v>
      </c>
      <c r="Y381" s="206">
        <v>3000</v>
      </c>
      <c r="Z381" s="207">
        <v>10000</v>
      </c>
      <c r="AA381" s="207">
        <f t="shared" si="83"/>
        <v>29500000</v>
      </c>
      <c r="AB381" s="157">
        <v>10000</v>
      </c>
      <c r="AC381" s="158">
        <f t="shared" si="97"/>
        <v>10000</v>
      </c>
      <c r="AD381" s="159">
        <f t="shared" si="84"/>
        <v>0</v>
      </c>
      <c r="AE381" s="160"/>
      <c r="AF381" s="160">
        <f t="shared" si="85"/>
        <v>0</v>
      </c>
      <c r="AG381" s="165"/>
      <c r="AH381" s="161">
        <f t="shared" si="86"/>
        <v>0</v>
      </c>
      <c r="AI381" s="162"/>
      <c r="AJ381" s="162">
        <f t="shared" si="87"/>
        <v>0</v>
      </c>
      <c r="AK381" s="164"/>
      <c r="AL381" s="164">
        <f t="shared" si="88"/>
        <v>0</v>
      </c>
      <c r="AM381" s="165"/>
      <c r="AN381" s="165">
        <f t="shared" si="89"/>
        <v>0</v>
      </c>
      <c r="AO381" s="166">
        <v>0</v>
      </c>
      <c r="AP381" s="166">
        <f t="shared" si="90"/>
        <v>0</v>
      </c>
      <c r="AQ381" s="162"/>
      <c r="AR381" s="162">
        <f t="shared" si="91"/>
        <v>0</v>
      </c>
      <c r="AS381" s="173"/>
      <c r="AT381" s="167">
        <f t="shared" si="92"/>
        <v>0</v>
      </c>
      <c r="AU381" s="163"/>
      <c r="AV381" s="163">
        <f t="shared" si="93"/>
        <v>0</v>
      </c>
      <c r="AW381" s="168"/>
      <c r="AX381" s="168">
        <f t="shared" si="94"/>
        <v>0</v>
      </c>
      <c r="AY381" s="170"/>
      <c r="AZ381" s="170">
        <f t="shared" si="95"/>
        <v>0</v>
      </c>
      <c r="BA381" s="166"/>
      <c r="BB381" s="166">
        <f t="shared" si="96"/>
        <v>0</v>
      </c>
    </row>
    <row r="382" spans="1:54" ht="31.5">
      <c r="A382" s="148" t="s">
        <v>6690</v>
      </c>
      <c r="B382" s="203" t="s">
        <v>1096</v>
      </c>
      <c r="C382" s="203"/>
      <c r="D382" s="203"/>
      <c r="E382" s="203" t="s">
        <v>3831</v>
      </c>
      <c r="F382" s="205" t="s">
        <v>1099</v>
      </c>
      <c r="G382" s="205" t="s">
        <v>6532</v>
      </c>
      <c r="H382" s="204" t="s">
        <v>1098</v>
      </c>
      <c r="I382" s="204" t="s">
        <v>11</v>
      </c>
      <c r="J382" s="205" t="s">
        <v>6693</v>
      </c>
      <c r="K382" s="206">
        <v>1800</v>
      </c>
      <c r="L382" s="206"/>
      <c r="M382" s="159">
        <f t="shared" si="82"/>
        <v>12000</v>
      </c>
      <c r="N382" s="159"/>
      <c r="O382" s="159"/>
      <c r="P382" s="159"/>
      <c r="Q382" s="159"/>
      <c r="R382" s="159"/>
      <c r="S382" s="149" t="s">
        <v>6691</v>
      </c>
      <c r="T382" s="149" t="s">
        <v>6692</v>
      </c>
      <c r="U382" s="202" t="s">
        <v>3830</v>
      </c>
      <c r="V382" s="204">
        <v>2</v>
      </c>
      <c r="W382" s="203" t="s">
        <v>5104</v>
      </c>
      <c r="X382" s="204" t="s">
        <v>6694</v>
      </c>
      <c r="Y382" s="206">
        <v>2800</v>
      </c>
      <c r="Z382" s="207">
        <v>30000</v>
      </c>
      <c r="AA382" s="207">
        <f t="shared" si="83"/>
        <v>54000000</v>
      </c>
      <c r="AB382" s="157">
        <v>30000</v>
      </c>
      <c r="AC382" s="158">
        <f t="shared" si="97"/>
        <v>18000</v>
      </c>
      <c r="AD382" s="159">
        <f t="shared" si="84"/>
        <v>21600000</v>
      </c>
      <c r="AE382" s="160"/>
      <c r="AF382" s="160">
        <f t="shared" si="85"/>
        <v>0</v>
      </c>
      <c r="AG382" s="165">
        <v>6000</v>
      </c>
      <c r="AH382" s="161">
        <f t="shared" si="86"/>
        <v>10800000</v>
      </c>
      <c r="AI382" s="162"/>
      <c r="AJ382" s="162">
        <f t="shared" si="87"/>
        <v>0</v>
      </c>
      <c r="AK382" s="164"/>
      <c r="AL382" s="164">
        <f t="shared" si="88"/>
        <v>0</v>
      </c>
      <c r="AM382" s="165"/>
      <c r="AN382" s="165">
        <f t="shared" si="89"/>
        <v>0</v>
      </c>
      <c r="AO382" s="166">
        <v>0</v>
      </c>
      <c r="AP382" s="166">
        <f t="shared" si="90"/>
        <v>0</v>
      </c>
      <c r="AQ382" s="162"/>
      <c r="AR382" s="162">
        <f t="shared" si="91"/>
        <v>0</v>
      </c>
      <c r="AS382" s="173">
        <v>6000</v>
      </c>
      <c r="AT382" s="167">
        <f t="shared" si="92"/>
        <v>10800000</v>
      </c>
      <c r="AU382" s="163"/>
      <c r="AV382" s="163">
        <f t="shared" si="93"/>
        <v>0</v>
      </c>
      <c r="AW382" s="168"/>
      <c r="AX382" s="168">
        <f t="shared" si="94"/>
        <v>0</v>
      </c>
      <c r="AY382" s="170"/>
      <c r="AZ382" s="170">
        <f t="shared" si="95"/>
        <v>0</v>
      </c>
      <c r="BA382" s="166"/>
      <c r="BB382" s="166">
        <f t="shared" si="96"/>
        <v>0</v>
      </c>
    </row>
    <row r="383" spans="1:54" ht="31.5">
      <c r="A383" s="148" t="s">
        <v>6695</v>
      </c>
      <c r="B383" s="203" t="s">
        <v>706</v>
      </c>
      <c r="C383" s="203"/>
      <c r="D383" s="203"/>
      <c r="E383" s="203" t="s">
        <v>4302</v>
      </c>
      <c r="F383" s="205" t="s">
        <v>6696</v>
      </c>
      <c r="G383" s="205" t="s">
        <v>6552</v>
      </c>
      <c r="H383" s="204" t="s">
        <v>390</v>
      </c>
      <c r="I383" s="204" t="s">
        <v>11</v>
      </c>
      <c r="J383" s="205" t="s">
        <v>6550</v>
      </c>
      <c r="K383" s="206">
        <v>1530</v>
      </c>
      <c r="L383" s="206"/>
      <c r="M383" s="159">
        <f t="shared" si="82"/>
        <v>9990</v>
      </c>
      <c r="N383" s="159"/>
      <c r="O383" s="159"/>
      <c r="P383" s="159"/>
      <c r="Q383" s="159"/>
      <c r="R383" s="159"/>
      <c r="S383" s="150" t="s">
        <v>5301</v>
      </c>
      <c r="T383" s="150" t="s">
        <v>5302</v>
      </c>
      <c r="U383" s="202" t="s">
        <v>3840</v>
      </c>
      <c r="V383" s="204">
        <v>2</v>
      </c>
      <c r="W383" s="203" t="s">
        <v>5104</v>
      </c>
      <c r="X383" s="204" t="s">
        <v>213</v>
      </c>
      <c r="Y383" s="206">
        <v>3000</v>
      </c>
      <c r="Z383" s="207">
        <v>10000</v>
      </c>
      <c r="AA383" s="207">
        <f t="shared" si="83"/>
        <v>15300000</v>
      </c>
      <c r="AB383" s="157">
        <v>10000</v>
      </c>
      <c r="AC383" s="158">
        <f t="shared" si="97"/>
        <v>10</v>
      </c>
      <c r="AD383" s="159">
        <f t="shared" si="84"/>
        <v>15284700</v>
      </c>
      <c r="AE383" s="160"/>
      <c r="AF383" s="160">
        <f t="shared" si="85"/>
        <v>0</v>
      </c>
      <c r="AG383" s="165"/>
      <c r="AH383" s="161">
        <f t="shared" si="86"/>
        <v>0</v>
      </c>
      <c r="AI383" s="162"/>
      <c r="AJ383" s="162">
        <f t="shared" si="87"/>
        <v>0</v>
      </c>
      <c r="AK383" s="164"/>
      <c r="AL383" s="164">
        <f t="shared" si="88"/>
        <v>0</v>
      </c>
      <c r="AM383" s="165"/>
      <c r="AN383" s="165">
        <f t="shared" si="89"/>
        <v>0</v>
      </c>
      <c r="AO383" s="166">
        <v>0</v>
      </c>
      <c r="AP383" s="166">
        <f t="shared" si="90"/>
        <v>0</v>
      </c>
      <c r="AQ383" s="162"/>
      <c r="AR383" s="162">
        <f t="shared" si="91"/>
        <v>0</v>
      </c>
      <c r="AS383" s="173">
        <v>9990</v>
      </c>
      <c r="AT383" s="167">
        <f t="shared" si="92"/>
        <v>15284700</v>
      </c>
      <c r="AU383" s="163"/>
      <c r="AV383" s="163">
        <f t="shared" si="93"/>
        <v>0</v>
      </c>
      <c r="AW383" s="168"/>
      <c r="AX383" s="168">
        <f t="shared" si="94"/>
        <v>0</v>
      </c>
      <c r="AY383" s="170"/>
      <c r="AZ383" s="170">
        <f t="shared" si="95"/>
        <v>0</v>
      </c>
      <c r="BA383" s="166"/>
      <c r="BB383" s="166">
        <f t="shared" si="96"/>
        <v>0</v>
      </c>
    </row>
    <row r="384" spans="1:54" ht="31.5">
      <c r="A384" s="172" t="s">
        <v>6697</v>
      </c>
      <c r="B384" s="203" t="s">
        <v>706</v>
      </c>
      <c r="C384" s="203"/>
      <c r="D384" s="203"/>
      <c r="E384" s="203" t="s">
        <v>2442</v>
      </c>
      <c r="F384" s="205" t="s">
        <v>6700</v>
      </c>
      <c r="G384" s="205" t="s">
        <v>6526</v>
      </c>
      <c r="H384" s="204" t="s">
        <v>369</v>
      </c>
      <c r="I384" s="204" t="s">
        <v>11</v>
      </c>
      <c r="J384" s="205" t="s">
        <v>6699</v>
      </c>
      <c r="K384" s="206">
        <v>2680</v>
      </c>
      <c r="L384" s="206"/>
      <c r="M384" s="159">
        <f t="shared" si="82"/>
        <v>0</v>
      </c>
      <c r="N384" s="159"/>
      <c r="O384" s="159"/>
      <c r="P384" s="159"/>
      <c r="Q384" s="159"/>
      <c r="R384" s="159"/>
      <c r="S384" s="149" t="s">
        <v>6259</v>
      </c>
      <c r="T384" s="150" t="s">
        <v>6260</v>
      </c>
      <c r="U384" s="202" t="s">
        <v>6698</v>
      </c>
      <c r="V384" s="204">
        <v>2</v>
      </c>
      <c r="W384" s="203" t="s">
        <v>5104</v>
      </c>
      <c r="X384" s="204" t="s">
        <v>6527</v>
      </c>
      <c r="Y384" s="206">
        <v>3000</v>
      </c>
      <c r="Z384" s="207">
        <v>10000</v>
      </c>
      <c r="AA384" s="207">
        <f t="shared" si="83"/>
        <v>26800000</v>
      </c>
      <c r="AB384" s="157">
        <v>10000</v>
      </c>
      <c r="AC384" s="158">
        <f t="shared" si="97"/>
        <v>10000</v>
      </c>
      <c r="AD384" s="159">
        <f t="shared" si="84"/>
        <v>0</v>
      </c>
      <c r="AE384" s="160"/>
      <c r="AF384" s="160">
        <f t="shared" si="85"/>
        <v>0</v>
      </c>
      <c r="AG384" s="165"/>
      <c r="AH384" s="161">
        <f t="shared" si="86"/>
        <v>0</v>
      </c>
      <c r="AI384" s="162"/>
      <c r="AJ384" s="162">
        <f t="shared" si="87"/>
        <v>0</v>
      </c>
      <c r="AK384" s="164"/>
      <c r="AL384" s="164">
        <f t="shared" si="88"/>
        <v>0</v>
      </c>
      <c r="AM384" s="165"/>
      <c r="AN384" s="165">
        <f t="shared" si="89"/>
        <v>0</v>
      </c>
      <c r="AO384" s="166">
        <v>0</v>
      </c>
      <c r="AP384" s="166">
        <f t="shared" si="90"/>
        <v>0</v>
      </c>
      <c r="AQ384" s="162"/>
      <c r="AR384" s="162">
        <f t="shared" si="91"/>
        <v>0</v>
      </c>
      <c r="AS384" s="173"/>
      <c r="AT384" s="167">
        <f t="shared" si="92"/>
        <v>0</v>
      </c>
      <c r="AU384" s="163"/>
      <c r="AV384" s="163">
        <f t="shared" si="93"/>
        <v>0</v>
      </c>
      <c r="AW384" s="168"/>
      <c r="AX384" s="168">
        <f t="shared" si="94"/>
        <v>0</v>
      </c>
      <c r="AY384" s="170"/>
      <c r="AZ384" s="170">
        <f t="shared" si="95"/>
        <v>0</v>
      </c>
      <c r="BA384" s="166"/>
      <c r="BB384" s="166">
        <f t="shared" si="96"/>
        <v>0</v>
      </c>
    </row>
    <row r="385" spans="1:54" ht="31.5">
      <c r="A385" s="148" t="s">
        <v>6701</v>
      </c>
      <c r="B385" s="203" t="s">
        <v>3980</v>
      </c>
      <c r="C385" s="203"/>
      <c r="D385" s="203"/>
      <c r="E385" s="203" t="s">
        <v>1278</v>
      </c>
      <c r="F385" s="205" t="s">
        <v>1280</v>
      </c>
      <c r="G385" s="205" t="s">
        <v>357</v>
      </c>
      <c r="H385" s="204" t="s">
        <v>3981</v>
      </c>
      <c r="I385" s="204" t="s">
        <v>11</v>
      </c>
      <c r="J385" s="205" t="s">
        <v>6704</v>
      </c>
      <c r="K385" s="206">
        <v>3485</v>
      </c>
      <c r="L385" s="206"/>
      <c r="M385" s="159">
        <f t="shared" si="82"/>
        <v>5000</v>
      </c>
      <c r="N385" s="159"/>
      <c r="O385" s="159"/>
      <c r="P385" s="159"/>
      <c r="Q385" s="159"/>
      <c r="R385" s="159"/>
      <c r="S385" s="149" t="s">
        <v>6702</v>
      </c>
      <c r="T385" s="149" t="s">
        <v>6703</v>
      </c>
      <c r="U385" s="202" t="s">
        <v>3977</v>
      </c>
      <c r="V385" s="204">
        <v>2</v>
      </c>
      <c r="W385" s="203" t="s">
        <v>6705</v>
      </c>
      <c r="X385" s="204" t="s">
        <v>5296</v>
      </c>
      <c r="Y385" s="206">
        <v>3550</v>
      </c>
      <c r="Z385" s="207">
        <v>20000</v>
      </c>
      <c r="AA385" s="207">
        <f t="shared" si="83"/>
        <v>69700000</v>
      </c>
      <c r="AB385" s="157">
        <v>20000</v>
      </c>
      <c r="AC385" s="158">
        <f t="shared" si="97"/>
        <v>15000</v>
      </c>
      <c r="AD385" s="159">
        <f t="shared" si="84"/>
        <v>17425000</v>
      </c>
      <c r="AE385" s="160"/>
      <c r="AF385" s="160">
        <f t="shared" si="85"/>
        <v>0</v>
      </c>
      <c r="AG385" s="165"/>
      <c r="AH385" s="161">
        <f t="shared" si="86"/>
        <v>0</v>
      </c>
      <c r="AI385" s="162"/>
      <c r="AJ385" s="162">
        <f t="shared" si="87"/>
        <v>0</v>
      </c>
      <c r="AK385" s="163"/>
      <c r="AL385" s="164">
        <f t="shared" si="88"/>
        <v>0</v>
      </c>
      <c r="AM385" s="161"/>
      <c r="AN385" s="165">
        <f t="shared" si="89"/>
        <v>0</v>
      </c>
      <c r="AO385" s="160">
        <v>0</v>
      </c>
      <c r="AP385" s="166">
        <f t="shared" si="90"/>
        <v>0</v>
      </c>
      <c r="AQ385" s="162"/>
      <c r="AR385" s="162">
        <f t="shared" si="91"/>
        <v>0</v>
      </c>
      <c r="AS385" s="173">
        <v>5000</v>
      </c>
      <c r="AT385" s="167">
        <f t="shared" si="92"/>
        <v>17425000</v>
      </c>
      <c r="AU385" s="163"/>
      <c r="AV385" s="163">
        <f t="shared" si="93"/>
        <v>0</v>
      </c>
      <c r="AW385" s="162"/>
      <c r="AX385" s="168">
        <f t="shared" si="94"/>
        <v>0</v>
      </c>
      <c r="AY385" s="169"/>
      <c r="AZ385" s="170">
        <f t="shared" si="95"/>
        <v>0</v>
      </c>
      <c r="BA385" s="160"/>
      <c r="BB385" s="166">
        <f t="shared" si="96"/>
        <v>0</v>
      </c>
    </row>
    <row r="386" spans="1:54" s="115" customFormat="1" ht="31.5">
      <c r="A386" s="148" t="s">
        <v>6706</v>
      </c>
      <c r="B386" s="203" t="s">
        <v>2503</v>
      </c>
      <c r="C386" s="203"/>
      <c r="D386" s="203"/>
      <c r="E386" s="203" t="s">
        <v>6708</v>
      </c>
      <c r="F386" s="205" t="s">
        <v>6710</v>
      </c>
      <c r="G386" s="205" t="s">
        <v>2059</v>
      </c>
      <c r="H386" s="204" t="s">
        <v>238</v>
      </c>
      <c r="I386" s="204" t="s">
        <v>11</v>
      </c>
      <c r="J386" s="205" t="s">
        <v>6709</v>
      </c>
      <c r="K386" s="206">
        <v>6048</v>
      </c>
      <c r="L386" s="206"/>
      <c r="M386" s="159">
        <f t="shared" si="82"/>
        <v>0</v>
      </c>
      <c r="N386" s="159"/>
      <c r="O386" s="159"/>
      <c r="P386" s="159"/>
      <c r="Q386" s="159"/>
      <c r="R386" s="159"/>
      <c r="S386" s="150" t="s">
        <v>5118</v>
      </c>
      <c r="T386" s="150" t="s">
        <v>5119</v>
      </c>
      <c r="U386" s="202" t="s">
        <v>6707</v>
      </c>
      <c r="V386" s="204">
        <v>2</v>
      </c>
      <c r="W386" s="203" t="s">
        <v>5111</v>
      </c>
      <c r="X386" s="204" t="s">
        <v>6564</v>
      </c>
      <c r="Y386" s="206">
        <v>6048</v>
      </c>
      <c r="Z386" s="207">
        <v>10000</v>
      </c>
      <c r="AA386" s="207">
        <f t="shared" si="83"/>
        <v>60480000</v>
      </c>
      <c r="AB386" s="157">
        <v>10000</v>
      </c>
      <c r="AC386" s="158">
        <f t="shared" si="97"/>
        <v>10000</v>
      </c>
      <c r="AD386" s="159">
        <f t="shared" si="84"/>
        <v>0</v>
      </c>
      <c r="AE386" s="160"/>
      <c r="AF386" s="160">
        <f t="shared" si="85"/>
        <v>0</v>
      </c>
      <c r="AG386" s="165"/>
      <c r="AH386" s="161">
        <f t="shared" si="86"/>
        <v>0</v>
      </c>
      <c r="AI386" s="162"/>
      <c r="AJ386" s="162">
        <f t="shared" si="87"/>
        <v>0</v>
      </c>
      <c r="AK386" s="164"/>
      <c r="AL386" s="164">
        <f t="shared" si="88"/>
        <v>0</v>
      </c>
      <c r="AM386" s="165"/>
      <c r="AN386" s="165">
        <f t="shared" si="89"/>
        <v>0</v>
      </c>
      <c r="AO386" s="166">
        <v>0</v>
      </c>
      <c r="AP386" s="166">
        <f t="shared" si="90"/>
        <v>0</v>
      </c>
      <c r="AQ386" s="162"/>
      <c r="AR386" s="162">
        <f t="shared" si="91"/>
        <v>0</v>
      </c>
      <c r="AS386" s="173"/>
      <c r="AT386" s="167">
        <f t="shared" si="92"/>
        <v>0</v>
      </c>
      <c r="AU386" s="163"/>
      <c r="AV386" s="163">
        <f t="shared" si="93"/>
        <v>0</v>
      </c>
      <c r="AW386" s="168"/>
      <c r="AX386" s="168">
        <f t="shared" si="94"/>
        <v>0</v>
      </c>
      <c r="AY386" s="170"/>
      <c r="AZ386" s="170">
        <f t="shared" si="95"/>
        <v>0</v>
      </c>
      <c r="BA386" s="166"/>
      <c r="BB386" s="166">
        <f t="shared" si="96"/>
        <v>0</v>
      </c>
    </row>
    <row r="387" spans="1:54" s="115" customFormat="1" ht="112.5">
      <c r="A387" s="172" t="s">
        <v>6711</v>
      </c>
      <c r="B387" s="203" t="s">
        <v>2503</v>
      </c>
      <c r="C387" s="203"/>
      <c r="D387" s="203"/>
      <c r="E387" s="203" t="s">
        <v>6713</v>
      </c>
      <c r="F387" s="205" t="s">
        <v>6714</v>
      </c>
      <c r="G387" s="205" t="s">
        <v>6102</v>
      </c>
      <c r="H387" s="204" t="s">
        <v>327</v>
      </c>
      <c r="I387" s="204" t="s">
        <v>11</v>
      </c>
      <c r="J387" s="205" t="s">
        <v>6143</v>
      </c>
      <c r="K387" s="206">
        <v>3900</v>
      </c>
      <c r="L387" s="206"/>
      <c r="M387" s="159">
        <f t="shared" si="82"/>
        <v>0</v>
      </c>
      <c r="N387" s="159"/>
      <c r="O387" s="159"/>
      <c r="P387" s="159"/>
      <c r="Q387" s="159"/>
      <c r="R387" s="159"/>
      <c r="S387" s="209" t="s">
        <v>5848</v>
      </c>
      <c r="T387" s="203" t="s">
        <v>5849</v>
      </c>
      <c r="U387" s="202" t="s">
        <v>6712</v>
      </c>
      <c r="V387" s="204">
        <v>2</v>
      </c>
      <c r="W387" s="203" t="s">
        <v>253</v>
      </c>
      <c r="X387" s="204" t="s">
        <v>213</v>
      </c>
      <c r="Y387" s="206">
        <v>4000</v>
      </c>
      <c r="Z387" s="207">
        <v>20000</v>
      </c>
      <c r="AA387" s="207">
        <f t="shared" si="83"/>
        <v>78000000</v>
      </c>
      <c r="AB387" s="157">
        <v>20000</v>
      </c>
      <c r="AC387" s="158">
        <f t="shared" si="97"/>
        <v>20000</v>
      </c>
      <c r="AD387" s="159">
        <f t="shared" si="84"/>
        <v>0</v>
      </c>
      <c r="AE387" s="160"/>
      <c r="AF387" s="160">
        <f t="shared" si="85"/>
        <v>0</v>
      </c>
      <c r="AG387" s="165"/>
      <c r="AH387" s="161">
        <f t="shared" si="86"/>
        <v>0</v>
      </c>
      <c r="AI387" s="162"/>
      <c r="AJ387" s="162">
        <f t="shared" si="87"/>
        <v>0</v>
      </c>
      <c r="AK387" s="164"/>
      <c r="AL387" s="164">
        <f t="shared" si="88"/>
        <v>0</v>
      </c>
      <c r="AM387" s="165"/>
      <c r="AN387" s="165">
        <f t="shared" si="89"/>
        <v>0</v>
      </c>
      <c r="AO387" s="166">
        <v>0</v>
      </c>
      <c r="AP387" s="166">
        <f t="shared" si="90"/>
        <v>0</v>
      </c>
      <c r="AQ387" s="162"/>
      <c r="AR387" s="162">
        <f t="shared" si="91"/>
        <v>0</v>
      </c>
      <c r="AS387" s="173"/>
      <c r="AT387" s="167">
        <f t="shared" si="92"/>
        <v>0</v>
      </c>
      <c r="AU387" s="163"/>
      <c r="AV387" s="163">
        <f t="shared" si="93"/>
        <v>0</v>
      </c>
      <c r="AW387" s="168"/>
      <c r="AX387" s="168">
        <f t="shared" si="94"/>
        <v>0</v>
      </c>
      <c r="AY387" s="170"/>
      <c r="AZ387" s="170">
        <f t="shared" si="95"/>
        <v>0</v>
      </c>
      <c r="BA387" s="166"/>
      <c r="BB387" s="166">
        <f t="shared" si="96"/>
        <v>0</v>
      </c>
    </row>
    <row r="388" spans="1:54" s="115" customFormat="1" ht="31.5">
      <c r="A388" s="148" t="s">
        <v>6715</v>
      </c>
      <c r="B388" s="203" t="s">
        <v>555</v>
      </c>
      <c r="C388" s="203"/>
      <c r="D388" s="203"/>
      <c r="E388" s="203" t="s">
        <v>4304</v>
      </c>
      <c r="F388" s="205" t="s">
        <v>6718</v>
      </c>
      <c r="G388" s="205" t="s">
        <v>6719</v>
      </c>
      <c r="H388" s="204" t="s">
        <v>262</v>
      </c>
      <c r="I388" s="204" t="s">
        <v>11</v>
      </c>
      <c r="J388" s="205" t="s">
        <v>5608</v>
      </c>
      <c r="K388" s="206">
        <v>2480</v>
      </c>
      <c r="L388" s="206"/>
      <c r="M388" s="159">
        <f t="shared" ref="M388:M451" si="98">AE388+AG388+AI388+AK388+AM388+AO388+AQ388+AS388+AU388+AW388+AY388+BA388</f>
        <v>10000</v>
      </c>
      <c r="N388" s="159"/>
      <c r="O388" s="159"/>
      <c r="P388" s="159"/>
      <c r="Q388" s="159"/>
      <c r="R388" s="159"/>
      <c r="S388" s="149" t="s">
        <v>6716</v>
      </c>
      <c r="T388" s="149" t="s">
        <v>6717</v>
      </c>
      <c r="U388" s="202" t="s">
        <v>4305</v>
      </c>
      <c r="V388" s="204">
        <v>2</v>
      </c>
      <c r="W388" s="203" t="s">
        <v>5104</v>
      </c>
      <c r="X388" s="204" t="s">
        <v>213</v>
      </c>
      <c r="Y388" s="206">
        <v>6805</v>
      </c>
      <c r="Z388" s="207">
        <v>10000</v>
      </c>
      <c r="AA388" s="207">
        <f t="shared" ref="AA388:AA451" si="99">Z388*K388</f>
        <v>24800000</v>
      </c>
      <c r="AB388" s="157">
        <v>10000</v>
      </c>
      <c r="AC388" s="158">
        <f t="shared" si="97"/>
        <v>0</v>
      </c>
      <c r="AD388" s="159">
        <f t="shared" ref="AD388:AD451" si="100">M388*K388</f>
        <v>24800000</v>
      </c>
      <c r="AE388" s="160"/>
      <c r="AF388" s="160">
        <f t="shared" ref="AF388:AF451" si="101">AE388*K388</f>
        <v>0</v>
      </c>
      <c r="AG388" s="165"/>
      <c r="AH388" s="161">
        <f t="shared" ref="AH388:AH451" si="102">AG388*K388</f>
        <v>0</v>
      </c>
      <c r="AI388" s="162"/>
      <c r="AJ388" s="162">
        <f t="shared" ref="AJ388:AJ451" si="103">AI388*K388</f>
        <v>0</v>
      </c>
      <c r="AK388" s="164"/>
      <c r="AL388" s="164">
        <f t="shared" ref="AL388:AL451" si="104">AK388*K388</f>
        <v>0</v>
      </c>
      <c r="AM388" s="165">
        <v>10000</v>
      </c>
      <c r="AN388" s="165">
        <f t="shared" ref="AN388:AN451" si="105">AM388*K388</f>
        <v>24800000</v>
      </c>
      <c r="AO388" s="166">
        <v>0</v>
      </c>
      <c r="AP388" s="166">
        <f t="shared" ref="AP388:AP451" si="106">AO388*K388</f>
        <v>0</v>
      </c>
      <c r="AQ388" s="162"/>
      <c r="AR388" s="162">
        <f t="shared" ref="AR388:AR451" si="107">AQ388*K388</f>
        <v>0</v>
      </c>
      <c r="AS388" s="173"/>
      <c r="AT388" s="167">
        <f t="shared" ref="AT388:AT451" si="108">AS388*K388</f>
        <v>0</v>
      </c>
      <c r="AU388" s="163"/>
      <c r="AV388" s="163">
        <f t="shared" ref="AV388:AV451" si="109">AU388*K388</f>
        <v>0</v>
      </c>
      <c r="AW388" s="168"/>
      <c r="AX388" s="168">
        <f t="shared" ref="AX388:AX451" si="110">AW388*K388</f>
        <v>0</v>
      </c>
      <c r="AY388" s="170"/>
      <c r="AZ388" s="170">
        <f t="shared" ref="AZ388:AZ451" si="111">AY388*K388</f>
        <v>0</v>
      </c>
      <c r="BA388" s="166"/>
      <c r="BB388" s="166">
        <f t="shared" ref="BB388:BB451" si="112">BA388*K388</f>
        <v>0</v>
      </c>
    </row>
    <row r="389" spans="1:54" s="115" customFormat="1" ht="31.5">
      <c r="A389" s="148" t="s">
        <v>6720</v>
      </c>
      <c r="B389" s="203" t="s">
        <v>1540</v>
      </c>
      <c r="C389" s="203"/>
      <c r="D389" s="203"/>
      <c r="E389" s="203" t="s">
        <v>3416</v>
      </c>
      <c r="F389" s="205" t="s">
        <v>3417</v>
      </c>
      <c r="G389" s="205" t="s">
        <v>3418</v>
      </c>
      <c r="H389" s="204" t="s">
        <v>1542</v>
      </c>
      <c r="I389" s="204" t="s">
        <v>11</v>
      </c>
      <c r="J389" s="205" t="s">
        <v>6722</v>
      </c>
      <c r="K389" s="206">
        <v>1890</v>
      </c>
      <c r="L389" s="206"/>
      <c r="M389" s="159">
        <f t="shared" si="98"/>
        <v>0</v>
      </c>
      <c r="N389" s="159"/>
      <c r="O389" s="159"/>
      <c r="P389" s="159"/>
      <c r="Q389" s="159"/>
      <c r="R389" s="159"/>
      <c r="S389" s="149" t="s">
        <v>5600</v>
      </c>
      <c r="T389" s="149" t="s">
        <v>5601</v>
      </c>
      <c r="U389" s="202" t="s">
        <v>6721</v>
      </c>
      <c r="V389" s="204">
        <v>2</v>
      </c>
      <c r="W389" s="203" t="s">
        <v>253</v>
      </c>
      <c r="X389" s="204" t="s">
        <v>5273</v>
      </c>
      <c r="Y389" s="206">
        <v>5000</v>
      </c>
      <c r="Z389" s="207">
        <v>40000</v>
      </c>
      <c r="AA389" s="207">
        <f t="shared" si="99"/>
        <v>75600000</v>
      </c>
      <c r="AB389" s="157">
        <v>40000</v>
      </c>
      <c r="AC389" s="158">
        <f t="shared" si="97"/>
        <v>40000</v>
      </c>
      <c r="AD389" s="159">
        <f t="shared" si="100"/>
        <v>0</v>
      </c>
      <c r="AE389" s="160"/>
      <c r="AF389" s="160">
        <f t="shared" si="101"/>
        <v>0</v>
      </c>
      <c r="AG389" s="165"/>
      <c r="AH389" s="161">
        <f t="shared" si="102"/>
        <v>0</v>
      </c>
      <c r="AI389" s="162"/>
      <c r="AJ389" s="162">
        <f t="shared" si="103"/>
        <v>0</v>
      </c>
      <c r="AK389" s="164"/>
      <c r="AL389" s="164">
        <f t="shared" si="104"/>
        <v>0</v>
      </c>
      <c r="AM389" s="165"/>
      <c r="AN389" s="165">
        <f t="shared" si="105"/>
        <v>0</v>
      </c>
      <c r="AO389" s="166">
        <v>0</v>
      </c>
      <c r="AP389" s="166">
        <f t="shared" si="106"/>
        <v>0</v>
      </c>
      <c r="AQ389" s="162"/>
      <c r="AR389" s="162">
        <f t="shared" si="107"/>
        <v>0</v>
      </c>
      <c r="AS389" s="173"/>
      <c r="AT389" s="167">
        <f t="shared" si="108"/>
        <v>0</v>
      </c>
      <c r="AU389" s="163"/>
      <c r="AV389" s="163">
        <f t="shared" si="109"/>
        <v>0</v>
      </c>
      <c r="AW389" s="168"/>
      <c r="AX389" s="168">
        <f t="shared" si="110"/>
        <v>0</v>
      </c>
      <c r="AY389" s="170"/>
      <c r="AZ389" s="170">
        <f t="shared" si="111"/>
        <v>0</v>
      </c>
      <c r="BA389" s="166"/>
      <c r="BB389" s="166">
        <f t="shared" si="112"/>
        <v>0</v>
      </c>
    </row>
    <row r="390" spans="1:54" s="115" customFormat="1" ht="112.5">
      <c r="A390" s="172" t="s">
        <v>6723</v>
      </c>
      <c r="B390" s="203" t="s">
        <v>645</v>
      </c>
      <c r="C390" s="203"/>
      <c r="D390" s="203"/>
      <c r="E390" s="203" t="s">
        <v>4149</v>
      </c>
      <c r="F390" s="205" t="s">
        <v>6724</v>
      </c>
      <c r="G390" s="205" t="s">
        <v>6102</v>
      </c>
      <c r="H390" s="204" t="s">
        <v>248</v>
      </c>
      <c r="I390" s="204" t="s">
        <v>11</v>
      </c>
      <c r="J390" s="205" t="s">
        <v>6009</v>
      </c>
      <c r="K390" s="206">
        <v>700</v>
      </c>
      <c r="L390" s="206"/>
      <c r="M390" s="159">
        <f t="shared" si="98"/>
        <v>4980</v>
      </c>
      <c r="N390" s="159"/>
      <c r="O390" s="159"/>
      <c r="P390" s="159"/>
      <c r="Q390" s="159"/>
      <c r="R390" s="159"/>
      <c r="S390" s="209" t="s">
        <v>5848</v>
      </c>
      <c r="T390" s="203" t="s">
        <v>5849</v>
      </c>
      <c r="U390" s="202" t="s">
        <v>4148</v>
      </c>
      <c r="V390" s="204">
        <v>2</v>
      </c>
      <c r="W390" s="203" t="s">
        <v>5104</v>
      </c>
      <c r="X390" s="204" t="s">
        <v>213</v>
      </c>
      <c r="Y390" s="206">
        <v>1700</v>
      </c>
      <c r="Z390" s="207">
        <v>5000</v>
      </c>
      <c r="AA390" s="207">
        <f t="shared" si="99"/>
        <v>3500000</v>
      </c>
      <c r="AB390" s="157">
        <v>5000</v>
      </c>
      <c r="AC390" s="158">
        <f t="shared" si="97"/>
        <v>20</v>
      </c>
      <c r="AD390" s="159">
        <f t="shared" si="100"/>
        <v>3486000</v>
      </c>
      <c r="AE390" s="160"/>
      <c r="AF390" s="160">
        <f t="shared" si="101"/>
        <v>0</v>
      </c>
      <c r="AG390" s="165"/>
      <c r="AH390" s="161">
        <f t="shared" si="102"/>
        <v>0</v>
      </c>
      <c r="AI390" s="162"/>
      <c r="AJ390" s="162">
        <f t="shared" si="103"/>
        <v>0</v>
      </c>
      <c r="AK390" s="164"/>
      <c r="AL390" s="164">
        <f t="shared" si="104"/>
        <v>0</v>
      </c>
      <c r="AM390" s="165">
        <f>1200+3780</f>
        <v>4980</v>
      </c>
      <c r="AN390" s="165">
        <f t="shared" si="105"/>
        <v>3486000</v>
      </c>
      <c r="AO390" s="166">
        <v>0</v>
      </c>
      <c r="AP390" s="166">
        <f t="shared" si="106"/>
        <v>0</v>
      </c>
      <c r="AQ390" s="162"/>
      <c r="AR390" s="162">
        <f t="shared" si="107"/>
        <v>0</v>
      </c>
      <c r="AS390" s="173"/>
      <c r="AT390" s="167">
        <f t="shared" si="108"/>
        <v>0</v>
      </c>
      <c r="AU390" s="163"/>
      <c r="AV390" s="163">
        <f t="shared" si="109"/>
        <v>0</v>
      </c>
      <c r="AW390" s="168"/>
      <c r="AX390" s="168">
        <f t="shared" si="110"/>
        <v>0</v>
      </c>
      <c r="AY390" s="170"/>
      <c r="AZ390" s="170">
        <f t="shared" si="111"/>
        <v>0</v>
      </c>
      <c r="BA390" s="166"/>
      <c r="BB390" s="166">
        <f t="shared" si="112"/>
        <v>0</v>
      </c>
    </row>
    <row r="391" spans="1:54" s="115" customFormat="1" ht="31.5">
      <c r="A391" s="148" t="s">
        <v>6725</v>
      </c>
      <c r="B391" s="203" t="s">
        <v>645</v>
      </c>
      <c r="C391" s="203"/>
      <c r="D391" s="203"/>
      <c r="E391" s="203" t="s">
        <v>6727</v>
      </c>
      <c r="F391" s="205" t="s">
        <v>6728</v>
      </c>
      <c r="G391" s="205" t="s">
        <v>6606</v>
      </c>
      <c r="H391" s="204" t="s">
        <v>258</v>
      </c>
      <c r="I391" s="204" t="s">
        <v>11</v>
      </c>
      <c r="J391" s="205" t="s">
        <v>6604</v>
      </c>
      <c r="K391" s="206">
        <v>3100</v>
      </c>
      <c r="L391" s="206"/>
      <c r="M391" s="159">
        <f t="shared" si="98"/>
        <v>0</v>
      </c>
      <c r="N391" s="159"/>
      <c r="O391" s="159"/>
      <c r="P391" s="159"/>
      <c r="Q391" s="159"/>
      <c r="R391" s="159"/>
      <c r="S391" s="149" t="s">
        <v>6177</v>
      </c>
      <c r="T391" s="149" t="s">
        <v>6178</v>
      </c>
      <c r="U391" s="202" t="s">
        <v>6726</v>
      </c>
      <c r="V391" s="204">
        <v>2</v>
      </c>
      <c r="W391" s="203" t="s">
        <v>5104</v>
      </c>
      <c r="X391" s="204" t="s">
        <v>213</v>
      </c>
      <c r="Y391" s="206">
        <v>4200</v>
      </c>
      <c r="Z391" s="207">
        <v>50000</v>
      </c>
      <c r="AA391" s="207">
        <f t="shared" si="99"/>
        <v>155000000</v>
      </c>
      <c r="AB391" s="157">
        <v>50000</v>
      </c>
      <c r="AC391" s="158">
        <f t="shared" si="97"/>
        <v>50000</v>
      </c>
      <c r="AD391" s="159">
        <f t="shared" si="100"/>
        <v>0</v>
      </c>
      <c r="AE391" s="160"/>
      <c r="AF391" s="160">
        <f t="shared" si="101"/>
        <v>0</v>
      </c>
      <c r="AG391" s="165"/>
      <c r="AH391" s="161">
        <f t="shared" si="102"/>
        <v>0</v>
      </c>
      <c r="AI391" s="162"/>
      <c r="AJ391" s="162">
        <f t="shared" si="103"/>
        <v>0</v>
      </c>
      <c r="AK391" s="164"/>
      <c r="AL391" s="164">
        <f t="shared" si="104"/>
        <v>0</v>
      </c>
      <c r="AM391" s="165"/>
      <c r="AN391" s="165">
        <f t="shared" si="105"/>
        <v>0</v>
      </c>
      <c r="AO391" s="166">
        <v>0</v>
      </c>
      <c r="AP391" s="166">
        <f t="shared" si="106"/>
        <v>0</v>
      </c>
      <c r="AQ391" s="162"/>
      <c r="AR391" s="162">
        <f t="shared" si="107"/>
        <v>0</v>
      </c>
      <c r="AS391" s="173"/>
      <c r="AT391" s="167">
        <f t="shared" si="108"/>
        <v>0</v>
      </c>
      <c r="AU391" s="163"/>
      <c r="AV391" s="163">
        <f t="shared" si="109"/>
        <v>0</v>
      </c>
      <c r="AW391" s="168"/>
      <c r="AX391" s="168">
        <f t="shared" si="110"/>
        <v>0</v>
      </c>
      <c r="AY391" s="170"/>
      <c r="AZ391" s="170">
        <f t="shared" si="111"/>
        <v>0</v>
      </c>
      <c r="BA391" s="166"/>
      <c r="BB391" s="166">
        <f t="shared" si="112"/>
        <v>0</v>
      </c>
    </row>
    <row r="392" spans="1:54" s="115" customFormat="1" ht="112.5">
      <c r="A392" s="148" t="s">
        <v>6729</v>
      </c>
      <c r="B392" s="203" t="s">
        <v>1488</v>
      </c>
      <c r="C392" s="203"/>
      <c r="D392" s="203"/>
      <c r="E392" s="203" t="s">
        <v>6731</v>
      </c>
      <c r="F392" s="205" t="s">
        <v>6732</v>
      </c>
      <c r="G392" s="205" t="s">
        <v>6102</v>
      </c>
      <c r="H392" s="204" t="s">
        <v>1173</v>
      </c>
      <c r="I392" s="204" t="s">
        <v>11</v>
      </c>
      <c r="J392" s="205" t="s">
        <v>6009</v>
      </c>
      <c r="K392" s="206">
        <v>905</v>
      </c>
      <c r="L392" s="206"/>
      <c r="M392" s="159">
        <f t="shared" si="98"/>
        <v>1200</v>
      </c>
      <c r="N392" s="159"/>
      <c r="O392" s="159"/>
      <c r="P392" s="159"/>
      <c r="Q392" s="159"/>
      <c r="R392" s="159"/>
      <c r="S392" s="209" t="s">
        <v>5848</v>
      </c>
      <c r="T392" s="203" t="s">
        <v>5849</v>
      </c>
      <c r="U392" s="202" t="s">
        <v>6730</v>
      </c>
      <c r="V392" s="204">
        <v>2</v>
      </c>
      <c r="W392" s="203" t="s">
        <v>5104</v>
      </c>
      <c r="X392" s="204" t="s">
        <v>213</v>
      </c>
      <c r="Y392" s="206">
        <v>3200</v>
      </c>
      <c r="Z392" s="207">
        <v>60000</v>
      </c>
      <c r="AA392" s="207">
        <f t="shared" si="99"/>
        <v>54300000</v>
      </c>
      <c r="AB392" s="157">
        <v>60000</v>
      </c>
      <c r="AC392" s="158">
        <f t="shared" si="97"/>
        <v>58800</v>
      </c>
      <c r="AD392" s="159">
        <f t="shared" si="100"/>
        <v>1086000</v>
      </c>
      <c r="AE392" s="160"/>
      <c r="AF392" s="160">
        <f t="shared" si="101"/>
        <v>0</v>
      </c>
      <c r="AG392" s="165"/>
      <c r="AH392" s="161">
        <f t="shared" si="102"/>
        <v>0</v>
      </c>
      <c r="AI392" s="162"/>
      <c r="AJ392" s="162">
        <f t="shared" si="103"/>
        <v>0</v>
      </c>
      <c r="AK392" s="164"/>
      <c r="AL392" s="164">
        <f t="shared" si="104"/>
        <v>0</v>
      </c>
      <c r="AM392" s="165">
        <v>1200</v>
      </c>
      <c r="AN392" s="165">
        <f t="shared" si="105"/>
        <v>1086000</v>
      </c>
      <c r="AO392" s="166">
        <v>0</v>
      </c>
      <c r="AP392" s="166">
        <f t="shared" si="106"/>
        <v>0</v>
      </c>
      <c r="AQ392" s="162"/>
      <c r="AR392" s="162">
        <f t="shared" si="107"/>
        <v>0</v>
      </c>
      <c r="AS392" s="173"/>
      <c r="AT392" s="167">
        <f t="shared" si="108"/>
        <v>0</v>
      </c>
      <c r="AU392" s="163"/>
      <c r="AV392" s="163">
        <f t="shared" si="109"/>
        <v>0</v>
      </c>
      <c r="AW392" s="168"/>
      <c r="AX392" s="168">
        <f t="shared" si="110"/>
        <v>0</v>
      </c>
      <c r="AY392" s="170"/>
      <c r="AZ392" s="170">
        <f t="shared" si="111"/>
        <v>0</v>
      </c>
      <c r="BA392" s="166"/>
      <c r="BB392" s="166">
        <f t="shared" si="112"/>
        <v>0</v>
      </c>
    </row>
    <row r="393" spans="1:54">
      <c r="A393" s="172" t="s">
        <v>6733</v>
      </c>
      <c r="B393" s="203" t="s">
        <v>6133</v>
      </c>
      <c r="C393" s="203"/>
      <c r="D393" s="203"/>
      <c r="E393" s="203" t="s">
        <v>6735</v>
      </c>
      <c r="F393" s="205" t="s">
        <v>6737</v>
      </c>
      <c r="G393" s="205" t="s">
        <v>6738</v>
      </c>
      <c r="H393" s="204" t="s">
        <v>2108</v>
      </c>
      <c r="I393" s="204" t="s">
        <v>520</v>
      </c>
      <c r="J393" s="205" t="s">
        <v>6736</v>
      </c>
      <c r="K393" s="206">
        <v>96000</v>
      </c>
      <c r="L393" s="206"/>
      <c r="M393" s="159">
        <f t="shared" si="98"/>
        <v>0</v>
      </c>
      <c r="N393" s="159"/>
      <c r="O393" s="159"/>
      <c r="P393" s="159"/>
      <c r="Q393" s="159"/>
      <c r="R393" s="159"/>
      <c r="S393" s="149" t="s">
        <v>5132</v>
      </c>
      <c r="T393" s="149" t="s">
        <v>5133</v>
      </c>
      <c r="U393" s="202" t="s">
        <v>6734</v>
      </c>
      <c r="V393" s="204">
        <v>2</v>
      </c>
      <c r="W393" s="203" t="s">
        <v>253</v>
      </c>
      <c r="X393" s="204" t="s">
        <v>6564</v>
      </c>
      <c r="Y393" s="206">
        <v>96127</v>
      </c>
      <c r="Z393" s="207">
        <v>50</v>
      </c>
      <c r="AA393" s="207">
        <f t="shared" si="99"/>
        <v>4800000</v>
      </c>
      <c r="AB393" s="157">
        <v>50</v>
      </c>
      <c r="AC393" s="158">
        <f t="shared" si="97"/>
        <v>50</v>
      </c>
      <c r="AD393" s="159">
        <f t="shared" si="100"/>
        <v>0</v>
      </c>
      <c r="AE393" s="160"/>
      <c r="AF393" s="160">
        <f t="shared" si="101"/>
        <v>0</v>
      </c>
      <c r="AG393" s="161"/>
      <c r="AH393" s="161">
        <f t="shared" si="102"/>
        <v>0</v>
      </c>
      <c r="AI393" s="162"/>
      <c r="AJ393" s="162">
        <f t="shared" si="103"/>
        <v>0</v>
      </c>
      <c r="AK393" s="164"/>
      <c r="AL393" s="164">
        <f t="shared" si="104"/>
        <v>0</v>
      </c>
      <c r="AM393" s="165"/>
      <c r="AN393" s="165">
        <f t="shared" si="105"/>
        <v>0</v>
      </c>
      <c r="AO393" s="166">
        <v>0</v>
      </c>
      <c r="AP393" s="166">
        <f t="shared" si="106"/>
        <v>0</v>
      </c>
      <c r="AQ393" s="162"/>
      <c r="AR393" s="162">
        <f t="shared" si="107"/>
        <v>0</v>
      </c>
      <c r="AS393" s="167"/>
      <c r="AT393" s="167">
        <f t="shared" si="108"/>
        <v>0</v>
      </c>
      <c r="AU393" s="163"/>
      <c r="AV393" s="163">
        <f t="shared" si="109"/>
        <v>0</v>
      </c>
      <c r="AW393" s="168"/>
      <c r="AX393" s="168">
        <f t="shared" si="110"/>
        <v>0</v>
      </c>
      <c r="AY393" s="170"/>
      <c r="AZ393" s="170">
        <f t="shared" si="111"/>
        <v>0</v>
      </c>
      <c r="BA393" s="166"/>
      <c r="BB393" s="166">
        <f t="shared" si="112"/>
        <v>0</v>
      </c>
    </row>
    <row r="394" spans="1:54" ht="31.5">
      <c r="A394" s="148" t="s">
        <v>6739</v>
      </c>
      <c r="B394" s="203" t="s">
        <v>788</v>
      </c>
      <c r="C394" s="203"/>
      <c r="D394" s="203"/>
      <c r="E394" s="203" t="s">
        <v>6741</v>
      </c>
      <c r="F394" s="205" t="s">
        <v>6743</v>
      </c>
      <c r="G394" s="205" t="s">
        <v>6744</v>
      </c>
      <c r="H394" s="204" t="s">
        <v>390</v>
      </c>
      <c r="I394" s="204" t="s">
        <v>11</v>
      </c>
      <c r="J394" s="205" t="s">
        <v>6742</v>
      </c>
      <c r="K394" s="206">
        <v>830</v>
      </c>
      <c r="L394" s="206"/>
      <c r="M394" s="159">
        <f t="shared" si="98"/>
        <v>0</v>
      </c>
      <c r="N394" s="159"/>
      <c r="O394" s="159"/>
      <c r="P394" s="159"/>
      <c r="Q394" s="159"/>
      <c r="R394" s="159"/>
      <c r="S394" s="149" t="s">
        <v>5982</v>
      </c>
      <c r="T394" s="149" t="s">
        <v>5983</v>
      </c>
      <c r="U394" s="202" t="s">
        <v>6740</v>
      </c>
      <c r="V394" s="204">
        <v>2</v>
      </c>
      <c r="W394" s="203" t="s">
        <v>253</v>
      </c>
      <c r="X394" s="204" t="s">
        <v>6745</v>
      </c>
      <c r="Y394" s="206">
        <v>2100</v>
      </c>
      <c r="Z394" s="207">
        <v>50000</v>
      </c>
      <c r="AA394" s="207">
        <f t="shared" si="99"/>
        <v>41500000</v>
      </c>
      <c r="AB394" s="157">
        <v>50000</v>
      </c>
      <c r="AC394" s="158">
        <f t="shared" si="97"/>
        <v>50000</v>
      </c>
      <c r="AD394" s="159">
        <f t="shared" si="100"/>
        <v>0</v>
      </c>
      <c r="AE394" s="160"/>
      <c r="AF394" s="160">
        <f t="shared" si="101"/>
        <v>0</v>
      </c>
      <c r="AG394" s="165"/>
      <c r="AH394" s="161">
        <f t="shared" si="102"/>
        <v>0</v>
      </c>
      <c r="AI394" s="162"/>
      <c r="AJ394" s="162">
        <f t="shared" si="103"/>
        <v>0</v>
      </c>
      <c r="AK394" s="164"/>
      <c r="AL394" s="164">
        <f t="shared" si="104"/>
        <v>0</v>
      </c>
      <c r="AM394" s="165"/>
      <c r="AN394" s="165">
        <f t="shared" si="105"/>
        <v>0</v>
      </c>
      <c r="AO394" s="166">
        <v>0</v>
      </c>
      <c r="AP394" s="166">
        <f t="shared" si="106"/>
        <v>0</v>
      </c>
      <c r="AQ394" s="162"/>
      <c r="AR394" s="162">
        <f t="shared" si="107"/>
        <v>0</v>
      </c>
      <c r="AS394" s="173"/>
      <c r="AT394" s="167">
        <f t="shared" si="108"/>
        <v>0</v>
      </c>
      <c r="AU394" s="163"/>
      <c r="AV394" s="163">
        <f t="shared" si="109"/>
        <v>0</v>
      </c>
      <c r="AW394" s="168"/>
      <c r="AX394" s="168">
        <f t="shared" si="110"/>
        <v>0</v>
      </c>
      <c r="AY394" s="170"/>
      <c r="AZ394" s="170">
        <f t="shared" si="111"/>
        <v>0</v>
      </c>
      <c r="BA394" s="166"/>
      <c r="BB394" s="166">
        <f t="shared" si="112"/>
        <v>0</v>
      </c>
    </row>
    <row r="395" spans="1:54" ht="31.5">
      <c r="A395" s="148" t="s">
        <v>6746</v>
      </c>
      <c r="B395" s="203" t="s">
        <v>788</v>
      </c>
      <c r="C395" s="203"/>
      <c r="D395" s="203"/>
      <c r="E395" s="203" t="s">
        <v>6748</v>
      </c>
      <c r="F395" s="205" t="s">
        <v>6749</v>
      </c>
      <c r="G395" s="205" t="s">
        <v>6532</v>
      </c>
      <c r="H395" s="204" t="s">
        <v>369</v>
      </c>
      <c r="I395" s="204" t="s">
        <v>11</v>
      </c>
      <c r="J395" s="205" t="s">
        <v>5608</v>
      </c>
      <c r="K395" s="206">
        <v>3480</v>
      </c>
      <c r="L395" s="206"/>
      <c r="M395" s="159">
        <f t="shared" si="98"/>
        <v>0</v>
      </c>
      <c r="N395" s="159"/>
      <c r="O395" s="159"/>
      <c r="P395" s="159"/>
      <c r="Q395" s="159"/>
      <c r="R395" s="159"/>
      <c r="S395" s="149" t="s">
        <v>6224</v>
      </c>
      <c r="T395" s="149" t="s">
        <v>6225</v>
      </c>
      <c r="U395" s="202" t="s">
        <v>6747</v>
      </c>
      <c r="V395" s="204">
        <v>2</v>
      </c>
      <c r="W395" s="203" t="s">
        <v>5104</v>
      </c>
      <c r="X395" s="204" t="s">
        <v>213</v>
      </c>
      <c r="Y395" s="206">
        <v>4054</v>
      </c>
      <c r="Z395" s="207">
        <v>50000</v>
      </c>
      <c r="AA395" s="207">
        <f t="shared" si="99"/>
        <v>174000000</v>
      </c>
      <c r="AB395" s="157">
        <v>50000</v>
      </c>
      <c r="AC395" s="158">
        <f t="shared" si="97"/>
        <v>50000</v>
      </c>
      <c r="AD395" s="159">
        <f t="shared" si="100"/>
        <v>0</v>
      </c>
      <c r="AE395" s="160"/>
      <c r="AF395" s="160">
        <f t="shared" si="101"/>
        <v>0</v>
      </c>
      <c r="AG395" s="165"/>
      <c r="AH395" s="161">
        <f t="shared" si="102"/>
        <v>0</v>
      </c>
      <c r="AI395" s="162"/>
      <c r="AJ395" s="162">
        <f t="shared" si="103"/>
        <v>0</v>
      </c>
      <c r="AK395" s="164"/>
      <c r="AL395" s="164">
        <f t="shared" si="104"/>
        <v>0</v>
      </c>
      <c r="AM395" s="165"/>
      <c r="AN395" s="165">
        <f t="shared" si="105"/>
        <v>0</v>
      </c>
      <c r="AO395" s="166">
        <v>0</v>
      </c>
      <c r="AP395" s="166">
        <f t="shared" si="106"/>
        <v>0</v>
      </c>
      <c r="AQ395" s="162"/>
      <c r="AR395" s="162">
        <f t="shared" si="107"/>
        <v>0</v>
      </c>
      <c r="AS395" s="173"/>
      <c r="AT395" s="167">
        <f t="shared" si="108"/>
        <v>0</v>
      </c>
      <c r="AU395" s="163"/>
      <c r="AV395" s="163">
        <f t="shared" si="109"/>
        <v>0</v>
      </c>
      <c r="AW395" s="168"/>
      <c r="AX395" s="168">
        <f t="shared" si="110"/>
        <v>0</v>
      </c>
      <c r="AY395" s="170"/>
      <c r="AZ395" s="170">
        <f t="shared" si="111"/>
        <v>0</v>
      </c>
      <c r="BA395" s="166"/>
      <c r="BB395" s="166">
        <f t="shared" si="112"/>
        <v>0</v>
      </c>
    </row>
    <row r="396" spans="1:54" s="131" customFormat="1" ht="31.5">
      <c r="A396" s="172" t="s">
        <v>6750</v>
      </c>
      <c r="B396" s="203" t="s">
        <v>1247</v>
      </c>
      <c r="C396" s="203"/>
      <c r="D396" s="203"/>
      <c r="E396" s="203" t="s">
        <v>6753</v>
      </c>
      <c r="F396" s="205" t="s">
        <v>6754</v>
      </c>
      <c r="G396" s="205" t="s">
        <v>6552</v>
      </c>
      <c r="H396" s="204" t="s">
        <v>6752</v>
      </c>
      <c r="I396" s="204" t="s">
        <v>11</v>
      </c>
      <c r="J396" s="205" t="s">
        <v>6550</v>
      </c>
      <c r="K396" s="206">
        <v>7200</v>
      </c>
      <c r="L396" s="206"/>
      <c r="M396" s="159">
        <f t="shared" si="98"/>
        <v>0</v>
      </c>
      <c r="N396" s="159"/>
      <c r="O396" s="159"/>
      <c r="P396" s="159"/>
      <c r="Q396" s="159"/>
      <c r="R396" s="159"/>
      <c r="S396" s="150" t="s">
        <v>5301</v>
      </c>
      <c r="T396" s="150" t="s">
        <v>5302</v>
      </c>
      <c r="U396" s="202" t="s">
        <v>6751</v>
      </c>
      <c r="V396" s="204">
        <v>2</v>
      </c>
      <c r="W396" s="203" t="s">
        <v>5104</v>
      </c>
      <c r="X396" s="204" t="s">
        <v>213</v>
      </c>
      <c r="Y396" s="206">
        <v>12000</v>
      </c>
      <c r="Z396" s="207">
        <v>20000</v>
      </c>
      <c r="AA396" s="207">
        <f t="shared" si="99"/>
        <v>144000000</v>
      </c>
      <c r="AB396" s="157">
        <v>20000</v>
      </c>
      <c r="AC396" s="158">
        <f t="shared" si="97"/>
        <v>20000</v>
      </c>
      <c r="AD396" s="159">
        <f t="shared" si="100"/>
        <v>0</v>
      </c>
      <c r="AE396" s="160"/>
      <c r="AF396" s="160">
        <f t="shared" si="101"/>
        <v>0</v>
      </c>
      <c r="AG396" s="165"/>
      <c r="AH396" s="161">
        <f t="shared" si="102"/>
        <v>0</v>
      </c>
      <c r="AI396" s="162"/>
      <c r="AJ396" s="162">
        <f t="shared" si="103"/>
        <v>0</v>
      </c>
      <c r="AK396" s="163"/>
      <c r="AL396" s="164">
        <f t="shared" si="104"/>
        <v>0</v>
      </c>
      <c r="AM396" s="161"/>
      <c r="AN396" s="165">
        <f t="shared" si="105"/>
        <v>0</v>
      </c>
      <c r="AO396" s="160">
        <v>0</v>
      </c>
      <c r="AP396" s="166">
        <f t="shared" si="106"/>
        <v>0</v>
      </c>
      <c r="AQ396" s="162"/>
      <c r="AR396" s="162">
        <f t="shared" si="107"/>
        <v>0</v>
      </c>
      <c r="AS396" s="173"/>
      <c r="AT396" s="167">
        <f t="shared" si="108"/>
        <v>0</v>
      </c>
      <c r="AU396" s="163"/>
      <c r="AV396" s="163">
        <f t="shared" si="109"/>
        <v>0</v>
      </c>
      <c r="AW396" s="162"/>
      <c r="AX396" s="168">
        <f t="shared" si="110"/>
        <v>0</v>
      </c>
      <c r="AY396" s="169"/>
      <c r="AZ396" s="170">
        <f t="shared" si="111"/>
        <v>0</v>
      </c>
      <c r="BA396" s="160"/>
      <c r="BB396" s="166">
        <f t="shared" si="112"/>
        <v>0</v>
      </c>
    </row>
    <row r="397" spans="1:54" s="131" customFormat="1" ht="31.5">
      <c r="A397" s="148" t="s">
        <v>6755</v>
      </c>
      <c r="B397" s="203" t="s">
        <v>1247</v>
      </c>
      <c r="C397" s="203"/>
      <c r="D397" s="203"/>
      <c r="E397" s="203" t="s">
        <v>6757</v>
      </c>
      <c r="F397" s="205" t="s">
        <v>6758</v>
      </c>
      <c r="G397" s="205" t="s">
        <v>6552</v>
      </c>
      <c r="H397" s="204" t="s">
        <v>1304</v>
      </c>
      <c r="I397" s="204" t="s">
        <v>11</v>
      </c>
      <c r="J397" s="205" t="s">
        <v>6550</v>
      </c>
      <c r="K397" s="206">
        <v>4890</v>
      </c>
      <c r="L397" s="206"/>
      <c r="M397" s="159">
        <f t="shared" si="98"/>
        <v>0</v>
      </c>
      <c r="N397" s="159"/>
      <c r="O397" s="159"/>
      <c r="P397" s="159"/>
      <c r="Q397" s="159"/>
      <c r="R397" s="159"/>
      <c r="S397" s="150" t="s">
        <v>5301</v>
      </c>
      <c r="T397" s="150" t="s">
        <v>5302</v>
      </c>
      <c r="U397" s="202" t="s">
        <v>6756</v>
      </c>
      <c r="V397" s="204">
        <v>2</v>
      </c>
      <c r="W397" s="203" t="s">
        <v>5104</v>
      </c>
      <c r="X397" s="204" t="s">
        <v>213</v>
      </c>
      <c r="Y397" s="206">
        <v>8000</v>
      </c>
      <c r="Z397" s="207">
        <v>30000</v>
      </c>
      <c r="AA397" s="207">
        <f t="shared" si="99"/>
        <v>146700000</v>
      </c>
      <c r="AB397" s="157">
        <v>30000</v>
      </c>
      <c r="AC397" s="158">
        <f t="shared" si="97"/>
        <v>30000</v>
      </c>
      <c r="AD397" s="159">
        <f t="shared" si="100"/>
        <v>0</v>
      </c>
      <c r="AE397" s="160"/>
      <c r="AF397" s="160">
        <f t="shared" si="101"/>
        <v>0</v>
      </c>
      <c r="AG397" s="165"/>
      <c r="AH397" s="161">
        <f t="shared" si="102"/>
        <v>0</v>
      </c>
      <c r="AI397" s="162"/>
      <c r="AJ397" s="162">
        <f t="shared" si="103"/>
        <v>0</v>
      </c>
      <c r="AK397" s="163"/>
      <c r="AL397" s="164">
        <f t="shared" si="104"/>
        <v>0</v>
      </c>
      <c r="AM397" s="161"/>
      <c r="AN397" s="165">
        <f t="shared" si="105"/>
        <v>0</v>
      </c>
      <c r="AO397" s="160">
        <v>0</v>
      </c>
      <c r="AP397" s="166">
        <f t="shared" si="106"/>
        <v>0</v>
      </c>
      <c r="AQ397" s="162"/>
      <c r="AR397" s="162">
        <f t="shared" si="107"/>
        <v>0</v>
      </c>
      <c r="AS397" s="173"/>
      <c r="AT397" s="167">
        <f t="shared" si="108"/>
        <v>0</v>
      </c>
      <c r="AU397" s="163"/>
      <c r="AV397" s="163">
        <f t="shared" si="109"/>
        <v>0</v>
      </c>
      <c r="AW397" s="162"/>
      <c r="AX397" s="168">
        <f t="shared" si="110"/>
        <v>0</v>
      </c>
      <c r="AY397" s="169"/>
      <c r="AZ397" s="170">
        <f t="shared" si="111"/>
        <v>0</v>
      </c>
      <c r="BA397" s="160"/>
      <c r="BB397" s="166">
        <f t="shared" si="112"/>
        <v>0</v>
      </c>
    </row>
    <row r="398" spans="1:54" s="131" customFormat="1" ht="112.5">
      <c r="A398" s="148" t="s">
        <v>6759</v>
      </c>
      <c r="B398" s="203" t="s">
        <v>376</v>
      </c>
      <c r="C398" s="203"/>
      <c r="D398" s="203"/>
      <c r="E398" s="203" t="s">
        <v>6760</v>
      </c>
      <c r="F398" s="205" t="s">
        <v>6761</v>
      </c>
      <c r="G398" s="205" t="s">
        <v>6102</v>
      </c>
      <c r="H398" s="204" t="s">
        <v>550</v>
      </c>
      <c r="I398" s="204" t="s">
        <v>11</v>
      </c>
      <c r="J398" s="205" t="s">
        <v>6009</v>
      </c>
      <c r="K398" s="206">
        <v>2000</v>
      </c>
      <c r="L398" s="206"/>
      <c r="M398" s="159">
        <f t="shared" si="98"/>
        <v>0</v>
      </c>
      <c r="N398" s="159"/>
      <c r="O398" s="159"/>
      <c r="P398" s="159"/>
      <c r="Q398" s="159"/>
      <c r="R398" s="159"/>
      <c r="S398" s="209" t="s">
        <v>5848</v>
      </c>
      <c r="T398" s="203" t="s">
        <v>5849</v>
      </c>
      <c r="U398" s="202" t="s">
        <v>3878</v>
      </c>
      <c r="V398" s="204">
        <v>2</v>
      </c>
      <c r="W398" s="203" t="s">
        <v>253</v>
      </c>
      <c r="X398" s="204" t="s">
        <v>213</v>
      </c>
      <c r="Y398" s="206">
        <v>2415</v>
      </c>
      <c r="Z398" s="207">
        <v>30000</v>
      </c>
      <c r="AA398" s="207">
        <f t="shared" si="99"/>
        <v>60000000</v>
      </c>
      <c r="AB398" s="157">
        <v>30000</v>
      </c>
      <c r="AC398" s="158">
        <f t="shared" si="97"/>
        <v>30000</v>
      </c>
      <c r="AD398" s="159">
        <f t="shared" si="100"/>
        <v>0</v>
      </c>
      <c r="AE398" s="160"/>
      <c r="AF398" s="160">
        <f t="shared" si="101"/>
        <v>0</v>
      </c>
      <c r="AG398" s="165"/>
      <c r="AH398" s="161">
        <f t="shared" si="102"/>
        <v>0</v>
      </c>
      <c r="AI398" s="162"/>
      <c r="AJ398" s="162">
        <f t="shared" si="103"/>
        <v>0</v>
      </c>
      <c r="AK398" s="164"/>
      <c r="AL398" s="164">
        <f t="shared" si="104"/>
        <v>0</v>
      </c>
      <c r="AM398" s="165"/>
      <c r="AN398" s="165">
        <f t="shared" si="105"/>
        <v>0</v>
      </c>
      <c r="AO398" s="166">
        <v>0</v>
      </c>
      <c r="AP398" s="166">
        <f t="shared" si="106"/>
        <v>0</v>
      </c>
      <c r="AQ398" s="162"/>
      <c r="AR398" s="162">
        <f t="shared" si="107"/>
        <v>0</v>
      </c>
      <c r="AS398" s="173"/>
      <c r="AT398" s="167">
        <f t="shared" si="108"/>
        <v>0</v>
      </c>
      <c r="AU398" s="163"/>
      <c r="AV398" s="163">
        <f t="shared" si="109"/>
        <v>0</v>
      </c>
      <c r="AW398" s="168"/>
      <c r="AX398" s="168">
        <f t="shared" si="110"/>
        <v>0</v>
      </c>
      <c r="AY398" s="170"/>
      <c r="AZ398" s="170">
        <f t="shared" si="111"/>
        <v>0</v>
      </c>
      <c r="BA398" s="166"/>
      <c r="BB398" s="166">
        <f t="shared" si="112"/>
        <v>0</v>
      </c>
    </row>
    <row r="399" spans="1:54" s="131" customFormat="1" ht="31.5">
      <c r="A399" s="172" t="s">
        <v>6762</v>
      </c>
      <c r="B399" s="203" t="s">
        <v>1220</v>
      </c>
      <c r="C399" s="203"/>
      <c r="D399" s="203"/>
      <c r="E399" s="203" t="s">
        <v>4059</v>
      </c>
      <c r="F399" s="205" t="s">
        <v>6764</v>
      </c>
      <c r="G399" s="205" t="s">
        <v>6765</v>
      </c>
      <c r="H399" s="204" t="s">
        <v>267</v>
      </c>
      <c r="I399" s="204" t="s">
        <v>16</v>
      </c>
      <c r="J399" s="205" t="s">
        <v>6763</v>
      </c>
      <c r="K399" s="206">
        <v>2600</v>
      </c>
      <c r="L399" s="206"/>
      <c r="M399" s="159">
        <f t="shared" si="98"/>
        <v>6000</v>
      </c>
      <c r="N399" s="159"/>
      <c r="O399" s="159"/>
      <c r="P399" s="159"/>
      <c r="Q399" s="159"/>
      <c r="R399" s="159"/>
      <c r="S399" s="149" t="s">
        <v>6351</v>
      </c>
      <c r="T399" s="149" t="s">
        <v>6352</v>
      </c>
      <c r="U399" s="202" t="s">
        <v>4054</v>
      </c>
      <c r="V399" s="204">
        <v>2</v>
      </c>
      <c r="W399" s="203" t="s">
        <v>5108</v>
      </c>
      <c r="X399" s="204" t="s">
        <v>6658</v>
      </c>
      <c r="Y399" s="206">
        <v>2600</v>
      </c>
      <c r="Z399" s="207">
        <v>50000</v>
      </c>
      <c r="AA399" s="207">
        <f t="shared" si="99"/>
        <v>130000000</v>
      </c>
      <c r="AB399" s="157">
        <v>50000</v>
      </c>
      <c r="AC399" s="158">
        <f t="shared" si="97"/>
        <v>44000</v>
      </c>
      <c r="AD399" s="159">
        <f t="shared" si="100"/>
        <v>15600000</v>
      </c>
      <c r="AE399" s="160"/>
      <c r="AF399" s="160">
        <f t="shared" si="101"/>
        <v>0</v>
      </c>
      <c r="AG399" s="165"/>
      <c r="AH399" s="161">
        <f t="shared" si="102"/>
        <v>0</v>
      </c>
      <c r="AI399" s="162"/>
      <c r="AJ399" s="162">
        <f t="shared" si="103"/>
        <v>0</v>
      </c>
      <c r="AK399" s="164"/>
      <c r="AL399" s="164">
        <f t="shared" si="104"/>
        <v>0</v>
      </c>
      <c r="AM399" s="165"/>
      <c r="AN399" s="165">
        <f t="shared" si="105"/>
        <v>0</v>
      </c>
      <c r="AO399" s="166">
        <v>0</v>
      </c>
      <c r="AP399" s="166">
        <f t="shared" si="106"/>
        <v>0</v>
      </c>
      <c r="AQ399" s="162"/>
      <c r="AR399" s="162">
        <f t="shared" si="107"/>
        <v>0</v>
      </c>
      <c r="AS399" s="173">
        <v>6000</v>
      </c>
      <c r="AT399" s="167">
        <f t="shared" si="108"/>
        <v>15600000</v>
      </c>
      <c r="AU399" s="163"/>
      <c r="AV399" s="163">
        <f t="shared" si="109"/>
        <v>0</v>
      </c>
      <c r="AW399" s="168"/>
      <c r="AX399" s="168">
        <f t="shared" si="110"/>
        <v>0</v>
      </c>
      <c r="AY399" s="170"/>
      <c r="AZ399" s="170">
        <f t="shared" si="111"/>
        <v>0</v>
      </c>
      <c r="BA399" s="166"/>
      <c r="BB399" s="166">
        <f t="shared" si="112"/>
        <v>0</v>
      </c>
    </row>
    <row r="400" spans="1:54" s="131" customFormat="1" ht="112.5">
      <c r="A400" s="148" t="s">
        <v>6766</v>
      </c>
      <c r="B400" s="203" t="s">
        <v>855</v>
      </c>
      <c r="C400" s="203"/>
      <c r="D400" s="203"/>
      <c r="E400" s="203" t="s">
        <v>4273</v>
      </c>
      <c r="F400" s="205" t="s">
        <v>6768</v>
      </c>
      <c r="G400" s="205" t="s">
        <v>6102</v>
      </c>
      <c r="H400" s="204" t="s">
        <v>334</v>
      </c>
      <c r="I400" s="204" t="s">
        <v>11</v>
      </c>
      <c r="J400" s="205" t="s">
        <v>6767</v>
      </c>
      <c r="K400" s="206">
        <v>900</v>
      </c>
      <c r="L400" s="206"/>
      <c r="M400" s="159">
        <f t="shared" si="98"/>
        <v>5200</v>
      </c>
      <c r="N400" s="159"/>
      <c r="O400" s="159"/>
      <c r="P400" s="159"/>
      <c r="Q400" s="159"/>
      <c r="R400" s="159"/>
      <c r="S400" s="209" t="s">
        <v>5848</v>
      </c>
      <c r="T400" s="203" t="s">
        <v>5849</v>
      </c>
      <c r="U400" s="202" t="s">
        <v>4272</v>
      </c>
      <c r="V400" s="204">
        <v>2</v>
      </c>
      <c r="W400" s="203" t="s">
        <v>5104</v>
      </c>
      <c r="X400" s="204" t="s">
        <v>213</v>
      </c>
      <c r="Y400" s="206">
        <v>900</v>
      </c>
      <c r="Z400" s="207">
        <v>100000</v>
      </c>
      <c r="AA400" s="207">
        <f t="shared" si="99"/>
        <v>90000000</v>
      </c>
      <c r="AB400" s="157">
        <v>100000</v>
      </c>
      <c r="AC400" s="158">
        <f t="shared" si="97"/>
        <v>94800</v>
      </c>
      <c r="AD400" s="159">
        <f t="shared" si="100"/>
        <v>4680000</v>
      </c>
      <c r="AE400" s="160"/>
      <c r="AF400" s="160">
        <f t="shared" si="101"/>
        <v>0</v>
      </c>
      <c r="AG400" s="165"/>
      <c r="AH400" s="161">
        <f t="shared" si="102"/>
        <v>0</v>
      </c>
      <c r="AI400" s="162"/>
      <c r="AJ400" s="162">
        <f t="shared" si="103"/>
        <v>0</v>
      </c>
      <c r="AK400" s="164"/>
      <c r="AL400" s="164">
        <f t="shared" si="104"/>
        <v>0</v>
      </c>
      <c r="AM400" s="165">
        <f>2000+1200</f>
        <v>3200</v>
      </c>
      <c r="AN400" s="165">
        <f t="shared" si="105"/>
        <v>2880000</v>
      </c>
      <c r="AO400" s="166">
        <v>0</v>
      </c>
      <c r="AP400" s="166">
        <f t="shared" si="106"/>
        <v>0</v>
      </c>
      <c r="AQ400" s="162"/>
      <c r="AR400" s="162">
        <f t="shared" si="107"/>
        <v>0</v>
      </c>
      <c r="AS400" s="173">
        <v>2000</v>
      </c>
      <c r="AT400" s="167">
        <f t="shared" si="108"/>
        <v>1800000</v>
      </c>
      <c r="AU400" s="163"/>
      <c r="AV400" s="163">
        <f t="shared" si="109"/>
        <v>0</v>
      </c>
      <c r="AW400" s="168"/>
      <c r="AX400" s="168">
        <f t="shared" si="110"/>
        <v>0</v>
      </c>
      <c r="AY400" s="170"/>
      <c r="AZ400" s="170">
        <f t="shared" si="111"/>
        <v>0</v>
      </c>
      <c r="BA400" s="166"/>
      <c r="BB400" s="166">
        <f t="shared" si="112"/>
        <v>0</v>
      </c>
    </row>
    <row r="401" spans="1:54" s="131" customFormat="1" ht="112.5">
      <c r="A401" s="148" t="s">
        <v>6769</v>
      </c>
      <c r="B401" s="203" t="s">
        <v>729</v>
      </c>
      <c r="C401" s="203"/>
      <c r="D401" s="203"/>
      <c r="E401" s="203" t="s">
        <v>2560</v>
      </c>
      <c r="F401" s="205" t="s">
        <v>6771</v>
      </c>
      <c r="G401" s="205" t="s">
        <v>6102</v>
      </c>
      <c r="H401" s="204" t="s">
        <v>225</v>
      </c>
      <c r="I401" s="204" t="s">
        <v>11</v>
      </c>
      <c r="J401" s="205" t="s">
        <v>6441</v>
      </c>
      <c r="K401" s="206">
        <v>1600</v>
      </c>
      <c r="L401" s="206"/>
      <c r="M401" s="159">
        <f t="shared" si="98"/>
        <v>0</v>
      </c>
      <c r="N401" s="159"/>
      <c r="O401" s="159"/>
      <c r="P401" s="159"/>
      <c r="Q401" s="159"/>
      <c r="R401" s="159"/>
      <c r="S401" s="209" t="s">
        <v>5848</v>
      </c>
      <c r="T401" s="203" t="s">
        <v>5849</v>
      </c>
      <c r="U401" s="202" t="s">
        <v>6770</v>
      </c>
      <c r="V401" s="204">
        <v>2</v>
      </c>
      <c r="W401" s="203" t="s">
        <v>253</v>
      </c>
      <c r="X401" s="204" t="s">
        <v>213</v>
      </c>
      <c r="Y401" s="206">
        <v>2000</v>
      </c>
      <c r="Z401" s="207">
        <v>50000</v>
      </c>
      <c r="AA401" s="207">
        <f t="shared" si="99"/>
        <v>80000000</v>
      </c>
      <c r="AB401" s="157">
        <v>50000</v>
      </c>
      <c r="AC401" s="158">
        <f t="shared" si="97"/>
        <v>50000</v>
      </c>
      <c r="AD401" s="159">
        <f t="shared" si="100"/>
        <v>0</v>
      </c>
      <c r="AE401" s="160"/>
      <c r="AF401" s="160">
        <f t="shared" si="101"/>
        <v>0</v>
      </c>
      <c r="AG401" s="165"/>
      <c r="AH401" s="161">
        <f t="shared" si="102"/>
        <v>0</v>
      </c>
      <c r="AI401" s="162"/>
      <c r="AJ401" s="162">
        <f t="shared" si="103"/>
        <v>0</v>
      </c>
      <c r="AK401" s="164"/>
      <c r="AL401" s="164">
        <f t="shared" si="104"/>
        <v>0</v>
      </c>
      <c r="AM401" s="165"/>
      <c r="AN401" s="165">
        <f t="shared" si="105"/>
        <v>0</v>
      </c>
      <c r="AO401" s="166">
        <v>0</v>
      </c>
      <c r="AP401" s="166">
        <f t="shared" si="106"/>
        <v>0</v>
      </c>
      <c r="AQ401" s="162"/>
      <c r="AR401" s="162">
        <f t="shared" si="107"/>
        <v>0</v>
      </c>
      <c r="AS401" s="173"/>
      <c r="AT401" s="167">
        <f t="shared" si="108"/>
        <v>0</v>
      </c>
      <c r="AU401" s="163"/>
      <c r="AV401" s="163">
        <f t="shared" si="109"/>
        <v>0</v>
      </c>
      <c r="AW401" s="168"/>
      <c r="AX401" s="168">
        <f t="shared" si="110"/>
        <v>0</v>
      </c>
      <c r="AY401" s="170"/>
      <c r="AZ401" s="170">
        <f t="shared" si="111"/>
        <v>0</v>
      </c>
      <c r="BA401" s="166"/>
      <c r="BB401" s="166">
        <f t="shared" si="112"/>
        <v>0</v>
      </c>
    </row>
    <row r="402" spans="1:54" s="131" customFormat="1" ht="31.5">
      <c r="A402" s="172" t="s">
        <v>6772</v>
      </c>
      <c r="B402" s="223" t="s">
        <v>246</v>
      </c>
      <c r="C402" s="223"/>
      <c r="D402" s="223"/>
      <c r="E402" s="223" t="s">
        <v>6774</v>
      </c>
      <c r="F402" s="225" t="s">
        <v>6775</v>
      </c>
      <c r="G402" s="225" t="s">
        <v>6532</v>
      </c>
      <c r="H402" s="224" t="s">
        <v>291</v>
      </c>
      <c r="I402" s="204" t="s">
        <v>11</v>
      </c>
      <c r="J402" s="225" t="s">
        <v>6644</v>
      </c>
      <c r="K402" s="226">
        <v>2415</v>
      </c>
      <c r="L402" s="226"/>
      <c r="M402" s="159">
        <f t="shared" si="98"/>
        <v>0</v>
      </c>
      <c r="N402" s="159"/>
      <c r="O402" s="159"/>
      <c r="P402" s="159"/>
      <c r="Q402" s="159"/>
      <c r="R402" s="159"/>
      <c r="S402" s="149" t="s">
        <v>2332</v>
      </c>
      <c r="T402" s="150" t="s">
        <v>5158</v>
      </c>
      <c r="U402" s="222" t="s">
        <v>6773</v>
      </c>
      <c r="V402" s="204">
        <v>2</v>
      </c>
      <c r="W402" s="223" t="s">
        <v>5104</v>
      </c>
      <c r="X402" s="224" t="s">
        <v>213</v>
      </c>
      <c r="Y402" s="226">
        <v>3900</v>
      </c>
      <c r="Z402" s="207">
        <v>20000</v>
      </c>
      <c r="AA402" s="207">
        <f t="shared" si="99"/>
        <v>48300000</v>
      </c>
      <c r="AB402" s="157">
        <v>20000</v>
      </c>
      <c r="AC402" s="158">
        <f t="shared" si="97"/>
        <v>20000</v>
      </c>
      <c r="AD402" s="159">
        <f t="shared" si="100"/>
        <v>0</v>
      </c>
      <c r="AE402" s="160"/>
      <c r="AF402" s="160">
        <f t="shared" si="101"/>
        <v>0</v>
      </c>
      <c r="AG402" s="165"/>
      <c r="AH402" s="161">
        <f t="shared" si="102"/>
        <v>0</v>
      </c>
      <c r="AI402" s="162"/>
      <c r="AJ402" s="162">
        <f t="shared" si="103"/>
        <v>0</v>
      </c>
      <c r="AK402" s="164"/>
      <c r="AL402" s="164">
        <f t="shared" si="104"/>
        <v>0</v>
      </c>
      <c r="AM402" s="165"/>
      <c r="AN402" s="165">
        <f t="shared" si="105"/>
        <v>0</v>
      </c>
      <c r="AO402" s="166">
        <v>0</v>
      </c>
      <c r="AP402" s="166">
        <f t="shared" si="106"/>
        <v>0</v>
      </c>
      <c r="AQ402" s="162"/>
      <c r="AR402" s="162">
        <f t="shared" si="107"/>
        <v>0</v>
      </c>
      <c r="AS402" s="173"/>
      <c r="AT402" s="167">
        <f t="shared" si="108"/>
        <v>0</v>
      </c>
      <c r="AU402" s="163"/>
      <c r="AV402" s="163">
        <f t="shared" si="109"/>
        <v>0</v>
      </c>
      <c r="AW402" s="168"/>
      <c r="AX402" s="168">
        <f t="shared" si="110"/>
        <v>0</v>
      </c>
      <c r="AY402" s="170"/>
      <c r="AZ402" s="170">
        <f t="shared" si="111"/>
        <v>0</v>
      </c>
      <c r="BA402" s="166"/>
      <c r="BB402" s="166">
        <f t="shared" si="112"/>
        <v>0</v>
      </c>
    </row>
    <row r="403" spans="1:54" s="131" customFormat="1" ht="112.5">
      <c r="A403" s="148" t="s">
        <v>6776</v>
      </c>
      <c r="B403" s="203" t="s">
        <v>1311</v>
      </c>
      <c r="C403" s="203"/>
      <c r="D403" s="203"/>
      <c r="E403" s="203" t="s">
        <v>1720</v>
      </c>
      <c r="F403" s="205" t="s">
        <v>1721</v>
      </c>
      <c r="G403" s="205" t="s">
        <v>6102</v>
      </c>
      <c r="H403" s="204" t="s">
        <v>1313</v>
      </c>
      <c r="I403" s="204" t="s">
        <v>11</v>
      </c>
      <c r="J403" s="205" t="s">
        <v>6704</v>
      </c>
      <c r="K403" s="206">
        <v>1000</v>
      </c>
      <c r="L403" s="206"/>
      <c r="M403" s="159">
        <f t="shared" si="98"/>
        <v>21400</v>
      </c>
      <c r="N403" s="159"/>
      <c r="O403" s="159"/>
      <c r="P403" s="159"/>
      <c r="Q403" s="159"/>
      <c r="R403" s="159"/>
      <c r="S403" s="209" t="s">
        <v>5848</v>
      </c>
      <c r="T403" s="203" t="s">
        <v>5849</v>
      </c>
      <c r="U403" s="202" t="s">
        <v>4349</v>
      </c>
      <c r="V403" s="204">
        <v>2</v>
      </c>
      <c r="W403" s="203" t="s">
        <v>253</v>
      </c>
      <c r="X403" s="204" t="s">
        <v>213</v>
      </c>
      <c r="Y403" s="206">
        <v>1400</v>
      </c>
      <c r="Z403" s="207">
        <v>50000</v>
      </c>
      <c r="AA403" s="207">
        <f t="shared" si="99"/>
        <v>50000000</v>
      </c>
      <c r="AB403" s="157">
        <v>50000</v>
      </c>
      <c r="AC403" s="158">
        <f t="shared" si="97"/>
        <v>28600</v>
      </c>
      <c r="AD403" s="159">
        <f t="shared" si="100"/>
        <v>21400000</v>
      </c>
      <c r="AE403" s="160"/>
      <c r="AF403" s="160">
        <f t="shared" si="101"/>
        <v>0</v>
      </c>
      <c r="AG403" s="165"/>
      <c r="AH403" s="161">
        <f t="shared" si="102"/>
        <v>0</v>
      </c>
      <c r="AI403" s="162"/>
      <c r="AJ403" s="162">
        <f t="shared" si="103"/>
        <v>0</v>
      </c>
      <c r="AK403" s="164"/>
      <c r="AL403" s="164">
        <f t="shared" si="104"/>
        <v>0</v>
      </c>
      <c r="AM403" s="165">
        <v>5000</v>
      </c>
      <c r="AN403" s="165">
        <f t="shared" si="105"/>
        <v>5000000</v>
      </c>
      <c r="AO403" s="166">
        <v>0</v>
      </c>
      <c r="AP403" s="166">
        <f t="shared" si="106"/>
        <v>0</v>
      </c>
      <c r="AQ403" s="162"/>
      <c r="AR403" s="162">
        <f t="shared" si="107"/>
        <v>0</v>
      </c>
      <c r="AS403" s="173">
        <v>16400</v>
      </c>
      <c r="AT403" s="167">
        <f t="shared" si="108"/>
        <v>16400000</v>
      </c>
      <c r="AU403" s="163"/>
      <c r="AV403" s="163">
        <f t="shared" si="109"/>
        <v>0</v>
      </c>
      <c r="AW403" s="168"/>
      <c r="AX403" s="168">
        <f t="shared" si="110"/>
        <v>0</v>
      </c>
      <c r="AY403" s="170"/>
      <c r="AZ403" s="170">
        <f t="shared" si="111"/>
        <v>0</v>
      </c>
      <c r="BA403" s="166"/>
      <c r="BB403" s="166">
        <f t="shared" si="112"/>
        <v>0</v>
      </c>
    </row>
    <row r="404" spans="1:54" s="131" customFormat="1" ht="47.25">
      <c r="A404" s="148" t="s">
        <v>6777</v>
      </c>
      <c r="B404" s="203" t="s">
        <v>392</v>
      </c>
      <c r="C404" s="203"/>
      <c r="D404" s="203"/>
      <c r="E404" s="203" t="s">
        <v>2147</v>
      </c>
      <c r="F404" s="205" t="s">
        <v>6779</v>
      </c>
      <c r="G404" s="205" t="s">
        <v>350</v>
      </c>
      <c r="H404" s="204" t="s">
        <v>267</v>
      </c>
      <c r="I404" s="204" t="s">
        <v>658</v>
      </c>
      <c r="J404" s="205" t="s">
        <v>6778</v>
      </c>
      <c r="K404" s="206">
        <v>19600</v>
      </c>
      <c r="L404" s="206"/>
      <c r="M404" s="159">
        <f t="shared" si="98"/>
        <v>300</v>
      </c>
      <c r="N404" s="159"/>
      <c r="O404" s="159"/>
      <c r="P404" s="159"/>
      <c r="Q404" s="159"/>
      <c r="R404" s="159"/>
      <c r="S404" s="149" t="s">
        <v>5600</v>
      </c>
      <c r="T404" s="149" t="s">
        <v>5601</v>
      </c>
      <c r="U404" s="202" t="s">
        <v>4217</v>
      </c>
      <c r="V404" s="204">
        <v>2</v>
      </c>
      <c r="W404" s="203" t="s">
        <v>5104</v>
      </c>
      <c r="X404" s="204" t="s">
        <v>5273</v>
      </c>
      <c r="Y404" s="206">
        <v>60500</v>
      </c>
      <c r="Z404" s="207">
        <v>1000</v>
      </c>
      <c r="AA404" s="207">
        <f t="shared" si="99"/>
        <v>19600000</v>
      </c>
      <c r="AB404" s="157">
        <v>1000</v>
      </c>
      <c r="AC404" s="158">
        <f t="shared" si="97"/>
        <v>700</v>
      </c>
      <c r="AD404" s="159">
        <f t="shared" si="100"/>
        <v>5880000</v>
      </c>
      <c r="AE404" s="160"/>
      <c r="AF404" s="160">
        <f t="shared" si="101"/>
        <v>0</v>
      </c>
      <c r="AG404" s="165"/>
      <c r="AH404" s="161">
        <f t="shared" si="102"/>
        <v>0</v>
      </c>
      <c r="AI404" s="162"/>
      <c r="AJ404" s="162">
        <f t="shared" si="103"/>
        <v>0</v>
      </c>
      <c r="AK404" s="164"/>
      <c r="AL404" s="164">
        <f t="shared" si="104"/>
        <v>0</v>
      </c>
      <c r="AM404" s="165"/>
      <c r="AN404" s="165">
        <f t="shared" si="105"/>
        <v>0</v>
      </c>
      <c r="AO404" s="166">
        <v>0</v>
      </c>
      <c r="AP404" s="166">
        <f t="shared" si="106"/>
        <v>0</v>
      </c>
      <c r="AQ404" s="162"/>
      <c r="AR404" s="162">
        <f t="shared" si="107"/>
        <v>0</v>
      </c>
      <c r="AS404" s="173"/>
      <c r="AT404" s="167">
        <f t="shared" si="108"/>
        <v>0</v>
      </c>
      <c r="AU404" s="163">
        <v>300</v>
      </c>
      <c r="AV404" s="163">
        <f t="shared" si="109"/>
        <v>5880000</v>
      </c>
      <c r="AW404" s="168"/>
      <c r="AX404" s="168">
        <f t="shared" si="110"/>
        <v>0</v>
      </c>
      <c r="AY404" s="170"/>
      <c r="AZ404" s="170">
        <f t="shared" si="111"/>
        <v>0</v>
      </c>
      <c r="BA404" s="166"/>
      <c r="BB404" s="166">
        <f t="shared" si="112"/>
        <v>0</v>
      </c>
    </row>
    <row r="405" spans="1:54" s="131" customFormat="1" ht="31.5">
      <c r="A405" s="172" t="s">
        <v>6780</v>
      </c>
      <c r="B405" s="203" t="s">
        <v>634</v>
      </c>
      <c r="C405" s="203"/>
      <c r="D405" s="203"/>
      <c r="E405" s="203" t="s">
        <v>4355</v>
      </c>
      <c r="F405" s="205" t="s">
        <v>6782</v>
      </c>
      <c r="G405" s="205" t="s">
        <v>3418</v>
      </c>
      <c r="H405" s="204" t="s">
        <v>1282</v>
      </c>
      <c r="I405" s="204" t="s">
        <v>658</v>
      </c>
      <c r="J405" s="205" t="s">
        <v>6781</v>
      </c>
      <c r="K405" s="206">
        <v>46200</v>
      </c>
      <c r="L405" s="206"/>
      <c r="M405" s="159">
        <f t="shared" si="98"/>
        <v>200</v>
      </c>
      <c r="N405" s="159"/>
      <c r="O405" s="159"/>
      <c r="P405" s="159"/>
      <c r="Q405" s="159"/>
      <c r="R405" s="159"/>
      <c r="S405" s="149" t="s">
        <v>5600</v>
      </c>
      <c r="T405" s="149" t="s">
        <v>5601</v>
      </c>
      <c r="U405" s="202" t="s">
        <v>4354</v>
      </c>
      <c r="V405" s="204">
        <v>2</v>
      </c>
      <c r="W405" s="203" t="s">
        <v>253</v>
      </c>
      <c r="X405" s="204" t="s">
        <v>5273</v>
      </c>
      <c r="Y405" s="206">
        <v>70000</v>
      </c>
      <c r="Z405" s="207">
        <v>500</v>
      </c>
      <c r="AA405" s="207">
        <f t="shared" si="99"/>
        <v>23100000</v>
      </c>
      <c r="AB405" s="157">
        <v>500</v>
      </c>
      <c r="AC405" s="158">
        <f t="shared" si="97"/>
        <v>300</v>
      </c>
      <c r="AD405" s="159">
        <f t="shared" si="100"/>
        <v>9240000</v>
      </c>
      <c r="AE405" s="160"/>
      <c r="AF405" s="160">
        <f t="shared" si="101"/>
        <v>0</v>
      </c>
      <c r="AG405" s="165">
        <v>100</v>
      </c>
      <c r="AH405" s="161">
        <f t="shared" si="102"/>
        <v>4620000</v>
      </c>
      <c r="AI405" s="162"/>
      <c r="AJ405" s="162">
        <f t="shared" si="103"/>
        <v>0</v>
      </c>
      <c r="AK405" s="164">
        <v>100</v>
      </c>
      <c r="AL405" s="164">
        <f t="shared" si="104"/>
        <v>4620000</v>
      </c>
      <c r="AM405" s="165"/>
      <c r="AN405" s="165">
        <f t="shared" si="105"/>
        <v>0</v>
      </c>
      <c r="AO405" s="166">
        <v>0</v>
      </c>
      <c r="AP405" s="166">
        <f t="shared" si="106"/>
        <v>0</v>
      </c>
      <c r="AQ405" s="162"/>
      <c r="AR405" s="162">
        <f t="shared" si="107"/>
        <v>0</v>
      </c>
      <c r="AS405" s="173"/>
      <c r="AT405" s="167">
        <f t="shared" si="108"/>
        <v>0</v>
      </c>
      <c r="AU405" s="163"/>
      <c r="AV405" s="163">
        <f t="shared" si="109"/>
        <v>0</v>
      </c>
      <c r="AW405" s="168"/>
      <c r="AX405" s="168">
        <f t="shared" si="110"/>
        <v>0</v>
      </c>
      <c r="AY405" s="170"/>
      <c r="AZ405" s="170">
        <f t="shared" si="111"/>
        <v>0</v>
      </c>
      <c r="BA405" s="166"/>
      <c r="BB405" s="166">
        <f t="shared" si="112"/>
        <v>0</v>
      </c>
    </row>
    <row r="406" spans="1:54" s="131" customFormat="1" ht="31.5">
      <c r="A406" s="148" t="s">
        <v>6783</v>
      </c>
      <c r="B406" s="203" t="s">
        <v>634</v>
      </c>
      <c r="C406" s="203"/>
      <c r="D406" s="203"/>
      <c r="E406" s="203" t="s">
        <v>3995</v>
      </c>
      <c r="F406" s="205" t="s">
        <v>6785</v>
      </c>
      <c r="G406" s="205" t="s">
        <v>6719</v>
      </c>
      <c r="H406" s="204" t="s">
        <v>235</v>
      </c>
      <c r="I406" s="204" t="s">
        <v>11</v>
      </c>
      <c r="J406" s="205" t="s">
        <v>6784</v>
      </c>
      <c r="K406" s="206">
        <v>1590</v>
      </c>
      <c r="L406" s="206"/>
      <c r="M406" s="159">
        <f t="shared" si="98"/>
        <v>6342</v>
      </c>
      <c r="N406" s="159"/>
      <c r="O406" s="159"/>
      <c r="P406" s="159"/>
      <c r="Q406" s="159"/>
      <c r="R406" s="159"/>
      <c r="S406" s="149" t="s">
        <v>6716</v>
      </c>
      <c r="T406" s="149" t="s">
        <v>6717</v>
      </c>
      <c r="U406" s="202" t="s">
        <v>3994</v>
      </c>
      <c r="V406" s="204">
        <v>2</v>
      </c>
      <c r="W406" s="203" t="s">
        <v>5104</v>
      </c>
      <c r="X406" s="204" t="s">
        <v>213</v>
      </c>
      <c r="Y406" s="206">
        <v>5200</v>
      </c>
      <c r="Z406" s="207">
        <v>30000</v>
      </c>
      <c r="AA406" s="207">
        <f t="shared" si="99"/>
        <v>47700000</v>
      </c>
      <c r="AB406" s="157">
        <v>30000</v>
      </c>
      <c r="AC406" s="158">
        <f t="shared" si="97"/>
        <v>23658</v>
      </c>
      <c r="AD406" s="159">
        <f t="shared" si="100"/>
        <v>10083780</v>
      </c>
      <c r="AE406" s="160"/>
      <c r="AF406" s="160">
        <f t="shared" si="101"/>
        <v>0</v>
      </c>
      <c r="AG406" s="165">
        <v>2100</v>
      </c>
      <c r="AH406" s="161">
        <f t="shared" si="102"/>
        <v>3339000</v>
      </c>
      <c r="AI406" s="162"/>
      <c r="AJ406" s="162">
        <f t="shared" si="103"/>
        <v>0</v>
      </c>
      <c r="AK406" s="164"/>
      <c r="AL406" s="164">
        <f t="shared" si="104"/>
        <v>0</v>
      </c>
      <c r="AM406" s="165"/>
      <c r="AN406" s="165">
        <f t="shared" si="105"/>
        <v>0</v>
      </c>
      <c r="AO406" s="166">
        <v>0</v>
      </c>
      <c r="AP406" s="166">
        <f t="shared" si="106"/>
        <v>0</v>
      </c>
      <c r="AQ406" s="162"/>
      <c r="AR406" s="162">
        <f t="shared" si="107"/>
        <v>0</v>
      </c>
      <c r="AS406" s="173"/>
      <c r="AT406" s="167">
        <f t="shared" si="108"/>
        <v>0</v>
      </c>
      <c r="AU406" s="163">
        <v>4242</v>
      </c>
      <c r="AV406" s="163">
        <f t="shared" si="109"/>
        <v>6744780</v>
      </c>
      <c r="AW406" s="168"/>
      <c r="AX406" s="168">
        <f t="shared" si="110"/>
        <v>0</v>
      </c>
      <c r="AY406" s="170"/>
      <c r="AZ406" s="170">
        <f t="shared" si="111"/>
        <v>0</v>
      </c>
      <c r="BA406" s="166"/>
      <c r="BB406" s="166">
        <f t="shared" si="112"/>
        <v>0</v>
      </c>
    </row>
    <row r="407" spans="1:54" s="131" customFormat="1" ht="31.5">
      <c r="A407" s="148" t="s">
        <v>6786</v>
      </c>
      <c r="B407" s="203" t="s">
        <v>6790</v>
      </c>
      <c r="C407" s="203"/>
      <c r="D407" s="203"/>
      <c r="E407" s="203" t="s">
        <v>6791</v>
      </c>
      <c r="F407" s="205" t="s">
        <v>6793</v>
      </c>
      <c r="G407" s="205" t="s">
        <v>6794</v>
      </c>
      <c r="H407" s="204" t="s">
        <v>258</v>
      </c>
      <c r="I407" s="204" t="s">
        <v>11</v>
      </c>
      <c r="J407" s="205" t="s">
        <v>6792</v>
      </c>
      <c r="K407" s="206">
        <v>2560</v>
      </c>
      <c r="L407" s="206"/>
      <c r="M407" s="159">
        <f t="shared" si="98"/>
        <v>0</v>
      </c>
      <c r="N407" s="159"/>
      <c r="O407" s="159"/>
      <c r="P407" s="159"/>
      <c r="Q407" s="159"/>
      <c r="R407" s="159"/>
      <c r="S407" s="149" t="s">
        <v>6787</v>
      </c>
      <c r="T407" s="149" t="s">
        <v>6788</v>
      </c>
      <c r="U407" s="202" t="s">
        <v>6789</v>
      </c>
      <c r="V407" s="204">
        <v>2</v>
      </c>
      <c r="W407" s="203" t="s">
        <v>5104</v>
      </c>
      <c r="X407" s="204" t="s">
        <v>6795</v>
      </c>
      <c r="Y407" s="206">
        <v>3400</v>
      </c>
      <c r="Z407" s="207">
        <v>30000</v>
      </c>
      <c r="AA407" s="207">
        <f t="shared" si="99"/>
        <v>76800000</v>
      </c>
      <c r="AB407" s="157">
        <v>30000</v>
      </c>
      <c r="AC407" s="158">
        <f t="shared" si="97"/>
        <v>30000</v>
      </c>
      <c r="AD407" s="159">
        <f t="shared" si="100"/>
        <v>0</v>
      </c>
      <c r="AE407" s="160"/>
      <c r="AF407" s="160">
        <f t="shared" si="101"/>
        <v>0</v>
      </c>
      <c r="AG407" s="165"/>
      <c r="AH407" s="161">
        <f t="shared" si="102"/>
        <v>0</v>
      </c>
      <c r="AI407" s="162"/>
      <c r="AJ407" s="162">
        <f t="shared" si="103"/>
        <v>0</v>
      </c>
      <c r="AK407" s="164"/>
      <c r="AL407" s="164">
        <f t="shared" si="104"/>
        <v>0</v>
      </c>
      <c r="AM407" s="165"/>
      <c r="AN407" s="165">
        <f t="shared" si="105"/>
        <v>0</v>
      </c>
      <c r="AO407" s="166">
        <v>0</v>
      </c>
      <c r="AP407" s="166">
        <f t="shared" si="106"/>
        <v>0</v>
      </c>
      <c r="AQ407" s="162"/>
      <c r="AR407" s="162">
        <f t="shared" si="107"/>
        <v>0</v>
      </c>
      <c r="AS407" s="173"/>
      <c r="AT407" s="167">
        <f t="shared" si="108"/>
        <v>0</v>
      </c>
      <c r="AU407" s="163"/>
      <c r="AV407" s="163">
        <f t="shared" si="109"/>
        <v>0</v>
      </c>
      <c r="AW407" s="168"/>
      <c r="AX407" s="168">
        <f t="shared" si="110"/>
        <v>0</v>
      </c>
      <c r="AY407" s="170"/>
      <c r="AZ407" s="170">
        <f t="shared" si="111"/>
        <v>0</v>
      </c>
      <c r="BA407" s="166"/>
      <c r="BB407" s="166">
        <f t="shared" si="112"/>
        <v>0</v>
      </c>
    </row>
    <row r="408" spans="1:54" s="131" customFormat="1">
      <c r="A408" s="172" t="s">
        <v>6796</v>
      </c>
      <c r="B408" s="203" t="s">
        <v>1333</v>
      </c>
      <c r="C408" s="203"/>
      <c r="D408" s="203"/>
      <c r="E408" s="203" t="s">
        <v>6798</v>
      </c>
      <c r="F408" s="205" t="s">
        <v>6799</v>
      </c>
      <c r="G408" s="205" t="s">
        <v>6800</v>
      </c>
      <c r="H408" s="204" t="s">
        <v>238</v>
      </c>
      <c r="I408" s="204" t="s">
        <v>11</v>
      </c>
      <c r="J408" s="205" t="s">
        <v>6709</v>
      </c>
      <c r="K408" s="206">
        <v>366</v>
      </c>
      <c r="L408" s="206"/>
      <c r="M408" s="159">
        <f t="shared" si="98"/>
        <v>0</v>
      </c>
      <c r="N408" s="159"/>
      <c r="O408" s="159"/>
      <c r="P408" s="159"/>
      <c r="Q408" s="159"/>
      <c r="R408" s="159"/>
      <c r="S408" s="149" t="s">
        <v>5830</v>
      </c>
      <c r="T408" s="149" t="s">
        <v>5831</v>
      </c>
      <c r="U408" s="202" t="s">
        <v>6797</v>
      </c>
      <c r="V408" s="204">
        <v>2</v>
      </c>
      <c r="W408" s="203" t="s">
        <v>5111</v>
      </c>
      <c r="X408" s="204" t="s">
        <v>5273</v>
      </c>
      <c r="Y408" s="206">
        <v>800</v>
      </c>
      <c r="Z408" s="207">
        <v>40000</v>
      </c>
      <c r="AA408" s="207">
        <f t="shared" si="99"/>
        <v>14640000</v>
      </c>
      <c r="AB408" s="157">
        <v>40000</v>
      </c>
      <c r="AC408" s="158">
        <f t="shared" si="97"/>
        <v>40000</v>
      </c>
      <c r="AD408" s="159">
        <f t="shared" si="100"/>
        <v>0</v>
      </c>
      <c r="AE408" s="160"/>
      <c r="AF408" s="160">
        <f t="shared" si="101"/>
        <v>0</v>
      </c>
      <c r="AG408" s="165"/>
      <c r="AH408" s="161">
        <f t="shared" si="102"/>
        <v>0</v>
      </c>
      <c r="AI408" s="162"/>
      <c r="AJ408" s="162">
        <f t="shared" si="103"/>
        <v>0</v>
      </c>
      <c r="AK408" s="163"/>
      <c r="AL408" s="164">
        <f t="shared" si="104"/>
        <v>0</v>
      </c>
      <c r="AM408" s="161"/>
      <c r="AN408" s="165">
        <f t="shared" si="105"/>
        <v>0</v>
      </c>
      <c r="AO408" s="160">
        <v>0</v>
      </c>
      <c r="AP408" s="166">
        <f t="shared" si="106"/>
        <v>0</v>
      </c>
      <c r="AQ408" s="162"/>
      <c r="AR408" s="162">
        <f t="shared" si="107"/>
        <v>0</v>
      </c>
      <c r="AS408" s="173"/>
      <c r="AT408" s="167">
        <f t="shared" si="108"/>
        <v>0</v>
      </c>
      <c r="AU408" s="163"/>
      <c r="AV408" s="163">
        <f t="shared" si="109"/>
        <v>0</v>
      </c>
      <c r="AW408" s="162"/>
      <c r="AX408" s="168">
        <f t="shared" si="110"/>
        <v>0</v>
      </c>
      <c r="AY408" s="169"/>
      <c r="AZ408" s="170">
        <f t="shared" si="111"/>
        <v>0</v>
      </c>
      <c r="BA408" s="160"/>
      <c r="BB408" s="166">
        <f t="shared" si="112"/>
        <v>0</v>
      </c>
    </row>
    <row r="409" spans="1:54" s="131" customFormat="1" ht="31.5">
      <c r="A409" s="148" t="s">
        <v>6801</v>
      </c>
      <c r="B409" s="203" t="s">
        <v>2445</v>
      </c>
      <c r="C409" s="203"/>
      <c r="D409" s="203"/>
      <c r="E409" s="203" t="s">
        <v>6804</v>
      </c>
      <c r="F409" s="205" t="s">
        <v>6806</v>
      </c>
      <c r="G409" s="205" t="s">
        <v>485</v>
      </c>
      <c r="H409" s="204" t="s">
        <v>6803</v>
      </c>
      <c r="I409" s="204" t="s">
        <v>11</v>
      </c>
      <c r="J409" s="205" t="s">
        <v>6805</v>
      </c>
      <c r="K409" s="206">
        <v>2500</v>
      </c>
      <c r="L409" s="206"/>
      <c r="M409" s="159">
        <f t="shared" si="98"/>
        <v>0</v>
      </c>
      <c r="N409" s="159"/>
      <c r="O409" s="159"/>
      <c r="P409" s="159"/>
      <c r="Q409" s="159"/>
      <c r="R409" s="159"/>
      <c r="S409" s="149" t="s">
        <v>2385</v>
      </c>
      <c r="T409" s="150" t="s">
        <v>2380</v>
      </c>
      <c r="U409" s="202" t="s">
        <v>6802</v>
      </c>
      <c r="V409" s="204">
        <v>2</v>
      </c>
      <c r="W409" s="203" t="s">
        <v>5104</v>
      </c>
      <c r="X409" s="204" t="s">
        <v>213</v>
      </c>
      <c r="Y409" s="206">
        <v>2600</v>
      </c>
      <c r="Z409" s="207">
        <v>50000</v>
      </c>
      <c r="AA409" s="207">
        <f t="shared" si="99"/>
        <v>125000000</v>
      </c>
      <c r="AB409" s="157">
        <v>50000</v>
      </c>
      <c r="AC409" s="158">
        <f t="shared" si="97"/>
        <v>50000</v>
      </c>
      <c r="AD409" s="159">
        <f t="shared" si="100"/>
        <v>0</v>
      </c>
      <c r="AE409" s="160"/>
      <c r="AF409" s="160">
        <f t="shared" si="101"/>
        <v>0</v>
      </c>
      <c r="AG409" s="165"/>
      <c r="AH409" s="161">
        <f t="shared" si="102"/>
        <v>0</v>
      </c>
      <c r="AI409" s="162"/>
      <c r="AJ409" s="162">
        <f t="shared" si="103"/>
        <v>0</v>
      </c>
      <c r="AK409" s="164"/>
      <c r="AL409" s="164">
        <f t="shared" si="104"/>
        <v>0</v>
      </c>
      <c r="AM409" s="165"/>
      <c r="AN409" s="165">
        <f t="shared" si="105"/>
        <v>0</v>
      </c>
      <c r="AO409" s="166">
        <v>0</v>
      </c>
      <c r="AP409" s="166">
        <f t="shared" si="106"/>
        <v>0</v>
      </c>
      <c r="AQ409" s="162"/>
      <c r="AR409" s="162">
        <f t="shared" si="107"/>
        <v>0</v>
      </c>
      <c r="AS409" s="173"/>
      <c r="AT409" s="167">
        <f t="shared" si="108"/>
        <v>0</v>
      </c>
      <c r="AU409" s="163"/>
      <c r="AV409" s="163">
        <f t="shared" si="109"/>
        <v>0</v>
      </c>
      <c r="AW409" s="168"/>
      <c r="AX409" s="168">
        <f t="shared" si="110"/>
        <v>0</v>
      </c>
      <c r="AY409" s="170"/>
      <c r="AZ409" s="170">
        <f t="shared" si="111"/>
        <v>0</v>
      </c>
      <c r="BA409" s="166"/>
      <c r="BB409" s="166">
        <f t="shared" si="112"/>
        <v>0</v>
      </c>
    </row>
    <row r="410" spans="1:54" s="131" customFormat="1" ht="31.5">
      <c r="A410" s="148" t="s">
        <v>6807</v>
      </c>
      <c r="B410" s="203" t="s">
        <v>3974</v>
      </c>
      <c r="C410" s="203"/>
      <c r="D410" s="203"/>
      <c r="E410" s="203" t="s">
        <v>6809</v>
      </c>
      <c r="F410" s="205" t="s">
        <v>6810</v>
      </c>
      <c r="G410" s="205" t="s">
        <v>6532</v>
      </c>
      <c r="H410" s="204" t="s">
        <v>267</v>
      </c>
      <c r="I410" s="204" t="s">
        <v>11</v>
      </c>
      <c r="J410" s="205" t="s">
        <v>6644</v>
      </c>
      <c r="K410" s="206">
        <v>630</v>
      </c>
      <c r="L410" s="206"/>
      <c r="M410" s="159">
        <f t="shared" si="98"/>
        <v>0</v>
      </c>
      <c r="N410" s="159"/>
      <c r="O410" s="159"/>
      <c r="P410" s="159"/>
      <c r="Q410" s="159"/>
      <c r="R410" s="159"/>
      <c r="S410" s="149" t="s">
        <v>2332</v>
      </c>
      <c r="T410" s="150" t="s">
        <v>5158</v>
      </c>
      <c r="U410" s="202" t="s">
        <v>6808</v>
      </c>
      <c r="V410" s="204">
        <v>2</v>
      </c>
      <c r="W410" s="203" t="s">
        <v>5104</v>
      </c>
      <c r="X410" s="204" t="s">
        <v>213</v>
      </c>
      <c r="Y410" s="206">
        <v>850</v>
      </c>
      <c r="Z410" s="207">
        <v>50000</v>
      </c>
      <c r="AA410" s="207">
        <f t="shared" si="99"/>
        <v>31500000</v>
      </c>
      <c r="AB410" s="157">
        <v>50000</v>
      </c>
      <c r="AC410" s="158">
        <f t="shared" si="97"/>
        <v>50000</v>
      </c>
      <c r="AD410" s="159">
        <f t="shared" si="100"/>
        <v>0</v>
      </c>
      <c r="AE410" s="160"/>
      <c r="AF410" s="160">
        <f t="shared" si="101"/>
        <v>0</v>
      </c>
      <c r="AG410" s="165"/>
      <c r="AH410" s="161">
        <f t="shared" si="102"/>
        <v>0</v>
      </c>
      <c r="AI410" s="162"/>
      <c r="AJ410" s="162">
        <f t="shared" si="103"/>
        <v>0</v>
      </c>
      <c r="AK410" s="163"/>
      <c r="AL410" s="164">
        <f t="shared" si="104"/>
        <v>0</v>
      </c>
      <c r="AM410" s="161"/>
      <c r="AN410" s="165">
        <f t="shared" si="105"/>
        <v>0</v>
      </c>
      <c r="AO410" s="160">
        <v>0</v>
      </c>
      <c r="AP410" s="166">
        <f t="shared" si="106"/>
        <v>0</v>
      </c>
      <c r="AQ410" s="162"/>
      <c r="AR410" s="162">
        <f t="shared" si="107"/>
        <v>0</v>
      </c>
      <c r="AS410" s="173"/>
      <c r="AT410" s="167">
        <f t="shared" si="108"/>
        <v>0</v>
      </c>
      <c r="AU410" s="163"/>
      <c r="AV410" s="163">
        <f t="shared" si="109"/>
        <v>0</v>
      </c>
      <c r="AW410" s="162"/>
      <c r="AX410" s="168">
        <f t="shared" si="110"/>
        <v>0</v>
      </c>
      <c r="AY410" s="169"/>
      <c r="AZ410" s="170">
        <f t="shared" si="111"/>
        <v>0</v>
      </c>
      <c r="BA410" s="160"/>
      <c r="BB410" s="166">
        <f t="shared" si="112"/>
        <v>0</v>
      </c>
    </row>
    <row r="411" spans="1:54" s="131" customFormat="1" ht="31.5">
      <c r="A411" s="172" t="s">
        <v>6811</v>
      </c>
      <c r="B411" s="203" t="s">
        <v>1585</v>
      </c>
      <c r="C411" s="203"/>
      <c r="D411" s="203"/>
      <c r="E411" s="203" t="s">
        <v>1586</v>
      </c>
      <c r="F411" s="205" t="s">
        <v>1589</v>
      </c>
      <c r="G411" s="205" t="s">
        <v>772</v>
      </c>
      <c r="H411" s="204" t="s">
        <v>1587</v>
      </c>
      <c r="I411" s="204" t="s">
        <v>13</v>
      </c>
      <c r="J411" s="205" t="s">
        <v>6814</v>
      </c>
      <c r="K411" s="206">
        <v>7750</v>
      </c>
      <c r="L411" s="206"/>
      <c r="M411" s="159">
        <f t="shared" si="98"/>
        <v>0</v>
      </c>
      <c r="N411" s="159"/>
      <c r="O411" s="159"/>
      <c r="P411" s="159"/>
      <c r="Q411" s="159"/>
      <c r="R411" s="159"/>
      <c r="S411" s="149" t="s">
        <v>6812</v>
      </c>
      <c r="T411" s="149" t="s">
        <v>6813</v>
      </c>
      <c r="U411" s="202" t="s">
        <v>4094</v>
      </c>
      <c r="V411" s="204">
        <v>2</v>
      </c>
      <c r="W411" s="203" t="s">
        <v>5104</v>
      </c>
      <c r="X411" s="204" t="s">
        <v>5551</v>
      </c>
      <c r="Y411" s="206">
        <v>8500</v>
      </c>
      <c r="Z411" s="207">
        <v>30000</v>
      </c>
      <c r="AA411" s="207">
        <f t="shared" si="99"/>
        <v>232500000</v>
      </c>
      <c r="AB411" s="157">
        <v>30000</v>
      </c>
      <c r="AC411" s="158">
        <f t="shared" si="97"/>
        <v>30000</v>
      </c>
      <c r="AD411" s="159">
        <f t="shared" si="100"/>
        <v>0</v>
      </c>
      <c r="AE411" s="160"/>
      <c r="AF411" s="160">
        <f t="shared" si="101"/>
        <v>0</v>
      </c>
      <c r="AG411" s="165"/>
      <c r="AH411" s="161">
        <f t="shared" si="102"/>
        <v>0</v>
      </c>
      <c r="AI411" s="162"/>
      <c r="AJ411" s="162">
        <f t="shared" si="103"/>
        <v>0</v>
      </c>
      <c r="AK411" s="164"/>
      <c r="AL411" s="164">
        <f t="shared" si="104"/>
        <v>0</v>
      </c>
      <c r="AM411" s="165"/>
      <c r="AN411" s="165">
        <f t="shared" si="105"/>
        <v>0</v>
      </c>
      <c r="AO411" s="166">
        <v>0</v>
      </c>
      <c r="AP411" s="166">
        <f t="shared" si="106"/>
        <v>0</v>
      </c>
      <c r="AQ411" s="162"/>
      <c r="AR411" s="162">
        <f t="shared" si="107"/>
        <v>0</v>
      </c>
      <c r="AS411" s="173"/>
      <c r="AT411" s="167">
        <f t="shared" si="108"/>
        <v>0</v>
      </c>
      <c r="AU411" s="163"/>
      <c r="AV411" s="163">
        <f t="shared" si="109"/>
        <v>0</v>
      </c>
      <c r="AW411" s="168"/>
      <c r="AX411" s="168">
        <f t="shared" si="110"/>
        <v>0</v>
      </c>
      <c r="AY411" s="170"/>
      <c r="AZ411" s="170">
        <f t="shared" si="111"/>
        <v>0</v>
      </c>
      <c r="BA411" s="166"/>
      <c r="BB411" s="166">
        <f t="shared" si="112"/>
        <v>0</v>
      </c>
    </row>
    <row r="412" spans="1:54" s="131" customFormat="1" ht="112.5">
      <c r="A412" s="148" t="s">
        <v>6815</v>
      </c>
      <c r="B412" s="203" t="s">
        <v>779</v>
      </c>
      <c r="C412" s="203"/>
      <c r="D412" s="203"/>
      <c r="E412" s="203" t="s">
        <v>780</v>
      </c>
      <c r="F412" s="205" t="s">
        <v>782</v>
      </c>
      <c r="G412" s="205" t="s">
        <v>6817</v>
      </c>
      <c r="H412" s="204" t="s">
        <v>435</v>
      </c>
      <c r="I412" s="204" t="s">
        <v>15</v>
      </c>
      <c r="J412" s="205" t="s">
        <v>6816</v>
      </c>
      <c r="K412" s="206">
        <v>30000</v>
      </c>
      <c r="L412" s="206"/>
      <c r="M412" s="159">
        <f t="shared" si="98"/>
        <v>0</v>
      </c>
      <c r="N412" s="159"/>
      <c r="O412" s="159"/>
      <c r="P412" s="159"/>
      <c r="Q412" s="159"/>
      <c r="R412" s="159"/>
      <c r="S412" s="209" t="s">
        <v>5848</v>
      </c>
      <c r="T412" s="203" t="s">
        <v>5849</v>
      </c>
      <c r="U412" s="202" t="s">
        <v>5017</v>
      </c>
      <c r="V412" s="204">
        <v>2</v>
      </c>
      <c r="W412" s="203" t="s">
        <v>5104</v>
      </c>
      <c r="X412" s="204" t="s">
        <v>5273</v>
      </c>
      <c r="Y412" s="206">
        <v>30000</v>
      </c>
      <c r="Z412" s="207">
        <v>1000</v>
      </c>
      <c r="AA412" s="207">
        <f t="shared" si="99"/>
        <v>30000000</v>
      </c>
      <c r="AB412" s="157">
        <v>1000</v>
      </c>
      <c r="AC412" s="158">
        <f t="shared" si="97"/>
        <v>1000</v>
      </c>
      <c r="AD412" s="159">
        <f t="shared" si="100"/>
        <v>0</v>
      </c>
      <c r="AE412" s="160"/>
      <c r="AF412" s="160">
        <f t="shared" si="101"/>
        <v>0</v>
      </c>
      <c r="AG412" s="165"/>
      <c r="AH412" s="161">
        <f t="shared" si="102"/>
        <v>0</v>
      </c>
      <c r="AI412" s="162"/>
      <c r="AJ412" s="162">
        <f t="shared" si="103"/>
        <v>0</v>
      </c>
      <c r="AK412" s="164"/>
      <c r="AL412" s="164">
        <f t="shared" si="104"/>
        <v>0</v>
      </c>
      <c r="AM412" s="165"/>
      <c r="AN412" s="165">
        <f t="shared" si="105"/>
        <v>0</v>
      </c>
      <c r="AO412" s="166">
        <v>0</v>
      </c>
      <c r="AP412" s="166">
        <f t="shared" si="106"/>
        <v>0</v>
      </c>
      <c r="AQ412" s="162"/>
      <c r="AR412" s="162">
        <f t="shared" si="107"/>
        <v>0</v>
      </c>
      <c r="AS412" s="173"/>
      <c r="AT412" s="167">
        <f t="shared" si="108"/>
        <v>0</v>
      </c>
      <c r="AU412" s="163"/>
      <c r="AV412" s="163">
        <f t="shared" si="109"/>
        <v>0</v>
      </c>
      <c r="AW412" s="168"/>
      <c r="AX412" s="168">
        <f t="shared" si="110"/>
        <v>0</v>
      </c>
      <c r="AY412" s="170"/>
      <c r="AZ412" s="170">
        <f t="shared" si="111"/>
        <v>0</v>
      </c>
      <c r="BA412" s="166"/>
      <c r="BB412" s="166">
        <f t="shared" si="112"/>
        <v>0</v>
      </c>
    </row>
    <row r="413" spans="1:54" s="131" customFormat="1" ht="31.5">
      <c r="A413" s="148" t="s">
        <v>6818</v>
      </c>
      <c r="B413" s="203" t="s">
        <v>1522</v>
      </c>
      <c r="C413" s="203"/>
      <c r="D413" s="203"/>
      <c r="E413" s="203" t="s">
        <v>4184</v>
      </c>
      <c r="F413" s="205" t="s">
        <v>6822</v>
      </c>
      <c r="G413" s="205" t="s">
        <v>1859</v>
      </c>
      <c r="H413" s="204" t="s">
        <v>225</v>
      </c>
      <c r="I413" s="204" t="s">
        <v>11</v>
      </c>
      <c r="J413" s="205" t="s">
        <v>6821</v>
      </c>
      <c r="K413" s="206">
        <v>1890</v>
      </c>
      <c r="L413" s="206"/>
      <c r="M413" s="159">
        <f t="shared" si="98"/>
        <v>20000</v>
      </c>
      <c r="N413" s="159"/>
      <c r="O413" s="159"/>
      <c r="P413" s="159"/>
      <c r="Q413" s="159"/>
      <c r="R413" s="159"/>
      <c r="S413" s="149" t="s">
        <v>6819</v>
      </c>
      <c r="T413" s="149" t="s">
        <v>6820</v>
      </c>
      <c r="U413" s="202" t="s">
        <v>4183</v>
      </c>
      <c r="V413" s="204">
        <v>2</v>
      </c>
      <c r="W413" s="203" t="s">
        <v>5104</v>
      </c>
      <c r="X413" s="204" t="s">
        <v>6618</v>
      </c>
      <c r="Y413" s="206">
        <v>1995</v>
      </c>
      <c r="Z413" s="207">
        <v>120000</v>
      </c>
      <c r="AA413" s="207">
        <f t="shared" si="99"/>
        <v>226800000</v>
      </c>
      <c r="AB413" s="157">
        <v>120000</v>
      </c>
      <c r="AC413" s="158">
        <f t="shared" si="97"/>
        <v>100000</v>
      </c>
      <c r="AD413" s="159">
        <f t="shared" si="100"/>
        <v>37800000</v>
      </c>
      <c r="AE413" s="160"/>
      <c r="AF413" s="160">
        <f t="shared" si="101"/>
        <v>0</v>
      </c>
      <c r="AG413" s="165"/>
      <c r="AH413" s="161">
        <f t="shared" si="102"/>
        <v>0</v>
      </c>
      <c r="AI413" s="162"/>
      <c r="AJ413" s="162">
        <f t="shared" si="103"/>
        <v>0</v>
      </c>
      <c r="AK413" s="164"/>
      <c r="AL413" s="164">
        <f t="shared" si="104"/>
        <v>0</v>
      </c>
      <c r="AM413" s="165"/>
      <c r="AN413" s="165">
        <f t="shared" si="105"/>
        <v>0</v>
      </c>
      <c r="AO413" s="166">
        <v>0</v>
      </c>
      <c r="AP413" s="166">
        <f t="shared" si="106"/>
        <v>0</v>
      </c>
      <c r="AQ413" s="162"/>
      <c r="AR413" s="162">
        <f t="shared" si="107"/>
        <v>0</v>
      </c>
      <c r="AS413" s="173">
        <v>20000</v>
      </c>
      <c r="AT413" s="167">
        <f t="shared" si="108"/>
        <v>37800000</v>
      </c>
      <c r="AU413" s="163"/>
      <c r="AV413" s="163">
        <f t="shared" si="109"/>
        <v>0</v>
      </c>
      <c r="AW413" s="168"/>
      <c r="AX413" s="168">
        <f t="shared" si="110"/>
        <v>0</v>
      </c>
      <c r="AY413" s="170"/>
      <c r="AZ413" s="170">
        <f t="shared" si="111"/>
        <v>0</v>
      </c>
      <c r="BA413" s="166"/>
      <c r="BB413" s="166">
        <f t="shared" si="112"/>
        <v>0</v>
      </c>
    </row>
    <row r="414" spans="1:54" s="131" customFormat="1" ht="31.5">
      <c r="A414" s="172" t="s">
        <v>6823</v>
      </c>
      <c r="B414" s="203" t="s">
        <v>3936</v>
      </c>
      <c r="C414" s="203"/>
      <c r="D414" s="203"/>
      <c r="E414" s="203" t="s">
        <v>3935</v>
      </c>
      <c r="F414" s="205" t="s">
        <v>6825</v>
      </c>
      <c r="G414" s="205" t="s">
        <v>1890</v>
      </c>
      <c r="H414" s="204" t="s">
        <v>3937</v>
      </c>
      <c r="I414" s="204" t="s">
        <v>16</v>
      </c>
      <c r="J414" s="205" t="s">
        <v>6824</v>
      </c>
      <c r="K414" s="206">
        <v>5950</v>
      </c>
      <c r="L414" s="206"/>
      <c r="M414" s="159">
        <f t="shared" si="98"/>
        <v>3600</v>
      </c>
      <c r="N414" s="159"/>
      <c r="O414" s="159"/>
      <c r="P414" s="159"/>
      <c r="Q414" s="159"/>
      <c r="R414" s="159"/>
      <c r="S414" s="149" t="s">
        <v>6351</v>
      </c>
      <c r="T414" s="149" t="s">
        <v>6352</v>
      </c>
      <c r="U414" s="202" t="s">
        <v>3934</v>
      </c>
      <c r="V414" s="204">
        <v>2</v>
      </c>
      <c r="W414" s="203" t="s">
        <v>5104</v>
      </c>
      <c r="X414" s="204" t="s">
        <v>6694</v>
      </c>
      <c r="Y414" s="206">
        <v>5950</v>
      </c>
      <c r="Z414" s="207">
        <v>50000</v>
      </c>
      <c r="AA414" s="207">
        <f t="shared" si="99"/>
        <v>297500000</v>
      </c>
      <c r="AB414" s="157">
        <v>50000</v>
      </c>
      <c r="AC414" s="158">
        <f t="shared" si="97"/>
        <v>46400</v>
      </c>
      <c r="AD414" s="159">
        <f t="shared" si="100"/>
        <v>21420000</v>
      </c>
      <c r="AE414" s="160"/>
      <c r="AF414" s="160">
        <f t="shared" si="101"/>
        <v>0</v>
      </c>
      <c r="AG414" s="165"/>
      <c r="AH414" s="161">
        <f t="shared" si="102"/>
        <v>0</v>
      </c>
      <c r="AI414" s="162"/>
      <c r="AJ414" s="162">
        <f t="shared" si="103"/>
        <v>0</v>
      </c>
      <c r="AK414" s="163"/>
      <c r="AL414" s="164">
        <f t="shared" si="104"/>
        <v>0</v>
      </c>
      <c r="AM414" s="161"/>
      <c r="AN414" s="165">
        <f t="shared" si="105"/>
        <v>0</v>
      </c>
      <c r="AO414" s="160">
        <v>0</v>
      </c>
      <c r="AP414" s="166">
        <f t="shared" si="106"/>
        <v>0</v>
      </c>
      <c r="AQ414" s="162"/>
      <c r="AR414" s="162">
        <f t="shared" si="107"/>
        <v>0</v>
      </c>
      <c r="AS414" s="173">
        <v>3600</v>
      </c>
      <c r="AT414" s="167">
        <f t="shared" si="108"/>
        <v>21420000</v>
      </c>
      <c r="AU414" s="163"/>
      <c r="AV414" s="163">
        <f t="shared" si="109"/>
        <v>0</v>
      </c>
      <c r="AW414" s="162"/>
      <c r="AX414" s="168">
        <f t="shared" si="110"/>
        <v>0</v>
      </c>
      <c r="AY414" s="169"/>
      <c r="AZ414" s="170">
        <f t="shared" si="111"/>
        <v>0</v>
      </c>
      <c r="BA414" s="160"/>
      <c r="BB414" s="166">
        <f t="shared" si="112"/>
        <v>0</v>
      </c>
    </row>
    <row r="415" spans="1:54" s="131" customFormat="1" ht="31.5">
      <c r="A415" s="148" t="s">
        <v>6826</v>
      </c>
      <c r="B415" s="203" t="s">
        <v>1780</v>
      </c>
      <c r="C415" s="203"/>
      <c r="D415" s="203"/>
      <c r="E415" s="203" t="s">
        <v>3757</v>
      </c>
      <c r="F415" s="205" t="s">
        <v>6827</v>
      </c>
      <c r="G415" s="205" t="s">
        <v>1859</v>
      </c>
      <c r="H415" s="204" t="s">
        <v>229</v>
      </c>
      <c r="I415" s="204" t="s">
        <v>11</v>
      </c>
      <c r="J415" s="205" t="s">
        <v>6821</v>
      </c>
      <c r="K415" s="206">
        <v>840</v>
      </c>
      <c r="L415" s="206"/>
      <c r="M415" s="159">
        <f t="shared" si="98"/>
        <v>41500</v>
      </c>
      <c r="N415" s="159"/>
      <c r="O415" s="159"/>
      <c r="P415" s="159"/>
      <c r="Q415" s="159"/>
      <c r="R415" s="159"/>
      <c r="S415" s="149" t="s">
        <v>6819</v>
      </c>
      <c r="T415" s="149" t="s">
        <v>6820</v>
      </c>
      <c r="U415" s="202" t="s">
        <v>3756</v>
      </c>
      <c r="V415" s="204">
        <v>2</v>
      </c>
      <c r="W415" s="203" t="s">
        <v>5108</v>
      </c>
      <c r="X415" s="204" t="s">
        <v>6618</v>
      </c>
      <c r="Y415" s="206">
        <v>903</v>
      </c>
      <c r="Z415" s="207">
        <v>150000</v>
      </c>
      <c r="AA415" s="207">
        <f t="shared" si="99"/>
        <v>126000000</v>
      </c>
      <c r="AB415" s="157">
        <v>150000</v>
      </c>
      <c r="AC415" s="158">
        <f t="shared" si="97"/>
        <v>108500</v>
      </c>
      <c r="AD415" s="159">
        <f t="shared" si="100"/>
        <v>34860000</v>
      </c>
      <c r="AE415" s="160"/>
      <c r="AF415" s="160">
        <f t="shared" si="101"/>
        <v>0</v>
      </c>
      <c r="AG415" s="165">
        <v>23000</v>
      </c>
      <c r="AH415" s="161">
        <f t="shared" si="102"/>
        <v>19320000</v>
      </c>
      <c r="AI415" s="162"/>
      <c r="AJ415" s="162">
        <f t="shared" si="103"/>
        <v>0</v>
      </c>
      <c r="AK415" s="164"/>
      <c r="AL415" s="164">
        <f t="shared" si="104"/>
        <v>0</v>
      </c>
      <c r="AM415" s="165">
        <v>17000</v>
      </c>
      <c r="AN415" s="165">
        <f t="shared" si="105"/>
        <v>14280000</v>
      </c>
      <c r="AO415" s="166">
        <v>0</v>
      </c>
      <c r="AP415" s="166">
        <f t="shared" si="106"/>
        <v>0</v>
      </c>
      <c r="AQ415" s="162"/>
      <c r="AR415" s="162">
        <f t="shared" si="107"/>
        <v>0</v>
      </c>
      <c r="AS415" s="173">
        <v>1500</v>
      </c>
      <c r="AT415" s="167">
        <f t="shared" si="108"/>
        <v>1260000</v>
      </c>
      <c r="AU415" s="163"/>
      <c r="AV415" s="163">
        <f t="shared" si="109"/>
        <v>0</v>
      </c>
      <c r="AW415" s="168"/>
      <c r="AX415" s="168">
        <f t="shared" si="110"/>
        <v>0</v>
      </c>
      <c r="AY415" s="170"/>
      <c r="AZ415" s="170">
        <f t="shared" si="111"/>
        <v>0</v>
      </c>
      <c r="BA415" s="166"/>
      <c r="BB415" s="166">
        <f t="shared" si="112"/>
        <v>0</v>
      </c>
    </row>
    <row r="416" spans="1:54" s="131" customFormat="1" ht="31.5">
      <c r="A416" s="148" t="s">
        <v>6828</v>
      </c>
      <c r="B416" s="223" t="s">
        <v>289</v>
      </c>
      <c r="C416" s="223"/>
      <c r="D416" s="223"/>
      <c r="E416" s="223" t="s">
        <v>4301</v>
      </c>
      <c r="F416" s="225" t="s">
        <v>6830</v>
      </c>
      <c r="G416" s="225" t="s">
        <v>6532</v>
      </c>
      <c r="H416" s="224" t="s">
        <v>258</v>
      </c>
      <c r="I416" s="204" t="s">
        <v>11</v>
      </c>
      <c r="J416" s="225" t="s">
        <v>6829</v>
      </c>
      <c r="K416" s="226">
        <v>4000</v>
      </c>
      <c r="L416" s="226"/>
      <c r="M416" s="159">
        <f t="shared" si="98"/>
        <v>14000</v>
      </c>
      <c r="N416" s="159"/>
      <c r="O416" s="159"/>
      <c r="P416" s="159"/>
      <c r="Q416" s="159"/>
      <c r="R416" s="159"/>
      <c r="S416" s="149" t="s">
        <v>2332</v>
      </c>
      <c r="T416" s="150" t="s">
        <v>5158</v>
      </c>
      <c r="U416" s="222" t="s">
        <v>4300</v>
      </c>
      <c r="V416" s="204">
        <v>2</v>
      </c>
      <c r="W416" s="223" t="s">
        <v>5104</v>
      </c>
      <c r="X416" s="224" t="s">
        <v>213</v>
      </c>
      <c r="Y416" s="226">
        <v>4000</v>
      </c>
      <c r="Z416" s="207">
        <v>50000</v>
      </c>
      <c r="AA416" s="207">
        <f t="shared" si="99"/>
        <v>200000000</v>
      </c>
      <c r="AB416" s="157">
        <v>50000</v>
      </c>
      <c r="AC416" s="158">
        <f t="shared" si="97"/>
        <v>36000</v>
      </c>
      <c r="AD416" s="159">
        <f t="shared" si="100"/>
        <v>56000000</v>
      </c>
      <c r="AE416" s="160"/>
      <c r="AF416" s="160">
        <f t="shared" si="101"/>
        <v>0</v>
      </c>
      <c r="AG416" s="161"/>
      <c r="AH416" s="161">
        <f t="shared" si="102"/>
        <v>0</v>
      </c>
      <c r="AI416" s="162"/>
      <c r="AJ416" s="162">
        <f t="shared" si="103"/>
        <v>0</v>
      </c>
      <c r="AK416" s="163"/>
      <c r="AL416" s="164">
        <f t="shared" si="104"/>
        <v>0</v>
      </c>
      <c r="AM416" s="161">
        <v>4000</v>
      </c>
      <c r="AN416" s="165">
        <f t="shared" si="105"/>
        <v>16000000</v>
      </c>
      <c r="AO416" s="160">
        <v>0</v>
      </c>
      <c r="AP416" s="166">
        <f t="shared" si="106"/>
        <v>0</v>
      </c>
      <c r="AQ416" s="162"/>
      <c r="AR416" s="162">
        <f t="shared" si="107"/>
        <v>0</v>
      </c>
      <c r="AS416" s="167"/>
      <c r="AT416" s="167">
        <f t="shared" si="108"/>
        <v>0</v>
      </c>
      <c r="AU416" s="163">
        <v>10000</v>
      </c>
      <c r="AV416" s="163">
        <f t="shared" si="109"/>
        <v>40000000</v>
      </c>
      <c r="AW416" s="162"/>
      <c r="AX416" s="168">
        <f t="shared" si="110"/>
        <v>0</v>
      </c>
      <c r="AY416" s="169"/>
      <c r="AZ416" s="170">
        <f t="shared" si="111"/>
        <v>0</v>
      </c>
      <c r="BA416" s="160"/>
      <c r="BB416" s="166">
        <f t="shared" si="112"/>
        <v>0</v>
      </c>
    </row>
    <row r="417" spans="1:54" s="131" customFormat="1" ht="31.5">
      <c r="A417" s="172" t="s">
        <v>6831</v>
      </c>
      <c r="B417" s="203" t="s">
        <v>583</v>
      </c>
      <c r="C417" s="203"/>
      <c r="D417" s="203"/>
      <c r="E417" s="203" t="s">
        <v>6835</v>
      </c>
      <c r="F417" s="205" t="s">
        <v>6837</v>
      </c>
      <c r="G417" s="205" t="s">
        <v>6838</v>
      </c>
      <c r="H417" s="204" t="s">
        <v>390</v>
      </c>
      <c r="I417" s="204" t="s">
        <v>11</v>
      </c>
      <c r="J417" s="205" t="s">
        <v>6836</v>
      </c>
      <c r="K417" s="206">
        <v>995</v>
      </c>
      <c r="L417" s="206"/>
      <c r="M417" s="159">
        <f t="shared" si="98"/>
        <v>0</v>
      </c>
      <c r="N417" s="159"/>
      <c r="O417" s="159"/>
      <c r="P417" s="159"/>
      <c r="Q417" s="159"/>
      <c r="R417" s="159"/>
      <c r="S417" s="149" t="s">
        <v>6832</v>
      </c>
      <c r="T417" s="149" t="s">
        <v>6833</v>
      </c>
      <c r="U417" s="202" t="s">
        <v>6834</v>
      </c>
      <c r="V417" s="204">
        <v>2</v>
      </c>
      <c r="W417" s="203" t="s">
        <v>5104</v>
      </c>
      <c r="X417" s="204" t="s">
        <v>5605</v>
      </c>
      <c r="Y417" s="206">
        <v>1700</v>
      </c>
      <c r="Z417" s="207">
        <v>30000</v>
      </c>
      <c r="AA417" s="207">
        <f t="shared" si="99"/>
        <v>29850000</v>
      </c>
      <c r="AB417" s="157">
        <v>30000</v>
      </c>
      <c r="AC417" s="158">
        <f t="shared" si="97"/>
        <v>30000</v>
      </c>
      <c r="AD417" s="159">
        <f t="shared" si="100"/>
        <v>0</v>
      </c>
      <c r="AE417" s="160"/>
      <c r="AF417" s="160">
        <f t="shared" si="101"/>
        <v>0</v>
      </c>
      <c r="AG417" s="165"/>
      <c r="AH417" s="161">
        <f t="shared" si="102"/>
        <v>0</v>
      </c>
      <c r="AI417" s="162"/>
      <c r="AJ417" s="162">
        <f t="shared" si="103"/>
        <v>0</v>
      </c>
      <c r="AK417" s="164"/>
      <c r="AL417" s="164">
        <f t="shared" si="104"/>
        <v>0</v>
      </c>
      <c r="AM417" s="165"/>
      <c r="AN417" s="165">
        <f t="shared" si="105"/>
        <v>0</v>
      </c>
      <c r="AO417" s="166">
        <v>0</v>
      </c>
      <c r="AP417" s="166">
        <f t="shared" si="106"/>
        <v>0</v>
      </c>
      <c r="AQ417" s="162"/>
      <c r="AR417" s="162">
        <f t="shared" si="107"/>
        <v>0</v>
      </c>
      <c r="AS417" s="173"/>
      <c r="AT417" s="167">
        <f t="shared" si="108"/>
        <v>0</v>
      </c>
      <c r="AU417" s="163"/>
      <c r="AV417" s="163">
        <f t="shared" si="109"/>
        <v>0</v>
      </c>
      <c r="AW417" s="168"/>
      <c r="AX417" s="168">
        <f t="shared" si="110"/>
        <v>0</v>
      </c>
      <c r="AY417" s="170"/>
      <c r="AZ417" s="170">
        <f t="shared" si="111"/>
        <v>0</v>
      </c>
      <c r="BA417" s="166"/>
      <c r="BB417" s="166">
        <f t="shared" si="112"/>
        <v>0</v>
      </c>
    </row>
    <row r="418" spans="1:54" s="131" customFormat="1" ht="31.5">
      <c r="A418" s="148" t="s">
        <v>6839</v>
      </c>
      <c r="B418" s="203" t="s">
        <v>6388</v>
      </c>
      <c r="C418" s="203"/>
      <c r="D418" s="203"/>
      <c r="E418" s="203" t="s">
        <v>4213</v>
      </c>
      <c r="F418" s="205" t="s">
        <v>6390</v>
      </c>
      <c r="G418" s="205" t="s">
        <v>2072</v>
      </c>
      <c r="H418" s="204" t="s">
        <v>4215</v>
      </c>
      <c r="I418" s="204" t="s">
        <v>4139</v>
      </c>
      <c r="J418" s="205" t="s">
        <v>6389</v>
      </c>
      <c r="K418" s="206">
        <v>227850</v>
      </c>
      <c r="L418" s="206"/>
      <c r="M418" s="159">
        <f t="shared" si="98"/>
        <v>1000</v>
      </c>
      <c r="N418" s="159"/>
      <c r="O418" s="159"/>
      <c r="P418" s="159"/>
      <c r="Q418" s="159"/>
      <c r="R418" s="159"/>
      <c r="S418" s="150" t="s">
        <v>5118</v>
      </c>
      <c r="T418" s="150" t="s">
        <v>5119</v>
      </c>
      <c r="U418" s="202" t="s">
        <v>4216</v>
      </c>
      <c r="V418" s="204">
        <v>2</v>
      </c>
      <c r="W418" s="203" t="s">
        <v>253</v>
      </c>
      <c r="X418" s="204" t="s">
        <v>6391</v>
      </c>
      <c r="Y418" s="206">
        <v>250745</v>
      </c>
      <c r="Z418" s="207">
        <v>2000</v>
      </c>
      <c r="AA418" s="207">
        <f t="shared" si="99"/>
        <v>455700000</v>
      </c>
      <c r="AB418" s="157">
        <v>2000</v>
      </c>
      <c r="AC418" s="158">
        <f t="shared" si="97"/>
        <v>1000</v>
      </c>
      <c r="AD418" s="159">
        <f t="shared" si="100"/>
        <v>227850000</v>
      </c>
      <c r="AE418" s="160">
        <v>500</v>
      </c>
      <c r="AF418" s="160">
        <f t="shared" si="101"/>
        <v>113925000</v>
      </c>
      <c r="AG418" s="165">
        <v>500</v>
      </c>
      <c r="AH418" s="161">
        <f t="shared" si="102"/>
        <v>113925000</v>
      </c>
      <c r="AI418" s="162"/>
      <c r="AJ418" s="162">
        <f t="shared" si="103"/>
        <v>0</v>
      </c>
      <c r="AK418" s="164"/>
      <c r="AL418" s="164">
        <f t="shared" si="104"/>
        <v>0</v>
      </c>
      <c r="AM418" s="165"/>
      <c r="AN418" s="165">
        <f t="shared" si="105"/>
        <v>0</v>
      </c>
      <c r="AO418" s="166">
        <v>0</v>
      </c>
      <c r="AP418" s="166">
        <f t="shared" si="106"/>
        <v>0</v>
      </c>
      <c r="AQ418" s="162"/>
      <c r="AR418" s="162">
        <f t="shared" si="107"/>
        <v>0</v>
      </c>
      <c r="AS418" s="173"/>
      <c r="AT418" s="167">
        <f t="shared" si="108"/>
        <v>0</v>
      </c>
      <c r="AU418" s="163"/>
      <c r="AV418" s="163">
        <f t="shared" si="109"/>
        <v>0</v>
      </c>
      <c r="AW418" s="168"/>
      <c r="AX418" s="168">
        <f t="shared" si="110"/>
        <v>0</v>
      </c>
      <c r="AY418" s="170"/>
      <c r="AZ418" s="170">
        <f t="shared" si="111"/>
        <v>0</v>
      </c>
      <c r="BA418" s="166"/>
      <c r="BB418" s="166">
        <f t="shared" si="112"/>
        <v>0</v>
      </c>
    </row>
    <row r="419" spans="1:54" s="131" customFormat="1" ht="31.5">
      <c r="A419" s="148" t="s">
        <v>6840</v>
      </c>
      <c r="B419" s="203" t="s">
        <v>1618</v>
      </c>
      <c r="C419" s="203"/>
      <c r="D419" s="203"/>
      <c r="E419" s="203" t="s">
        <v>6842</v>
      </c>
      <c r="F419" s="205" t="s">
        <v>6844</v>
      </c>
      <c r="G419" s="205" t="s">
        <v>1147</v>
      </c>
      <c r="H419" s="204" t="s">
        <v>994</v>
      </c>
      <c r="I419" s="204" t="s">
        <v>11</v>
      </c>
      <c r="J419" s="205" t="s">
        <v>6843</v>
      </c>
      <c r="K419" s="206">
        <v>450</v>
      </c>
      <c r="L419" s="206"/>
      <c r="M419" s="159">
        <f t="shared" si="98"/>
        <v>0</v>
      </c>
      <c r="N419" s="159"/>
      <c r="O419" s="159"/>
      <c r="P419" s="159"/>
      <c r="Q419" s="159"/>
      <c r="R419" s="159"/>
      <c r="S419" s="150" t="s">
        <v>5298</v>
      </c>
      <c r="T419" s="150" t="s">
        <v>5299</v>
      </c>
      <c r="U419" s="202" t="s">
        <v>6841</v>
      </c>
      <c r="V419" s="204">
        <v>2</v>
      </c>
      <c r="W419" s="203" t="s">
        <v>5784</v>
      </c>
      <c r="X419" s="204" t="s">
        <v>5605</v>
      </c>
      <c r="Y419" s="206">
        <v>877</v>
      </c>
      <c r="Z419" s="207">
        <v>50000</v>
      </c>
      <c r="AA419" s="207">
        <f t="shared" si="99"/>
        <v>22500000</v>
      </c>
      <c r="AB419" s="157">
        <v>50000</v>
      </c>
      <c r="AC419" s="158">
        <f t="shared" si="97"/>
        <v>50000</v>
      </c>
      <c r="AD419" s="159">
        <f t="shared" si="100"/>
        <v>0</v>
      </c>
      <c r="AE419" s="160"/>
      <c r="AF419" s="160">
        <f t="shared" si="101"/>
        <v>0</v>
      </c>
      <c r="AG419" s="165"/>
      <c r="AH419" s="161">
        <f t="shared" si="102"/>
        <v>0</v>
      </c>
      <c r="AI419" s="162"/>
      <c r="AJ419" s="162">
        <f t="shared" si="103"/>
        <v>0</v>
      </c>
      <c r="AK419" s="164"/>
      <c r="AL419" s="164">
        <f t="shared" si="104"/>
        <v>0</v>
      </c>
      <c r="AM419" s="165"/>
      <c r="AN419" s="165">
        <f t="shared" si="105"/>
        <v>0</v>
      </c>
      <c r="AO419" s="166">
        <v>0</v>
      </c>
      <c r="AP419" s="166">
        <f t="shared" si="106"/>
        <v>0</v>
      </c>
      <c r="AQ419" s="162"/>
      <c r="AR419" s="162">
        <f t="shared" si="107"/>
        <v>0</v>
      </c>
      <c r="AS419" s="173"/>
      <c r="AT419" s="167">
        <f t="shared" si="108"/>
        <v>0</v>
      </c>
      <c r="AU419" s="163"/>
      <c r="AV419" s="163">
        <f t="shared" si="109"/>
        <v>0</v>
      </c>
      <c r="AW419" s="168"/>
      <c r="AX419" s="168">
        <f t="shared" si="110"/>
        <v>0</v>
      </c>
      <c r="AY419" s="170"/>
      <c r="AZ419" s="170">
        <f t="shared" si="111"/>
        <v>0</v>
      </c>
      <c r="BA419" s="166"/>
      <c r="BB419" s="166">
        <f t="shared" si="112"/>
        <v>0</v>
      </c>
    </row>
    <row r="420" spans="1:54" s="131" customFormat="1" ht="31.5">
      <c r="A420" s="172" t="s">
        <v>6845</v>
      </c>
      <c r="B420" s="203" t="s">
        <v>1618</v>
      </c>
      <c r="C420" s="203"/>
      <c r="D420" s="203"/>
      <c r="E420" s="203" t="s">
        <v>1145</v>
      </c>
      <c r="F420" s="205" t="s">
        <v>6848</v>
      </c>
      <c r="G420" s="205" t="s">
        <v>1147</v>
      </c>
      <c r="H420" s="204" t="s">
        <v>225</v>
      </c>
      <c r="I420" s="204" t="s">
        <v>11</v>
      </c>
      <c r="J420" s="205" t="s">
        <v>6847</v>
      </c>
      <c r="K420" s="206">
        <v>315</v>
      </c>
      <c r="L420" s="206"/>
      <c r="M420" s="159">
        <f t="shared" si="98"/>
        <v>0</v>
      </c>
      <c r="N420" s="159"/>
      <c r="O420" s="159"/>
      <c r="P420" s="159"/>
      <c r="Q420" s="159"/>
      <c r="R420" s="159"/>
      <c r="S420" s="150" t="s">
        <v>5298</v>
      </c>
      <c r="T420" s="150" t="s">
        <v>5299</v>
      </c>
      <c r="U420" s="202" t="s">
        <v>6846</v>
      </c>
      <c r="V420" s="204">
        <v>2</v>
      </c>
      <c r="W420" s="203" t="s">
        <v>5784</v>
      </c>
      <c r="X420" s="204" t="s">
        <v>5605</v>
      </c>
      <c r="Y420" s="206">
        <v>616</v>
      </c>
      <c r="Z420" s="207">
        <v>50000</v>
      </c>
      <c r="AA420" s="207">
        <f t="shared" si="99"/>
        <v>15750000</v>
      </c>
      <c r="AB420" s="157">
        <v>50000</v>
      </c>
      <c r="AC420" s="158">
        <f t="shared" si="97"/>
        <v>50000</v>
      </c>
      <c r="AD420" s="159">
        <f t="shared" si="100"/>
        <v>0</v>
      </c>
      <c r="AE420" s="160"/>
      <c r="AF420" s="160">
        <f t="shared" si="101"/>
        <v>0</v>
      </c>
      <c r="AG420" s="165"/>
      <c r="AH420" s="161">
        <f t="shared" si="102"/>
        <v>0</v>
      </c>
      <c r="AI420" s="162"/>
      <c r="AJ420" s="162">
        <f t="shared" si="103"/>
        <v>0</v>
      </c>
      <c r="AK420" s="164"/>
      <c r="AL420" s="164">
        <f t="shared" si="104"/>
        <v>0</v>
      </c>
      <c r="AM420" s="165"/>
      <c r="AN420" s="165">
        <f t="shared" si="105"/>
        <v>0</v>
      </c>
      <c r="AO420" s="166">
        <v>0</v>
      </c>
      <c r="AP420" s="166">
        <f t="shared" si="106"/>
        <v>0</v>
      </c>
      <c r="AQ420" s="162"/>
      <c r="AR420" s="162">
        <f t="shared" si="107"/>
        <v>0</v>
      </c>
      <c r="AS420" s="173"/>
      <c r="AT420" s="167">
        <f t="shared" si="108"/>
        <v>0</v>
      </c>
      <c r="AU420" s="163"/>
      <c r="AV420" s="163">
        <f t="shared" si="109"/>
        <v>0</v>
      </c>
      <c r="AW420" s="168"/>
      <c r="AX420" s="168">
        <f t="shared" si="110"/>
        <v>0</v>
      </c>
      <c r="AY420" s="170"/>
      <c r="AZ420" s="170">
        <f t="shared" si="111"/>
        <v>0</v>
      </c>
      <c r="BA420" s="166"/>
      <c r="BB420" s="166">
        <f t="shared" si="112"/>
        <v>0</v>
      </c>
    </row>
    <row r="421" spans="1:54" s="131" customFormat="1" ht="31.5">
      <c r="A421" s="148" t="s">
        <v>6849</v>
      </c>
      <c r="B421" s="203" t="s">
        <v>1647</v>
      </c>
      <c r="C421" s="203"/>
      <c r="D421" s="203"/>
      <c r="E421" s="203" t="s">
        <v>6850</v>
      </c>
      <c r="F421" s="205" t="s">
        <v>6851</v>
      </c>
      <c r="G421" s="205" t="s">
        <v>6689</v>
      </c>
      <c r="H421" s="204" t="s">
        <v>1004</v>
      </c>
      <c r="I421" s="204" t="s">
        <v>11</v>
      </c>
      <c r="J421" s="205" t="s">
        <v>6009</v>
      </c>
      <c r="K421" s="206">
        <v>640</v>
      </c>
      <c r="L421" s="206"/>
      <c r="M421" s="159">
        <f t="shared" si="98"/>
        <v>0</v>
      </c>
      <c r="N421" s="159"/>
      <c r="O421" s="159"/>
      <c r="P421" s="159"/>
      <c r="Q421" s="159"/>
      <c r="R421" s="159"/>
      <c r="S421" s="149" t="s">
        <v>2385</v>
      </c>
      <c r="T421" s="150" t="s">
        <v>2380</v>
      </c>
      <c r="U421" s="202" t="s">
        <v>4313</v>
      </c>
      <c r="V421" s="204">
        <v>2</v>
      </c>
      <c r="W421" s="203" t="s">
        <v>5104</v>
      </c>
      <c r="X421" s="204" t="s">
        <v>213</v>
      </c>
      <c r="Y421" s="206">
        <v>1700</v>
      </c>
      <c r="Z421" s="207">
        <v>30000</v>
      </c>
      <c r="AA421" s="207">
        <f t="shared" si="99"/>
        <v>19200000</v>
      </c>
      <c r="AB421" s="157">
        <v>30000</v>
      </c>
      <c r="AC421" s="158">
        <f t="shared" si="97"/>
        <v>30000</v>
      </c>
      <c r="AD421" s="159">
        <f t="shared" si="100"/>
        <v>0</v>
      </c>
      <c r="AE421" s="160"/>
      <c r="AF421" s="160">
        <f t="shared" si="101"/>
        <v>0</v>
      </c>
      <c r="AG421" s="165"/>
      <c r="AH421" s="161">
        <f t="shared" si="102"/>
        <v>0</v>
      </c>
      <c r="AI421" s="162"/>
      <c r="AJ421" s="162">
        <f t="shared" si="103"/>
        <v>0</v>
      </c>
      <c r="AK421" s="164"/>
      <c r="AL421" s="164">
        <f t="shared" si="104"/>
        <v>0</v>
      </c>
      <c r="AM421" s="165"/>
      <c r="AN421" s="165">
        <f t="shared" si="105"/>
        <v>0</v>
      </c>
      <c r="AO421" s="166">
        <v>0</v>
      </c>
      <c r="AP421" s="166">
        <f t="shared" si="106"/>
        <v>0</v>
      </c>
      <c r="AQ421" s="162"/>
      <c r="AR421" s="162">
        <f t="shared" si="107"/>
        <v>0</v>
      </c>
      <c r="AS421" s="173"/>
      <c r="AT421" s="167">
        <f t="shared" si="108"/>
        <v>0</v>
      </c>
      <c r="AU421" s="163"/>
      <c r="AV421" s="163">
        <f t="shared" si="109"/>
        <v>0</v>
      </c>
      <c r="AW421" s="168"/>
      <c r="AX421" s="168">
        <f t="shared" si="110"/>
        <v>0</v>
      </c>
      <c r="AY421" s="170"/>
      <c r="AZ421" s="170">
        <f t="shared" si="111"/>
        <v>0</v>
      </c>
      <c r="BA421" s="166"/>
      <c r="BB421" s="166">
        <f t="shared" si="112"/>
        <v>0</v>
      </c>
    </row>
    <row r="422" spans="1:54" s="227" customFormat="1" ht="31.5">
      <c r="A422" s="221" t="s">
        <v>6852</v>
      </c>
      <c r="B422" s="213" t="s">
        <v>4171</v>
      </c>
      <c r="C422" s="213"/>
      <c r="D422" s="213"/>
      <c r="E422" s="213" t="s">
        <v>6855</v>
      </c>
      <c r="F422" s="205" t="s">
        <v>6857</v>
      </c>
      <c r="G422" s="205" t="s">
        <v>6858</v>
      </c>
      <c r="H422" s="214" t="s">
        <v>291</v>
      </c>
      <c r="I422" s="214" t="s">
        <v>11</v>
      </c>
      <c r="J422" s="205" t="s">
        <v>6856</v>
      </c>
      <c r="K422" s="215">
        <v>819</v>
      </c>
      <c r="L422" s="215"/>
      <c r="M422" s="159">
        <f t="shared" si="98"/>
        <v>0</v>
      </c>
      <c r="N422" s="159"/>
      <c r="O422" s="159"/>
      <c r="P422" s="159"/>
      <c r="Q422" s="159"/>
      <c r="R422" s="159"/>
      <c r="S422" s="211" t="s">
        <v>6853</v>
      </c>
      <c r="T422" s="149" t="s">
        <v>6854</v>
      </c>
      <c r="U422" s="212" t="s">
        <v>4303</v>
      </c>
      <c r="V422" s="204">
        <v>2</v>
      </c>
      <c r="W422" s="203" t="s">
        <v>253</v>
      </c>
      <c r="X422" s="214" t="s">
        <v>6859</v>
      </c>
      <c r="Y422" s="206">
        <v>1395</v>
      </c>
      <c r="Z422" s="216">
        <v>40000</v>
      </c>
      <c r="AA422" s="216">
        <f t="shared" si="99"/>
        <v>32760000</v>
      </c>
      <c r="AB422" s="217">
        <v>40000</v>
      </c>
      <c r="AC422" s="218">
        <f t="shared" si="97"/>
        <v>40000</v>
      </c>
      <c r="AD422" s="159">
        <f t="shared" si="100"/>
        <v>0</v>
      </c>
      <c r="AE422" s="219"/>
      <c r="AF422" s="160">
        <f t="shared" si="101"/>
        <v>0</v>
      </c>
      <c r="AG422" s="216"/>
      <c r="AH422" s="161">
        <f t="shared" si="102"/>
        <v>0</v>
      </c>
      <c r="AI422" s="219"/>
      <c r="AJ422" s="219">
        <f t="shared" si="103"/>
        <v>0</v>
      </c>
      <c r="AK422" s="216"/>
      <c r="AL422" s="216">
        <f t="shared" si="104"/>
        <v>0</v>
      </c>
      <c r="AM422" s="216"/>
      <c r="AN422" s="216">
        <f t="shared" si="105"/>
        <v>0</v>
      </c>
      <c r="AO422" s="216">
        <v>0</v>
      </c>
      <c r="AP422" s="216">
        <f t="shared" si="106"/>
        <v>0</v>
      </c>
      <c r="AQ422" s="219"/>
      <c r="AR422" s="219">
        <f t="shared" si="107"/>
        <v>0</v>
      </c>
      <c r="AS422" s="216"/>
      <c r="AT422" s="167">
        <f t="shared" si="108"/>
        <v>0</v>
      </c>
      <c r="AU422" s="219"/>
      <c r="AV422" s="163">
        <f t="shared" si="109"/>
        <v>0</v>
      </c>
      <c r="AW422" s="216"/>
      <c r="AX422" s="168">
        <f t="shared" si="110"/>
        <v>0</v>
      </c>
      <c r="AY422" s="216"/>
      <c r="AZ422" s="170">
        <f t="shared" si="111"/>
        <v>0</v>
      </c>
      <c r="BA422" s="216"/>
      <c r="BB422" s="166">
        <f t="shared" si="112"/>
        <v>0</v>
      </c>
    </row>
    <row r="423" spans="1:54" s="131" customFormat="1" ht="31.5">
      <c r="A423" s="172" t="s">
        <v>6860</v>
      </c>
      <c r="B423" s="203" t="s">
        <v>557</v>
      </c>
      <c r="C423" s="203"/>
      <c r="D423" s="203"/>
      <c r="E423" s="203" t="s">
        <v>4308</v>
      </c>
      <c r="F423" s="205" t="s">
        <v>6861</v>
      </c>
      <c r="G423" s="205" t="s">
        <v>6719</v>
      </c>
      <c r="H423" s="204" t="s">
        <v>272</v>
      </c>
      <c r="I423" s="204" t="s">
        <v>11</v>
      </c>
      <c r="J423" s="205" t="s">
        <v>6856</v>
      </c>
      <c r="K423" s="206">
        <v>725</v>
      </c>
      <c r="L423" s="206"/>
      <c r="M423" s="159">
        <f t="shared" si="98"/>
        <v>11500</v>
      </c>
      <c r="N423" s="159"/>
      <c r="O423" s="159"/>
      <c r="P423" s="159"/>
      <c r="Q423" s="159"/>
      <c r="R423" s="159"/>
      <c r="S423" s="149" t="s">
        <v>6716</v>
      </c>
      <c r="T423" s="149" t="s">
        <v>6717</v>
      </c>
      <c r="U423" s="202" t="s">
        <v>4307</v>
      </c>
      <c r="V423" s="204">
        <v>2</v>
      </c>
      <c r="W423" s="203" t="s">
        <v>5104</v>
      </c>
      <c r="X423" s="204" t="s">
        <v>213</v>
      </c>
      <c r="Y423" s="206">
        <v>930</v>
      </c>
      <c r="Z423" s="207">
        <v>200000</v>
      </c>
      <c r="AA423" s="207">
        <f t="shared" si="99"/>
        <v>145000000</v>
      </c>
      <c r="AB423" s="157">
        <v>200000</v>
      </c>
      <c r="AC423" s="158">
        <f t="shared" si="97"/>
        <v>188500</v>
      </c>
      <c r="AD423" s="159">
        <f t="shared" si="100"/>
        <v>8337500</v>
      </c>
      <c r="AE423" s="160"/>
      <c r="AF423" s="160">
        <f t="shared" si="101"/>
        <v>0</v>
      </c>
      <c r="AG423" s="165"/>
      <c r="AH423" s="161">
        <f t="shared" si="102"/>
        <v>0</v>
      </c>
      <c r="AI423" s="162">
        <v>11500</v>
      </c>
      <c r="AJ423" s="162">
        <f t="shared" si="103"/>
        <v>8337500</v>
      </c>
      <c r="AK423" s="164"/>
      <c r="AL423" s="164">
        <f t="shared" si="104"/>
        <v>0</v>
      </c>
      <c r="AM423" s="165"/>
      <c r="AN423" s="165">
        <f t="shared" si="105"/>
        <v>0</v>
      </c>
      <c r="AO423" s="166">
        <v>0</v>
      </c>
      <c r="AP423" s="166">
        <f t="shared" si="106"/>
        <v>0</v>
      </c>
      <c r="AQ423" s="162"/>
      <c r="AR423" s="162">
        <f t="shared" si="107"/>
        <v>0</v>
      </c>
      <c r="AS423" s="173"/>
      <c r="AT423" s="167">
        <f t="shared" si="108"/>
        <v>0</v>
      </c>
      <c r="AU423" s="163"/>
      <c r="AV423" s="163">
        <f t="shared" si="109"/>
        <v>0</v>
      </c>
      <c r="AW423" s="168"/>
      <c r="AX423" s="168">
        <f t="shared" si="110"/>
        <v>0</v>
      </c>
      <c r="AY423" s="170"/>
      <c r="AZ423" s="170">
        <f t="shared" si="111"/>
        <v>0</v>
      </c>
      <c r="BA423" s="166"/>
      <c r="BB423" s="166">
        <f t="shared" si="112"/>
        <v>0</v>
      </c>
    </row>
    <row r="424" spans="1:54" s="131" customFormat="1" ht="31.5">
      <c r="A424" s="148" t="s">
        <v>6862</v>
      </c>
      <c r="B424" s="203" t="s">
        <v>557</v>
      </c>
      <c r="C424" s="203"/>
      <c r="D424" s="203"/>
      <c r="E424" s="203" t="s">
        <v>4310</v>
      </c>
      <c r="F424" s="205" t="s">
        <v>6863</v>
      </c>
      <c r="G424" s="205" t="s">
        <v>6719</v>
      </c>
      <c r="H424" s="204" t="s">
        <v>225</v>
      </c>
      <c r="I424" s="204" t="s">
        <v>11</v>
      </c>
      <c r="J424" s="205" t="s">
        <v>5608</v>
      </c>
      <c r="K424" s="206">
        <v>1390</v>
      </c>
      <c r="L424" s="206"/>
      <c r="M424" s="159">
        <f t="shared" si="98"/>
        <v>4140</v>
      </c>
      <c r="N424" s="159"/>
      <c r="O424" s="159"/>
      <c r="P424" s="159"/>
      <c r="Q424" s="159"/>
      <c r="R424" s="159"/>
      <c r="S424" s="149" t="s">
        <v>6716</v>
      </c>
      <c r="T424" s="149" t="s">
        <v>6717</v>
      </c>
      <c r="U424" s="202" t="s">
        <v>4309</v>
      </c>
      <c r="V424" s="204">
        <v>2</v>
      </c>
      <c r="W424" s="203" t="s">
        <v>5104</v>
      </c>
      <c r="X424" s="204" t="s">
        <v>213</v>
      </c>
      <c r="Y424" s="206">
        <v>1400</v>
      </c>
      <c r="Z424" s="207">
        <v>150000</v>
      </c>
      <c r="AA424" s="207">
        <f t="shared" si="99"/>
        <v>208500000</v>
      </c>
      <c r="AB424" s="157">
        <v>150000</v>
      </c>
      <c r="AC424" s="158">
        <f t="shared" si="97"/>
        <v>145860</v>
      </c>
      <c r="AD424" s="159">
        <f t="shared" si="100"/>
        <v>5754600</v>
      </c>
      <c r="AE424" s="160"/>
      <c r="AF424" s="160">
        <f t="shared" si="101"/>
        <v>0</v>
      </c>
      <c r="AG424" s="165">
        <v>4140</v>
      </c>
      <c r="AH424" s="161">
        <f t="shared" si="102"/>
        <v>5754600</v>
      </c>
      <c r="AI424" s="162"/>
      <c r="AJ424" s="162">
        <f t="shared" si="103"/>
        <v>0</v>
      </c>
      <c r="AK424" s="164"/>
      <c r="AL424" s="164">
        <f t="shared" si="104"/>
        <v>0</v>
      </c>
      <c r="AM424" s="165"/>
      <c r="AN424" s="165">
        <f t="shared" si="105"/>
        <v>0</v>
      </c>
      <c r="AO424" s="166">
        <v>0</v>
      </c>
      <c r="AP424" s="166">
        <f t="shared" si="106"/>
        <v>0</v>
      </c>
      <c r="AQ424" s="162"/>
      <c r="AR424" s="162">
        <f t="shared" si="107"/>
        <v>0</v>
      </c>
      <c r="AS424" s="173"/>
      <c r="AT424" s="167">
        <f t="shared" si="108"/>
        <v>0</v>
      </c>
      <c r="AU424" s="163"/>
      <c r="AV424" s="163">
        <f t="shared" si="109"/>
        <v>0</v>
      </c>
      <c r="AW424" s="168"/>
      <c r="AX424" s="168">
        <f t="shared" si="110"/>
        <v>0</v>
      </c>
      <c r="AY424" s="170"/>
      <c r="AZ424" s="170">
        <f t="shared" si="111"/>
        <v>0</v>
      </c>
      <c r="BA424" s="166"/>
      <c r="BB424" s="166">
        <f t="shared" si="112"/>
        <v>0</v>
      </c>
    </row>
    <row r="425" spans="1:54" s="131" customFormat="1" ht="31.5">
      <c r="A425" s="148" t="s">
        <v>6864</v>
      </c>
      <c r="B425" s="203" t="s">
        <v>6453</v>
      </c>
      <c r="C425" s="203"/>
      <c r="D425" s="203"/>
      <c r="E425" s="203" t="s">
        <v>6866</v>
      </c>
      <c r="F425" s="205" t="s">
        <v>6867</v>
      </c>
      <c r="G425" s="205" t="s">
        <v>6719</v>
      </c>
      <c r="H425" s="204" t="s">
        <v>238</v>
      </c>
      <c r="I425" s="204" t="s">
        <v>11</v>
      </c>
      <c r="J425" s="205" t="s">
        <v>5608</v>
      </c>
      <c r="K425" s="206">
        <v>4400</v>
      </c>
      <c r="L425" s="206"/>
      <c r="M425" s="159">
        <f t="shared" si="98"/>
        <v>0</v>
      </c>
      <c r="N425" s="159"/>
      <c r="O425" s="159"/>
      <c r="P425" s="159"/>
      <c r="Q425" s="159"/>
      <c r="R425" s="159"/>
      <c r="S425" s="149" t="s">
        <v>6716</v>
      </c>
      <c r="T425" s="149" t="s">
        <v>6717</v>
      </c>
      <c r="U425" s="202" t="s">
        <v>6865</v>
      </c>
      <c r="V425" s="204">
        <v>2</v>
      </c>
      <c r="W425" s="203" t="s">
        <v>5104</v>
      </c>
      <c r="X425" s="204" t="s">
        <v>213</v>
      </c>
      <c r="Y425" s="206">
        <v>5000</v>
      </c>
      <c r="Z425" s="207">
        <v>10000</v>
      </c>
      <c r="AA425" s="207">
        <f t="shared" si="99"/>
        <v>44000000</v>
      </c>
      <c r="AB425" s="157">
        <v>10000</v>
      </c>
      <c r="AC425" s="158">
        <f t="shared" si="97"/>
        <v>10000</v>
      </c>
      <c r="AD425" s="159">
        <f t="shared" si="100"/>
        <v>0</v>
      </c>
      <c r="AE425" s="160"/>
      <c r="AF425" s="160">
        <f t="shared" si="101"/>
        <v>0</v>
      </c>
      <c r="AG425" s="165"/>
      <c r="AH425" s="161">
        <f t="shared" si="102"/>
        <v>0</v>
      </c>
      <c r="AI425" s="162"/>
      <c r="AJ425" s="162">
        <f t="shared" si="103"/>
        <v>0</v>
      </c>
      <c r="AK425" s="163"/>
      <c r="AL425" s="164">
        <f t="shared" si="104"/>
        <v>0</v>
      </c>
      <c r="AM425" s="161"/>
      <c r="AN425" s="165">
        <f t="shared" si="105"/>
        <v>0</v>
      </c>
      <c r="AO425" s="160">
        <v>0</v>
      </c>
      <c r="AP425" s="166">
        <f t="shared" si="106"/>
        <v>0</v>
      </c>
      <c r="AQ425" s="162"/>
      <c r="AR425" s="162">
        <f t="shared" si="107"/>
        <v>0</v>
      </c>
      <c r="AS425" s="173"/>
      <c r="AT425" s="167">
        <f t="shared" si="108"/>
        <v>0</v>
      </c>
      <c r="AU425" s="163"/>
      <c r="AV425" s="163">
        <f t="shared" si="109"/>
        <v>0</v>
      </c>
      <c r="AW425" s="162"/>
      <c r="AX425" s="168">
        <f t="shared" si="110"/>
        <v>0</v>
      </c>
      <c r="AY425" s="169"/>
      <c r="AZ425" s="170">
        <f t="shared" si="111"/>
        <v>0</v>
      </c>
      <c r="BA425" s="160"/>
      <c r="BB425" s="166">
        <f t="shared" si="112"/>
        <v>0</v>
      </c>
    </row>
    <row r="426" spans="1:54" s="131" customFormat="1" ht="31.5">
      <c r="A426" s="172" t="s">
        <v>6868</v>
      </c>
      <c r="B426" s="203" t="s">
        <v>868</v>
      </c>
      <c r="C426" s="203"/>
      <c r="D426" s="203"/>
      <c r="E426" s="203" t="s">
        <v>1651</v>
      </c>
      <c r="F426" s="205" t="s">
        <v>1653</v>
      </c>
      <c r="G426" s="205" t="s">
        <v>6552</v>
      </c>
      <c r="H426" s="204" t="s">
        <v>869</v>
      </c>
      <c r="I426" s="204" t="s">
        <v>11</v>
      </c>
      <c r="J426" s="205" t="s">
        <v>6869</v>
      </c>
      <c r="K426" s="206">
        <v>860</v>
      </c>
      <c r="L426" s="206"/>
      <c r="M426" s="159">
        <f t="shared" si="98"/>
        <v>0</v>
      </c>
      <c r="N426" s="159"/>
      <c r="O426" s="159"/>
      <c r="P426" s="159"/>
      <c r="Q426" s="159"/>
      <c r="R426" s="159"/>
      <c r="S426" s="150" t="s">
        <v>5301</v>
      </c>
      <c r="T426" s="150" t="s">
        <v>5302</v>
      </c>
      <c r="U426" s="202" t="s">
        <v>4315</v>
      </c>
      <c r="V426" s="204">
        <v>2</v>
      </c>
      <c r="W426" s="203" t="s">
        <v>5104</v>
      </c>
      <c r="X426" s="204" t="s">
        <v>213</v>
      </c>
      <c r="Y426" s="206">
        <v>1650</v>
      </c>
      <c r="Z426" s="207">
        <v>40000</v>
      </c>
      <c r="AA426" s="207">
        <f t="shared" si="99"/>
        <v>34400000</v>
      </c>
      <c r="AB426" s="157">
        <v>40000</v>
      </c>
      <c r="AC426" s="158">
        <f t="shared" si="97"/>
        <v>40000</v>
      </c>
      <c r="AD426" s="159">
        <f t="shared" si="100"/>
        <v>0</v>
      </c>
      <c r="AE426" s="160"/>
      <c r="AF426" s="160">
        <f t="shared" si="101"/>
        <v>0</v>
      </c>
      <c r="AG426" s="165"/>
      <c r="AH426" s="161">
        <f t="shared" si="102"/>
        <v>0</v>
      </c>
      <c r="AI426" s="162"/>
      <c r="AJ426" s="162">
        <f t="shared" si="103"/>
        <v>0</v>
      </c>
      <c r="AK426" s="164"/>
      <c r="AL426" s="164">
        <f t="shared" si="104"/>
        <v>0</v>
      </c>
      <c r="AM426" s="165"/>
      <c r="AN426" s="165">
        <f t="shared" si="105"/>
        <v>0</v>
      </c>
      <c r="AO426" s="166">
        <v>0</v>
      </c>
      <c r="AP426" s="166">
        <f t="shared" si="106"/>
        <v>0</v>
      </c>
      <c r="AQ426" s="162"/>
      <c r="AR426" s="162">
        <f t="shared" si="107"/>
        <v>0</v>
      </c>
      <c r="AS426" s="173"/>
      <c r="AT426" s="167">
        <f t="shared" si="108"/>
        <v>0</v>
      </c>
      <c r="AU426" s="163"/>
      <c r="AV426" s="163">
        <f t="shared" si="109"/>
        <v>0</v>
      </c>
      <c r="AW426" s="168"/>
      <c r="AX426" s="168">
        <f t="shared" si="110"/>
        <v>0</v>
      </c>
      <c r="AY426" s="170"/>
      <c r="AZ426" s="170">
        <f t="shared" si="111"/>
        <v>0</v>
      </c>
      <c r="BA426" s="166"/>
      <c r="BB426" s="166">
        <f t="shared" si="112"/>
        <v>0</v>
      </c>
    </row>
    <row r="427" spans="1:54" s="131" customFormat="1" ht="31.5">
      <c r="A427" s="148" t="s">
        <v>6870</v>
      </c>
      <c r="B427" s="203" t="s">
        <v>868</v>
      </c>
      <c r="C427" s="203"/>
      <c r="D427" s="203"/>
      <c r="E427" s="203" t="s">
        <v>1654</v>
      </c>
      <c r="F427" s="205" t="s">
        <v>1655</v>
      </c>
      <c r="G427" s="205" t="s">
        <v>6552</v>
      </c>
      <c r="H427" s="204" t="s">
        <v>1340</v>
      </c>
      <c r="I427" s="204" t="s">
        <v>11</v>
      </c>
      <c r="J427" s="205" t="s">
        <v>6550</v>
      </c>
      <c r="K427" s="206">
        <v>875</v>
      </c>
      <c r="L427" s="206"/>
      <c r="M427" s="159">
        <f t="shared" si="98"/>
        <v>0</v>
      </c>
      <c r="N427" s="159"/>
      <c r="O427" s="159"/>
      <c r="P427" s="159"/>
      <c r="Q427" s="159"/>
      <c r="R427" s="159"/>
      <c r="S427" s="150" t="s">
        <v>5301</v>
      </c>
      <c r="T427" s="150" t="s">
        <v>5302</v>
      </c>
      <c r="U427" s="202" t="s">
        <v>4020</v>
      </c>
      <c r="V427" s="204">
        <v>2</v>
      </c>
      <c r="W427" s="203" t="s">
        <v>5104</v>
      </c>
      <c r="X427" s="204" t="s">
        <v>213</v>
      </c>
      <c r="Y427" s="206">
        <v>1800</v>
      </c>
      <c r="Z427" s="207">
        <v>50000</v>
      </c>
      <c r="AA427" s="207">
        <f t="shared" si="99"/>
        <v>43750000</v>
      </c>
      <c r="AB427" s="157">
        <v>50000</v>
      </c>
      <c r="AC427" s="158">
        <f t="shared" si="97"/>
        <v>50000</v>
      </c>
      <c r="AD427" s="159">
        <f t="shared" si="100"/>
        <v>0</v>
      </c>
      <c r="AE427" s="160"/>
      <c r="AF427" s="160">
        <f t="shared" si="101"/>
        <v>0</v>
      </c>
      <c r="AG427" s="165"/>
      <c r="AH427" s="161">
        <f t="shared" si="102"/>
        <v>0</v>
      </c>
      <c r="AI427" s="162"/>
      <c r="AJ427" s="162">
        <f t="shared" si="103"/>
        <v>0</v>
      </c>
      <c r="AK427" s="164"/>
      <c r="AL427" s="164">
        <f t="shared" si="104"/>
        <v>0</v>
      </c>
      <c r="AM427" s="165"/>
      <c r="AN427" s="165">
        <f t="shared" si="105"/>
        <v>0</v>
      </c>
      <c r="AO427" s="166">
        <v>0</v>
      </c>
      <c r="AP427" s="166">
        <f t="shared" si="106"/>
        <v>0</v>
      </c>
      <c r="AQ427" s="162"/>
      <c r="AR427" s="162">
        <f t="shared" si="107"/>
        <v>0</v>
      </c>
      <c r="AS427" s="173"/>
      <c r="AT427" s="167">
        <f t="shared" si="108"/>
        <v>0</v>
      </c>
      <c r="AU427" s="163"/>
      <c r="AV427" s="163">
        <f t="shared" si="109"/>
        <v>0</v>
      </c>
      <c r="AW427" s="168"/>
      <c r="AX427" s="168">
        <f t="shared" si="110"/>
        <v>0</v>
      </c>
      <c r="AY427" s="170"/>
      <c r="AZ427" s="170">
        <f t="shared" si="111"/>
        <v>0</v>
      </c>
      <c r="BA427" s="166"/>
      <c r="BB427" s="166">
        <f t="shared" si="112"/>
        <v>0</v>
      </c>
    </row>
    <row r="428" spans="1:54" s="131" customFormat="1" ht="31.5">
      <c r="A428" s="148" t="s">
        <v>6871</v>
      </c>
      <c r="B428" s="203" t="s">
        <v>6873</v>
      </c>
      <c r="C428" s="203"/>
      <c r="D428" s="203"/>
      <c r="E428" s="203" t="s">
        <v>6875</v>
      </c>
      <c r="F428" s="205" t="s">
        <v>6877</v>
      </c>
      <c r="G428" s="205" t="s">
        <v>6878</v>
      </c>
      <c r="H428" s="204" t="s">
        <v>6874</v>
      </c>
      <c r="I428" s="204" t="s">
        <v>658</v>
      </c>
      <c r="J428" s="205" t="s">
        <v>6876</v>
      </c>
      <c r="K428" s="206">
        <v>150000</v>
      </c>
      <c r="L428" s="206"/>
      <c r="M428" s="159">
        <f t="shared" si="98"/>
        <v>0</v>
      </c>
      <c r="N428" s="159"/>
      <c r="O428" s="159"/>
      <c r="P428" s="159"/>
      <c r="Q428" s="159"/>
      <c r="R428" s="159"/>
      <c r="S428" s="149" t="s">
        <v>6177</v>
      </c>
      <c r="T428" s="149" t="s">
        <v>6178</v>
      </c>
      <c r="U428" s="202" t="s">
        <v>6872</v>
      </c>
      <c r="V428" s="204">
        <v>2</v>
      </c>
      <c r="W428" s="203" t="s">
        <v>253</v>
      </c>
      <c r="X428" s="204" t="s">
        <v>6879</v>
      </c>
      <c r="Y428" s="206">
        <v>150000</v>
      </c>
      <c r="Z428" s="207">
        <v>1000</v>
      </c>
      <c r="AA428" s="207">
        <f t="shared" si="99"/>
        <v>150000000</v>
      </c>
      <c r="AB428" s="157">
        <v>1000</v>
      </c>
      <c r="AC428" s="158">
        <f t="shared" ref="AC428:AC491" si="113">AB428-M428</f>
        <v>1000</v>
      </c>
      <c r="AD428" s="159">
        <f t="shared" si="100"/>
        <v>0</v>
      </c>
      <c r="AE428" s="160"/>
      <c r="AF428" s="160">
        <f t="shared" si="101"/>
        <v>0</v>
      </c>
      <c r="AG428" s="165"/>
      <c r="AH428" s="161">
        <f t="shared" si="102"/>
        <v>0</v>
      </c>
      <c r="AI428" s="162"/>
      <c r="AJ428" s="162">
        <f t="shared" si="103"/>
        <v>0</v>
      </c>
      <c r="AK428" s="164"/>
      <c r="AL428" s="164">
        <f t="shared" si="104"/>
        <v>0</v>
      </c>
      <c r="AM428" s="165"/>
      <c r="AN428" s="165">
        <f t="shared" si="105"/>
        <v>0</v>
      </c>
      <c r="AO428" s="166">
        <v>0</v>
      </c>
      <c r="AP428" s="166">
        <f t="shared" si="106"/>
        <v>0</v>
      </c>
      <c r="AQ428" s="162"/>
      <c r="AR428" s="162">
        <f t="shared" si="107"/>
        <v>0</v>
      </c>
      <c r="AS428" s="173"/>
      <c r="AT428" s="167">
        <f t="shared" si="108"/>
        <v>0</v>
      </c>
      <c r="AU428" s="163"/>
      <c r="AV428" s="163">
        <f t="shared" si="109"/>
        <v>0</v>
      </c>
      <c r="AW428" s="168"/>
      <c r="AX428" s="168">
        <f t="shared" si="110"/>
        <v>0</v>
      </c>
      <c r="AY428" s="170"/>
      <c r="AZ428" s="170">
        <f t="shared" si="111"/>
        <v>0</v>
      </c>
      <c r="BA428" s="166"/>
      <c r="BB428" s="166">
        <f t="shared" si="112"/>
        <v>0</v>
      </c>
    </row>
    <row r="429" spans="1:54" s="131" customFormat="1">
      <c r="A429" s="172" t="s">
        <v>6880</v>
      </c>
      <c r="B429" s="203" t="s">
        <v>939</v>
      </c>
      <c r="C429" s="203"/>
      <c r="D429" s="203"/>
      <c r="E429" s="203" t="s">
        <v>6883</v>
      </c>
      <c r="F429" s="205" t="s">
        <v>6885</v>
      </c>
      <c r="G429" s="205" t="s">
        <v>6886</v>
      </c>
      <c r="H429" s="204" t="s">
        <v>6882</v>
      </c>
      <c r="I429" s="204" t="s">
        <v>520</v>
      </c>
      <c r="J429" s="205" t="s">
        <v>6884</v>
      </c>
      <c r="K429" s="206">
        <v>30870</v>
      </c>
      <c r="L429" s="206"/>
      <c r="M429" s="159">
        <f t="shared" si="98"/>
        <v>0</v>
      </c>
      <c r="N429" s="159"/>
      <c r="O429" s="159"/>
      <c r="P429" s="159"/>
      <c r="Q429" s="159"/>
      <c r="R429" s="159"/>
      <c r="S429" s="149" t="s">
        <v>5927</v>
      </c>
      <c r="T429" s="149" t="s">
        <v>5928</v>
      </c>
      <c r="U429" s="202" t="s">
        <v>6881</v>
      </c>
      <c r="V429" s="204">
        <v>2</v>
      </c>
      <c r="W429" s="203" t="s">
        <v>253</v>
      </c>
      <c r="X429" s="204" t="s">
        <v>6658</v>
      </c>
      <c r="Y429" s="206">
        <v>33992</v>
      </c>
      <c r="Z429" s="207">
        <v>1000</v>
      </c>
      <c r="AA429" s="207">
        <f t="shared" si="99"/>
        <v>30870000</v>
      </c>
      <c r="AB429" s="157">
        <v>1000</v>
      </c>
      <c r="AC429" s="158">
        <f t="shared" si="113"/>
        <v>1000</v>
      </c>
      <c r="AD429" s="159">
        <f t="shared" si="100"/>
        <v>0</v>
      </c>
      <c r="AE429" s="160"/>
      <c r="AF429" s="160">
        <f t="shared" si="101"/>
        <v>0</v>
      </c>
      <c r="AG429" s="165"/>
      <c r="AH429" s="161">
        <f t="shared" si="102"/>
        <v>0</v>
      </c>
      <c r="AI429" s="162"/>
      <c r="AJ429" s="162">
        <f t="shared" si="103"/>
        <v>0</v>
      </c>
      <c r="AK429" s="163"/>
      <c r="AL429" s="164">
        <f t="shared" si="104"/>
        <v>0</v>
      </c>
      <c r="AM429" s="161"/>
      <c r="AN429" s="165">
        <f t="shared" si="105"/>
        <v>0</v>
      </c>
      <c r="AO429" s="160">
        <v>0</v>
      </c>
      <c r="AP429" s="166">
        <f t="shared" si="106"/>
        <v>0</v>
      </c>
      <c r="AQ429" s="162"/>
      <c r="AR429" s="162">
        <f t="shared" si="107"/>
        <v>0</v>
      </c>
      <c r="AS429" s="173"/>
      <c r="AT429" s="167">
        <f t="shared" si="108"/>
        <v>0</v>
      </c>
      <c r="AU429" s="163"/>
      <c r="AV429" s="163">
        <f t="shared" si="109"/>
        <v>0</v>
      </c>
      <c r="AW429" s="162"/>
      <c r="AX429" s="168">
        <f t="shared" si="110"/>
        <v>0</v>
      </c>
      <c r="AY429" s="169"/>
      <c r="AZ429" s="170">
        <f t="shared" si="111"/>
        <v>0</v>
      </c>
      <c r="BA429" s="160"/>
      <c r="BB429" s="166">
        <f t="shared" si="112"/>
        <v>0</v>
      </c>
    </row>
    <row r="430" spans="1:54" s="131" customFormat="1" ht="112.5">
      <c r="A430" s="148" t="s">
        <v>6887</v>
      </c>
      <c r="B430" s="203" t="s">
        <v>1397</v>
      </c>
      <c r="C430" s="203"/>
      <c r="D430" s="203"/>
      <c r="E430" s="203" t="s">
        <v>6888</v>
      </c>
      <c r="F430" s="205" t="s">
        <v>6889</v>
      </c>
      <c r="G430" s="205" t="s">
        <v>6102</v>
      </c>
      <c r="H430" s="204" t="s">
        <v>291</v>
      </c>
      <c r="I430" s="204" t="s">
        <v>11</v>
      </c>
      <c r="J430" s="205" t="s">
        <v>5852</v>
      </c>
      <c r="K430" s="206">
        <v>450</v>
      </c>
      <c r="L430" s="206"/>
      <c r="M430" s="159">
        <f t="shared" si="98"/>
        <v>0</v>
      </c>
      <c r="N430" s="159"/>
      <c r="O430" s="159"/>
      <c r="P430" s="159"/>
      <c r="Q430" s="159"/>
      <c r="R430" s="159"/>
      <c r="S430" s="209" t="s">
        <v>5848</v>
      </c>
      <c r="T430" s="203" t="s">
        <v>5849</v>
      </c>
      <c r="U430" s="202" t="s">
        <v>4353</v>
      </c>
      <c r="V430" s="204">
        <v>2</v>
      </c>
      <c r="W430" s="203" t="s">
        <v>253</v>
      </c>
      <c r="X430" s="204" t="s">
        <v>213</v>
      </c>
      <c r="Y430" s="206">
        <v>560</v>
      </c>
      <c r="Z430" s="207">
        <v>50000</v>
      </c>
      <c r="AA430" s="207">
        <f t="shared" si="99"/>
        <v>22500000</v>
      </c>
      <c r="AB430" s="157">
        <v>50000</v>
      </c>
      <c r="AC430" s="158">
        <f t="shared" si="113"/>
        <v>50000</v>
      </c>
      <c r="AD430" s="159">
        <f t="shared" si="100"/>
        <v>0</v>
      </c>
      <c r="AE430" s="160"/>
      <c r="AF430" s="160">
        <f t="shared" si="101"/>
        <v>0</v>
      </c>
      <c r="AG430" s="165"/>
      <c r="AH430" s="161">
        <f t="shared" si="102"/>
        <v>0</v>
      </c>
      <c r="AI430" s="162"/>
      <c r="AJ430" s="162">
        <f t="shared" si="103"/>
        <v>0</v>
      </c>
      <c r="AK430" s="164"/>
      <c r="AL430" s="164">
        <f t="shared" si="104"/>
        <v>0</v>
      </c>
      <c r="AM430" s="165"/>
      <c r="AN430" s="165">
        <f t="shared" si="105"/>
        <v>0</v>
      </c>
      <c r="AO430" s="166">
        <v>0</v>
      </c>
      <c r="AP430" s="166">
        <f t="shared" si="106"/>
        <v>0</v>
      </c>
      <c r="AQ430" s="162"/>
      <c r="AR430" s="162">
        <f t="shared" si="107"/>
        <v>0</v>
      </c>
      <c r="AS430" s="173"/>
      <c r="AT430" s="167">
        <f t="shared" si="108"/>
        <v>0</v>
      </c>
      <c r="AU430" s="163"/>
      <c r="AV430" s="163">
        <f t="shared" si="109"/>
        <v>0</v>
      </c>
      <c r="AW430" s="168"/>
      <c r="AX430" s="168">
        <f t="shared" si="110"/>
        <v>0</v>
      </c>
      <c r="AY430" s="170"/>
      <c r="AZ430" s="170">
        <f t="shared" si="111"/>
        <v>0</v>
      </c>
      <c r="BA430" s="166"/>
      <c r="BB430" s="166">
        <f t="shared" si="112"/>
        <v>0</v>
      </c>
    </row>
    <row r="431" spans="1:54" s="131" customFormat="1" ht="31.5">
      <c r="A431" s="148" t="s">
        <v>6890</v>
      </c>
      <c r="B431" s="203" t="s">
        <v>2449</v>
      </c>
      <c r="C431" s="203"/>
      <c r="D431" s="203"/>
      <c r="E431" s="203" t="s">
        <v>6892</v>
      </c>
      <c r="F431" s="205" t="s">
        <v>6895</v>
      </c>
      <c r="G431" s="205" t="s">
        <v>6536</v>
      </c>
      <c r="H431" s="204" t="s">
        <v>238</v>
      </c>
      <c r="I431" s="204" t="s">
        <v>11</v>
      </c>
      <c r="J431" s="205" t="s">
        <v>6893</v>
      </c>
      <c r="K431" s="206">
        <v>2940</v>
      </c>
      <c r="L431" s="206"/>
      <c r="M431" s="159">
        <f t="shared" si="98"/>
        <v>0</v>
      </c>
      <c r="N431" s="159"/>
      <c r="O431" s="159"/>
      <c r="P431" s="159"/>
      <c r="Q431" s="159"/>
      <c r="R431" s="159"/>
      <c r="S431" s="149" t="s">
        <v>5530</v>
      </c>
      <c r="T431" s="149" t="s">
        <v>5531</v>
      </c>
      <c r="U431" s="202" t="s">
        <v>6891</v>
      </c>
      <c r="V431" s="204">
        <v>2</v>
      </c>
      <c r="W431" s="203" t="s">
        <v>6894</v>
      </c>
      <c r="X431" s="204" t="s">
        <v>213</v>
      </c>
      <c r="Y431" s="206">
        <v>4200</v>
      </c>
      <c r="Z431" s="207">
        <v>5000</v>
      </c>
      <c r="AA431" s="207">
        <f t="shared" si="99"/>
        <v>14700000</v>
      </c>
      <c r="AB431" s="157">
        <v>5000</v>
      </c>
      <c r="AC431" s="158">
        <f t="shared" si="113"/>
        <v>5000</v>
      </c>
      <c r="AD431" s="159">
        <f t="shared" si="100"/>
        <v>0</v>
      </c>
      <c r="AE431" s="160"/>
      <c r="AF431" s="160">
        <f t="shared" si="101"/>
        <v>0</v>
      </c>
      <c r="AG431" s="165"/>
      <c r="AH431" s="161">
        <f t="shared" si="102"/>
        <v>0</v>
      </c>
      <c r="AI431" s="162"/>
      <c r="AJ431" s="162">
        <f t="shared" si="103"/>
        <v>0</v>
      </c>
      <c r="AK431" s="163"/>
      <c r="AL431" s="164">
        <f t="shared" si="104"/>
        <v>0</v>
      </c>
      <c r="AM431" s="161"/>
      <c r="AN431" s="165">
        <f t="shared" si="105"/>
        <v>0</v>
      </c>
      <c r="AO431" s="160">
        <v>0</v>
      </c>
      <c r="AP431" s="166">
        <f t="shared" si="106"/>
        <v>0</v>
      </c>
      <c r="AQ431" s="162"/>
      <c r="AR431" s="162">
        <f t="shared" si="107"/>
        <v>0</v>
      </c>
      <c r="AS431" s="173"/>
      <c r="AT431" s="167">
        <f t="shared" si="108"/>
        <v>0</v>
      </c>
      <c r="AU431" s="163"/>
      <c r="AV431" s="163">
        <f t="shared" si="109"/>
        <v>0</v>
      </c>
      <c r="AW431" s="162"/>
      <c r="AX431" s="168">
        <f t="shared" si="110"/>
        <v>0</v>
      </c>
      <c r="AY431" s="169"/>
      <c r="AZ431" s="170">
        <f t="shared" si="111"/>
        <v>0</v>
      </c>
      <c r="BA431" s="160"/>
      <c r="BB431" s="166">
        <f t="shared" si="112"/>
        <v>0</v>
      </c>
    </row>
    <row r="432" spans="1:54" s="131" customFormat="1" ht="31.5">
      <c r="A432" s="172" t="s">
        <v>6896</v>
      </c>
      <c r="B432" s="203" t="s">
        <v>1241</v>
      </c>
      <c r="C432" s="203"/>
      <c r="D432" s="203"/>
      <c r="E432" s="203" t="s">
        <v>6898</v>
      </c>
      <c r="F432" s="205" t="s">
        <v>6900</v>
      </c>
      <c r="G432" s="205" t="s">
        <v>621</v>
      </c>
      <c r="H432" s="204" t="s">
        <v>390</v>
      </c>
      <c r="I432" s="204" t="s">
        <v>12</v>
      </c>
      <c r="J432" s="205" t="s">
        <v>6899</v>
      </c>
      <c r="K432" s="206">
        <v>2100</v>
      </c>
      <c r="L432" s="206"/>
      <c r="M432" s="159">
        <f t="shared" si="98"/>
        <v>0</v>
      </c>
      <c r="N432" s="159"/>
      <c r="O432" s="159"/>
      <c r="P432" s="159"/>
      <c r="Q432" s="159"/>
      <c r="R432" s="159"/>
      <c r="S432" s="149" t="s">
        <v>5830</v>
      </c>
      <c r="T432" s="149" t="s">
        <v>5831</v>
      </c>
      <c r="U432" s="202" t="s">
        <v>6897</v>
      </c>
      <c r="V432" s="204">
        <v>3</v>
      </c>
      <c r="W432" s="203" t="s">
        <v>253</v>
      </c>
      <c r="X432" s="204" t="s">
        <v>213</v>
      </c>
      <c r="Y432" s="206">
        <v>5000</v>
      </c>
      <c r="Z432" s="207">
        <v>40000</v>
      </c>
      <c r="AA432" s="207">
        <f t="shared" si="99"/>
        <v>84000000</v>
      </c>
      <c r="AB432" s="157">
        <v>40000</v>
      </c>
      <c r="AC432" s="158">
        <f t="shared" si="113"/>
        <v>40000</v>
      </c>
      <c r="AD432" s="159">
        <f t="shared" si="100"/>
        <v>0</v>
      </c>
      <c r="AE432" s="160"/>
      <c r="AF432" s="160">
        <f t="shared" si="101"/>
        <v>0</v>
      </c>
      <c r="AG432" s="165"/>
      <c r="AH432" s="161">
        <f t="shared" si="102"/>
        <v>0</v>
      </c>
      <c r="AI432" s="162"/>
      <c r="AJ432" s="162">
        <f t="shared" si="103"/>
        <v>0</v>
      </c>
      <c r="AK432" s="164"/>
      <c r="AL432" s="164">
        <f t="shared" si="104"/>
        <v>0</v>
      </c>
      <c r="AM432" s="165"/>
      <c r="AN432" s="165">
        <f t="shared" si="105"/>
        <v>0</v>
      </c>
      <c r="AO432" s="166">
        <v>0</v>
      </c>
      <c r="AP432" s="166">
        <f t="shared" si="106"/>
        <v>0</v>
      </c>
      <c r="AQ432" s="162"/>
      <c r="AR432" s="162">
        <f t="shared" si="107"/>
        <v>0</v>
      </c>
      <c r="AS432" s="173"/>
      <c r="AT432" s="167">
        <f t="shared" si="108"/>
        <v>0</v>
      </c>
      <c r="AU432" s="163"/>
      <c r="AV432" s="163">
        <f t="shared" si="109"/>
        <v>0</v>
      </c>
      <c r="AW432" s="168"/>
      <c r="AX432" s="168">
        <f t="shared" si="110"/>
        <v>0</v>
      </c>
      <c r="AY432" s="170"/>
      <c r="AZ432" s="170">
        <f t="shared" si="111"/>
        <v>0</v>
      </c>
      <c r="BA432" s="166"/>
      <c r="BB432" s="166">
        <f t="shared" si="112"/>
        <v>0</v>
      </c>
    </row>
    <row r="433" spans="1:54" s="131" customFormat="1" ht="31.5">
      <c r="A433" s="148" t="s">
        <v>6901</v>
      </c>
      <c r="B433" s="203" t="s">
        <v>1526</v>
      </c>
      <c r="C433" s="203"/>
      <c r="D433" s="203"/>
      <c r="E433" s="203" t="s">
        <v>6904</v>
      </c>
      <c r="F433" s="205" t="s">
        <v>6906</v>
      </c>
      <c r="G433" s="205" t="s">
        <v>6907</v>
      </c>
      <c r="H433" s="204" t="s">
        <v>6903</v>
      </c>
      <c r="I433" s="204" t="s">
        <v>520</v>
      </c>
      <c r="J433" s="205" t="s">
        <v>6905</v>
      </c>
      <c r="K433" s="206">
        <v>4410</v>
      </c>
      <c r="L433" s="206"/>
      <c r="M433" s="159">
        <f t="shared" si="98"/>
        <v>0</v>
      </c>
      <c r="N433" s="159"/>
      <c r="O433" s="159"/>
      <c r="P433" s="159"/>
      <c r="Q433" s="159"/>
      <c r="R433" s="159"/>
      <c r="S433" s="149" t="s">
        <v>5830</v>
      </c>
      <c r="T433" s="149" t="s">
        <v>5831</v>
      </c>
      <c r="U433" s="202" t="s">
        <v>6902</v>
      </c>
      <c r="V433" s="204">
        <v>3</v>
      </c>
      <c r="W433" s="203" t="s">
        <v>5104</v>
      </c>
      <c r="X433" s="204" t="s">
        <v>213</v>
      </c>
      <c r="Y433" s="206">
        <v>4500</v>
      </c>
      <c r="Z433" s="207">
        <v>5000</v>
      </c>
      <c r="AA433" s="207">
        <f t="shared" si="99"/>
        <v>22050000</v>
      </c>
      <c r="AB433" s="157">
        <v>5000</v>
      </c>
      <c r="AC433" s="158">
        <f t="shared" si="113"/>
        <v>5000</v>
      </c>
      <c r="AD433" s="159">
        <f t="shared" si="100"/>
        <v>0</v>
      </c>
      <c r="AE433" s="160"/>
      <c r="AF433" s="160">
        <f t="shared" si="101"/>
        <v>0</v>
      </c>
      <c r="AG433" s="165"/>
      <c r="AH433" s="161">
        <f t="shared" si="102"/>
        <v>0</v>
      </c>
      <c r="AI433" s="162"/>
      <c r="AJ433" s="162">
        <f t="shared" si="103"/>
        <v>0</v>
      </c>
      <c r="AK433" s="164"/>
      <c r="AL433" s="164">
        <f t="shared" si="104"/>
        <v>0</v>
      </c>
      <c r="AM433" s="165"/>
      <c r="AN433" s="165">
        <f t="shared" si="105"/>
        <v>0</v>
      </c>
      <c r="AO433" s="166">
        <v>0</v>
      </c>
      <c r="AP433" s="166">
        <f t="shared" si="106"/>
        <v>0</v>
      </c>
      <c r="AQ433" s="162"/>
      <c r="AR433" s="162">
        <f t="shared" si="107"/>
        <v>0</v>
      </c>
      <c r="AS433" s="173"/>
      <c r="AT433" s="167">
        <f t="shared" si="108"/>
        <v>0</v>
      </c>
      <c r="AU433" s="163"/>
      <c r="AV433" s="163">
        <f t="shared" si="109"/>
        <v>0</v>
      </c>
      <c r="AW433" s="168"/>
      <c r="AX433" s="168">
        <f t="shared" si="110"/>
        <v>0</v>
      </c>
      <c r="AY433" s="170"/>
      <c r="AZ433" s="170">
        <f t="shared" si="111"/>
        <v>0</v>
      </c>
      <c r="BA433" s="166"/>
      <c r="BB433" s="166">
        <f t="shared" si="112"/>
        <v>0</v>
      </c>
    </row>
    <row r="434" spans="1:54" s="131" customFormat="1" ht="31.5">
      <c r="A434" s="148" t="s">
        <v>6908</v>
      </c>
      <c r="B434" s="203" t="s">
        <v>1526</v>
      </c>
      <c r="C434" s="203"/>
      <c r="D434" s="203"/>
      <c r="E434" s="203" t="s">
        <v>6910</v>
      </c>
      <c r="F434" s="205" t="s">
        <v>3507</v>
      </c>
      <c r="G434" s="205" t="s">
        <v>6907</v>
      </c>
      <c r="H434" s="204" t="s">
        <v>5755</v>
      </c>
      <c r="I434" s="204" t="s">
        <v>520</v>
      </c>
      <c r="J434" s="205" t="s">
        <v>6905</v>
      </c>
      <c r="K434" s="206">
        <v>8400</v>
      </c>
      <c r="L434" s="206"/>
      <c r="M434" s="159">
        <f t="shared" si="98"/>
        <v>0</v>
      </c>
      <c r="N434" s="159"/>
      <c r="O434" s="159"/>
      <c r="P434" s="159"/>
      <c r="Q434" s="159"/>
      <c r="R434" s="159"/>
      <c r="S434" s="149" t="s">
        <v>5830</v>
      </c>
      <c r="T434" s="149" t="s">
        <v>5831</v>
      </c>
      <c r="U434" s="202" t="s">
        <v>6909</v>
      </c>
      <c r="V434" s="204">
        <v>3</v>
      </c>
      <c r="W434" s="203" t="s">
        <v>5104</v>
      </c>
      <c r="X434" s="204" t="s">
        <v>213</v>
      </c>
      <c r="Y434" s="206">
        <v>8500</v>
      </c>
      <c r="Z434" s="207">
        <v>5000</v>
      </c>
      <c r="AA434" s="207">
        <f t="shared" si="99"/>
        <v>42000000</v>
      </c>
      <c r="AB434" s="157">
        <v>5000</v>
      </c>
      <c r="AC434" s="158">
        <f t="shared" si="113"/>
        <v>5000</v>
      </c>
      <c r="AD434" s="159">
        <f t="shared" si="100"/>
        <v>0</v>
      </c>
      <c r="AE434" s="160"/>
      <c r="AF434" s="160">
        <f t="shared" si="101"/>
        <v>0</v>
      </c>
      <c r="AG434" s="165"/>
      <c r="AH434" s="161">
        <f t="shared" si="102"/>
        <v>0</v>
      </c>
      <c r="AI434" s="162"/>
      <c r="AJ434" s="162">
        <f t="shared" si="103"/>
        <v>0</v>
      </c>
      <c r="AK434" s="164"/>
      <c r="AL434" s="164">
        <f t="shared" si="104"/>
        <v>0</v>
      </c>
      <c r="AM434" s="165"/>
      <c r="AN434" s="165">
        <f t="shared" si="105"/>
        <v>0</v>
      </c>
      <c r="AO434" s="166">
        <v>0</v>
      </c>
      <c r="AP434" s="166">
        <f t="shared" si="106"/>
        <v>0</v>
      </c>
      <c r="AQ434" s="162"/>
      <c r="AR434" s="162">
        <f t="shared" si="107"/>
        <v>0</v>
      </c>
      <c r="AS434" s="173"/>
      <c r="AT434" s="167">
        <f t="shared" si="108"/>
        <v>0</v>
      </c>
      <c r="AU434" s="163"/>
      <c r="AV434" s="163">
        <f t="shared" si="109"/>
        <v>0</v>
      </c>
      <c r="AW434" s="168"/>
      <c r="AX434" s="168">
        <f t="shared" si="110"/>
        <v>0</v>
      </c>
      <c r="AY434" s="170"/>
      <c r="AZ434" s="170">
        <f t="shared" si="111"/>
        <v>0</v>
      </c>
      <c r="BA434" s="166"/>
      <c r="BB434" s="166">
        <f t="shared" si="112"/>
        <v>0</v>
      </c>
    </row>
    <row r="435" spans="1:54" s="131" customFormat="1" ht="31.5">
      <c r="A435" s="172" t="s">
        <v>6911</v>
      </c>
      <c r="B435" s="203" t="s">
        <v>5630</v>
      </c>
      <c r="C435" s="203"/>
      <c r="D435" s="203"/>
      <c r="E435" s="203" t="s">
        <v>6914</v>
      </c>
      <c r="F435" s="205" t="s">
        <v>6916</v>
      </c>
      <c r="G435" s="205" t="s">
        <v>6907</v>
      </c>
      <c r="H435" s="204" t="s">
        <v>6913</v>
      </c>
      <c r="I435" s="204" t="s">
        <v>658</v>
      </c>
      <c r="J435" s="205" t="s">
        <v>6915</v>
      </c>
      <c r="K435" s="206">
        <v>12600</v>
      </c>
      <c r="L435" s="206"/>
      <c r="M435" s="159">
        <f t="shared" si="98"/>
        <v>0</v>
      </c>
      <c r="N435" s="159"/>
      <c r="O435" s="159"/>
      <c r="P435" s="159"/>
      <c r="Q435" s="159"/>
      <c r="R435" s="159"/>
      <c r="S435" s="149" t="s">
        <v>5830</v>
      </c>
      <c r="T435" s="149" t="s">
        <v>5831</v>
      </c>
      <c r="U435" s="202" t="s">
        <v>6912</v>
      </c>
      <c r="V435" s="204">
        <v>3</v>
      </c>
      <c r="W435" s="203" t="s">
        <v>253</v>
      </c>
      <c r="X435" s="204" t="s">
        <v>213</v>
      </c>
      <c r="Y435" s="206">
        <v>14000</v>
      </c>
      <c r="Z435" s="207">
        <v>3000</v>
      </c>
      <c r="AA435" s="207">
        <f t="shared" si="99"/>
        <v>37800000</v>
      </c>
      <c r="AB435" s="157">
        <v>3000</v>
      </c>
      <c r="AC435" s="158">
        <f t="shared" si="113"/>
        <v>3000</v>
      </c>
      <c r="AD435" s="159">
        <f t="shared" si="100"/>
        <v>0</v>
      </c>
      <c r="AE435" s="160"/>
      <c r="AF435" s="160">
        <f t="shared" si="101"/>
        <v>0</v>
      </c>
      <c r="AG435" s="165"/>
      <c r="AH435" s="161">
        <f t="shared" si="102"/>
        <v>0</v>
      </c>
      <c r="AI435" s="162"/>
      <c r="AJ435" s="162">
        <f t="shared" si="103"/>
        <v>0</v>
      </c>
      <c r="AK435" s="164"/>
      <c r="AL435" s="164">
        <f t="shared" si="104"/>
        <v>0</v>
      </c>
      <c r="AM435" s="165"/>
      <c r="AN435" s="165">
        <f t="shared" si="105"/>
        <v>0</v>
      </c>
      <c r="AO435" s="166">
        <v>0</v>
      </c>
      <c r="AP435" s="166">
        <f t="shared" si="106"/>
        <v>0</v>
      </c>
      <c r="AQ435" s="162"/>
      <c r="AR435" s="162">
        <f t="shared" si="107"/>
        <v>0</v>
      </c>
      <c r="AS435" s="173"/>
      <c r="AT435" s="167">
        <f t="shared" si="108"/>
        <v>0</v>
      </c>
      <c r="AU435" s="163"/>
      <c r="AV435" s="163">
        <f t="shared" si="109"/>
        <v>0</v>
      </c>
      <c r="AW435" s="168"/>
      <c r="AX435" s="168">
        <f t="shared" si="110"/>
        <v>0</v>
      </c>
      <c r="AY435" s="170"/>
      <c r="AZ435" s="170">
        <f t="shared" si="111"/>
        <v>0</v>
      </c>
      <c r="BA435" s="166"/>
      <c r="BB435" s="166">
        <f t="shared" si="112"/>
        <v>0</v>
      </c>
    </row>
    <row r="436" spans="1:54" s="131" customFormat="1">
      <c r="A436" s="148" t="s">
        <v>6917</v>
      </c>
      <c r="B436" s="203" t="s">
        <v>1480</v>
      </c>
      <c r="C436" s="203"/>
      <c r="D436" s="203"/>
      <c r="E436" s="203" t="s">
        <v>6920</v>
      </c>
      <c r="F436" s="205" t="s">
        <v>6922</v>
      </c>
      <c r="G436" s="205" t="s">
        <v>6923</v>
      </c>
      <c r="H436" s="204" t="s">
        <v>6919</v>
      </c>
      <c r="I436" s="204" t="s">
        <v>15</v>
      </c>
      <c r="J436" s="205" t="s">
        <v>6921</v>
      </c>
      <c r="K436" s="206">
        <v>44982</v>
      </c>
      <c r="L436" s="206"/>
      <c r="M436" s="159">
        <f t="shared" si="98"/>
        <v>0</v>
      </c>
      <c r="N436" s="159"/>
      <c r="O436" s="159"/>
      <c r="P436" s="159"/>
      <c r="Q436" s="159"/>
      <c r="R436" s="159"/>
      <c r="S436" s="149" t="s">
        <v>5874</v>
      </c>
      <c r="T436" s="149" t="s">
        <v>5875</v>
      </c>
      <c r="U436" s="202" t="s">
        <v>6918</v>
      </c>
      <c r="V436" s="204">
        <v>3</v>
      </c>
      <c r="W436" s="203" t="s">
        <v>253</v>
      </c>
      <c r="X436" s="204" t="s">
        <v>6694</v>
      </c>
      <c r="Y436" s="206">
        <v>51000</v>
      </c>
      <c r="Z436" s="207">
        <v>5000</v>
      </c>
      <c r="AA436" s="207">
        <f t="shared" si="99"/>
        <v>224910000</v>
      </c>
      <c r="AB436" s="157">
        <v>5000</v>
      </c>
      <c r="AC436" s="158">
        <f t="shared" si="113"/>
        <v>5000</v>
      </c>
      <c r="AD436" s="159">
        <f t="shared" si="100"/>
        <v>0</v>
      </c>
      <c r="AE436" s="160"/>
      <c r="AF436" s="160">
        <f t="shared" si="101"/>
        <v>0</v>
      </c>
      <c r="AG436" s="165"/>
      <c r="AH436" s="161">
        <f t="shared" si="102"/>
        <v>0</v>
      </c>
      <c r="AI436" s="162"/>
      <c r="AJ436" s="162">
        <f t="shared" si="103"/>
        <v>0</v>
      </c>
      <c r="AK436" s="164"/>
      <c r="AL436" s="164">
        <f t="shared" si="104"/>
        <v>0</v>
      </c>
      <c r="AM436" s="165"/>
      <c r="AN436" s="165">
        <f t="shared" si="105"/>
        <v>0</v>
      </c>
      <c r="AO436" s="166">
        <v>0</v>
      </c>
      <c r="AP436" s="166">
        <f t="shared" si="106"/>
        <v>0</v>
      </c>
      <c r="AQ436" s="162"/>
      <c r="AR436" s="162">
        <f t="shared" si="107"/>
        <v>0</v>
      </c>
      <c r="AS436" s="173"/>
      <c r="AT436" s="167">
        <f t="shared" si="108"/>
        <v>0</v>
      </c>
      <c r="AU436" s="163"/>
      <c r="AV436" s="163">
        <f t="shared" si="109"/>
        <v>0</v>
      </c>
      <c r="AW436" s="168"/>
      <c r="AX436" s="168">
        <f t="shared" si="110"/>
        <v>0</v>
      </c>
      <c r="AY436" s="170"/>
      <c r="AZ436" s="170">
        <f t="shared" si="111"/>
        <v>0</v>
      </c>
      <c r="BA436" s="166"/>
      <c r="BB436" s="166">
        <f t="shared" si="112"/>
        <v>0</v>
      </c>
    </row>
    <row r="437" spans="1:54" s="131" customFormat="1" ht="31.5">
      <c r="A437" s="148" t="s">
        <v>6924</v>
      </c>
      <c r="B437" s="203" t="s">
        <v>1480</v>
      </c>
      <c r="C437" s="203"/>
      <c r="D437" s="203"/>
      <c r="E437" s="203" t="s">
        <v>3971</v>
      </c>
      <c r="F437" s="205" t="s">
        <v>6928</v>
      </c>
      <c r="G437" s="205" t="s">
        <v>6929</v>
      </c>
      <c r="H437" s="204" t="s">
        <v>1512</v>
      </c>
      <c r="I437" s="204" t="s">
        <v>520</v>
      </c>
      <c r="J437" s="205" t="s">
        <v>6927</v>
      </c>
      <c r="K437" s="206">
        <v>3350</v>
      </c>
      <c r="L437" s="206"/>
      <c r="M437" s="159">
        <f t="shared" si="98"/>
        <v>200</v>
      </c>
      <c r="N437" s="159"/>
      <c r="O437" s="159"/>
      <c r="P437" s="159"/>
      <c r="Q437" s="159"/>
      <c r="R437" s="159"/>
      <c r="S437" s="149" t="s">
        <v>6925</v>
      </c>
      <c r="T437" s="149" t="s">
        <v>6926</v>
      </c>
      <c r="U437" s="202" t="s">
        <v>3970</v>
      </c>
      <c r="V437" s="204">
        <v>3</v>
      </c>
      <c r="W437" s="203" t="s">
        <v>253</v>
      </c>
      <c r="X437" s="204" t="s">
        <v>213</v>
      </c>
      <c r="Y437" s="206">
        <v>5000</v>
      </c>
      <c r="Z437" s="207">
        <v>30000</v>
      </c>
      <c r="AA437" s="207">
        <f t="shared" si="99"/>
        <v>100500000</v>
      </c>
      <c r="AB437" s="157">
        <v>30000</v>
      </c>
      <c r="AC437" s="158">
        <f t="shared" si="113"/>
        <v>29800</v>
      </c>
      <c r="AD437" s="159">
        <f t="shared" si="100"/>
        <v>670000</v>
      </c>
      <c r="AE437" s="160"/>
      <c r="AF437" s="160">
        <f t="shared" si="101"/>
        <v>0</v>
      </c>
      <c r="AG437" s="165"/>
      <c r="AH437" s="161">
        <f t="shared" si="102"/>
        <v>0</v>
      </c>
      <c r="AI437" s="162"/>
      <c r="AJ437" s="162">
        <f t="shared" si="103"/>
        <v>0</v>
      </c>
      <c r="AK437" s="164"/>
      <c r="AL437" s="164">
        <f t="shared" si="104"/>
        <v>0</v>
      </c>
      <c r="AM437" s="165"/>
      <c r="AN437" s="165">
        <f t="shared" si="105"/>
        <v>0</v>
      </c>
      <c r="AO437" s="166">
        <v>0</v>
      </c>
      <c r="AP437" s="166">
        <f t="shared" si="106"/>
        <v>0</v>
      </c>
      <c r="AQ437" s="162"/>
      <c r="AR437" s="162">
        <f t="shared" si="107"/>
        <v>0</v>
      </c>
      <c r="AS437" s="173">
        <v>200</v>
      </c>
      <c r="AT437" s="167">
        <f t="shared" si="108"/>
        <v>670000</v>
      </c>
      <c r="AU437" s="163"/>
      <c r="AV437" s="163">
        <f t="shared" si="109"/>
        <v>0</v>
      </c>
      <c r="AW437" s="168"/>
      <c r="AX437" s="168">
        <f t="shared" si="110"/>
        <v>0</v>
      </c>
      <c r="AY437" s="170"/>
      <c r="AZ437" s="170">
        <f t="shared" si="111"/>
        <v>0</v>
      </c>
      <c r="BA437" s="166"/>
      <c r="BB437" s="166">
        <f t="shared" si="112"/>
        <v>0</v>
      </c>
    </row>
    <row r="438" spans="1:54" s="131" customFormat="1">
      <c r="A438" s="172" t="s">
        <v>6930</v>
      </c>
      <c r="B438" s="203" t="s">
        <v>1480</v>
      </c>
      <c r="C438" s="203"/>
      <c r="D438" s="203"/>
      <c r="E438" s="203" t="s">
        <v>6920</v>
      </c>
      <c r="F438" s="205" t="s">
        <v>6922</v>
      </c>
      <c r="G438" s="205" t="s">
        <v>6923</v>
      </c>
      <c r="H438" s="204" t="s">
        <v>6932</v>
      </c>
      <c r="I438" s="204" t="s">
        <v>520</v>
      </c>
      <c r="J438" s="205" t="s">
        <v>6933</v>
      </c>
      <c r="K438" s="206">
        <v>3800</v>
      </c>
      <c r="L438" s="206"/>
      <c r="M438" s="159">
        <f t="shared" si="98"/>
        <v>0</v>
      </c>
      <c r="N438" s="159"/>
      <c r="O438" s="159"/>
      <c r="P438" s="159"/>
      <c r="Q438" s="159"/>
      <c r="R438" s="159"/>
      <c r="S438" s="149" t="s">
        <v>5874</v>
      </c>
      <c r="T438" s="149" t="s">
        <v>5875</v>
      </c>
      <c r="U438" s="202" t="s">
        <v>6931</v>
      </c>
      <c r="V438" s="204">
        <v>3</v>
      </c>
      <c r="W438" s="203" t="s">
        <v>253</v>
      </c>
      <c r="X438" s="204" t="s">
        <v>6694</v>
      </c>
      <c r="Y438" s="206">
        <v>7000</v>
      </c>
      <c r="Z438" s="207">
        <v>40000</v>
      </c>
      <c r="AA438" s="207">
        <f t="shared" si="99"/>
        <v>152000000</v>
      </c>
      <c r="AB438" s="157">
        <v>40000</v>
      </c>
      <c r="AC438" s="158">
        <f t="shared" si="113"/>
        <v>40000</v>
      </c>
      <c r="AD438" s="159">
        <f t="shared" si="100"/>
        <v>0</v>
      </c>
      <c r="AE438" s="160"/>
      <c r="AF438" s="160">
        <f t="shared" si="101"/>
        <v>0</v>
      </c>
      <c r="AG438" s="165"/>
      <c r="AH438" s="161">
        <f t="shared" si="102"/>
        <v>0</v>
      </c>
      <c r="AI438" s="162"/>
      <c r="AJ438" s="162">
        <f t="shared" si="103"/>
        <v>0</v>
      </c>
      <c r="AK438" s="164"/>
      <c r="AL438" s="164">
        <f t="shared" si="104"/>
        <v>0</v>
      </c>
      <c r="AM438" s="165"/>
      <c r="AN438" s="165">
        <f t="shared" si="105"/>
        <v>0</v>
      </c>
      <c r="AO438" s="166">
        <v>0</v>
      </c>
      <c r="AP438" s="166">
        <f t="shared" si="106"/>
        <v>0</v>
      </c>
      <c r="AQ438" s="162"/>
      <c r="AR438" s="162">
        <f t="shared" si="107"/>
        <v>0</v>
      </c>
      <c r="AS438" s="173"/>
      <c r="AT438" s="167">
        <f t="shared" si="108"/>
        <v>0</v>
      </c>
      <c r="AU438" s="163"/>
      <c r="AV438" s="163">
        <f t="shared" si="109"/>
        <v>0</v>
      </c>
      <c r="AW438" s="168"/>
      <c r="AX438" s="168">
        <f t="shared" si="110"/>
        <v>0</v>
      </c>
      <c r="AY438" s="170"/>
      <c r="AZ438" s="170">
        <f t="shared" si="111"/>
        <v>0</v>
      </c>
      <c r="BA438" s="166"/>
      <c r="BB438" s="166">
        <f t="shared" si="112"/>
        <v>0</v>
      </c>
    </row>
    <row r="439" spans="1:54" s="131" customFormat="1">
      <c r="A439" s="148" t="s">
        <v>6934</v>
      </c>
      <c r="B439" s="203" t="s">
        <v>1480</v>
      </c>
      <c r="C439" s="203"/>
      <c r="D439" s="203"/>
      <c r="E439" s="203" t="s">
        <v>3769</v>
      </c>
      <c r="F439" s="205" t="s">
        <v>6936</v>
      </c>
      <c r="G439" s="205" t="s">
        <v>2385</v>
      </c>
      <c r="H439" s="204" t="s">
        <v>310</v>
      </c>
      <c r="I439" s="204" t="s">
        <v>11</v>
      </c>
      <c r="J439" s="205" t="s">
        <v>6935</v>
      </c>
      <c r="K439" s="206">
        <v>127</v>
      </c>
      <c r="L439" s="206"/>
      <c r="M439" s="159">
        <f t="shared" si="98"/>
        <v>16800</v>
      </c>
      <c r="N439" s="159"/>
      <c r="O439" s="159"/>
      <c r="P439" s="159"/>
      <c r="Q439" s="159"/>
      <c r="R439" s="159"/>
      <c r="S439" s="149" t="s">
        <v>2385</v>
      </c>
      <c r="T439" s="150" t="s">
        <v>2380</v>
      </c>
      <c r="U439" s="202" t="s">
        <v>3768</v>
      </c>
      <c r="V439" s="204">
        <v>3</v>
      </c>
      <c r="W439" s="203" t="s">
        <v>5104</v>
      </c>
      <c r="X439" s="204" t="s">
        <v>213</v>
      </c>
      <c r="Y439" s="206">
        <v>380</v>
      </c>
      <c r="Z439" s="207">
        <v>20000</v>
      </c>
      <c r="AA439" s="207">
        <f t="shared" si="99"/>
        <v>2540000</v>
      </c>
      <c r="AB439" s="157">
        <v>20000</v>
      </c>
      <c r="AC439" s="158">
        <f t="shared" si="113"/>
        <v>3200</v>
      </c>
      <c r="AD439" s="159">
        <f t="shared" si="100"/>
        <v>2133600</v>
      </c>
      <c r="AE439" s="160"/>
      <c r="AF439" s="160">
        <f t="shared" si="101"/>
        <v>0</v>
      </c>
      <c r="AG439" s="165">
        <v>8000</v>
      </c>
      <c r="AH439" s="161">
        <f t="shared" si="102"/>
        <v>1016000</v>
      </c>
      <c r="AI439" s="162"/>
      <c r="AJ439" s="162">
        <f t="shared" si="103"/>
        <v>0</v>
      </c>
      <c r="AK439" s="164"/>
      <c r="AL439" s="164">
        <f t="shared" si="104"/>
        <v>0</v>
      </c>
      <c r="AM439" s="165">
        <v>5300</v>
      </c>
      <c r="AN439" s="165">
        <f t="shared" si="105"/>
        <v>673100</v>
      </c>
      <c r="AO439" s="166">
        <v>0</v>
      </c>
      <c r="AP439" s="166">
        <f t="shared" si="106"/>
        <v>0</v>
      </c>
      <c r="AQ439" s="162"/>
      <c r="AR439" s="162">
        <f t="shared" si="107"/>
        <v>0</v>
      </c>
      <c r="AS439" s="173">
        <v>3500</v>
      </c>
      <c r="AT439" s="167">
        <f t="shared" si="108"/>
        <v>444500</v>
      </c>
      <c r="AU439" s="163"/>
      <c r="AV439" s="163">
        <f t="shared" si="109"/>
        <v>0</v>
      </c>
      <c r="AW439" s="168"/>
      <c r="AX439" s="168">
        <f t="shared" si="110"/>
        <v>0</v>
      </c>
      <c r="AY439" s="170"/>
      <c r="AZ439" s="170">
        <f t="shared" si="111"/>
        <v>0</v>
      </c>
      <c r="BA439" s="166"/>
      <c r="BB439" s="166">
        <f t="shared" si="112"/>
        <v>0</v>
      </c>
    </row>
    <row r="440" spans="1:54" s="131" customFormat="1" ht="31.5">
      <c r="A440" s="148" t="s">
        <v>6937</v>
      </c>
      <c r="B440" s="203" t="s">
        <v>695</v>
      </c>
      <c r="C440" s="203"/>
      <c r="D440" s="203"/>
      <c r="E440" s="203" t="s">
        <v>3838</v>
      </c>
      <c r="F440" s="205" t="s">
        <v>6942</v>
      </c>
      <c r="G440" s="205" t="s">
        <v>621</v>
      </c>
      <c r="H440" s="204" t="s">
        <v>2474</v>
      </c>
      <c r="I440" s="204" t="s">
        <v>5639</v>
      </c>
      <c r="J440" s="205" t="s">
        <v>6940</v>
      </c>
      <c r="K440" s="206">
        <v>9345</v>
      </c>
      <c r="L440" s="206"/>
      <c r="M440" s="159">
        <f t="shared" si="98"/>
        <v>250</v>
      </c>
      <c r="N440" s="159"/>
      <c r="O440" s="159"/>
      <c r="P440" s="159"/>
      <c r="Q440" s="159"/>
      <c r="R440" s="159"/>
      <c r="S440" s="149" t="s">
        <v>6938</v>
      </c>
      <c r="T440" s="149" t="s">
        <v>6939</v>
      </c>
      <c r="U440" s="202" t="s">
        <v>3837</v>
      </c>
      <c r="V440" s="204">
        <v>3</v>
      </c>
      <c r="W440" s="203" t="s">
        <v>6941</v>
      </c>
      <c r="X440" s="204" t="s">
        <v>213</v>
      </c>
      <c r="Y440" s="206">
        <v>25000</v>
      </c>
      <c r="Z440" s="207">
        <v>2000</v>
      </c>
      <c r="AA440" s="207">
        <f t="shared" si="99"/>
        <v>18690000</v>
      </c>
      <c r="AB440" s="157">
        <v>2000</v>
      </c>
      <c r="AC440" s="158">
        <f t="shared" si="113"/>
        <v>1750</v>
      </c>
      <c r="AD440" s="159">
        <f t="shared" si="100"/>
        <v>2336250</v>
      </c>
      <c r="AE440" s="160"/>
      <c r="AF440" s="160">
        <f t="shared" si="101"/>
        <v>0</v>
      </c>
      <c r="AG440" s="165">
        <v>250</v>
      </c>
      <c r="AH440" s="161">
        <f t="shared" si="102"/>
        <v>2336250</v>
      </c>
      <c r="AI440" s="162"/>
      <c r="AJ440" s="162">
        <f t="shared" si="103"/>
        <v>0</v>
      </c>
      <c r="AK440" s="164"/>
      <c r="AL440" s="164">
        <f t="shared" si="104"/>
        <v>0</v>
      </c>
      <c r="AM440" s="165"/>
      <c r="AN440" s="165">
        <f t="shared" si="105"/>
        <v>0</v>
      </c>
      <c r="AO440" s="166">
        <v>0</v>
      </c>
      <c r="AP440" s="166">
        <f t="shared" si="106"/>
        <v>0</v>
      </c>
      <c r="AQ440" s="162"/>
      <c r="AR440" s="162">
        <f t="shared" si="107"/>
        <v>0</v>
      </c>
      <c r="AS440" s="173"/>
      <c r="AT440" s="167">
        <f t="shared" si="108"/>
        <v>0</v>
      </c>
      <c r="AU440" s="163"/>
      <c r="AV440" s="163">
        <f t="shared" si="109"/>
        <v>0</v>
      </c>
      <c r="AW440" s="168"/>
      <c r="AX440" s="168">
        <f t="shared" si="110"/>
        <v>0</v>
      </c>
      <c r="AY440" s="170"/>
      <c r="AZ440" s="170">
        <f t="shared" si="111"/>
        <v>0</v>
      </c>
      <c r="BA440" s="166"/>
      <c r="BB440" s="166">
        <f t="shared" si="112"/>
        <v>0</v>
      </c>
    </row>
    <row r="441" spans="1:54" s="131" customFormat="1" ht="31.5">
      <c r="A441" s="172" t="s">
        <v>6943</v>
      </c>
      <c r="B441" s="203" t="s">
        <v>695</v>
      </c>
      <c r="C441" s="203"/>
      <c r="D441" s="203"/>
      <c r="E441" s="203" t="s">
        <v>3815</v>
      </c>
      <c r="F441" s="205" t="s">
        <v>6945</v>
      </c>
      <c r="G441" s="205" t="s">
        <v>6946</v>
      </c>
      <c r="H441" s="204" t="s">
        <v>3816</v>
      </c>
      <c r="I441" s="204" t="s">
        <v>12</v>
      </c>
      <c r="J441" s="205" t="s">
        <v>6944</v>
      </c>
      <c r="K441" s="206">
        <v>1806</v>
      </c>
      <c r="L441" s="206"/>
      <c r="M441" s="159">
        <f t="shared" si="98"/>
        <v>3000</v>
      </c>
      <c r="N441" s="159"/>
      <c r="O441" s="159"/>
      <c r="P441" s="159"/>
      <c r="Q441" s="159"/>
      <c r="R441" s="159"/>
      <c r="S441" s="149" t="s">
        <v>2332</v>
      </c>
      <c r="T441" s="150" t="s">
        <v>5158</v>
      </c>
      <c r="U441" s="202" t="s">
        <v>3814</v>
      </c>
      <c r="V441" s="204">
        <v>3</v>
      </c>
      <c r="W441" s="203" t="s">
        <v>253</v>
      </c>
      <c r="X441" s="204" t="s">
        <v>213</v>
      </c>
      <c r="Y441" s="206">
        <v>3150</v>
      </c>
      <c r="Z441" s="207">
        <v>10000</v>
      </c>
      <c r="AA441" s="207">
        <f t="shared" si="99"/>
        <v>18060000</v>
      </c>
      <c r="AB441" s="157">
        <v>10000</v>
      </c>
      <c r="AC441" s="158">
        <f t="shared" si="113"/>
        <v>7000</v>
      </c>
      <c r="AD441" s="159">
        <f t="shared" si="100"/>
        <v>5418000</v>
      </c>
      <c r="AE441" s="160"/>
      <c r="AF441" s="160">
        <f t="shared" si="101"/>
        <v>0</v>
      </c>
      <c r="AG441" s="165"/>
      <c r="AH441" s="161">
        <f t="shared" si="102"/>
        <v>0</v>
      </c>
      <c r="AI441" s="162"/>
      <c r="AJ441" s="162">
        <f t="shared" si="103"/>
        <v>0</v>
      </c>
      <c r="AK441" s="164"/>
      <c r="AL441" s="164">
        <f t="shared" si="104"/>
        <v>0</v>
      </c>
      <c r="AM441" s="165"/>
      <c r="AN441" s="165">
        <f t="shared" si="105"/>
        <v>0</v>
      </c>
      <c r="AO441" s="166">
        <v>3000</v>
      </c>
      <c r="AP441" s="166">
        <f t="shared" si="106"/>
        <v>5418000</v>
      </c>
      <c r="AQ441" s="162"/>
      <c r="AR441" s="162">
        <f t="shared" si="107"/>
        <v>0</v>
      </c>
      <c r="AS441" s="173"/>
      <c r="AT441" s="167">
        <f t="shared" si="108"/>
        <v>0</v>
      </c>
      <c r="AU441" s="163"/>
      <c r="AV441" s="163">
        <f t="shared" si="109"/>
        <v>0</v>
      </c>
      <c r="AW441" s="168"/>
      <c r="AX441" s="168">
        <f t="shared" si="110"/>
        <v>0</v>
      </c>
      <c r="AY441" s="170"/>
      <c r="AZ441" s="170">
        <f t="shared" si="111"/>
        <v>0</v>
      </c>
      <c r="BA441" s="166"/>
      <c r="BB441" s="166">
        <f t="shared" si="112"/>
        <v>0</v>
      </c>
    </row>
    <row r="442" spans="1:54" s="131" customFormat="1" ht="31.5">
      <c r="A442" s="148" t="s">
        <v>6947</v>
      </c>
      <c r="B442" s="203" t="s">
        <v>695</v>
      </c>
      <c r="C442" s="203"/>
      <c r="D442" s="203"/>
      <c r="E442" s="203" t="s">
        <v>6951</v>
      </c>
      <c r="F442" s="205" t="s">
        <v>6953</v>
      </c>
      <c r="G442" s="205" t="s">
        <v>6954</v>
      </c>
      <c r="H442" s="204" t="s">
        <v>697</v>
      </c>
      <c r="I442" s="204" t="s">
        <v>520</v>
      </c>
      <c r="J442" s="205" t="s">
        <v>6952</v>
      </c>
      <c r="K442" s="206">
        <v>2440</v>
      </c>
      <c r="L442" s="206"/>
      <c r="M442" s="159">
        <f t="shared" si="98"/>
        <v>0</v>
      </c>
      <c r="N442" s="159"/>
      <c r="O442" s="159"/>
      <c r="P442" s="159"/>
      <c r="Q442" s="159"/>
      <c r="R442" s="159"/>
      <c r="S442" s="149" t="s">
        <v>6948</v>
      </c>
      <c r="T442" s="149" t="s">
        <v>6949</v>
      </c>
      <c r="U442" s="202" t="s">
        <v>6950</v>
      </c>
      <c r="V442" s="204">
        <v>3</v>
      </c>
      <c r="W442" s="203" t="s">
        <v>5104</v>
      </c>
      <c r="X442" s="204" t="s">
        <v>213</v>
      </c>
      <c r="Y442" s="206">
        <v>5000</v>
      </c>
      <c r="Z442" s="207">
        <v>100000</v>
      </c>
      <c r="AA442" s="207">
        <f t="shared" si="99"/>
        <v>244000000</v>
      </c>
      <c r="AB442" s="157">
        <v>100000</v>
      </c>
      <c r="AC442" s="158">
        <f t="shared" si="113"/>
        <v>100000</v>
      </c>
      <c r="AD442" s="159">
        <f t="shared" si="100"/>
        <v>0</v>
      </c>
      <c r="AE442" s="160"/>
      <c r="AF442" s="160">
        <f t="shared" si="101"/>
        <v>0</v>
      </c>
      <c r="AG442" s="165"/>
      <c r="AH442" s="161">
        <f t="shared" si="102"/>
        <v>0</v>
      </c>
      <c r="AI442" s="162"/>
      <c r="AJ442" s="162">
        <f t="shared" si="103"/>
        <v>0</v>
      </c>
      <c r="AK442" s="164"/>
      <c r="AL442" s="164">
        <f t="shared" si="104"/>
        <v>0</v>
      </c>
      <c r="AM442" s="165"/>
      <c r="AN442" s="165">
        <f t="shared" si="105"/>
        <v>0</v>
      </c>
      <c r="AO442" s="166">
        <v>0</v>
      </c>
      <c r="AP442" s="166">
        <f t="shared" si="106"/>
        <v>0</v>
      </c>
      <c r="AQ442" s="162"/>
      <c r="AR442" s="162">
        <f t="shared" si="107"/>
        <v>0</v>
      </c>
      <c r="AS442" s="173"/>
      <c r="AT442" s="167">
        <f t="shared" si="108"/>
        <v>0</v>
      </c>
      <c r="AU442" s="163"/>
      <c r="AV442" s="163">
        <f t="shared" si="109"/>
        <v>0</v>
      </c>
      <c r="AW442" s="168"/>
      <c r="AX442" s="168">
        <f t="shared" si="110"/>
        <v>0</v>
      </c>
      <c r="AY442" s="170"/>
      <c r="AZ442" s="170">
        <f t="shared" si="111"/>
        <v>0</v>
      </c>
      <c r="BA442" s="166"/>
      <c r="BB442" s="166">
        <f t="shared" si="112"/>
        <v>0</v>
      </c>
    </row>
    <row r="443" spans="1:54" s="131" customFormat="1" ht="31.5">
      <c r="A443" s="148" t="s">
        <v>6955</v>
      </c>
      <c r="B443" s="203" t="s">
        <v>695</v>
      </c>
      <c r="C443" s="203"/>
      <c r="D443" s="203"/>
      <c r="E443" s="203" t="s">
        <v>6958</v>
      </c>
      <c r="F443" s="205" t="s">
        <v>6960</v>
      </c>
      <c r="G443" s="205" t="s">
        <v>6907</v>
      </c>
      <c r="H443" s="204" t="s">
        <v>6957</v>
      </c>
      <c r="I443" s="204" t="s">
        <v>520</v>
      </c>
      <c r="J443" s="205" t="s">
        <v>6959</v>
      </c>
      <c r="K443" s="206">
        <v>3900</v>
      </c>
      <c r="L443" s="206"/>
      <c r="M443" s="159">
        <f t="shared" si="98"/>
        <v>0</v>
      </c>
      <c r="N443" s="159"/>
      <c r="O443" s="159"/>
      <c r="P443" s="159"/>
      <c r="Q443" s="159"/>
      <c r="R443" s="159"/>
      <c r="S443" s="149" t="s">
        <v>5830</v>
      </c>
      <c r="T443" s="149" t="s">
        <v>5831</v>
      </c>
      <c r="U443" s="202" t="s">
        <v>6956</v>
      </c>
      <c r="V443" s="204">
        <v>3</v>
      </c>
      <c r="W443" s="203" t="s">
        <v>253</v>
      </c>
      <c r="X443" s="204" t="s">
        <v>213</v>
      </c>
      <c r="Y443" s="206">
        <v>6000</v>
      </c>
      <c r="Z443" s="207">
        <v>40000</v>
      </c>
      <c r="AA443" s="207">
        <f t="shared" si="99"/>
        <v>156000000</v>
      </c>
      <c r="AB443" s="157">
        <v>40000</v>
      </c>
      <c r="AC443" s="158">
        <f t="shared" si="113"/>
        <v>40000</v>
      </c>
      <c r="AD443" s="159">
        <f t="shared" si="100"/>
        <v>0</v>
      </c>
      <c r="AE443" s="160"/>
      <c r="AF443" s="160">
        <f t="shared" si="101"/>
        <v>0</v>
      </c>
      <c r="AG443" s="165"/>
      <c r="AH443" s="161">
        <f t="shared" si="102"/>
        <v>0</v>
      </c>
      <c r="AI443" s="162"/>
      <c r="AJ443" s="162">
        <f t="shared" si="103"/>
        <v>0</v>
      </c>
      <c r="AK443" s="164"/>
      <c r="AL443" s="164">
        <f t="shared" si="104"/>
        <v>0</v>
      </c>
      <c r="AM443" s="165"/>
      <c r="AN443" s="165">
        <f t="shared" si="105"/>
        <v>0</v>
      </c>
      <c r="AO443" s="166">
        <v>0</v>
      </c>
      <c r="AP443" s="166">
        <f t="shared" si="106"/>
        <v>0</v>
      </c>
      <c r="AQ443" s="162"/>
      <c r="AR443" s="162">
        <f t="shared" si="107"/>
        <v>0</v>
      </c>
      <c r="AS443" s="173"/>
      <c r="AT443" s="167">
        <f t="shared" si="108"/>
        <v>0</v>
      </c>
      <c r="AU443" s="163"/>
      <c r="AV443" s="163">
        <f t="shared" si="109"/>
        <v>0</v>
      </c>
      <c r="AW443" s="168"/>
      <c r="AX443" s="168">
        <f t="shared" si="110"/>
        <v>0</v>
      </c>
      <c r="AY443" s="170"/>
      <c r="AZ443" s="170">
        <f t="shared" si="111"/>
        <v>0</v>
      </c>
      <c r="BA443" s="166"/>
      <c r="BB443" s="166">
        <f t="shared" si="112"/>
        <v>0</v>
      </c>
    </row>
    <row r="444" spans="1:54" ht="112.5">
      <c r="A444" s="172" t="s">
        <v>6961</v>
      </c>
      <c r="B444" s="203" t="s">
        <v>695</v>
      </c>
      <c r="C444" s="203"/>
      <c r="D444" s="203"/>
      <c r="E444" s="203" t="s">
        <v>3552</v>
      </c>
      <c r="F444" s="205" t="s">
        <v>6963</v>
      </c>
      <c r="G444" s="205" t="s">
        <v>336</v>
      </c>
      <c r="H444" s="204" t="s">
        <v>390</v>
      </c>
      <c r="I444" s="204" t="s">
        <v>11</v>
      </c>
      <c r="J444" s="205" t="s">
        <v>6962</v>
      </c>
      <c r="K444" s="206">
        <v>49</v>
      </c>
      <c r="L444" s="206"/>
      <c r="M444" s="159">
        <f t="shared" si="98"/>
        <v>7600</v>
      </c>
      <c r="N444" s="159"/>
      <c r="O444" s="159"/>
      <c r="P444" s="159"/>
      <c r="Q444" s="159"/>
      <c r="R444" s="159"/>
      <c r="S444" s="209" t="s">
        <v>5848</v>
      </c>
      <c r="T444" s="203" t="s">
        <v>5849</v>
      </c>
      <c r="U444" s="202" t="s">
        <v>3835</v>
      </c>
      <c r="V444" s="204">
        <v>3</v>
      </c>
      <c r="W444" s="203" t="s">
        <v>5104</v>
      </c>
      <c r="X444" s="204" t="s">
        <v>213</v>
      </c>
      <c r="Y444" s="206">
        <v>84</v>
      </c>
      <c r="Z444" s="207">
        <v>120000</v>
      </c>
      <c r="AA444" s="207">
        <f t="shared" si="99"/>
        <v>5880000</v>
      </c>
      <c r="AB444" s="157">
        <v>120000</v>
      </c>
      <c r="AC444" s="158">
        <f t="shared" si="113"/>
        <v>112400</v>
      </c>
      <c r="AD444" s="159">
        <f t="shared" si="100"/>
        <v>372400</v>
      </c>
      <c r="AE444" s="160"/>
      <c r="AF444" s="160">
        <f t="shared" si="101"/>
        <v>0</v>
      </c>
      <c r="AG444" s="165"/>
      <c r="AH444" s="161">
        <f t="shared" si="102"/>
        <v>0</v>
      </c>
      <c r="AI444" s="162"/>
      <c r="AJ444" s="162">
        <f t="shared" si="103"/>
        <v>0</v>
      </c>
      <c r="AK444" s="164"/>
      <c r="AL444" s="164">
        <f t="shared" si="104"/>
        <v>0</v>
      </c>
      <c r="AM444" s="165">
        <v>1000</v>
      </c>
      <c r="AN444" s="165">
        <f t="shared" si="105"/>
        <v>49000</v>
      </c>
      <c r="AO444" s="166">
        <v>0</v>
      </c>
      <c r="AP444" s="166">
        <f t="shared" si="106"/>
        <v>0</v>
      </c>
      <c r="AQ444" s="162"/>
      <c r="AR444" s="162">
        <f t="shared" si="107"/>
        <v>0</v>
      </c>
      <c r="AS444" s="173">
        <v>6600</v>
      </c>
      <c r="AT444" s="167">
        <f t="shared" si="108"/>
        <v>323400</v>
      </c>
      <c r="AU444" s="163"/>
      <c r="AV444" s="163">
        <f t="shared" si="109"/>
        <v>0</v>
      </c>
      <c r="AW444" s="168"/>
      <c r="AX444" s="168">
        <f t="shared" si="110"/>
        <v>0</v>
      </c>
      <c r="AY444" s="170"/>
      <c r="AZ444" s="170">
        <f t="shared" si="111"/>
        <v>0</v>
      </c>
      <c r="BA444" s="166"/>
      <c r="BB444" s="166">
        <f t="shared" si="112"/>
        <v>0</v>
      </c>
    </row>
    <row r="445" spans="1:54" ht="47.25">
      <c r="A445" s="148" t="s">
        <v>6964</v>
      </c>
      <c r="B445" s="203" t="s">
        <v>708</v>
      </c>
      <c r="C445" s="203"/>
      <c r="D445" s="203"/>
      <c r="E445" s="223" t="s">
        <v>709</v>
      </c>
      <c r="F445" s="225" t="s">
        <v>6968</v>
      </c>
      <c r="G445" s="225" t="s">
        <v>712</v>
      </c>
      <c r="H445" s="204" t="s">
        <v>272</v>
      </c>
      <c r="I445" s="204" t="s">
        <v>13</v>
      </c>
      <c r="J445" s="225" t="s">
        <v>6967</v>
      </c>
      <c r="K445" s="226">
        <v>3150</v>
      </c>
      <c r="L445" s="226"/>
      <c r="M445" s="159">
        <f t="shared" si="98"/>
        <v>0</v>
      </c>
      <c r="N445" s="159"/>
      <c r="O445" s="159"/>
      <c r="P445" s="159"/>
      <c r="Q445" s="159"/>
      <c r="R445" s="159"/>
      <c r="S445" s="149" t="s">
        <v>6965</v>
      </c>
      <c r="T445" s="149" t="s">
        <v>6966</v>
      </c>
      <c r="U445" s="222" t="s">
        <v>4289</v>
      </c>
      <c r="V445" s="204">
        <v>3</v>
      </c>
      <c r="W445" s="223" t="s">
        <v>5104</v>
      </c>
      <c r="X445" s="224" t="s">
        <v>213</v>
      </c>
      <c r="Y445" s="226">
        <v>4800</v>
      </c>
      <c r="Z445" s="207">
        <v>100000</v>
      </c>
      <c r="AA445" s="207">
        <f t="shared" si="99"/>
        <v>315000000</v>
      </c>
      <c r="AB445" s="157">
        <v>100000</v>
      </c>
      <c r="AC445" s="158">
        <f t="shared" si="113"/>
        <v>100000</v>
      </c>
      <c r="AD445" s="159">
        <f t="shared" si="100"/>
        <v>0</v>
      </c>
      <c r="AE445" s="160"/>
      <c r="AF445" s="160">
        <f t="shared" si="101"/>
        <v>0</v>
      </c>
      <c r="AG445" s="165"/>
      <c r="AH445" s="161">
        <f t="shared" si="102"/>
        <v>0</v>
      </c>
      <c r="AI445" s="162"/>
      <c r="AJ445" s="162">
        <f t="shared" si="103"/>
        <v>0</v>
      </c>
      <c r="AK445" s="164"/>
      <c r="AL445" s="164">
        <f t="shared" si="104"/>
        <v>0</v>
      </c>
      <c r="AM445" s="165"/>
      <c r="AN445" s="165">
        <f t="shared" si="105"/>
        <v>0</v>
      </c>
      <c r="AO445" s="166">
        <v>0</v>
      </c>
      <c r="AP445" s="166">
        <f t="shared" si="106"/>
        <v>0</v>
      </c>
      <c r="AQ445" s="162"/>
      <c r="AR445" s="162">
        <f t="shared" si="107"/>
        <v>0</v>
      </c>
      <c r="AS445" s="173"/>
      <c r="AT445" s="167">
        <f t="shared" si="108"/>
        <v>0</v>
      </c>
      <c r="AU445" s="163"/>
      <c r="AV445" s="163">
        <f t="shared" si="109"/>
        <v>0</v>
      </c>
      <c r="AW445" s="168"/>
      <c r="AX445" s="168">
        <f t="shared" si="110"/>
        <v>0</v>
      </c>
      <c r="AY445" s="170"/>
      <c r="AZ445" s="170">
        <f t="shared" si="111"/>
        <v>0</v>
      </c>
      <c r="BA445" s="166"/>
      <c r="BB445" s="166">
        <f t="shared" si="112"/>
        <v>0</v>
      </c>
    </row>
    <row r="446" spans="1:54">
      <c r="A446" s="148" t="s">
        <v>6969</v>
      </c>
      <c r="B446" s="203" t="s">
        <v>708</v>
      </c>
      <c r="C446" s="203"/>
      <c r="D446" s="203"/>
      <c r="E446" s="203" t="s">
        <v>1601</v>
      </c>
      <c r="F446" s="205" t="s">
        <v>1602</v>
      </c>
      <c r="G446" s="205" t="s">
        <v>463</v>
      </c>
      <c r="H446" s="204" t="s">
        <v>965</v>
      </c>
      <c r="I446" s="204" t="s">
        <v>11</v>
      </c>
      <c r="J446" s="205" t="s">
        <v>6970</v>
      </c>
      <c r="K446" s="206">
        <v>798</v>
      </c>
      <c r="L446" s="206"/>
      <c r="M446" s="159">
        <f t="shared" si="98"/>
        <v>0</v>
      </c>
      <c r="N446" s="159"/>
      <c r="O446" s="159"/>
      <c r="P446" s="159"/>
      <c r="Q446" s="159"/>
      <c r="R446" s="159"/>
      <c r="S446" s="149" t="s">
        <v>5275</v>
      </c>
      <c r="T446" s="150" t="s">
        <v>463</v>
      </c>
      <c r="U446" s="202" t="s">
        <v>3853</v>
      </c>
      <c r="V446" s="204">
        <v>3</v>
      </c>
      <c r="W446" s="203" t="s">
        <v>5104</v>
      </c>
      <c r="X446" s="204" t="s">
        <v>213</v>
      </c>
      <c r="Y446" s="206">
        <v>1260</v>
      </c>
      <c r="Z446" s="207">
        <v>100000</v>
      </c>
      <c r="AA446" s="207">
        <f t="shared" si="99"/>
        <v>79800000</v>
      </c>
      <c r="AB446" s="157">
        <v>100000</v>
      </c>
      <c r="AC446" s="158">
        <f t="shared" si="113"/>
        <v>100000</v>
      </c>
      <c r="AD446" s="159">
        <f t="shared" si="100"/>
        <v>0</v>
      </c>
      <c r="AE446" s="160"/>
      <c r="AF446" s="160">
        <f t="shared" si="101"/>
        <v>0</v>
      </c>
      <c r="AG446" s="161"/>
      <c r="AH446" s="161">
        <f t="shared" si="102"/>
        <v>0</v>
      </c>
      <c r="AI446" s="162"/>
      <c r="AJ446" s="162">
        <f t="shared" si="103"/>
        <v>0</v>
      </c>
      <c r="AK446" s="164"/>
      <c r="AL446" s="164">
        <f t="shared" si="104"/>
        <v>0</v>
      </c>
      <c r="AM446" s="165"/>
      <c r="AN446" s="165">
        <f t="shared" si="105"/>
        <v>0</v>
      </c>
      <c r="AO446" s="166">
        <v>0</v>
      </c>
      <c r="AP446" s="166">
        <f t="shared" si="106"/>
        <v>0</v>
      </c>
      <c r="AQ446" s="162"/>
      <c r="AR446" s="162">
        <f t="shared" si="107"/>
        <v>0</v>
      </c>
      <c r="AS446" s="167"/>
      <c r="AT446" s="167">
        <f t="shared" si="108"/>
        <v>0</v>
      </c>
      <c r="AU446" s="163"/>
      <c r="AV446" s="163">
        <f t="shared" si="109"/>
        <v>0</v>
      </c>
      <c r="AW446" s="168"/>
      <c r="AX446" s="168">
        <f t="shared" si="110"/>
        <v>0</v>
      </c>
      <c r="AY446" s="170"/>
      <c r="AZ446" s="170">
        <f t="shared" si="111"/>
        <v>0</v>
      </c>
      <c r="BA446" s="166"/>
      <c r="BB446" s="166">
        <f t="shared" si="112"/>
        <v>0</v>
      </c>
    </row>
    <row r="447" spans="1:54" ht="31.5">
      <c r="A447" s="172" t="s">
        <v>6971</v>
      </c>
      <c r="B447" s="203" t="s">
        <v>3967</v>
      </c>
      <c r="C447" s="203"/>
      <c r="D447" s="203"/>
      <c r="E447" s="203" t="s">
        <v>1052</v>
      </c>
      <c r="F447" s="205" t="s">
        <v>6973</v>
      </c>
      <c r="G447" s="205" t="s">
        <v>324</v>
      </c>
      <c r="H447" s="204" t="s">
        <v>2005</v>
      </c>
      <c r="I447" s="204" t="s">
        <v>11</v>
      </c>
      <c r="J447" s="205" t="s">
        <v>6972</v>
      </c>
      <c r="K447" s="206">
        <v>1743</v>
      </c>
      <c r="L447" s="206"/>
      <c r="M447" s="159">
        <f t="shared" si="98"/>
        <v>30000</v>
      </c>
      <c r="N447" s="159"/>
      <c r="O447" s="159"/>
      <c r="P447" s="159"/>
      <c r="Q447" s="159"/>
      <c r="R447" s="159"/>
      <c r="S447" s="149" t="s">
        <v>5336</v>
      </c>
      <c r="T447" s="150" t="s">
        <v>322</v>
      </c>
      <c r="U447" s="202" t="s">
        <v>3964</v>
      </c>
      <c r="V447" s="204">
        <v>3</v>
      </c>
      <c r="W447" s="203" t="s">
        <v>5104</v>
      </c>
      <c r="X447" s="204" t="s">
        <v>213</v>
      </c>
      <c r="Y447" s="206">
        <v>1750</v>
      </c>
      <c r="Z447" s="207">
        <v>100000</v>
      </c>
      <c r="AA447" s="207">
        <f t="shared" si="99"/>
        <v>174300000</v>
      </c>
      <c r="AB447" s="157">
        <v>100000</v>
      </c>
      <c r="AC447" s="158">
        <f t="shared" si="113"/>
        <v>70000</v>
      </c>
      <c r="AD447" s="159">
        <f t="shared" si="100"/>
        <v>52290000</v>
      </c>
      <c r="AE447" s="160"/>
      <c r="AF447" s="160">
        <f t="shared" si="101"/>
        <v>0</v>
      </c>
      <c r="AG447" s="161">
        <v>20000</v>
      </c>
      <c r="AH447" s="161">
        <f t="shared" si="102"/>
        <v>34860000</v>
      </c>
      <c r="AI447" s="162"/>
      <c r="AJ447" s="162">
        <f t="shared" si="103"/>
        <v>0</v>
      </c>
      <c r="AK447" s="164"/>
      <c r="AL447" s="164">
        <f t="shared" si="104"/>
        <v>0</v>
      </c>
      <c r="AM447" s="165"/>
      <c r="AN447" s="165">
        <f t="shared" si="105"/>
        <v>0</v>
      </c>
      <c r="AO447" s="166">
        <v>0</v>
      </c>
      <c r="AP447" s="166">
        <f t="shared" si="106"/>
        <v>0</v>
      </c>
      <c r="AQ447" s="162"/>
      <c r="AR447" s="162">
        <f t="shared" si="107"/>
        <v>0</v>
      </c>
      <c r="AS447" s="167">
        <v>10000</v>
      </c>
      <c r="AT447" s="167">
        <f t="shared" si="108"/>
        <v>17430000</v>
      </c>
      <c r="AU447" s="163"/>
      <c r="AV447" s="163">
        <f t="shared" si="109"/>
        <v>0</v>
      </c>
      <c r="AW447" s="168"/>
      <c r="AX447" s="168">
        <f t="shared" si="110"/>
        <v>0</v>
      </c>
      <c r="AY447" s="170"/>
      <c r="AZ447" s="170">
        <f t="shared" si="111"/>
        <v>0</v>
      </c>
      <c r="BA447" s="166"/>
      <c r="BB447" s="166">
        <f t="shared" si="112"/>
        <v>0</v>
      </c>
    </row>
    <row r="448" spans="1:54" ht="31.5">
      <c r="A448" s="148" t="s">
        <v>6974</v>
      </c>
      <c r="B448" s="203" t="s">
        <v>6975</v>
      </c>
      <c r="C448" s="203"/>
      <c r="D448" s="203"/>
      <c r="E448" s="203" t="s">
        <v>6977</v>
      </c>
      <c r="F448" s="205" t="s">
        <v>6978</v>
      </c>
      <c r="G448" s="205" t="s">
        <v>6979</v>
      </c>
      <c r="H448" s="204" t="s">
        <v>6976</v>
      </c>
      <c r="I448" s="204" t="s">
        <v>11</v>
      </c>
      <c r="J448" s="205" t="s">
        <v>6637</v>
      </c>
      <c r="K448" s="206">
        <v>350</v>
      </c>
      <c r="L448" s="206"/>
      <c r="M448" s="159">
        <f t="shared" si="98"/>
        <v>0</v>
      </c>
      <c r="N448" s="159"/>
      <c r="O448" s="159"/>
      <c r="P448" s="159"/>
      <c r="Q448" s="159"/>
      <c r="R448" s="159"/>
      <c r="S448" s="149" t="s">
        <v>5360</v>
      </c>
      <c r="T448" s="150" t="s">
        <v>489</v>
      </c>
      <c r="U448" s="202" t="s">
        <v>4367</v>
      </c>
      <c r="V448" s="204">
        <v>3</v>
      </c>
      <c r="W448" s="203" t="s">
        <v>5104</v>
      </c>
      <c r="X448" s="204" t="s">
        <v>213</v>
      </c>
      <c r="Y448" s="206">
        <v>700.38</v>
      </c>
      <c r="Z448" s="207">
        <v>400000</v>
      </c>
      <c r="AA448" s="207">
        <f t="shared" si="99"/>
        <v>140000000</v>
      </c>
      <c r="AB448" s="157">
        <v>400000</v>
      </c>
      <c r="AC448" s="158">
        <f t="shared" si="113"/>
        <v>400000</v>
      </c>
      <c r="AD448" s="159">
        <f t="shared" si="100"/>
        <v>0</v>
      </c>
      <c r="AE448" s="160"/>
      <c r="AF448" s="160">
        <f t="shared" si="101"/>
        <v>0</v>
      </c>
      <c r="AG448" s="165"/>
      <c r="AH448" s="161">
        <f t="shared" si="102"/>
        <v>0</v>
      </c>
      <c r="AI448" s="162"/>
      <c r="AJ448" s="162">
        <f t="shared" si="103"/>
        <v>0</v>
      </c>
      <c r="AK448" s="163"/>
      <c r="AL448" s="164">
        <f t="shared" si="104"/>
        <v>0</v>
      </c>
      <c r="AM448" s="161"/>
      <c r="AN448" s="165">
        <f t="shared" si="105"/>
        <v>0</v>
      </c>
      <c r="AO448" s="160">
        <v>0</v>
      </c>
      <c r="AP448" s="166">
        <f t="shared" si="106"/>
        <v>0</v>
      </c>
      <c r="AQ448" s="162"/>
      <c r="AR448" s="162">
        <f t="shared" si="107"/>
        <v>0</v>
      </c>
      <c r="AS448" s="173"/>
      <c r="AT448" s="167">
        <f t="shared" si="108"/>
        <v>0</v>
      </c>
      <c r="AU448" s="163"/>
      <c r="AV448" s="163">
        <f t="shared" si="109"/>
        <v>0</v>
      </c>
      <c r="AW448" s="162"/>
      <c r="AX448" s="168">
        <f t="shared" si="110"/>
        <v>0</v>
      </c>
      <c r="AY448" s="169"/>
      <c r="AZ448" s="170">
        <f t="shared" si="111"/>
        <v>0</v>
      </c>
      <c r="BA448" s="160"/>
      <c r="BB448" s="166">
        <f t="shared" si="112"/>
        <v>0</v>
      </c>
    </row>
    <row r="449" spans="1:54">
      <c r="A449" s="148" t="s">
        <v>6980</v>
      </c>
      <c r="B449" s="203" t="s">
        <v>2470</v>
      </c>
      <c r="C449" s="203"/>
      <c r="D449" s="203"/>
      <c r="E449" s="203" t="s">
        <v>6981</v>
      </c>
      <c r="F449" s="205" t="s">
        <v>6983</v>
      </c>
      <c r="G449" s="205" t="s">
        <v>2385</v>
      </c>
      <c r="H449" s="204" t="s">
        <v>384</v>
      </c>
      <c r="I449" s="204" t="s">
        <v>11</v>
      </c>
      <c r="J449" s="205" t="s">
        <v>6982</v>
      </c>
      <c r="K449" s="206">
        <v>129</v>
      </c>
      <c r="L449" s="206"/>
      <c r="M449" s="159">
        <f t="shared" si="98"/>
        <v>0</v>
      </c>
      <c r="N449" s="159"/>
      <c r="O449" s="159"/>
      <c r="P449" s="159"/>
      <c r="Q449" s="159"/>
      <c r="R449" s="159"/>
      <c r="S449" s="149" t="s">
        <v>2385</v>
      </c>
      <c r="T449" s="150" t="s">
        <v>2380</v>
      </c>
      <c r="U449" s="202" t="s">
        <v>3914</v>
      </c>
      <c r="V449" s="204">
        <v>3</v>
      </c>
      <c r="W449" s="203" t="s">
        <v>5111</v>
      </c>
      <c r="X449" s="204" t="s">
        <v>213</v>
      </c>
      <c r="Y449" s="206">
        <v>500</v>
      </c>
      <c r="Z449" s="207">
        <v>200000</v>
      </c>
      <c r="AA449" s="207">
        <f t="shared" si="99"/>
        <v>25800000</v>
      </c>
      <c r="AB449" s="157">
        <v>200000</v>
      </c>
      <c r="AC449" s="158">
        <f t="shared" si="113"/>
        <v>200000</v>
      </c>
      <c r="AD449" s="159">
        <f t="shared" si="100"/>
        <v>0</v>
      </c>
      <c r="AE449" s="160"/>
      <c r="AF449" s="160">
        <f t="shared" si="101"/>
        <v>0</v>
      </c>
      <c r="AG449" s="165"/>
      <c r="AH449" s="161">
        <f t="shared" si="102"/>
        <v>0</v>
      </c>
      <c r="AI449" s="162"/>
      <c r="AJ449" s="162">
        <f t="shared" si="103"/>
        <v>0</v>
      </c>
      <c r="AK449" s="164"/>
      <c r="AL449" s="164">
        <f t="shared" si="104"/>
        <v>0</v>
      </c>
      <c r="AM449" s="165"/>
      <c r="AN449" s="165">
        <f t="shared" si="105"/>
        <v>0</v>
      </c>
      <c r="AO449" s="166">
        <v>0</v>
      </c>
      <c r="AP449" s="166">
        <f t="shared" si="106"/>
        <v>0</v>
      </c>
      <c r="AQ449" s="162"/>
      <c r="AR449" s="162">
        <f t="shared" si="107"/>
        <v>0</v>
      </c>
      <c r="AS449" s="173"/>
      <c r="AT449" s="167">
        <f t="shared" si="108"/>
        <v>0</v>
      </c>
      <c r="AU449" s="163"/>
      <c r="AV449" s="163">
        <f t="shared" si="109"/>
        <v>0</v>
      </c>
      <c r="AW449" s="168"/>
      <c r="AX449" s="168">
        <f t="shared" si="110"/>
        <v>0</v>
      </c>
      <c r="AY449" s="170"/>
      <c r="AZ449" s="170">
        <f t="shared" si="111"/>
        <v>0</v>
      </c>
      <c r="BA449" s="166"/>
      <c r="BB449" s="166">
        <f t="shared" si="112"/>
        <v>0</v>
      </c>
    </row>
    <row r="450" spans="1:54">
      <c r="A450" s="172" t="s">
        <v>6984</v>
      </c>
      <c r="B450" s="203" t="s">
        <v>4392</v>
      </c>
      <c r="C450" s="203"/>
      <c r="D450" s="203"/>
      <c r="E450" s="203" t="s">
        <v>1882</v>
      </c>
      <c r="F450" s="205" t="s">
        <v>1883</v>
      </c>
      <c r="G450" s="205" t="s">
        <v>2385</v>
      </c>
      <c r="H450" s="204" t="s">
        <v>291</v>
      </c>
      <c r="I450" s="204" t="s">
        <v>11</v>
      </c>
      <c r="J450" s="205" t="s">
        <v>6982</v>
      </c>
      <c r="K450" s="206">
        <v>508</v>
      </c>
      <c r="L450" s="206"/>
      <c r="M450" s="159">
        <f t="shared" si="98"/>
        <v>2500</v>
      </c>
      <c r="N450" s="159"/>
      <c r="O450" s="159"/>
      <c r="P450" s="159"/>
      <c r="Q450" s="159"/>
      <c r="R450" s="159"/>
      <c r="S450" s="149" t="s">
        <v>2385</v>
      </c>
      <c r="T450" s="150" t="s">
        <v>2380</v>
      </c>
      <c r="U450" s="202" t="s">
        <v>4391</v>
      </c>
      <c r="V450" s="204">
        <v>3</v>
      </c>
      <c r="W450" s="203" t="s">
        <v>5104</v>
      </c>
      <c r="X450" s="204" t="s">
        <v>213</v>
      </c>
      <c r="Y450" s="206">
        <v>770</v>
      </c>
      <c r="Z450" s="207">
        <v>30000</v>
      </c>
      <c r="AA450" s="207">
        <f t="shared" si="99"/>
        <v>15240000</v>
      </c>
      <c r="AB450" s="157">
        <v>30000</v>
      </c>
      <c r="AC450" s="158">
        <f t="shared" si="113"/>
        <v>27500</v>
      </c>
      <c r="AD450" s="159">
        <f t="shared" si="100"/>
        <v>1270000</v>
      </c>
      <c r="AE450" s="160"/>
      <c r="AF450" s="160">
        <f t="shared" si="101"/>
        <v>0</v>
      </c>
      <c r="AG450" s="165">
        <v>2000</v>
      </c>
      <c r="AH450" s="161">
        <f t="shared" si="102"/>
        <v>1016000</v>
      </c>
      <c r="AI450" s="162"/>
      <c r="AJ450" s="162">
        <f t="shared" si="103"/>
        <v>0</v>
      </c>
      <c r="AK450" s="164"/>
      <c r="AL450" s="164">
        <f t="shared" si="104"/>
        <v>0</v>
      </c>
      <c r="AM450" s="165">
        <v>500</v>
      </c>
      <c r="AN450" s="165">
        <f t="shared" si="105"/>
        <v>254000</v>
      </c>
      <c r="AO450" s="166">
        <v>0</v>
      </c>
      <c r="AP450" s="166">
        <f t="shared" si="106"/>
        <v>0</v>
      </c>
      <c r="AQ450" s="162"/>
      <c r="AR450" s="162">
        <f t="shared" si="107"/>
        <v>0</v>
      </c>
      <c r="AS450" s="173"/>
      <c r="AT450" s="167">
        <f t="shared" si="108"/>
        <v>0</v>
      </c>
      <c r="AU450" s="163"/>
      <c r="AV450" s="163">
        <f t="shared" si="109"/>
        <v>0</v>
      </c>
      <c r="AW450" s="168"/>
      <c r="AX450" s="168">
        <f t="shared" si="110"/>
        <v>0</v>
      </c>
      <c r="AY450" s="170"/>
      <c r="AZ450" s="170">
        <f t="shared" si="111"/>
        <v>0</v>
      </c>
      <c r="BA450" s="166"/>
      <c r="BB450" s="166">
        <f t="shared" si="112"/>
        <v>0</v>
      </c>
    </row>
    <row r="451" spans="1:54" ht="31.5">
      <c r="A451" s="148" t="s">
        <v>6985</v>
      </c>
      <c r="B451" s="203" t="s">
        <v>560</v>
      </c>
      <c r="C451" s="203"/>
      <c r="D451" s="203"/>
      <c r="E451" s="203" t="s">
        <v>939</v>
      </c>
      <c r="F451" s="205" t="s">
        <v>6990</v>
      </c>
      <c r="G451" s="205" t="s">
        <v>806</v>
      </c>
      <c r="H451" s="204" t="s">
        <v>299</v>
      </c>
      <c r="I451" s="204" t="s">
        <v>12</v>
      </c>
      <c r="J451" s="205" t="s">
        <v>6989</v>
      </c>
      <c r="K451" s="206">
        <v>370</v>
      </c>
      <c r="L451" s="206"/>
      <c r="M451" s="159">
        <f t="shared" si="98"/>
        <v>0</v>
      </c>
      <c r="N451" s="159"/>
      <c r="O451" s="159"/>
      <c r="P451" s="159"/>
      <c r="Q451" s="159"/>
      <c r="R451" s="159"/>
      <c r="S451" s="149" t="s">
        <v>6986</v>
      </c>
      <c r="T451" s="149" t="s">
        <v>6987</v>
      </c>
      <c r="U451" s="202" t="s">
        <v>6988</v>
      </c>
      <c r="V451" s="204">
        <v>3</v>
      </c>
      <c r="W451" s="203" t="s">
        <v>5104</v>
      </c>
      <c r="X451" s="204" t="s">
        <v>213</v>
      </c>
      <c r="Y451" s="206">
        <v>810</v>
      </c>
      <c r="Z451" s="207">
        <v>50000</v>
      </c>
      <c r="AA451" s="207">
        <f t="shared" si="99"/>
        <v>18500000</v>
      </c>
      <c r="AB451" s="157">
        <v>50000</v>
      </c>
      <c r="AC451" s="158">
        <f t="shared" si="113"/>
        <v>50000</v>
      </c>
      <c r="AD451" s="159">
        <f t="shared" si="100"/>
        <v>0</v>
      </c>
      <c r="AE451" s="160"/>
      <c r="AF451" s="160">
        <f t="shared" si="101"/>
        <v>0</v>
      </c>
      <c r="AG451" s="165"/>
      <c r="AH451" s="161">
        <f t="shared" si="102"/>
        <v>0</v>
      </c>
      <c r="AI451" s="162"/>
      <c r="AJ451" s="162">
        <f t="shared" si="103"/>
        <v>0</v>
      </c>
      <c r="AK451" s="164"/>
      <c r="AL451" s="164">
        <f t="shared" si="104"/>
        <v>0</v>
      </c>
      <c r="AM451" s="165"/>
      <c r="AN451" s="165">
        <f t="shared" si="105"/>
        <v>0</v>
      </c>
      <c r="AO451" s="166">
        <v>0</v>
      </c>
      <c r="AP451" s="166">
        <f t="shared" si="106"/>
        <v>0</v>
      </c>
      <c r="AQ451" s="162"/>
      <c r="AR451" s="162">
        <f t="shared" si="107"/>
        <v>0</v>
      </c>
      <c r="AS451" s="173"/>
      <c r="AT451" s="167">
        <f t="shared" si="108"/>
        <v>0</v>
      </c>
      <c r="AU451" s="163"/>
      <c r="AV451" s="163">
        <f t="shared" si="109"/>
        <v>0</v>
      </c>
      <c r="AW451" s="168"/>
      <c r="AX451" s="168">
        <f t="shared" si="110"/>
        <v>0</v>
      </c>
      <c r="AY451" s="170"/>
      <c r="AZ451" s="170">
        <f t="shared" si="111"/>
        <v>0</v>
      </c>
      <c r="BA451" s="166"/>
      <c r="BB451" s="166">
        <f t="shared" si="112"/>
        <v>0</v>
      </c>
    </row>
    <row r="452" spans="1:54" ht="31.5">
      <c r="A452" s="148" t="s">
        <v>6991</v>
      </c>
      <c r="B452" s="203" t="s">
        <v>560</v>
      </c>
      <c r="C452" s="203"/>
      <c r="D452" s="203"/>
      <c r="E452" s="203" t="s">
        <v>1148</v>
      </c>
      <c r="F452" s="205" t="s">
        <v>1150</v>
      </c>
      <c r="G452" s="205" t="s">
        <v>6907</v>
      </c>
      <c r="H452" s="204" t="s">
        <v>1149</v>
      </c>
      <c r="I452" s="204" t="s">
        <v>520</v>
      </c>
      <c r="J452" s="205" t="s">
        <v>6992</v>
      </c>
      <c r="K452" s="206">
        <v>3675</v>
      </c>
      <c r="L452" s="206"/>
      <c r="M452" s="159">
        <f t="shared" ref="M452:M515" si="114">AE452+AG452+AI452+AK452+AM452+AO452+AQ452+AS452+AU452+AW452+AY452+BA452</f>
        <v>0</v>
      </c>
      <c r="N452" s="159"/>
      <c r="O452" s="159"/>
      <c r="P452" s="159"/>
      <c r="Q452" s="159"/>
      <c r="R452" s="159"/>
      <c r="S452" s="149" t="s">
        <v>5830</v>
      </c>
      <c r="T452" s="149" t="s">
        <v>5831</v>
      </c>
      <c r="U452" s="202" t="s">
        <v>3939</v>
      </c>
      <c r="V452" s="204">
        <v>3</v>
      </c>
      <c r="W452" s="203" t="s">
        <v>253</v>
      </c>
      <c r="X452" s="204" t="s">
        <v>213</v>
      </c>
      <c r="Y452" s="206">
        <v>3675</v>
      </c>
      <c r="Z452" s="207">
        <v>100000</v>
      </c>
      <c r="AA452" s="207">
        <f t="shared" ref="AA452:AA515" si="115">Z452*K452</f>
        <v>367500000</v>
      </c>
      <c r="AB452" s="157">
        <v>100000</v>
      </c>
      <c r="AC452" s="158">
        <f t="shared" si="113"/>
        <v>100000</v>
      </c>
      <c r="AD452" s="159">
        <f t="shared" ref="AD452:AD515" si="116">M452*K452</f>
        <v>0</v>
      </c>
      <c r="AE452" s="160"/>
      <c r="AF452" s="160">
        <f t="shared" ref="AF452:AF515" si="117">AE452*K452</f>
        <v>0</v>
      </c>
      <c r="AG452" s="165"/>
      <c r="AH452" s="161">
        <f t="shared" ref="AH452:AH515" si="118">AG452*K452</f>
        <v>0</v>
      </c>
      <c r="AI452" s="162"/>
      <c r="AJ452" s="162">
        <f t="shared" ref="AJ452:AJ515" si="119">AI452*K452</f>
        <v>0</v>
      </c>
      <c r="AK452" s="164"/>
      <c r="AL452" s="164">
        <f t="shared" ref="AL452:AL515" si="120">AK452*K452</f>
        <v>0</v>
      </c>
      <c r="AM452" s="165"/>
      <c r="AN452" s="165">
        <f t="shared" ref="AN452:AN515" si="121">AM452*K452</f>
        <v>0</v>
      </c>
      <c r="AO452" s="166">
        <v>0</v>
      </c>
      <c r="AP452" s="166">
        <f t="shared" ref="AP452:AP515" si="122">AO452*K452</f>
        <v>0</v>
      </c>
      <c r="AQ452" s="162"/>
      <c r="AR452" s="162">
        <f t="shared" ref="AR452:AR515" si="123">AQ452*K452</f>
        <v>0</v>
      </c>
      <c r="AS452" s="173"/>
      <c r="AT452" s="167">
        <f t="shared" ref="AT452:AT515" si="124">AS452*K452</f>
        <v>0</v>
      </c>
      <c r="AU452" s="163"/>
      <c r="AV452" s="163">
        <f t="shared" ref="AV452:AV515" si="125">AU452*K452</f>
        <v>0</v>
      </c>
      <c r="AW452" s="168"/>
      <c r="AX452" s="168">
        <f t="shared" ref="AX452:AX515" si="126">AW452*K452</f>
        <v>0</v>
      </c>
      <c r="AY452" s="170"/>
      <c r="AZ452" s="170">
        <f t="shared" ref="AZ452:AZ515" si="127">AY452*K452</f>
        <v>0</v>
      </c>
      <c r="BA452" s="166"/>
      <c r="BB452" s="166">
        <f t="shared" ref="BB452:BB515" si="128">BA452*K452</f>
        <v>0</v>
      </c>
    </row>
    <row r="453" spans="1:54" ht="31.5">
      <c r="A453" s="172" t="s">
        <v>6993</v>
      </c>
      <c r="B453" s="203" t="s">
        <v>560</v>
      </c>
      <c r="C453" s="203"/>
      <c r="D453" s="203"/>
      <c r="E453" s="203" t="s">
        <v>4234</v>
      </c>
      <c r="F453" s="205" t="s">
        <v>6995</v>
      </c>
      <c r="G453" s="205" t="s">
        <v>6996</v>
      </c>
      <c r="H453" s="204" t="s">
        <v>4235</v>
      </c>
      <c r="I453" s="204" t="s">
        <v>520</v>
      </c>
      <c r="J453" s="205" t="s">
        <v>6994</v>
      </c>
      <c r="K453" s="206">
        <v>2200</v>
      </c>
      <c r="L453" s="206"/>
      <c r="M453" s="159">
        <f t="shared" si="114"/>
        <v>9984</v>
      </c>
      <c r="N453" s="159"/>
      <c r="O453" s="159"/>
      <c r="P453" s="159"/>
      <c r="Q453" s="159"/>
      <c r="R453" s="159"/>
      <c r="S453" s="149" t="s">
        <v>6224</v>
      </c>
      <c r="T453" s="149" t="s">
        <v>6225</v>
      </c>
      <c r="U453" s="202" t="s">
        <v>4233</v>
      </c>
      <c r="V453" s="204">
        <v>3</v>
      </c>
      <c r="W453" s="203" t="s">
        <v>5535</v>
      </c>
      <c r="X453" s="204" t="s">
        <v>213</v>
      </c>
      <c r="Y453" s="206">
        <v>3400</v>
      </c>
      <c r="Z453" s="207">
        <v>100000</v>
      </c>
      <c r="AA453" s="207">
        <f t="shared" si="115"/>
        <v>220000000</v>
      </c>
      <c r="AB453" s="157">
        <v>100000</v>
      </c>
      <c r="AC453" s="158">
        <f t="shared" si="113"/>
        <v>90016</v>
      </c>
      <c r="AD453" s="159">
        <f t="shared" si="116"/>
        <v>21964800</v>
      </c>
      <c r="AE453" s="160"/>
      <c r="AF453" s="160">
        <f t="shared" si="117"/>
        <v>0</v>
      </c>
      <c r="AG453" s="165">
        <v>9984</v>
      </c>
      <c r="AH453" s="161">
        <f t="shared" si="118"/>
        <v>21964800</v>
      </c>
      <c r="AI453" s="162"/>
      <c r="AJ453" s="162">
        <f t="shared" si="119"/>
        <v>0</v>
      </c>
      <c r="AK453" s="164"/>
      <c r="AL453" s="164">
        <f t="shared" si="120"/>
        <v>0</v>
      </c>
      <c r="AM453" s="165"/>
      <c r="AN453" s="165">
        <f t="shared" si="121"/>
        <v>0</v>
      </c>
      <c r="AO453" s="166">
        <v>0</v>
      </c>
      <c r="AP453" s="166">
        <f t="shared" si="122"/>
        <v>0</v>
      </c>
      <c r="AQ453" s="162"/>
      <c r="AR453" s="162">
        <f t="shared" si="123"/>
        <v>0</v>
      </c>
      <c r="AS453" s="173"/>
      <c r="AT453" s="167">
        <f t="shared" si="124"/>
        <v>0</v>
      </c>
      <c r="AU453" s="163"/>
      <c r="AV453" s="163">
        <f t="shared" si="125"/>
        <v>0</v>
      </c>
      <c r="AW453" s="168"/>
      <c r="AX453" s="168">
        <f t="shared" si="126"/>
        <v>0</v>
      </c>
      <c r="AY453" s="170"/>
      <c r="AZ453" s="170">
        <f t="shared" si="127"/>
        <v>0</v>
      </c>
      <c r="BA453" s="166"/>
      <c r="BB453" s="166">
        <f t="shared" si="128"/>
        <v>0</v>
      </c>
    </row>
    <row r="454" spans="1:54" ht="31.5">
      <c r="A454" s="148" t="s">
        <v>6997</v>
      </c>
      <c r="B454" s="203" t="s">
        <v>560</v>
      </c>
      <c r="C454" s="203"/>
      <c r="D454" s="203"/>
      <c r="E454" s="203" t="s">
        <v>939</v>
      </c>
      <c r="F454" s="205" t="s">
        <v>7000</v>
      </c>
      <c r="G454" s="205" t="s">
        <v>7001</v>
      </c>
      <c r="H454" s="204" t="s">
        <v>299</v>
      </c>
      <c r="I454" s="204" t="s">
        <v>11</v>
      </c>
      <c r="J454" s="205" t="s">
        <v>6999</v>
      </c>
      <c r="K454" s="206">
        <v>210</v>
      </c>
      <c r="L454" s="206"/>
      <c r="M454" s="159">
        <f t="shared" si="114"/>
        <v>0</v>
      </c>
      <c r="N454" s="159"/>
      <c r="O454" s="159"/>
      <c r="P454" s="159"/>
      <c r="Q454" s="159"/>
      <c r="R454" s="159"/>
      <c r="S454" s="150" t="s">
        <v>360</v>
      </c>
      <c r="T454" s="150" t="s">
        <v>358</v>
      </c>
      <c r="U454" s="202" t="s">
        <v>6998</v>
      </c>
      <c r="V454" s="204">
        <v>3</v>
      </c>
      <c r="W454" s="203" t="s">
        <v>5104</v>
      </c>
      <c r="X454" s="204" t="s">
        <v>213</v>
      </c>
      <c r="Y454" s="206">
        <v>470</v>
      </c>
      <c r="Z454" s="207">
        <v>100000</v>
      </c>
      <c r="AA454" s="207">
        <f t="shared" si="115"/>
        <v>21000000</v>
      </c>
      <c r="AB454" s="157">
        <v>100000</v>
      </c>
      <c r="AC454" s="158">
        <f t="shared" si="113"/>
        <v>100000</v>
      </c>
      <c r="AD454" s="159">
        <f t="shared" si="116"/>
        <v>0</v>
      </c>
      <c r="AE454" s="160"/>
      <c r="AF454" s="160">
        <f t="shared" si="117"/>
        <v>0</v>
      </c>
      <c r="AG454" s="165"/>
      <c r="AH454" s="161">
        <f t="shared" si="118"/>
        <v>0</v>
      </c>
      <c r="AI454" s="162"/>
      <c r="AJ454" s="162">
        <f t="shared" si="119"/>
        <v>0</v>
      </c>
      <c r="AK454" s="164"/>
      <c r="AL454" s="164">
        <f t="shared" si="120"/>
        <v>0</v>
      </c>
      <c r="AM454" s="165"/>
      <c r="AN454" s="165">
        <f t="shared" si="121"/>
        <v>0</v>
      </c>
      <c r="AO454" s="166">
        <v>0</v>
      </c>
      <c r="AP454" s="166">
        <f t="shared" si="122"/>
        <v>0</v>
      </c>
      <c r="AQ454" s="162"/>
      <c r="AR454" s="162">
        <f t="shared" si="123"/>
        <v>0</v>
      </c>
      <c r="AS454" s="173"/>
      <c r="AT454" s="167">
        <f t="shared" si="124"/>
        <v>0</v>
      </c>
      <c r="AU454" s="163"/>
      <c r="AV454" s="163">
        <f t="shared" si="125"/>
        <v>0</v>
      </c>
      <c r="AW454" s="168"/>
      <c r="AX454" s="168">
        <f t="shared" si="126"/>
        <v>0</v>
      </c>
      <c r="AY454" s="170"/>
      <c r="AZ454" s="170">
        <f t="shared" si="127"/>
        <v>0</v>
      </c>
      <c r="BA454" s="166"/>
      <c r="BB454" s="166">
        <f t="shared" si="128"/>
        <v>0</v>
      </c>
    </row>
    <row r="455" spans="1:54" ht="31.5">
      <c r="A455" s="148" t="s">
        <v>7002</v>
      </c>
      <c r="B455" s="203" t="s">
        <v>560</v>
      </c>
      <c r="C455" s="203"/>
      <c r="D455" s="203"/>
      <c r="E455" s="203" t="s">
        <v>1944</v>
      </c>
      <c r="F455" s="205" t="s">
        <v>1945</v>
      </c>
      <c r="G455" s="205" t="s">
        <v>1946</v>
      </c>
      <c r="H455" s="204" t="s">
        <v>258</v>
      </c>
      <c r="I455" s="204" t="s">
        <v>11</v>
      </c>
      <c r="J455" s="205" t="s">
        <v>7003</v>
      </c>
      <c r="K455" s="206">
        <v>1092</v>
      </c>
      <c r="L455" s="206"/>
      <c r="M455" s="159">
        <f t="shared" si="114"/>
        <v>4200</v>
      </c>
      <c r="N455" s="159"/>
      <c r="O455" s="159"/>
      <c r="P455" s="159"/>
      <c r="Q455" s="159"/>
      <c r="R455" s="159"/>
      <c r="S455" s="150" t="s">
        <v>5340</v>
      </c>
      <c r="T455" s="150" t="s">
        <v>5341</v>
      </c>
      <c r="U455" s="202" t="s">
        <v>3983</v>
      </c>
      <c r="V455" s="204">
        <v>3</v>
      </c>
      <c r="W455" s="203" t="s">
        <v>253</v>
      </c>
      <c r="X455" s="204" t="s">
        <v>213</v>
      </c>
      <c r="Y455" s="206">
        <v>1100</v>
      </c>
      <c r="Z455" s="207">
        <v>100000</v>
      </c>
      <c r="AA455" s="207">
        <f t="shared" si="115"/>
        <v>109200000</v>
      </c>
      <c r="AB455" s="157">
        <v>100000</v>
      </c>
      <c r="AC455" s="158">
        <f t="shared" si="113"/>
        <v>95800</v>
      </c>
      <c r="AD455" s="159">
        <f t="shared" si="116"/>
        <v>4586400</v>
      </c>
      <c r="AE455" s="160"/>
      <c r="AF455" s="160">
        <f t="shared" si="117"/>
        <v>0</v>
      </c>
      <c r="AG455" s="165">
        <v>1200</v>
      </c>
      <c r="AH455" s="161">
        <f t="shared" si="118"/>
        <v>1310400</v>
      </c>
      <c r="AI455" s="162"/>
      <c r="AJ455" s="162">
        <f t="shared" si="119"/>
        <v>0</v>
      </c>
      <c r="AK455" s="164"/>
      <c r="AL455" s="164">
        <f t="shared" si="120"/>
        <v>0</v>
      </c>
      <c r="AM455" s="165"/>
      <c r="AN455" s="165">
        <f t="shared" si="121"/>
        <v>0</v>
      </c>
      <c r="AO455" s="166">
        <v>0</v>
      </c>
      <c r="AP455" s="166">
        <f t="shared" si="122"/>
        <v>0</v>
      </c>
      <c r="AQ455" s="162"/>
      <c r="AR455" s="162">
        <f t="shared" si="123"/>
        <v>0</v>
      </c>
      <c r="AS455" s="173">
        <v>3000</v>
      </c>
      <c r="AT455" s="167">
        <f t="shared" si="124"/>
        <v>3276000</v>
      </c>
      <c r="AU455" s="163"/>
      <c r="AV455" s="163">
        <f t="shared" si="125"/>
        <v>0</v>
      </c>
      <c r="AW455" s="168"/>
      <c r="AX455" s="168">
        <f t="shared" si="126"/>
        <v>0</v>
      </c>
      <c r="AY455" s="170"/>
      <c r="AZ455" s="170">
        <f t="shared" si="127"/>
        <v>0</v>
      </c>
      <c r="BA455" s="166"/>
      <c r="BB455" s="166">
        <f t="shared" si="128"/>
        <v>0</v>
      </c>
    </row>
    <row r="456" spans="1:54" s="115" customFormat="1">
      <c r="A456" s="172" t="s">
        <v>7004</v>
      </c>
      <c r="B456" s="203" t="s">
        <v>661</v>
      </c>
      <c r="C456" s="203"/>
      <c r="D456" s="203"/>
      <c r="E456" s="203" t="s">
        <v>4268</v>
      </c>
      <c r="F456" s="205" t="s">
        <v>7006</v>
      </c>
      <c r="G456" s="205" t="s">
        <v>1268</v>
      </c>
      <c r="H456" s="204" t="s">
        <v>663</v>
      </c>
      <c r="I456" s="204" t="s">
        <v>11</v>
      </c>
      <c r="J456" s="205" t="s">
        <v>7005</v>
      </c>
      <c r="K456" s="206">
        <v>1050</v>
      </c>
      <c r="L456" s="206"/>
      <c r="M456" s="159">
        <f t="shared" si="114"/>
        <v>7980</v>
      </c>
      <c r="N456" s="159"/>
      <c r="O456" s="159"/>
      <c r="P456" s="159"/>
      <c r="Q456" s="159"/>
      <c r="R456" s="159"/>
      <c r="S456" s="150" t="s">
        <v>5368</v>
      </c>
      <c r="T456" s="150" t="s">
        <v>5369</v>
      </c>
      <c r="U456" s="202" t="s">
        <v>4267</v>
      </c>
      <c r="V456" s="204">
        <v>3</v>
      </c>
      <c r="W456" s="203" t="s">
        <v>253</v>
      </c>
      <c r="X456" s="204" t="s">
        <v>213</v>
      </c>
      <c r="Y456" s="206">
        <v>1050</v>
      </c>
      <c r="Z456" s="207">
        <v>30000</v>
      </c>
      <c r="AA456" s="207">
        <f t="shared" si="115"/>
        <v>31500000</v>
      </c>
      <c r="AB456" s="157">
        <v>30000</v>
      </c>
      <c r="AC456" s="158">
        <f t="shared" si="113"/>
        <v>22020</v>
      </c>
      <c r="AD456" s="159">
        <f t="shared" si="116"/>
        <v>8379000</v>
      </c>
      <c r="AE456" s="160"/>
      <c r="AF456" s="160">
        <f t="shared" si="117"/>
        <v>0</v>
      </c>
      <c r="AG456" s="165">
        <v>4980</v>
      </c>
      <c r="AH456" s="161">
        <f t="shared" si="118"/>
        <v>5229000</v>
      </c>
      <c r="AI456" s="162"/>
      <c r="AJ456" s="162">
        <f t="shared" si="119"/>
        <v>0</v>
      </c>
      <c r="AK456" s="163"/>
      <c r="AL456" s="164">
        <f t="shared" si="120"/>
        <v>0</v>
      </c>
      <c r="AM456" s="161">
        <v>3000</v>
      </c>
      <c r="AN456" s="165">
        <f t="shared" si="121"/>
        <v>3150000</v>
      </c>
      <c r="AO456" s="160">
        <v>0</v>
      </c>
      <c r="AP456" s="166">
        <f t="shared" si="122"/>
        <v>0</v>
      </c>
      <c r="AQ456" s="162"/>
      <c r="AR456" s="162">
        <f t="shared" si="123"/>
        <v>0</v>
      </c>
      <c r="AS456" s="173"/>
      <c r="AT456" s="167">
        <f t="shared" si="124"/>
        <v>0</v>
      </c>
      <c r="AU456" s="163"/>
      <c r="AV456" s="163">
        <f t="shared" si="125"/>
        <v>0</v>
      </c>
      <c r="AW456" s="162"/>
      <c r="AX456" s="168">
        <f t="shared" si="126"/>
        <v>0</v>
      </c>
      <c r="AY456" s="169"/>
      <c r="AZ456" s="170">
        <f t="shared" si="127"/>
        <v>0</v>
      </c>
      <c r="BA456" s="160"/>
      <c r="BB456" s="166">
        <f t="shared" si="128"/>
        <v>0</v>
      </c>
    </row>
    <row r="457" spans="1:54" s="115" customFormat="1" ht="31.5">
      <c r="A457" s="148" t="s">
        <v>7007</v>
      </c>
      <c r="B457" s="203" t="s">
        <v>7008</v>
      </c>
      <c r="C457" s="203"/>
      <c r="D457" s="203"/>
      <c r="E457" s="203" t="s">
        <v>4227</v>
      </c>
      <c r="F457" s="205" t="s">
        <v>7010</v>
      </c>
      <c r="G457" s="205" t="s">
        <v>7011</v>
      </c>
      <c r="H457" s="204" t="s">
        <v>4229</v>
      </c>
      <c r="I457" s="204" t="s">
        <v>12</v>
      </c>
      <c r="J457" s="205" t="s">
        <v>7009</v>
      </c>
      <c r="K457" s="206">
        <v>1386</v>
      </c>
      <c r="L457" s="206"/>
      <c r="M457" s="159">
        <f t="shared" si="114"/>
        <v>1150</v>
      </c>
      <c r="N457" s="159"/>
      <c r="O457" s="159"/>
      <c r="P457" s="159"/>
      <c r="Q457" s="159"/>
      <c r="R457" s="159"/>
      <c r="S457" s="150" t="s">
        <v>5323</v>
      </c>
      <c r="T457" s="150" t="s">
        <v>5324</v>
      </c>
      <c r="U457" s="202" t="s">
        <v>4226</v>
      </c>
      <c r="V457" s="204">
        <v>3</v>
      </c>
      <c r="W457" s="203" t="s">
        <v>5104</v>
      </c>
      <c r="X457" s="204" t="s">
        <v>213</v>
      </c>
      <c r="Y457" s="206">
        <v>2400</v>
      </c>
      <c r="Z457" s="207">
        <v>10000</v>
      </c>
      <c r="AA457" s="207">
        <f t="shared" si="115"/>
        <v>13860000</v>
      </c>
      <c r="AB457" s="157">
        <v>10000</v>
      </c>
      <c r="AC457" s="158">
        <f t="shared" si="113"/>
        <v>8850</v>
      </c>
      <c r="AD457" s="159">
        <f t="shared" si="116"/>
        <v>1593900</v>
      </c>
      <c r="AE457" s="160"/>
      <c r="AF457" s="160">
        <f t="shared" si="117"/>
        <v>0</v>
      </c>
      <c r="AG457" s="165">
        <v>1150</v>
      </c>
      <c r="AH457" s="161">
        <f t="shared" si="118"/>
        <v>1593900</v>
      </c>
      <c r="AI457" s="162"/>
      <c r="AJ457" s="162">
        <f t="shared" si="119"/>
        <v>0</v>
      </c>
      <c r="AK457" s="164"/>
      <c r="AL457" s="164">
        <f t="shared" si="120"/>
        <v>0</v>
      </c>
      <c r="AM457" s="165"/>
      <c r="AN457" s="165">
        <f t="shared" si="121"/>
        <v>0</v>
      </c>
      <c r="AO457" s="166">
        <v>0</v>
      </c>
      <c r="AP457" s="166">
        <f t="shared" si="122"/>
        <v>0</v>
      </c>
      <c r="AQ457" s="162"/>
      <c r="AR457" s="162">
        <f t="shared" si="123"/>
        <v>0</v>
      </c>
      <c r="AS457" s="173"/>
      <c r="AT457" s="167">
        <f t="shared" si="124"/>
        <v>0</v>
      </c>
      <c r="AU457" s="163"/>
      <c r="AV457" s="163">
        <f t="shared" si="125"/>
        <v>0</v>
      </c>
      <c r="AW457" s="168"/>
      <c r="AX457" s="168">
        <f t="shared" si="126"/>
        <v>0</v>
      </c>
      <c r="AY457" s="170"/>
      <c r="AZ457" s="170">
        <f t="shared" si="127"/>
        <v>0</v>
      </c>
      <c r="BA457" s="166"/>
      <c r="BB457" s="166">
        <f t="shared" si="128"/>
        <v>0</v>
      </c>
    </row>
    <row r="458" spans="1:54" ht="31.5">
      <c r="A458" s="148" t="s">
        <v>7012</v>
      </c>
      <c r="B458" s="229" t="s">
        <v>513</v>
      </c>
      <c r="C458" s="229"/>
      <c r="D458" s="229"/>
      <c r="E458" s="229" t="s">
        <v>4077</v>
      </c>
      <c r="F458" s="231" t="s">
        <v>7014</v>
      </c>
      <c r="G458" s="231" t="s">
        <v>7015</v>
      </c>
      <c r="H458" s="230" t="s">
        <v>4078</v>
      </c>
      <c r="I458" s="230" t="s">
        <v>520</v>
      </c>
      <c r="J458" s="231" t="s">
        <v>7013</v>
      </c>
      <c r="K458" s="232">
        <v>966</v>
      </c>
      <c r="L458" s="232"/>
      <c r="M458" s="159">
        <f t="shared" si="114"/>
        <v>1000</v>
      </c>
      <c r="N458" s="159"/>
      <c r="O458" s="159"/>
      <c r="P458" s="159"/>
      <c r="Q458" s="159"/>
      <c r="R458" s="159"/>
      <c r="S458" s="149" t="s">
        <v>5417</v>
      </c>
      <c r="T458" s="150" t="s">
        <v>5418</v>
      </c>
      <c r="U458" s="228" t="s">
        <v>4076</v>
      </c>
      <c r="V458" s="230">
        <v>3</v>
      </c>
      <c r="W458" s="229" t="s">
        <v>5104</v>
      </c>
      <c r="X458" s="230" t="s">
        <v>213</v>
      </c>
      <c r="Y458" s="232">
        <v>1350</v>
      </c>
      <c r="Z458" s="233">
        <v>6000</v>
      </c>
      <c r="AA458" s="233">
        <f t="shared" si="115"/>
        <v>5796000</v>
      </c>
      <c r="AB458" s="157">
        <v>6000</v>
      </c>
      <c r="AC458" s="158">
        <f t="shared" si="113"/>
        <v>5000</v>
      </c>
      <c r="AD458" s="159">
        <f t="shared" si="116"/>
        <v>966000</v>
      </c>
      <c r="AE458" s="160"/>
      <c r="AF458" s="160">
        <f t="shared" si="117"/>
        <v>0</v>
      </c>
      <c r="AG458" s="165">
        <v>1000</v>
      </c>
      <c r="AH458" s="161">
        <f t="shared" si="118"/>
        <v>966000</v>
      </c>
      <c r="AI458" s="162"/>
      <c r="AJ458" s="162">
        <f t="shared" si="119"/>
        <v>0</v>
      </c>
      <c r="AK458" s="164"/>
      <c r="AL458" s="164">
        <f t="shared" si="120"/>
        <v>0</v>
      </c>
      <c r="AM458" s="165"/>
      <c r="AN458" s="165">
        <f t="shared" si="121"/>
        <v>0</v>
      </c>
      <c r="AO458" s="166">
        <v>0</v>
      </c>
      <c r="AP458" s="166">
        <f t="shared" si="122"/>
        <v>0</v>
      </c>
      <c r="AQ458" s="162"/>
      <c r="AR458" s="162">
        <f t="shared" si="123"/>
        <v>0</v>
      </c>
      <c r="AS458" s="173"/>
      <c r="AT458" s="167">
        <f t="shared" si="124"/>
        <v>0</v>
      </c>
      <c r="AU458" s="163"/>
      <c r="AV458" s="163">
        <f t="shared" si="125"/>
        <v>0</v>
      </c>
      <c r="AW458" s="168"/>
      <c r="AX458" s="168">
        <f t="shared" si="126"/>
        <v>0</v>
      </c>
      <c r="AY458" s="170"/>
      <c r="AZ458" s="170">
        <f t="shared" si="127"/>
        <v>0</v>
      </c>
      <c r="BA458" s="166"/>
      <c r="BB458" s="166">
        <f t="shared" si="128"/>
        <v>0</v>
      </c>
    </row>
    <row r="459" spans="1:54" s="131" customFormat="1" ht="112.5">
      <c r="A459" s="172" t="s">
        <v>7016</v>
      </c>
      <c r="B459" s="203" t="s">
        <v>513</v>
      </c>
      <c r="C459" s="203"/>
      <c r="D459" s="203"/>
      <c r="E459" s="203" t="s">
        <v>7019</v>
      </c>
      <c r="F459" s="205" t="s">
        <v>7021</v>
      </c>
      <c r="G459" s="205" t="s">
        <v>6510</v>
      </c>
      <c r="H459" s="204" t="s">
        <v>7018</v>
      </c>
      <c r="I459" s="204" t="s">
        <v>15</v>
      </c>
      <c r="J459" s="205" t="s">
        <v>7020</v>
      </c>
      <c r="K459" s="206">
        <v>11130</v>
      </c>
      <c r="L459" s="206"/>
      <c r="M459" s="159">
        <f t="shared" si="114"/>
        <v>0</v>
      </c>
      <c r="N459" s="159"/>
      <c r="O459" s="159"/>
      <c r="P459" s="159"/>
      <c r="Q459" s="159"/>
      <c r="R459" s="159"/>
      <c r="S459" s="209" t="s">
        <v>5848</v>
      </c>
      <c r="T459" s="203" t="s">
        <v>5849</v>
      </c>
      <c r="U459" s="202" t="s">
        <v>7017</v>
      </c>
      <c r="V459" s="204">
        <v>3</v>
      </c>
      <c r="W459" s="203" t="s">
        <v>253</v>
      </c>
      <c r="X459" s="204" t="s">
        <v>213</v>
      </c>
      <c r="Y459" s="206">
        <v>12600</v>
      </c>
      <c r="Z459" s="207">
        <v>1000</v>
      </c>
      <c r="AA459" s="207">
        <f t="shared" si="115"/>
        <v>11130000</v>
      </c>
      <c r="AB459" s="157">
        <v>1000</v>
      </c>
      <c r="AC459" s="158">
        <f t="shared" si="113"/>
        <v>1000</v>
      </c>
      <c r="AD459" s="159">
        <f t="shared" si="116"/>
        <v>0</v>
      </c>
      <c r="AE459" s="160"/>
      <c r="AF459" s="160">
        <f t="shared" si="117"/>
        <v>0</v>
      </c>
      <c r="AG459" s="165"/>
      <c r="AH459" s="161">
        <f t="shared" si="118"/>
        <v>0</v>
      </c>
      <c r="AI459" s="162"/>
      <c r="AJ459" s="162">
        <f t="shared" si="119"/>
        <v>0</v>
      </c>
      <c r="AK459" s="164"/>
      <c r="AL459" s="164">
        <f t="shared" si="120"/>
        <v>0</v>
      </c>
      <c r="AM459" s="165"/>
      <c r="AN459" s="165">
        <f t="shared" si="121"/>
        <v>0</v>
      </c>
      <c r="AO459" s="166">
        <v>0</v>
      </c>
      <c r="AP459" s="166">
        <f t="shared" si="122"/>
        <v>0</v>
      </c>
      <c r="AQ459" s="162"/>
      <c r="AR459" s="162">
        <f t="shared" si="123"/>
        <v>0</v>
      </c>
      <c r="AS459" s="173"/>
      <c r="AT459" s="167">
        <f t="shared" si="124"/>
        <v>0</v>
      </c>
      <c r="AU459" s="163"/>
      <c r="AV459" s="163">
        <f t="shared" si="125"/>
        <v>0</v>
      </c>
      <c r="AW459" s="168"/>
      <c r="AX459" s="168">
        <f t="shared" si="126"/>
        <v>0</v>
      </c>
      <c r="AY459" s="170"/>
      <c r="AZ459" s="170">
        <f t="shared" si="127"/>
        <v>0</v>
      </c>
      <c r="BA459" s="166"/>
      <c r="BB459" s="166">
        <f t="shared" si="128"/>
        <v>0</v>
      </c>
    </row>
    <row r="460" spans="1:54" s="131" customFormat="1" ht="112.5">
      <c r="A460" s="148" t="s">
        <v>7022</v>
      </c>
      <c r="B460" s="203" t="s">
        <v>513</v>
      </c>
      <c r="C460" s="203"/>
      <c r="D460" s="203"/>
      <c r="E460" s="203" t="s">
        <v>1761</v>
      </c>
      <c r="F460" s="205" t="s">
        <v>7026</v>
      </c>
      <c r="G460" s="205" t="s">
        <v>6510</v>
      </c>
      <c r="H460" s="204" t="s">
        <v>7024</v>
      </c>
      <c r="I460" s="204" t="s">
        <v>15</v>
      </c>
      <c r="J460" s="205" t="s">
        <v>7025</v>
      </c>
      <c r="K460" s="206">
        <v>10710</v>
      </c>
      <c r="L460" s="206"/>
      <c r="M460" s="159">
        <f t="shared" si="114"/>
        <v>0</v>
      </c>
      <c r="N460" s="159"/>
      <c r="O460" s="159"/>
      <c r="P460" s="159"/>
      <c r="Q460" s="159"/>
      <c r="R460" s="159"/>
      <c r="S460" s="209" t="s">
        <v>5848</v>
      </c>
      <c r="T460" s="203" t="s">
        <v>5849</v>
      </c>
      <c r="U460" s="202" t="s">
        <v>7023</v>
      </c>
      <c r="V460" s="204">
        <v>3</v>
      </c>
      <c r="W460" s="203" t="s">
        <v>253</v>
      </c>
      <c r="X460" s="204" t="s">
        <v>213</v>
      </c>
      <c r="Y460" s="206">
        <v>13000</v>
      </c>
      <c r="Z460" s="207">
        <v>1000</v>
      </c>
      <c r="AA460" s="207">
        <f t="shared" si="115"/>
        <v>10710000</v>
      </c>
      <c r="AB460" s="157">
        <v>1000</v>
      </c>
      <c r="AC460" s="158">
        <f t="shared" si="113"/>
        <v>1000</v>
      </c>
      <c r="AD460" s="159">
        <f t="shared" si="116"/>
        <v>0</v>
      </c>
      <c r="AE460" s="160"/>
      <c r="AF460" s="160">
        <f t="shared" si="117"/>
        <v>0</v>
      </c>
      <c r="AG460" s="165"/>
      <c r="AH460" s="161">
        <f t="shared" si="118"/>
        <v>0</v>
      </c>
      <c r="AI460" s="162"/>
      <c r="AJ460" s="162">
        <f t="shared" si="119"/>
        <v>0</v>
      </c>
      <c r="AK460" s="164"/>
      <c r="AL460" s="164">
        <f t="shared" si="120"/>
        <v>0</v>
      </c>
      <c r="AM460" s="165"/>
      <c r="AN460" s="165">
        <f t="shared" si="121"/>
        <v>0</v>
      </c>
      <c r="AO460" s="166">
        <v>0</v>
      </c>
      <c r="AP460" s="166">
        <f t="shared" si="122"/>
        <v>0</v>
      </c>
      <c r="AQ460" s="162"/>
      <c r="AR460" s="162">
        <f t="shared" si="123"/>
        <v>0</v>
      </c>
      <c r="AS460" s="173"/>
      <c r="AT460" s="167">
        <f t="shared" si="124"/>
        <v>0</v>
      </c>
      <c r="AU460" s="163"/>
      <c r="AV460" s="163">
        <f t="shared" si="125"/>
        <v>0</v>
      </c>
      <c r="AW460" s="168"/>
      <c r="AX460" s="168">
        <f t="shared" si="126"/>
        <v>0</v>
      </c>
      <c r="AY460" s="170"/>
      <c r="AZ460" s="170">
        <f t="shared" si="127"/>
        <v>0</v>
      </c>
      <c r="BA460" s="166"/>
      <c r="BB460" s="166">
        <f t="shared" si="128"/>
        <v>0</v>
      </c>
    </row>
    <row r="461" spans="1:54" s="131" customFormat="1" ht="112.5">
      <c r="A461" s="148" t="s">
        <v>7027</v>
      </c>
      <c r="B461" s="203" t="s">
        <v>513</v>
      </c>
      <c r="C461" s="203"/>
      <c r="D461" s="203"/>
      <c r="E461" s="203" t="s">
        <v>1761</v>
      </c>
      <c r="F461" s="205" t="s">
        <v>7026</v>
      </c>
      <c r="G461" s="205" t="s">
        <v>6510</v>
      </c>
      <c r="H461" s="204" t="s">
        <v>7029</v>
      </c>
      <c r="I461" s="204" t="s">
        <v>15</v>
      </c>
      <c r="J461" s="205" t="s">
        <v>7030</v>
      </c>
      <c r="K461" s="206">
        <v>13650</v>
      </c>
      <c r="L461" s="206"/>
      <c r="M461" s="159">
        <f t="shared" si="114"/>
        <v>0</v>
      </c>
      <c r="N461" s="159"/>
      <c r="O461" s="159"/>
      <c r="P461" s="159"/>
      <c r="Q461" s="159"/>
      <c r="R461" s="159"/>
      <c r="S461" s="209" t="s">
        <v>5848</v>
      </c>
      <c r="T461" s="203" t="s">
        <v>5849</v>
      </c>
      <c r="U461" s="202" t="s">
        <v>7028</v>
      </c>
      <c r="V461" s="204">
        <v>3</v>
      </c>
      <c r="W461" s="203" t="s">
        <v>253</v>
      </c>
      <c r="X461" s="204" t="s">
        <v>213</v>
      </c>
      <c r="Y461" s="206">
        <v>15000</v>
      </c>
      <c r="Z461" s="207">
        <v>1000</v>
      </c>
      <c r="AA461" s="207">
        <f t="shared" si="115"/>
        <v>13650000</v>
      </c>
      <c r="AB461" s="157">
        <v>1000</v>
      </c>
      <c r="AC461" s="158">
        <f t="shared" si="113"/>
        <v>1000</v>
      </c>
      <c r="AD461" s="159">
        <f t="shared" si="116"/>
        <v>0</v>
      </c>
      <c r="AE461" s="160"/>
      <c r="AF461" s="160">
        <f t="shared" si="117"/>
        <v>0</v>
      </c>
      <c r="AG461" s="165"/>
      <c r="AH461" s="161">
        <f t="shared" si="118"/>
        <v>0</v>
      </c>
      <c r="AI461" s="162"/>
      <c r="AJ461" s="162">
        <f t="shared" si="119"/>
        <v>0</v>
      </c>
      <c r="AK461" s="164"/>
      <c r="AL461" s="164">
        <f t="shared" si="120"/>
        <v>0</v>
      </c>
      <c r="AM461" s="165"/>
      <c r="AN461" s="165">
        <f t="shared" si="121"/>
        <v>0</v>
      </c>
      <c r="AO461" s="166">
        <v>0</v>
      </c>
      <c r="AP461" s="166">
        <f t="shared" si="122"/>
        <v>0</v>
      </c>
      <c r="AQ461" s="162"/>
      <c r="AR461" s="162">
        <f t="shared" si="123"/>
        <v>0</v>
      </c>
      <c r="AS461" s="173"/>
      <c r="AT461" s="167">
        <f t="shared" si="124"/>
        <v>0</v>
      </c>
      <c r="AU461" s="163"/>
      <c r="AV461" s="163">
        <f t="shared" si="125"/>
        <v>0</v>
      </c>
      <c r="AW461" s="168"/>
      <c r="AX461" s="168">
        <f t="shared" si="126"/>
        <v>0</v>
      </c>
      <c r="AY461" s="170"/>
      <c r="AZ461" s="170">
        <f t="shared" si="127"/>
        <v>0</v>
      </c>
      <c r="BA461" s="166"/>
      <c r="BB461" s="166">
        <f t="shared" si="128"/>
        <v>0</v>
      </c>
    </row>
    <row r="462" spans="1:54" s="131" customFormat="1" ht="112.5">
      <c r="A462" s="172" t="s">
        <v>7031</v>
      </c>
      <c r="B462" s="203" t="s">
        <v>513</v>
      </c>
      <c r="C462" s="203"/>
      <c r="D462" s="203"/>
      <c r="E462" s="203" t="s">
        <v>4077</v>
      </c>
      <c r="F462" s="205" t="s">
        <v>7034</v>
      </c>
      <c r="G462" s="205" t="s">
        <v>6510</v>
      </c>
      <c r="H462" s="204" t="s">
        <v>7033</v>
      </c>
      <c r="I462" s="204" t="s">
        <v>15</v>
      </c>
      <c r="J462" s="205" t="s">
        <v>7020</v>
      </c>
      <c r="K462" s="206">
        <v>15225</v>
      </c>
      <c r="L462" s="206"/>
      <c r="M462" s="159">
        <f t="shared" si="114"/>
        <v>0</v>
      </c>
      <c r="N462" s="159"/>
      <c r="O462" s="159"/>
      <c r="P462" s="159"/>
      <c r="Q462" s="159"/>
      <c r="R462" s="159"/>
      <c r="S462" s="209" t="s">
        <v>5848</v>
      </c>
      <c r="T462" s="203" t="s">
        <v>5849</v>
      </c>
      <c r="U462" s="202" t="s">
        <v>7032</v>
      </c>
      <c r="V462" s="204">
        <v>3</v>
      </c>
      <c r="W462" s="203" t="s">
        <v>253</v>
      </c>
      <c r="X462" s="204" t="s">
        <v>213</v>
      </c>
      <c r="Y462" s="206">
        <v>17500</v>
      </c>
      <c r="Z462" s="207">
        <v>500</v>
      </c>
      <c r="AA462" s="207">
        <f t="shared" si="115"/>
        <v>7612500</v>
      </c>
      <c r="AB462" s="157">
        <v>500</v>
      </c>
      <c r="AC462" s="158">
        <f t="shared" si="113"/>
        <v>500</v>
      </c>
      <c r="AD462" s="159">
        <f t="shared" si="116"/>
        <v>0</v>
      </c>
      <c r="AE462" s="160"/>
      <c r="AF462" s="160">
        <f t="shared" si="117"/>
        <v>0</v>
      </c>
      <c r="AG462" s="165"/>
      <c r="AH462" s="161">
        <f t="shared" si="118"/>
        <v>0</v>
      </c>
      <c r="AI462" s="162"/>
      <c r="AJ462" s="162">
        <f t="shared" si="119"/>
        <v>0</v>
      </c>
      <c r="AK462" s="164"/>
      <c r="AL462" s="164">
        <f t="shared" si="120"/>
        <v>0</v>
      </c>
      <c r="AM462" s="165"/>
      <c r="AN462" s="165">
        <f t="shared" si="121"/>
        <v>0</v>
      </c>
      <c r="AO462" s="166">
        <v>0</v>
      </c>
      <c r="AP462" s="166">
        <f t="shared" si="122"/>
        <v>0</v>
      </c>
      <c r="AQ462" s="162"/>
      <c r="AR462" s="162">
        <f t="shared" si="123"/>
        <v>0</v>
      </c>
      <c r="AS462" s="173"/>
      <c r="AT462" s="167">
        <f t="shared" si="124"/>
        <v>0</v>
      </c>
      <c r="AU462" s="163"/>
      <c r="AV462" s="163">
        <f t="shared" si="125"/>
        <v>0</v>
      </c>
      <c r="AW462" s="168"/>
      <c r="AX462" s="168">
        <f t="shared" si="126"/>
        <v>0</v>
      </c>
      <c r="AY462" s="170"/>
      <c r="AZ462" s="170">
        <f t="shared" si="127"/>
        <v>0</v>
      </c>
      <c r="BA462" s="166"/>
      <c r="BB462" s="166">
        <f t="shared" si="128"/>
        <v>0</v>
      </c>
    </row>
    <row r="463" spans="1:54" s="131" customFormat="1" ht="112.5">
      <c r="A463" s="148" t="s">
        <v>7035</v>
      </c>
      <c r="B463" s="203" t="s">
        <v>513</v>
      </c>
      <c r="C463" s="203"/>
      <c r="D463" s="203"/>
      <c r="E463" s="203" t="s">
        <v>2565</v>
      </c>
      <c r="F463" s="205" t="s">
        <v>7039</v>
      </c>
      <c r="G463" s="205" t="s">
        <v>6510</v>
      </c>
      <c r="H463" s="204" t="s">
        <v>7037</v>
      </c>
      <c r="I463" s="204" t="s">
        <v>15</v>
      </c>
      <c r="J463" s="205" t="s">
        <v>7038</v>
      </c>
      <c r="K463" s="206">
        <v>8190</v>
      </c>
      <c r="L463" s="206"/>
      <c r="M463" s="159">
        <f t="shared" si="114"/>
        <v>0</v>
      </c>
      <c r="N463" s="159"/>
      <c r="O463" s="159"/>
      <c r="P463" s="159"/>
      <c r="Q463" s="159"/>
      <c r="R463" s="159"/>
      <c r="S463" s="209" t="s">
        <v>5848</v>
      </c>
      <c r="T463" s="203" t="s">
        <v>5849</v>
      </c>
      <c r="U463" s="202" t="s">
        <v>7036</v>
      </c>
      <c r="V463" s="204">
        <v>3</v>
      </c>
      <c r="W463" s="203" t="s">
        <v>5104</v>
      </c>
      <c r="X463" s="204" t="s">
        <v>213</v>
      </c>
      <c r="Y463" s="206">
        <v>9500</v>
      </c>
      <c r="Z463" s="207">
        <v>1000</v>
      </c>
      <c r="AA463" s="207">
        <f t="shared" si="115"/>
        <v>8190000</v>
      </c>
      <c r="AB463" s="157">
        <v>1000</v>
      </c>
      <c r="AC463" s="158">
        <f t="shared" si="113"/>
        <v>1000</v>
      </c>
      <c r="AD463" s="159">
        <f t="shared" si="116"/>
        <v>0</v>
      </c>
      <c r="AE463" s="160"/>
      <c r="AF463" s="160">
        <f t="shared" si="117"/>
        <v>0</v>
      </c>
      <c r="AG463" s="165"/>
      <c r="AH463" s="161">
        <f t="shared" si="118"/>
        <v>0</v>
      </c>
      <c r="AI463" s="162"/>
      <c r="AJ463" s="162">
        <f t="shared" si="119"/>
        <v>0</v>
      </c>
      <c r="AK463" s="164"/>
      <c r="AL463" s="164">
        <f t="shared" si="120"/>
        <v>0</v>
      </c>
      <c r="AM463" s="165"/>
      <c r="AN463" s="165">
        <f t="shared" si="121"/>
        <v>0</v>
      </c>
      <c r="AO463" s="166">
        <v>0</v>
      </c>
      <c r="AP463" s="166">
        <f t="shared" si="122"/>
        <v>0</v>
      </c>
      <c r="AQ463" s="162"/>
      <c r="AR463" s="162">
        <f t="shared" si="123"/>
        <v>0</v>
      </c>
      <c r="AS463" s="173"/>
      <c r="AT463" s="167">
        <f t="shared" si="124"/>
        <v>0</v>
      </c>
      <c r="AU463" s="163"/>
      <c r="AV463" s="163">
        <f t="shared" si="125"/>
        <v>0</v>
      </c>
      <c r="AW463" s="168"/>
      <c r="AX463" s="168">
        <f t="shared" si="126"/>
        <v>0</v>
      </c>
      <c r="AY463" s="170"/>
      <c r="AZ463" s="170">
        <f t="shared" si="127"/>
        <v>0</v>
      </c>
      <c r="BA463" s="166"/>
      <c r="BB463" s="166">
        <f t="shared" si="128"/>
        <v>0</v>
      </c>
    </row>
    <row r="464" spans="1:54" s="131" customFormat="1" ht="112.5">
      <c r="A464" s="148" t="s">
        <v>7040</v>
      </c>
      <c r="B464" s="213" t="s">
        <v>7042</v>
      </c>
      <c r="C464" s="213"/>
      <c r="D464" s="213"/>
      <c r="E464" s="213" t="s">
        <v>7044</v>
      </c>
      <c r="F464" s="234" t="s">
        <v>7045</v>
      </c>
      <c r="G464" s="234" t="s">
        <v>6510</v>
      </c>
      <c r="H464" s="214" t="s">
        <v>7043</v>
      </c>
      <c r="I464" s="214" t="s">
        <v>15</v>
      </c>
      <c r="J464" s="234" t="s">
        <v>7020</v>
      </c>
      <c r="K464" s="215">
        <v>11025</v>
      </c>
      <c r="L464" s="215"/>
      <c r="M464" s="159">
        <f t="shared" si="114"/>
        <v>0</v>
      </c>
      <c r="N464" s="159"/>
      <c r="O464" s="159"/>
      <c r="P464" s="159"/>
      <c r="Q464" s="159"/>
      <c r="R464" s="159"/>
      <c r="S464" s="209" t="s">
        <v>5848</v>
      </c>
      <c r="T464" s="203" t="s">
        <v>5849</v>
      </c>
      <c r="U464" s="212" t="s">
        <v>7041</v>
      </c>
      <c r="V464" s="214">
        <v>3</v>
      </c>
      <c r="W464" s="213" t="s">
        <v>5104</v>
      </c>
      <c r="X464" s="214" t="s">
        <v>213</v>
      </c>
      <c r="Y464" s="206">
        <v>12500</v>
      </c>
      <c r="Z464" s="216">
        <v>500</v>
      </c>
      <c r="AA464" s="216">
        <f t="shared" si="115"/>
        <v>5512500</v>
      </c>
      <c r="AB464" s="157">
        <v>500</v>
      </c>
      <c r="AC464" s="158">
        <f t="shared" si="113"/>
        <v>500</v>
      </c>
      <c r="AD464" s="159">
        <f t="shared" si="116"/>
        <v>0</v>
      </c>
      <c r="AE464" s="160"/>
      <c r="AF464" s="160">
        <f t="shared" si="117"/>
        <v>0</v>
      </c>
      <c r="AG464" s="165"/>
      <c r="AH464" s="161">
        <f t="shared" si="118"/>
        <v>0</v>
      </c>
      <c r="AI464" s="162"/>
      <c r="AJ464" s="162">
        <f t="shared" si="119"/>
        <v>0</v>
      </c>
      <c r="AK464" s="164"/>
      <c r="AL464" s="164">
        <f t="shared" si="120"/>
        <v>0</v>
      </c>
      <c r="AM464" s="165"/>
      <c r="AN464" s="165">
        <f t="shared" si="121"/>
        <v>0</v>
      </c>
      <c r="AO464" s="166">
        <v>0</v>
      </c>
      <c r="AP464" s="166">
        <f t="shared" si="122"/>
        <v>0</v>
      </c>
      <c r="AQ464" s="162"/>
      <c r="AR464" s="162">
        <f t="shared" si="123"/>
        <v>0</v>
      </c>
      <c r="AS464" s="173"/>
      <c r="AT464" s="167">
        <f t="shared" si="124"/>
        <v>0</v>
      </c>
      <c r="AU464" s="163"/>
      <c r="AV464" s="163">
        <f t="shared" si="125"/>
        <v>0</v>
      </c>
      <c r="AW464" s="168"/>
      <c r="AX464" s="168">
        <f t="shared" si="126"/>
        <v>0</v>
      </c>
      <c r="AY464" s="170"/>
      <c r="AZ464" s="170">
        <f t="shared" si="127"/>
        <v>0</v>
      </c>
      <c r="BA464" s="166"/>
      <c r="BB464" s="166">
        <f t="shared" si="128"/>
        <v>0</v>
      </c>
    </row>
    <row r="465" spans="1:54" s="131" customFormat="1" ht="112.5">
      <c r="A465" s="172" t="s">
        <v>7046</v>
      </c>
      <c r="B465" s="203" t="s">
        <v>7047</v>
      </c>
      <c r="C465" s="203"/>
      <c r="D465" s="203"/>
      <c r="E465" s="203" t="s">
        <v>4154</v>
      </c>
      <c r="F465" s="205" t="s">
        <v>7049</v>
      </c>
      <c r="G465" s="205" t="s">
        <v>6510</v>
      </c>
      <c r="H465" s="204" t="s">
        <v>4156</v>
      </c>
      <c r="I465" s="204" t="s">
        <v>520</v>
      </c>
      <c r="J465" s="205" t="s">
        <v>7048</v>
      </c>
      <c r="K465" s="206">
        <v>2415</v>
      </c>
      <c r="L465" s="206"/>
      <c r="M465" s="159">
        <f t="shared" si="114"/>
        <v>50</v>
      </c>
      <c r="N465" s="159"/>
      <c r="O465" s="159"/>
      <c r="P465" s="159"/>
      <c r="Q465" s="159"/>
      <c r="R465" s="159"/>
      <c r="S465" s="209" t="s">
        <v>5848</v>
      </c>
      <c r="T465" s="203" t="s">
        <v>5849</v>
      </c>
      <c r="U465" s="202" t="s">
        <v>4153</v>
      </c>
      <c r="V465" s="204">
        <v>3</v>
      </c>
      <c r="W465" s="203" t="s">
        <v>5104</v>
      </c>
      <c r="X465" s="204" t="s">
        <v>213</v>
      </c>
      <c r="Y465" s="206">
        <v>2900</v>
      </c>
      <c r="Z465" s="207">
        <v>2000</v>
      </c>
      <c r="AA465" s="207">
        <f t="shared" si="115"/>
        <v>4830000</v>
      </c>
      <c r="AB465" s="157">
        <v>2000</v>
      </c>
      <c r="AC465" s="158">
        <f t="shared" si="113"/>
        <v>1950</v>
      </c>
      <c r="AD465" s="159">
        <f t="shared" si="116"/>
        <v>120750</v>
      </c>
      <c r="AE465" s="160"/>
      <c r="AF465" s="160">
        <f t="shared" si="117"/>
        <v>0</v>
      </c>
      <c r="AG465" s="165"/>
      <c r="AH465" s="161">
        <f t="shared" si="118"/>
        <v>0</v>
      </c>
      <c r="AI465" s="162"/>
      <c r="AJ465" s="162">
        <f t="shared" si="119"/>
        <v>0</v>
      </c>
      <c r="AK465" s="164"/>
      <c r="AL465" s="164">
        <f t="shared" si="120"/>
        <v>0</v>
      </c>
      <c r="AM465" s="165"/>
      <c r="AN465" s="165">
        <f t="shared" si="121"/>
        <v>0</v>
      </c>
      <c r="AO465" s="166">
        <v>0</v>
      </c>
      <c r="AP465" s="166">
        <f t="shared" si="122"/>
        <v>0</v>
      </c>
      <c r="AQ465" s="162"/>
      <c r="AR465" s="162">
        <f t="shared" si="123"/>
        <v>0</v>
      </c>
      <c r="AS465" s="173">
        <v>50</v>
      </c>
      <c r="AT465" s="167">
        <f t="shared" si="124"/>
        <v>120750</v>
      </c>
      <c r="AU465" s="163"/>
      <c r="AV465" s="163">
        <f t="shared" si="125"/>
        <v>0</v>
      </c>
      <c r="AW465" s="168"/>
      <c r="AX465" s="168">
        <f t="shared" si="126"/>
        <v>0</v>
      </c>
      <c r="AY465" s="170"/>
      <c r="AZ465" s="170">
        <f t="shared" si="127"/>
        <v>0</v>
      </c>
      <c r="BA465" s="166"/>
      <c r="BB465" s="166">
        <f t="shared" si="128"/>
        <v>0</v>
      </c>
    </row>
    <row r="466" spans="1:54" s="131" customFormat="1" ht="112.5">
      <c r="A466" s="148" t="s">
        <v>7050</v>
      </c>
      <c r="B466" s="203" t="s">
        <v>2516</v>
      </c>
      <c r="C466" s="203"/>
      <c r="D466" s="203"/>
      <c r="E466" s="203" t="s">
        <v>2515</v>
      </c>
      <c r="F466" s="205" t="s">
        <v>3132</v>
      </c>
      <c r="G466" s="205" t="s">
        <v>6510</v>
      </c>
      <c r="H466" s="204" t="s">
        <v>4447</v>
      </c>
      <c r="I466" s="204" t="s">
        <v>15</v>
      </c>
      <c r="J466" s="205" t="s">
        <v>7051</v>
      </c>
      <c r="K466" s="206">
        <v>18900</v>
      </c>
      <c r="L466" s="206"/>
      <c r="M466" s="159">
        <f t="shared" si="114"/>
        <v>50</v>
      </c>
      <c r="N466" s="159"/>
      <c r="O466" s="159"/>
      <c r="P466" s="159"/>
      <c r="Q466" s="159"/>
      <c r="R466" s="159"/>
      <c r="S466" s="209" t="s">
        <v>5848</v>
      </c>
      <c r="T466" s="203" t="s">
        <v>5849</v>
      </c>
      <c r="U466" s="202" t="s">
        <v>4446</v>
      </c>
      <c r="V466" s="204">
        <v>3</v>
      </c>
      <c r="W466" s="203" t="s">
        <v>5104</v>
      </c>
      <c r="X466" s="204" t="s">
        <v>213</v>
      </c>
      <c r="Y466" s="206">
        <v>21000</v>
      </c>
      <c r="Z466" s="207">
        <v>1000</v>
      </c>
      <c r="AA466" s="207">
        <f t="shared" si="115"/>
        <v>18900000</v>
      </c>
      <c r="AB466" s="157">
        <v>1000</v>
      </c>
      <c r="AC466" s="158">
        <f t="shared" si="113"/>
        <v>950</v>
      </c>
      <c r="AD466" s="159">
        <f t="shared" si="116"/>
        <v>945000</v>
      </c>
      <c r="AE466" s="160"/>
      <c r="AF466" s="160">
        <f t="shared" si="117"/>
        <v>0</v>
      </c>
      <c r="AG466" s="165"/>
      <c r="AH466" s="161">
        <f t="shared" si="118"/>
        <v>0</v>
      </c>
      <c r="AI466" s="162"/>
      <c r="AJ466" s="162">
        <f t="shared" si="119"/>
        <v>0</v>
      </c>
      <c r="AK466" s="164"/>
      <c r="AL466" s="164">
        <f t="shared" si="120"/>
        <v>0</v>
      </c>
      <c r="AM466" s="165">
        <v>20</v>
      </c>
      <c r="AN466" s="165">
        <f t="shared" si="121"/>
        <v>378000</v>
      </c>
      <c r="AO466" s="166">
        <v>0</v>
      </c>
      <c r="AP466" s="166">
        <f t="shared" si="122"/>
        <v>0</v>
      </c>
      <c r="AQ466" s="162"/>
      <c r="AR466" s="162">
        <f t="shared" si="123"/>
        <v>0</v>
      </c>
      <c r="AS466" s="173">
        <v>30</v>
      </c>
      <c r="AT466" s="167">
        <f t="shared" si="124"/>
        <v>567000</v>
      </c>
      <c r="AU466" s="163"/>
      <c r="AV466" s="163">
        <f t="shared" si="125"/>
        <v>0</v>
      </c>
      <c r="AW466" s="168"/>
      <c r="AX466" s="168">
        <f t="shared" si="126"/>
        <v>0</v>
      </c>
      <c r="AY466" s="170"/>
      <c r="AZ466" s="170">
        <f t="shared" si="127"/>
        <v>0</v>
      </c>
      <c r="BA466" s="166"/>
      <c r="BB466" s="166">
        <f t="shared" si="128"/>
        <v>0</v>
      </c>
    </row>
    <row r="467" spans="1:54" s="131" customFormat="1" ht="31.5">
      <c r="A467" s="148" t="s">
        <v>7052</v>
      </c>
      <c r="B467" s="203" t="s">
        <v>747</v>
      </c>
      <c r="C467" s="203"/>
      <c r="D467" s="203"/>
      <c r="E467" s="203" t="s">
        <v>7055</v>
      </c>
      <c r="F467" s="205" t="s">
        <v>7057</v>
      </c>
      <c r="G467" s="205" t="s">
        <v>514</v>
      </c>
      <c r="H467" s="204" t="s">
        <v>7054</v>
      </c>
      <c r="I467" s="204" t="s">
        <v>15</v>
      </c>
      <c r="J467" s="205" t="s">
        <v>7056</v>
      </c>
      <c r="K467" s="206">
        <v>12000</v>
      </c>
      <c r="L467" s="206"/>
      <c r="M467" s="159">
        <f t="shared" si="114"/>
        <v>0</v>
      </c>
      <c r="N467" s="159"/>
      <c r="O467" s="159"/>
      <c r="P467" s="159"/>
      <c r="Q467" s="159"/>
      <c r="R467" s="159"/>
      <c r="S467" s="150" t="s">
        <v>5118</v>
      </c>
      <c r="T467" s="150" t="s">
        <v>5119</v>
      </c>
      <c r="U467" s="202" t="s">
        <v>7053</v>
      </c>
      <c r="V467" s="204">
        <v>3</v>
      </c>
      <c r="W467" s="203" t="s">
        <v>5104</v>
      </c>
      <c r="X467" s="204" t="s">
        <v>213</v>
      </c>
      <c r="Y467" s="206">
        <v>12003</v>
      </c>
      <c r="Z467" s="207">
        <v>500</v>
      </c>
      <c r="AA467" s="207">
        <f t="shared" si="115"/>
        <v>6000000</v>
      </c>
      <c r="AB467" s="157">
        <v>500</v>
      </c>
      <c r="AC467" s="158">
        <f t="shared" si="113"/>
        <v>500</v>
      </c>
      <c r="AD467" s="159">
        <f t="shared" si="116"/>
        <v>0</v>
      </c>
      <c r="AE467" s="160"/>
      <c r="AF467" s="160">
        <f t="shared" si="117"/>
        <v>0</v>
      </c>
      <c r="AG467" s="165"/>
      <c r="AH467" s="161">
        <f t="shared" si="118"/>
        <v>0</v>
      </c>
      <c r="AI467" s="162"/>
      <c r="AJ467" s="162">
        <f t="shared" si="119"/>
        <v>0</v>
      </c>
      <c r="AK467" s="164"/>
      <c r="AL467" s="164">
        <f t="shared" si="120"/>
        <v>0</v>
      </c>
      <c r="AM467" s="165"/>
      <c r="AN467" s="165">
        <f t="shared" si="121"/>
        <v>0</v>
      </c>
      <c r="AO467" s="166">
        <v>0</v>
      </c>
      <c r="AP467" s="166">
        <f t="shared" si="122"/>
        <v>0</v>
      </c>
      <c r="AQ467" s="162"/>
      <c r="AR467" s="162">
        <f t="shared" si="123"/>
        <v>0</v>
      </c>
      <c r="AS467" s="173"/>
      <c r="AT467" s="167">
        <f t="shared" si="124"/>
        <v>0</v>
      </c>
      <c r="AU467" s="163"/>
      <c r="AV467" s="163">
        <f t="shared" si="125"/>
        <v>0</v>
      </c>
      <c r="AW467" s="168"/>
      <c r="AX467" s="168">
        <f t="shared" si="126"/>
        <v>0</v>
      </c>
      <c r="AY467" s="170"/>
      <c r="AZ467" s="170">
        <f t="shared" si="127"/>
        <v>0</v>
      </c>
      <c r="BA467" s="166"/>
      <c r="BB467" s="166">
        <f t="shared" si="128"/>
        <v>0</v>
      </c>
    </row>
    <row r="468" spans="1:54" s="131" customFormat="1" ht="31.5">
      <c r="A468" s="172" t="s">
        <v>7058</v>
      </c>
      <c r="B468" s="203" t="s">
        <v>747</v>
      </c>
      <c r="C468" s="203"/>
      <c r="D468" s="203"/>
      <c r="E468" s="203" t="s">
        <v>7061</v>
      </c>
      <c r="F468" s="205" t="s">
        <v>7063</v>
      </c>
      <c r="G468" s="205" t="s">
        <v>514</v>
      </c>
      <c r="H468" s="204" t="s">
        <v>7060</v>
      </c>
      <c r="I468" s="204" t="s">
        <v>15</v>
      </c>
      <c r="J468" s="205" t="s">
        <v>7062</v>
      </c>
      <c r="K468" s="206">
        <v>14910</v>
      </c>
      <c r="L468" s="206"/>
      <c r="M468" s="159">
        <f t="shared" si="114"/>
        <v>0</v>
      </c>
      <c r="N468" s="159"/>
      <c r="O468" s="159"/>
      <c r="P468" s="159"/>
      <c r="Q468" s="159"/>
      <c r="R468" s="159"/>
      <c r="S468" s="150" t="s">
        <v>5118</v>
      </c>
      <c r="T468" s="150" t="s">
        <v>5119</v>
      </c>
      <c r="U468" s="202" t="s">
        <v>7059</v>
      </c>
      <c r="V468" s="204">
        <v>3</v>
      </c>
      <c r="W468" s="203" t="s">
        <v>5104</v>
      </c>
      <c r="X468" s="204" t="s">
        <v>213</v>
      </c>
      <c r="Y468" s="206">
        <v>21608</v>
      </c>
      <c r="Z468" s="207">
        <v>1000</v>
      </c>
      <c r="AA468" s="207">
        <f t="shared" si="115"/>
        <v>14910000</v>
      </c>
      <c r="AB468" s="157">
        <v>1000</v>
      </c>
      <c r="AC468" s="158">
        <f t="shared" si="113"/>
        <v>1000</v>
      </c>
      <c r="AD468" s="159">
        <f t="shared" si="116"/>
        <v>0</v>
      </c>
      <c r="AE468" s="160"/>
      <c r="AF468" s="160">
        <f t="shared" si="117"/>
        <v>0</v>
      </c>
      <c r="AG468" s="165"/>
      <c r="AH468" s="161">
        <f t="shared" si="118"/>
        <v>0</v>
      </c>
      <c r="AI468" s="162"/>
      <c r="AJ468" s="162">
        <f t="shared" si="119"/>
        <v>0</v>
      </c>
      <c r="AK468" s="164"/>
      <c r="AL468" s="164">
        <f t="shared" si="120"/>
        <v>0</v>
      </c>
      <c r="AM468" s="165"/>
      <c r="AN468" s="165">
        <f t="shared" si="121"/>
        <v>0</v>
      </c>
      <c r="AO468" s="166">
        <v>0</v>
      </c>
      <c r="AP468" s="166">
        <f t="shared" si="122"/>
        <v>0</v>
      </c>
      <c r="AQ468" s="162"/>
      <c r="AR468" s="162">
        <f t="shared" si="123"/>
        <v>0</v>
      </c>
      <c r="AS468" s="173"/>
      <c r="AT468" s="167">
        <f t="shared" si="124"/>
        <v>0</v>
      </c>
      <c r="AU468" s="163"/>
      <c r="AV468" s="163">
        <f t="shared" si="125"/>
        <v>0</v>
      </c>
      <c r="AW468" s="168"/>
      <c r="AX468" s="168">
        <f t="shared" si="126"/>
        <v>0</v>
      </c>
      <c r="AY468" s="170"/>
      <c r="AZ468" s="170">
        <f t="shared" si="127"/>
        <v>0</v>
      </c>
      <c r="BA468" s="166"/>
      <c r="BB468" s="166">
        <f t="shared" si="128"/>
        <v>0</v>
      </c>
    </row>
    <row r="469" spans="1:54" s="131" customFormat="1" ht="112.5">
      <c r="A469" s="148" t="s">
        <v>7064</v>
      </c>
      <c r="B469" s="203" t="s">
        <v>747</v>
      </c>
      <c r="C469" s="203"/>
      <c r="D469" s="203"/>
      <c r="E469" s="203" t="s">
        <v>1068</v>
      </c>
      <c r="F469" s="205" t="s">
        <v>6509</v>
      </c>
      <c r="G469" s="205" t="s">
        <v>6510</v>
      </c>
      <c r="H469" s="204" t="s">
        <v>7066</v>
      </c>
      <c r="I469" s="204" t="s">
        <v>15</v>
      </c>
      <c r="J469" s="205" t="s">
        <v>7038</v>
      </c>
      <c r="K469" s="206">
        <v>7560</v>
      </c>
      <c r="L469" s="206"/>
      <c r="M469" s="159">
        <f t="shared" si="114"/>
        <v>0</v>
      </c>
      <c r="N469" s="159"/>
      <c r="O469" s="159"/>
      <c r="P469" s="159"/>
      <c r="Q469" s="159"/>
      <c r="R469" s="159"/>
      <c r="S469" s="209" t="s">
        <v>5848</v>
      </c>
      <c r="T469" s="203" t="s">
        <v>5849</v>
      </c>
      <c r="U469" s="202" t="s">
        <v>7065</v>
      </c>
      <c r="V469" s="204">
        <v>3</v>
      </c>
      <c r="W469" s="203" t="s">
        <v>5104</v>
      </c>
      <c r="X469" s="204" t="s">
        <v>213</v>
      </c>
      <c r="Y469" s="206">
        <v>8500</v>
      </c>
      <c r="Z469" s="207">
        <v>2000</v>
      </c>
      <c r="AA469" s="207">
        <f t="shared" si="115"/>
        <v>15120000</v>
      </c>
      <c r="AB469" s="157">
        <v>2000</v>
      </c>
      <c r="AC469" s="158">
        <f t="shared" si="113"/>
        <v>2000</v>
      </c>
      <c r="AD469" s="159">
        <f t="shared" si="116"/>
        <v>0</v>
      </c>
      <c r="AE469" s="160"/>
      <c r="AF469" s="160">
        <f t="shared" si="117"/>
        <v>0</v>
      </c>
      <c r="AG469" s="165"/>
      <c r="AH469" s="161">
        <f t="shared" si="118"/>
        <v>0</v>
      </c>
      <c r="AI469" s="162"/>
      <c r="AJ469" s="162">
        <f t="shared" si="119"/>
        <v>0</v>
      </c>
      <c r="AK469" s="164"/>
      <c r="AL469" s="164">
        <f t="shared" si="120"/>
        <v>0</v>
      </c>
      <c r="AM469" s="165"/>
      <c r="AN469" s="165">
        <f t="shared" si="121"/>
        <v>0</v>
      </c>
      <c r="AO469" s="166">
        <v>0</v>
      </c>
      <c r="AP469" s="166">
        <f t="shared" si="122"/>
        <v>0</v>
      </c>
      <c r="AQ469" s="162"/>
      <c r="AR469" s="162">
        <f t="shared" si="123"/>
        <v>0</v>
      </c>
      <c r="AS469" s="173"/>
      <c r="AT469" s="167">
        <f t="shared" si="124"/>
        <v>0</v>
      </c>
      <c r="AU469" s="163"/>
      <c r="AV469" s="163">
        <f t="shared" si="125"/>
        <v>0</v>
      </c>
      <c r="AW469" s="168"/>
      <c r="AX469" s="168">
        <f t="shared" si="126"/>
        <v>0</v>
      </c>
      <c r="AY469" s="170"/>
      <c r="AZ469" s="170">
        <f t="shared" si="127"/>
        <v>0</v>
      </c>
      <c r="BA469" s="166"/>
      <c r="BB469" s="166">
        <f t="shared" si="128"/>
        <v>0</v>
      </c>
    </row>
    <row r="470" spans="1:54" s="131" customFormat="1" ht="112.5">
      <c r="A470" s="148" t="s">
        <v>7067</v>
      </c>
      <c r="B470" s="203" t="s">
        <v>747</v>
      </c>
      <c r="C470" s="203"/>
      <c r="D470" s="203"/>
      <c r="E470" s="203" t="s">
        <v>1068</v>
      </c>
      <c r="F470" s="205" t="s">
        <v>6509</v>
      </c>
      <c r="G470" s="205" t="s">
        <v>6510</v>
      </c>
      <c r="H470" s="204" t="s">
        <v>4449</v>
      </c>
      <c r="I470" s="204" t="s">
        <v>15</v>
      </c>
      <c r="J470" s="205" t="s">
        <v>6508</v>
      </c>
      <c r="K470" s="206">
        <v>8820</v>
      </c>
      <c r="L470" s="206"/>
      <c r="M470" s="159">
        <f t="shared" si="114"/>
        <v>500</v>
      </c>
      <c r="N470" s="159"/>
      <c r="O470" s="159"/>
      <c r="P470" s="159"/>
      <c r="Q470" s="159"/>
      <c r="R470" s="159"/>
      <c r="S470" s="209" t="s">
        <v>5848</v>
      </c>
      <c r="T470" s="203" t="s">
        <v>5849</v>
      </c>
      <c r="U470" s="202" t="s">
        <v>7068</v>
      </c>
      <c r="V470" s="204">
        <v>3</v>
      </c>
      <c r="W470" s="203" t="s">
        <v>5104</v>
      </c>
      <c r="X470" s="204" t="s">
        <v>213</v>
      </c>
      <c r="Y470" s="206">
        <v>10000</v>
      </c>
      <c r="Z470" s="207">
        <v>2000</v>
      </c>
      <c r="AA470" s="207">
        <f t="shared" si="115"/>
        <v>17640000</v>
      </c>
      <c r="AB470" s="157">
        <v>2000</v>
      </c>
      <c r="AC470" s="158">
        <f t="shared" si="113"/>
        <v>1500</v>
      </c>
      <c r="AD470" s="159">
        <f t="shared" si="116"/>
        <v>4410000</v>
      </c>
      <c r="AE470" s="160"/>
      <c r="AF470" s="160">
        <f t="shared" si="117"/>
        <v>0</v>
      </c>
      <c r="AG470" s="165"/>
      <c r="AH470" s="161">
        <f t="shared" si="118"/>
        <v>0</v>
      </c>
      <c r="AI470" s="162"/>
      <c r="AJ470" s="162">
        <f t="shared" si="119"/>
        <v>0</v>
      </c>
      <c r="AK470" s="163"/>
      <c r="AL470" s="164">
        <f t="shared" si="120"/>
        <v>0</v>
      </c>
      <c r="AM470" s="161">
        <v>500</v>
      </c>
      <c r="AN470" s="165">
        <f t="shared" si="121"/>
        <v>4410000</v>
      </c>
      <c r="AO470" s="160">
        <v>0</v>
      </c>
      <c r="AP470" s="166">
        <f t="shared" si="122"/>
        <v>0</v>
      </c>
      <c r="AQ470" s="162"/>
      <c r="AR470" s="162">
        <f t="shared" si="123"/>
        <v>0</v>
      </c>
      <c r="AS470" s="173"/>
      <c r="AT470" s="167">
        <f t="shared" si="124"/>
        <v>0</v>
      </c>
      <c r="AU470" s="163"/>
      <c r="AV470" s="163">
        <f t="shared" si="125"/>
        <v>0</v>
      </c>
      <c r="AW470" s="162"/>
      <c r="AX470" s="168">
        <f t="shared" si="126"/>
        <v>0</v>
      </c>
      <c r="AY470" s="169"/>
      <c r="AZ470" s="170">
        <f t="shared" si="127"/>
        <v>0</v>
      </c>
      <c r="BA470" s="160"/>
      <c r="BB470" s="166">
        <f t="shared" si="128"/>
        <v>0</v>
      </c>
    </row>
    <row r="471" spans="1:54" s="131" customFormat="1" ht="112.5">
      <c r="A471" s="172" t="s">
        <v>7069</v>
      </c>
      <c r="B471" s="203" t="s">
        <v>747</v>
      </c>
      <c r="C471" s="203"/>
      <c r="D471" s="203"/>
      <c r="E471" s="203" t="s">
        <v>1768</v>
      </c>
      <c r="F471" s="205" t="s">
        <v>1770</v>
      </c>
      <c r="G471" s="205" t="s">
        <v>6510</v>
      </c>
      <c r="H471" s="204" t="s">
        <v>1769</v>
      </c>
      <c r="I471" s="204" t="s">
        <v>15</v>
      </c>
      <c r="J471" s="205" t="s">
        <v>7071</v>
      </c>
      <c r="K471" s="206">
        <v>8190</v>
      </c>
      <c r="L471" s="206"/>
      <c r="M471" s="159">
        <f t="shared" si="114"/>
        <v>0</v>
      </c>
      <c r="N471" s="159"/>
      <c r="O471" s="159"/>
      <c r="P471" s="159"/>
      <c r="Q471" s="159"/>
      <c r="R471" s="159"/>
      <c r="S471" s="209" t="s">
        <v>5848</v>
      </c>
      <c r="T471" s="203" t="s">
        <v>5849</v>
      </c>
      <c r="U471" s="202" t="s">
        <v>7070</v>
      </c>
      <c r="V471" s="204">
        <v>3</v>
      </c>
      <c r="W471" s="203" t="s">
        <v>5104</v>
      </c>
      <c r="X471" s="204" t="s">
        <v>213</v>
      </c>
      <c r="Y471" s="206">
        <v>8200</v>
      </c>
      <c r="Z471" s="207">
        <v>500</v>
      </c>
      <c r="AA471" s="207">
        <f t="shared" si="115"/>
        <v>4095000</v>
      </c>
      <c r="AB471" s="157">
        <v>500</v>
      </c>
      <c r="AC471" s="158">
        <f t="shared" si="113"/>
        <v>500</v>
      </c>
      <c r="AD471" s="159">
        <f t="shared" si="116"/>
        <v>0</v>
      </c>
      <c r="AE471" s="160"/>
      <c r="AF471" s="160">
        <f t="shared" si="117"/>
        <v>0</v>
      </c>
      <c r="AG471" s="165"/>
      <c r="AH471" s="161">
        <f t="shared" si="118"/>
        <v>0</v>
      </c>
      <c r="AI471" s="162"/>
      <c r="AJ471" s="162">
        <f t="shared" si="119"/>
        <v>0</v>
      </c>
      <c r="AK471" s="164"/>
      <c r="AL471" s="164">
        <f t="shared" si="120"/>
        <v>0</v>
      </c>
      <c r="AM471" s="165"/>
      <c r="AN471" s="165">
        <f t="shared" si="121"/>
        <v>0</v>
      </c>
      <c r="AO471" s="166">
        <v>0</v>
      </c>
      <c r="AP471" s="166">
        <f t="shared" si="122"/>
        <v>0</v>
      </c>
      <c r="AQ471" s="162"/>
      <c r="AR471" s="162">
        <f t="shared" si="123"/>
        <v>0</v>
      </c>
      <c r="AS471" s="173"/>
      <c r="AT471" s="167">
        <f t="shared" si="124"/>
        <v>0</v>
      </c>
      <c r="AU471" s="163"/>
      <c r="AV471" s="163">
        <f t="shared" si="125"/>
        <v>0</v>
      </c>
      <c r="AW471" s="168"/>
      <c r="AX471" s="168">
        <f t="shared" si="126"/>
        <v>0</v>
      </c>
      <c r="AY471" s="170"/>
      <c r="AZ471" s="170">
        <f t="shared" si="127"/>
        <v>0</v>
      </c>
      <c r="BA471" s="166"/>
      <c r="BB471" s="166">
        <f t="shared" si="128"/>
        <v>0</v>
      </c>
    </row>
    <row r="472" spans="1:54" s="131" customFormat="1" ht="112.5">
      <c r="A472" s="148" t="s">
        <v>7072</v>
      </c>
      <c r="B472" s="203" t="s">
        <v>7074</v>
      </c>
      <c r="C472" s="203"/>
      <c r="D472" s="203"/>
      <c r="E472" s="203" t="s">
        <v>7076</v>
      </c>
      <c r="F472" s="205" t="s">
        <v>7077</v>
      </c>
      <c r="G472" s="205" t="s">
        <v>6510</v>
      </c>
      <c r="H472" s="204" t="s">
        <v>7075</v>
      </c>
      <c r="I472" s="204" t="s">
        <v>15</v>
      </c>
      <c r="J472" s="205" t="s">
        <v>6508</v>
      </c>
      <c r="K472" s="206">
        <v>10500</v>
      </c>
      <c r="L472" s="206"/>
      <c r="M472" s="159">
        <f t="shared" si="114"/>
        <v>0</v>
      </c>
      <c r="N472" s="159"/>
      <c r="O472" s="159"/>
      <c r="P472" s="159"/>
      <c r="Q472" s="159"/>
      <c r="R472" s="159"/>
      <c r="S472" s="209" t="s">
        <v>5848</v>
      </c>
      <c r="T472" s="203" t="s">
        <v>5849</v>
      </c>
      <c r="U472" s="202" t="s">
        <v>7073</v>
      </c>
      <c r="V472" s="204">
        <v>3</v>
      </c>
      <c r="W472" s="203" t="s">
        <v>5104</v>
      </c>
      <c r="X472" s="204" t="s">
        <v>213</v>
      </c>
      <c r="Y472" s="206">
        <v>12000</v>
      </c>
      <c r="Z472" s="207">
        <v>1000</v>
      </c>
      <c r="AA472" s="207">
        <f t="shared" si="115"/>
        <v>10500000</v>
      </c>
      <c r="AB472" s="157">
        <v>1000</v>
      </c>
      <c r="AC472" s="158">
        <f t="shared" si="113"/>
        <v>1000</v>
      </c>
      <c r="AD472" s="159">
        <f t="shared" si="116"/>
        <v>0</v>
      </c>
      <c r="AE472" s="160"/>
      <c r="AF472" s="160">
        <f t="shared" si="117"/>
        <v>0</v>
      </c>
      <c r="AG472" s="165"/>
      <c r="AH472" s="161">
        <f t="shared" si="118"/>
        <v>0</v>
      </c>
      <c r="AI472" s="162"/>
      <c r="AJ472" s="162">
        <f t="shared" si="119"/>
        <v>0</v>
      </c>
      <c r="AK472" s="164"/>
      <c r="AL472" s="164">
        <f t="shared" si="120"/>
        <v>0</v>
      </c>
      <c r="AM472" s="165"/>
      <c r="AN472" s="165">
        <f t="shared" si="121"/>
        <v>0</v>
      </c>
      <c r="AO472" s="166">
        <v>0</v>
      </c>
      <c r="AP472" s="166">
        <f t="shared" si="122"/>
        <v>0</v>
      </c>
      <c r="AQ472" s="162"/>
      <c r="AR472" s="162">
        <f t="shared" si="123"/>
        <v>0</v>
      </c>
      <c r="AS472" s="173"/>
      <c r="AT472" s="167">
        <f t="shared" si="124"/>
        <v>0</v>
      </c>
      <c r="AU472" s="163"/>
      <c r="AV472" s="163">
        <f t="shared" si="125"/>
        <v>0</v>
      </c>
      <c r="AW472" s="168"/>
      <c r="AX472" s="168">
        <f t="shared" si="126"/>
        <v>0</v>
      </c>
      <c r="AY472" s="170"/>
      <c r="AZ472" s="170">
        <f t="shared" si="127"/>
        <v>0</v>
      </c>
      <c r="BA472" s="166"/>
      <c r="BB472" s="166">
        <f t="shared" si="128"/>
        <v>0</v>
      </c>
    </row>
    <row r="473" spans="1:54" s="131" customFormat="1" ht="112.5">
      <c r="A473" s="148" t="s">
        <v>7078</v>
      </c>
      <c r="B473" s="203" t="s">
        <v>758</v>
      </c>
      <c r="C473" s="203"/>
      <c r="D473" s="203"/>
      <c r="E473" s="203" t="s">
        <v>2569</v>
      </c>
      <c r="F473" s="205" t="s">
        <v>3332</v>
      </c>
      <c r="G473" s="205" t="s">
        <v>6510</v>
      </c>
      <c r="H473" s="204" t="s">
        <v>759</v>
      </c>
      <c r="I473" s="204" t="s">
        <v>15</v>
      </c>
      <c r="J473" s="205" t="s">
        <v>6508</v>
      </c>
      <c r="K473" s="206">
        <v>8925</v>
      </c>
      <c r="L473" s="206"/>
      <c r="M473" s="159">
        <f t="shared" si="114"/>
        <v>500</v>
      </c>
      <c r="N473" s="159"/>
      <c r="O473" s="159"/>
      <c r="P473" s="159"/>
      <c r="Q473" s="159"/>
      <c r="R473" s="159"/>
      <c r="S473" s="209" t="s">
        <v>5848</v>
      </c>
      <c r="T473" s="203" t="s">
        <v>5849</v>
      </c>
      <c r="U473" s="202" t="s">
        <v>4456</v>
      </c>
      <c r="V473" s="204">
        <v>3</v>
      </c>
      <c r="W473" s="203" t="s">
        <v>5104</v>
      </c>
      <c r="X473" s="204" t="s">
        <v>213</v>
      </c>
      <c r="Y473" s="206">
        <v>10500</v>
      </c>
      <c r="Z473" s="207">
        <v>2000</v>
      </c>
      <c r="AA473" s="207">
        <f t="shared" si="115"/>
        <v>17850000</v>
      </c>
      <c r="AB473" s="157">
        <v>2000</v>
      </c>
      <c r="AC473" s="158">
        <f t="shared" si="113"/>
        <v>1500</v>
      </c>
      <c r="AD473" s="159">
        <f t="shared" si="116"/>
        <v>4462500</v>
      </c>
      <c r="AE473" s="160"/>
      <c r="AF473" s="160">
        <f t="shared" si="117"/>
        <v>0</v>
      </c>
      <c r="AG473" s="165"/>
      <c r="AH473" s="161">
        <f t="shared" si="118"/>
        <v>0</v>
      </c>
      <c r="AI473" s="162"/>
      <c r="AJ473" s="162">
        <f t="shared" si="119"/>
        <v>0</v>
      </c>
      <c r="AK473" s="164">
        <v>300</v>
      </c>
      <c r="AL473" s="164">
        <f t="shared" si="120"/>
        <v>2677500</v>
      </c>
      <c r="AM473" s="165">
        <v>200</v>
      </c>
      <c r="AN473" s="165">
        <f t="shared" si="121"/>
        <v>1785000</v>
      </c>
      <c r="AO473" s="166">
        <v>0</v>
      </c>
      <c r="AP473" s="166">
        <f t="shared" si="122"/>
        <v>0</v>
      </c>
      <c r="AQ473" s="162"/>
      <c r="AR473" s="162">
        <f t="shared" si="123"/>
        <v>0</v>
      </c>
      <c r="AS473" s="173"/>
      <c r="AT473" s="167">
        <f t="shared" si="124"/>
        <v>0</v>
      </c>
      <c r="AU473" s="163"/>
      <c r="AV473" s="163">
        <f t="shared" si="125"/>
        <v>0</v>
      </c>
      <c r="AW473" s="168"/>
      <c r="AX473" s="168">
        <f t="shared" si="126"/>
        <v>0</v>
      </c>
      <c r="AY473" s="170"/>
      <c r="AZ473" s="170">
        <f t="shared" si="127"/>
        <v>0</v>
      </c>
      <c r="BA473" s="166"/>
      <c r="BB473" s="166">
        <f t="shared" si="128"/>
        <v>0</v>
      </c>
    </row>
    <row r="474" spans="1:54" s="131" customFormat="1" ht="31.5">
      <c r="A474" s="172" t="s">
        <v>7079</v>
      </c>
      <c r="B474" s="203" t="s">
        <v>2485</v>
      </c>
      <c r="C474" s="203"/>
      <c r="D474" s="203"/>
      <c r="E474" s="203" t="s">
        <v>7082</v>
      </c>
      <c r="F474" s="205" t="s">
        <v>7084</v>
      </c>
      <c r="G474" s="205" t="s">
        <v>7085</v>
      </c>
      <c r="H474" s="204" t="s">
        <v>7081</v>
      </c>
      <c r="I474" s="204" t="s">
        <v>16</v>
      </c>
      <c r="J474" s="205" t="s">
        <v>7083</v>
      </c>
      <c r="K474" s="206">
        <v>1700</v>
      </c>
      <c r="L474" s="206"/>
      <c r="M474" s="159">
        <f t="shared" si="114"/>
        <v>0</v>
      </c>
      <c r="N474" s="159"/>
      <c r="O474" s="159"/>
      <c r="P474" s="159"/>
      <c r="Q474" s="159"/>
      <c r="R474" s="159"/>
      <c r="S474" s="150" t="s">
        <v>5293</v>
      </c>
      <c r="T474" s="150" t="s">
        <v>5294</v>
      </c>
      <c r="U474" s="202" t="s">
        <v>7080</v>
      </c>
      <c r="V474" s="204">
        <v>3</v>
      </c>
      <c r="W474" s="203" t="s">
        <v>5104</v>
      </c>
      <c r="X474" s="204" t="s">
        <v>213</v>
      </c>
      <c r="Y474" s="206">
        <v>1910</v>
      </c>
      <c r="Z474" s="207">
        <v>50000</v>
      </c>
      <c r="AA474" s="207">
        <f t="shared" si="115"/>
        <v>85000000</v>
      </c>
      <c r="AB474" s="157">
        <v>50000</v>
      </c>
      <c r="AC474" s="158">
        <f t="shared" si="113"/>
        <v>50000</v>
      </c>
      <c r="AD474" s="159">
        <f t="shared" si="116"/>
        <v>0</v>
      </c>
      <c r="AE474" s="160"/>
      <c r="AF474" s="160">
        <f t="shared" si="117"/>
        <v>0</v>
      </c>
      <c r="AG474" s="161"/>
      <c r="AH474" s="161">
        <f t="shared" si="118"/>
        <v>0</v>
      </c>
      <c r="AI474" s="162"/>
      <c r="AJ474" s="162">
        <f t="shared" si="119"/>
        <v>0</v>
      </c>
      <c r="AK474" s="163"/>
      <c r="AL474" s="164">
        <f t="shared" si="120"/>
        <v>0</v>
      </c>
      <c r="AM474" s="161"/>
      <c r="AN474" s="165">
        <f t="shared" si="121"/>
        <v>0</v>
      </c>
      <c r="AO474" s="160">
        <v>0</v>
      </c>
      <c r="AP474" s="166">
        <f t="shared" si="122"/>
        <v>0</v>
      </c>
      <c r="AQ474" s="162"/>
      <c r="AR474" s="162">
        <f t="shared" si="123"/>
        <v>0</v>
      </c>
      <c r="AS474" s="167"/>
      <c r="AT474" s="167">
        <f t="shared" si="124"/>
        <v>0</v>
      </c>
      <c r="AU474" s="163"/>
      <c r="AV474" s="163">
        <f t="shared" si="125"/>
        <v>0</v>
      </c>
      <c r="AW474" s="162"/>
      <c r="AX474" s="168">
        <f t="shared" si="126"/>
        <v>0</v>
      </c>
      <c r="AY474" s="169"/>
      <c r="AZ474" s="170">
        <f t="shared" si="127"/>
        <v>0</v>
      </c>
      <c r="BA474" s="160"/>
      <c r="BB474" s="166">
        <f t="shared" si="128"/>
        <v>0</v>
      </c>
    </row>
    <row r="475" spans="1:54" ht="31.5">
      <c r="A475" s="148" t="s">
        <v>7086</v>
      </c>
      <c r="B475" s="203" t="s">
        <v>1514</v>
      </c>
      <c r="C475" s="203"/>
      <c r="D475" s="203"/>
      <c r="E475" s="203" t="s">
        <v>4997</v>
      </c>
      <c r="F475" s="205" t="s">
        <v>7088</v>
      </c>
      <c r="G475" s="205" t="s">
        <v>1946</v>
      </c>
      <c r="H475" s="204" t="s">
        <v>4999</v>
      </c>
      <c r="I475" s="204" t="s">
        <v>11</v>
      </c>
      <c r="J475" s="205" t="s">
        <v>7087</v>
      </c>
      <c r="K475" s="206">
        <v>1785</v>
      </c>
      <c r="L475" s="206"/>
      <c r="M475" s="159">
        <f t="shared" si="114"/>
        <v>45912</v>
      </c>
      <c r="N475" s="159"/>
      <c r="O475" s="159"/>
      <c r="P475" s="159"/>
      <c r="Q475" s="159"/>
      <c r="R475" s="159"/>
      <c r="S475" s="150" t="s">
        <v>5340</v>
      </c>
      <c r="T475" s="150" t="s">
        <v>5341</v>
      </c>
      <c r="U475" s="202" t="s">
        <v>4996</v>
      </c>
      <c r="V475" s="204">
        <v>3</v>
      </c>
      <c r="W475" s="203" t="s">
        <v>5104</v>
      </c>
      <c r="X475" s="204" t="s">
        <v>213</v>
      </c>
      <c r="Y475" s="206">
        <v>1800</v>
      </c>
      <c r="Z475" s="207">
        <v>150000</v>
      </c>
      <c r="AA475" s="207">
        <f t="shared" si="115"/>
        <v>267750000</v>
      </c>
      <c r="AB475" s="157">
        <v>150000</v>
      </c>
      <c r="AC475" s="158">
        <f t="shared" si="113"/>
        <v>104088</v>
      </c>
      <c r="AD475" s="159">
        <f t="shared" si="116"/>
        <v>81952920</v>
      </c>
      <c r="AE475" s="160"/>
      <c r="AF475" s="160">
        <f t="shared" si="117"/>
        <v>0</v>
      </c>
      <c r="AG475" s="161">
        <v>2196</v>
      </c>
      <c r="AH475" s="161">
        <f t="shared" si="118"/>
        <v>3919860</v>
      </c>
      <c r="AI475" s="162"/>
      <c r="AJ475" s="162">
        <f t="shared" si="119"/>
        <v>0</v>
      </c>
      <c r="AK475" s="164"/>
      <c r="AL475" s="164">
        <f t="shared" si="120"/>
        <v>0</v>
      </c>
      <c r="AM475" s="165">
        <v>2220</v>
      </c>
      <c r="AN475" s="165">
        <f t="shared" si="121"/>
        <v>3962700</v>
      </c>
      <c r="AO475" s="166">
        <v>0</v>
      </c>
      <c r="AP475" s="166">
        <f t="shared" si="122"/>
        <v>0</v>
      </c>
      <c r="AQ475" s="162">
        <v>9996</v>
      </c>
      <c r="AR475" s="162">
        <f t="shared" si="123"/>
        <v>17842860</v>
      </c>
      <c r="AS475" s="167">
        <v>31500</v>
      </c>
      <c r="AT475" s="167">
        <f t="shared" si="124"/>
        <v>56227500</v>
      </c>
      <c r="AU475" s="163"/>
      <c r="AV475" s="163">
        <f t="shared" si="125"/>
        <v>0</v>
      </c>
      <c r="AW475" s="168"/>
      <c r="AX475" s="168">
        <f t="shared" si="126"/>
        <v>0</v>
      </c>
      <c r="AY475" s="170"/>
      <c r="AZ475" s="170">
        <f t="shared" si="127"/>
        <v>0</v>
      </c>
      <c r="BA475" s="166"/>
      <c r="BB475" s="166">
        <f t="shared" si="128"/>
        <v>0</v>
      </c>
    </row>
    <row r="476" spans="1:54" ht="31.5">
      <c r="A476" s="148" t="s">
        <v>7089</v>
      </c>
      <c r="B476" s="203" t="s">
        <v>1961</v>
      </c>
      <c r="C476" s="203"/>
      <c r="D476" s="203"/>
      <c r="E476" s="203" t="s">
        <v>1962</v>
      </c>
      <c r="F476" s="205" t="s">
        <v>1964</v>
      </c>
      <c r="G476" s="205" t="s">
        <v>1946</v>
      </c>
      <c r="H476" s="204" t="s">
        <v>1963</v>
      </c>
      <c r="I476" s="204" t="s">
        <v>11</v>
      </c>
      <c r="J476" s="205" t="s">
        <v>7090</v>
      </c>
      <c r="K476" s="206">
        <v>1197</v>
      </c>
      <c r="L476" s="206"/>
      <c r="M476" s="159">
        <f t="shared" si="114"/>
        <v>24480</v>
      </c>
      <c r="N476" s="159"/>
      <c r="O476" s="159"/>
      <c r="P476" s="159"/>
      <c r="Q476" s="159"/>
      <c r="R476" s="159"/>
      <c r="S476" s="150" t="s">
        <v>5340</v>
      </c>
      <c r="T476" s="150" t="s">
        <v>5341</v>
      </c>
      <c r="U476" s="202" t="s">
        <v>4986</v>
      </c>
      <c r="V476" s="204">
        <v>3</v>
      </c>
      <c r="W476" s="203" t="s">
        <v>253</v>
      </c>
      <c r="X476" s="204" t="s">
        <v>213</v>
      </c>
      <c r="Y476" s="206">
        <v>1200</v>
      </c>
      <c r="Z476" s="207">
        <v>100000</v>
      </c>
      <c r="AA476" s="207">
        <f t="shared" si="115"/>
        <v>119700000</v>
      </c>
      <c r="AB476" s="157">
        <v>100000</v>
      </c>
      <c r="AC476" s="158">
        <f t="shared" si="113"/>
        <v>75520</v>
      </c>
      <c r="AD476" s="159">
        <f t="shared" si="116"/>
        <v>29302560</v>
      </c>
      <c r="AE476" s="160"/>
      <c r="AF476" s="160">
        <f t="shared" si="117"/>
        <v>0</v>
      </c>
      <c r="AG476" s="165"/>
      <c r="AH476" s="161">
        <f t="shared" si="118"/>
        <v>0</v>
      </c>
      <c r="AI476" s="162"/>
      <c r="AJ476" s="162">
        <f t="shared" si="119"/>
        <v>0</v>
      </c>
      <c r="AK476" s="164"/>
      <c r="AL476" s="164">
        <f t="shared" si="120"/>
        <v>0</v>
      </c>
      <c r="AM476" s="165"/>
      <c r="AN476" s="165">
        <f t="shared" si="121"/>
        <v>0</v>
      </c>
      <c r="AO476" s="166">
        <v>0</v>
      </c>
      <c r="AP476" s="166">
        <f t="shared" si="122"/>
        <v>0</v>
      </c>
      <c r="AQ476" s="162">
        <v>6480</v>
      </c>
      <c r="AR476" s="162">
        <f t="shared" si="123"/>
        <v>7756560</v>
      </c>
      <c r="AS476" s="173">
        <v>18000</v>
      </c>
      <c r="AT476" s="167">
        <f t="shared" si="124"/>
        <v>21546000</v>
      </c>
      <c r="AU476" s="163"/>
      <c r="AV476" s="163">
        <f t="shared" si="125"/>
        <v>0</v>
      </c>
      <c r="AW476" s="168"/>
      <c r="AX476" s="168">
        <f t="shared" si="126"/>
        <v>0</v>
      </c>
      <c r="AY476" s="170"/>
      <c r="AZ476" s="170">
        <f t="shared" si="127"/>
        <v>0</v>
      </c>
      <c r="BA476" s="166"/>
      <c r="BB476" s="166">
        <f t="shared" si="128"/>
        <v>0</v>
      </c>
    </row>
    <row r="477" spans="1:54" ht="31.5">
      <c r="A477" s="172" t="s">
        <v>7091</v>
      </c>
      <c r="B477" s="203" t="s">
        <v>702</v>
      </c>
      <c r="C477" s="203"/>
      <c r="D477" s="203"/>
      <c r="E477" s="203" t="s">
        <v>4976</v>
      </c>
      <c r="F477" s="205" t="s">
        <v>7093</v>
      </c>
      <c r="G477" s="205" t="s">
        <v>7094</v>
      </c>
      <c r="H477" s="204" t="s">
        <v>4977</v>
      </c>
      <c r="I477" s="204" t="s">
        <v>15</v>
      </c>
      <c r="J477" s="205" t="s">
        <v>7092</v>
      </c>
      <c r="K477" s="206">
        <v>21000</v>
      </c>
      <c r="L477" s="206"/>
      <c r="M477" s="159">
        <f t="shared" si="114"/>
        <v>50</v>
      </c>
      <c r="N477" s="159"/>
      <c r="O477" s="159"/>
      <c r="P477" s="159"/>
      <c r="Q477" s="159"/>
      <c r="R477" s="159"/>
      <c r="S477" s="149" t="s">
        <v>5748</v>
      </c>
      <c r="T477" s="149" t="s">
        <v>5749</v>
      </c>
      <c r="U477" s="202" t="s">
        <v>4975</v>
      </c>
      <c r="V477" s="204">
        <v>3</v>
      </c>
      <c r="W477" s="203" t="s">
        <v>253</v>
      </c>
      <c r="X477" s="204" t="s">
        <v>213</v>
      </c>
      <c r="Y477" s="206">
        <v>29000</v>
      </c>
      <c r="Z477" s="207">
        <v>4000</v>
      </c>
      <c r="AA477" s="207">
        <f t="shared" si="115"/>
        <v>84000000</v>
      </c>
      <c r="AB477" s="157">
        <v>4000</v>
      </c>
      <c r="AC477" s="158">
        <f t="shared" si="113"/>
        <v>3950</v>
      </c>
      <c r="AD477" s="159">
        <f t="shared" si="116"/>
        <v>1050000</v>
      </c>
      <c r="AE477" s="160"/>
      <c r="AF477" s="160">
        <f t="shared" si="117"/>
        <v>0</v>
      </c>
      <c r="AG477" s="165">
        <v>50</v>
      </c>
      <c r="AH477" s="161">
        <f t="shared" si="118"/>
        <v>1050000</v>
      </c>
      <c r="AI477" s="162"/>
      <c r="AJ477" s="162">
        <f t="shared" si="119"/>
        <v>0</v>
      </c>
      <c r="AK477" s="164"/>
      <c r="AL477" s="164">
        <f t="shared" si="120"/>
        <v>0</v>
      </c>
      <c r="AM477" s="165"/>
      <c r="AN477" s="165">
        <f t="shared" si="121"/>
        <v>0</v>
      </c>
      <c r="AO477" s="166">
        <v>0</v>
      </c>
      <c r="AP477" s="166">
        <f t="shared" si="122"/>
        <v>0</v>
      </c>
      <c r="AQ477" s="162"/>
      <c r="AR477" s="162">
        <f t="shared" si="123"/>
        <v>0</v>
      </c>
      <c r="AS477" s="173"/>
      <c r="AT477" s="167">
        <f t="shared" si="124"/>
        <v>0</v>
      </c>
      <c r="AU477" s="163"/>
      <c r="AV477" s="163">
        <f t="shared" si="125"/>
        <v>0</v>
      </c>
      <c r="AW477" s="168"/>
      <c r="AX477" s="168">
        <f t="shared" si="126"/>
        <v>0</v>
      </c>
      <c r="AY477" s="170"/>
      <c r="AZ477" s="170">
        <f t="shared" si="127"/>
        <v>0</v>
      </c>
      <c r="BA477" s="166"/>
      <c r="BB477" s="166">
        <f t="shared" si="128"/>
        <v>0</v>
      </c>
    </row>
    <row r="478" spans="1:54" ht="47.25">
      <c r="A478" s="148" t="s">
        <v>7095</v>
      </c>
      <c r="B478" s="223" t="s">
        <v>702</v>
      </c>
      <c r="C478" s="223"/>
      <c r="D478" s="223"/>
      <c r="E478" s="223" t="s">
        <v>5023</v>
      </c>
      <c r="F478" s="225" t="s">
        <v>7097</v>
      </c>
      <c r="G478" s="225" t="s">
        <v>7098</v>
      </c>
      <c r="H478" s="224" t="s">
        <v>232</v>
      </c>
      <c r="I478" s="224" t="s">
        <v>11</v>
      </c>
      <c r="J478" s="225" t="s">
        <v>7096</v>
      </c>
      <c r="K478" s="226">
        <v>650</v>
      </c>
      <c r="L478" s="226"/>
      <c r="M478" s="159">
        <f t="shared" si="114"/>
        <v>500</v>
      </c>
      <c r="N478" s="159"/>
      <c r="O478" s="159"/>
      <c r="P478" s="159"/>
      <c r="Q478" s="159"/>
      <c r="R478" s="159"/>
      <c r="S478" s="149" t="s">
        <v>6224</v>
      </c>
      <c r="T478" s="149" t="s">
        <v>6225</v>
      </c>
      <c r="U478" s="222" t="s">
        <v>5022</v>
      </c>
      <c r="V478" s="204">
        <v>3</v>
      </c>
      <c r="W478" s="223" t="s">
        <v>5104</v>
      </c>
      <c r="X478" s="224" t="s">
        <v>213</v>
      </c>
      <c r="Y478" s="226">
        <v>650</v>
      </c>
      <c r="Z478" s="207">
        <v>150000</v>
      </c>
      <c r="AA478" s="207">
        <f t="shared" si="115"/>
        <v>97500000</v>
      </c>
      <c r="AB478" s="157">
        <v>150000</v>
      </c>
      <c r="AC478" s="158">
        <f t="shared" si="113"/>
        <v>149500</v>
      </c>
      <c r="AD478" s="159">
        <f t="shared" si="116"/>
        <v>325000</v>
      </c>
      <c r="AE478" s="160"/>
      <c r="AF478" s="160">
        <f t="shared" si="117"/>
        <v>0</v>
      </c>
      <c r="AG478" s="165">
        <v>500</v>
      </c>
      <c r="AH478" s="161">
        <f t="shared" si="118"/>
        <v>325000</v>
      </c>
      <c r="AI478" s="162"/>
      <c r="AJ478" s="162">
        <f t="shared" si="119"/>
        <v>0</v>
      </c>
      <c r="AK478" s="164"/>
      <c r="AL478" s="164">
        <f t="shared" si="120"/>
        <v>0</v>
      </c>
      <c r="AM478" s="165"/>
      <c r="AN478" s="165">
        <f t="shared" si="121"/>
        <v>0</v>
      </c>
      <c r="AO478" s="166">
        <v>0</v>
      </c>
      <c r="AP478" s="166">
        <f t="shared" si="122"/>
        <v>0</v>
      </c>
      <c r="AQ478" s="162"/>
      <c r="AR478" s="162">
        <f t="shared" si="123"/>
        <v>0</v>
      </c>
      <c r="AS478" s="173"/>
      <c r="AT478" s="167">
        <f t="shared" si="124"/>
        <v>0</v>
      </c>
      <c r="AU478" s="163"/>
      <c r="AV478" s="163">
        <f t="shared" si="125"/>
        <v>0</v>
      </c>
      <c r="AW478" s="168"/>
      <c r="AX478" s="168">
        <f t="shared" si="126"/>
        <v>0</v>
      </c>
      <c r="AY478" s="170"/>
      <c r="AZ478" s="170">
        <f t="shared" si="127"/>
        <v>0</v>
      </c>
      <c r="BA478" s="166"/>
      <c r="BB478" s="166">
        <f t="shared" si="128"/>
        <v>0</v>
      </c>
    </row>
    <row r="479" spans="1:54" ht="31.5">
      <c r="A479" s="148" t="s">
        <v>7099</v>
      </c>
      <c r="B479" s="203" t="s">
        <v>702</v>
      </c>
      <c r="C479" s="203"/>
      <c r="D479" s="203"/>
      <c r="E479" s="203" t="s">
        <v>4974</v>
      </c>
      <c r="F479" s="205" t="s">
        <v>7102</v>
      </c>
      <c r="G479" s="205" t="s">
        <v>7103</v>
      </c>
      <c r="H479" s="204" t="s">
        <v>262</v>
      </c>
      <c r="I479" s="204" t="s">
        <v>11</v>
      </c>
      <c r="J479" s="205" t="s">
        <v>6113</v>
      </c>
      <c r="K479" s="206">
        <v>1490</v>
      </c>
      <c r="L479" s="206"/>
      <c r="M479" s="159">
        <f t="shared" si="114"/>
        <v>4200</v>
      </c>
      <c r="N479" s="159"/>
      <c r="O479" s="159"/>
      <c r="P479" s="159"/>
      <c r="Q479" s="159"/>
      <c r="R479" s="159"/>
      <c r="S479" s="149" t="s">
        <v>7100</v>
      </c>
      <c r="T479" s="149" t="s">
        <v>7101</v>
      </c>
      <c r="U479" s="202" t="s">
        <v>4973</v>
      </c>
      <c r="V479" s="204">
        <v>3</v>
      </c>
      <c r="W479" s="203" t="s">
        <v>253</v>
      </c>
      <c r="X479" s="204" t="s">
        <v>213</v>
      </c>
      <c r="Y479" s="206">
        <v>1750</v>
      </c>
      <c r="Z479" s="207">
        <v>40000</v>
      </c>
      <c r="AA479" s="207">
        <f t="shared" si="115"/>
        <v>59600000</v>
      </c>
      <c r="AB479" s="157">
        <v>40000</v>
      </c>
      <c r="AC479" s="158">
        <f t="shared" si="113"/>
        <v>35800</v>
      </c>
      <c r="AD479" s="159">
        <f t="shared" si="116"/>
        <v>6258000</v>
      </c>
      <c r="AE479" s="160"/>
      <c r="AF479" s="160">
        <f t="shared" si="117"/>
        <v>0</v>
      </c>
      <c r="AG479" s="165">
        <v>2700</v>
      </c>
      <c r="AH479" s="161">
        <f t="shared" si="118"/>
        <v>4023000</v>
      </c>
      <c r="AI479" s="162"/>
      <c r="AJ479" s="162">
        <f t="shared" si="119"/>
        <v>0</v>
      </c>
      <c r="AK479" s="164"/>
      <c r="AL479" s="164">
        <f t="shared" si="120"/>
        <v>0</v>
      </c>
      <c r="AM479" s="165">
        <v>1500</v>
      </c>
      <c r="AN479" s="165">
        <f t="shared" si="121"/>
        <v>2235000</v>
      </c>
      <c r="AO479" s="166">
        <v>0</v>
      </c>
      <c r="AP479" s="166">
        <f t="shared" si="122"/>
        <v>0</v>
      </c>
      <c r="AQ479" s="162"/>
      <c r="AR479" s="162">
        <f t="shared" si="123"/>
        <v>0</v>
      </c>
      <c r="AS479" s="173"/>
      <c r="AT479" s="167">
        <f t="shared" si="124"/>
        <v>0</v>
      </c>
      <c r="AU479" s="163"/>
      <c r="AV479" s="163">
        <f t="shared" si="125"/>
        <v>0</v>
      </c>
      <c r="AW479" s="168"/>
      <c r="AX479" s="168">
        <f t="shared" si="126"/>
        <v>0</v>
      </c>
      <c r="AY479" s="170"/>
      <c r="AZ479" s="170">
        <f t="shared" si="127"/>
        <v>0</v>
      </c>
      <c r="BA479" s="166"/>
      <c r="BB479" s="166">
        <f t="shared" si="128"/>
        <v>0</v>
      </c>
    </row>
    <row r="480" spans="1:54" s="115" customFormat="1" ht="31.5">
      <c r="A480" s="172" t="s">
        <v>7104</v>
      </c>
      <c r="B480" s="203" t="s">
        <v>702</v>
      </c>
      <c r="C480" s="203"/>
      <c r="D480" s="203"/>
      <c r="E480" s="203" t="s">
        <v>5004</v>
      </c>
      <c r="F480" s="205" t="s">
        <v>7106</v>
      </c>
      <c r="G480" s="205" t="s">
        <v>7107</v>
      </c>
      <c r="H480" s="204" t="s">
        <v>225</v>
      </c>
      <c r="I480" s="204" t="s">
        <v>11</v>
      </c>
      <c r="J480" s="205" t="s">
        <v>7105</v>
      </c>
      <c r="K480" s="206">
        <v>2150</v>
      </c>
      <c r="L480" s="206"/>
      <c r="M480" s="159">
        <f t="shared" si="114"/>
        <v>5000</v>
      </c>
      <c r="N480" s="159"/>
      <c r="O480" s="159"/>
      <c r="P480" s="159"/>
      <c r="Q480" s="159"/>
      <c r="R480" s="159"/>
      <c r="S480" s="150" t="s">
        <v>5293</v>
      </c>
      <c r="T480" s="150" t="s">
        <v>5294</v>
      </c>
      <c r="U480" s="202" t="s">
        <v>5003</v>
      </c>
      <c r="V480" s="204">
        <v>3</v>
      </c>
      <c r="W480" s="203" t="s">
        <v>5104</v>
      </c>
      <c r="X480" s="204" t="s">
        <v>213</v>
      </c>
      <c r="Y480" s="206">
        <v>2150</v>
      </c>
      <c r="Z480" s="207">
        <v>90000</v>
      </c>
      <c r="AA480" s="207">
        <f t="shared" si="115"/>
        <v>193500000</v>
      </c>
      <c r="AB480" s="157">
        <v>90000</v>
      </c>
      <c r="AC480" s="158">
        <f t="shared" si="113"/>
        <v>85000</v>
      </c>
      <c r="AD480" s="159">
        <f t="shared" si="116"/>
        <v>10750000</v>
      </c>
      <c r="AE480" s="160"/>
      <c r="AF480" s="160">
        <f t="shared" si="117"/>
        <v>0</v>
      </c>
      <c r="AG480" s="165">
        <v>5000</v>
      </c>
      <c r="AH480" s="161">
        <f t="shared" si="118"/>
        <v>10750000</v>
      </c>
      <c r="AI480" s="162"/>
      <c r="AJ480" s="162">
        <f t="shared" si="119"/>
        <v>0</v>
      </c>
      <c r="AK480" s="164"/>
      <c r="AL480" s="164">
        <f t="shared" si="120"/>
        <v>0</v>
      </c>
      <c r="AM480" s="165"/>
      <c r="AN480" s="165">
        <f t="shared" si="121"/>
        <v>0</v>
      </c>
      <c r="AO480" s="166">
        <v>0</v>
      </c>
      <c r="AP480" s="166">
        <f t="shared" si="122"/>
        <v>0</v>
      </c>
      <c r="AQ480" s="162"/>
      <c r="AR480" s="162">
        <f t="shared" si="123"/>
        <v>0</v>
      </c>
      <c r="AS480" s="173"/>
      <c r="AT480" s="167">
        <f t="shared" si="124"/>
        <v>0</v>
      </c>
      <c r="AU480" s="163"/>
      <c r="AV480" s="163">
        <f t="shared" si="125"/>
        <v>0</v>
      </c>
      <c r="AW480" s="168"/>
      <c r="AX480" s="168">
        <f t="shared" si="126"/>
        <v>0</v>
      </c>
      <c r="AY480" s="170"/>
      <c r="AZ480" s="170">
        <f t="shared" si="127"/>
        <v>0</v>
      </c>
      <c r="BA480" s="166"/>
      <c r="BB480" s="166">
        <f t="shared" si="128"/>
        <v>0</v>
      </c>
    </row>
    <row r="481" spans="1:54" ht="112.5">
      <c r="A481" s="148" t="s">
        <v>7108</v>
      </c>
      <c r="B481" s="203" t="s">
        <v>7110</v>
      </c>
      <c r="C481" s="203"/>
      <c r="D481" s="203"/>
      <c r="E481" s="203" t="s">
        <v>7112</v>
      </c>
      <c r="F481" s="205" t="s">
        <v>7114</v>
      </c>
      <c r="G481" s="205" t="s">
        <v>6510</v>
      </c>
      <c r="H481" s="204" t="s">
        <v>7111</v>
      </c>
      <c r="I481" s="204" t="s">
        <v>520</v>
      </c>
      <c r="J481" s="205" t="s">
        <v>7113</v>
      </c>
      <c r="K481" s="206">
        <v>5500</v>
      </c>
      <c r="L481" s="206"/>
      <c r="M481" s="159">
        <f t="shared" si="114"/>
        <v>0</v>
      </c>
      <c r="N481" s="159"/>
      <c r="O481" s="159"/>
      <c r="P481" s="159"/>
      <c r="Q481" s="159"/>
      <c r="R481" s="159"/>
      <c r="S481" s="209" t="s">
        <v>5848</v>
      </c>
      <c r="T481" s="203" t="s">
        <v>5849</v>
      </c>
      <c r="U481" s="202" t="s">
        <v>7109</v>
      </c>
      <c r="V481" s="204">
        <v>3</v>
      </c>
      <c r="W481" s="203" t="s">
        <v>5104</v>
      </c>
      <c r="X481" s="204" t="s">
        <v>213</v>
      </c>
      <c r="Y481" s="206">
        <v>6075</v>
      </c>
      <c r="Z481" s="207">
        <v>6000</v>
      </c>
      <c r="AA481" s="207">
        <f t="shared" si="115"/>
        <v>33000000</v>
      </c>
      <c r="AB481" s="157">
        <v>6000</v>
      </c>
      <c r="AC481" s="158">
        <f t="shared" si="113"/>
        <v>6000</v>
      </c>
      <c r="AD481" s="159">
        <f t="shared" si="116"/>
        <v>0</v>
      </c>
      <c r="AE481" s="160"/>
      <c r="AF481" s="160">
        <f t="shared" si="117"/>
        <v>0</v>
      </c>
      <c r="AG481" s="165"/>
      <c r="AH481" s="161">
        <f t="shared" si="118"/>
        <v>0</v>
      </c>
      <c r="AI481" s="162"/>
      <c r="AJ481" s="162">
        <f t="shared" si="119"/>
        <v>0</v>
      </c>
      <c r="AK481" s="164"/>
      <c r="AL481" s="164">
        <f t="shared" si="120"/>
        <v>0</v>
      </c>
      <c r="AM481" s="165"/>
      <c r="AN481" s="165">
        <f t="shared" si="121"/>
        <v>0</v>
      </c>
      <c r="AO481" s="166">
        <v>0</v>
      </c>
      <c r="AP481" s="166">
        <f t="shared" si="122"/>
        <v>0</v>
      </c>
      <c r="AQ481" s="162"/>
      <c r="AR481" s="162">
        <f t="shared" si="123"/>
        <v>0</v>
      </c>
      <c r="AS481" s="173"/>
      <c r="AT481" s="167">
        <f t="shared" si="124"/>
        <v>0</v>
      </c>
      <c r="AU481" s="163"/>
      <c r="AV481" s="163">
        <f t="shared" si="125"/>
        <v>0</v>
      </c>
      <c r="AW481" s="168"/>
      <c r="AX481" s="168">
        <f t="shared" si="126"/>
        <v>0</v>
      </c>
      <c r="AY481" s="170"/>
      <c r="AZ481" s="170">
        <f t="shared" si="127"/>
        <v>0</v>
      </c>
      <c r="BA481" s="166"/>
      <c r="BB481" s="166">
        <f t="shared" si="128"/>
        <v>0</v>
      </c>
    </row>
    <row r="482" spans="1:54" ht="31.5">
      <c r="A482" s="148" t="s">
        <v>7115</v>
      </c>
      <c r="B482" s="203" t="s">
        <v>5821</v>
      </c>
      <c r="C482" s="203"/>
      <c r="D482" s="203"/>
      <c r="E482" s="203" t="s">
        <v>7118</v>
      </c>
      <c r="F482" s="205" t="s">
        <v>7120</v>
      </c>
      <c r="G482" s="205" t="s">
        <v>621</v>
      </c>
      <c r="H482" s="204" t="s">
        <v>7117</v>
      </c>
      <c r="I482" s="204" t="s">
        <v>520</v>
      </c>
      <c r="J482" s="205" t="s">
        <v>7119</v>
      </c>
      <c r="K482" s="206">
        <v>1407</v>
      </c>
      <c r="L482" s="206"/>
      <c r="M482" s="159">
        <f t="shared" si="114"/>
        <v>0</v>
      </c>
      <c r="N482" s="159"/>
      <c r="O482" s="159"/>
      <c r="P482" s="159"/>
      <c r="Q482" s="159"/>
      <c r="R482" s="159"/>
      <c r="S482" s="149" t="s">
        <v>6938</v>
      </c>
      <c r="T482" s="149" t="s">
        <v>6939</v>
      </c>
      <c r="U482" s="202" t="s">
        <v>7116</v>
      </c>
      <c r="V482" s="204">
        <v>3</v>
      </c>
      <c r="W482" s="203" t="s">
        <v>6941</v>
      </c>
      <c r="X482" s="204" t="s">
        <v>213</v>
      </c>
      <c r="Y482" s="206">
        <v>3990</v>
      </c>
      <c r="Z482" s="207">
        <v>65000</v>
      </c>
      <c r="AA482" s="207">
        <f t="shared" si="115"/>
        <v>91455000</v>
      </c>
      <c r="AB482" s="157">
        <v>65000</v>
      </c>
      <c r="AC482" s="158">
        <f t="shared" si="113"/>
        <v>65000</v>
      </c>
      <c r="AD482" s="159">
        <f t="shared" si="116"/>
        <v>0</v>
      </c>
      <c r="AE482" s="160"/>
      <c r="AF482" s="160">
        <f t="shared" si="117"/>
        <v>0</v>
      </c>
      <c r="AG482" s="165"/>
      <c r="AH482" s="161">
        <f t="shared" si="118"/>
        <v>0</v>
      </c>
      <c r="AI482" s="162"/>
      <c r="AJ482" s="162">
        <f t="shared" si="119"/>
        <v>0</v>
      </c>
      <c r="AK482" s="164"/>
      <c r="AL482" s="164">
        <f t="shared" si="120"/>
        <v>0</v>
      </c>
      <c r="AM482" s="165"/>
      <c r="AN482" s="165">
        <f t="shared" si="121"/>
        <v>0</v>
      </c>
      <c r="AO482" s="166">
        <v>0</v>
      </c>
      <c r="AP482" s="166">
        <f t="shared" si="122"/>
        <v>0</v>
      </c>
      <c r="AQ482" s="162"/>
      <c r="AR482" s="162">
        <f t="shared" si="123"/>
        <v>0</v>
      </c>
      <c r="AS482" s="173"/>
      <c r="AT482" s="167">
        <f t="shared" si="124"/>
        <v>0</v>
      </c>
      <c r="AU482" s="163"/>
      <c r="AV482" s="163">
        <f t="shared" si="125"/>
        <v>0</v>
      </c>
      <c r="AW482" s="168"/>
      <c r="AX482" s="168">
        <f t="shared" si="126"/>
        <v>0</v>
      </c>
      <c r="AY482" s="170"/>
      <c r="AZ482" s="170">
        <f t="shared" si="127"/>
        <v>0</v>
      </c>
      <c r="BA482" s="166"/>
      <c r="BB482" s="166">
        <f t="shared" si="128"/>
        <v>0</v>
      </c>
    </row>
    <row r="483" spans="1:54">
      <c r="A483" s="172" t="s">
        <v>7121</v>
      </c>
      <c r="B483" s="203" t="s">
        <v>1697</v>
      </c>
      <c r="C483" s="203"/>
      <c r="D483" s="203"/>
      <c r="E483" s="203" t="s">
        <v>1697</v>
      </c>
      <c r="F483" s="205" t="s">
        <v>7123</v>
      </c>
      <c r="G483" s="205" t="s">
        <v>1268</v>
      </c>
      <c r="H483" s="204" t="s">
        <v>4990</v>
      </c>
      <c r="I483" s="204" t="s">
        <v>11</v>
      </c>
      <c r="J483" s="205" t="s">
        <v>7122</v>
      </c>
      <c r="K483" s="206">
        <v>268</v>
      </c>
      <c r="L483" s="206"/>
      <c r="M483" s="159">
        <f t="shared" si="114"/>
        <v>0</v>
      </c>
      <c r="N483" s="159"/>
      <c r="O483" s="159"/>
      <c r="P483" s="159"/>
      <c r="Q483" s="159"/>
      <c r="R483" s="159"/>
      <c r="S483" s="150" t="s">
        <v>5368</v>
      </c>
      <c r="T483" s="150" t="s">
        <v>5369</v>
      </c>
      <c r="U483" s="202" t="s">
        <v>4988</v>
      </c>
      <c r="V483" s="204">
        <v>3</v>
      </c>
      <c r="W483" s="203" t="s">
        <v>5104</v>
      </c>
      <c r="X483" s="204" t="s">
        <v>213</v>
      </c>
      <c r="Y483" s="206">
        <v>600</v>
      </c>
      <c r="Z483" s="207">
        <v>50000</v>
      </c>
      <c r="AA483" s="207">
        <f t="shared" si="115"/>
        <v>13400000</v>
      </c>
      <c r="AB483" s="157">
        <v>50000</v>
      </c>
      <c r="AC483" s="158">
        <f t="shared" si="113"/>
        <v>50000</v>
      </c>
      <c r="AD483" s="159">
        <f t="shared" si="116"/>
        <v>0</v>
      </c>
      <c r="AE483" s="160"/>
      <c r="AF483" s="160">
        <f t="shared" si="117"/>
        <v>0</v>
      </c>
      <c r="AG483" s="161"/>
      <c r="AH483" s="161">
        <f t="shared" si="118"/>
        <v>0</v>
      </c>
      <c r="AI483" s="162"/>
      <c r="AJ483" s="162">
        <f t="shared" si="119"/>
        <v>0</v>
      </c>
      <c r="AK483" s="164"/>
      <c r="AL483" s="164">
        <f t="shared" si="120"/>
        <v>0</v>
      </c>
      <c r="AM483" s="165"/>
      <c r="AN483" s="165">
        <f t="shared" si="121"/>
        <v>0</v>
      </c>
      <c r="AO483" s="166">
        <v>0</v>
      </c>
      <c r="AP483" s="166">
        <f t="shared" si="122"/>
        <v>0</v>
      </c>
      <c r="AQ483" s="162"/>
      <c r="AR483" s="162">
        <f t="shared" si="123"/>
        <v>0</v>
      </c>
      <c r="AS483" s="167"/>
      <c r="AT483" s="167">
        <f t="shared" si="124"/>
        <v>0</v>
      </c>
      <c r="AU483" s="163"/>
      <c r="AV483" s="163">
        <f t="shared" si="125"/>
        <v>0</v>
      </c>
      <c r="AW483" s="168"/>
      <c r="AX483" s="168">
        <f t="shared" si="126"/>
        <v>0</v>
      </c>
      <c r="AY483" s="170"/>
      <c r="AZ483" s="170">
        <f t="shared" si="127"/>
        <v>0</v>
      </c>
      <c r="BA483" s="166"/>
      <c r="BB483" s="166">
        <f t="shared" si="128"/>
        <v>0</v>
      </c>
    </row>
    <row r="484" spans="1:54" ht="31.5">
      <c r="A484" s="148" t="s">
        <v>7124</v>
      </c>
      <c r="B484" s="203" t="s">
        <v>1697</v>
      </c>
      <c r="C484" s="203"/>
      <c r="D484" s="203"/>
      <c r="E484" s="203" t="s">
        <v>7127</v>
      </c>
      <c r="F484" s="205" t="s">
        <v>7129</v>
      </c>
      <c r="G484" s="205" t="s">
        <v>485</v>
      </c>
      <c r="H484" s="204" t="s">
        <v>7126</v>
      </c>
      <c r="I484" s="204" t="s">
        <v>11</v>
      </c>
      <c r="J484" s="205" t="s">
        <v>7128</v>
      </c>
      <c r="K484" s="206">
        <v>2850</v>
      </c>
      <c r="L484" s="206"/>
      <c r="M484" s="159">
        <f t="shared" si="114"/>
        <v>0</v>
      </c>
      <c r="N484" s="159"/>
      <c r="O484" s="159"/>
      <c r="P484" s="159"/>
      <c r="Q484" s="159"/>
      <c r="R484" s="159"/>
      <c r="S484" s="149" t="s">
        <v>6224</v>
      </c>
      <c r="T484" s="149" t="s">
        <v>6225</v>
      </c>
      <c r="U484" s="202" t="s">
        <v>7125</v>
      </c>
      <c r="V484" s="204">
        <v>3</v>
      </c>
      <c r="W484" s="203" t="s">
        <v>5104</v>
      </c>
      <c r="X484" s="204" t="s">
        <v>213</v>
      </c>
      <c r="Y484" s="206">
        <v>3000</v>
      </c>
      <c r="Z484" s="207">
        <v>60000</v>
      </c>
      <c r="AA484" s="207">
        <f t="shared" si="115"/>
        <v>171000000</v>
      </c>
      <c r="AB484" s="157">
        <v>60000</v>
      </c>
      <c r="AC484" s="158">
        <f t="shared" si="113"/>
        <v>60000</v>
      </c>
      <c r="AD484" s="159">
        <f t="shared" si="116"/>
        <v>0</v>
      </c>
      <c r="AE484" s="160"/>
      <c r="AF484" s="160">
        <f t="shared" si="117"/>
        <v>0</v>
      </c>
      <c r="AG484" s="165"/>
      <c r="AH484" s="161">
        <f t="shared" si="118"/>
        <v>0</v>
      </c>
      <c r="AI484" s="162"/>
      <c r="AJ484" s="162">
        <f t="shared" si="119"/>
        <v>0</v>
      </c>
      <c r="AK484" s="164"/>
      <c r="AL484" s="164">
        <f t="shared" si="120"/>
        <v>0</v>
      </c>
      <c r="AM484" s="165"/>
      <c r="AN484" s="165">
        <f t="shared" si="121"/>
        <v>0</v>
      </c>
      <c r="AO484" s="166">
        <v>0</v>
      </c>
      <c r="AP484" s="166">
        <f t="shared" si="122"/>
        <v>0</v>
      </c>
      <c r="AQ484" s="162"/>
      <c r="AR484" s="162">
        <f t="shared" si="123"/>
        <v>0</v>
      </c>
      <c r="AS484" s="173"/>
      <c r="AT484" s="167">
        <f t="shared" si="124"/>
        <v>0</v>
      </c>
      <c r="AU484" s="163"/>
      <c r="AV484" s="163">
        <f t="shared" si="125"/>
        <v>0</v>
      </c>
      <c r="AW484" s="168"/>
      <c r="AX484" s="168">
        <f t="shared" si="126"/>
        <v>0</v>
      </c>
      <c r="AY484" s="170"/>
      <c r="AZ484" s="170">
        <f t="shared" si="127"/>
        <v>0</v>
      </c>
      <c r="BA484" s="166"/>
      <c r="BB484" s="166">
        <f t="shared" si="128"/>
        <v>0</v>
      </c>
    </row>
    <row r="485" spans="1:54" ht="31.5">
      <c r="A485" s="148" t="s">
        <v>7130</v>
      </c>
      <c r="B485" s="203" t="s">
        <v>1289</v>
      </c>
      <c r="C485" s="203"/>
      <c r="D485" s="203"/>
      <c r="E485" s="203" t="s">
        <v>4409</v>
      </c>
      <c r="F485" s="205" t="s">
        <v>7132</v>
      </c>
      <c r="G485" s="205" t="s">
        <v>2385</v>
      </c>
      <c r="H485" s="204" t="s">
        <v>1290</v>
      </c>
      <c r="I485" s="204" t="s">
        <v>11</v>
      </c>
      <c r="J485" s="205" t="s">
        <v>7131</v>
      </c>
      <c r="K485" s="206">
        <v>434</v>
      </c>
      <c r="L485" s="206"/>
      <c r="M485" s="159">
        <f t="shared" si="114"/>
        <v>10000</v>
      </c>
      <c r="N485" s="159"/>
      <c r="O485" s="159"/>
      <c r="P485" s="159"/>
      <c r="Q485" s="159"/>
      <c r="R485" s="159"/>
      <c r="S485" s="149" t="s">
        <v>2385</v>
      </c>
      <c r="T485" s="150" t="s">
        <v>2380</v>
      </c>
      <c r="U485" s="202" t="s">
        <v>4408</v>
      </c>
      <c r="V485" s="204">
        <v>3</v>
      </c>
      <c r="W485" s="203" t="s">
        <v>5104</v>
      </c>
      <c r="X485" s="204" t="s">
        <v>213</v>
      </c>
      <c r="Y485" s="206">
        <v>2600</v>
      </c>
      <c r="Z485" s="207">
        <v>20000</v>
      </c>
      <c r="AA485" s="207">
        <f t="shared" si="115"/>
        <v>8680000</v>
      </c>
      <c r="AB485" s="157">
        <v>20000</v>
      </c>
      <c r="AC485" s="158">
        <f t="shared" si="113"/>
        <v>10000</v>
      </c>
      <c r="AD485" s="159">
        <f t="shared" si="116"/>
        <v>4340000</v>
      </c>
      <c r="AE485" s="160"/>
      <c r="AF485" s="160">
        <f t="shared" si="117"/>
        <v>0</v>
      </c>
      <c r="AG485" s="165"/>
      <c r="AH485" s="161">
        <f t="shared" si="118"/>
        <v>0</v>
      </c>
      <c r="AI485" s="162"/>
      <c r="AJ485" s="162">
        <f t="shared" si="119"/>
        <v>0</v>
      </c>
      <c r="AK485" s="164"/>
      <c r="AL485" s="164">
        <f t="shared" si="120"/>
        <v>0</v>
      </c>
      <c r="AM485" s="165">
        <v>5000</v>
      </c>
      <c r="AN485" s="165">
        <f t="shared" si="121"/>
        <v>2170000</v>
      </c>
      <c r="AO485" s="166">
        <v>0</v>
      </c>
      <c r="AP485" s="166">
        <f t="shared" si="122"/>
        <v>0</v>
      </c>
      <c r="AQ485" s="162"/>
      <c r="AR485" s="162">
        <f t="shared" si="123"/>
        <v>0</v>
      </c>
      <c r="AS485" s="173">
        <v>5000</v>
      </c>
      <c r="AT485" s="167">
        <f t="shared" si="124"/>
        <v>2170000</v>
      </c>
      <c r="AU485" s="163"/>
      <c r="AV485" s="163">
        <f t="shared" si="125"/>
        <v>0</v>
      </c>
      <c r="AW485" s="168"/>
      <c r="AX485" s="168">
        <f t="shared" si="126"/>
        <v>0</v>
      </c>
      <c r="AY485" s="170"/>
      <c r="AZ485" s="170">
        <f t="shared" si="127"/>
        <v>0</v>
      </c>
      <c r="BA485" s="166"/>
      <c r="BB485" s="166">
        <f t="shared" si="128"/>
        <v>0</v>
      </c>
    </row>
    <row r="486" spans="1:54" ht="31.5">
      <c r="A486" s="172" t="s">
        <v>7133</v>
      </c>
      <c r="B486" s="203" t="s">
        <v>579</v>
      </c>
      <c r="C486" s="203"/>
      <c r="D486" s="203"/>
      <c r="E486" s="203" t="s">
        <v>580</v>
      </c>
      <c r="F486" s="205" t="s">
        <v>7135</v>
      </c>
      <c r="G486" s="205" t="s">
        <v>7136</v>
      </c>
      <c r="H486" s="204" t="s">
        <v>581</v>
      </c>
      <c r="I486" s="204" t="s">
        <v>11</v>
      </c>
      <c r="J486" s="205" t="s">
        <v>7134</v>
      </c>
      <c r="K486" s="206">
        <v>245</v>
      </c>
      <c r="L486" s="206"/>
      <c r="M486" s="159">
        <f t="shared" si="114"/>
        <v>3500</v>
      </c>
      <c r="N486" s="159"/>
      <c r="O486" s="159"/>
      <c r="P486" s="159"/>
      <c r="Q486" s="159"/>
      <c r="R486" s="159"/>
      <c r="S486" s="150" t="s">
        <v>5328</v>
      </c>
      <c r="T486" s="150" t="s">
        <v>215</v>
      </c>
      <c r="U486" s="202" t="s">
        <v>4983</v>
      </c>
      <c r="V486" s="204">
        <v>3</v>
      </c>
      <c r="W486" s="203" t="s">
        <v>5104</v>
      </c>
      <c r="X486" s="204" t="s">
        <v>213</v>
      </c>
      <c r="Y486" s="206">
        <v>430</v>
      </c>
      <c r="Z486" s="207">
        <v>60000</v>
      </c>
      <c r="AA486" s="207">
        <f t="shared" si="115"/>
        <v>14700000</v>
      </c>
      <c r="AB486" s="157">
        <v>60000</v>
      </c>
      <c r="AC486" s="158">
        <f t="shared" si="113"/>
        <v>56500</v>
      </c>
      <c r="AD486" s="159">
        <f t="shared" si="116"/>
        <v>857500</v>
      </c>
      <c r="AE486" s="160"/>
      <c r="AF486" s="160">
        <f t="shared" si="117"/>
        <v>0</v>
      </c>
      <c r="AG486" s="165">
        <v>3500</v>
      </c>
      <c r="AH486" s="161">
        <f t="shared" si="118"/>
        <v>857500</v>
      </c>
      <c r="AI486" s="162"/>
      <c r="AJ486" s="162">
        <f t="shared" si="119"/>
        <v>0</v>
      </c>
      <c r="AK486" s="163"/>
      <c r="AL486" s="164">
        <f t="shared" si="120"/>
        <v>0</v>
      </c>
      <c r="AM486" s="161"/>
      <c r="AN486" s="165">
        <f t="shared" si="121"/>
        <v>0</v>
      </c>
      <c r="AO486" s="160">
        <v>0</v>
      </c>
      <c r="AP486" s="166">
        <f t="shared" si="122"/>
        <v>0</v>
      </c>
      <c r="AQ486" s="162"/>
      <c r="AR486" s="162">
        <f t="shared" si="123"/>
        <v>0</v>
      </c>
      <c r="AS486" s="173"/>
      <c r="AT486" s="167">
        <f t="shared" si="124"/>
        <v>0</v>
      </c>
      <c r="AU486" s="163"/>
      <c r="AV486" s="163">
        <f t="shared" si="125"/>
        <v>0</v>
      </c>
      <c r="AW486" s="162"/>
      <c r="AX486" s="168">
        <f t="shared" si="126"/>
        <v>0</v>
      </c>
      <c r="AY486" s="169"/>
      <c r="AZ486" s="170">
        <f t="shared" si="127"/>
        <v>0</v>
      </c>
      <c r="BA486" s="160"/>
      <c r="BB486" s="166">
        <f t="shared" si="128"/>
        <v>0</v>
      </c>
    </row>
    <row r="487" spans="1:54" ht="31.5">
      <c r="A487" s="148" t="s">
        <v>7137</v>
      </c>
      <c r="B487" s="203" t="s">
        <v>7138</v>
      </c>
      <c r="C487" s="203"/>
      <c r="D487" s="203"/>
      <c r="E487" s="203" t="s">
        <v>5056</v>
      </c>
      <c r="F487" s="205" t="s">
        <v>7140</v>
      </c>
      <c r="G487" s="205" t="s">
        <v>1263</v>
      </c>
      <c r="H487" s="204" t="s">
        <v>2949</v>
      </c>
      <c r="I487" s="204" t="s">
        <v>11</v>
      </c>
      <c r="J487" s="205" t="s">
        <v>7139</v>
      </c>
      <c r="K487" s="206">
        <v>180</v>
      </c>
      <c r="L487" s="206"/>
      <c r="M487" s="159">
        <f t="shared" si="114"/>
        <v>5850</v>
      </c>
      <c r="N487" s="159"/>
      <c r="O487" s="159"/>
      <c r="P487" s="159"/>
      <c r="Q487" s="159"/>
      <c r="R487" s="159"/>
      <c r="S487" s="149" t="s">
        <v>5830</v>
      </c>
      <c r="T487" s="149" t="s">
        <v>5831</v>
      </c>
      <c r="U487" s="202" t="s">
        <v>5055</v>
      </c>
      <c r="V487" s="204">
        <v>3</v>
      </c>
      <c r="W487" s="203" t="s">
        <v>5104</v>
      </c>
      <c r="X487" s="204" t="s">
        <v>6628</v>
      </c>
      <c r="Y487" s="206">
        <v>650</v>
      </c>
      <c r="Z487" s="207">
        <v>50000</v>
      </c>
      <c r="AA487" s="207">
        <f t="shared" si="115"/>
        <v>9000000</v>
      </c>
      <c r="AB487" s="157">
        <v>50000</v>
      </c>
      <c r="AC487" s="158">
        <f t="shared" si="113"/>
        <v>44150</v>
      </c>
      <c r="AD487" s="159">
        <f t="shared" si="116"/>
        <v>1053000</v>
      </c>
      <c r="AE487" s="160"/>
      <c r="AF487" s="160">
        <f t="shared" si="117"/>
        <v>0</v>
      </c>
      <c r="AG487" s="165">
        <v>5850</v>
      </c>
      <c r="AH487" s="161">
        <f t="shared" si="118"/>
        <v>1053000</v>
      </c>
      <c r="AI487" s="162"/>
      <c r="AJ487" s="162">
        <f t="shared" si="119"/>
        <v>0</v>
      </c>
      <c r="AK487" s="163"/>
      <c r="AL487" s="164">
        <f t="shared" si="120"/>
        <v>0</v>
      </c>
      <c r="AM487" s="161"/>
      <c r="AN487" s="165">
        <f t="shared" si="121"/>
        <v>0</v>
      </c>
      <c r="AO487" s="160">
        <v>0</v>
      </c>
      <c r="AP487" s="166">
        <f t="shared" si="122"/>
        <v>0</v>
      </c>
      <c r="AQ487" s="162"/>
      <c r="AR487" s="162">
        <f t="shared" si="123"/>
        <v>0</v>
      </c>
      <c r="AS487" s="173"/>
      <c r="AT487" s="167">
        <f t="shared" si="124"/>
        <v>0</v>
      </c>
      <c r="AU487" s="163"/>
      <c r="AV487" s="163">
        <f t="shared" si="125"/>
        <v>0</v>
      </c>
      <c r="AW487" s="162"/>
      <c r="AX487" s="168">
        <f t="shared" si="126"/>
        <v>0</v>
      </c>
      <c r="AY487" s="169"/>
      <c r="AZ487" s="170">
        <f t="shared" si="127"/>
        <v>0</v>
      </c>
      <c r="BA487" s="160"/>
      <c r="BB487" s="166">
        <f t="shared" si="128"/>
        <v>0</v>
      </c>
    </row>
    <row r="488" spans="1:54" ht="31.5">
      <c r="A488" s="148" t="s">
        <v>7141</v>
      </c>
      <c r="B488" s="203" t="s">
        <v>5059</v>
      </c>
      <c r="C488" s="203"/>
      <c r="D488" s="203"/>
      <c r="E488" s="203" t="s">
        <v>5059</v>
      </c>
      <c r="F488" s="205" t="s">
        <v>7143</v>
      </c>
      <c r="G488" s="205" t="s">
        <v>7001</v>
      </c>
      <c r="H488" s="204" t="s">
        <v>272</v>
      </c>
      <c r="I488" s="204" t="s">
        <v>11</v>
      </c>
      <c r="J488" s="205" t="s">
        <v>7142</v>
      </c>
      <c r="K488" s="206">
        <v>340</v>
      </c>
      <c r="L488" s="206"/>
      <c r="M488" s="159">
        <f t="shared" si="114"/>
        <v>11000</v>
      </c>
      <c r="N488" s="159"/>
      <c r="O488" s="159"/>
      <c r="P488" s="159"/>
      <c r="Q488" s="159"/>
      <c r="R488" s="159"/>
      <c r="S488" s="150" t="s">
        <v>360</v>
      </c>
      <c r="T488" s="150" t="s">
        <v>358</v>
      </c>
      <c r="U488" s="202" t="s">
        <v>5058</v>
      </c>
      <c r="V488" s="204">
        <v>3</v>
      </c>
      <c r="W488" s="203" t="s">
        <v>5104</v>
      </c>
      <c r="X488" s="204" t="s">
        <v>213</v>
      </c>
      <c r="Y488" s="206">
        <v>450</v>
      </c>
      <c r="Z488" s="207">
        <v>120000</v>
      </c>
      <c r="AA488" s="207">
        <f t="shared" si="115"/>
        <v>40800000</v>
      </c>
      <c r="AB488" s="157">
        <v>120000</v>
      </c>
      <c r="AC488" s="158">
        <f t="shared" si="113"/>
        <v>109000</v>
      </c>
      <c r="AD488" s="159">
        <f t="shared" si="116"/>
        <v>3740000</v>
      </c>
      <c r="AE488" s="160"/>
      <c r="AF488" s="160">
        <f t="shared" si="117"/>
        <v>0</v>
      </c>
      <c r="AG488" s="165">
        <v>6000</v>
      </c>
      <c r="AH488" s="161">
        <f t="shared" si="118"/>
        <v>2040000</v>
      </c>
      <c r="AI488" s="162"/>
      <c r="AJ488" s="162">
        <f t="shared" si="119"/>
        <v>0</v>
      </c>
      <c r="AK488" s="164"/>
      <c r="AL488" s="164">
        <f t="shared" si="120"/>
        <v>0</v>
      </c>
      <c r="AM488" s="165">
        <v>5000</v>
      </c>
      <c r="AN488" s="165">
        <f t="shared" si="121"/>
        <v>1700000</v>
      </c>
      <c r="AO488" s="166">
        <v>0</v>
      </c>
      <c r="AP488" s="166">
        <f t="shared" si="122"/>
        <v>0</v>
      </c>
      <c r="AQ488" s="162"/>
      <c r="AR488" s="162">
        <f t="shared" si="123"/>
        <v>0</v>
      </c>
      <c r="AS488" s="173"/>
      <c r="AT488" s="167">
        <f t="shared" si="124"/>
        <v>0</v>
      </c>
      <c r="AU488" s="163"/>
      <c r="AV488" s="163">
        <f t="shared" si="125"/>
        <v>0</v>
      </c>
      <c r="AW488" s="168"/>
      <c r="AX488" s="168">
        <f t="shared" si="126"/>
        <v>0</v>
      </c>
      <c r="AY488" s="170"/>
      <c r="AZ488" s="170">
        <f t="shared" si="127"/>
        <v>0</v>
      </c>
      <c r="BA488" s="166"/>
      <c r="BB488" s="166">
        <f t="shared" si="128"/>
        <v>0</v>
      </c>
    </row>
    <row r="489" spans="1:54" ht="31.5">
      <c r="A489" s="172" t="s">
        <v>7144</v>
      </c>
      <c r="B489" s="203" t="s">
        <v>5059</v>
      </c>
      <c r="C489" s="203"/>
      <c r="D489" s="203"/>
      <c r="E489" s="203" t="s">
        <v>7146</v>
      </c>
      <c r="F489" s="205" t="s">
        <v>7148</v>
      </c>
      <c r="G489" s="205" t="s">
        <v>1429</v>
      </c>
      <c r="H489" s="204" t="s">
        <v>291</v>
      </c>
      <c r="I489" s="204" t="s">
        <v>11</v>
      </c>
      <c r="J489" s="205" t="s">
        <v>7147</v>
      </c>
      <c r="K489" s="206">
        <v>180</v>
      </c>
      <c r="L489" s="206"/>
      <c r="M489" s="159">
        <f t="shared" si="114"/>
        <v>0</v>
      </c>
      <c r="N489" s="159"/>
      <c r="O489" s="159"/>
      <c r="P489" s="159"/>
      <c r="Q489" s="159"/>
      <c r="R489" s="159"/>
      <c r="S489" s="150" t="s">
        <v>5504</v>
      </c>
      <c r="T489" s="149" t="s">
        <v>449</v>
      </c>
      <c r="U489" s="202" t="s">
        <v>7145</v>
      </c>
      <c r="V489" s="204">
        <v>3</v>
      </c>
      <c r="W489" s="203" t="s">
        <v>5104</v>
      </c>
      <c r="X489" s="204" t="s">
        <v>213</v>
      </c>
      <c r="Y489" s="206">
        <v>400</v>
      </c>
      <c r="Z489" s="207">
        <v>10000</v>
      </c>
      <c r="AA489" s="207">
        <f t="shared" si="115"/>
        <v>1800000</v>
      </c>
      <c r="AB489" s="157">
        <v>10000</v>
      </c>
      <c r="AC489" s="158">
        <f t="shared" si="113"/>
        <v>10000</v>
      </c>
      <c r="AD489" s="159">
        <f t="shared" si="116"/>
        <v>0</v>
      </c>
      <c r="AE489" s="160"/>
      <c r="AF489" s="160">
        <f t="shared" si="117"/>
        <v>0</v>
      </c>
      <c r="AG489" s="165"/>
      <c r="AH489" s="161">
        <f t="shared" si="118"/>
        <v>0</v>
      </c>
      <c r="AI489" s="162"/>
      <c r="AJ489" s="162">
        <f t="shared" si="119"/>
        <v>0</v>
      </c>
      <c r="AK489" s="164"/>
      <c r="AL489" s="164">
        <f t="shared" si="120"/>
        <v>0</v>
      </c>
      <c r="AM489" s="165"/>
      <c r="AN489" s="165">
        <f t="shared" si="121"/>
        <v>0</v>
      </c>
      <c r="AO489" s="166">
        <v>0</v>
      </c>
      <c r="AP489" s="166">
        <f t="shared" si="122"/>
        <v>0</v>
      </c>
      <c r="AQ489" s="162"/>
      <c r="AR489" s="162">
        <f t="shared" si="123"/>
        <v>0</v>
      </c>
      <c r="AS489" s="173"/>
      <c r="AT489" s="167">
        <f t="shared" si="124"/>
        <v>0</v>
      </c>
      <c r="AU489" s="163"/>
      <c r="AV489" s="163">
        <f t="shared" si="125"/>
        <v>0</v>
      </c>
      <c r="AW489" s="168"/>
      <c r="AX489" s="168">
        <f t="shared" si="126"/>
        <v>0</v>
      </c>
      <c r="AY489" s="170"/>
      <c r="AZ489" s="170">
        <f t="shared" si="127"/>
        <v>0</v>
      </c>
      <c r="BA489" s="166"/>
      <c r="BB489" s="166">
        <f t="shared" si="128"/>
        <v>0</v>
      </c>
    </row>
    <row r="490" spans="1:54" ht="31.5">
      <c r="A490" s="148" t="s">
        <v>7149</v>
      </c>
      <c r="B490" s="203" t="s">
        <v>1127</v>
      </c>
      <c r="C490" s="203"/>
      <c r="D490" s="203"/>
      <c r="E490" s="203" t="s">
        <v>5045</v>
      </c>
      <c r="F490" s="205" t="s">
        <v>7152</v>
      </c>
      <c r="G490" s="205" t="s">
        <v>2385</v>
      </c>
      <c r="H490" s="204" t="s">
        <v>5046</v>
      </c>
      <c r="I490" s="204" t="s">
        <v>11</v>
      </c>
      <c r="J490" s="205" t="s">
        <v>7150</v>
      </c>
      <c r="K490" s="206">
        <v>378</v>
      </c>
      <c r="L490" s="206"/>
      <c r="M490" s="159">
        <f t="shared" si="114"/>
        <v>31000</v>
      </c>
      <c r="N490" s="159"/>
      <c r="O490" s="159"/>
      <c r="P490" s="159"/>
      <c r="Q490" s="159"/>
      <c r="R490" s="159"/>
      <c r="S490" s="149" t="s">
        <v>2385</v>
      </c>
      <c r="T490" s="150" t="s">
        <v>2380</v>
      </c>
      <c r="U490" s="202" t="s">
        <v>5044</v>
      </c>
      <c r="V490" s="204">
        <v>3</v>
      </c>
      <c r="W490" s="203" t="s">
        <v>7151</v>
      </c>
      <c r="X490" s="204" t="s">
        <v>213</v>
      </c>
      <c r="Y490" s="206">
        <v>1200</v>
      </c>
      <c r="Z490" s="207">
        <v>50000</v>
      </c>
      <c r="AA490" s="207">
        <f t="shared" si="115"/>
        <v>18900000</v>
      </c>
      <c r="AB490" s="157">
        <v>50000</v>
      </c>
      <c r="AC490" s="158">
        <f t="shared" si="113"/>
        <v>19000</v>
      </c>
      <c r="AD490" s="159">
        <f t="shared" si="116"/>
        <v>11718000</v>
      </c>
      <c r="AE490" s="160"/>
      <c r="AF490" s="160">
        <f t="shared" si="117"/>
        <v>0</v>
      </c>
      <c r="AG490" s="165"/>
      <c r="AH490" s="161">
        <f t="shared" si="118"/>
        <v>0</v>
      </c>
      <c r="AI490" s="162">
        <v>21000</v>
      </c>
      <c r="AJ490" s="162">
        <f t="shared" si="119"/>
        <v>7938000</v>
      </c>
      <c r="AK490" s="164"/>
      <c r="AL490" s="164">
        <f t="shared" si="120"/>
        <v>0</v>
      </c>
      <c r="AM490" s="165">
        <v>7000</v>
      </c>
      <c r="AN490" s="165">
        <f t="shared" si="121"/>
        <v>2646000</v>
      </c>
      <c r="AO490" s="166">
        <v>0</v>
      </c>
      <c r="AP490" s="166">
        <f t="shared" si="122"/>
        <v>0</v>
      </c>
      <c r="AQ490" s="162"/>
      <c r="AR490" s="162">
        <f t="shared" si="123"/>
        <v>0</v>
      </c>
      <c r="AS490" s="173">
        <v>3000</v>
      </c>
      <c r="AT490" s="167">
        <f t="shared" si="124"/>
        <v>1134000</v>
      </c>
      <c r="AU490" s="163"/>
      <c r="AV490" s="163">
        <f t="shared" si="125"/>
        <v>0</v>
      </c>
      <c r="AW490" s="168"/>
      <c r="AX490" s="168">
        <f t="shared" si="126"/>
        <v>0</v>
      </c>
      <c r="AY490" s="170"/>
      <c r="AZ490" s="170">
        <f t="shared" si="127"/>
        <v>0</v>
      </c>
      <c r="BA490" s="166"/>
      <c r="BB490" s="166">
        <f t="shared" si="128"/>
        <v>0</v>
      </c>
    </row>
    <row r="491" spans="1:54" ht="112.5">
      <c r="A491" s="148" t="s">
        <v>7153</v>
      </c>
      <c r="B491" s="203" t="s">
        <v>1127</v>
      </c>
      <c r="C491" s="203"/>
      <c r="D491" s="203"/>
      <c r="E491" s="203" t="s">
        <v>5052</v>
      </c>
      <c r="F491" s="205" t="s">
        <v>7155</v>
      </c>
      <c r="G491" s="205" t="s">
        <v>7085</v>
      </c>
      <c r="H491" s="204" t="s">
        <v>5053</v>
      </c>
      <c r="I491" s="204" t="s">
        <v>11</v>
      </c>
      <c r="J491" s="205" t="s">
        <v>7154</v>
      </c>
      <c r="K491" s="206">
        <v>714</v>
      </c>
      <c r="L491" s="206"/>
      <c r="M491" s="159">
        <f t="shared" si="114"/>
        <v>9500</v>
      </c>
      <c r="N491" s="159"/>
      <c r="O491" s="159"/>
      <c r="P491" s="159"/>
      <c r="Q491" s="159"/>
      <c r="R491" s="159"/>
      <c r="S491" s="209" t="s">
        <v>5848</v>
      </c>
      <c r="T491" s="203" t="s">
        <v>5849</v>
      </c>
      <c r="U491" s="202" t="s">
        <v>5051</v>
      </c>
      <c r="V491" s="204">
        <v>3</v>
      </c>
      <c r="W491" s="203" t="s">
        <v>5104</v>
      </c>
      <c r="X491" s="204" t="s">
        <v>213</v>
      </c>
      <c r="Y491" s="206">
        <v>1200</v>
      </c>
      <c r="Z491" s="207">
        <v>250000</v>
      </c>
      <c r="AA491" s="207">
        <f t="shared" si="115"/>
        <v>178500000</v>
      </c>
      <c r="AB491" s="157">
        <v>250000</v>
      </c>
      <c r="AC491" s="158">
        <f t="shared" si="113"/>
        <v>240500</v>
      </c>
      <c r="AD491" s="159">
        <f t="shared" si="116"/>
        <v>6783000</v>
      </c>
      <c r="AE491" s="160"/>
      <c r="AF491" s="160">
        <f t="shared" si="117"/>
        <v>0</v>
      </c>
      <c r="AG491" s="165"/>
      <c r="AH491" s="161">
        <f t="shared" si="118"/>
        <v>0</v>
      </c>
      <c r="AI491" s="162"/>
      <c r="AJ491" s="162">
        <f t="shared" si="119"/>
        <v>0</v>
      </c>
      <c r="AK491" s="164"/>
      <c r="AL491" s="164">
        <f t="shared" si="120"/>
        <v>0</v>
      </c>
      <c r="AM491" s="165">
        <f>5000+4500</f>
        <v>9500</v>
      </c>
      <c r="AN491" s="165">
        <f t="shared" si="121"/>
        <v>6783000</v>
      </c>
      <c r="AO491" s="166">
        <v>0</v>
      </c>
      <c r="AP491" s="166">
        <f t="shared" si="122"/>
        <v>0</v>
      </c>
      <c r="AQ491" s="162"/>
      <c r="AR491" s="162">
        <f t="shared" si="123"/>
        <v>0</v>
      </c>
      <c r="AS491" s="173"/>
      <c r="AT491" s="167">
        <f t="shared" si="124"/>
        <v>0</v>
      </c>
      <c r="AU491" s="163"/>
      <c r="AV491" s="163">
        <f t="shared" si="125"/>
        <v>0</v>
      </c>
      <c r="AW491" s="168"/>
      <c r="AX491" s="168">
        <f t="shared" si="126"/>
        <v>0</v>
      </c>
      <c r="AY491" s="170"/>
      <c r="AZ491" s="170">
        <f t="shared" si="127"/>
        <v>0</v>
      </c>
      <c r="BA491" s="166"/>
      <c r="BB491" s="166">
        <f t="shared" si="128"/>
        <v>0</v>
      </c>
    </row>
    <row r="492" spans="1:54" ht="31.5">
      <c r="A492" s="172" t="s">
        <v>7156</v>
      </c>
      <c r="B492" s="235" t="s">
        <v>1127</v>
      </c>
      <c r="C492" s="235"/>
      <c r="D492" s="235"/>
      <c r="E492" s="223" t="s">
        <v>4971</v>
      </c>
      <c r="F492" s="225" t="s">
        <v>7160</v>
      </c>
      <c r="G492" s="225" t="s">
        <v>7161</v>
      </c>
      <c r="H492" s="236" t="s">
        <v>4972</v>
      </c>
      <c r="I492" s="204" t="s">
        <v>11</v>
      </c>
      <c r="J492" s="225" t="s">
        <v>7159</v>
      </c>
      <c r="K492" s="226">
        <v>735</v>
      </c>
      <c r="L492" s="226"/>
      <c r="M492" s="159">
        <f t="shared" si="114"/>
        <v>50000</v>
      </c>
      <c r="N492" s="159"/>
      <c r="O492" s="159"/>
      <c r="P492" s="159"/>
      <c r="Q492" s="159"/>
      <c r="R492" s="159"/>
      <c r="S492" s="149" t="s">
        <v>7157</v>
      </c>
      <c r="T492" s="149" t="s">
        <v>7158</v>
      </c>
      <c r="U492" s="222" t="s">
        <v>4970</v>
      </c>
      <c r="V492" s="204">
        <v>3</v>
      </c>
      <c r="W492" s="223" t="s">
        <v>5104</v>
      </c>
      <c r="X492" s="224" t="s">
        <v>213</v>
      </c>
      <c r="Y492" s="226">
        <v>1100</v>
      </c>
      <c r="Z492" s="207">
        <v>50000</v>
      </c>
      <c r="AA492" s="207">
        <f t="shared" si="115"/>
        <v>36750000</v>
      </c>
      <c r="AB492" s="157">
        <v>50000</v>
      </c>
      <c r="AC492" s="158">
        <f t="shared" ref="AC492:AC555" si="129">AB492-M492</f>
        <v>0</v>
      </c>
      <c r="AD492" s="159">
        <f t="shared" si="116"/>
        <v>36750000</v>
      </c>
      <c r="AE492" s="160"/>
      <c r="AF492" s="160">
        <f t="shared" si="117"/>
        <v>0</v>
      </c>
      <c r="AG492" s="165">
        <v>50000</v>
      </c>
      <c r="AH492" s="161">
        <f t="shared" si="118"/>
        <v>36750000</v>
      </c>
      <c r="AI492" s="162"/>
      <c r="AJ492" s="162">
        <f t="shared" si="119"/>
        <v>0</v>
      </c>
      <c r="AK492" s="164"/>
      <c r="AL492" s="164">
        <f t="shared" si="120"/>
        <v>0</v>
      </c>
      <c r="AM492" s="165"/>
      <c r="AN492" s="165">
        <f t="shared" si="121"/>
        <v>0</v>
      </c>
      <c r="AO492" s="166">
        <v>0</v>
      </c>
      <c r="AP492" s="166">
        <f t="shared" si="122"/>
        <v>0</v>
      </c>
      <c r="AQ492" s="162"/>
      <c r="AR492" s="162">
        <f t="shared" si="123"/>
        <v>0</v>
      </c>
      <c r="AS492" s="173"/>
      <c r="AT492" s="167">
        <f t="shared" si="124"/>
        <v>0</v>
      </c>
      <c r="AU492" s="163"/>
      <c r="AV492" s="163">
        <f t="shared" si="125"/>
        <v>0</v>
      </c>
      <c r="AW492" s="168"/>
      <c r="AX492" s="168">
        <f t="shared" si="126"/>
        <v>0</v>
      </c>
      <c r="AY492" s="170"/>
      <c r="AZ492" s="170">
        <f t="shared" si="127"/>
        <v>0</v>
      </c>
      <c r="BA492" s="166"/>
      <c r="BB492" s="166">
        <f t="shared" si="128"/>
        <v>0</v>
      </c>
    </row>
    <row r="493" spans="1:54" s="237" customFormat="1" ht="31.5">
      <c r="A493" s="148" t="s">
        <v>7162</v>
      </c>
      <c r="B493" s="203" t="s">
        <v>1443</v>
      </c>
      <c r="C493" s="203"/>
      <c r="D493" s="203"/>
      <c r="E493" s="203" t="s">
        <v>5063</v>
      </c>
      <c r="F493" s="205" t="s">
        <v>7163</v>
      </c>
      <c r="G493" s="205" t="s">
        <v>2385</v>
      </c>
      <c r="H493" s="204" t="s">
        <v>272</v>
      </c>
      <c r="I493" s="204" t="s">
        <v>11</v>
      </c>
      <c r="J493" s="205" t="s">
        <v>7131</v>
      </c>
      <c r="K493" s="206">
        <v>343</v>
      </c>
      <c r="L493" s="206"/>
      <c r="M493" s="159">
        <f t="shared" si="114"/>
        <v>18500</v>
      </c>
      <c r="N493" s="159"/>
      <c r="O493" s="159"/>
      <c r="P493" s="159"/>
      <c r="Q493" s="159"/>
      <c r="R493" s="159"/>
      <c r="S493" s="149" t="s">
        <v>2385</v>
      </c>
      <c r="T493" s="150" t="s">
        <v>2380</v>
      </c>
      <c r="U493" s="202" t="s">
        <v>5062</v>
      </c>
      <c r="V493" s="204">
        <v>3</v>
      </c>
      <c r="W493" s="203" t="s">
        <v>5104</v>
      </c>
      <c r="X493" s="204" t="s">
        <v>213</v>
      </c>
      <c r="Y493" s="206">
        <v>900</v>
      </c>
      <c r="Z493" s="207">
        <v>120000</v>
      </c>
      <c r="AA493" s="207">
        <f t="shared" si="115"/>
        <v>41160000</v>
      </c>
      <c r="AB493" s="157">
        <v>120000</v>
      </c>
      <c r="AC493" s="158">
        <f t="shared" si="129"/>
        <v>101500</v>
      </c>
      <c r="AD493" s="159">
        <f t="shared" si="116"/>
        <v>6345500</v>
      </c>
      <c r="AE493" s="160"/>
      <c r="AF493" s="160">
        <f t="shared" si="117"/>
        <v>0</v>
      </c>
      <c r="AG493" s="165">
        <v>9000</v>
      </c>
      <c r="AH493" s="161">
        <f t="shared" si="118"/>
        <v>3087000</v>
      </c>
      <c r="AI493" s="162"/>
      <c r="AJ493" s="162">
        <f t="shared" si="119"/>
        <v>0</v>
      </c>
      <c r="AK493" s="164"/>
      <c r="AL493" s="164">
        <f t="shared" si="120"/>
        <v>0</v>
      </c>
      <c r="AM493" s="165"/>
      <c r="AN493" s="165">
        <f t="shared" si="121"/>
        <v>0</v>
      </c>
      <c r="AO493" s="166">
        <v>7500</v>
      </c>
      <c r="AP493" s="166">
        <f t="shared" si="122"/>
        <v>2572500</v>
      </c>
      <c r="AQ493" s="162"/>
      <c r="AR493" s="162">
        <f t="shared" si="123"/>
        <v>0</v>
      </c>
      <c r="AS493" s="173">
        <v>2000</v>
      </c>
      <c r="AT493" s="167">
        <f t="shared" si="124"/>
        <v>686000</v>
      </c>
      <c r="AU493" s="163"/>
      <c r="AV493" s="163">
        <f t="shared" si="125"/>
        <v>0</v>
      </c>
      <c r="AW493" s="168"/>
      <c r="AX493" s="168">
        <f t="shared" si="126"/>
        <v>0</v>
      </c>
      <c r="AY493" s="170"/>
      <c r="AZ493" s="170">
        <f t="shared" si="127"/>
        <v>0</v>
      </c>
      <c r="BA493" s="166"/>
      <c r="BB493" s="166">
        <f t="shared" si="128"/>
        <v>0</v>
      </c>
    </row>
    <row r="494" spans="1:54" ht="31.5">
      <c r="A494" s="148" t="s">
        <v>7164</v>
      </c>
      <c r="B494" s="203" t="s">
        <v>1636</v>
      </c>
      <c r="C494" s="203"/>
      <c r="D494" s="203"/>
      <c r="E494" s="203" t="s">
        <v>7167</v>
      </c>
      <c r="F494" s="205" t="s">
        <v>7169</v>
      </c>
      <c r="G494" s="205" t="s">
        <v>6929</v>
      </c>
      <c r="H494" s="204" t="s">
        <v>7166</v>
      </c>
      <c r="I494" s="204" t="s">
        <v>520</v>
      </c>
      <c r="J494" s="205" t="s">
        <v>7168</v>
      </c>
      <c r="K494" s="206">
        <v>4079</v>
      </c>
      <c r="L494" s="206"/>
      <c r="M494" s="159">
        <f t="shared" si="114"/>
        <v>0</v>
      </c>
      <c r="N494" s="159"/>
      <c r="O494" s="159"/>
      <c r="P494" s="159"/>
      <c r="Q494" s="159"/>
      <c r="R494" s="159"/>
      <c r="S494" s="149" t="s">
        <v>6925</v>
      </c>
      <c r="T494" s="149" t="s">
        <v>6926</v>
      </c>
      <c r="U494" s="202" t="s">
        <v>7165</v>
      </c>
      <c r="V494" s="204">
        <v>3</v>
      </c>
      <c r="W494" s="203" t="s">
        <v>253</v>
      </c>
      <c r="X494" s="204" t="s">
        <v>213</v>
      </c>
      <c r="Y494" s="206">
        <v>4080</v>
      </c>
      <c r="Z494" s="207">
        <v>60000</v>
      </c>
      <c r="AA494" s="207">
        <f t="shared" si="115"/>
        <v>244740000</v>
      </c>
      <c r="AB494" s="157">
        <v>60000</v>
      </c>
      <c r="AC494" s="158">
        <f t="shared" si="129"/>
        <v>60000</v>
      </c>
      <c r="AD494" s="159">
        <f t="shared" si="116"/>
        <v>0</v>
      </c>
      <c r="AE494" s="160"/>
      <c r="AF494" s="160">
        <f t="shared" si="117"/>
        <v>0</v>
      </c>
      <c r="AG494" s="165"/>
      <c r="AH494" s="161">
        <f t="shared" si="118"/>
        <v>0</v>
      </c>
      <c r="AI494" s="162"/>
      <c r="AJ494" s="162">
        <f t="shared" si="119"/>
        <v>0</v>
      </c>
      <c r="AK494" s="164"/>
      <c r="AL494" s="164">
        <f t="shared" si="120"/>
        <v>0</v>
      </c>
      <c r="AM494" s="165"/>
      <c r="AN494" s="165">
        <f t="shared" si="121"/>
        <v>0</v>
      </c>
      <c r="AO494" s="166">
        <v>0</v>
      </c>
      <c r="AP494" s="166">
        <f t="shared" si="122"/>
        <v>0</v>
      </c>
      <c r="AQ494" s="162"/>
      <c r="AR494" s="162">
        <f t="shared" si="123"/>
        <v>0</v>
      </c>
      <c r="AS494" s="173"/>
      <c r="AT494" s="167">
        <f t="shared" si="124"/>
        <v>0</v>
      </c>
      <c r="AU494" s="163"/>
      <c r="AV494" s="163">
        <f t="shared" si="125"/>
        <v>0</v>
      </c>
      <c r="AW494" s="168"/>
      <c r="AX494" s="168">
        <f t="shared" si="126"/>
        <v>0</v>
      </c>
      <c r="AY494" s="170"/>
      <c r="AZ494" s="170">
        <f t="shared" si="127"/>
        <v>0</v>
      </c>
      <c r="BA494" s="166"/>
      <c r="BB494" s="166">
        <f t="shared" si="128"/>
        <v>0</v>
      </c>
    </row>
    <row r="495" spans="1:54" ht="31.5">
      <c r="A495" s="172" t="s">
        <v>7170</v>
      </c>
      <c r="B495" s="203" t="s">
        <v>1636</v>
      </c>
      <c r="C495" s="203"/>
      <c r="D495" s="203"/>
      <c r="E495" s="203" t="s">
        <v>5025</v>
      </c>
      <c r="F495" s="205" t="s">
        <v>7173</v>
      </c>
      <c r="G495" s="205" t="s">
        <v>7174</v>
      </c>
      <c r="H495" s="204" t="s">
        <v>5026</v>
      </c>
      <c r="I495" s="204" t="s">
        <v>11</v>
      </c>
      <c r="J495" s="205" t="s">
        <v>6767</v>
      </c>
      <c r="K495" s="206">
        <v>125</v>
      </c>
      <c r="L495" s="206"/>
      <c r="M495" s="159">
        <f t="shared" si="114"/>
        <v>89000</v>
      </c>
      <c r="N495" s="159"/>
      <c r="O495" s="159"/>
      <c r="P495" s="159"/>
      <c r="Q495" s="159"/>
      <c r="R495" s="159"/>
      <c r="S495" s="149" t="s">
        <v>7171</v>
      </c>
      <c r="T495" s="149" t="s">
        <v>7172</v>
      </c>
      <c r="U495" s="202" t="s">
        <v>5024</v>
      </c>
      <c r="V495" s="204">
        <v>3</v>
      </c>
      <c r="W495" s="203" t="s">
        <v>5104</v>
      </c>
      <c r="X495" s="204" t="s">
        <v>213</v>
      </c>
      <c r="Y495" s="206">
        <v>500</v>
      </c>
      <c r="Z495" s="207">
        <v>400000</v>
      </c>
      <c r="AA495" s="207">
        <f t="shared" si="115"/>
        <v>50000000</v>
      </c>
      <c r="AB495" s="157">
        <v>400000</v>
      </c>
      <c r="AC495" s="158">
        <f t="shared" si="129"/>
        <v>311000</v>
      </c>
      <c r="AD495" s="159">
        <f t="shared" si="116"/>
        <v>11125000</v>
      </c>
      <c r="AE495" s="160"/>
      <c r="AF495" s="160">
        <f t="shared" si="117"/>
        <v>0</v>
      </c>
      <c r="AG495" s="165"/>
      <c r="AH495" s="161">
        <f t="shared" si="118"/>
        <v>0</v>
      </c>
      <c r="AI495" s="162">
        <v>80000</v>
      </c>
      <c r="AJ495" s="162">
        <f t="shared" si="119"/>
        <v>10000000</v>
      </c>
      <c r="AK495" s="164"/>
      <c r="AL495" s="164">
        <f t="shared" si="120"/>
        <v>0</v>
      </c>
      <c r="AM495" s="165"/>
      <c r="AN495" s="165">
        <f t="shared" si="121"/>
        <v>0</v>
      </c>
      <c r="AO495" s="166">
        <v>0</v>
      </c>
      <c r="AP495" s="166">
        <f t="shared" si="122"/>
        <v>0</v>
      </c>
      <c r="AQ495" s="162"/>
      <c r="AR495" s="162">
        <f t="shared" si="123"/>
        <v>0</v>
      </c>
      <c r="AS495" s="173">
        <v>9000</v>
      </c>
      <c r="AT495" s="167">
        <f t="shared" si="124"/>
        <v>1125000</v>
      </c>
      <c r="AU495" s="163"/>
      <c r="AV495" s="163">
        <f t="shared" si="125"/>
        <v>0</v>
      </c>
      <c r="AW495" s="168"/>
      <c r="AX495" s="168">
        <f t="shared" si="126"/>
        <v>0</v>
      </c>
      <c r="AY495" s="170"/>
      <c r="AZ495" s="170">
        <f t="shared" si="127"/>
        <v>0</v>
      </c>
      <c r="BA495" s="166"/>
      <c r="BB495" s="166">
        <f t="shared" si="128"/>
        <v>0</v>
      </c>
    </row>
    <row r="496" spans="1:54" ht="31.5">
      <c r="A496" s="148" t="s">
        <v>7175</v>
      </c>
      <c r="B496" s="203" t="s">
        <v>1636</v>
      </c>
      <c r="C496" s="203"/>
      <c r="D496" s="203"/>
      <c r="E496" s="203" t="s">
        <v>5039</v>
      </c>
      <c r="F496" s="205" t="s">
        <v>7177</v>
      </c>
      <c r="G496" s="205" t="s">
        <v>1946</v>
      </c>
      <c r="H496" s="204" t="s">
        <v>5026</v>
      </c>
      <c r="I496" s="204" t="s">
        <v>11</v>
      </c>
      <c r="J496" s="205" t="s">
        <v>7176</v>
      </c>
      <c r="K496" s="206">
        <v>1848</v>
      </c>
      <c r="L496" s="206"/>
      <c r="M496" s="159">
        <f t="shared" si="114"/>
        <v>30000</v>
      </c>
      <c r="N496" s="159"/>
      <c r="O496" s="159"/>
      <c r="P496" s="159"/>
      <c r="Q496" s="159"/>
      <c r="R496" s="159"/>
      <c r="S496" s="150" t="s">
        <v>5340</v>
      </c>
      <c r="T496" s="150" t="s">
        <v>5341</v>
      </c>
      <c r="U496" s="202" t="s">
        <v>5038</v>
      </c>
      <c r="V496" s="204">
        <v>3</v>
      </c>
      <c r="W496" s="203" t="s">
        <v>253</v>
      </c>
      <c r="X496" s="204" t="s">
        <v>213</v>
      </c>
      <c r="Y496" s="206">
        <v>1850</v>
      </c>
      <c r="Z496" s="207">
        <v>100000</v>
      </c>
      <c r="AA496" s="207">
        <f t="shared" si="115"/>
        <v>184800000</v>
      </c>
      <c r="AB496" s="157">
        <v>100000</v>
      </c>
      <c r="AC496" s="158">
        <f t="shared" si="129"/>
        <v>70000</v>
      </c>
      <c r="AD496" s="159">
        <f t="shared" si="116"/>
        <v>55440000</v>
      </c>
      <c r="AE496" s="160">
        <v>10000</v>
      </c>
      <c r="AF496" s="160">
        <f t="shared" si="117"/>
        <v>18480000</v>
      </c>
      <c r="AG496" s="165"/>
      <c r="AH496" s="161">
        <f t="shared" si="118"/>
        <v>0</v>
      </c>
      <c r="AI496" s="162"/>
      <c r="AJ496" s="162">
        <f t="shared" si="119"/>
        <v>0</v>
      </c>
      <c r="AK496" s="164"/>
      <c r="AL496" s="164">
        <f t="shared" si="120"/>
        <v>0</v>
      </c>
      <c r="AM496" s="165"/>
      <c r="AN496" s="165">
        <f t="shared" si="121"/>
        <v>0</v>
      </c>
      <c r="AO496" s="166">
        <v>0</v>
      </c>
      <c r="AP496" s="166">
        <f t="shared" si="122"/>
        <v>0</v>
      </c>
      <c r="AQ496" s="162"/>
      <c r="AR496" s="162">
        <f t="shared" si="123"/>
        <v>0</v>
      </c>
      <c r="AS496" s="173">
        <v>20000</v>
      </c>
      <c r="AT496" s="167">
        <f t="shared" si="124"/>
        <v>36960000</v>
      </c>
      <c r="AU496" s="163"/>
      <c r="AV496" s="163">
        <f t="shared" si="125"/>
        <v>0</v>
      </c>
      <c r="AW496" s="168"/>
      <c r="AX496" s="168">
        <f t="shared" si="126"/>
        <v>0</v>
      </c>
      <c r="AY496" s="170"/>
      <c r="AZ496" s="170">
        <f t="shared" si="127"/>
        <v>0</v>
      </c>
      <c r="BA496" s="166"/>
      <c r="BB496" s="166">
        <f t="shared" si="128"/>
        <v>0</v>
      </c>
    </row>
    <row r="497" spans="1:54" s="115" customFormat="1" ht="31.5">
      <c r="A497" s="148" t="s">
        <v>7178</v>
      </c>
      <c r="B497" s="203" t="s">
        <v>1636</v>
      </c>
      <c r="C497" s="203"/>
      <c r="D497" s="203"/>
      <c r="E497" s="203" t="s">
        <v>1895</v>
      </c>
      <c r="F497" s="205" t="s">
        <v>1898</v>
      </c>
      <c r="G497" s="205" t="s">
        <v>7180</v>
      </c>
      <c r="H497" s="204" t="s">
        <v>5007</v>
      </c>
      <c r="I497" s="204" t="s">
        <v>11</v>
      </c>
      <c r="J497" s="205" t="s">
        <v>7179</v>
      </c>
      <c r="K497" s="206">
        <v>2600</v>
      </c>
      <c r="L497" s="206"/>
      <c r="M497" s="159">
        <f t="shared" si="114"/>
        <v>5100</v>
      </c>
      <c r="N497" s="159"/>
      <c r="O497" s="159"/>
      <c r="P497" s="159"/>
      <c r="Q497" s="159"/>
      <c r="R497" s="159"/>
      <c r="S497" s="149" t="s">
        <v>2385</v>
      </c>
      <c r="T497" s="150" t="s">
        <v>2380</v>
      </c>
      <c r="U497" s="202" t="s">
        <v>5006</v>
      </c>
      <c r="V497" s="204">
        <v>3</v>
      </c>
      <c r="W497" s="203" t="s">
        <v>5104</v>
      </c>
      <c r="X497" s="204" t="s">
        <v>213</v>
      </c>
      <c r="Y497" s="206">
        <v>2600</v>
      </c>
      <c r="Z497" s="207">
        <v>100000</v>
      </c>
      <c r="AA497" s="207">
        <f t="shared" si="115"/>
        <v>260000000</v>
      </c>
      <c r="AB497" s="157">
        <v>100000</v>
      </c>
      <c r="AC497" s="158">
        <f t="shared" si="129"/>
        <v>94900</v>
      </c>
      <c r="AD497" s="159">
        <f t="shared" si="116"/>
        <v>13260000</v>
      </c>
      <c r="AE497" s="160"/>
      <c r="AF497" s="160">
        <f t="shared" si="117"/>
        <v>0</v>
      </c>
      <c r="AG497" s="165">
        <v>5100</v>
      </c>
      <c r="AH497" s="161">
        <f t="shared" si="118"/>
        <v>13260000</v>
      </c>
      <c r="AI497" s="162"/>
      <c r="AJ497" s="162">
        <f t="shared" si="119"/>
        <v>0</v>
      </c>
      <c r="AK497" s="164"/>
      <c r="AL497" s="164">
        <f t="shared" si="120"/>
        <v>0</v>
      </c>
      <c r="AM497" s="165"/>
      <c r="AN497" s="165">
        <f t="shared" si="121"/>
        <v>0</v>
      </c>
      <c r="AO497" s="166">
        <v>0</v>
      </c>
      <c r="AP497" s="166">
        <f t="shared" si="122"/>
        <v>0</v>
      </c>
      <c r="AQ497" s="162"/>
      <c r="AR497" s="162">
        <f t="shared" si="123"/>
        <v>0</v>
      </c>
      <c r="AS497" s="173"/>
      <c r="AT497" s="167">
        <f t="shared" si="124"/>
        <v>0</v>
      </c>
      <c r="AU497" s="163"/>
      <c r="AV497" s="163">
        <f t="shared" si="125"/>
        <v>0</v>
      </c>
      <c r="AW497" s="168"/>
      <c r="AX497" s="168">
        <f t="shared" si="126"/>
        <v>0</v>
      </c>
      <c r="AY497" s="170"/>
      <c r="AZ497" s="170">
        <f t="shared" si="127"/>
        <v>0</v>
      </c>
      <c r="BA497" s="166"/>
      <c r="BB497" s="166">
        <f t="shared" si="128"/>
        <v>0</v>
      </c>
    </row>
    <row r="498" spans="1:54" ht="31.5">
      <c r="A498" s="172" t="s">
        <v>7181</v>
      </c>
      <c r="B498" s="203" t="s">
        <v>843</v>
      </c>
      <c r="C498" s="203"/>
      <c r="D498" s="203"/>
      <c r="E498" s="203" t="s">
        <v>844</v>
      </c>
      <c r="F498" s="205" t="s">
        <v>7183</v>
      </c>
      <c r="G498" s="205" t="s">
        <v>7001</v>
      </c>
      <c r="H498" s="204" t="s">
        <v>272</v>
      </c>
      <c r="I498" s="204" t="s">
        <v>11</v>
      </c>
      <c r="J498" s="205" t="s">
        <v>7182</v>
      </c>
      <c r="K498" s="206">
        <v>113</v>
      </c>
      <c r="L498" s="206"/>
      <c r="M498" s="159">
        <f t="shared" si="114"/>
        <v>25400</v>
      </c>
      <c r="N498" s="159"/>
      <c r="O498" s="159"/>
      <c r="P498" s="159"/>
      <c r="Q498" s="159"/>
      <c r="R498" s="159"/>
      <c r="S498" s="150" t="s">
        <v>360</v>
      </c>
      <c r="T498" s="150" t="s">
        <v>358</v>
      </c>
      <c r="U498" s="202" t="s">
        <v>5068</v>
      </c>
      <c r="V498" s="204">
        <v>3</v>
      </c>
      <c r="W498" s="203" t="s">
        <v>253</v>
      </c>
      <c r="X498" s="204" t="s">
        <v>213</v>
      </c>
      <c r="Y498" s="206">
        <v>225</v>
      </c>
      <c r="Z498" s="207">
        <v>250000</v>
      </c>
      <c r="AA498" s="207">
        <f t="shared" si="115"/>
        <v>28250000</v>
      </c>
      <c r="AB498" s="157">
        <v>250000</v>
      </c>
      <c r="AC498" s="158">
        <f t="shared" si="129"/>
        <v>224600</v>
      </c>
      <c r="AD498" s="159">
        <f t="shared" si="116"/>
        <v>2870200</v>
      </c>
      <c r="AE498" s="160"/>
      <c r="AF498" s="160">
        <f t="shared" si="117"/>
        <v>0</v>
      </c>
      <c r="AG498" s="165">
        <v>13000</v>
      </c>
      <c r="AH498" s="161">
        <f t="shared" si="118"/>
        <v>1469000</v>
      </c>
      <c r="AI498" s="162"/>
      <c r="AJ498" s="162">
        <f t="shared" si="119"/>
        <v>0</v>
      </c>
      <c r="AK498" s="164"/>
      <c r="AL498" s="164">
        <f t="shared" si="120"/>
        <v>0</v>
      </c>
      <c r="AM498" s="165">
        <v>10000</v>
      </c>
      <c r="AN498" s="165">
        <f t="shared" si="121"/>
        <v>1130000</v>
      </c>
      <c r="AO498" s="166">
        <v>0</v>
      </c>
      <c r="AP498" s="166">
        <f t="shared" si="122"/>
        <v>0</v>
      </c>
      <c r="AQ498" s="162"/>
      <c r="AR498" s="162">
        <f t="shared" si="123"/>
        <v>0</v>
      </c>
      <c r="AS498" s="173">
        <v>2400</v>
      </c>
      <c r="AT498" s="167">
        <f t="shared" si="124"/>
        <v>271200</v>
      </c>
      <c r="AU498" s="163"/>
      <c r="AV498" s="163">
        <f t="shared" si="125"/>
        <v>0</v>
      </c>
      <c r="AW498" s="168"/>
      <c r="AX498" s="168">
        <f t="shared" si="126"/>
        <v>0</v>
      </c>
      <c r="AY498" s="170"/>
      <c r="AZ498" s="170">
        <f t="shared" si="127"/>
        <v>0</v>
      </c>
      <c r="BA498" s="166"/>
      <c r="BB498" s="166">
        <f t="shared" si="128"/>
        <v>0</v>
      </c>
    </row>
    <row r="499" spans="1:54" ht="31.5">
      <c r="A499" s="148" t="s">
        <v>7184</v>
      </c>
      <c r="B499" s="203" t="s">
        <v>843</v>
      </c>
      <c r="C499" s="203"/>
      <c r="D499" s="203"/>
      <c r="E499" s="203" t="s">
        <v>843</v>
      </c>
      <c r="F499" s="205" t="s">
        <v>7185</v>
      </c>
      <c r="G499" s="205" t="s">
        <v>7001</v>
      </c>
      <c r="H499" s="204" t="s">
        <v>225</v>
      </c>
      <c r="I499" s="204" t="s">
        <v>11</v>
      </c>
      <c r="J499" s="205" t="s">
        <v>7182</v>
      </c>
      <c r="K499" s="206">
        <v>154</v>
      </c>
      <c r="L499" s="206"/>
      <c r="M499" s="159">
        <f t="shared" si="114"/>
        <v>35600</v>
      </c>
      <c r="N499" s="159"/>
      <c r="O499" s="159"/>
      <c r="P499" s="159"/>
      <c r="Q499" s="159"/>
      <c r="R499" s="159"/>
      <c r="S499" s="150" t="s">
        <v>360</v>
      </c>
      <c r="T499" s="150" t="s">
        <v>358</v>
      </c>
      <c r="U499" s="202" t="s">
        <v>5066</v>
      </c>
      <c r="V499" s="204">
        <v>3</v>
      </c>
      <c r="W499" s="203" t="s">
        <v>253</v>
      </c>
      <c r="X499" s="204" t="s">
        <v>213</v>
      </c>
      <c r="Y499" s="206">
        <v>560</v>
      </c>
      <c r="Z499" s="207">
        <v>250000</v>
      </c>
      <c r="AA499" s="207">
        <f t="shared" si="115"/>
        <v>38500000</v>
      </c>
      <c r="AB499" s="157">
        <v>250000</v>
      </c>
      <c r="AC499" s="158">
        <f t="shared" si="129"/>
        <v>214400</v>
      </c>
      <c r="AD499" s="159">
        <f t="shared" si="116"/>
        <v>5482400</v>
      </c>
      <c r="AE499" s="160"/>
      <c r="AF499" s="160">
        <f t="shared" si="117"/>
        <v>0</v>
      </c>
      <c r="AG499" s="165"/>
      <c r="AH499" s="161">
        <f t="shared" si="118"/>
        <v>0</v>
      </c>
      <c r="AI499" s="162">
        <v>10000</v>
      </c>
      <c r="AJ499" s="162">
        <f t="shared" si="119"/>
        <v>1540000</v>
      </c>
      <c r="AK499" s="164"/>
      <c r="AL499" s="164">
        <f t="shared" si="120"/>
        <v>0</v>
      </c>
      <c r="AM499" s="165">
        <v>21000</v>
      </c>
      <c r="AN499" s="165">
        <f t="shared" si="121"/>
        <v>3234000</v>
      </c>
      <c r="AO499" s="166">
        <v>0</v>
      </c>
      <c r="AP499" s="166">
        <f t="shared" si="122"/>
        <v>0</v>
      </c>
      <c r="AQ499" s="162"/>
      <c r="AR499" s="162">
        <f t="shared" si="123"/>
        <v>0</v>
      </c>
      <c r="AS499" s="173">
        <v>4600</v>
      </c>
      <c r="AT499" s="167">
        <f t="shared" si="124"/>
        <v>708400</v>
      </c>
      <c r="AU499" s="163"/>
      <c r="AV499" s="163">
        <f t="shared" si="125"/>
        <v>0</v>
      </c>
      <c r="AW499" s="168"/>
      <c r="AX499" s="168">
        <f t="shared" si="126"/>
        <v>0</v>
      </c>
      <c r="AY499" s="170"/>
      <c r="AZ499" s="170">
        <f t="shared" si="127"/>
        <v>0</v>
      </c>
      <c r="BA499" s="166"/>
      <c r="BB499" s="166">
        <f t="shared" si="128"/>
        <v>0</v>
      </c>
    </row>
    <row r="500" spans="1:54">
      <c r="A500" s="148" t="s">
        <v>7186</v>
      </c>
      <c r="B500" s="203" t="s">
        <v>1785</v>
      </c>
      <c r="C500" s="203"/>
      <c r="D500" s="203"/>
      <c r="E500" s="203" t="s">
        <v>7189</v>
      </c>
      <c r="F500" s="205" t="s">
        <v>7191</v>
      </c>
      <c r="G500" s="205" t="s">
        <v>7192</v>
      </c>
      <c r="H500" s="204" t="s">
        <v>7188</v>
      </c>
      <c r="I500" s="204" t="s">
        <v>15</v>
      </c>
      <c r="J500" s="205" t="s">
        <v>7190</v>
      </c>
      <c r="K500" s="206">
        <v>39480</v>
      </c>
      <c r="L500" s="206"/>
      <c r="M500" s="159">
        <f t="shared" si="114"/>
        <v>0</v>
      </c>
      <c r="N500" s="159"/>
      <c r="O500" s="159"/>
      <c r="P500" s="159"/>
      <c r="Q500" s="159"/>
      <c r="R500" s="159"/>
      <c r="S500" s="149" t="s">
        <v>5830</v>
      </c>
      <c r="T500" s="149" t="s">
        <v>5831</v>
      </c>
      <c r="U500" s="202" t="s">
        <v>7187</v>
      </c>
      <c r="V500" s="204">
        <v>3</v>
      </c>
      <c r="W500" s="203" t="s">
        <v>5104</v>
      </c>
      <c r="X500" s="204" t="s">
        <v>213</v>
      </c>
      <c r="Y500" s="206">
        <v>40000</v>
      </c>
      <c r="Z500" s="207">
        <v>2000</v>
      </c>
      <c r="AA500" s="207">
        <f t="shared" si="115"/>
        <v>78960000</v>
      </c>
      <c r="AB500" s="157">
        <v>2000</v>
      </c>
      <c r="AC500" s="158">
        <f t="shared" si="129"/>
        <v>2000</v>
      </c>
      <c r="AD500" s="159">
        <f t="shared" si="116"/>
        <v>0</v>
      </c>
      <c r="AE500" s="160"/>
      <c r="AF500" s="160">
        <f t="shared" si="117"/>
        <v>0</v>
      </c>
      <c r="AG500" s="165"/>
      <c r="AH500" s="161">
        <f t="shared" si="118"/>
        <v>0</v>
      </c>
      <c r="AI500" s="162"/>
      <c r="AJ500" s="162">
        <f t="shared" si="119"/>
        <v>0</v>
      </c>
      <c r="AK500" s="164"/>
      <c r="AL500" s="164">
        <f t="shared" si="120"/>
        <v>0</v>
      </c>
      <c r="AM500" s="165"/>
      <c r="AN500" s="165">
        <f t="shared" si="121"/>
        <v>0</v>
      </c>
      <c r="AO500" s="166">
        <v>0</v>
      </c>
      <c r="AP500" s="166">
        <f t="shared" si="122"/>
        <v>0</v>
      </c>
      <c r="AQ500" s="162"/>
      <c r="AR500" s="162">
        <f t="shared" si="123"/>
        <v>0</v>
      </c>
      <c r="AS500" s="173"/>
      <c r="AT500" s="167">
        <f t="shared" si="124"/>
        <v>0</v>
      </c>
      <c r="AU500" s="163"/>
      <c r="AV500" s="163">
        <f t="shared" si="125"/>
        <v>0</v>
      </c>
      <c r="AW500" s="168"/>
      <c r="AX500" s="168">
        <f t="shared" si="126"/>
        <v>0</v>
      </c>
      <c r="AY500" s="170"/>
      <c r="AZ500" s="170">
        <f t="shared" si="127"/>
        <v>0</v>
      </c>
      <c r="BA500" s="166"/>
      <c r="BB500" s="166">
        <f t="shared" si="128"/>
        <v>0</v>
      </c>
    </row>
    <row r="501" spans="1:54" ht="31.5">
      <c r="A501" s="172" t="s">
        <v>7193</v>
      </c>
      <c r="B501" s="203" t="s">
        <v>5050</v>
      </c>
      <c r="C501" s="203"/>
      <c r="D501" s="203"/>
      <c r="E501" s="203" t="s">
        <v>5049</v>
      </c>
      <c r="F501" s="205" t="s">
        <v>7194</v>
      </c>
      <c r="G501" s="205" t="s">
        <v>7015</v>
      </c>
      <c r="H501" s="204" t="s">
        <v>1862</v>
      </c>
      <c r="I501" s="204" t="s">
        <v>11</v>
      </c>
      <c r="J501" s="205" t="s">
        <v>6805</v>
      </c>
      <c r="K501" s="206">
        <v>480</v>
      </c>
      <c r="L501" s="206"/>
      <c r="M501" s="159">
        <f t="shared" si="114"/>
        <v>1000</v>
      </c>
      <c r="N501" s="159"/>
      <c r="O501" s="159"/>
      <c r="P501" s="159"/>
      <c r="Q501" s="159"/>
      <c r="R501" s="159"/>
      <c r="S501" s="149" t="s">
        <v>5417</v>
      </c>
      <c r="T501" s="150" t="s">
        <v>5418</v>
      </c>
      <c r="U501" s="202" t="s">
        <v>4985</v>
      </c>
      <c r="V501" s="204">
        <v>3</v>
      </c>
      <c r="W501" s="203" t="s">
        <v>5104</v>
      </c>
      <c r="X501" s="204" t="s">
        <v>213</v>
      </c>
      <c r="Y501" s="206">
        <v>850</v>
      </c>
      <c r="Z501" s="207">
        <v>30000</v>
      </c>
      <c r="AA501" s="207">
        <f t="shared" si="115"/>
        <v>14400000</v>
      </c>
      <c r="AB501" s="157">
        <v>30000</v>
      </c>
      <c r="AC501" s="158">
        <f t="shared" si="129"/>
        <v>29000</v>
      </c>
      <c r="AD501" s="159">
        <f t="shared" si="116"/>
        <v>480000</v>
      </c>
      <c r="AE501" s="160"/>
      <c r="AF501" s="160">
        <f t="shared" si="117"/>
        <v>0</v>
      </c>
      <c r="AG501" s="165">
        <v>1000</v>
      </c>
      <c r="AH501" s="161">
        <f t="shared" si="118"/>
        <v>480000</v>
      </c>
      <c r="AI501" s="162"/>
      <c r="AJ501" s="162">
        <f t="shared" si="119"/>
        <v>0</v>
      </c>
      <c r="AK501" s="164"/>
      <c r="AL501" s="164">
        <f t="shared" si="120"/>
        <v>0</v>
      </c>
      <c r="AM501" s="165"/>
      <c r="AN501" s="165">
        <f t="shared" si="121"/>
        <v>0</v>
      </c>
      <c r="AO501" s="166">
        <v>0</v>
      </c>
      <c r="AP501" s="166">
        <f t="shared" si="122"/>
        <v>0</v>
      </c>
      <c r="AQ501" s="162"/>
      <c r="AR501" s="162">
        <f t="shared" si="123"/>
        <v>0</v>
      </c>
      <c r="AS501" s="173"/>
      <c r="AT501" s="167">
        <f t="shared" si="124"/>
        <v>0</v>
      </c>
      <c r="AU501" s="163"/>
      <c r="AV501" s="163">
        <f t="shared" si="125"/>
        <v>0</v>
      </c>
      <c r="AW501" s="168"/>
      <c r="AX501" s="168">
        <f t="shared" si="126"/>
        <v>0</v>
      </c>
      <c r="AY501" s="170"/>
      <c r="AZ501" s="170">
        <f t="shared" si="127"/>
        <v>0</v>
      </c>
      <c r="BA501" s="166"/>
      <c r="BB501" s="166">
        <f t="shared" si="128"/>
        <v>0</v>
      </c>
    </row>
    <row r="502" spans="1:54" ht="31.5">
      <c r="A502" s="148" t="s">
        <v>7195</v>
      </c>
      <c r="B502" s="203" t="s">
        <v>1402</v>
      </c>
      <c r="C502" s="203"/>
      <c r="D502" s="203"/>
      <c r="E502" s="203" t="s">
        <v>1402</v>
      </c>
      <c r="F502" s="205" t="s">
        <v>7197</v>
      </c>
      <c r="G502" s="205" t="s">
        <v>7001</v>
      </c>
      <c r="H502" s="204" t="s">
        <v>225</v>
      </c>
      <c r="I502" s="204" t="s">
        <v>11</v>
      </c>
      <c r="J502" s="205" t="s">
        <v>7196</v>
      </c>
      <c r="K502" s="206">
        <v>162</v>
      </c>
      <c r="L502" s="206"/>
      <c r="M502" s="159">
        <f t="shared" si="114"/>
        <v>18000</v>
      </c>
      <c r="N502" s="159"/>
      <c r="O502" s="159"/>
      <c r="P502" s="159"/>
      <c r="Q502" s="159"/>
      <c r="R502" s="159"/>
      <c r="S502" s="150" t="s">
        <v>360</v>
      </c>
      <c r="T502" s="150" t="s">
        <v>358</v>
      </c>
      <c r="U502" s="202" t="s">
        <v>5069</v>
      </c>
      <c r="V502" s="204">
        <v>3</v>
      </c>
      <c r="W502" s="203" t="s">
        <v>5104</v>
      </c>
      <c r="X502" s="204" t="s">
        <v>213</v>
      </c>
      <c r="Y502" s="206">
        <v>500</v>
      </c>
      <c r="Z502" s="207">
        <v>100000</v>
      </c>
      <c r="AA502" s="207">
        <f t="shared" si="115"/>
        <v>16200000</v>
      </c>
      <c r="AB502" s="157">
        <v>100000</v>
      </c>
      <c r="AC502" s="158">
        <f t="shared" si="129"/>
        <v>82000</v>
      </c>
      <c r="AD502" s="159">
        <f t="shared" si="116"/>
        <v>2916000</v>
      </c>
      <c r="AE502" s="160"/>
      <c r="AF502" s="160">
        <f t="shared" si="117"/>
        <v>0</v>
      </c>
      <c r="AG502" s="165"/>
      <c r="AH502" s="161">
        <f t="shared" si="118"/>
        <v>0</v>
      </c>
      <c r="AI502" s="162">
        <v>10000</v>
      </c>
      <c r="AJ502" s="162">
        <f t="shared" si="119"/>
        <v>1620000</v>
      </c>
      <c r="AK502" s="164"/>
      <c r="AL502" s="164">
        <f t="shared" si="120"/>
        <v>0</v>
      </c>
      <c r="AM502" s="165">
        <v>7400</v>
      </c>
      <c r="AN502" s="165">
        <f t="shared" si="121"/>
        <v>1198800</v>
      </c>
      <c r="AO502" s="166">
        <v>0</v>
      </c>
      <c r="AP502" s="166">
        <f t="shared" si="122"/>
        <v>0</v>
      </c>
      <c r="AQ502" s="162"/>
      <c r="AR502" s="162">
        <f t="shared" si="123"/>
        <v>0</v>
      </c>
      <c r="AS502" s="173">
        <v>600</v>
      </c>
      <c r="AT502" s="167">
        <f t="shared" si="124"/>
        <v>97200</v>
      </c>
      <c r="AU502" s="163"/>
      <c r="AV502" s="163">
        <f t="shared" si="125"/>
        <v>0</v>
      </c>
      <c r="AW502" s="168"/>
      <c r="AX502" s="168">
        <f t="shared" si="126"/>
        <v>0</v>
      </c>
      <c r="AY502" s="170"/>
      <c r="AZ502" s="170">
        <f t="shared" si="127"/>
        <v>0</v>
      </c>
      <c r="BA502" s="166"/>
      <c r="BB502" s="166">
        <f t="shared" si="128"/>
        <v>0</v>
      </c>
    </row>
    <row r="503" spans="1:54" ht="31.5">
      <c r="A503" s="148" t="s">
        <v>7198</v>
      </c>
      <c r="B503" s="203" t="s">
        <v>1402</v>
      </c>
      <c r="C503" s="203"/>
      <c r="D503" s="203"/>
      <c r="E503" s="203" t="s">
        <v>1402</v>
      </c>
      <c r="F503" s="205" t="s">
        <v>7201</v>
      </c>
      <c r="G503" s="205" t="s">
        <v>7174</v>
      </c>
      <c r="H503" s="204" t="s">
        <v>291</v>
      </c>
      <c r="I503" s="204" t="s">
        <v>11</v>
      </c>
      <c r="J503" s="205" t="s">
        <v>7200</v>
      </c>
      <c r="K503" s="206">
        <v>63</v>
      </c>
      <c r="L503" s="206"/>
      <c r="M503" s="159">
        <f t="shared" si="114"/>
        <v>0</v>
      </c>
      <c r="N503" s="159"/>
      <c r="O503" s="159"/>
      <c r="P503" s="159"/>
      <c r="Q503" s="159"/>
      <c r="R503" s="159"/>
      <c r="S503" s="149" t="s">
        <v>7171</v>
      </c>
      <c r="T503" s="149" t="s">
        <v>7172</v>
      </c>
      <c r="U503" s="202" t="s">
        <v>7199</v>
      </c>
      <c r="V503" s="204">
        <v>3</v>
      </c>
      <c r="W503" s="203" t="s">
        <v>5104</v>
      </c>
      <c r="X503" s="204" t="s">
        <v>213</v>
      </c>
      <c r="Y503" s="206">
        <v>190</v>
      </c>
      <c r="Z503" s="207">
        <v>20000</v>
      </c>
      <c r="AA503" s="207">
        <f t="shared" si="115"/>
        <v>1260000</v>
      </c>
      <c r="AB503" s="157">
        <v>20000</v>
      </c>
      <c r="AC503" s="158">
        <f t="shared" si="129"/>
        <v>20000</v>
      </c>
      <c r="AD503" s="159">
        <f t="shared" si="116"/>
        <v>0</v>
      </c>
      <c r="AE503" s="160"/>
      <c r="AF503" s="160">
        <f t="shared" si="117"/>
        <v>0</v>
      </c>
      <c r="AG503" s="165"/>
      <c r="AH503" s="161">
        <f t="shared" si="118"/>
        <v>0</v>
      </c>
      <c r="AI503" s="162"/>
      <c r="AJ503" s="162">
        <f t="shared" si="119"/>
        <v>0</v>
      </c>
      <c r="AK503" s="164"/>
      <c r="AL503" s="164">
        <f t="shared" si="120"/>
        <v>0</v>
      </c>
      <c r="AM503" s="165"/>
      <c r="AN503" s="165">
        <f t="shared" si="121"/>
        <v>0</v>
      </c>
      <c r="AO503" s="166">
        <v>0</v>
      </c>
      <c r="AP503" s="166">
        <f t="shared" si="122"/>
        <v>0</v>
      </c>
      <c r="AQ503" s="162"/>
      <c r="AR503" s="162">
        <f t="shared" si="123"/>
        <v>0</v>
      </c>
      <c r="AS503" s="173"/>
      <c r="AT503" s="167">
        <f t="shared" si="124"/>
        <v>0</v>
      </c>
      <c r="AU503" s="163"/>
      <c r="AV503" s="163">
        <f t="shared" si="125"/>
        <v>0</v>
      </c>
      <c r="AW503" s="168"/>
      <c r="AX503" s="168">
        <f t="shared" si="126"/>
        <v>0</v>
      </c>
      <c r="AY503" s="170"/>
      <c r="AZ503" s="170">
        <f t="shared" si="127"/>
        <v>0</v>
      </c>
      <c r="BA503" s="166"/>
      <c r="BB503" s="166">
        <f t="shared" si="128"/>
        <v>0</v>
      </c>
    </row>
    <row r="504" spans="1:54" ht="31.5">
      <c r="A504" s="172" t="s">
        <v>7202</v>
      </c>
      <c r="B504" s="203" t="s">
        <v>1722</v>
      </c>
      <c r="C504" s="203"/>
      <c r="D504" s="203"/>
      <c r="E504" s="203" t="s">
        <v>7203</v>
      </c>
      <c r="F504" s="205" t="s">
        <v>7205</v>
      </c>
      <c r="G504" s="205" t="s">
        <v>7015</v>
      </c>
      <c r="H504" s="204" t="s">
        <v>1723</v>
      </c>
      <c r="I504" s="204" t="s">
        <v>520</v>
      </c>
      <c r="J504" s="205" t="s">
        <v>7204</v>
      </c>
      <c r="K504" s="206">
        <v>476</v>
      </c>
      <c r="L504" s="206"/>
      <c r="M504" s="159">
        <f t="shared" si="114"/>
        <v>0</v>
      </c>
      <c r="N504" s="159"/>
      <c r="O504" s="159"/>
      <c r="P504" s="159"/>
      <c r="Q504" s="159"/>
      <c r="R504" s="159"/>
      <c r="S504" s="149" t="s">
        <v>5417</v>
      </c>
      <c r="T504" s="150" t="s">
        <v>5418</v>
      </c>
      <c r="U504" s="202" t="s">
        <v>3786</v>
      </c>
      <c r="V504" s="204">
        <v>3</v>
      </c>
      <c r="W504" s="203" t="s">
        <v>5104</v>
      </c>
      <c r="X504" s="204" t="s">
        <v>213</v>
      </c>
      <c r="Y504" s="206">
        <v>780</v>
      </c>
      <c r="Z504" s="207">
        <v>5000</v>
      </c>
      <c r="AA504" s="207">
        <f t="shared" si="115"/>
        <v>2380000</v>
      </c>
      <c r="AB504" s="157">
        <v>5000</v>
      </c>
      <c r="AC504" s="158">
        <f t="shared" si="129"/>
        <v>5000</v>
      </c>
      <c r="AD504" s="159">
        <f t="shared" si="116"/>
        <v>0</v>
      </c>
      <c r="AE504" s="160"/>
      <c r="AF504" s="160">
        <f t="shared" si="117"/>
        <v>0</v>
      </c>
      <c r="AG504" s="161"/>
      <c r="AH504" s="161">
        <f t="shared" si="118"/>
        <v>0</v>
      </c>
      <c r="AI504" s="162"/>
      <c r="AJ504" s="162">
        <f t="shared" si="119"/>
        <v>0</v>
      </c>
      <c r="AK504" s="164"/>
      <c r="AL504" s="164">
        <f t="shared" si="120"/>
        <v>0</v>
      </c>
      <c r="AM504" s="165"/>
      <c r="AN504" s="165">
        <f t="shared" si="121"/>
        <v>0</v>
      </c>
      <c r="AO504" s="166">
        <v>0</v>
      </c>
      <c r="AP504" s="166">
        <f t="shared" si="122"/>
        <v>0</v>
      </c>
      <c r="AQ504" s="162"/>
      <c r="AR504" s="162">
        <f t="shared" si="123"/>
        <v>0</v>
      </c>
      <c r="AS504" s="167"/>
      <c r="AT504" s="167">
        <f t="shared" si="124"/>
        <v>0</v>
      </c>
      <c r="AU504" s="163"/>
      <c r="AV504" s="163">
        <f t="shared" si="125"/>
        <v>0</v>
      </c>
      <c r="AW504" s="168"/>
      <c r="AX504" s="168">
        <f t="shared" si="126"/>
        <v>0</v>
      </c>
      <c r="AY504" s="170"/>
      <c r="AZ504" s="170">
        <f t="shared" si="127"/>
        <v>0</v>
      </c>
      <c r="BA504" s="166"/>
      <c r="BB504" s="166">
        <f t="shared" si="128"/>
        <v>0</v>
      </c>
    </row>
    <row r="505" spans="1:54" ht="31.5">
      <c r="A505" s="148" t="s">
        <v>7206</v>
      </c>
      <c r="B505" s="203" t="s">
        <v>659</v>
      </c>
      <c r="C505" s="203"/>
      <c r="D505" s="203"/>
      <c r="E505" s="203" t="s">
        <v>7208</v>
      </c>
      <c r="F505" s="205" t="s">
        <v>7210</v>
      </c>
      <c r="G505" s="205" t="s">
        <v>7211</v>
      </c>
      <c r="H505" s="204" t="s">
        <v>262</v>
      </c>
      <c r="I505" s="204" t="s">
        <v>11</v>
      </c>
      <c r="J505" s="205" t="s">
        <v>7209</v>
      </c>
      <c r="K505" s="206">
        <v>495</v>
      </c>
      <c r="L505" s="206"/>
      <c r="M505" s="159">
        <f t="shared" si="114"/>
        <v>0</v>
      </c>
      <c r="N505" s="159"/>
      <c r="O505" s="159"/>
      <c r="P505" s="159"/>
      <c r="Q505" s="159"/>
      <c r="R505" s="159"/>
      <c r="S505" s="150" t="s">
        <v>5328</v>
      </c>
      <c r="T505" s="150" t="s">
        <v>215</v>
      </c>
      <c r="U505" s="202" t="s">
        <v>7207</v>
      </c>
      <c r="V505" s="204">
        <v>3</v>
      </c>
      <c r="W505" s="203" t="s">
        <v>5104</v>
      </c>
      <c r="X505" s="204" t="s">
        <v>213</v>
      </c>
      <c r="Y505" s="206">
        <v>5950</v>
      </c>
      <c r="Z505" s="207">
        <v>50000</v>
      </c>
      <c r="AA505" s="207">
        <f t="shared" si="115"/>
        <v>24750000</v>
      </c>
      <c r="AB505" s="157">
        <v>50000</v>
      </c>
      <c r="AC505" s="158">
        <f t="shared" si="129"/>
        <v>50000</v>
      </c>
      <c r="AD505" s="159">
        <f t="shared" si="116"/>
        <v>0</v>
      </c>
      <c r="AE505" s="160"/>
      <c r="AF505" s="160">
        <f t="shared" si="117"/>
        <v>0</v>
      </c>
      <c r="AG505" s="165"/>
      <c r="AH505" s="161">
        <f t="shared" si="118"/>
        <v>0</v>
      </c>
      <c r="AI505" s="162"/>
      <c r="AJ505" s="162">
        <f t="shared" si="119"/>
        <v>0</v>
      </c>
      <c r="AK505" s="164"/>
      <c r="AL505" s="164">
        <f t="shared" si="120"/>
        <v>0</v>
      </c>
      <c r="AM505" s="165"/>
      <c r="AN505" s="165">
        <f t="shared" si="121"/>
        <v>0</v>
      </c>
      <c r="AO505" s="166">
        <v>0</v>
      </c>
      <c r="AP505" s="166">
        <f t="shared" si="122"/>
        <v>0</v>
      </c>
      <c r="AQ505" s="162"/>
      <c r="AR505" s="162">
        <f t="shared" si="123"/>
        <v>0</v>
      </c>
      <c r="AS505" s="173"/>
      <c r="AT505" s="167">
        <f t="shared" si="124"/>
        <v>0</v>
      </c>
      <c r="AU505" s="163"/>
      <c r="AV505" s="163">
        <f t="shared" si="125"/>
        <v>0</v>
      </c>
      <c r="AW505" s="168"/>
      <c r="AX505" s="168">
        <f t="shared" si="126"/>
        <v>0</v>
      </c>
      <c r="AY505" s="170"/>
      <c r="AZ505" s="170">
        <f t="shared" si="127"/>
        <v>0</v>
      </c>
      <c r="BA505" s="166"/>
      <c r="BB505" s="166">
        <f t="shared" si="128"/>
        <v>0</v>
      </c>
    </row>
    <row r="506" spans="1:54" ht="31.5">
      <c r="A506" s="148" t="s">
        <v>7212</v>
      </c>
      <c r="B506" s="203" t="s">
        <v>659</v>
      </c>
      <c r="C506" s="203"/>
      <c r="D506" s="203"/>
      <c r="E506" s="203" t="s">
        <v>4181</v>
      </c>
      <c r="F506" s="205" t="s">
        <v>7216</v>
      </c>
      <c r="G506" s="205" t="s">
        <v>7217</v>
      </c>
      <c r="H506" s="204" t="s">
        <v>334</v>
      </c>
      <c r="I506" s="204" t="s">
        <v>11</v>
      </c>
      <c r="J506" s="205" t="s">
        <v>7215</v>
      </c>
      <c r="K506" s="206">
        <v>2890</v>
      </c>
      <c r="L506" s="206"/>
      <c r="M506" s="159">
        <f t="shared" si="114"/>
        <v>4800</v>
      </c>
      <c r="N506" s="159"/>
      <c r="O506" s="159"/>
      <c r="P506" s="159"/>
      <c r="Q506" s="159"/>
      <c r="R506" s="159"/>
      <c r="S506" s="149" t="s">
        <v>7213</v>
      </c>
      <c r="T506" s="149" t="s">
        <v>7214</v>
      </c>
      <c r="U506" s="202" t="s">
        <v>4180</v>
      </c>
      <c r="V506" s="204">
        <v>3</v>
      </c>
      <c r="W506" s="203" t="s">
        <v>5104</v>
      </c>
      <c r="X506" s="204" t="s">
        <v>213</v>
      </c>
      <c r="Y506" s="206">
        <v>6400</v>
      </c>
      <c r="Z506" s="207">
        <v>30000</v>
      </c>
      <c r="AA506" s="207">
        <f t="shared" si="115"/>
        <v>86700000</v>
      </c>
      <c r="AB506" s="157">
        <v>30000</v>
      </c>
      <c r="AC506" s="158">
        <f t="shared" si="129"/>
        <v>25200</v>
      </c>
      <c r="AD506" s="159">
        <f t="shared" si="116"/>
        <v>13872000</v>
      </c>
      <c r="AE506" s="160"/>
      <c r="AF506" s="160">
        <f t="shared" si="117"/>
        <v>0</v>
      </c>
      <c r="AG506" s="165"/>
      <c r="AH506" s="161">
        <f t="shared" si="118"/>
        <v>0</v>
      </c>
      <c r="AI506" s="162"/>
      <c r="AJ506" s="162">
        <f t="shared" si="119"/>
        <v>0</v>
      </c>
      <c r="AK506" s="164"/>
      <c r="AL506" s="164">
        <f t="shared" si="120"/>
        <v>0</v>
      </c>
      <c r="AM506" s="165"/>
      <c r="AN506" s="165">
        <f t="shared" si="121"/>
        <v>0</v>
      </c>
      <c r="AO506" s="166">
        <v>0</v>
      </c>
      <c r="AP506" s="166">
        <f t="shared" si="122"/>
        <v>0</v>
      </c>
      <c r="AQ506" s="162"/>
      <c r="AR506" s="162">
        <f t="shared" si="123"/>
        <v>0</v>
      </c>
      <c r="AS506" s="173">
        <v>4800</v>
      </c>
      <c r="AT506" s="167">
        <f t="shared" si="124"/>
        <v>13872000</v>
      </c>
      <c r="AU506" s="163"/>
      <c r="AV506" s="163">
        <f t="shared" si="125"/>
        <v>0</v>
      </c>
      <c r="AW506" s="168"/>
      <c r="AX506" s="168">
        <f t="shared" si="126"/>
        <v>0</v>
      </c>
      <c r="AY506" s="170"/>
      <c r="AZ506" s="170">
        <f t="shared" si="127"/>
        <v>0</v>
      </c>
      <c r="BA506" s="166"/>
      <c r="BB506" s="166">
        <f t="shared" si="128"/>
        <v>0</v>
      </c>
    </row>
    <row r="507" spans="1:54" ht="47.25">
      <c r="A507" s="172" t="s">
        <v>7218</v>
      </c>
      <c r="B507" s="203" t="s">
        <v>7220</v>
      </c>
      <c r="C507" s="203"/>
      <c r="D507" s="203"/>
      <c r="E507" s="203" t="s">
        <v>7221</v>
      </c>
      <c r="F507" s="205" t="s">
        <v>7223</v>
      </c>
      <c r="G507" s="205" t="s">
        <v>7224</v>
      </c>
      <c r="H507" s="204" t="s">
        <v>258</v>
      </c>
      <c r="I507" s="204" t="s">
        <v>11</v>
      </c>
      <c r="J507" s="205" t="s">
        <v>7222</v>
      </c>
      <c r="K507" s="206">
        <v>205</v>
      </c>
      <c r="L507" s="206"/>
      <c r="M507" s="159">
        <f t="shared" si="114"/>
        <v>0</v>
      </c>
      <c r="N507" s="159"/>
      <c r="O507" s="159"/>
      <c r="P507" s="159"/>
      <c r="Q507" s="159"/>
      <c r="R507" s="159"/>
      <c r="S507" s="149" t="s">
        <v>5830</v>
      </c>
      <c r="T507" s="149" t="s">
        <v>5831</v>
      </c>
      <c r="U507" s="202" t="s">
        <v>7219</v>
      </c>
      <c r="V507" s="204">
        <v>3</v>
      </c>
      <c r="W507" s="203" t="s">
        <v>5104</v>
      </c>
      <c r="X507" s="204" t="s">
        <v>213</v>
      </c>
      <c r="Y507" s="206">
        <v>500</v>
      </c>
      <c r="Z507" s="207">
        <v>500</v>
      </c>
      <c r="AA507" s="207">
        <f t="shared" si="115"/>
        <v>102500</v>
      </c>
      <c r="AB507" s="157">
        <v>500</v>
      </c>
      <c r="AC507" s="158">
        <f t="shared" si="129"/>
        <v>500</v>
      </c>
      <c r="AD507" s="159">
        <f t="shared" si="116"/>
        <v>0</v>
      </c>
      <c r="AE507" s="160"/>
      <c r="AF507" s="160">
        <f t="shared" si="117"/>
        <v>0</v>
      </c>
      <c r="AG507" s="165"/>
      <c r="AH507" s="161">
        <f t="shared" si="118"/>
        <v>0</v>
      </c>
      <c r="AI507" s="162"/>
      <c r="AJ507" s="162">
        <f t="shared" si="119"/>
        <v>0</v>
      </c>
      <c r="AK507" s="164"/>
      <c r="AL507" s="164">
        <f t="shared" si="120"/>
        <v>0</v>
      </c>
      <c r="AM507" s="165"/>
      <c r="AN507" s="165">
        <f t="shared" si="121"/>
        <v>0</v>
      </c>
      <c r="AO507" s="166">
        <v>0</v>
      </c>
      <c r="AP507" s="166">
        <f t="shared" si="122"/>
        <v>0</v>
      </c>
      <c r="AQ507" s="162"/>
      <c r="AR507" s="162">
        <f t="shared" si="123"/>
        <v>0</v>
      </c>
      <c r="AS507" s="173"/>
      <c r="AT507" s="167">
        <f t="shared" si="124"/>
        <v>0</v>
      </c>
      <c r="AU507" s="163"/>
      <c r="AV507" s="163">
        <f t="shared" si="125"/>
        <v>0</v>
      </c>
      <c r="AW507" s="168"/>
      <c r="AX507" s="168">
        <f t="shared" si="126"/>
        <v>0</v>
      </c>
      <c r="AY507" s="170"/>
      <c r="AZ507" s="170">
        <f t="shared" si="127"/>
        <v>0</v>
      </c>
      <c r="BA507" s="166"/>
      <c r="BB507" s="166">
        <f t="shared" si="128"/>
        <v>0</v>
      </c>
    </row>
    <row r="508" spans="1:54" ht="31.5">
      <c r="A508" s="148" t="s">
        <v>7225</v>
      </c>
      <c r="B508" s="203" t="s">
        <v>1179</v>
      </c>
      <c r="C508" s="203"/>
      <c r="D508" s="203"/>
      <c r="E508" s="203" t="s">
        <v>7229</v>
      </c>
      <c r="F508" s="205" t="s">
        <v>7230</v>
      </c>
      <c r="G508" s="205" t="s">
        <v>7231</v>
      </c>
      <c r="H508" s="204" t="s">
        <v>232</v>
      </c>
      <c r="I508" s="204" t="s">
        <v>11</v>
      </c>
      <c r="J508" s="205" t="s">
        <v>6321</v>
      </c>
      <c r="K508" s="206">
        <v>1680</v>
      </c>
      <c r="L508" s="206"/>
      <c r="M508" s="159">
        <f t="shared" si="114"/>
        <v>0</v>
      </c>
      <c r="N508" s="159"/>
      <c r="O508" s="159"/>
      <c r="P508" s="159"/>
      <c r="Q508" s="159"/>
      <c r="R508" s="159"/>
      <c r="S508" s="149" t="s">
        <v>7226</v>
      </c>
      <c r="T508" s="149" t="s">
        <v>7227</v>
      </c>
      <c r="U508" s="202" t="s">
        <v>7228</v>
      </c>
      <c r="V508" s="204">
        <v>3</v>
      </c>
      <c r="W508" s="203" t="s">
        <v>5104</v>
      </c>
      <c r="X508" s="204" t="s">
        <v>213</v>
      </c>
      <c r="Y508" s="206">
        <v>10000</v>
      </c>
      <c r="Z508" s="207">
        <v>10000</v>
      </c>
      <c r="AA508" s="207">
        <f t="shared" si="115"/>
        <v>16800000</v>
      </c>
      <c r="AB508" s="157">
        <v>10000</v>
      </c>
      <c r="AC508" s="158">
        <f t="shared" si="129"/>
        <v>10000</v>
      </c>
      <c r="AD508" s="159">
        <f t="shared" si="116"/>
        <v>0</v>
      </c>
      <c r="AE508" s="160"/>
      <c r="AF508" s="160">
        <f t="shared" si="117"/>
        <v>0</v>
      </c>
      <c r="AG508" s="165"/>
      <c r="AH508" s="161">
        <f t="shared" si="118"/>
        <v>0</v>
      </c>
      <c r="AI508" s="162"/>
      <c r="AJ508" s="162">
        <f t="shared" si="119"/>
        <v>0</v>
      </c>
      <c r="AK508" s="164"/>
      <c r="AL508" s="164">
        <f t="shared" si="120"/>
        <v>0</v>
      </c>
      <c r="AM508" s="165"/>
      <c r="AN508" s="165">
        <f t="shared" si="121"/>
        <v>0</v>
      </c>
      <c r="AO508" s="166">
        <v>0</v>
      </c>
      <c r="AP508" s="166">
        <f t="shared" si="122"/>
        <v>0</v>
      </c>
      <c r="AQ508" s="162"/>
      <c r="AR508" s="162">
        <f t="shared" si="123"/>
        <v>0</v>
      </c>
      <c r="AS508" s="173"/>
      <c r="AT508" s="167">
        <f t="shared" si="124"/>
        <v>0</v>
      </c>
      <c r="AU508" s="163"/>
      <c r="AV508" s="163">
        <f t="shared" si="125"/>
        <v>0</v>
      </c>
      <c r="AW508" s="168"/>
      <c r="AX508" s="168">
        <f t="shared" si="126"/>
        <v>0</v>
      </c>
      <c r="AY508" s="170"/>
      <c r="AZ508" s="170">
        <f t="shared" si="127"/>
        <v>0</v>
      </c>
      <c r="BA508" s="166"/>
      <c r="BB508" s="166">
        <f t="shared" si="128"/>
        <v>0</v>
      </c>
    </row>
    <row r="509" spans="1:54" ht="31.5">
      <c r="A509" s="148" t="s">
        <v>7232</v>
      </c>
      <c r="B509" s="203" t="s">
        <v>411</v>
      </c>
      <c r="C509" s="203"/>
      <c r="D509" s="203"/>
      <c r="E509" s="203" t="s">
        <v>1192</v>
      </c>
      <c r="F509" s="205" t="s">
        <v>1194</v>
      </c>
      <c r="G509" s="205" t="s">
        <v>6536</v>
      </c>
      <c r="H509" s="204" t="s">
        <v>272</v>
      </c>
      <c r="I509" s="204" t="s">
        <v>13</v>
      </c>
      <c r="J509" s="205" t="s">
        <v>7233</v>
      </c>
      <c r="K509" s="206">
        <v>536</v>
      </c>
      <c r="L509" s="206"/>
      <c r="M509" s="159">
        <f t="shared" si="114"/>
        <v>0</v>
      </c>
      <c r="N509" s="159"/>
      <c r="O509" s="159"/>
      <c r="P509" s="159"/>
      <c r="Q509" s="159"/>
      <c r="R509" s="159"/>
      <c r="S509" s="149" t="s">
        <v>5530</v>
      </c>
      <c r="T509" s="149" t="s">
        <v>5531</v>
      </c>
      <c r="U509" s="202" t="s">
        <v>4511</v>
      </c>
      <c r="V509" s="204">
        <v>3</v>
      </c>
      <c r="W509" s="203" t="s">
        <v>5104</v>
      </c>
      <c r="X509" s="204" t="s">
        <v>213</v>
      </c>
      <c r="Y509" s="206">
        <v>1386</v>
      </c>
      <c r="Z509" s="207">
        <v>40000</v>
      </c>
      <c r="AA509" s="207">
        <f t="shared" si="115"/>
        <v>21440000</v>
      </c>
      <c r="AB509" s="157">
        <v>40000</v>
      </c>
      <c r="AC509" s="158">
        <f t="shared" si="129"/>
        <v>40000</v>
      </c>
      <c r="AD509" s="159">
        <f t="shared" si="116"/>
        <v>0</v>
      </c>
      <c r="AE509" s="160"/>
      <c r="AF509" s="160">
        <f t="shared" si="117"/>
        <v>0</v>
      </c>
      <c r="AG509" s="165"/>
      <c r="AH509" s="161">
        <f t="shared" si="118"/>
        <v>0</v>
      </c>
      <c r="AI509" s="162"/>
      <c r="AJ509" s="162">
        <f t="shared" si="119"/>
        <v>0</v>
      </c>
      <c r="AK509" s="164"/>
      <c r="AL509" s="164">
        <f t="shared" si="120"/>
        <v>0</v>
      </c>
      <c r="AM509" s="165"/>
      <c r="AN509" s="165">
        <f t="shared" si="121"/>
        <v>0</v>
      </c>
      <c r="AO509" s="166">
        <v>0</v>
      </c>
      <c r="AP509" s="166">
        <f t="shared" si="122"/>
        <v>0</v>
      </c>
      <c r="AQ509" s="162"/>
      <c r="AR509" s="162">
        <f t="shared" si="123"/>
        <v>0</v>
      </c>
      <c r="AS509" s="173"/>
      <c r="AT509" s="167">
        <f t="shared" si="124"/>
        <v>0</v>
      </c>
      <c r="AU509" s="163"/>
      <c r="AV509" s="163">
        <f t="shared" si="125"/>
        <v>0</v>
      </c>
      <c r="AW509" s="168"/>
      <c r="AX509" s="168">
        <f t="shared" si="126"/>
        <v>0</v>
      </c>
      <c r="AY509" s="170"/>
      <c r="AZ509" s="170">
        <f t="shared" si="127"/>
        <v>0</v>
      </c>
      <c r="BA509" s="166"/>
      <c r="BB509" s="166">
        <f t="shared" si="128"/>
        <v>0</v>
      </c>
    </row>
    <row r="510" spans="1:54" s="115" customFormat="1" ht="31.5">
      <c r="A510" s="172" t="s">
        <v>7234</v>
      </c>
      <c r="B510" s="203" t="s">
        <v>683</v>
      </c>
      <c r="C510" s="203"/>
      <c r="D510" s="203"/>
      <c r="E510" s="203" t="s">
        <v>7236</v>
      </c>
      <c r="F510" s="205" t="s">
        <v>7238</v>
      </c>
      <c r="G510" s="205" t="s">
        <v>7239</v>
      </c>
      <c r="H510" s="204" t="s">
        <v>1792</v>
      </c>
      <c r="I510" s="204" t="s">
        <v>11</v>
      </c>
      <c r="J510" s="205" t="s">
        <v>7237</v>
      </c>
      <c r="K510" s="206">
        <v>6930</v>
      </c>
      <c r="L510" s="206"/>
      <c r="M510" s="159">
        <f t="shared" si="114"/>
        <v>0</v>
      </c>
      <c r="N510" s="159"/>
      <c r="O510" s="159"/>
      <c r="P510" s="159"/>
      <c r="Q510" s="159"/>
      <c r="R510" s="159"/>
      <c r="S510" s="149" t="s">
        <v>5927</v>
      </c>
      <c r="T510" s="149" t="s">
        <v>5928</v>
      </c>
      <c r="U510" s="202" t="s">
        <v>7235</v>
      </c>
      <c r="V510" s="204">
        <v>3</v>
      </c>
      <c r="W510" s="203" t="s">
        <v>253</v>
      </c>
      <c r="X510" s="204" t="s">
        <v>213</v>
      </c>
      <c r="Y510" s="206">
        <v>6930</v>
      </c>
      <c r="Z510" s="207">
        <v>40000</v>
      </c>
      <c r="AA510" s="207">
        <f t="shared" si="115"/>
        <v>277200000</v>
      </c>
      <c r="AB510" s="157">
        <v>40000</v>
      </c>
      <c r="AC510" s="158">
        <f t="shared" si="129"/>
        <v>40000</v>
      </c>
      <c r="AD510" s="159">
        <f t="shared" si="116"/>
        <v>0</v>
      </c>
      <c r="AE510" s="160"/>
      <c r="AF510" s="160">
        <f t="shared" si="117"/>
        <v>0</v>
      </c>
      <c r="AG510" s="165"/>
      <c r="AH510" s="161">
        <f t="shared" si="118"/>
        <v>0</v>
      </c>
      <c r="AI510" s="162"/>
      <c r="AJ510" s="162">
        <f t="shared" si="119"/>
        <v>0</v>
      </c>
      <c r="AK510" s="164"/>
      <c r="AL510" s="164">
        <f t="shared" si="120"/>
        <v>0</v>
      </c>
      <c r="AM510" s="165"/>
      <c r="AN510" s="165">
        <f t="shared" si="121"/>
        <v>0</v>
      </c>
      <c r="AO510" s="166">
        <v>0</v>
      </c>
      <c r="AP510" s="166">
        <f t="shared" si="122"/>
        <v>0</v>
      </c>
      <c r="AQ510" s="162"/>
      <c r="AR510" s="162">
        <f t="shared" si="123"/>
        <v>0</v>
      </c>
      <c r="AS510" s="173"/>
      <c r="AT510" s="167">
        <f t="shared" si="124"/>
        <v>0</v>
      </c>
      <c r="AU510" s="163"/>
      <c r="AV510" s="163">
        <f t="shared" si="125"/>
        <v>0</v>
      </c>
      <c r="AW510" s="168"/>
      <c r="AX510" s="168">
        <f t="shared" si="126"/>
        <v>0</v>
      </c>
      <c r="AY510" s="170"/>
      <c r="AZ510" s="170">
        <f t="shared" si="127"/>
        <v>0</v>
      </c>
      <c r="BA510" s="166"/>
      <c r="BB510" s="166">
        <f t="shared" si="128"/>
        <v>0</v>
      </c>
    </row>
    <row r="511" spans="1:54" s="115" customFormat="1" ht="31.5">
      <c r="A511" s="148" t="s">
        <v>7240</v>
      </c>
      <c r="B511" s="203" t="s">
        <v>683</v>
      </c>
      <c r="C511" s="203"/>
      <c r="D511" s="203"/>
      <c r="E511" s="203" t="s">
        <v>4532</v>
      </c>
      <c r="F511" s="205" t="s">
        <v>7244</v>
      </c>
      <c r="G511" s="205" t="s">
        <v>1449</v>
      </c>
      <c r="H511" s="204" t="s">
        <v>4533</v>
      </c>
      <c r="I511" s="204" t="s">
        <v>12</v>
      </c>
      <c r="J511" s="205" t="s">
        <v>7243</v>
      </c>
      <c r="K511" s="206">
        <v>1717</v>
      </c>
      <c r="L511" s="206"/>
      <c r="M511" s="159">
        <f t="shared" si="114"/>
        <v>4980</v>
      </c>
      <c r="N511" s="159"/>
      <c r="O511" s="159"/>
      <c r="P511" s="159"/>
      <c r="Q511" s="159"/>
      <c r="R511" s="159"/>
      <c r="S511" s="149" t="s">
        <v>7241</v>
      </c>
      <c r="T511" s="149" t="s">
        <v>7242</v>
      </c>
      <c r="U511" s="202" t="s">
        <v>4531</v>
      </c>
      <c r="V511" s="204">
        <v>3</v>
      </c>
      <c r="W511" s="203" t="s">
        <v>253</v>
      </c>
      <c r="X511" s="204" t="s">
        <v>213</v>
      </c>
      <c r="Y511" s="206">
        <v>4660</v>
      </c>
      <c r="Z511" s="207">
        <v>50000</v>
      </c>
      <c r="AA511" s="207">
        <f t="shared" si="115"/>
        <v>85850000</v>
      </c>
      <c r="AB511" s="157">
        <v>50000</v>
      </c>
      <c r="AC511" s="158">
        <f t="shared" si="129"/>
        <v>45020</v>
      </c>
      <c r="AD511" s="159">
        <f t="shared" si="116"/>
        <v>8550660</v>
      </c>
      <c r="AE511" s="160"/>
      <c r="AF511" s="160">
        <f t="shared" si="117"/>
        <v>0</v>
      </c>
      <c r="AG511" s="165"/>
      <c r="AH511" s="161">
        <f t="shared" si="118"/>
        <v>0</v>
      </c>
      <c r="AI511" s="162"/>
      <c r="AJ511" s="162">
        <f t="shared" si="119"/>
        <v>0</v>
      </c>
      <c r="AK511" s="164"/>
      <c r="AL511" s="164">
        <f t="shared" si="120"/>
        <v>0</v>
      </c>
      <c r="AM511" s="165"/>
      <c r="AN511" s="165">
        <f t="shared" si="121"/>
        <v>0</v>
      </c>
      <c r="AO511" s="166">
        <v>1740</v>
      </c>
      <c r="AP511" s="166">
        <f t="shared" si="122"/>
        <v>2987580</v>
      </c>
      <c r="AQ511" s="162"/>
      <c r="AR511" s="162">
        <f t="shared" si="123"/>
        <v>0</v>
      </c>
      <c r="AS511" s="173">
        <v>3240</v>
      </c>
      <c r="AT511" s="167">
        <f t="shared" si="124"/>
        <v>5563080</v>
      </c>
      <c r="AU511" s="163"/>
      <c r="AV511" s="163">
        <f t="shared" si="125"/>
        <v>0</v>
      </c>
      <c r="AW511" s="168"/>
      <c r="AX511" s="168">
        <f t="shared" si="126"/>
        <v>0</v>
      </c>
      <c r="AY511" s="170"/>
      <c r="AZ511" s="170">
        <f t="shared" si="127"/>
        <v>0</v>
      </c>
      <c r="BA511" s="166"/>
      <c r="BB511" s="166">
        <f t="shared" si="128"/>
        <v>0</v>
      </c>
    </row>
    <row r="512" spans="1:54" s="115" customFormat="1" ht="31.5">
      <c r="A512" s="148" t="s">
        <v>7245</v>
      </c>
      <c r="B512" s="203" t="s">
        <v>683</v>
      </c>
      <c r="C512" s="203"/>
      <c r="D512" s="203"/>
      <c r="E512" s="203" t="s">
        <v>4463</v>
      </c>
      <c r="F512" s="205" t="s">
        <v>7247</v>
      </c>
      <c r="G512" s="205" t="s">
        <v>7248</v>
      </c>
      <c r="H512" s="204" t="s">
        <v>1452</v>
      </c>
      <c r="I512" s="204" t="s">
        <v>11</v>
      </c>
      <c r="J512" s="205" t="s">
        <v>7246</v>
      </c>
      <c r="K512" s="206">
        <v>1900</v>
      </c>
      <c r="L512" s="206"/>
      <c r="M512" s="159">
        <f t="shared" si="114"/>
        <v>1200</v>
      </c>
      <c r="N512" s="159"/>
      <c r="O512" s="159"/>
      <c r="P512" s="159"/>
      <c r="Q512" s="159"/>
      <c r="R512" s="159"/>
      <c r="S512" s="150" t="s">
        <v>5508</v>
      </c>
      <c r="T512" s="150" t="s">
        <v>5509</v>
      </c>
      <c r="U512" s="202" t="s">
        <v>4462</v>
      </c>
      <c r="V512" s="204">
        <v>3</v>
      </c>
      <c r="W512" s="203" t="s">
        <v>5104</v>
      </c>
      <c r="X512" s="204" t="s">
        <v>213</v>
      </c>
      <c r="Y512" s="206">
        <v>4000</v>
      </c>
      <c r="Z512" s="207">
        <v>50000</v>
      </c>
      <c r="AA512" s="207">
        <f t="shared" si="115"/>
        <v>95000000</v>
      </c>
      <c r="AB512" s="157">
        <v>50000</v>
      </c>
      <c r="AC512" s="158">
        <f t="shared" si="129"/>
        <v>48800</v>
      </c>
      <c r="AD512" s="159">
        <f t="shared" si="116"/>
        <v>2280000</v>
      </c>
      <c r="AE512" s="160"/>
      <c r="AF512" s="160">
        <f t="shared" si="117"/>
        <v>0</v>
      </c>
      <c r="AG512" s="161">
        <v>1000</v>
      </c>
      <c r="AH512" s="161">
        <f t="shared" si="118"/>
        <v>1900000</v>
      </c>
      <c r="AI512" s="162"/>
      <c r="AJ512" s="162">
        <f t="shared" si="119"/>
        <v>0</v>
      </c>
      <c r="AK512" s="164"/>
      <c r="AL512" s="164">
        <f t="shared" si="120"/>
        <v>0</v>
      </c>
      <c r="AM512" s="165"/>
      <c r="AN512" s="165">
        <f t="shared" si="121"/>
        <v>0</v>
      </c>
      <c r="AO512" s="166">
        <v>0</v>
      </c>
      <c r="AP512" s="166">
        <f t="shared" si="122"/>
        <v>0</v>
      </c>
      <c r="AQ512" s="162"/>
      <c r="AR512" s="162">
        <f t="shared" si="123"/>
        <v>0</v>
      </c>
      <c r="AS512" s="167">
        <v>200</v>
      </c>
      <c r="AT512" s="167">
        <f t="shared" si="124"/>
        <v>380000</v>
      </c>
      <c r="AU512" s="163"/>
      <c r="AV512" s="163">
        <f t="shared" si="125"/>
        <v>0</v>
      </c>
      <c r="AW512" s="168"/>
      <c r="AX512" s="168">
        <f t="shared" si="126"/>
        <v>0</v>
      </c>
      <c r="AY512" s="170"/>
      <c r="AZ512" s="170">
        <f t="shared" si="127"/>
        <v>0</v>
      </c>
      <c r="BA512" s="166"/>
      <c r="BB512" s="166">
        <f t="shared" si="128"/>
        <v>0</v>
      </c>
    </row>
    <row r="513" spans="1:54" s="115" customFormat="1" ht="31.5">
      <c r="A513" s="172" t="s">
        <v>7249</v>
      </c>
      <c r="B513" s="203" t="s">
        <v>802</v>
      </c>
      <c r="C513" s="203"/>
      <c r="D513" s="203"/>
      <c r="E513" s="203" t="s">
        <v>1455</v>
      </c>
      <c r="F513" s="205" t="s">
        <v>1457</v>
      </c>
      <c r="G513" s="205" t="s">
        <v>1449</v>
      </c>
      <c r="H513" s="204" t="s">
        <v>1200</v>
      </c>
      <c r="I513" s="204" t="s">
        <v>12</v>
      </c>
      <c r="J513" s="205" t="s">
        <v>7250</v>
      </c>
      <c r="K513" s="206">
        <v>1186</v>
      </c>
      <c r="L513" s="206"/>
      <c r="M513" s="159">
        <f t="shared" si="114"/>
        <v>3600</v>
      </c>
      <c r="N513" s="159"/>
      <c r="O513" s="159"/>
      <c r="P513" s="159"/>
      <c r="Q513" s="159"/>
      <c r="R513" s="159"/>
      <c r="S513" s="149" t="s">
        <v>7241</v>
      </c>
      <c r="T513" s="149" t="s">
        <v>7242</v>
      </c>
      <c r="U513" s="202" t="s">
        <v>4472</v>
      </c>
      <c r="V513" s="204">
        <v>3</v>
      </c>
      <c r="W513" s="203" t="s">
        <v>253</v>
      </c>
      <c r="X513" s="204" t="s">
        <v>213</v>
      </c>
      <c r="Y513" s="206">
        <v>2520</v>
      </c>
      <c r="Z513" s="207">
        <v>50000</v>
      </c>
      <c r="AA513" s="207">
        <f t="shared" si="115"/>
        <v>59300000</v>
      </c>
      <c r="AB513" s="157">
        <v>50000</v>
      </c>
      <c r="AC513" s="158">
        <f t="shared" si="129"/>
        <v>46400</v>
      </c>
      <c r="AD513" s="159">
        <f t="shared" si="116"/>
        <v>4269600</v>
      </c>
      <c r="AE513" s="160"/>
      <c r="AF513" s="160">
        <f t="shared" si="117"/>
        <v>0</v>
      </c>
      <c r="AG513" s="165"/>
      <c r="AH513" s="161">
        <f t="shared" si="118"/>
        <v>0</v>
      </c>
      <c r="AI513" s="162"/>
      <c r="AJ513" s="162">
        <f t="shared" si="119"/>
        <v>0</v>
      </c>
      <c r="AK513" s="164"/>
      <c r="AL513" s="164">
        <f t="shared" si="120"/>
        <v>0</v>
      </c>
      <c r="AM513" s="165"/>
      <c r="AN513" s="165">
        <f t="shared" si="121"/>
        <v>0</v>
      </c>
      <c r="AO513" s="166">
        <v>1500</v>
      </c>
      <c r="AP513" s="166">
        <f t="shared" si="122"/>
        <v>1779000</v>
      </c>
      <c r="AQ513" s="162"/>
      <c r="AR513" s="162">
        <f t="shared" si="123"/>
        <v>0</v>
      </c>
      <c r="AS513" s="173">
        <v>2100</v>
      </c>
      <c r="AT513" s="167">
        <f t="shared" si="124"/>
        <v>2490600</v>
      </c>
      <c r="AU513" s="163"/>
      <c r="AV513" s="163">
        <f t="shared" si="125"/>
        <v>0</v>
      </c>
      <c r="AW513" s="168"/>
      <c r="AX513" s="168">
        <f t="shared" si="126"/>
        <v>0</v>
      </c>
      <c r="AY513" s="170"/>
      <c r="AZ513" s="170">
        <f t="shared" si="127"/>
        <v>0</v>
      </c>
      <c r="BA513" s="166"/>
      <c r="BB513" s="166">
        <f t="shared" si="128"/>
        <v>0</v>
      </c>
    </row>
    <row r="514" spans="1:54" ht="31.5">
      <c r="A514" s="148" t="s">
        <v>7251</v>
      </c>
      <c r="B514" s="203" t="s">
        <v>802</v>
      </c>
      <c r="C514" s="203"/>
      <c r="D514" s="203"/>
      <c r="E514" s="203" t="s">
        <v>4476</v>
      </c>
      <c r="F514" s="205" t="s">
        <v>7253</v>
      </c>
      <c r="G514" s="205" t="s">
        <v>1449</v>
      </c>
      <c r="H514" s="204" t="s">
        <v>272</v>
      </c>
      <c r="I514" s="204" t="s">
        <v>11</v>
      </c>
      <c r="J514" s="205" t="s">
        <v>7252</v>
      </c>
      <c r="K514" s="206">
        <v>1742</v>
      </c>
      <c r="L514" s="206"/>
      <c r="M514" s="159">
        <f t="shared" si="114"/>
        <v>1000</v>
      </c>
      <c r="N514" s="159"/>
      <c r="O514" s="159"/>
      <c r="P514" s="159"/>
      <c r="Q514" s="159"/>
      <c r="R514" s="159"/>
      <c r="S514" s="149" t="s">
        <v>7241</v>
      </c>
      <c r="T514" s="149" t="s">
        <v>7242</v>
      </c>
      <c r="U514" s="202" t="s">
        <v>4475</v>
      </c>
      <c r="V514" s="204">
        <v>3</v>
      </c>
      <c r="W514" s="203" t="s">
        <v>5104</v>
      </c>
      <c r="X514" s="204" t="s">
        <v>213</v>
      </c>
      <c r="Y514" s="206">
        <v>2400</v>
      </c>
      <c r="Z514" s="207">
        <v>50000</v>
      </c>
      <c r="AA514" s="207">
        <f t="shared" si="115"/>
        <v>87100000</v>
      </c>
      <c r="AB514" s="157">
        <v>50000</v>
      </c>
      <c r="AC514" s="158">
        <f t="shared" si="129"/>
        <v>49000</v>
      </c>
      <c r="AD514" s="159">
        <f t="shared" si="116"/>
        <v>1742000</v>
      </c>
      <c r="AE514" s="160"/>
      <c r="AF514" s="160">
        <f t="shared" si="117"/>
        <v>0</v>
      </c>
      <c r="AG514" s="165"/>
      <c r="AH514" s="161">
        <f t="shared" si="118"/>
        <v>0</v>
      </c>
      <c r="AI514" s="162"/>
      <c r="AJ514" s="162">
        <f t="shared" si="119"/>
        <v>0</v>
      </c>
      <c r="AK514" s="164"/>
      <c r="AL514" s="164">
        <f t="shared" si="120"/>
        <v>0</v>
      </c>
      <c r="AM514" s="165"/>
      <c r="AN514" s="165">
        <f t="shared" si="121"/>
        <v>0</v>
      </c>
      <c r="AO514" s="166">
        <v>1000</v>
      </c>
      <c r="AP514" s="166">
        <f t="shared" si="122"/>
        <v>1742000</v>
      </c>
      <c r="AQ514" s="162"/>
      <c r="AR514" s="162">
        <f t="shared" si="123"/>
        <v>0</v>
      </c>
      <c r="AS514" s="173"/>
      <c r="AT514" s="167">
        <f t="shared" si="124"/>
        <v>0</v>
      </c>
      <c r="AU514" s="163"/>
      <c r="AV514" s="163">
        <f t="shared" si="125"/>
        <v>0</v>
      </c>
      <c r="AW514" s="168"/>
      <c r="AX514" s="168">
        <f t="shared" si="126"/>
        <v>0</v>
      </c>
      <c r="AY514" s="170"/>
      <c r="AZ514" s="170">
        <f t="shared" si="127"/>
        <v>0</v>
      </c>
      <c r="BA514" s="166"/>
      <c r="BB514" s="166">
        <f t="shared" si="128"/>
        <v>0</v>
      </c>
    </row>
    <row r="515" spans="1:54" ht="31.5">
      <c r="A515" s="148" t="s">
        <v>7254</v>
      </c>
      <c r="B515" s="203" t="s">
        <v>847</v>
      </c>
      <c r="C515" s="203"/>
      <c r="D515" s="203"/>
      <c r="E515" s="203" t="s">
        <v>4478</v>
      </c>
      <c r="F515" s="205" t="s">
        <v>7256</v>
      </c>
      <c r="G515" s="205" t="s">
        <v>1449</v>
      </c>
      <c r="H515" s="204" t="s">
        <v>272</v>
      </c>
      <c r="I515" s="204" t="s">
        <v>12</v>
      </c>
      <c r="J515" s="205" t="s">
        <v>7255</v>
      </c>
      <c r="K515" s="206">
        <v>796</v>
      </c>
      <c r="L515" s="206"/>
      <c r="M515" s="159">
        <f t="shared" si="114"/>
        <v>1500</v>
      </c>
      <c r="N515" s="159"/>
      <c r="O515" s="159"/>
      <c r="P515" s="159"/>
      <c r="Q515" s="159"/>
      <c r="R515" s="159"/>
      <c r="S515" s="149" t="s">
        <v>7241</v>
      </c>
      <c r="T515" s="149" t="s">
        <v>7242</v>
      </c>
      <c r="U515" s="202" t="s">
        <v>4477</v>
      </c>
      <c r="V515" s="204">
        <v>3</v>
      </c>
      <c r="W515" s="203" t="s">
        <v>253</v>
      </c>
      <c r="X515" s="204" t="s">
        <v>213</v>
      </c>
      <c r="Y515" s="206">
        <v>1440</v>
      </c>
      <c r="Z515" s="207">
        <v>20000</v>
      </c>
      <c r="AA515" s="207">
        <f t="shared" si="115"/>
        <v>15920000</v>
      </c>
      <c r="AB515" s="157">
        <v>20000</v>
      </c>
      <c r="AC515" s="158">
        <f t="shared" si="129"/>
        <v>18500</v>
      </c>
      <c r="AD515" s="159">
        <f t="shared" si="116"/>
        <v>1194000</v>
      </c>
      <c r="AE515" s="160"/>
      <c r="AF515" s="160">
        <f t="shared" si="117"/>
        <v>0</v>
      </c>
      <c r="AG515" s="165"/>
      <c r="AH515" s="161">
        <f t="shared" si="118"/>
        <v>0</v>
      </c>
      <c r="AI515" s="162"/>
      <c r="AJ515" s="162">
        <f t="shared" si="119"/>
        <v>0</v>
      </c>
      <c r="AK515" s="164"/>
      <c r="AL515" s="164">
        <f t="shared" si="120"/>
        <v>0</v>
      </c>
      <c r="AM515" s="165"/>
      <c r="AN515" s="165">
        <f t="shared" si="121"/>
        <v>0</v>
      </c>
      <c r="AO515" s="166">
        <v>900</v>
      </c>
      <c r="AP515" s="166">
        <f t="shared" si="122"/>
        <v>716400</v>
      </c>
      <c r="AQ515" s="162"/>
      <c r="AR515" s="162">
        <f t="shared" si="123"/>
        <v>0</v>
      </c>
      <c r="AS515" s="173">
        <v>600</v>
      </c>
      <c r="AT515" s="167">
        <f t="shared" si="124"/>
        <v>477600</v>
      </c>
      <c r="AU515" s="163"/>
      <c r="AV515" s="163">
        <f t="shared" si="125"/>
        <v>0</v>
      </c>
      <c r="AW515" s="168"/>
      <c r="AX515" s="168">
        <f t="shared" si="126"/>
        <v>0</v>
      </c>
      <c r="AY515" s="170"/>
      <c r="AZ515" s="170">
        <f t="shared" si="127"/>
        <v>0</v>
      </c>
      <c r="BA515" s="166"/>
      <c r="BB515" s="166">
        <f t="shared" si="128"/>
        <v>0</v>
      </c>
    </row>
    <row r="516" spans="1:54" ht="31.5">
      <c r="A516" s="172" t="s">
        <v>7257</v>
      </c>
      <c r="B516" s="203" t="s">
        <v>847</v>
      </c>
      <c r="C516" s="203"/>
      <c r="D516" s="203"/>
      <c r="E516" s="203" t="s">
        <v>1819</v>
      </c>
      <c r="F516" s="205" t="s">
        <v>7260</v>
      </c>
      <c r="G516" s="205" t="s">
        <v>1449</v>
      </c>
      <c r="H516" s="204" t="s">
        <v>225</v>
      </c>
      <c r="I516" s="204" t="s">
        <v>11</v>
      </c>
      <c r="J516" s="205" t="s">
        <v>7259</v>
      </c>
      <c r="K516" s="206">
        <v>783</v>
      </c>
      <c r="L516" s="206"/>
      <c r="M516" s="159">
        <f t="shared" ref="M516:M579" si="130">AE516+AG516+AI516+AK516+AM516+AO516+AQ516+AS516+AU516+AW516+AY516+BA516</f>
        <v>0</v>
      </c>
      <c r="N516" s="159"/>
      <c r="O516" s="159"/>
      <c r="P516" s="159"/>
      <c r="Q516" s="159"/>
      <c r="R516" s="159"/>
      <c r="S516" s="149" t="s">
        <v>7241</v>
      </c>
      <c r="T516" s="149" t="s">
        <v>7242</v>
      </c>
      <c r="U516" s="202" t="s">
        <v>7258</v>
      </c>
      <c r="V516" s="204">
        <v>3</v>
      </c>
      <c r="W516" s="203" t="s">
        <v>5104</v>
      </c>
      <c r="X516" s="204" t="s">
        <v>213</v>
      </c>
      <c r="Y516" s="206">
        <v>1100</v>
      </c>
      <c r="Z516" s="207">
        <v>60000</v>
      </c>
      <c r="AA516" s="207">
        <f t="shared" ref="AA516:AA579" si="131">Z516*K516</f>
        <v>46980000</v>
      </c>
      <c r="AB516" s="157">
        <v>60000</v>
      </c>
      <c r="AC516" s="158">
        <f t="shared" si="129"/>
        <v>60000</v>
      </c>
      <c r="AD516" s="159">
        <f t="shared" ref="AD516:AD579" si="132">M516*K516</f>
        <v>0</v>
      </c>
      <c r="AE516" s="160"/>
      <c r="AF516" s="160">
        <f t="shared" ref="AF516:AF579" si="133">AE516*K516</f>
        <v>0</v>
      </c>
      <c r="AG516" s="165"/>
      <c r="AH516" s="161">
        <f t="shared" ref="AH516:AH579" si="134">AG516*K516</f>
        <v>0</v>
      </c>
      <c r="AI516" s="162"/>
      <c r="AJ516" s="162">
        <f t="shared" ref="AJ516:AJ579" si="135">AI516*K516</f>
        <v>0</v>
      </c>
      <c r="AK516" s="164"/>
      <c r="AL516" s="164">
        <f t="shared" ref="AL516:AL579" si="136">AK516*K516</f>
        <v>0</v>
      </c>
      <c r="AM516" s="165"/>
      <c r="AN516" s="165">
        <f t="shared" ref="AN516:AN579" si="137">AM516*K516</f>
        <v>0</v>
      </c>
      <c r="AO516" s="166">
        <v>0</v>
      </c>
      <c r="AP516" s="166">
        <f t="shared" ref="AP516:AP579" si="138">AO516*K516</f>
        <v>0</v>
      </c>
      <c r="AQ516" s="162"/>
      <c r="AR516" s="162">
        <f t="shared" ref="AR516:AR579" si="139">AQ516*K516</f>
        <v>0</v>
      </c>
      <c r="AS516" s="173"/>
      <c r="AT516" s="167">
        <f t="shared" ref="AT516:AT579" si="140">AS516*K516</f>
        <v>0</v>
      </c>
      <c r="AU516" s="163"/>
      <c r="AV516" s="163">
        <f t="shared" ref="AV516:AV579" si="141">AU516*K516</f>
        <v>0</v>
      </c>
      <c r="AW516" s="168"/>
      <c r="AX516" s="168">
        <f t="shared" ref="AX516:AX579" si="142">AW516*K516</f>
        <v>0</v>
      </c>
      <c r="AY516" s="170"/>
      <c r="AZ516" s="170">
        <f t="shared" ref="AZ516:AZ579" si="143">AY516*K516</f>
        <v>0</v>
      </c>
      <c r="BA516" s="166"/>
      <c r="BB516" s="166">
        <f t="shared" ref="BB516:BB579" si="144">BA516*K516</f>
        <v>0</v>
      </c>
    </row>
    <row r="517" spans="1:54" ht="31.5">
      <c r="A517" s="148" t="s">
        <v>7261</v>
      </c>
      <c r="B517" s="203" t="s">
        <v>809</v>
      </c>
      <c r="C517" s="203"/>
      <c r="D517" s="203"/>
      <c r="E517" s="203" t="s">
        <v>1210</v>
      </c>
      <c r="F517" s="205" t="s">
        <v>1211</v>
      </c>
      <c r="G517" s="205" t="s">
        <v>6536</v>
      </c>
      <c r="H517" s="204" t="s">
        <v>272</v>
      </c>
      <c r="I517" s="204" t="s">
        <v>13</v>
      </c>
      <c r="J517" s="205" t="s">
        <v>7263</v>
      </c>
      <c r="K517" s="206">
        <v>689</v>
      </c>
      <c r="L517" s="206"/>
      <c r="M517" s="159">
        <f t="shared" si="130"/>
        <v>0</v>
      </c>
      <c r="N517" s="159"/>
      <c r="O517" s="159"/>
      <c r="P517" s="159"/>
      <c r="Q517" s="159"/>
      <c r="R517" s="159"/>
      <c r="S517" s="149" t="s">
        <v>5530</v>
      </c>
      <c r="T517" s="149" t="s">
        <v>5531</v>
      </c>
      <c r="U517" s="202" t="s">
        <v>7262</v>
      </c>
      <c r="V517" s="204">
        <v>3</v>
      </c>
      <c r="W517" s="203" t="s">
        <v>253</v>
      </c>
      <c r="X517" s="204" t="s">
        <v>213</v>
      </c>
      <c r="Y517" s="206">
        <v>1680</v>
      </c>
      <c r="Z517" s="207">
        <v>30000</v>
      </c>
      <c r="AA517" s="207">
        <f t="shared" si="131"/>
        <v>20670000</v>
      </c>
      <c r="AB517" s="157">
        <v>30000</v>
      </c>
      <c r="AC517" s="158">
        <f t="shared" si="129"/>
        <v>30000</v>
      </c>
      <c r="AD517" s="159">
        <f t="shared" si="132"/>
        <v>0</v>
      </c>
      <c r="AE517" s="160"/>
      <c r="AF517" s="160">
        <f t="shared" si="133"/>
        <v>0</v>
      </c>
      <c r="AG517" s="165"/>
      <c r="AH517" s="161">
        <f t="shared" si="134"/>
        <v>0</v>
      </c>
      <c r="AI517" s="162"/>
      <c r="AJ517" s="162">
        <f t="shared" si="135"/>
        <v>0</v>
      </c>
      <c r="AK517" s="164"/>
      <c r="AL517" s="164">
        <f t="shared" si="136"/>
        <v>0</v>
      </c>
      <c r="AM517" s="165"/>
      <c r="AN517" s="165">
        <f t="shared" si="137"/>
        <v>0</v>
      </c>
      <c r="AO517" s="166">
        <v>0</v>
      </c>
      <c r="AP517" s="166">
        <f t="shared" si="138"/>
        <v>0</v>
      </c>
      <c r="AQ517" s="162"/>
      <c r="AR517" s="162">
        <f t="shared" si="139"/>
        <v>0</v>
      </c>
      <c r="AS517" s="173"/>
      <c r="AT517" s="167">
        <f t="shared" si="140"/>
        <v>0</v>
      </c>
      <c r="AU517" s="163"/>
      <c r="AV517" s="163">
        <f t="shared" si="141"/>
        <v>0</v>
      </c>
      <c r="AW517" s="168"/>
      <c r="AX517" s="168">
        <f t="shared" si="142"/>
        <v>0</v>
      </c>
      <c r="AY517" s="170"/>
      <c r="AZ517" s="170">
        <f t="shared" si="143"/>
        <v>0</v>
      </c>
      <c r="BA517" s="166"/>
      <c r="BB517" s="166">
        <f t="shared" si="144"/>
        <v>0</v>
      </c>
    </row>
    <row r="518" spans="1:54" ht="31.5">
      <c r="A518" s="148" t="s">
        <v>7264</v>
      </c>
      <c r="B518" s="203" t="s">
        <v>809</v>
      </c>
      <c r="C518" s="203"/>
      <c r="D518" s="203"/>
      <c r="E518" s="203" t="s">
        <v>1458</v>
      </c>
      <c r="F518" s="205" t="s">
        <v>7265</v>
      </c>
      <c r="G518" s="205" t="s">
        <v>1449</v>
      </c>
      <c r="H518" s="204" t="s">
        <v>272</v>
      </c>
      <c r="I518" s="204" t="s">
        <v>11</v>
      </c>
      <c r="J518" s="205" t="s">
        <v>7259</v>
      </c>
      <c r="K518" s="206">
        <v>476</v>
      </c>
      <c r="L518" s="206"/>
      <c r="M518" s="159">
        <f t="shared" si="130"/>
        <v>3000</v>
      </c>
      <c r="N518" s="159"/>
      <c r="O518" s="159"/>
      <c r="P518" s="159"/>
      <c r="Q518" s="159"/>
      <c r="R518" s="159"/>
      <c r="S518" s="149" t="s">
        <v>7241</v>
      </c>
      <c r="T518" s="149" t="s">
        <v>7242</v>
      </c>
      <c r="U518" s="202" t="s">
        <v>4484</v>
      </c>
      <c r="V518" s="204">
        <v>3</v>
      </c>
      <c r="W518" s="203" t="s">
        <v>5104</v>
      </c>
      <c r="X518" s="204" t="s">
        <v>213</v>
      </c>
      <c r="Y518" s="206">
        <v>651</v>
      </c>
      <c r="Z518" s="207">
        <v>70000</v>
      </c>
      <c r="AA518" s="207">
        <f t="shared" si="131"/>
        <v>33320000</v>
      </c>
      <c r="AB518" s="157">
        <v>70000</v>
      </c>
      <c r="AC518" s="158">
        <f t="shared" si="129"/>
        <v>67000</v>
      </c>
      <c r="AD518" s="159">
        <f t="shared" si="132"/>
        <v>1428000</v>
      </c>
      <c r="AE518" s="160"/>
      <c r="AF518" s="160">
        <f t="shared" si="133"/>
        <v>0</v>
      </c>
      <c r="AG518" s="165"/>
      <c r="AH518" s="161">
        <f t="shared" si="134"/>
        <v>0</v>
      </c>
      <c r="AI518" s="162"/>
      <c r="AJ518" s="162">
        <f t="shared" si="135"/>
        <v>0</v>
      </c>
      <c r="AK518" s="164"/>
      <c r="AL518" s="164">
        <f t="shared" si="136"/>
        <v>0</v>
      </c>
      <c r="AM518" s="165"/>
      <c r="AN518" s="165">
        <f t="shared" si="137"/>
        <v>0</v>
      </c>
      <c r="AO518" s="166">
        <v>3000</v>
      </c>
      <c r="AP518" s="166">
        <f t="shared" si="138"/>
        <v>1428000</v>
      </c>
      <c r="AQ518" s="162"/>
      <c r="AR518" s="162">
        <f t="shared" si="139"/>
        <v>0</v>
      </c>
      <c r="AS518" s="173"/>
      <c r="AT518" s="167">
        <f t="shared" si="140"/>
        <v>0</v>
      </c>
      <c r="AU518" s="163"/>
      <c r="AV518" s="163">
        <f t="shared" si="141"/>
        <v>0</v>
      </c>
      <c r="AW518" s="168"/>
      <c r="AX518" s="168">
        <f t="shared" si="142"/>
        <v>0</v>
      </c>
      <c r="AY518" s="170"/>
      <c r="AZ518" s="170">
        <f t="shared" si="143"/>
        <v>0</v>
      </c>
      <c r="BA518" s="166"/>
      <c r="BB518" s="166">
        <f t="shared" si="144"/>
        <v>0</v>
      </c>
    </row>
    <row r="519" spans="1:54" ht="31.5">
      <c r="A519" s="172" t="s">
        <v>7266</v>
      </c>
      <c r="B519" s="203" t="s">
        <v>809</v>
      </c>
      <c r="C519" s="203"/>
      <c r="D519" s="203"/>
      <c r="E519" s="203" t="s">
        <v>7268</v>
      </c>
      <c r="F519" s="205" t="s">
        <v>7270</v>
      </c>
      <c r="G519" s="205" t="s">
        <v>6536</v>
      </c>
      <c r="H519" s="204" t="s">
        <v>225</v>
      </c>
      <c r="I519" s="204" t="s">
        <v>11</v>
      </c>
      <c r="J519" s="205" t="s">
        <v>7269</v>
      </c>
      <c r="K519" s="206">
        <v>670</v>
      </c>
      <c r="L519" s="206"/>
      <c r="M519" s="159">
        <f t="shared" si="130"/>
        <v>0</v>
      </c>
      <c r="N519" s="159"/>
      <c r="O519" s="159"/>
      <c r="P519" s="159"/>
      <c r="Q519" s="159"/>
      <c r="R519" s="159"/>
      <c r="S519" s="149" t="s">
        <v>5530</v>
      </c>
      <c r="T519" s="149" t="s">
        <v>5531</v>
      </c>
      <c r="U519" s="202" t="s">
        <v>7267</v>
      </c>
      <c r="V519" s="204">
        <v>3</v>
      </c>
      <c r="W519" s="203" t="s">
        <v>253</v>
      </c>
      <c r="X519" s="204" t="s">
        <v>213</v>
      </c>
      <c r="Y519" s="206">
        <v>1890</v>
      </c>
      <c r="Z519" s="207">
        <v>100000</v>
      </c>
      <c r="AA519" s="207">
        <f t="shared" si="131"/>
        <v>67000000</v>
      </c>
      <c r="AB519" s="157">
        <v>100000</v>
      </c>
      <c r="AC519" s="158">
        <f t="shared" si="129"/>
        <v>100000</v>
      </c>
      <c r="AD519" s="159">
        <f t="shared" si="132"/>
        <v>0</v>
      </c>
      <c r="AE519" s="160"/>
      <c r="AF519" s="160">
        <f t="shared" si="133"/>
        <v>0</v>
      </c>
      <c r="AG519" s="165"/>
      <c r="AH519" s="161">
        <f t="shared" si="134"/>
        <v>0</v>
      </c>
      <c r="AI519" s="162"/>
      <c r="AJ519" s="162">
        <f t="shared" si="135"/>
        <v>0</v>
      </c>
      <c r="AK519" s="164"/>
      <c r="AL519" s="164">
        <f t="shared" si="136"/>
        <v>0</v>
      </c>
      <c r="AM519" s="165"/>
      <c r="AN519" s="165">
        <f t="shared" si="137"/>
        <v>0</v>
      </c>
      <c r="AO519" s="166">
        <v>0</v>
      </c>
      <c r="AP519" s="166">
        <f t="shared" si="138"/>
        <v>0</v>
      </c>
      <c r="AQ519" s="162"/>
      <c r="AR519" s="162">
        <f t="shared" si="139"/>
        <v>0</v>
      </c>
      <c r="AS519" s="173"/>
      <c r="AT519" s="167">
        <f t="shared" si="140"/>
        <v>0</v>
      </c>
      <c r="AU519" s="163"/>
      <c r="AV519" s="163">
        <f t="shared" si="141"/>
        <v>0</v>
      </c>
      <c r="AW519" s="168"/>
      <c r="AX519" s="168">
        <f t="shared" si="142"/>
        <v>0</v>
      </c>
      <c r="AY519" s="170"/>
      <c r="AZ519" s="170">
        <f t="shared" si="143"/>
        <v>0</v>
      </c>
      <c r="BA519" s="166"/>
      <c r="BB519" s="166">
        <f t="shared" si="144"/>
        <v>0</v>
      </c>
    </row>
    <row r="520" spans="1:54" ht="31.5">
      <c r="A520" s="148" t="s">
        <v>3813</v>
      </c>
      <c r="B520" s="203" t="s">
        <v>1235</v>
      </c>
      <c r="C520" s="203"/>
      <c r="D520" s="203"/>
      <c r="E520" s="203" t="s">
        <v>7272</v>
      </c>
      <c r="F520" s="205" t="s">
        <v>7274</v>
      </c>
      <c r="G520" s="205" t="s">
        <v>1449</v>
      </c>
      <c r="H520" s="204" t="s">
        <v>1200</v>
      </c>
      <c r="I520" s="204" t="s">
        <v>12</v>
      </c>
      <c r="J520" s="205" t="s">
        <v>7273</v>
      </c>
      <c r="K520" s="206">
        <v>1778</v>
      </c>
      <c r="L520" s="206"/>
      <c r="M520" s="159">
        <f t="shared" si="130"/>
        <v>0</v>
      </c>
      <c r="N520" s="159"/>
      <c r="O520" s="159"/>
      <c r="P520" s="159"/>
      <c r="Q520" s="159"/>
      <c r="R520" s="159"/>
      <c r="S520" s="149" t="s">
        <v>7241</v>
      </c>
      <c r="T520" s="149" t="s">
        <v>7242</v>
      </c>
      <c r="U520" s="202" t="s">
        <v>7271</v>
      </c>
      <c r="V520" s="204">
        <v>3</v>
      </c>
      <c r="W520" s="203" t="s">
        <v>253</v>
      </c>
      <c r="X520" s="204" t="s">
        <v>213</v>
      </c>
      <c r="Y520" s="206">
        <v>7000</v>
      </c>
      <c r="Z520" s="207">
        <v>10000</v>
      </c>
      <c r="AA520" s="207">
        <f t="shared" si="131"/>
        <v>17780000</v>
      </c>
      <c r="AB520" s="157">
        <v>10000</v>
      </c>
      <c r="AC520" s="158">
        <f t="shared" si="129"/>
        <v>10000</v>
      </c>
      <c r="AD520" s="159">
        <f t="shared" si="132"/>
        <v>0</v>
      </c>
      <c r="AE520" s="160"/>
      <c r="AF520" s="160">
        <f t="shared" si="133"/>
        <v>0</v>
      </c>
      <c r="AG520" s="165"/>
      <c r="AH520" s="161">
        <f t="shared" si="134"/>
        <v>0</v>
      </c>
      <c r="AI520" s="162"/>
      <c r="AJ520" s="162">
        <f t="shared" si="135"/>
        <v>0</v>
      </c>
      <c r="AK520" s="164"/>
      <c r="AL520" s="164">
        <f t="shared" si="136"/>
        <v>0</v>
      </c>
      <c r="AM520" s="165"/>
      <c r="AN520" s="165">
        <f t="shared" si="137"/>
        <v>0</v>
      </c>
      <c r="AO520" s="166">
        <v>0</v>
      </c>
      <c r="AP520" s="166">
        <f t="shared" si="138"/>
        <v>0</v>
      </c>
      <c r="AQ520" s="162"/>
      <c r="AR520" s="162">
        <f t="shared" si="139"/>
        <v>0</v>
      </c>
      <c r="AS520" s="173"/>
      <c r="AT520" s="167">
        <f t="shared" si="140"/>
        <v>0</v>
      </c>
      <c r="AU520" s="163"/>
      <c r="AV520" s="163">
        <f t="shared" si="141"/>
        <v>0</v>
      </c>
      <c r="AW520" s="168"/>
      <c r="AX520" s="168">
        <f t="shared" si="142"/>
        <v>0</v>
      </c>
      <c r="AY520" s="170"/>
      <c r="AZ520" s="170">
        <f t="shared" si="143"/>
        <v>0</v>
      </c>
      <c r="BA520" s="166"/>
      <c r="BB520" s="166">
        <f t="shared" si="144"/>
        <v>0</v>
      </c>
    </row>
    <row r="521" spans="1:54" ht="47.25">
      <c r="A521" s="148" t="s">
        <v>7275</v>
      </c>
      <c r="B521" s="203" t="s">
        <v>1235</v>
      </c>
      <c r="C521" s="203"/>
      <c r="D521" s="203"/>
      <c r="E521" s="203" t="s">
        <v>7276</v>
      </c>
      <c r="F521" s="205" t="s">
        <v>7278</v>
      </c>
      <c r="G521" s="205" t="s">
        <v>7279</v>
      </c>
      <c r="H521" s="204" t="s">
        <v>272</v>
      </c>
      <c r="I521" s="204" t="s">
        <v>12</v>
      </c>
      <c r="J521" s="205" t="s">
        <v>7277</v>
      </c>
      <c r="K521" s="206">
        <v>6300</v>
      </c>
      <c r="L521" s="206"/>
      <c r="M521" s="159">
        <f t="shared" si="130"/>
        <v>0</v>
      </c>
      <c r="N521" s="159"/>
      <c r="O521" s="159"/>
      <c r="P521" s="159"/>
      <c r="Q521" s="159"/>
      <c r="R521" s="159"/>
      <c r="S521" s="150" t="s">
        <v>5298</v>
      </c>
      <c r="T521" s="150" t="s">
        <v>5299</v>
      </c>
      <c r="U521" s="202" t="s">
        <v>4559</v>
      </c>
      <c r="V521" s="204">
        <v>3</v>
      </c>
      <c r="W521" s="203" t="s">
        <v>253</v>
      </c>
      <c r="X521" s="204" t="s">
        <v>213</v>
      </c>
      <c r="Y521" s="206">
        <v>11000</v>
      </c>
      <c r="Z521" s="207">
        <v>10000</v>
      </c>
      <c r="AA521" s="207">
        <f t="shared" si="131"/>
        <v>63000000</v>
      </c>
      <c r="AB521" s="157">
        <v>10000</v>
      </c>
      <c r="AC521" s="158">
        <f t="shared" si="129"/>
        <v>10000</v>
      </c>
      <c r="AD521" s="159">
        <f t="shared" si="132"/>
        <v>0</v>
      </c>
      <c r="AE521" s="160"/>
      <c r="AF521" s="160">
        <f t="shared" si="133"/>
        <v>0</v>
      </c>
      <c r="AG521" s="165"/>
      <c r="AH521" s="161">
        <f t="shared" si="134"/>
        <v>0</v>
      </c>
      <c r="AI521" s="162"/>
      <c r="AJ521" s="162">
        <f t="shared" si="135"/>
        <v>0</v>
      </c>
      <c r="AK521" s="164"/>
      <c r="AL521" s="164">
        <f t="shared" si="136"/>
        <v>0</v>
      </c>
      <c r="AM521" s="165"/>
      <c r="AN521" s="165">
        <f t="shared" si="137"/>
        <v>0</v>
      </c>
      <c r="AO521" s="166">
        <v>0</v>
      </c>
      <c r="AP521" s="166">
        <f t="shared" si="138"/>
        <v>0</v>
      </c>
      <c r="AQ521" s="162"/>
      <c r="AR521" s="162">
        <f t="shared" si="139"/>
        <v>0</v>
      </c>
      <c r="AS521" s="173"/>
      <c r="AT521" s="167">
        <f t="shared" si="140"/>
        <v>0</v>
      </c>
      <c r="AU521" s="163"/>
      <c r="AV521" s="163">
        <f t="shared" si="141"/>
        <v>0</v>
      </c>
      <c r="AW521" s="168"/>
      <c r="AX521" s="168">
        <f t="shared" si="142"/>
        <v>0</v>
      </c>
      <c r="AY521" s="170"/>
      <c r="AZ521" s="170">
        <f t="shared" si="143"/>
        <v>0</v>
      </c>
      <c r="BA521" s="166"/>
      <c r="BB521" s="166">
        <f t="shared" si="144"/>
        <v>0</v>
      </c>
    </row>
    <row r="522" spans="1:54" ht="31.5">
      <c r="A522" s="172" t="s">
        <v>7280</v>
      </c>
      <c r="B522" s="203" t="s">
        <v>1235</v>
      </c>
      <c r="C522" s="203"/>
      <c r="D522" s="203"/>
      <c r="E522" s="203" t="s">
        <v>7282</v>
      </c>
      <c r="F522" s="205" t="s">
        <v>7284</v>
      </c>
      <c r="G522" s="205" t="s">
        <v>1449</v>
      </c>
      <c r="H522" s="204" t="s">
        <v>262</v>
      </c>
      <c r="I522" s="204" t="s">
        <v>11</v>
      </c>
      <c r="J522" s="205" t="s">
        <v>7283</v>
      </c>
      <c r="K522" s="206">
        <v>2650</v>
      </c>
      <c r="L522" s="206"/>
      <c r="M522" s="159">
        <f t="shared" si="130"/>
        <v>0</v>
      </c>
      <c r="N522" s="159"/>
      <c r="O522" s="159"/>
      <c r="P522" s="159"/>
      <c r="Q522" s="159"/>
      <c r="R522" s="159"/>
      <c r="S522" s="149" t="s">
        <v>7241</v>
      </c>
      <c r="T522" s="149" t="s">
        <v>7242</v>
      </c>
      <c r="U522" s="202" t="s">
        <v>7281</v>
      </c>
      <c r="V522" s="204">
        <v>3</v>
      </c>
      <c r="W522" s="203" t="s">
        <v>5104</v>
      </c>
      <c r="X522" s="204" t="s">
        <v>213</v>
      </c>
      <c r="Y522" s="206">
        <v>12500</v>
      </c>
      <c r="Z522" s="207">
        <v>30000</v>
      </c>
      <c r="AA522" s="207">
        <f t="shared" si="131"/>
        <v>79500000</v>
      </c>
      <c r="AB522" s="157">
        <v>30000</v>
      </c>
      <c r="AC522" s="158">
        <f t="shared" si="129"/>
        <v>30000</v>
      </c>
      <c r="AD522" s="159">
        <f t="shared" si="132"/>
        <v>0</v>
      </c>
      <c r="AE522" s="160"/>
      <c r="AF522" s="160">
        <f t="shared" si="133"/>
        <v>0</v>
      </c>
      <c r="AG522" s="165"/>
      <c r="AH522" s="161">
        <f t="shared" si="134"/>
        <v>0</v>
      </c>
      <c r="AI522" s="162"/>
      <c r="AJ522" s="162">
        <f t="shared" si="135"/>
        <v>0</v>
      </c>
      <c r="AK522" s="164"/>
      <c r="AL522" s="164">
        <f t="shared" si="136"/>
        <v>0</v>
      </c>
      <c r="AM522" s="165"/>
      <c r="AN522" s="165">
        <f t="shared" si="137"/>
        <v>0</v>
      </c>
      <c r="AO522" s="166">
        <v>0</v>
      </c>
      <c r="AP522" s="166">
        <f t="shared" si="138"/>
        <v>0</v>
      </c>
      <c r="AQ522" s="162"/>
      <c r="AR522" s="162">
        <f t="shared" si="139"/>
        <v>0</v>
      </c>
      <c r="AS522" s="173"/>
      <c r="AT522" s="167">
        <f t="shared" si="140"/>
        <v>0</v>
      </c>
      <c r="AU522" s="163"/>
      <c r="AV522" s="163">
        <f t="shared" si="141"/>
        <v>0</v>
      </c>
      <c r="AW522" s="168"/>
      <c r="AX522" s="168">
        <f t="shared" si="142"/>
        <v>0</v>
      </c>
      <c r="AY522" s="170"/>
      <c r="AZ522" s="170">
        <f t="shared" si="143"/>
        <v>0</v>
      </c>
      <c r="BA522" s="166"/>
      <c r="BB522" s="166">
        <f t="shared" si="144"/>
        <v>0</v>
      </c>
    </row>
    <row r="523" spans="1:54" s="131" customFormat="1" ht="31.5">
      <c r="A523" s="148" t="s">
        <v>7285</v>
      </c>
      <c r="B523" s="203" t="s">
        <v>256</v>
      </c>
      <c r="C523" s="203"/>
      <c r="D523" s="203"/>
      <c r="E523" s="203" t="s">
        <v>1274</v>
      </c>
      <c r="F523" s="205" t="s">
        <v>1275</v>
      </c>
      <c r="G523" s="205" t="s">
        <v>7288</v>
      </c>
      <c r="H523" s="204" t="s">
        <v>296</v>
      </c>
      <c r="I523" s="204" t="s">
        <v>13</v>
      </c>
      <c r="J523" s="205" t="s">
        <v>7287</v>
      </c>
      <c r="K523" s="206">
        <v>6800</v>
      </c>
      <c r="L523" s="206"/>
      <c r="M523" s="159">
        <f t="shared" si="130"/>
        <v>0</v>
      </c>
      <c r="N523" s="159"/>
      <c r="O523" s="159"/>
      <c r="P523" s="159"/>
      <c r="Q523" s="159"/>
      <c r="R523" s="159"/>
      <c r="S523" s="150" t="s">
        <v>5293</v>
      </c>
      <c r="T523" s="150" t="s">
        <v>5294</v>
      </c>
      <c r="U523" s="202" t="s">
        <v>7286</v>
      </c>
      <c r="V523" s="204">
        <v>3</v>
      </c>
      <c r="W523" s="203" t="s">
        <v>5104</v>
      </c>
      <c r="X523" s="204" t="s">
        <v>213</v>
      </c>
      <c r="Y523" s="206">
        <v>6800</v>
      </c>
      <c r="Z523" s="207">
        <v>10000</v>
      </c>
      <c r="AA523" s="207">
        <f t="shared" si="131"/>
        <v>68000000</v>
      </c>
      <c r="AB523" s="157">
        <v>10000</v>
      </c>
      <c r="AC523" s="158">
        <f t="shared" si="129"/>
        <v>10000</v>
      </c>
      <c r="AD523" s="159">
        <f t="shared" si="132"/>
        <v>0</v>
      </c>
      <c r="AE523" s="160"/>
      <c r="AF523" s="160">
        <f t="shared" si="133"/>
        <v>0</v>
      </c>
      <c r="AG523" s="165"/>
      <c r="AH523" s="161">
        <f t="shared" si="134"/>
        <v>0</v>
      </c>
      <c r="AI523" s="162"/>
      <c r="AJ523" s="162">
        <f t="shared" si="135"/>
        <v>0</v>
      </c>
      <c r="AK523" s="164"/>
      <c r="AL523" s="164">
        <f t="shared" si="136"/>
        <v>0</v>
      </c>
      <c r="AM523" s="165"/>
      <c r="AN523" s="165">
        <f t="shared" si="137"/>
        <v>0</v>
      </c>
      <c r="AO523" s="166">
        <v>0</v>
      </c>
      <c r="AP523" s="166">
        <f t="shared" si="138"/>
        <v>0</v>
      </c>
      <c r="AQ523" s="162"/>
      <c r="AR523" s="162">
        <f t="shared" si="139"/>
        <v>0</v>
      </c>
      <c r="AS523" s="173"/>
      <c r="AT523" s="167">
        <f t="shared" si="140"/>
        <v>0</v>
      </c>
      <c r="AU523" s="163"/>
      <c r="AV523" s="163">
        <f t="shared" si="141"/>
        <v>0</v>
      </c>
      <c r="AW523" s="168"/>
      <c r="AX523" s="168">
        <f t="shared" si="142"/>
        <v>0</v>
      </c>
      <c r="AY523" s="170"/>
      <c r="AZ523" s="170">
        <f t="shared" si="143"/>
        <v>0</v>
      </c>
      <c r="BA523" s="166"/>
      <c r="BB523" s="166">
        <f t="shared" si="144"/>
        <v>0</v>
      </c>
    </row>
    <row r="524" spans="1:54" s="131" customFormat="1" ht="31.5">
      <c r="A524" s="148" t="s">
        <v>7289</v>
      </c>
      <c r="B524" s="203" t="s">
        <v>256</v>
      </c>
      <c r="C524" s="203"/>
      <c r="D524" s="203"/>
      <c r="E524" s="203" t="s">
        <v>7291</v>
      </c>
      <c r="F524" s="205" t="s">
        <v>7293</v>
      </c>
      <c r="G524" s="205" t="s">
        <v>1449</v>
      </c>
      <c r="H524" s="204" t="s">
        <v>258</v>
      </c>
      <c r="I524" s="204" t="s">
        <v>12</v>
      </c>
      <c r="J524" s="205" t="s">
        <v>7292</v>
      </c>
      <c r="K524" s="206">
        <v>1008</v>
      </c>
      <c r="L524" s="206"/>
      <c r="M524" s="159">
        <f t="shared" si="130"/>
        <v>0</v>
      </c>
      <c r="N524" s="159"/>
      <c r="O524" s="159"/>
      <c r="P524" s="159"/>
      <c r="Q524" s="159"/>
      <c r="R524" s="159"/>
      <c r="S524" s="149" t="s">
        <v>7241</v>
      </c>
      <c r="T524" s="149" t="s">
        <v>7242</v>
      </c>
      <c r="U524" s="202" t="s">
        <v>7290</v>
      </c>
      <c r="V524" s="204">
        <v>3</v>
      </c>
      <c r="W524" s="203" t="s">
        <v>253</v>
      </c>
      <c r="X524" s="204" t="s">
        <v>213</v>
      </c>
      <c r="Y524" s="206">
        <v>4700</v>
      </c>
      <c r="Z524" s="207">
        <v>10000</v>
      </c>
      <c r="AA524" s="207">
        <f t="shared" si="131"/>
        <v>10080000</v>
      </c>
      <c r="AB524" s="157">
        <v>10000</v>
      </c>
      <c r="AC524" s="158">
        <f t="shared" si="129"/>
        <v>10000</v>
      </c>
      <c r="AD524" s="159">
        <f t="shared" si="132"/>
        <v>0</v>
      </c>
      <c r="AE524" s="160"/>
      <c r="AF524" s="160">
        <f t="shared" si="133"/>
        <v>0</v>
      </c>
      <c r="AG524" s="165"/>
      <c r="AH524" s="161">
        <f t="shared" si="134"/>
        <v>0</v>
      </c>
      <c r="AI524" s="162"/>
      <c r="AJ524" s="162">
        <f t="shared" si="135"/>
        <v>0</v>
      </c>
      <c r="AK524" s="164"/>
      <c r="AL524" s="164">
        <f t="shared" si="136"/>
        <v>0</v>
      </c>
      <c r="AM524" s="165"/>
      <c r="AN524" s="165">
        <f t="shared" si="137"/>
        <v>0</v>
      </c>
      <c r="AO524" s="166">
        <v>0</v>
      </c>
      <c r="AP524" s="166">
        <f t="shared" si="138"/>
        <v>0</v>
      </c>
      <c r="AQ524" s="162"/>
      <c r="AR524" s="162">
        <f t="shared" si="139"/>
        <v>0</v>
      </c>
      <c r="AS524" s="173"/>
      <c r="AT524" s="167">
        <f t="shared" si="140"/>
        <v>0</v>
      </c>
      <c r="AU524" s="163"/>
      <c r="AV524" s="163">
        <f t="shared" si="141"/>
        <v>0</v>
      </c>
      <c r="AW524" s="168"/>
      <c r="AX524" s="168">
        <f t="shared" si="142"/>
        <v>0</v>
      </c>
      <c r="AY524" s="170"/>
      <c r="AZ524" s="170">
        <f t="shared" si="143"/>
        <v>0</v>
      </c>
      <c r="BA524" s="166"/>
      <c r="BB524" s="166">
        <f t="shared" si="144"/>
        <v>0</v>
      </c>
    </row>
    <row r="525" spans="1:54" s="131" customFormat="1" ht="31.5">
      <c r="A525" s="172" t="s">
        <v>7294</v>
      </c>
      <c r="B525" s="203" t="s">
        <v>256</v>
      </c>
      <c r="C525" s="203"/>
      <c r="D525" s="203"/>
      <c r="E525" s="203" t="s">
        <v>7296</v>
      </c>
      <c r="F525" s="205" t="s">
        <v>7297</v>
      </c>
      <c r="G525" s="205" t="s">
        <v>1449</v>
      </c>
      <c r="H525" s="204" t="s">
        <v>291</v>
      </c>
      <c r="I525" s="204" t="s">
        <v>12</v>
      </c>
      <c r="J525" s="205" t="s">
        <v>7292</v>
      </c>
      <c r="K525" s="206">
        <v>917</v>
      </c>
      <c r="L525" s="206"/>
      <c r="M525" s="159">
        <f t="shared" si="130"/>
        <v>0</v>
      </c>
      <c r="N525" s="159"/>
      <c r="O525" s="159"/>
      <c r="P525" s="159"/>
      <c r="Q525" s="159"/>
      <c r="R525" s="159"/>
      <c r="S525" s="149" t="s">
        <v>7241</v>
      </c>
      <c r="T525" s="149" t="s">
        <v>7242</v>
      </c>
      <c r="U525" s="202" t="s">
        <v>7295</v>
      </c>
      <c r="V525" s="204">
        <v>3</v>
      </c>
      <c r="W525" s="203" t="s">
        <v>253</v>
      </c>
      <c r="X525" s="204" t="s">
        <v>213</v>
      </c>
      <c r="Y525" s="206">
        <v>3600</v>
      </c>
      <c r="Z525" s="207">
        <v>5000</v>
      </c>
      <c r="AA525" s="207">
        <f t="shared" si="131"/>
        <v>4585000</v>
      </c>
      <c r="AB525" s="157">
        <v>5000</v>
      </c>
      <c r="AC525" s="158">
        <f t="shared" si="129"/>
        <v>5000</v>
      </c>
      <c r="AD525" s="159">
        <f t="shared" si="132"/>
        <v>0</v>
      </c>
      <c r="AE525" s="160"/>
      <c r="AF525" s="160">
        <f t="shared" si="133"/>
        <v>0</v>
      </c>
      <c r="AG525" s="165"/>
      <c r="AH525" s="161">
        <f t="shared" si="134"/>
        <v>0</v>
      </c>
      <c r="AI525" s="162"/>
      <c r="AJ525" s="162">
        <f t="shared" si="135"/>
        <v>0</v>
      </c>
      <c r="AK525" s="164"/>
      <c r="AL525" s="164">
        <f t="shared" si="136"/>
        <v>0</v>
      </c>
      <c r="AM525" s="165"/>
      <c r="AN525" s="165">
        <f t="shared" si="137"/>
        <v>0</v>
      </c>
      <c r="AO525" s="166">
        <v>0</v>
      </c>
      <c r="AP525" s="166">
        <f t="shared" si="138"/>
        <v>0</v>
      </c>
      <c r="AQ525" s="162"/>
      <c r="AR525" s="162">
        <f t="shared" si="139"/>
        <v>0</v>
      </c>
      <c r="AS525" s="173"/>
      <c r="AT525" s="167">
        <f t="shared" si="140"/>
        <v>0</v>
      </c>
      <c r="AU525" s="163"/>
      <c r="AV525" s="163">
        <f t="shared" si="141"/>
        <v>0</v>
      </c>
      <c r="AW525" s="168"/>
      <c r="AX525" s="168">
        <f t="shared" si="142"/>
        <v>0</v>
      </c>
      <c r="AY525" s="170"/>
      <c r="AZ525" s="170">
        <f t="shared" si="143"/>
        <v>0</v>
      </c>
      <c r="BA525" s="166"/>
      <c r="BB525" s="166">
        <f t="shared" si="144"/>
        <v>0</v>
      </c>
    </row>
    <row r="526" spans="1:54" s="131" customFormat="1" ht="31.5">
      <c r="A526" s="148" t="s">
        <v>7298</v>
      </c>
      <c r="B526" s="203" t="s">
        <v>256</v>
      </c>
      <c r="C526" s="203"/>
      <c r="D526" s="203"/>
      <c r="E526" s="203" t="s">
        <v>7300</v>
      </c>
      <c r="F526" s="205" t="s">
        <v>7302</v>
      </c>
      <c r="G526" s="205" t="s">
        <v>7303</v>
      </c>
      <c r="H526" s="204" t="s">
        <v>334</v>
      </c>
      <c r="I526" s="204" t="s">
        <v>11</v>
      </c>
      <c r="J526" s="205" t="s">
        <v>7301</v>
      </c>
      <c r="K526" s="206">
        <v>4200</v>
      </c>
      <c r="L526" s="206"/>
      <c r="M526" s="159">
        <f t="shared" si="130"/>
        <v>0</v>
      </c>
      <c r="N526" s="159"/>
      <c r="O526" s="159"/>
      <c r="P526" s="159"/>
      <c r="Q526" s="159"/>
      <c r="R526" s="159"/>
      <c r="S526" s="150" t="s">
        <v>5442</v>
      </c>
      <c r="T526" s="150" t="s">
        <v>5443</v>
      </c>
      <c r="U526" s="202" t="s">
        <v>7299</v>
      </c>
      <c r="V526" s="204">
        <v>3</v>
      </c>
      <c r="W526" s="203" t="s">
        <v>253</v>
      </c>
      <c r="X526" s="204" t="s">
        <v>213</v>
      </c>
      <c r="Y526" s="206">
        <v>15000</v>
      </c>
      <c r="Z526" s="207">
        <v>30000</v>
      </c>
      <c r="AA526" s="207">
        <f t="shared" si="131"/>
        <v>126000000</v>
      </c>
      <c r="AB526" s="157">
        <v>30000</v>
      </c>
      <c r="AC526" s="158">
        <f t="shared" si="129"/>
        <v>30000</v>
      </c>
      <c r="AD526" s="159">
        <f t="shared" si="132"/>
        <v>0</v>
      </c>
      <c r="AE526" s="160"/>
      <c r="AF526" s="160">
        <f t="shared" si="133"/>
        <v>0</v>
      </c>
      <c r="AG526" s="161"/>
      <c r="AH526" s="161">
        <f t="shared" si="134"/>
        <v>0</v>
      </c>
      <c r="AI526" s="162"/>
      <c r="AJ526" s="162">
        <f t="shared" si="135"/>
        <v>0</v>
      </c>
      <c r="AK526" s="164"/>
      <c r="AL526" s="164">
        <f t="shared" si="136"/>
        <v>0</v>
      </c>
      <c r="AM526" s="165"/>
      <c r="AN526" s="165">
        <f t="shared" si="137"/>
        <v>0</v>
      </c>
      <c r="AO526" s="166">
        <v>0</v>
      </c>
      <c r="AP526" s="166">
        <f t="shared" si="138"/>
        <v>0</v>
      </c>
      <c r="AQ526" s="162"/>
      <c r="AR526" s="162">
        <f t="shared" si="139"/>
        <v>0</v>
      </c>
      <c r="AS526" s="167"/>
      <c r="AT526" s="167">
        <f t="shared" si="140"/>
        <v>0</v>
      </c>
      <c r="AU526" s="163"/>
      <c r="AV526" s="163">
        <f t="shared" si="141"/>
        <v>0</v>
      </c>
      <c r="AW526" s="168"/>
      <c r="AX526" s="168">
        <f t="shared" si="142"/>
        <v>0</v>
      </c>
      <c r="AY526" s="170"/>
      <c r="AZ526" s="170">
        <f t="shared" si="143"/>
        <v>0</v>
      </c>
      <c r="BA526" s="166"/>
      <c r="BB526" s="166">
        <f t="shared" si="144"/>
        <v>0</v>
      </c>
    </row>
    <row r="527" spans="1:54" s="131" customFormat="1" ht="31.5">
      <c r="A527" s="148" t="s">
        <v>7304</v>
      </c>
      <c r="B527" s="203" t="s">
        <v>813</v>
      </c>
      <c r="C527" s="203"/>
      <c r="D527" s="203"/>
      <c r="E527" s="203" t="s">
        <v>7307</v>
      </c>
      <c r="F527" s="205" t="s">
        <v>7309</v>
      </c>
      <c r="G527" s="205" t="s">
        <v>7310</v>
      </c>
      <c r="H527" s="204" t="s">
        <v>7306</v>
      </c>
      <c r="I527" s="204" t="s">
        <v>658</v>
      </c>
      <c r="J527" s="205" t="s">
        <v>7308</v>
      </c>
      <c r="K527" s="206">
        <v>37500</v>
      </c>
      <c r="L527" s="206"/>
      <c r="M527" s="159">
        <f t="shared" si="130"/>
        <v>0</v>
      </c>
      <c r="N527" s="159"/>
      <c r="O527" s="159"/>
      <c r="P527" s="159"/>
      <c r="Q527" s="159"/>
      <c r="R527" s="159"/>
      <c r="S527" s="149" t="s">
        <v>5830</v>
      </c>
      <c r="T527" s="149" t="s">
        <v>5831</v>
      </c>
      <c r="U527" s="202" t="s">
        <v>7305</v>
      </c>
      <c r="V527" s="204">
        <v>3</v>
      </c>
      <c r="W527" s="203" t="s">
        <v>253</v>
      </c>
      <c r="X527" s="204" t="s">
        <v>213</v>
      </c>
      <c r="Y527" s="206">
        <v>43000</v>
      </c>
      <c r="Z527" s="207">
        <v>1000</v>
      </c>
      <c r="AA527" s="207">
        <f t="shared" si="131"/>
        <v>37500000</v>
      </c>
      <c r="AB527" s="157">
        <v>1000</v>
      </c>
      <c r="AC527" s="158">
        <f t="shared" si="129"/>
        <v>1000</v>
      </c>
      <c r="AD527" s="159">
        <f t="shared" si="132"/>
        <v>0</v>
      </c>
      <c r="AE527" s="160"/>
      <c r="AF527" s="160">
        <f t="shared" si="133"/>
        <v>0</v>
      </c>
      <c r="AG527" s="165"/>
      <c r="AH527" s="161">
        <f t="shared" si="134"/>
        <v>0</v>
      </c>
      <c r="AI527" s="162"/>
      <c r="AJ527" s="162">
        <f t="shared" si="135"/>
        <v>0</v>
      </c>
      <c r="AK527" s="164"/>
      <c r="AL527" s="164">
        <f t="shared" si="136"/>
        <v>0</v>
      </c>
      <c r="AM527" s="165"/>
      <c r="AN527" s="165">
        <f t="shared" si="137"/>
        <v>0</v>
      </c>
      <c r="AO527" s="166">
        <v>0</v>
      </c>
      <c r="AP527" s="166">
        <f t="shared" si="138"/>
        <v>0</v>
      </c>
      <c r="AQ527" s="162"/>
      <c r="AR527" s="162">
        <f t="shared" si="139"/>
        <v>0</v>
      </c>
      <c r="AS527" s="173"/>
      <c r="AT527" s="167">
        <f t="shared" si="140"/>
        <v>0</v>
      </c>
      <c r="AU527" s="163"/>
      <c r="AV527" s="163">
        <f t="shared" si="141"/>
        <v>0</v>
      </c>
      <c r="AW527" s="168"/>
      <c r="AX527" s="168">
        <f t="shared" si="142"/>
        <v>0</v>
      </c>
      <c r="AY527" s="170"/>
      <c r="AZ527" s="170">
        <f t="shared" si="143"/>
        <v>0</v>
      </c>
      <c r="BA527" s="166"/>
      <c r="BB527" s="166">
        <f t="shared" si="144"/>
        <v>0</v>
      </c>
    </row>
    <row r="528" spans="1:54" s="131" customFormat="1" ht="31.5">
      <c r="A528" s="172" t="s">
        <v>7311</v>
      </c>
      <c r="B528" s="203" t="s">
        <v>813</v>
      </c>
      <c r="C528" s="203"/>
      <c r="D528" s="203"/>
      <c r="E528" s="203" t="s">
        <v>7313</v>
      </c>
      <c r="F528" s="205" t="s">
        <v>7315</v>
      </c>
      <c r="G528" s="205" t="s">
        <v>806</v>
      </c>
      <c r="H528" s="204" t="s">
        <v>258</v>
      </c>
      <c r="I528" s="204" t="s">
        <v>11</v>
      </c>
      <c r="J528" s="205" t="s">
        <v>7314</v>
      </c>
      <c r="K528" s="206">
        <v>979</v>
      </c>
      <c r="L528" s="206"/>
      <c r="M528" s="159">
        <f t="shared" si="130"/>
        <v>0</v>
      </c>
      <c r="N528" s="159"/>
      <c r="O528" s="159"/>
      <c r="P528" s="159"/>
      <c r="Q528" s="159"/>
      <c r="R528" s="159"/>
      <c r="S528" s="149" t="s">
        <v>6986</v>
      </c>
      <c r="T528" s="149" t="s">
        <v>6987</v>
      </c>
      <c r="U528" s="202" t="s">
        <v>7312</v>
      </c>
      <c r="V528" s="204">
        <v>3</v>
      </c>
      <c r="W528" s="203" t="s">
        <v>5104</v>
      </c>
      <c r="X528" s="204" t="s">
        <v>213</v>
      </c>
      <c r="Y528" s="206">
        <v>3000</v>
      </c>
      <c r="Z528" s="207">
        <v>10000</v>
      </c>
      <c r="AA528" s="207">
        <f t="shared" si="131"/>
        <v>9790000</v>
      </c>
      <c r="AB528" s="157">
        <v>10000</v>
      </c>
      <c r="AC528" s="158">
        <f t="shared" si="129"/>
        <v>10000</v>
      </c>
      <c r="AD528" s="159">
        <f t="shared" si="132"/>
        <v>0</v>
      </c>
      <c r="AE528" s="160"/>
      <c r="AF528" s="160">
        <f t="shared" si="133"/>
        <v>0</v>
      </c>
      <c r="AG528" s="165"/>
      <c r="AH528" s="161">
        <f t="shared" si="134"/>
        <v>0</v>
      </c>
      <c r="AI528" s="162"/>
      <c r="AJ528" s="162">
        <f t="shared" si="135"/>
        <v>0</v>
      </c>
      <c r="AK528" s="164"/>
      <c r="AL528" s="164">
        <f t="shared" si="136"/>
        <v>0</v>
      </c>
      <c r="AM528" s="165"/>
      <c r="AN528" s="165">
        <f t="shared" si="137"/>
        <v>0</v>
      </c>
      <c r="AO528" s="166">
        <v>0</v>
      </c>
      <c r="AP528" s="166">
        <f t="shared" si="138"/>
        <v>0</v>
      </c>
      <c r="AQ528" s="162"/>
      <c r="AR528" s="162">
        <f t="shared" si="139"/>
        <v>0</v>
      </c>
      <c r="AS528" s="173"/>
      <c r="AT528" s="167">
        <f t="shared" si="140"/>
        <v>0</v>
      </c>
      <c r="AU528" s="163"/>
      <c r="AV528" s="163">
        <f t="shared" si="141"/>
        <v>0</v>
      </c>
      <c r="AW528" s="168"/>
      <c r="AX528" s="168">
        <f t="shared" si="142"/>
        <v>0</v>
      </c>
      <c r="AY528" s="170"/>
      <c r="AZ528" s="170">
        <f t="shared" si="143"/>
        <v>0</v>
      </c>
      <c r="BA528" s="166"/>
      <c r="BB528" s="166">
        <f t="shared" si="144"/>
        <v>0</v>
      </c>
    </row>
    <row r="529" spans="1:54" s="131" customFormat="1" ht="31.5">
      <c r="A529" s="148" t="s">
        <v>7316</v>
      </c>
      <c r="B529" s="203" t="s">
        <v>813</v>
      </c>
      <c r="C529" s="203"/>
      <c r="D529" s="203"/>
      <c r="E529" s="203" t="s">
        <v>7318</v>
      </c>
      <c r="F529" s="205" t="s">
        <v>7320</v>
      </c>
      <c r="G529" s="205" t="s">
        <v>2785</v>
      </c>
      <c r="H529" s="204" t="s">
        <v>299</v>
      </c>
      <c r="I529" s="204" t="s">
        <v>11</v>
      </c>
      <c r="J529" s="205" t="s">
        <v>7319</v>
      </c>
      <c r="K529" s="206">
        <v>10500</v>
      </c>
      <c r="L529" s="206"/>
      <c r="M529" s="159">
        <f t="shared" si="130"/>
        <v>0</v>
      </c>
      <c r="N529" s="159"/>
      <c r="O529" s="159"/>
      <c r="P529" s="159"/>
      <c r="Q529" s="159"/>
      <c r="R529" s="159"/>
      <c r="S529" s="149" t="s">
        <v>7100</v>
      </c>
      <c r="T529" s="149" t="s">
        <v>7101</v>
      </c>
      <c r="U529" s="202" t="s">
        <v>7317</v>
      </c>
      <c r="V529" s="204">
        <v>3</v>
      </c>
      <c r="W529" s="203" t="s">
        <v>5104</v>
      </c>
      <c r="X529" s="204" t="s">
        <v>213</v>
      </c>
      <c r="Y529" s="206">
        <v>11000</v>
      </c>
      <c r="Z529" s="207">
        <v>30000</v>
      </c>
      <c r="AA529" s="207">
        <f t="shared" si="131"/>
        <v>315000000</v>
      </c>
      <c r="AB529" s="157">
        <v>30000</v>
      </c>
      <c r="AC529" s="158">
        <f t="shared" si="129"/>
        <v>30000</v>
      </c>
      <c r="AD529" s="159">
        <f t="shared" si="132"/>
        <v>0</v>
      </c>
      <c r="AE529" s="160"/>
      <c r="AF529" s="160">
        <f t="shared" si="133"/>
        <v>0</v>
      </c>
      <c r="AG529" s="165"/>
      <c r="AH529" s="161">
        <f t="shared" si="134"/>
        <v>0</v>
      </c>
      <c r="AI529" s="162"/>
      <c r="AJ529" s="162">
        <f t="shared" si="135"/>
        <v>0</v>
      </c>
      <c r="AK529" s="164"/>
      <c r="AL529" s="164">
        <f t="shared" si="136"/>
        <v>0</v>
      </c>
      <c r="AM529" s="165"/>
      <c r="AN529" s="165">
        <f t="shared" si="137"/>
        <v>0</v>
      </c>
      <c r="AO529" s="166">
        <v>0</v>
      </c>
      <c r="AP529" s="166">
        <f t="shared" si="138"/>
        <v>0</v>
      </c>
      <c r="AQ529" s="162"/>
      <c r="AR529" s="162">
        <f t="shared" si="139"/>
        <v>0</v>
      </c>
      <c r="AS529" s="173"/>
      <c r="AT529" s="167">
        <f t="shared" si="140"/>
        <v>0</v>
      </c>
      <c r="AU529" s="163"/>
      <c r="AV529" s="163">
        <f t="shared" si="141"/>
        <v>0</v>
      </c>
      <c r="AW529" s="168"/>
      <c r="AX529" s="168">
        <f t="shared" si="142"/>
        <v>0</v>
      </c>
      <c r="AY529" s="170"/>
      <c r="AZ529" s="170">
        <f t="shared" si="143"/>
        <v>0</v>
      </c>
      <c r="BA529" s="166"/>
      <c r="BB529" s="166">
        <f t="shared" si="144"/>
        <v>0</v>
      </c>
    </row>
    <row r="530" spans="1:54" s="131" customFormat="1" ht="31.5">
      <c r="A530" s="148" t="s">
        <v>7321</v>
      </c>
      <c r="B530" s="203" t="s">
        <v>433</v>
      </c>
      <c r="C530" s="203"/>
      <c r="D530" s="203"/>
      <c r="E530" s="203" t="s">
        <v>1463</v>
      </c>
      <c r="F530" s="205" t="s">
        <v>1465</v>
      </c>
      <c r="G530" s="205" t="s">
        <v>1449</v>
      </c>
      <c r="H530" s="204" t="s">
        <v>1200</v>
      </c>
      <c r="I530" s="204" t="s">
        <v>12</v>
      </c>
      <c r="J530" s="205" t="s">
        <v>7322</v>
      </c>
      <c r="K530" s="206">
        <v>1323</v>
      </c>
      <c r="L530" s="206"/>
      <c r="M530" s="159">
        <f t="shared" si="130"/>
        <v>1000</v>
      </c>
      <c r="N530" s="159"/>
      <c r="O530" s="159"/>
      <c r="P530" s="159"/>
      <c r="Q530" s="159"/>
      <c r="R530" s="159"/>
      <c r="S530" s="149" t="s">
        <v>7241</v>
      </c>
      <c r="T530" s="149" t="s">
        <v>7242</v>
      </c>
      <c r="U530" s="202" t="s">
        <v>4482</v>
      </c>
      <c r="V530" s="204">
        <v>3</v>
      </c>
      <c r="W530" s="203" t="s">
        <v>253</v>
      </c>
      <c r="X530" s="204" t="s">
        <v>213</v>
      </c>
      <c r="Y530" s="206">
        <v>2500</v>
      </c>
      <c r="Z530" s="207">
        <v>20000</v>
      </c>
      <c r="AA530" s="207">
        <f t="shared" si="131"/>
        <v>26460000</v>
      </c>
      <c r="AB530" s="157">
        <v>20000</v>
      </c>
      <c r="AC530" s="158">
        <f t="shared" si="129"/>
        <v>19000</v>
      </c>
      <c r="AD530" s="159">
        <f t="shared" si="132"/>
        <v>1323000</v>
      </c>
      <c r="AE530" s="160"/>
      <c r="AF530" s="160">
        <f t="shared" si="133"/>
        <v>0</v>
      </c>
      <c r="AG530" s="165"/>
      <c r="AH530" s="161">
        <f t="shared" si="134"/>
        <v>0</v>
      </c>
      <c r="AI530" s="162"/>
      <c r="AJ530" s="162">
        <f t="shared" si="135"/>
        <v>0</v>
      </c>
      <c r="AK530" s="164"/>
      <c r="AL530" s="164">
        <f t="shared" si="136"/>
        <v>0</v>
      </c>
      <c r="AM530" s="165"/>
      <c r="AN530" s="165">
        <f t="shared" si="137"/>
        <v>0</v>
      </c>
      <c r="AO530" s="166">
        <v>1000</v>
      </c>
      <c r="AP530" s="166">
        <f t="shared" si="138"/>
        <v>1323000</v>
      </c>
      <c r="AQ530" s="162"/>
      <c r="AR530" s="162">
        <f t="shared" si="139"/>
        <v>0</v>
      </c>
      <c r="AS530" s="173"/>
      <c r="AT530" s="167">
        <f t="shared" si="140"/>
        <v>0</v>
      </c>
      <c r="AU530" s="163"/>
      <c r="AV530" s="163">
        <f t="shared" si="141"/>
        <v>0</v>
      </c>
      <c r="AW530" s="168"/>
      <c r="AX530" s="168">
        <f t="shared" si="142"/>
        <v>0</v>
      </c>
      <c r="AY530" s="170"/>
      <c r="AZ530" s="170">
        <f t="shared" si="143"/>
        <v>0</v>
      </c>
      <c r="BA530" s="166"/>
      <c r="BB530" s="166">
        <f t="shared" si="144"/>
        <v>0</v>
      </c>
    </row>
    <row r="531" spans="1:54" s="131" customFormat="1" ht="31.5">
      <c r="A531" s="172" t="s">
        <v>7323</v>
      </c>
      <c r="B531" s="203" t="s">
        <v>2575</v>
      </c>
      <c r="C531" s="203"/>
      <c r="D531" s="203"/>
      <c r="E531" s="203" t="s">
        <v>7325</v>
      </c>
      <c r="F531" s="205" t="s">
        <v>7327</v>
      </c>
      <c r="G531" s="205" t="s">
        <v>1268</v>
      </c>
      <c r="H531" s="204" t="s">
        <v>225</v>
      </c>
      <c r="I531" s="204" t="s">
        <v>11</v>
      </c>
      <c r="J531" s="205" t="s">
        <v>7326</v>
      </c>
      <c r="K531" s="206">
        <v>2440</v>
      </c>
      <c r="L531" s="206"/>
      <c r="M531" s="159">
        <f t="shared" si="130"/>
        <v>0</v>
      </c>
      <c r="N531" s="159"/>
      <c r="O531" s="159"/>
      <c r="P531" s="159"/>
      <c r="Q531" s="159"/>
      <c r="R531" s="159"/>
      <c r="S531" s="149" t="s">
        <v>7213</v>
      </c>
      <c r="T531" s="149" t="s">
        <v>7214</v>
      </c>
      <c r="U531" s="202" t="s">
        <v>7324</v>
      </c>
      <c r="V531" s="204">
        <v>3</v>
      </c>
      <c r="W531" s="203" t="s">
        <v>5108</v>
      </c>
      <c r="X531" s="204" t="s">
        <v>213</v>
      </c>
      <c r="Y531" s="206">
        <v>4000</v>
      </c>
      <c r="Z531" s="207">
        <v>10000</v>
      </c>
      <c r="AA531" s="207">
        <f t="shared" si="131"/>
        <v>24400000</v>
      </c>
      <c r="AB531" s="157">
        <v>10000</v>
      </c>
      <c r="AC531" s="158">
        <f t="shared" si="129"/>
        <v>10000</v>
      </c>
      <c r="AD531" s="159">
        <f t="shared" si="132"/>
        <v>0</v>
      </c>
      <c r="AE531" s="160"/>
      <c r="AF531" s="160">
        <f t="shared" si="133"/>
        <v>0</v>
      </c>
      <c r="AG531" s="165"/>
      <c r="AH531" s="161">
        <f t="shared" si="134"/>
        <v>0</v>
      </c>
      <c r="AI531" s="162"/>
      <c r="AJ531" s="162">
        <f t="shared" si="135"/>
        <v>0</v>
      </c>
      <c r="AK531" s="164"/>
      <c r="AL531" s="164">
        <f t="shared" si="136"/>
        <v>0</v>
      </c>
      <c r="AM531" s="165"/>
      <c r="AN531" s="165">
        <f t="shared" si="137"/>
        <v>0</v>
      </c>
      <c r="AO531" s="166">
        <v>0</v>
      </c>
      <c r="AP531" s="166">
        <f t="shared" si="138"/>
        <v>0</v>
      </c>
      <c r="AQ531" s="162"/>
      <c r="AR531" s="162">
        <f t="shared" si="139"/>
        <v>0</v>
      </c>
      <c r="AS531" s="173"/>
      <c r="AT531" s="167">
        <f t="shared" si="140"/>
        <v>0</v>
      </c>
      <c r="AU531" s="163"/>
      <c r="AV531" s="163">
        <f t="shared" si="141"/>
        <v>0</v>
      </c>
      <c r="AW531" s="168"/>
      <c r="AX531" s="168">
        <f t="shared" si="142"/>
        <v>0</v>
      </c>
      <c r="AY531" s="170"/>
      <c r="AZ531" s="170">
        <f t="shared" si="143"/>
        <v>0</v>
      </c>
      <c r="BA531" s="166"/>
      <c r="BB531" s="166">
        <f t="shared" si="144"/>
        <v>0</v>
      </c>
    </row>
    <row r="532" spans="1:54" s="131" customFormat="1" ht="31.5">
      <c r="A532" s="148" t="s">
        <v>7328</v>
      </c>
      <c r="B532" s="203" t="s">
        <v>4540</v>
      </c>
      <c r="C532" s="203"/>
      <c r="D532" s="203"/>
      <c r="E532" s="203" t="s">
        <v>3229</v>
      </c>
      <c r="F532" s="205" t="s">
        <v>7331</v>
      </c>
      <c r="G532" s="205" t="s">
        <v>7332</v>
      </c>
      <c r="H532" s="204" t="s">
        <v>4541</v>
      </c>
      <c r="I532" s="204" t="s">
        <v>15</v>
      </c>
      <c r="J532" s="205" t="s">
        <v>7330</v>
      </c>
      <c r="K532" s="206">
        <v>2982</v>
      </c>
      <c r="L532" s="206"/>
      <c r="M532" s="159">
        <f t="shared" si="130"/>
        <v>100</v>
      </c>
      <c r="N532" s="159"/>
      <c r="O532" s="159"/>
      <c r="P532" s="159"/>
      <c r="Q532" s="159"/>
      <c r="R532" s="159"/>
      <c r="S532" s="149" t="s">
        <v>7329</v>
      </c>
      <c r="T532" s="149" t="s">
        <v>1136</v>
      </c>
      <c r="U532" s="202" t="s">
        <v>4539</v>
      </c>
      <c r="V532" s="204">
        <v>3</v>
      </c>
      <c r="W532" s="203" t="s">
        <v>6049</v>
      </c>
      <c r="X532" s="204" t="s">
        <v>213</v>
      </c>
      <c r="Y532" s="206">
        <v>3150</v>
      </c>
      <c r="Z532" s="207">
        <v>2000</v>
      </c>
      <c r="AA532" s="207">
        <f t="shared" si="131"/>
        <v>5964000</v>
      </c>
      <c r="AB532" s="157">
        <v>2000</v>
      </c>
      <c r="AC532" s="158">
        <f t="shared" si="129"/>
        <v>1900</v>
      </c>
      <c r="AD532" s="159">
        <f t="shared" si="132"/>
        <v>298200</v>
      </c>
      <c r="AE532" s="160"/>
      <c r="AF532" s="160">
        <f t="shared" si="133"/>
        <v>0</v>
      </c>
      <c r="AG532" s="165"/>
      <c r="AH532" s="161">
        <f t="shared" si="134"/>
        <v>0</v>
      </c>
      <c r="AI532" s="162"/>
      <c r="AJ532" s="162">
        <f t="shared" si="135"/>
        <v>0</v>
      </c>
      <c r="AK532" s="163"/>
      <c r="AL532" s="164">
        <f t="shared" si="136"/>
        <v>0</v>
      </c>
      <c r="AM532" s="161"/>
      <c r="AN532" s="165">
        <f t="shared" si="137"/>
        <v>0</v>
      </c>
      <c r="AO532" s="160">
        <v>100</v>
      </c>
      <c r="AP532" s="166">
        <f t="shared" si="138"/>
        <v>298200</v>
      </c>
      <c r="AQ532" s="162"/>
      <c r="AR532" s="162">
        <f t="shared" si="139"/>
        <v>0</v>
      </c>
      <c r="AS532" s="173"/>
      <c r="AT532" s="167">
        <f t="shared" si="140"/>
        <v>0</v>
      </c>
      <c r="AU532" s="163"/>
      <c r="AV532" s="163">
        <f t="shared" si="141"/>
        <v>0</v>
      </c>
      <c r="AW532" s="162"/>
      <c r="AX532" s="168">
        <f t="shared" si="142"/>
        <v>0</v>
      </c>
      <c r="AY532" s="169"/>
      <c r="AZ532" s="170">
        <f t="shared" si="143"/>
        <v>0</v>
      </c>
      <c r="BA532" s="160"/>
      <c r="BB532" s="166">
        <f t="shared" si="144"/>
        <v>0</v>
      </c>
    </row>
    <row r="533" spans="1:54" s="131" customFormat="1" ht="31.5">
      <c r="A533" s="148" t="s">
        <v>7333</v>
      </c>
      <c r="B533" s="203" t="s">
        <v>4528</v>
      </c>
      <c r="C533" s="203"/>
      <c r="D533" s="203"/>
      <c r="E533" s="203" t="s">
        <v>1594</v>
      </c>
      <c r="F533" s="205" t="s">
        <v>1597</v>
      </c>
      <c r="G533" s="205" t="s">
        <v>7335</v>
      </c>
      <c r="H533" s="204" t="s">
        <v>4529</v>
      </c>
      <c r="I533" s="204" t="s">
        <v>658</v>
      </c>
      <c r="J533" s="205" t="s">
        <v>7334</v>
      </c>
      <c r="K533" s="206">
        <v>37000</v>
      </c>
      <c r="L533" s="206"/>
      <c r="M533" s="159">
        <f t="shared" si="130"/>
        <v>330</v>
      </c>
      <c r="N533" s="159"/>
      <c r="O533" s="159"/>
      <c r="P533" s="159"/>
      <c r="Q533" s="159"/>
      <c r="R533" s="159"/>
      <c r="S533" s="149" t="s">
        <v>6812</v>
      </c>
      <c r="T533" s="149" t="s">
        <v>6813</v>
      </c>
      <c r="U533" s="202" t="s">
        <v>4527</v>
      </c>
      <c r="V533" s="204">
        <v>3</v>
      </c>
      <c r="W533" s="203" t="s">
        <v>5104</v>
      </c>
      <c r="X533" s="204" t="s">
        <v>213</v>
      </c>
      <c r="Y533" s="206">
        <v>37000</v>
      </c>
      <c r="Z533" s="207">
        <v>2000</v>
      </c>
      <c r="AA533" s="207">
        <f t="shared" si="131"/>
        <v>74000000</v>
      </c>
      <c r="AB533" s="157">
        <v>2000</v>
      </c>
      <c r="AC533" s="158">
        <f t="shared" si="129"/>
        <v>1670</v>
      </c>
      <c r="AD533" s="159">
        <f t="shared" si="132"/>
        <v>12210000</v>
      </c>
      <c r="AE533" s="160"/>
      <c r="AF533" s="160">
        <f t="shared" si="133"/>
        <v>0</v>
      </c>
      <c r="AG533" s="165">
        <v>130</v>
      </c>
      <c r="AH533" s="161">
        <f t="shared" si="134"/>
        <v>4810000</v>
      </c>
      <c r="AI533" s="162"/>
      <c r="AJ533" s="162">
        <f t="shared" si="135"/>
        <v>0</v>
      </c>
      <c r="AK533" s="164"/>
      <c r="AL533" s="164">
        <f t="shared" si="136"/>
        <v>0</v>
      </c>
      <c r="AM533" s="165">
        <v>100</v>
      </c>
      <c r="AN533" s="165">
        <f t="shared" si="137"/>
        <v>3700000</v>
      </c>
      <c r="AO533" s="166">
        <v>0</v>
      </c>
      <c r="AP533" s="166">
        <f t="shared" si="138"/>
        <v>0</v>
      </c>
      <c r="AQ533" s="162"/>
      <c r="AR533" s="162">
        <f t="shared" si="139"/>
        <v>0</v>
      </c>
      <c r="AS533" s="173">
        <v>100</v>
      </c>
      <c r="AT533" s="167">
        <f t="shared" si="140"/>
        <v>3700000</v>
      </c>
      <c r="AU533" s="163"/>
      <c r="AV533" s="163">
        <f t="shared" si="141"/>
        <v>0</v>
      </c>
      <c r="AW533" s="168"/>
      <c r="AX533" s="168">
        <f t="shared" si="142"/>
        <v>0</v>
      </c>
      <c r="AY533" s="170"/>
      <c r="AZ533" s="170">
        <f t="shared" si="143"/>
        <v>0</v>
      </c>
      <c r="BA533" s="166"/>
      <c r="BB533" s="166">
        <f t="shared" si="144"/>
        <v>0</v>
      </c>
    </row>
    <row r="534" spans="1:54" s="131" customFormat="1">
      <c r="A534" s="172" t="s">
        <v>7336</v>
      </c>
      <c r="B534" s="203" t="s">
        <v>1510</v>
      </c>
      <c r="C534" s="203"/>
      <c r="D534" s="203"/>
      <c r="E534" s="203" t="s">
        <v>4577</v>
      </c>
      <c r="F534" s="205" t="s">
        <v>7338</v>
      </c>
      <c r="G534" s="205" t="s">
        <v>1449</v>
      </c>
      <c r="H534" s="204" t="s">
        <v>4499</v>
      </c>
      <c r="I534" s="204" t="s">
        <v>658</v>
      </c>
      <c r="J534" s="205" t="s">
        <v>7337</v>
      </c>
      <c r="K534" s="206">
        <v>2945</v>
      </c>
      <c r="L534" s="206"/>
      <c r="M534" s="159">
        <f t="shared" si="130"/>
        <v>240</v>
      </c>
      <c r="N534" s="159"/>
      <c r="O534" s="159"/>
      <c r="P534" s="159"/>
      <c r="Q534" s="159"/>
      <c r="R534" s="159"/>
      <c r="S534" s="149" t="s">
        <v>7241</v>
      </c>
      <c r="T534" s="149" t="s">
        <v>7242</v>
      </c>
      <c r="U534" s="202" t="s">
        <v>4576</v>
      </c>
      <c r="V534" s="204">
        <v>3</v>
      </c>
      <c r="W534" s="203" t="s">
        <v>253</v>
      </c>
      <c r="X534" s="204" t="s">
        <v>213</v>
      </c>
      <c r="Y534" s="206">
        <v>14500</v>
      </c>
      <c r="Z534" s="207">
        <v>2000</v>
      </c>
      <c r="AA534" s="207">
        <f t="shared" si="131"/>
        <v>5890000</v>
      </c>
      <c r="AB534" s="157">
        <v>2000</v>
      </c>
      <c r="AC534" s="158">
        <f t="shared" si="129"/>
        <v>1760</v>
      </c>
      <c r="AD534" s="159">
        <f t="shared" si="132"/>
        <v>706800</v>
      </c>
      <c r="AE534" s="160"/>
      <c r="AF534" s="160">
        <f t="shared" si="133"/>
        <v>0</v>
      </c>
      <c r="AG534" s="165"/>
      <c r="AH534" s="161">
        <f t="shared" si="134"/>
        <v>0</v>
      </c>
      <c r="AI534" s="162"/>
      <c r="AJ534" s="162">
        <f t="shared" si="135"/>
        <v>0</v>
      </c>
      <c r="AK534" s="164"/>
      <c r="AL534" s="164">
        <f t="shared" si="136"/>
        <v>0</v>
      </c>
      <c r="AM534" s="165"/>
      <c r="AN534" s="165">
        <f t="shared" si="137"/>
        <v>0</v>
      </c>
      <c r="AO534" s="166">
        <v>40</v>
      </c>
      <c r="AP534" s="166">
        <f t="shared" si="138"/>
        <v>117800</v>
      </c>
      <c r="AQ534" s="162"/>
      <c r="AR534" s="162">
        <f t="shared" si="139"/>
        <v>0</v>
      </c>
      <c r="AS534" s="173">
        <v>200</v>
      </c>
      <c r="AT534" s="167">
        <f t="shared" si="140"/>
        <v>589000</v>
      </c>
      <c r="AU534" s="163"/>
      <c r="AV534" s="163">
        <f t="shared" si="141"/>
        <v>0</v>
      </c>
      <c r="AW534" s="168"/>
      <c r="AX534" s="168">
        <f t="shared" si="142"/>
        <v>0</v>
      </c>
      <c r="AY534" s="170"/>
      <c r="AZ534" s="170">
        <f t="shared" si="143"/>
        <v>0</v>
      </c>
      <c r="BA534" s="166"/>
      <c r="BB534" s="166">
        <f t="shared" si="144"/>
        <v>0</v>
      </c>
    </row>
    <row r="535" spans="1:54" s="131" customFormat="1" ht="31.5">
      <c r="A535" s="148" t="s">
        <v>7339</v>
      </c>
      <c r="B535" s="203" t="s">
        <v>4491</v>
      </c>
      <c r="C535" s="203"/>
      <c r="D535" s="203"/>
      <c r="E535" s="203" t="s">
        <v>4573</v>
      </c>
      <c r="F535" s="205" t="s">
        <v>7341</v>
      </c>
      <c r="G535" s="205" t="s">
        <v>7011</v>
      </c>
      <c r="H535" s="204" t="s">
        <v>4574</v>
      </c>
      <c r="I535" s="204" t="s">
        <v>658</v>
      </c>
      <c r="J535" s="205" t="s">
        <v>7340</v>
      </c>
      <c r="K535" s="206">
        <v>5985</v>
      </c>
      <c r="L535" s="206"/>
      <c r="M535" s="159">
        <f t="shared" si="130"/>
        <v>370</v>
      </c>
      <c r="N535" s="159"/>
      <c r="O535" s="159"/>
      <c r="P535" s="159"/>
      <c r="Q535" s="159"/>
      <c r="R535" s="159"/>
      <c r="S535" s="150" t="s">
        <v>5323</v>
      </c>
      <c r="T535" s="150" t="s">
        <v>5324</v>
      </c>
      <c r="U535" s="202" t="s">
        <v>4572</v>
      </c>
      <c r="V535" s="204">
        <v>3</v>
      </c>
      <c r="W535" s="203" t="s">
        <v>5104</v>
      </c>
      <c r="X535" s="204" t="s">
        <v>213</v>
      </c>
      <c r="Y535" s="206">
        <v>21000</v>
      </c>
      <c r="Z535" s="207">
        <v>3000</v>
      </c>
      <c r="AA535" s="207">
        <f t="shared" si="131"/>
        <v>17955000</v>
      </c>
      <c r="AB535" s="157">
        <v>3000</v>
      </c>
      <c r="AC535" s="158">
        <f t="shared" si="129"/>
        <v>2630</v>
      </c>
      <c r="AD535" s="159">
        <f t="shared" si="132"/>
        <v>2214450</v>
      </c>
      <c r="AE535" s="160"/>
      <c r="AF535" s="160">
        <f t="shared" si="133"/>
        <v>0</v>
      </c>
      <c r="AG535" s="165">
        <v>170</v>
      </c>
      <c r="AH535" s="161">
        <f t="shared" si="134"/>
        <v>1017450</v>
      </c>
      <c r="AI535" s="162"/>
      <c r="AJ535" s="162">
        <f t="shared" si="135"/>
        <v>0</v>
      </c>
      <c r="AK535" s="164"/>
      <c r="AL535" s="164">
        <f t="shared" si="136"/>
        <v>0</v>
      </c>
      <c r="AM535" s="165"/>
      <c r="AN535" s="165">
        <f t="shared" si="137"/>
        <v>0</v>
      </c>
      <c r="AO535" s="166">
        <v>0</v>
      </c>
      <c r="AP535" s="166">
        <f t="shared" si="138"/>
        <v>0</v>
      </c>
      <c r="AQ535" s="162"/>
      <c r="AR535" s="162">
        <f t="shared" si="139"/>
        <v>0</v>
      </c>
      <c r="AS535" s="173">
        <v>200</v>
      </c>
      <c r="AT535" s="167">
        <f t="shared" si="140"/>
        <v>1197000</v>
      </c>
      <c r="AU535" s="163"/>
      <c r="AV535" s="163">
        <f t="shared" si="141"/>
        <v>0</v>
      </c>
      <c r="AW535" s="168"/>
      <c r="AX535" s="168">
        <f t="shared" si="142"/>
        <v>0</v>
      </c>
      <c r="AY535" s="170"/>
      <c r="AZ535" s="170">
        <f t="shared" si="143"/>
        <v>0</v>
      </c>
      <c r="BA535" s="166"/>
      <c r="BB535" s="166">
        <f t="shared" si="144"/>
        <v>0</v>
      </c>
    </row>
    <row r="536" spans="1:54" s="131" customFormat="1" ht="31.5">
      <c r="A536" s="148" t="s">
        <v>7342</v>
      </c>
      <c r="B536" s="203" t="s">
        <v>4459</v>
      </c>
      <c r="C536" s="203"/>
      <c r="D536" s="203"/>
      <c r="E536" s="203" t="s">
        <v>4458</v>
      </c>
      <c r="F536" s="205" t="s">
        <v>7344</v>
      </c>
      <c r="G536" s="205" t="s">
        <v>7211</v>
      </c>
      <c r="H536" s="204" t="s">
        <v>4460</v>
      </c>
      <c r="I536" s="204" t="s">
        <v>11</v>
      </c>
      <c r="J536" s="205" t="s">
        <v>7343</v>
      </c>
      <c r="K536" s="206">
        <v>1090</v>
      </c>
      <c r="L536" s="206"/>
      <c r="M536" s="159">
        <f t="shared" si="130"/>
        <v>200</v>
      </c>
      <c r="N536" s="159"/>
      <c r="O536" s="159"/>
      <c r="P536" s="159"/>
      <c r="Q536" s="159"/>
      <c r="R536" s="159"/>
      <c r="S536" s="150" t="s">
        <v>5328</v>
      </c>
      <c r="T536" s="150" t="s">
        <v>215</v>
      </c>
      <c r="U536" s="202" t="s">
        <v>4457</v>
      </c>
      <c r="V536" s="204">
        <v>3</v>
      </c>
      <c r="W536" s="203" t="s">
        <v>5104</v>
      </c>
      <c r="X536" s="204" t="s">
        <v>213</v>
      </c>
      <c r="Y536" s="206">
        <v>3300</v>
      </c>
      <c r="Z536" s="207">
        <v>5000</v>
      </c>
      <c r="AA536" s="207">
        <f t="shared" si="131"/>
        <v>5450000</v>
      </c>
      <c r="AB536" s="157">
        <v>5000</v>
      </c>
      <c r="AC536" s="158">
        <f t="shared" si="129"/>
        <v>4800</v>
      </c>
      <c r="AD536" s="159">
        <f t="shared" si="132"/>
        <v>218000</v>
      </c>
      <c r="AE536" s="160"/>
      <c r="AF536" s="160">
        <f t="shared" si="133"/>
        <v>0</v>
      </c>
      <c r="AG536" s="165"/>
      <c r="AH536" s="161">
        <f t="shared" si="134"/>
        <v>0</v>
      </c>
      <c r="AI536" s="162"/>
      <c r="AJ536" s="162">
        <f t="shared" si="135"/>
        <v>0</v>
      </c>
      <c r="AK536" s="164"/>
      <c r="AL536" s="164">
        <f t="shared" si="136"/>
        <v>0</v>
      </c>
      <c r="AM536" s="165"/>
      <c r="AN536" s="165">
        <f t="shared" si="137"/>
        <v>0</v>
      </c>
      <c r="AO536" s="166">
        <v>0</v>
      </c>
      <c r="AP536" s="166">
        <f t="shared" si="138"/>
        <v>0</v>
      </c>
      <c r="AQ536" s="162"/>
      <c r="AR536" s="162">
        <f t="shared" si="139"/>
        <v>0</v>
      </c>
      <c r="AS536" s="173">
        <v>200</v>
      </c>
      <c r="AT536" s="167">
        <f t="shared" si="140"/>
        <v>218000</v>
      </c>
      <c r="AU536" s="163"/>
      <c r="AV536" s="163">
        <f t="shared" si="141"/>
        <v>0</v>
      </c>
      <c r="AW536" s="168"/>
      <c r="AX536" s="168">
        <f t="shared" si="142"/>
        <v>0</v>
      </c>
      <c r="AY536" s="170"/>
      <c r="AZ536" s="170">
        <f t="shared" si="143"/>
        <v>0</v>
      </c>
      <c r="BA536" s="166"/>
      <c r="BB536" s="166">
        <f t="shared" si="144"/>
        <v>0</v>
      </c>
    </row>
    <row r="537" spans="1:54" s="131" customFormat="1">
      <c r="A537" s="172" t="s">
        <v>7345</v>
      </c>
      <c r="B537" s="203" t="s">
        <v>7349</v>
      </c>
      <c r="C537" s="203"/>
      <c r="D537" s="203"/>
      <c r="E537" s="203" t="s">
        <v>7350</v>
      </c>
      <c r="F537" s="205" t="s">
        <v>7352</v>
      </c>
      <c r="G537" s="205" t="s">
        <v>7353</v>
      </c>
      <c r="H537" s="204" t="s">
        <v>225</v>
      </c>
      <c r="I537" s="204" t="s">
        <v>11</v>
      </c>
      <c r="J537" s="205" t="s">
        <v>7351</v>
      </c>
      <c r="K537" s="206">
        <v>3000</v>
      </c>
      <c r="L537" s="206"/>
      <c r="M537" s="159">
        <f t="shared" si="130"/>
        <v>0</v>
      </c>
      <c r="N537" s="159"/>
      <c r="O537" s="159"/>
      <c r="P537" s="159"/>
      <c r="Q537" s="159"/>
      <c r="R537" s="159"/>
      <c r="S537" s="149" t="s">
        <v>7346</v>
      </c>
      <c r="T537" s="149" t="s">
        <v>7347</v>
      </c>
      <c r="U537" s="202" t="s">
        <v>7348</v>
      </c>
      <c r="V537" s="204">
        <v>3</v>
      </c>
      <c r="W537" s="203" t="s">
        <v>5784</v>
      </c>
      <c r="X537" s="204" t="s">
        <v>213</v>
      </c>
      <c r="Y537" s="206">
        <v>3000</v>
      </c>
      <c r="Z537" s="207">
        <v>5000</v>
      </c>
      <c r="AA537" s="207">
        <f t="shared" si="131"/>
        <v>15000000</v>
      </c>
      <c r="AB537" s="157">
        <v>5000</v>
      </c>
      <c r="AC537" s="158">
        <f t="shared" si="129"/>
        <v>5000</v>
      </c>
      <c r="AD537" s="159">
        <f t="shared" si="132"/>
        <v>0</v>
      </c>
      <c r="AE537" s="160"/>
      <c r="AF537" s="160">
        <f t="shared" si="133"/>
        <v>0</v>
      </c>
      <c r="AG537" s="165"/>
      <c r="AH537" s="161">
        <f t="shared" si="134"/>
        <v>0</v>
      </c>
      <c r="AI537" s="162"/>
      <c r="AJ537" s="162">
        <f t="shared" si="135"/>
        <v>0</v>
      </c>
      <c r="AK537" s="164"/>
      <c r="AL537" s="164">
        <f t="shared" si="136"/>
        <v>0</v>
      </c>
      <c r="AM537" s="165"/>
      <c r="AN537" s="165">
        <f t="shared" si="137"/>
        <v>0</v>
      </c>
      <c r="AO537" s="166">
        <v>0</v>
      </c>
      <c r="AP537" s="166">
        <f t="shared" si="138"/>
        <v>0</v>
      </c>
      <c r="AQ537" s="162"/>
      <c r="AR537" s="162">
        <f t="shared" si="139"/>
        <v>0</v>
      </c>
      <c r="AS537" s="173"/>
      <c r="AT537" s="167">
        <f t="shared" si="140"/>
        <v>0</v>
      </c>
      <c r="AU537" s="163"/>
      <c r="AV537" s="163">
        <f t="shared" si="141"/>
        <v>0</v>
      </c>
      <c r="AW537" s="168"/>
      <c r="AX537" s="168">
        <f t="shared" si="142"/>
        <v>0</v>
      </c>
      <c r="AY537" s="170"/>
      <c r="AZ537" s="170">
        <f t="shared" si="143"/>
        <v>0</v>
      </c>
      <c r="BA537" s="166"/>
      <c r="BB537" s="166">
        <f t="shared" si="144"/>
        <v>0</v>
      </c>
    </row>
    <row r="538" spans="1:54" s="131" customFormat="1" ht="31.5">
      <c r="A538" s="148" t="s">
        <v>7354</v>
      </c>
      <c r="B538" s="203" t="s">
        <v>7356</v>
      </c>
      <c r="C538" s="203"/>
      <c r="D538" s="203"/>
      <c r="E538" s="203" t="s">
        <v>7356</v>
      </c>
      <c r="F538" s="205" t="s">
        <v>7357</v>
      </c>
      <c r="G538" s="205" t="s">
        <v>7001</v>
      </c>
      <c r="H538" s="204" t="s">
        <v>225</v>
      </c>
      <c r="I538" s="204" t="s">
        <v>11</v>
      </c>
      <c r="J538" s="205" t="s">
        <v>6767</v>
      </c>
      <c r="K538" s="206">
        <v>316</v>
      </c>
      <c r="L538" s="206"/>
      <c r="M538" s="159">
        <f t="shared" si="130"/>
        <v>0</v>
      </c>
      <c r="N538" s="159"/>
      <c r="O538" s="159"/>
      <c r="P538" s="159"/>
      <c r="Q538" s="159"/>
      <c r="R538" s="159"/>
      <c r="S538" s="150" t="s">
        <v>360</v>
      </c>
      <c r="T538" s="150" t="s">
        <v>358</v>
      </c>
      <c r="U538" s="202" t="s">
        <v>7355</v>
      </c>
      <c r="V538" s="204">
        <v>3</v>
      </c>
      <c r="W538" s="203" t="s">
        <v>5104</v>
      </c>
      <c r="X538" s="204" t="s">
        <v>213</v>
      </c>
      <c r="Y538" s="206">
        <v>600</v>
      </c>
      <c r="Z538" s="207">
        <v>5000</v>
      </c>
      <c r="AA538" s="207">
        <f t="shared" si="131"/>
        <v>1580000</v>
      </c>
      <c r="AB538" s="157">
        <v>5000</v>
      </c>
      <c r="AC538" s="158">
        <f t="shared" si="129"/>
        <v>5000</v>
      </c>
      <c r="AD538" s="159">
        <f t="shared" si="132"/>
        <v>0</v>
      </c>
      <c r="AE538" s="160"/>
      <c r="AF538" s="160">
        <f t="shared" si="133"/>
        <v>0</v>
      </c>
      <c r="AG538" s="165"/>
      <c r="AH538" s="161">
        <f t="shared" si="134"/>
        <v>0</v>
      </c>
      <c r="AI538" s="162"/>
      <c r="AJ538" s="162">
        <f t="shared" si="135"/>
        <v>0</v>
      </c>
      <c r="AK538" s="164"/>
      <c r="AL538" s="164">
        <f t="shared" si="136"/>
        <v>0</v>
      </c>
      <c r="AM538" s="165"/>
      <c r="AN538" s="165">
        <f t="shared" si="137"/>
        <v>0</v>
      </c>
      <c r="AO538" s="166">
        <v>0</v>
      </c>
      <c r="AP538" s="166">
        <f t="shared" si="138"/>
        <v>0</v>
      </c>
      <c r="AQ538" s="162"/>
      <c r="AR538" s="162">
        <f t="shared" si="139"/>
        <v>0</v>
      </c>
      <c r="AS538" s="173"/>
      <c r="AT538" s="167">
        <f t="shared" si="140"/>
        <v>0</v>
      </c>
      <c r="AU538" s="163"/>
      <c r="AV538" s="163">
        <f t="shared" si="141"/>
        <v>0</v>
      </c>
      <c r="AW538" s="168"/>
      <c r="AX538" s="168">
        <f t="shared" si="142"/>
        <v>0</v>
      </c>
      <c r="AY538" s="170"/>
      <c r="AZ538" s="170">
        <f t="shared" si="143"/>
        <v>0</v>
      </c>
      <c r="BA538" s="166"/>
      <c r="BB538" s="166">
        <f t="shared" si="144"/>
        <v>0</v>
      </c>
    </row>
    <row r="539" spans="1:54">
      <c r="A539" s="148" t="s">
        <v>7358</v>
      </c>
      <c r="B539" s="203" t="s">
        <v>337</v>
      </c>
      <c r="C539" s="203"/>
      <c r="D539" s="203"/>
      <c r="E539" s="203" t="s">
        <v>4558</v>
      </c>
      <c r="F539" s="205" t="s">
        <v>3319</v>
      </c>
      <c r="G539" s="205" t="s">
        <v>7362</v>
      </c>
      <c r="H539" s="204" t="s">
        <v>272</v>
      </c>
      <c r="I539" s="204" t="s">
        <v>11</v>
      </c>
      <c r="J539" s="205" t="s">
        <v>7361</v>
      </c>
      <c r="K539" s="206">
        <v>1638</v>
      </c>
      <c r="L539" s="206"/>
      <c r="M539" s="159">
        <f t="shared" si="130"/>
        <v>3000</v>
      </c>
      <c r="N539" s="159"/>
      <c r="O539" s="159"/>
      <c r="P539" s="159"/>
      <c r="Q539" s="159"/>
      <c r="R539" s="159"/>
      <c r="S539" s="149" t="s">
        <v>7359</v>
      </c>
      <c r="T539" s="149" t="s">
        <v>7360</v>
      </c>
      <c r="U539" s="202" t="s">
        <v>4557</v>
      </c>
      <c r="V539" s="204">
        <v>3</v>
      </c>
      <c r="W539" s="203" t="s">
        <v>5104</v>
      </c>
      <c r="X539" s="204" t="s">
        <v>213</v>
      </c>
      <c r="Y539" s="206">
        <v>4290</v>
      </c>
      <c r="Z539" s="207">
        <v>10000</v>
      </c>
      <c r="AA539" s="207">
        <f t="shared" si="131"/>
        <v>16380000</v>
      </c>
      <c r="AB539" s="157">
        <v>10000</v>
      </c>
      <c r="AC539" s="158">
        <f t="shared" si="129"/>
        <v>7000</v>
      </c>
      <c r="AD539" s="159">
        <f t="shared" si="132"/>
        <v>4914000</v>
      </c>
      <c r="AE539" s="160"/>
      <c r="AF539" s="160">
        <f t="shared" si="133"/>
        <v>0</v>
      </c>
      <c r="AG539" s="165">
        <v>3000</v>
      </c>
      <c r="AH539" s="161">
        <f t="shared" si="134"/>
        <v>4914000</v>
      </c>
      <c r="AI539" s="162"/>
      <c r="AJ539" s="162">
        <f t="shared" si="135"/>
        <v>0</v>
      </c>
      <c r="AK539" s="164"/>
      <c r="AL539" s="164">
        <f t="shared" si="136"/>
        <v>0</v>
      </c>
      <c r="AM539" s="165"/>
      <c r="AN539" s="165">
        <f t="shared" si="137"/>
        <v>0</v>
      </c>
      <c r="AO539" s="166">
        <v>0</v>
      </c>
      <c r="AP539" s="166">
        <f t="shared" si="138"/>
        <v>0</v>
      </c>
      <c r="AQ539" s="162"/>
      <c r="AR539" s="162">
        <f t="shared" si="139"/>
        <v>0</v>
      </c>
      <c r="AS539" s="173"/>
      <c r="AT539" s="167">
        <f t="shared" si="140"/>
        <v>0</v>
      </c>
      <c r="AU539" s="163"/>
      <c r="AV539" s="163">
        <f t="shared" si="141"/>
        <v>0</v>
      </c>
      <c r="AW539" s="168"/>
      <c r="AX539" s="168">
        <f t="shared" si="142"/>
        <v>0</v>
      </c>
      <c r="AY539" s="170"/>
      <c r="AZ539" s="170">
        <f t="shared" si="143"/>
        <v>0</v>
      </c>
      <c r="BA539" s="166"/>
      <c r="BB539" s="166">
        <f t="shared" si="144"/>
        <v>0</v>
      </c>
    </row>
    <row r="540" spans="1:54" ht="31.5">
      <c r="A540" s="172" t="s">
        <v>7363</v>
      </c>
      <c r="B540" s="203" t="s">
        <v>1335</v>
      </c>
      <c r="C540" s="203"/>
      <c r="D540" s="203"/>
      <c r="E540" s="203" t="s">
        <v>1921</v>
      </c>
      <c r="F540" s="205" t="s">
        <v>7365</v>
      </c>
      <c r="G540" s="205" t="s">
        <v>1429</v>
      </c>
      <c r="H540" s="204" t="s">
        <v>272</v>
      </c>
      <c r="I540" s="204" t="s">
        <v>11</v>
      </c>
      <c r="J540" s="205" t="s">
        <v>6792</v>
      </c>
      <c r="K540" s="206">
        <v>737</v>
      </c>
      <c r="L540" s="206"/>
      <c r="M540" s="159">
        <f t="shared" si="130"/>
        <v>0</v>
      </c>
      <c r="N540" s="159"/>
      <c r="O540" s="159"/>
      <c r="P540" s="159"/>
      <c r="Q540" s="159"/>
      <c r="R540" s="159"/>
      <c r="S540" s="150" t="s">
        <v>5504</v>
      </c>
      <c r="T540" s="149" t="s">
        <v>449</v>
      </c>
      <c r="U540" s="202" t="s">
        <v>7364</v>
      </c>
      <c r="V540" s="204">
        <v>3</v>
      </c>
      <c r="W540" s="203" t="s">
        <v>5104</v>
      </c>
      <c r="X540" s="204" t="s">
        <v>213</v>
      </c>
      <c r="Y540" s="206">
        <v>2200</v>
      </c>
      <c r="Z540" s="207">
        <v>20000</v>
      </c>
      <c r="AA540" s="207">
        <f t="shared" si="131"/>
        <v>14740000</v>
      </c>
      <c r="AB540" s="157">
        <v>20000</v>
      </c>
      <c r="AC540" s="158">
        <f t="shared" si="129"/>
        <v>20000</v>
      </c>
      <c r="AD540" s="159">
        <f t="shared" si="132"/>
        <v>0</v>
      </c>
      <c r="AE540" s="160"/>
      <c r="AF540" s="160">
        <f t="shared" si="133"/>
        <v>0</v>
      </c>
      <c r="AG540" s="165"/>
      <c r="AH540" s="161">
        <f t="shared" si="134"/>
        <v>0</v>
      </c>
      <c r="AI540" s="162"/>
      <c r="AJ540" s="162">
        <f t="shared" si="135"/>
        <v>0</v>
      </c>
      <c r="AK540" s="164"/>
      <c r="AL540" s="164">
        <f t="shared" si="136"/>
        <v>0</v>
      </c>
      <c r="AM540" s="165"/>
      <c r="AN540" s="165">
        <f t="shared" si="137"/>
        <v>0</v>
      </c>
      <c r="AO540" s="166">
        <v>0</v>
      </c>
      <c r="AP540" s="166">
        <f t="shared" si="138"/>
        <v>0</v>
      </c>
      <c r="AQ540" s="162"/>
      <c r="AR540" s="162">
        <f t="shared" si="139"/>
        <v>0</v>
      </c>
      <c r="AS540" s="173"/>
      <c r="AT540" s="167">
        <f t="shared" si="140"/>
        <v>0</v>
      </c>
      <c r="AU540" s="163"/>
      <c r="AV540" s="163">
        <f t="shared" si="141"/>
        <v>0</v>
      </c>
      <c r="AW540" s="168"/>
      <c r="AX540" s="168">
        <f t="shared" si="142"/>
        <v>0</v>
      </c>
      <c r="AY540" s="170"/>
      <c r="AZ540" s="170">
        <f t="shared" si="143"/>
        <v>0</v>
      </c>
      <c r="BA540" s="166"/>
      <c r="BB540" s="166">
        <f t="shared" si="144"/>
        <v>0</v>
      </c>
    </row>
    <row r="541" spans="1:54" ht="31.5">
      <c r="A541" s="148" t="s">
        <v>7366</v>
      </c>
      <c r="B541" s="203" t="s">
        <v>1335</v>
      </c>
      <c r="C541" s="203"/>
      <c r="D541" s="203"/>
      <c r="E541" s="203" t="s">
        <v>1335</v>
      </c>
      <c r="F541" s="205" t="s">
        <v>7367</v>
      </c>
      <c r="G541" s="205" t="s">
        <v>7001</v>
      </c>
      <c r="H541" s="204" t="s">
        <v>225</v>
      </c>
      <c r="I541" s="204" t="s">
        <v>11</v>
      </c>
      <c r="J541" s="205" t="s">
        <v>7196</v>
      </c>
      <c r="K541" s="206">
        <v>1153</v>
      </c>
      <c r="L541" s="206"/>
      <c r="M541" s="159">
        <f t="shared" si="130"/>
        <v>2800</v>
      </c>
      <c r="N541" s="159"/>
      <c r="O541" s="159"/>
      <c r="P541" s="159"/>
      <c r="Q541" s="159"/>
      <c r="R541" s="159"/>
      <c r="S541" s="150" t="s">
        <v>360</v>
      </c>
      <c r="T541" s="150" t="s">
        <v>358</v>
      </c>
      <c r="U541" s="202" t="s">
        <v>4493</v>
      </c>
      <c r="V541" s="204">
        <v>3</v>
      </c>
      <c r="W541" s="203" t="s">
        <v>5104</v>
      </c>
      <c r="X541" s="204" t="s">
        <v>213</v>
      </c>
      <c r="Y541" s="206">
        <v>1300</v>
      </c>
      <c r="Z541" s="207">
        <v>20000</v>
      </c>
      <c r="AA541" s="207">
        <f t="shared" si="131"/>
        <v>23060000</v>
      </c>
      <c r="AB541" s="157">
        <v>20000</v>
      </c>
      <c r="AC541" s="158">
        <f t="shared" si="129"/>
        <v>17200</v>
      </c>
      <c r="AD541" s="159">
        <f t="shared" si="132"/>
        <v>3228400</v>
      </c>
      <c r="AE541" s="160"/>
      <c r="AF541" s="160">
        <f t="shared" si="133"/>
        <v>0</v>
      </c>
      <c r="AG541" s="161">
        <v>2000</v>
      </c>
      <c r="AH541" s="161">
        <f t="shared" si="134"/>
        <v>2306000</v>
      </c>
      <c r="AI541" s="162"/>
      <c r="AJ541" s="162">
        <f t="shared" si="135"/>
        <v>0</v>
      </c>
      <c r="AK541" s="164"/>
      <c r="AL541" s="164">
        <f t="shared" si="136"/>
        <v>0</v>
      </c>
      <c r="AM541" s="165">
        <v>600</v>
      </c>
      <c r="AN541" s="165">
        <f t="shared" si="137"/>
        <v>691800</v>
      </c>
      <c r="AO541" s="166">
        <v>0</v>
      </c>
      <c r="AP541" s="166">
        <f t="shared" si="138"/>
        <v>0</v>
      </c>
      <c r="AQ541" s="162"/>
      <c r="AR541" s="162">
        <f t="shared" si="139"/>
        <v>0</v>
      </c>
      <c r="AS541" s="167">
        <v>200</v>
      </c>
      <c r="AT541" s="167">
        <f t="shared" si="140"/>
        <v>230600</v>
      </c>
      <c r="AU541" s="163"/>
      <c r="AV541" s="163">
        <f t="shared" si="141"/>
        <v>0</v>
      </c>
      <c r="AW541" s="168"/>
      <c r="AX541" s="168">
        <f t="shared" si="142"/>
        <v>0</v>
      </c>
      <c r="AY541" s="170"/>
      <c r="AZ541" s="170">
        <f t="shared" si="143"/>
        <v>0</v>
      </c>
      <c r="BA541" s="166"/>
      <c r="BB541" s="166">
        <f t="shared" si="144"/>
        <v>0</v>
      </c>
    </row>
    <row r="542" spans="1:54" ht="31.5">
      <c r="A542" s="148" t="s">
        <v>7368</v>
      </c>
      <c r="B542" s="203" t="s">
        <v>7370</v>
      </c>
      <c r="C542" s="203"/>
      <c r="D542" s="203"/>
      <c r="E542" s="203" t="s">
        <v>7371</v>
      </c>
      <c r="F542" s="205" t="s">
        <v>7373</v>
      </c>
      <c r="G542" s="205" t="s">
        <v>7211</v>
      </c>
      <c r="H542" s="204" t="s">
        <v>232</v>
      </c>
      <c r="I542" s="204" t="s">
        <v>11</v>
      </c>
      <c r="J542" s="205" t="s">
        <v>7372</v>
      </c>
      <c r="K542" s="206">
        <v>465</v>
      </c>
      <c r="L542" s="206"/>
      <c r="M542" s="159">
        <f t="shared" si="130"/>
        <v>0</v>
      </c>
      <c r="N542" s="159"/>
      <c r="O542" s="159"/>
      <c r="P542" s="159"/>
      <c r="Q542" s="159"/>
      <c r="R542" s="159"/>
      <c r="S542" s="150" t="s">
        <v>5328</v>
      </c>
      <c r="T542" s="150" t="s">
        <v>215</v>
      </c>
      <c r="U542" s="202" t="s">
        <v>7369</v>
      </c>
      <c r="V542" s="204">
        <v>3</v>
      </c>
      <c r="W542" s="203" t="s">
        <v>5104</v>
      </c>
      <c r="X542" s="204" t="s">
        <v>213</v>
      </c>
      <c r="Y542" s="206">
        <v>1820</v>
      </c>
      <c r="Z542" s="207">
        <v>30000</v>
      </c>
      <c r="AA542" s="207">
        <f t="shared" si="131"/>
        <v>13950000</v>
      </c>
      <c r="AB542" s="157">
        <v>30000</v>
      </c>
      <c r="AC542" s="158">
        <f t="shared" si="129"/>
        <v>30000</v>
      </c>
      <c r="AD542" s="159">
        <f t="shared" si="132"/>
        <v>0</v>
      </c>
      <c r="AE542" s="160"/>
      <c r="AF542" s="160">
        <f t="shared" si="133"/>
        <v>0</v>
      </c>
      <c r="AG542" s="165"/>
      <c r="AH542" s="161">
        <f t="shared" si="134"/>
        <v>0</v>
      </c>
      <c r="AI542" s="162"/>
      <c r="AJ542" s="162">
        <f t="shared" si="135"/>
        <v>0</v>
      </c>
      <c r="AK542" s="164"/>
      <c r="AL542" s="164">
        <f t="shared" si="136"/>
        <v>0</v>
      </c>
      <c r="AM542" s="165"/>
      <c r="AN542" s="165">
        <f t="shared" si="137"/>
        <v>0</v>
      </c>
      <c r="AO542" s="166">
        <v>0</v>
      </c>
      <c r="AP542" s="166">
        <f t="shared" si="138"/>
        <v>0</v>
      </c>
      <c r="AQ542" s="162"/>
      <c r="AR542" s="162">
        <f t="shared" si="139"/>
        <v>0</v>
      </c>
      <c r="AS542" s="173"/>
      <c r="AT542" s="167">
        <f t="shared" si="140"/>
        <v>0</v>
      </c>
      <c r="AU542" s="163"/>
      <c r="AV542" s="163">
        <f t="shared" si="141"/>
        <v>0</v>
      </c>
      <c r="AW542" s="168"/>
      <c r="AX542" s="168">
        <f t="shared" si="142"/>
        <v>0</v>
      </c>
      <c r="AY542" s="170"/>
      <c r="AZ542" s="170">
        <f t="shared" si="143"/>
        <v>0</v>
      </c>
      <c r="BA542" s="166"/>
      <c r="BB542" s="166">
        <f t="shared" si="144"/>
        <v>0</v>
      </c>
    </row>
    <row r="543" spans="1:54" ht="31.5">
      <c r="A543" s="172" t="s">
        <v>7374</v>
      </c>
      <c r="B543" s="203" t="s">
        <v>1029</v>
      </c>
      <c r="C543" s="203"/>
      <c r="D543" s="203"/>
      <c r="E543" s="203" t="s">
        <v>1228</v>
      </c>
      <c r="F543" s="205" t="s">
        <v>7377</v>
      </c>
      <c r="G543" s="205" t="s">
        <v>6536</v>
      </c>
      <c r="H543" s="204" t="s">
        <v>1229</v>
      </c>
      <c r="I543" s="204" t="s">
        <v>13</v>
      </c>
      <c r="J543" s="205" t="s">
        <v>7376</v>
      </c>
      <c r="K543" s="206">
        <v>1155</v>
      </c>
      <c r="L543" s="206"/>
      <c r="M543" s="159">
        <f t="shared" si="130"/>
        <v>0</v>
      </c>
      <c r="N543" s="159"/>
      <c r="O543" s="159"/>
      <c r="P543" s="159"/>
      <c r="Q543" s="159"/>
      <c r="R543" s="159"/>
      <c r="S543" s="149" t="s">
        <v>5530</v>
      </c>
      <c r="T543" s="149" t="s">
        <v>5531</v>
      </c>
      <c r="U543" s="202" t="s">
        <v>7375</v>
      </c>
      <c r="V543" s="204">
        <v>3</v>
      </c>
      <c r="W543" s="203" t="s">
        <v>5104</v>
      </c>
      <c r="X543" s="204" t="s">
        <v>213</v>
      </c>
      <c r="Y543" s="206">
        <v>2100</v>
      </c>
      <c r="Z543" s="207">
        <v>30000</v>
      </c>
      <c r="AA543" s="207">
        <f t="shared" si="131"/>
        <v>34650000</v>
      </c>
      <c r="AB543" s="157">
        <v>30000</v>
      </c>
      <c r="AC543" s="158">
        <f t="shared" si="129"/>
        <v>30000</v>
      </c>
      <c r="AD543" s="159">
        <f t="shared" si="132"/>
        <v>0</v>
      </c>
      <c r="AE543" s="160"/>
      <c r="AF543" s="160">
        <f t="shared" si="133"/>
        <v>0</v>
      </c>
      <c r="AG543" s="165"/>
      <c r="AH543" s="161">
        <f t="shared" si="134"/>
        <v>0</v>
      </c>
      <c r="AI543" s="162"/>
      <c r="AJ543" s="162">
        <f t="shared" si="135"/>
        <v>0</v>
      </c>
      <c r="AK543" s="164"/>
      <c r="AL543" s="164">
        <f t="shared" si="136"/>
        <v>0</v>
      </c>
      <c r="AM543" s="165"/>
      <c r="AN543" s="165">
        <f t="shared" si="137"/>
        <v>0</v>
      </c>
      <c r="AO543" s="166">
        <v>0</v>
      </c>
      <c r="AP543" s="166">
        <f t="shared" si="138"/>
        <v>0</v>
      </c>
      <c r="AQ543" s="162"/>
      <c r="AR543" s="162">
        <f t="shared" si="139"/>
        <v>0</v>
      </c>
      <c r="AS543" s="173"/>
      <c r="AT543" s="167">
        <f t="shared" si="140"/>
        <v>0</v>
      </c>
      <c r="AU543" s="163"/>
      <c r="AV543" s="163">
        <f t="shared" si="141"/>
        <v>0</v>
      </c>
      <c r="AW543" s="168"/>
      <c r="AX543" s="168">
        <f t="shared" si="142"/>
        <v>0</v>
      </c>
      <c r="AY543" s="170"/>
      <c r="AZ543" s="170">
        <f t="shared" si="143"/>
        <v>0</v>
      </c>
      <c r="BA543" s="166"/>
      <c r="BB543" s="166">
        <f t="shared" si="144"/>
        <v>0</v>
      </c>
    </row>
    <row r="544" spans="1:54" s="115" customFormat="1" ht="31.5">
      <c r="A544" s="148" t="s">
        <v>7378</v>
      </c>
      <c r="B544" s="203" t="s">
        <v>1029</v>
      </c>
      <c r="C544" s="203"/>
      <c r="D544" s="203"/>
      <c r="E544" s="203" t="s">
        <v>1385</v>
      </c>
      <c r="F544" s="205" t="s">
        <v>7379</v>
      </c>
      <c r="G544" s="205" t="s">
        <v>7001</v>
      </c>
      <c r="H544" s="204" t="s">
        <v>4561</v>
      </c>
      <c r="I544" s="204" t="s">
        <v>11</v>
      </c>
      <c r="J544" s="205" t="s">
        <v>6767</v>
      </c>
      <c r="K544" s="206">
        <v>1195</v>
      </c>
      <c r="L544" s="206"/>
      <c r="M544" s="159">
        <f t="shared" si="130"/>
        <v>14500</v>
      </c>
      <c r="N544" s="159"/>
      <c r="O544" s="159"/>
      <c r="P544" s="159"/>
      <c r="Q544" s="159"/>
      <c r="R544" s="159"/>
      <c r="S544" s="150" t="s">
        <v>360</v>
      </c>
      <c r="T544" s="150" t="s">
        <v>358</v>
      </c>
      <c r="U544" s="202" t="s">
        <v>4560</v>
      </c>
      <c r="V544" s="204">
        <v>3</v>
      </c>
      <c r="W544" s="203" t="s">
        <v>5104</v>
      </c>
      <c r="X544" s="204" t="s">
        <v>213</v>
      </c>
      <c r="Y544" s="206">
        <v>3100</v>
      </c>
      <c r="Z544" s="207">
        <v>80000</v>
      </c>
      <c r="AA544" s="207">
        <f t="shared" si="131"/>
        <v>95600000</v>
      </c>
      <c r="AB544" s="157">
        <v>80000</v>
      </c>
      <c r="AC544" s="158">
        <f t="shared" si="129"/>
        <v>65500</v>
      </c>
      <c r="AD544" s="159">
        <f t="shared" si="132"/>
        <v>17327500</v>
      </c>
      <c r="AE544" s="160"/>
      <c r="AF544" s="160">
        <f t="shared" si="133"/>
        <v>0</v>
      </c>
      <c r="AG544" s="165">
        <v>11000</v>
      </c>
      <c r="AH544" s="161">
        <f t="shared" si="134"/>
        <v>13145000</v>
      </c>
      <c r="AI544" s="162"/>
      <c r="AJ544" s="162">
        <f t="shared" si="135"/>
        <v>0</v>
      </c>
      <c r="AK544" s="164"/>
      <c r="AL544" s="164">
        <f t="shared" si="136"/>
        <v>0</v>
      </c>
      <c r="AM544" s="165">
        <v>2500</v>
      </c>
      <c r="AN544" s="165">
        <f t="shared" si="137"/>
        <v>2987500</v>
      </c>
      <c r="AO544" s="166">
        <v>0</v>
      </c>
      <c r="AP544" s="166">
        <f t="shared" si="138"/>
        <v>0</v>
      </c>
      <c r="AQ544" s="162"/>
      <c r="AR544" s="162">
        <f t="shared" si="139"/>
        <v>0</v>
      </c>
      <c r="AS544" s="173">
        <v>1000</v>
      </c>
      <c r="AT544" s="167">
        <f t="shared" si="140"/>
        <v>1195000</v>
      </c>
      <c r="AU544" s="163"/>
      <c r="AV544" s="163">
        <f t="shared" si="141"/>
        <v>0</v>
      </c>
      <c r="AW544" s="168"/>
      <c r="AX544" s="168">
        <f t="shared" si="142"/>
        <v>0</v>
      </c>
      <c r="AY544" s="170"/>
      <c r="AZ544" s="170">
        <f t="shared" si="143"/>
        <v>0</v>
      </c>
      <c r="BA544" s="166"/>
      <c r="BB544" s="166">
        <f t="shared" si="144"/>
        <v>0</v>
      </c>
    </row>
    <row r="545" spans="1:54" s="115" customFormat="1" ht="31.5">
      <c r="A545" s="148" t="s">
        <v>7380</v>
      </c>
      <c r="B545" s="203" t="s">
        <v>1029</v>
      </c>
      <c r="C545" s="203"/>
      <c r="D545" s="203"/>
      <c r="E545" s="203" t="s">
        <v>4564</v>
      </c>
      <c r="F545" s="205" t="s">
        <v>7382</v>
      </c>
      <c r="G545" s="205" t="s">
        <v>7001</v>
      </c>
      <c r="H545" s="204" t="s">
        <v>4565</v>
      </c>
      <c r="I545" s="204" t="s">
        <v>11</v>
      </c>
      <c r="J545" s="205" t="s">
        <v>7381</v>
      </c>
      <c r="K545" s="206">
        <v>2337</v>
      </c>
      <c r="L545" s="206"/>
      <c r="M545" s="159">
        <f t="shared" si="130"/>
        <v>21000</v>
      </c>
      <c r="N545" s="159"/>
      <c r="O545" s="159"/>
      <c r="P545" s="159"/>
      <c r="Q545" s="159"/>
      <c r="R545" s="159"/>
      <c r="S545" s="150" t="s">
        <v>360</v>
      </c>
      <c r="T545" s="150" t="s">
        <v>358</v>
      </c>
      <c r="U545" s="202" t="s">
        <v>4563</v>
      </c>
      <c r="V545" s="204">
        <v>3</v>
      </c>
      <c r="W545" s="203" t="s">
        <v>5104</v>
      </c>
      <c r="X545" s="204" t="s">
        <v>213</v>
      </c>
      <c r="Y545" s="206">
        <v>5100</v>
      </c>
      <c r="Z545" s="207">
        <v>60000</v>
      </c>
      <c r="AA545" s="207">
        <f t="shared" si="131"/>
        <v>140220000</v>
      </c>
      <c r="AB545" s="157">
        <v>60000</v>
      </c>
      <c r="AC545" s="158">
        <f t="shared" si="129"/>
        <v>39000</v>
      </c>
      <c r="AD545" s="159">
        <f t="shared" si="132"/>
        <v>49077000</v>
      </c>
      <c r="AE545" s="160"/>
      <c r="AF545" s="160">
        <f t="shared" si="133"/>
        <v>0</v>
      </c>
      <c r="AG545" s="165">
        <v>18500</v>
      </c>
      <c r="AH545" s="161">
        <f t="shared" si="134"/>
        <v>43234500</v>
      </c>
      <c r="AI545" s="162"/>
      <c r="AJ545" s="162">
        <f t="shared" si="135"/>
        <v>0</v>
      </c>
      <c r="AK545" s="164"/>
      <c r="AL545" s="164">
        <f t="shared" si="136"/>
        <v>0</v>
      </c>
      <c r="AM545" s="165">
        <v>2500</v>
      </c>
      <c r="AN545" s="165">
        <f t="shared" si="137"/>
        <v>5842500</v>
      </c>
      <c r="AO545" s="166">
        <v>0</v>
      </c>
      <c r="AP545" s="166">
        <f t="shared" si="138"/>
        <v>0</v>
      </c>
      <c r="AQ545" s="162"/>
      <c r="AR545" s="162">
        <f t="shared" si="139"/>
        <v>0</v>
      </c>
      <c r="AS545" s="173"/>
      <c r="AT545" s="167">
        <f t="shared" si="140"/>
        <v>0</v>
      </c>
      <c r="AU545" s="163"/>
      <c r="AV545" s="163">
        <f t="shared" si="141"/>
        <v>0</v>
      </c>
      <c r="AW545" s="168"/>
      <c r="AX545" s="168">
        <f t="shared" si="142"/>
        <v>0</v>
      </c>
      <c r="AY545" s="170"/>
      <c r="AZ545" s="170">
        <f t="shared" si="143"/>
        <v>0</v>
      </c>
      <c r="BA545" s="166"/>
      <c r="BB545" s="166">
        <f t="shared" si="144"/>
        <v>0</v>
      </c>
    </row>
    <row r="546" spans="1:54" s="115" customFormat="1" ht="31.5">
      <c r="A546" s="172" t="s">
        <v>7383</v>
      </c>
      <c r="B546" s="203" t="s">
        <v>1390</v>
      </c>
      <c r="C546" s="203"/>
      <c r="D546" s="203"/>
      <c r="E546" s="203" t="s">
        <v>1394</v>
      </c>
      <c r="F546" s="205" t="s">
        <v>1396</v>
      </c>
      <c r="G546" s="205" t="s">
        <v>7001</v>
      </c>
      <c r="H546" s="204" t="s">
        <v>2916</v>
      </c>
      <c r="I546" s="204" t="s">
        <v>11</v>
      </c>
      <c r="J546" s="205" t="s">
        <v>6767</v>
      </c>
      <c r="K546" s="206">
        <v>1690</v>
      </c>
      <c r="L546" s="206"/>
      <c r="M546" s="159">
        <f t="shared" si="130"/>
        <v>13500</v>
      </c>
      <c r="N546" s="159"/>
      <c r="O546" s="159"/>
      <c r="P546" s="159"/>
      <c r="Q546" s="159"/>
      <c r="R546" s="159"/>
      <c r="S546" s="150" t="s">
        <v>360</v>
      </c>
      <c r="T546" s="150" t="s">
        <v>358</v>
      </c>
      <c r="U546" s="202" t="s">
        <v>4512</v>
      </c>
      <c r="V546" s="204">
        <v>3</v>
      </c>
      <c r="W546" s="203" t="s">
        <v>5104</v>
      </c>
      <c r="X546" s="204" t="s">
        <v>213</v>
      </c>
      <c r="Y546" s="206">
        <v>2500</v>
      </c>
      <c r="Z546" s="207">
        <v>40000</v>
      </c>
      <c r="AA546" s="207">
        <f t="shared" si="131"/>
        <v>67600000</v>
      </c>
      <c r="AB546" s="157">
        <v>40000</v>
      </c>
      <c r="AC546" s="158">
        <f t="shared" si="129"/>
        <v>26500</v>
      </c>
      <c r="AD546" s="159">
        <f t="shared" si="132"/>
        <v>22815000</v>
      </c>
      <c r="AE546" s="160"/>
      <c r="AF546" s="160">
        <f t="shared" si="133"/>
        <v>0</v>
      </c>
      <c r="AG546" s="165">
        <v>9200</v>
      </c>
      <c r="AH546" s="161">
        <f t="shared" si="134"/>
        <v>15548000</v>
      </c>
      <c r="AI546" s="162"/>
      <c r="AJ546" s="162">
        <f t="shared" si="135"/>
        <v>0</v>
      </c>
      <c r="AK546" s="164"/>
      <c r="AL546" s="164">
        <f t="shared" si="136"/>
        <v>0</v>
      </c>
      <c r="AM546" s="165">
        <v>3800</v>
      </c>
      <c r="AN546" s="165">
        <f t="shared" si="137"/>
        <v>6422000</v>
      </c>
      <c r="AO546" s="166">
        <v>0</v>
      </c>
      <c r="AP546" s="166">
        <f t="shared" si="138"/>
        <v>0</v>
      </c>
      <c r="AQ546" s="162"/>
      <c r="AR546" s="162">
        <f t="shared" si="139"/>
        <v>0</v>
      </c>
      <c r="AS546" s="173">
        <v>500</v>
      </c>
      <c r="AT546" s="167">
        <f t="shared" si="140"/>
        <v>845000</v>
      </c>
      <c r="AU546" s="163"/>
      <c r="AV546" s="163">
        <f t="shared" si="141"/>
        <v>0</v>
      </c>
      <c r="AW546" s="168"/>
      <c r="AX546" s="168">
        <f t="shared" si="142"/>
        <v>0</v>
      </c>
      <c r="AY546" s="170"/>
      <c r="AZ546" s="170">
        <f t="shared" si="143"/>
        <v>0</v>
      </c>
      <c r="BA546" s="166"/>
      <c r="BB546" s="166">
        <f t="shared" si="144"/>
        <v>0</v>
      </c>
    </row>
    <row r="547" spans="1:54" s="115" customFormat="1" ht="31.5">
      <c r="A547" s="148" t="s">
        <v>7384</v>
      </c>
      <c r="B547" s="203" t="s">
        <v>1664</v>
      </c>
      <c r="C547" s="203"/>
      <c r="D547" s="203"/>
      <c r="E547" s="203" t="s">
        <v>7387</v>
      </c>
      <c r="F547" s="205" t="s">
        <v>7389</v>
      </c>
      <c r="G547" s="205" t="s">
        <v>7390</v>
      </c>
      <c r="H547" s="204" t="s">
        <v>7386</v>
      </c>
      <c r="I547" s="204" t="s">
        <v>15</v>
      </c>
      <c r="J547" s="205" t="s">
        <v>7388</v>
      </c>
      <c r="K547" s="206">
        <v>235000</v>
      </c>
      <c r="L547" s="206"/>
      <c r="M547" s="159">
        <f t="shared" si="130"/>
        <v>0</v>
      </c>
      <c r="N547" s="159"/>
      <c r="O547" s="159"/>
      <c r="P547" s="159"/>
      <c r="Q547" s="159"/>
      <c r="R547" s="159"/>
      <c r="S547" s="149" t="s">
        <v>6177</v>
      </c>
      <c r="T547" s="149" t="s">
        <v>6178</v>
      </c>
      <c r="U547" s="202" t="s">
        <v>7385</v>
      </c>
      <c r="V547" s="204">
        <v>3</v>
      </c>
      <c r="W547" s="203" t="s">
        <v>253</v>
      </c>
      <c r="X547" s="204" t="s">
        <v>213</v>
      </c>
      <c r="Y547" s="206">
        <v>250000</v>
      </c>
      <c r="Z547" s="207">
        <v>200</v>
      </c>
      <c r="AA547" s="207">
        <f t="shared" si="131"/>
        <v>47000000</v>
      </c>
      <c r="AB547" s="157">
        <v>200</v>
      </c>
      <c r="AC547" s="158">
        <f t="shared" si="129"/>
        <v>200</v>
      </c>
      <c r="AD547" s="159">
        <f t="shared" si="132"/>
        <v>0</v>
      </c>
      <c r="AE547" s="160"/>
      <c r="AF547" s="160">
        <f t="shared" si="133"/>
        <v>0</v>
      </c>
      <c r="AG547" s="165"/>
      <c r="AH547" s="161">
        <f t="shared" si="134"/>
        <v>0</v>
      </c>
      <c r="AI547" s="162"/>
      <c r="AJ547" s="162">
        <f t="shared" si="135"/>
        <v>0</v>
      </c>
      <c r="AK547" s="164"/>
      <c r="AL547" s="164">
        <f t="shared" si="136"/>
        <v>0</v>
      </c>
      <c r="AM547" s="165"/>
      <c r="AN547" s="165">
        <f t="shared" si="137"/>
        <v>0</v>
      </c>
      <c r="AO547" s="166">
        <v>0</v>
      </c>
      <c r="AP547" s="166">
        <f t="shared" si="138"/>
        <v>0</v>
      </c>
      <c r="AQ547" s="162"/>
      <c r="AR547" s="162">
        <f t="shared" si="139"/>
        <v>0</v>
      </c>
      <c r="AS547" s="173"/>
      <c r="AT547" s="167">
        <f t="shared" si="140"/>
        <v>0</v>
      </c>
      <c r="AU547" s="163"/>
      <c r="AV547" s="163">
        <f t="shared" si="141"/>
        <v>0</v>
      </c>
      <c r="AW547" s="168"/>
      <c r="AX547" s="168">
        <f t="shared" si="142"/>
        <v>0</v>
      </c>
      <c r="AY547" s="170"/>
      <c r="AZ547" s="170">
        <f t="shared" si="143"/>
        <v>0</v>
      </c>
      <c r="BA547" s="166"/>
      <c r="BB547" s="166">
        <f t="shared" si="144"/>
        <v>0</v>
      </c>
    </row>
    <row r="548" spans="1:54" s="115" customFormat="1" ht="112.5">
      <c r="A548" s="148" t="s">
        <v>7391</v>
      </c>
      <c r="B548" s="203" t="s">
        <v>1664</v>
      </c>
      <c r="C548" s="203"/>
      <c r="D548" s="203"/>
      <c r="E548" s="203" t="s">
        <v>7393</v>
      </c>
      <c r="F548" s="205" t="s">
        <v>7395</v>
      </c>
      <c r="G548" s="205" t="s">
        <v>336</v>
      </c>
      <c r="H548" s="204" t="s">
        <v>715</v>
      </c>
      <c r="I548" s="204" t="s">
        <v>15</v>
      </c>
      <c r="J548" s="205" t="s">
        <v>7394</v>
      </c>
      <c r="K548" s="206">
        <v>17100</v>
      </c>
      <c r="L548" s="206"/>
      <c r="M548" s="159">
        <f t="shared" si="130"/>
        <v>0</v>
      </c>
      <c r="N548" s="159"/>
      <c r="O548" s="159"/>
      <c r="P548" s="159"/>
      <c r="Q548" s="159"/>
      <c r="R548" s="159"/>
      <c r="S548" s="209" t="s">
        <v>5848</v>
      </c>
      <c r="T548" s="203" t="s">
        <v>5849</v>
      </c>
      <c r="U548" s="202" t="s">
        <v>7392</v>
      </c>
      <c r="V548" s="204">
        <v>3</v>
      </c>
      <c r="W548" s="203" t="s">
        <v>253</v>
      </c>
      <c r="X548" s="204" t="s">
        <v>213</v>
      </c>
      <c r="Y548" s="206">
        <v>36750</v>
      </c>
      <c r="Z548" s="207">
        <v>1000</v>
      </c>
      <c r="AA548" s="207">
        <f t="shared" si="131"/>
        <v>17100000</v>
      </c>
      <c r="AB548" s="157">
        <v>1000</v>
      </c>
      <c r="AC548" s="158">
        <f t="shared" si="129"/>
        <v>1000</v>
      </c>
      <c r="AD548" s="159">
        <f t="shared" si="132"/>
        <v>0</v>
      </c>
      <c r="AE548" s="160"/>
      <c r="AF548" s="160">
        <f t="shared" si="133"/>
        <v>0</v>
      </c>
      <c r="AG548" s="165"/>
      <c r="AH548" s="161">
        <f t="shared" si="134"/>
        <v>0</v>
      </c>
      <c r="AI548" s="162"/>
      <c r="AJ548" s="162">
        <f t="shared" si="135"/>
        <v>0</v>
      </c>
      <c r="AK548" s="164"/>
      <c r="AL548" s="164">
        <f t="shared" si="136"/>
        <v>0</v>
      </c>
      <c r="AM548" s="165"/>
      <c r="AN548" s="165">
        <f t="shared" si="137"/>
        <v>0</v>
      </c>
      <c r="AO548" s="166">
        <v>0</v>
      </c>
      <c r="AP548" s="166">
        <f t="shared" si="138"/>
        <v>0</v>
      </c>
      <c r="AQ548" s="162"/>
      <c r="AR548" s="162">
        <f t="shared" si="139"/>
        <v>0</v>
      </c>
      <c r="AS548" s="173"/>
      <c r="AT548" s="167">
        <f t="shared" si="140"/>
        <v>0</v>
      </c>
      <c r="AU548" s="163"/>
      <c r="AV548" s="163">
        <f t="shared" si="141"/>
        <v>0</v>
      </c>
      <c r="AW548" s="168"/>
      <c r="AX548" s="168">
        <f t="shared" si="142"/>
        <v>0</v>
      </c>
      <c r="AY548" s="170"/>
      <c r="AZ548" s="170">
        <f t="shared" si="143"/>
        <v>0</v>
      </c>
      <c r="BA548" s="166"/>
      <c r="BB548" s="166">
        <f t="shared" si="144"/>
        <v>0</v>
      </c>
    </row>
    <row r="549" spans="1:54" s="115" customFormat="1" ht="31.5">
      <c r="A549" s="172" t="s">
        <v>7396</v>
      </c>
      <c r="B549" s="203" t="s">
        <v>5948</v>
      </c>
      <c r="C549" s="203"/>
      <c r="D549" s="203"/>
      <c r="E549" s="203" t="s">
        <v>5948</v>
      </c>
      <c r="F549" s="205" t="s">
        <v>7398</v>
      </c>
      <c r="G549" s="205" t="s">
        <v>7001</v>
      </c>
      <c r="H549" s="204" t="s">
        <v>334</v>
      </c>
      <c r="I549" s="204" t="s">
        <v>11</v>
      </c>
      <c r="J549" s="205" t="s">
        <v>6767</v>
      </c>
      <c r="K549" s="206">
        <v>574</v>
      </c>
      <c r="L549" s="206"/>
      <c r="M549" s="159">
        <f t="shared" si="130"/>
        <v>0</v>
      </c>
      <c r="N549" s="159"/>
      <c r="O549" s="159"/>
      <c r="P549" s="159"/>
      <c r="Q549" s="159"/>
      <c r="R549" s="159"/>
      <c r="S549" s="150" t="s">
        <v>360</v>
      </c>
      <c r="T549" s="150" t="s">
        <v>358</v>
      </c>
      <c r="U549" s="202" t="s">
        <v>7397</v>
      </c>
      <c r="V549" s="204">
        <v>3</v>
      </c>
      <c r="W549" s="203" t="s">
        <v>5104</v>
      </c>
      <c r="X549" s="204" t="s">
        <v>213</v>
      </c>
      <c r="Y549" s="206">
        <v>875</v>
      </c>
      <c r="Z549" s="207">
        <v>20000</v>
      </c>
      <c r="AA549" s="207">
        <f t="shared" si="131"/>
        <v>11480000</v>
      </c>
      <c r="AB549" s="157">
        <v>20000</v>
      </c>
      <c r="AC549" s="158">
        <f t="shared" si="129"/>
        <v>20000</v>
      </c>
      <c r="AD549" s="159">
        <f t="shared" si="132"/>
        <v>0</v>
      </c>
      <c r="AE549" s="160"/>
      <c r="AF549" s="160">
        <f t="shared" si="133"/>
        <v>0</v>
      </c>
      <c r="AG549" s="165"/>
      <c r="AH549" s="161">
        <f t="shared" si="134"/>
        <v>0</v>
      </c>
      <c r="AI549" s="162"/>
      <c r="AJ549" s="162">
        <f t="shared" si="135"/>
        <v>0</v>
      </c>
      <c r="AK549" s="163"/>
      <c r="AL549" s="164">
        <f t="shared" si="136"/>
        <v>0</v>
      </c>
      <c r="AM549" s="161"/>
      <c r="AN549" s="165">
        <f t="shared" si="137"/>
        <v>0</v>
      </c>
      <c r="AO549" s="160">
        <v>0</v>
      </c>
      <c r="AP549" s="166">
        <f t="shared" si="138"/>
        <v>0</v>
      </c>
      <c r="AQ549" s="162"/>
      <c r="AR549" s="162">
        <f t="shared" si="139"/>
        <v>0</v>
      </c>
      <c r="AS549" s="173"/>
      <c r="AT549" s="167">
        <f t="shared" si="140"/>
        <v>0</v>
      </c>
      <c r="AU549" s="163"/>
      <c r="AV549" s="163">
        <f t="shared" si="141"/>
        <v>0</v>
      </c>
      <c r="AW549" s="162"/>
      <c r="AX549" s="168">
        <f t="shared" si="142"/>
        <v>0</v>
      </c>
      <c r="AY549" s="169"/>
      <c r="AZ549" s="170">
        <f t="shared" si="143"/>
        <v>0</v>
      </c>
      <c r="BA549" s="160"/>
      <c r="BB549" s="166">
        <f t="shared" si="144"/>
        <v>0</v>
      </c>
    </row>
    <row r="550" spans="1:54" s="115" customFormat="1" ht="31.5">
      <c r="A550" s="148" t="s">
        <v>7399</v>
      </c>
      <c r="B550" s="203" t="s">
        <v>7401</v>
      </c>
      <c r="C550" s="203"/>
      <c r="D550" s="203"/>
      <c r="E550" s="203" t="s">
        <v>7402</v>
      </c>
      <c r="F550" s="205" t="s">
        <v>7404</v>
      </c>
      <c r="G550" s="205" t="s">
        <v>324</v>
      </c>
      <c r="H550" s="204" t="s">
        <v>334</v>
      </c>
      <c r="I550" s="204" t="s">
        <v>11</v>
      </c>
      <c r="J550" s="205" t="s">
        <v>7403</v>
      </c>
      <c r="K550" s="206">
        <v>1785</v>
      </c>
      <c r="L550" s="206"/>
      <c r="M550" s="159">
        <f t="shared" si="130"/>
        <v>0</v>
      </c>
      <c r="N550" s="159"/>
      <c r="O550" s="159"/>
      <c r="P550" s="159"/>
      <c r="Q550" s="159"/>
      <c r="R550" s="159"/>
      <c r="S550" s="149" t="s">
        <v>5336</v>
      </c>
      <c r="T550" s="150" t="s">
        <v>322</v>
      </c>
      <c r="U550" s="202" t="s">
        <v>7400</v>
      </c>
      <c r="V550" s="204">
        <v>3</v>
      </c>
      <c r="W550" s="203" t="s">
        <v>5111</v>
      </c>
      <c r="X550" s="204" t="s">
        <v>213</v>
      </c>
      <c r="Y550" s="206">
        <v>4200</v>
      </c>
      <c r="Z550" s="207">
        <v>10000</v>
      </c>
      <c r="AA550" s="207">
        <f t="shared" si="131"/>
        <v>17850000</v>
      </c>
      <c r="AB550" s="157">
        <v>10000</v>
      </c>
      <c r="AC550" s="158">
        <f t="shared" si="129"/>
        <v>10000</v>
      </c>
      <c r="AD550" s="159">
        <f t="shared" si="132"/>
        <v>0</v>
      </c>
      <c r="AE550" s="160"/>
      <c r="AF550" s="160">
        <f t="shared" si="133"/>
        <v>0</v>
      </c>
      <c r="AG550" s="165"/>
      <c r="AH550" s="161">
        <f t="shared" si="134"/>
        <v>0</v>
      </c>
      <c r="AI550" s="162"/>
      <c r="AJ550" s="162">
        <f t="shared" si="135"/>
        <v>0</v>
      </c>
      <c r="AK550" s="164"/>
      <c r="AL550" s="164">
        <f t="shared" si="136"/>
        <v>0</v>
      </c>
      <c r="AM550" s="165"/>
      <c r="AN550" s="165">
        <f t="shared" si="137"/>
        <v>0</v>
      </c>
      <c r="AO550" s="166">
        <v>0</v>
      </c>
      <c r="AP550" s="166">
        <f t="shared" si="138"/>
        <v>0</v>
      </c>
      <c r="AQ550" s="162"/>
      <c r="AR550" s="162">
        <f t="shared" si="139"/>
        <v>0</v>
      </c>
      <c r="AS550" s="173"/>
      <c r="AT550" s="167">
        <f t="shared" si="140"/>
        <v>0</v>
      </c>
      <c r="AU550" s="163"/>
      <c r="AV550" s="163">
        <f t="shared" si="141"/>
        <v>0</v>
      </c>
      <c r="AW550" s="168"/>
      <c r="AX550" s="168">
        <f t="shared" si="142"/>
        <v>0</v>
      </c>
      <c r="AY550" s="170"/>
      <c r="AZ550" s="170">
        <f t="shared" si="143"/>
        <v>0</v>
      </c>
      <c r="BA550" s="166"/>
      <c r="BB550" s="166">
        <f t="shared" si="144"/>
        <v>0</v>
      </c>
    </row>
    <row r="551" spans="1:54" s="115" customFormat="1">
      <c r="A551" s="148" t="s">
        <v>7405</v>
      </c>
      <c r="B551" s="203" t="s">
        <v>841</v>
      </c>
      <c r="C551" s="203"/>
      <c r="D551" s="203"/>
      <c r="E551" s="203" t="s">
        <v>4488</v>
      </c>
      <c r="F551" s="205" t="s">
        <v>7407</v>
      </c>
      <c r="G551" s="205" t="s">
        <v>1449</v>
      </c>
      <c r="H551" s="204" t="s">
        <v>4489</v>
      </c>
      <c r="I551" s="204" t="s">
        <v>11</v>
      </c>
      <c r="J551" s="205" t="s">
        <v>7406</v>
      </c>
      <c r="K551" s="206">
        <v>215</v>
      </c>
      <c r="L551" s="206"/>
      <c r="M551" s="159">
        <f t="shared" si="130"/>
        <v>800</v>
      </c>
      <c r="N551" s="159"/>
      <c r="O551" s="159"/>
      <c r="P551" s="159"/>
      <c r="Q551" s="159"/>
      <c r="R551" s="159"/>
      <c r="S551" s="149" t="s">
        <v>7241</v>
      </c>
      <c r="T551" s="149" t="s">
        <v>7242</v>
      </c>
      <c r="U551" s="202" t="s">
        <v>4487</v>
      </c>
      <c r="V551" s="204">
        <v>3</v>
      </c>
      <c r="W551" s="203" t="s">
        <v>5104</v>
      </c>
      <c r="X551" s="204" t="s">
        <v>213</v>
      </c>
      <c r="Y551" s="206">
        <v>700</v>
      </c>
      <c r="Z551" s="207">
        <v>50000</v>
      </c>
      <c r="AA551" s="207">
        <f t="shared" si="131"/>
        <v>10750000</v>
      </c>
      <c r="AB551" s="157">
        <v>50000</v>
      </c>
      <c r="AC551" s="158">
        <f t="shared" si="129"/>
        <v>49200</v>
      </c>
      <c r="AD551" s="159">
        <f t="shared" si="132"/>
        <v>172000</v>
      </c>
      <c r="AE551" s="160"/>
      <c r="AF551" s="160">
        <f t="shared" si="133"/>
        <v>0</v>
      </c>
      <c r="AG551" s="165"/>
      <c r="AH551" s="161">
        <f t="shared" si="134"/>
        <v>0</v>
      </c>
      <c r="AI551" s="162"/>
      <c r="AJ551" s="162">
        <f t="shared" si="135"/>
        <v>0</v>
      </c>
      <c r="AK551" s="164"/>
      <c r="AL551" s="164">
        <f t="shared" si="136"/>
        <v>0</v>
      </c>
      <c r="AM551" s="165"/>
      <c r="AN551" s="165">
        <f t="shared" si="137"/>
        <v>0</v>
      </c>
      <c r="AO551" s="166">
        <v>800</v>
      </c>
      <c r="AP551" s="166">
        <f t="shared" si="138"/>
        <v>172000</v>
      </c>
      <c r="AQ551" s="162"/>
      <c r="AR551" s="162">
        <f t="shared" si="139"/>
        <v>0</v>
      </c>
      <c r="AS551" s="173"/>
      <c r="AT551" s="167">
        <f t="shared" si="140"/>
        <v>0</v>
      </c>
      <c r="AU551" s="163"/>
      <c r="AV551" s="163">
        <f t="shared" si="141"/>
        <v>0</v>
      </c>
      <c r="AW551" s="168"/>
      <c r="AX551" s="168">
        <f t="shared" si="142"/>
        <v>0</v>
      </c>
      <c r="AY551" s="170"/>
      <c r="AZ551" s="170">
        <f t="shared" si="143"/>
        <v>0</v>
      </c>
      <c r="BA551" s="166"/>
      <c r="BB551" s="166">
        <f t="shared" si="144"/>
        <v>0</v>
      </c>
    </row>
    <row r="552" spans="1:54" s="115" customFormat="1">
      <c r="A552" s="172" t="s">
        <v>7408</v>
      </c>
      <c r="B552" s="203" t="s">
        <v>639</v>
      </c>
      <c r="C552" s="203"/>
      <c r="D552" s="203"/>
      <c r="E552" s="203" t="s">
        <v>4239</v>
      </c>
      <c r="F552" s="205" t="s">
        <v>7412</v>
      </c>
      <c r="G552" s="205" t="s">
        <v>7413</v>
      </c>
      <c r="H552" s="204" t="s">
        <v>2435</v>
      </c>
      <c r="I552" s="204" t="s">
        <v>4240</v>
      </c>
      <c r="J552" s="205" t="s">
        <v>7411</v>
      </c>
      <c r="K552" s="206">
        <v>4095</v>
      </c>
      <c r="L552" s="206"/>
      <c r="M552" s="159">
        <f t="shared" si="130"/>
        <v>40</v>
      </c>
      <c r="N552" s="159"/>
      <c r="O552" s="159"/>
      <c r="P552" s="159"/>
      <c r="Q552" s="159"/>
      <c r="R552" s="159"/>
      <c r="S552" s="149" t="s">
        <v>7409</v>
      </c>
      <c r="T552" s="149" t="s">
        <v>7410</v>
      </c>
      <c r="U552" s="202" t="s">
        <v>4238</v>
      </c>
      <c r="V552" s="204">
        <v>3</v>
      </c>
      <c r="W552" s="203" t="s">
        <v>253</v>
      </c>
      <c r="X552" s="204" t="s">
        <v>213</v>
      </c>
      <c r="Y552" s="206">
        <v>13000</v>
      </c>
      <c r="Z552" s="207">
        <v>2000</v>
      </c>
      <c r="AA552" s="207">
        <f t="shared" si="131"/>
        <v>8190000</v>
      </c>
      <c r="AB552" s="157">
        <v>2000</v>
      </c>
      <c r="AC552" s="158">
        <f t="shared" si="129"/>
        <v>1960</v>
      </c>
      <c r="AD552" s="159">
        <f t="shared" si="132"/>
        <v>163800</v>
      </c>
      <c r="AE552" s="160"/>
      <c r="AF552" s="160">
        <f t="shared" si="133"/>
        <v>0</v>
      </c>
      <c r="AG552" s="165">
        <v>40</v>
      </c>
      <c r="AH552" s="161">
        <f t="shared" si="134"/>
        <v>163800</v>
      </c>
      <c r="AI552" s="162"/>
      <c r="AJ552" s="162">
        <f t="shared" si="135"/>
        <v>0</v>
      </c>
      <c r="AK552" s="164"/>
      <c r="AL552" s="164">
        <f t="shared" si="136"/>
        <v>0</v>
      </c>
      <c r="AM552" s="165"/>
      <c r="AN552" s="165">
        <f t="shared" si="137"/>
        <v>0</v>
      </c>
      <c r="AO552" s="166">
        <v>0</v>
      </c>
      <c r="AP552" s="166">
        <f t="shared" si="138"/>
        <v>0</v>
      </c>
      <c r="AQ552" s="162"/>
      <c r="AR552" s="162">
        <f t="shared" si="139"/>
        <v>0</v>
      </c>
      <c r="AS552" s="173"/>
      <c r="AT552" s="167">
        <f t="shared" si="140"/>
        <v>0</v>
      </c>
      <c r="AU552" s="163"/>
      <c r="AV552" s="163">
        <f t="shared" si="141"/>
        <v>0</v>
      </c>
      <c r="AW552" s="168"/>
      <c r="AX552" s="168">
        <f t="shared" si="142"/>
        <v>0</v>
      </c>
      <c r="AY552" s="170"/>
      <c r="AZ552" s="170">
        <f t="shared" si="143"/>
        <v>0</v>
      </c>
      <c r="BA552" s="166"/>
      <c r="BB552" s="166">
        <f t="shared" si="144"/>
        <v>0</v>
      </c>
    </row>
    <row r="553" spans="1:54" s="115" customFormat="1" ht="31.5">
      <c r="A553" s="148" t="s">
        <v>7414</v>
      </c>
      <c r="B553" s="203" t="s">
        <v>639</v>
      </c>
      <c r="C553" s="203"/>
      <c r="D553" s="203"/>
      <c r="E553" s="203" t="s">
        <v>3742</v>
      </c>
      <c r="F553" s="205" t="s">
        <v>7416</v>
      </c>
      <c r="G553" s="205" t="s">
        <v>7211</v>
      </c>
      <c r="H553" s="204" t="s">
        <v>299</v>
      </c>
      <c r="I553" s="204" t="s">
        <v>11</v>
      </c>
      <c r="J553" s="205" t="s">
        <v>7415</v>
      </c>
      <c r="K553" s="206">
        <v>340</v>
      </c>
      <c r="L553" s="206"/>
      <c r="M553" s="159">
        <f t="shared" si="130"/>
        <v>200</v>
      </c>
      <c r="N553" s="159"/>
      <c r="O553" s="159"/>
      <c r="P553" s="159"/>
      <c r="Q553" s="159"/>
      <c r="R553" s="159"/>
      <c r="S553" s="150" t="s">
        <v>5328</v>
      </c>
      <c r="T553" s="150" t="s">
        <v>215</v>
      </c>
      <c r="U553" s="202" t="s">
        <v>3741</v>
      </c>
      <c r="V553" s="204">
        <v>3</v>
      </c>
      <c r="W553" s="203" t="s">
        <v>5104</v>
      </c>
      <c r="X553" s="204" t="s">
        <v>213</v>
      </c>
      <c r="Y553" s="206">
        <v>2000</v>
      </c>
      <c r="Z553" s="207">
        <v>20000</v>
      </c>
      <c r="AA553" s="207">
        <f t="shared" si="131"/>
        <v>6800000</v>
      </c>
      <c r="AB553" s="157">
        <v>20000</v>
      </c>
      <c r="AC553" s="158">
        <f t="shared" si="129"/>
        <v>19800</v>
      </c>
      <c r="AD553" s="159">
        <f t="shared" si="132"/>
        <v>68000</v>
      </c>
      <c r="AE553" s="160"/>
      <c r="AF553" s="160">
        <f t="shared" si="133"/>
        <v>0</v>
      </c>
      <c r="AG553" s="161">
        <v>200</v>
      </c>
      <c r="AH553" s="161">
        <f t="shared" si="134"/>
        <v>68000</v>
      </c>
      <c r="AI553" s="162"/>
      <c r="AJ553" s="162">
        <f t="shared" si="135"/>
        <v>0</v>
      </c>
      <c r="AK553" s="164"/>
      <c r="AL553" s="164">
        <f t="shared" si="136"/>
        <v>0</v>
      </c>
      <c r="AM553" s="165"/>
      <c r="AN553" s="165">
        <f t="shared" si="137"/>
        <v>0</v>
      </c>
      <c r="AO553" s="166">
        <v>0</v>
      </c>
      <c r="AP553" s="166">
        <f t="shared" si="138"/>
        <v>0</v>
      </c>
      <c r="AQ553" s="162"/>
      <c r="AR553" s="162">
        <f t="shared" si="139"/>
        <v>0</v>
      </c>
      <c r="AS553" s="167"/>
      <c r="AT553" s="167">
        <f t="shared" si="140"/>
        <v>0</v>
      </c>
      <c r="AU553" s="163"/>
      <c r="AV553" s="163">
        <f t="shared" si="141"/>
        <v>0</v>
      </c>
      <c r="AW553" s="168"/>
      <c r="AX553" s="168">
        <f t="shared" si="142"/>
        <v>0</v>
      </c>
      <c r="AY553" s="170"/>
      <c r="AZ553" s="170">
        <f t="shared" si="143"/>
        <v>0</v>
      </c>
      <c r="BA553" s="166"/>
      <c r="BB553" s="166">
        <f t="shared" si="144"/>
        <v>0</v>
      </c>
    </row>
    <row r="554" spans="1:54" s="115" customFormat="1" ht="31.5">
      <c r="A554" s="148" t="s">
        <v>7417</v>
      </c>
      <c r="B554" s="203" t="s">
        <v>639</v>
      </c>
      <c r="C554" s="203"/>
      <c r="D554" s="203"/>
      <c r="E554" s="203" t="s">
        <v>3969</v>
      </c>
      <c r="F554" s="205" t="s">
        <v>7419</v>
      </c>
      <c r="G554" s="205" t="s">
        <v>324</v>
      </c>
      <c r="H554" s="204" t="s">
        <v>334</v>
      </c>
      <c r="I554" s="204" t="s">
        <v>11</v>
      </c>
      <c r="J554" s="205" t="s">
        <v>7418</v>
      </c>
      <c r="K554" s="206">
        <v>1300</v>
      </c>
      <c r="L554" s="206"/>
      <c r="M554" s="159">
        <f t="shared" si="130"/>
        <v>600</v>
      </c>
      <c r="N554" s="159"/>
      <c r="O554" s="159"/>
      <c r="P554" s="159"/>
      <c r="Q554" s="159"/>
      <c r="R554" s="159"/>
      <c r="S554" s="149" t="s">
        <v>5336</v>
      </c>
      <c r="T554" s="150" t="s">
        <v>322</v>
      </c>
      <c r="U554" s="202" t="s">
        <v>3968</v>
      </c>
      <c r="V554" s="204">
        <v>3</v>
      </c>
      <c r="W554" s="203" t="s">
        <v>5111</v>
      </c>
      <c r="X554" s="204" t="s">
        <v>213</v>
      </c>
      <c r="Y554" s="206">
        <v>3000</v>
      </c>
      <c r="Z554" s="207">
        <v>20000</v>
      </c>
      <c r="AA554" s="207">
        <f t="shared" si="131"/>
        <v>26000000</v>
      </c>
      <c r="AB554" s="157">
        <v>20000</v>
      </c>
      <c r="AC554" s="158">
        <f t="shared" si="129"/>
        <v>19400</v>
      </c>
      <c r="AD554" s="159">
        <f t="shared" si="132"/>
        <v>780000</v>
      </c>
      <c r="AE554" s="160"/>
      <c r="AF554" s="160">
        <f t="shared" si="133"/>
        <v>0</v>
      </c>
      <c r="AG554" s="161">
        <v>600</v>
      </c>
      <c r="AH554" s="161">
        <f t="shared" si="134"/>
        <v>780000</v>
      </c>
      <c r="AI554" s="162"/>
      <c r="AJ554" s="162">
        <f t="shared" si="135"/>
        <v>0</v>
      </c>
      <c r="AK554" s="164"/>
      <c r="AL554" s="164">
        <f t="shared" si="136"/>
        <v>0</v>
      </c>
      <c r="AM554" s="165"/>
      <c r="AN554" s="165">
        <f t="shared" si="137"/>
        <v>0</v>
      </c>
      <c r="AO554" s="166">
        <v>0</v>
      </c>
      <c r="AP554" s="166">
        <f t="shared" si="138"/>
        <v>0</v>
      </c>
      <c r="AQ554" s="162"/>
      <c r="AR554" s="162">
        <f t="shared" si="139"/>
        <v>0</v>
      </c>
      <c r="AS554" s="167"/>
      <c r="AT554" s="167">
        <f t="shared" si="140"/>
        <v>0</v>
      </c>
      <c r="AU554" s="163"/>
      <c r="AV554" s="163">
        <f t="shared" si="141"/>
        <v>0</v>
      </c>
      <c r="AW554" s="168"/>
      <c r="AX554" s="168">
        <f t="shared" si="142"/>
        <v>0</v>
      </c>
      <c r="AY554" s="170"/>
      <c r="AZ554" s="170">
        <f t="shared" si="143"/>
        <v>0</v>
      </c>
      <c r="BA554" s="166"/>
      <c r="BB554" s="166">
        <f t="shared" si="144"/>
        <v>0</v>
      </c>
    </row>
    <row r="555" spans="1:54" s="115" customFormat="1" ht="31.5">
      <c r="A555" s="172" t="s">
        <v>7420</v>
      </c>
      <c r="B555" s="203" t="s">
        <v>639</v>
      </c>
      <c r="C555" s="203"/>
      <c r="D555" s="203"/>
      <c r="E555" s="203" t="s">
        <v>7422</v>
      </c>
      <c r="F555" s="205" t="s">
        <v>7423</v>
      </c>
      <c r="G555" s="205" t="s">
        <v>6536</v>
      </c>
      <c r="H555" s="204" t="s">
        <v>641</v>
      </c>
      <c r="I555" s="204" t="s">
        <v>11</v>
      </c>
      <c r="J555" s="205" t="s">
        <v>6893</v>
      </c>
      <c r="K555" s="206">
        <v>3600</v>
      </c>
      <c r="L555" s="206"/>
      <c r="M555" s="159">
        <f t="shared" si="130"/>
        <v>0</v>
      </c>
      <c r="N555" s="159"/>
      <c r="O555" s="159"/>
      <c r="P555" s="159"/>
      <c r="Q555" s="159"/>
      <c r="R555" s="159"/>
      <c r="S555" s="149" t="s">
        <v>5530</v>
      </c>
      <c r="T555" s="149" t="s">
        <v>5531</v>
      </c>
      <c r="U555" s="202" t="s">
        <v>7421</v>
      </c>
      <c r="V555" s="204">
        <v>3</v>
      </c>
      <c r="W555" s="203" t="s">
        <v>5104</v>
      </c>
      <c r="X555" s="204" t="s">
        <v>213</v>
      </c>
      <c r="Y555" s="206">
        <v>4200</v>
      </c>
      <c r="Z555" s="207">
        <v>30000</v>
      </c>
      <c r="AA555" s="207">
        <f t="shared" si="131"/>
        <v>108000000</v>
      </c>
      <c r="AB555" s="157">
        <v>30000</v>
      </c>
      <c r="AC555" s="158">
        <f t="shared" si="129"/>
        <v>30000</v>
      </c>
      <c r="AD555" s="159">
        <f t="shared" si="132"/>
        <v>0</v>
      </c>
      <c r="AE555" s="160"/>
      <c r="AF555" s="160">
        <f t="shared" si="133"/>
        <v>0</v>
      </c>
      <c r="AG555" s="161"/>
      <c r="AH555" s="161">
        <f t="shared" si="134"/>
        <v>0</v>
      </c>
      <c r="AI555" s="162"/>
      <c r="AJ555" s="162">
        <f t="shared" si="135"/>
        <v>0</v>
      </c>
      <c r="AK555" s="164"/>
      <c r="AL555" s="164">
        <f t="shared" si="136"/>
        <v>0</v>
      </c>
      <c r="AM555" s="165"/>
      <c r="AN555" s="165">
        <f t="shared" si="137"/>
        <v>0</v>
      </c>
      <c r="AO555" s="166">
        <v>0</v>
      </c>
      <c r="AP555" s="166">
        <f t="shared" si="138"/>
        <v>0</v>
      </c>
      <c r="AQ555" s="162"/>
      <c r="AR555" s="162">
        <f t="shared" si="139"/>
        <v>0</v>
      </c>
      <c r="AS555" s="167"/>
      <c r="AT555" s="167">
        <f t="shared" si="140"/>
        <v>0</v>
      </c>
      <c r="AU555" s="163"/>
      <c r="AV555" s="163">
        <f t="shared" si="141"/>
        <v>0</v>
      </c>
      <c r="AW555" s="168"/>
      <c r="AX555" s="168">
        <f t="shared" si="142"/>
        <v>0</v>
      </c>
      <c r="AY555" s="170"/>
      <c r="AZ555" s="170">
        <f t="shared" si="143"/>
        <v>0</v>
      </c>
      <c r="BA555" s="166"/>
      <c r="BB555" s="166">
        <f t="shared" si="144"/>
        <v>0</v>
      </c>
    </row>
    <row r="556" spans="1:54" s="115" customFormat="1" ht="31.5">
      <c r="A556" s="148" t="s">
        <v>7424</v>
      </c>
      <c r="B556" s="203" t="s">
        <v>3739</v>
      </c>
      <c r="C556" s="203"/>
      <c r="D556" s="203"/>
      <c r="E556" s="203" t="s">
        <v>1885</v>
      </c>
      <c r="F556" s="205" t="s">
        <v>1886</v>
      </c>
      <c r="G556" s="205" t="s">
        <v>7426</v>
      </c>
      <c r="H556" s="204" t="s">
        <v>235</v>
      </c>
      <c r="I556" s="204" t="s">
        <v>11</v>
      </c>
      <c r="J556" s="205" t="s">
        <v>7425</v>
      </c>
      <c r="K556" s="206">
        <v>2980</v>
      </c>
      <c r="L556" s="206"/>
      <c r="M556" s="159">
        <f t="shared" si="130"/>
        <v>18990</v>
      </c>
      <c r="N556" s="159"/>
      <c r="O556" s="159"/>
      <c r="P556" s="159"/>
      <c r="Q556" s="159"/>
      <c r="R556" s="159"/>
      <c r="S556" s="150" t="s">
        <v>5283</v>
      </c>
      <c r="T556" s="150" t="s">
        <v>5284</v>
      </c>
      <c r="U556" s="202" t="s">
        <v>3738</v>
      </c>
      <c r="V556" s="204">
        <v>3</v>
      </c>
      <c r="W556" s="203" t="s">
        <v>5104</v>
      </c>
      <c r="X556" s="204" t="s">
        <v>213</v>
      </c>
      <c r="Y556" s="206">
        <v>3000</v>
      </c>
      <c r="Z556" s="207">
        <v>80000</v>
      </c>
      <c r="AA556" s="207">
        <f t="shared" si="131"/>
        <v>238400000</v>
      </c>
      <c r="AB556" s="157">
        <v>80000</v>
      </c>
      <c r="AC556" s="158">
        <f t="shared" ref="AC556:AC619" si="145">AB556-M556</f>
        <v>61010</v>
      </c>
      <c r="AD556" s="159">
        <f t="shared" si="132"/>
        <v>56590200</v>
      </c>
      <c r="AE556" s="160"/>
      <c r="AF556" s="160">
        <f t="shared" si="133"/>
        <v>0</v>
      </c>
      <c r="AG556" s="161">
        <v>9990</v>
      </c>
      <c r="AH556" s="161">
        <f t="shared" si="134"/>
        <v>29770200</v>
      </c>
      <c r="AI556" s="162"/>
      <c r="AJ556" s="162">
        <f t="shared" si="135"/>
        <v>0</v>
      </c>
      <c r="AK556" s="164"/>
      <c r="AL556" s="164">
        <f t="shared" si="136"/>
        <v>0</v>
      </c>
      <c r="AM556" s="165"/>
      <c r="AN556" s="165">
        <f t="shared" si="137"/>
        <v>0</v>
      </c>
      <c r="AO556" s="166">
        <v>0</v>
      </c>
      <c r="AP556" s="166">
        <f t="shared" si="138"/>
        <v>0</v>
      </c>
      <c r="AQ556" s="162"/>
      <c r="AR556" s="162">
        <f t="shared" si="139"/>
        <v>0</v>
      </c>
      <c r="AS556" s="167">
        <v>9000</v>
      </c>
      <c r="AT556" s="167">
        <f t="shared" si="140"/>
        <v>26820000</v>
      </c>
      <c r="AU556" s="163"/>
      <c r="AV556" s="163">
        <f t="shared" si="141"/>
        <v>0</v>
      </c>
      <c r="AW556" s="168"/>
      <c r="AX556" s="168">
        <f t="shared" si="142"/>
        <v>0</v>
      </c>
      <c r="AY556" s="170"/>
      <c r="AZ556" s="170">
        <f t="shared" si="143"/>
        <v>0</v>
      </c>
      <c r="BA556" s="166"/>
      <c r="BB556" s="166">
        <f t="shared" si="144"/>
        <v>0</v>
      </c>
    </row>
    <row r="557" spans="1:54" s="115" customFormat="1" ht="112.5">
      <c r="A557" s="148" t="s">
        <v>7427</v>
      </c>
      <c r="B557" s="203" t="s">
        <v>543</v>
      </c>
      <c r="C557" s="203"/>
      <c r="D557" s="203"/>
      <c r="E557" s="203" t="s">
        <v>7429</v>
      </c>
      <c r="F557" s="205" t="s">
        <v>7431</v>
      </c>
      <c r="G557" s="205" t="s">
        <v>336</v>
      </c>
      <c r="H557" s="204" t="s">
        <v>258</v>
      </c>
      <c r="I557" s="204" t="s">
        <v>11</v>
      </c>
      <c r="J557" s="205" t="s">
        <v>7430</v>
      </c>
      <c r="K557" s="206">
        <v>651</v>
      </c>
      <c r="L557" s="206"/>
      <c r="M557" s="159">
        <f t="shared" si="130"/>
        <v>0</v>
      </c>
      <c r="N557" s="159"/>
      <c r="O557" s="159"/>
      <c r="P557" s="159"/>
      <c r="Q557" s="159"/>
      <c r="R557" s="159"/>
      <c r="S557" s="209" t="s">
        <v>5848</v>
      </c>
      <c r="T557" s="203" t="s">
        <v>5849</v>
      </c>
      <c r="U557" s="202" t="s">
        <v>7428</v>
      </c>
      <c r="V557" s="204">
        <v>3</v>
      </c>
      <c r="W557" s="203" t="s">
        <v>5104</v>
      </c>
      <c r="X557" s="204" t="s">
        <v>213</v>
      </c>
      <c r="Y557" s="206">
        <v>2100</v>
      </c>
      <c r="Z557" s="207">
        <v>1000</v>
      </c>
      <c r="AA557" s="207">
        <f t="shared" si="131"/>
        <v>651000</v>
      </c>
      <c r="AB557" s="157">
        <v>1000</v>
      </c>
      <c r="AC557" s="158">
        <f t="shared" si="145"/>
        <v>1000</v>
      </c>
      <c r="AD557" s="159">
        <f t="shared" si="132"/>
        <v>0</v>
      </c>
      <c r="AE557" s="160"/>
      <c r="AF557" s="160">
        <f t="shared" si="133"/>
        <v>0</v>
      </c>
      <c r="AG557" s="165"/>
      <c r="AH557" s="161">
        <f t="shared" si="134"/>
        <v>0</v>
      </c>
      <c r="AI557" s="162"/>
      <c r="AJ557" s="162">
        <f t="shared" si="135"/>
        <v>0</v>
      </c>
      <c r="AK557" s="164"/>
      <c r="AL557" s="164">
        <f t="shared" si="136"/>
        <v>0</v>
      </c>
      <c r="AM557" s="165"/>
      <c r="AN557" s="165">
        <f t="shared" si="137"/>
        <v>0</v>
      </c>
      <c r="AO557" s="166">
        <v>0</v>
      </c>
      <c r="AP557" s="166">
        <f t="shared" si="138"/>
        <v>0</v>
      </c>
      <c r="AQ557" s="162"/>
      <c r="AR557" s="162">
        <f t="shared" si="139"/>
        <v>0</v>
      </c>
      <c r="AS557" s="173"/>
      <c r="AT557" s="167">
        <f t="shared" si="140"/>
        <v>0</v>
      </c>
      <c r="AU557" s="163"/>
      <c r="AV557" s="163">
        <f t="shared" si="141"/>
        <v>0</v>
      </c>
      <c r="AW557" s="168"/>
      <c r="AX557" s="168">
        <f t="shared" si="142"/>
        <v>0</v>
      </c>
      <c r="AY557" s="170"/>
      <c r="AZ557" s="170">
        <f t="shared" si="143"/>
        <v>0</v>
      </c>
      <c r="BA557" s="166"/>
      <c r="BB557" s="166">
        <f t="shared" si="144"/>
        <v>0</v>
      </c>
    </row>
    <row r="558" spans="1:54" ht="31.5">
      <c r="A558" s="172" t="s">
        <v>7432</v>
      </c>
      <c r="B558" s="203" t="s">
        <v>543</v>
      </c>
      <c r="C558" s="203"/>
      <c r="D558" s="203"/>
      <c r="E558" s="203" t="s">
        <v>4438</v>
      </c>
      <c r="F558" s="205" t="s">
        <v>7434</v>
      </c>
      <c r="G558" s="205" t="s">
        <v>7211</v>
      </c>
      <c r="H558" s="204" t="s">
        <v>225</v>
      </c>
      <c r="I558" s="204" t="s">
        <v>11</v>
      </c>
      <c r="J558" s="205" t="s">
        <v>7433</v>
      </c>
      <c r="K558" s="206">
        <v>4350</v>
      </c>
      <c r="L558" s="206"/>
      <c r="M558" s="159">
        <f t="shared" si="130"/>
        <v>350</v>
      </c>
      <c r="N558" s="159"/>
      <c r="O558" s="159"/>
      <c r="P558" s="159"/>
      <c r="Q558" s="159"/>
      <c r="R558" s="159"/>
      <c r="S558" s="150" t="s">
        <v>5328</v>
      </c>
      <c r="T558" s="150" t="s">
        <v>215</v>
      </c>
      <c r="U558" s="202" t="s">
        <v>4437</v>
      </c>
      <c r="V558" s="204">
        <v>3</v>
      </c>
      <c r="W558" s="203" t="s">
        <v>5104</v>
      </c>
      <c r="X558" s="204" t="s">
        <v>213</v>
      </c>
      <c r="Y558" s="206">
        <v>6500</v>
      </c>
      <c r="Z558" s="207">
        <v>10000</v>
      </c>
      <c r="AA558" s="207">
        <f t="shared" si="131"/>
        <v>43500000</v>
      </c>
      <c r="AB558" s="157">
        <v>10000</v>
      </c>
      <c r="AC558" s="158">
        <f t="shared" si="145"/>
        <v>9650</v>
      </c>
      <c r="AD558" s="159">
        <f t="shared" si="132"/>
        <v>1522500</v>
      </c>
      <c r="AE558" s="160"/>
      <c r="AF558" s="160">
        <f t="shared" si="133"/>
        <v>0</v>
      </c>
      <c r="AG558" s="161">
        <v>350</v>
      </c>
      <c r="AH558" s="161">
        <f t="shared" si="134"/>
        <v>1522500</v>
      </c>
      <c r="AI558" s="162"/>
      <c r="AJ558" s="162">
        <f t="shared" si="135"/>
        <v>0</v>
      </c>
      <c r="AK558" s="164"/>
      <c r="AL558" s="164">
        <f t="shared" si="136"/>
        <v>0</v>
      </c>
      <c r="AM558" s="165"/>
      <c r="AN558" s="165">
        <f t="shared" si="137"/>
        <v>0</v>
      </c>
      <c r="AO558" s="166">
        <v>0</v>
      </c>
      <c r="AP558" s="166">
        <f t="shared" si="138"/>
        <v>0</v>
      </c>
      <c r="AQ558" s="162"/>
      <c r="AR558" s="162">
        <f t="shared" si="139"/>
        <v>0</v>
      </c>
      <c r="AS558" s="167"/>
      <c r="AT558" s="167">
        <f t="shared" si="140"/>
        <v>0</v>
      </c>
      <c r="AU558" s="163"/>
      <c r="AV558" s="163">
        <f t="shared" si="141"/>
        <v>0</v>
      </c>
      <c r="AW558" s="168"/>
      <c r="AX558" s="168">
        <f t="shared" si="142"/>
        <v>0</v>
      </c>
      <c r="AY558" s="170"/>
      <c r="AZ558" s="170">
        <f t="shared" si="143"/>
        <v>0</v>
      </c>
      <c r="BA558" s="166"/>
      <c r="BB558" s="166">
        <f t="shared" si="144"/>
        <v>0</v>
      </c>
    </row>
    <row r="559" spans="1:54" ht="31.5">
      <c r="A559" s="148" t="s">
        <v>7435</v>
      </c>
      <c r="B559" s="203" t="s">
        <v>816</v>
      </c>
      <c r="C559" s="203"/>
      <c r="D559" s="203"/>
      <c r="E559" s="203" t="s">
        <v>817</v>
      </c>
      <c r="F559" s="205" t="s">
        <v>818</v>
      </c>
      <c r="G559" s="205" t="s">
        <v>806</v>
      </c>
      <c r="H559" s="204" t="s">
        <v>258</v>
      </c>
      <c r="I559" s="204" t="s">
        <v>11</v>
      </c>
      <c r="J559" s="205" t="s">
        <v>7437</v>
      </c>
      <c r="K559" s="206">
        <v>259</v>
      </c>
      <c r="L559" s="206"/>
      <c r="M559" s="159">
        <f t="shared" si="130"/>
        <v>0</v>
      </c>
      <c r="N559" s="159"/>
      <c r="O559" s="159"/>
      <c r="P559" s="159"/>
      <c r="Q559" s="159"/>
      <c r="R559" s="159"/>
      <c r="S559" s="149" t="s">
        <v>6986</v>
      </c>
      <c r="T559" s="149" t="s">
        <v>6987</v>
      </c>
      <c r="U559" s="202" t="s">
        <v>7436</v>
      </c>
      <c r="V559" s="204">
        <v>3</v>
      </c>
      <c r="W559" s="203" t="s">
        <v>5104</v>
      </c>
      <c r="X559" s="204" t="s">
        <v>213</v>
      </c>
      <c r="Y559" s="206">
        <v>1100</v>
      </c>
      <c r="Z559" s="207">
        <v>20000</v>
      </c>
      <c r="AA559" s="207">
        <f t="shared" si="131"/>
        <v>5180000</v>
      </c>
      <c r="AB559" s="157">
        <v>20000</v>
      </c>
      <c r="AC559" s="158">
        <f t="shared" si="145"/>
        <v>20000</v>
      </c>
      <c r="AD559" s="159">
        <f t="shared" si="132"/>
        <v>0</v>
      </c>
      <c r="AE559" s="160"/>
      <c r="AF559" s="160">
        <f t="shared" si="133"/>
        <v>0</v>
      </c>
      <c r="AG559" s="165"/>
      <c r="AH559" s="161">
        <f t="shared" si="134"/>
        <v>0</v>
      </c>
      <c r="AI559" s="162"/>
      <c r="AJ559" s="162">
        <f t="shared" si="135"/>
        <v>0</v>
      </c>
      <c r="AK559" s="164"/>
      <c r="AL559" s="164">
        <f t="shared" si="136"/>
        <v>0</v>
      </c>
      <c r="AM559" s="165"/>
      <c r="AN559" s="165">
        <f t="shared" si="137"/>
        <v>0</v>
      </c>
      <c r="AO559" s="166">
        <v>0</v>
      </c>
      <c r="AP559" s="166">
        <f t="shared" si="138"/>
        <v>0</v>
      </c>
      <c r="AQ559" s="162"/>
      <c r="AR559" s="162">
        <f t="shared" si="139"/>
        <v>0</v>
      </c>
      <c r="AS559" s="173"/>
      <c r="AT559" s="167">
        <f t="shared" si="140"/>
        <v>0</v>
      </c>
      <c r="AU559" s="163"/>
      <c r="AV559" s="163">
        <f t="shared" si="141"/>
        <v>0</v>
      </c>
      <c r="AW559" s="168"/>
      <c r="AX559" s="168">
        <f t="shared" si="142"/>
        <v>0</v>
      </c>
      <c r="AY559" s="170"/>
      <c r="AZ559" s="170">
        <f t="shared" si="143"/>
        <v>0</v>
      </c>
      <c r="BA559" s="166"/>
      <c r="BB559" s="166">
        <f t="shared" si="144"/>
        <v>0</v>
      </c>
    </row>
    <row r="560" spans="1:54" ht="31.5">
      <c r="A560" s="148" t="s">
        <v>7438</v>
      </c>
      <c r="B560" s="203" t="s">
        <v>1756</v>
      </c>
      <c r="C560" s="203"/>
      <c r="D560" s="203"/>
      <c r="E560" s="203" t="s">
        <v>7441</v>
      </c>
      <c r="F560" s="205" t="s">
        <v>7443</v>
      </c>
      <c r="G560" s="205" t="s">
        <v>7444</v>
      </c>
      <c r="H560" s="204" t="s">
        <v>232</v>
      </c>
      <c r="I560" s="204" t="s">
        <v>11</v>
      </c>
      <c r="J560" s="205" t="s">
        <v>7442</v>
      </c>
      <c r="K560" s="206">
        <v>1890</v>
      </c>
      <c r="L560" s="206"/>
      <c r="M560" s="159">
        <f t="shared" si="130"/>
        <v>0</v>
      </c>
      <c r="N560" s="159"/>
      <c r="O560" s="159"/>
      <c r="P560" s="159"/>
      <c r="Q560" s="159"/>
      <c r="R560" s="159"/>
      <c r="S560" s="203" t="s">
        <v>1159</v>
      </c>
      <c r="T560" s="203" t="s">
        <v>7439</v>
      </c>
      <c r="U560" s="202" t="s">
        <v>7440</v>
      </c>
      <c r="V560" s="204">
        <v>3</v>
      </c>
      <c r="W560" s="203" t="s">
        <v>5104</v>
      </c>
      <c r="X560" s="204" t="s">
        <v>6694</v>
      </c>
      <c r="Y560" s="206">
        <v>7000</v>
      </c>
      <c r="Z560" s="207">
        <v>10000</v>
      </c>
      <c r="AA560" s="207">
        <f t="shared" si="131"/>
        <v>18900000</v>
      </c>
      <c r="AB560" s="157">
        <v>10000</v>
      </c>
      <c r="AC560" s="158">
        <f t="shared" si="145"/>
        <v>10000</v>
      </c>
      <c r="AD560" s="159">
        <f t="shared" si="132"/>
        <v>0</v>
      </c>
      <c r="AE560" s="160"/>
      <c r="AF560" s="160">
        <f t="shared" si="133"/>
        <v>0</v>
      </c>
      <c r="AG560" s="165"/>
      <c r="AH560" s="161">
        <f t="shared" si="134"/>
        <v>0</v>
      </c>
      <c r="AI560" s="162"/>
      <c r="AJ560" s="162">
        <f t="shared" si="135"/>
        <v>0</v>
      </c>
      <c r="AK560" s="164"/>
      <c r="AL560" s="164">
        <f t="shared" si="136"/>
        <v>0</v>
      </c>
      <c r="AM560" s="165"/>
      <c r="AN560" s="165">
        <f t="shared" si="137"/>
        <v>0</v>
      </c>
      <c r="AO560" s="166">
        <v>0</v>
      </c>
      <c r="AP560" s="166">
        <f t="shared" si="138"/>
        <v>0</v>
      </c>
      <c r="AQ560" s="162"/>
      <c r="AR560" s="162">
        <f t="shared" si="139"/>
        <v>0</v>
      </c>
      <c r="AS560" s="173"/>
      <c r="AT560" s="167">
        <f t="shared" si="140"/>
        <v>0</v>
      </c>
      <c r="AU560" s="163"/>
      <c r="AV560" s="163">
        <f t="shared" si="141"/>
        <v>0</v>
      </c>
      <c r="AW560" s="168"/>
      <c r="AX560" s="168">
        <f t="shared" si="142"/>
        <v>0</v>
      </c>
      <c r="AY560" s="170"/>
      <c r="AZ560" s="170">
        <f t="shared" si="143"/>
        <v>0</v>
      </c>
      <c r="BA560" s="166"/>
      <c r="BB560" s="166">
        <f t="shared" si="144"/>
        <v>0</v>
      </c>
    </row>
    <row r="561" spans="1:54" ht="31.5">
      <c r="A561" s="172" t="s">
        <v>7445</v>
      </c>
      <c r="B561" s="203" t="s">
        <v>816</v>
      </c>
      <c r="C561" s="203"/>
      <c r="D561" s="203"/>
      <c r="E561" s="203" t="s">
        <v>819</v>
      </c>
      <c r="F561" s="205" t="s">
        <v>820</v>
      </c>
      <c r="G561" s="205" t="s">
        <v>806</v>
      </c>
      <c r="H561" s="204" t="s">
        <v>299</v>
      </c>
      <c r="I561" s="204" t="s">
        <v>11</v>
      </c>
      <c r="J561" s="205" t="s">
        <v>7437</v>
      </c>
      <c r="K561" s="206">
        <v>380</v>
      </c>
      <c r="L561" s="206"/>
      <c r="M561" s="159">
        <f t="shared" si="130"/>
        <v>0</v>
      </c>
      <c r="N561" s="159"/>
      <c r="O561" s="159"/>
      <c r="P561" s="159"/>
      <c r="Q561" s="159"/>
      <c r="R561" s="159"/>
      <c r="S561" s="149" t="s">
        <v>6986</v>
      </c>
      <c r="T561" s="149" t="s">
        <v>6987</v>
      </c>
      <c r="U561" s="202" t="s">
        <v>4434</v>
      </c>
      <c r="V561" s="204">
        <v>3</v>
      </c>
      <c r="W561" s="203" t="s">
        <v>5104</v>
      </c>
      <c r="X561" s="204" t="s">
        <v>213</v>
      </c>
      <c r="Y561" s="206">
        <v>1800</v>
      </c>
      <c r="Z561" s="207">
        <v>40000</v>
      </c>
      <c r="AA561" s="207">
        <f t="shared" si="131"/>
        <v>15200000</v>
      </c>
      <c r="AB561" s="157">
        <v>40000</v>
      </c>
      <c r="AC561" s="158">
        <f t="shared" si="145"/>
        <v>40000</v>
      </c>
      <c r="AD561" s="159">
        <f t="shared" si="132"/>
        <v>0</v>
      </c>
      <c r="AE561" s="160"/>
      <c r="AF561" s="160">
        <f t="shared" si="133"/>
        <v>0</v>
      </c>
      <c r="AG561" s="165"/>
      <c r="AH561" s="161">
        <f t="shared" si="134"/>
        <v>0</v>
      </c>
      <c r="AI561" s="162"/>
      <c r="AJ561" s="162">
        <f t="shared" si="135"/>
        <v>0</v>
      </c>
      <c r="AK561" s="164"/>
      <c r="AL561" s="164">
        <f t="shared" si="136"/>
        <v>0</v>
      </c>
      <c r="AM561" s="165"/>
      <c r="AN561" s="165">
        <f t="shared" si="137"/>
        <v>0</v>
      </c>
      <c r="AO561" s="166">
        <v>0</v>
      </c>
      <c r="AP561" s="166">
        <f t="shared" si="138"/>
        <v>0</v>
      </c>
      <c r="AQ561" s="162"/>
      <c r="AR561" s="162">
        <f t="shared" si="139"/>
        <v>0</v>
      </c>
      <c r="AS561" s="173"/>
      <c r="AT561" s="167">
        <f t="shared" si="140"/>
        <v>0</v>
      </c>
      <c r="AU561" s="163"/>
      <c r="AV561" s="163">
        <f t="shared" si="141"/>
        <v>0</v>
      </c>
      <c r="AW561" s="168"/>
      <c r="AX561" s="168">
        <f t="shared" si="142"/>
        <v>0</v>
      </c>
      <c r="AY561" s="170"/>
      <c r="AZ561" s="170">
        <f t="shared" si="143"/>
        <v>0</v>
      </c>
      <c r="BA561" s="166"/>
      <c r="BB561" s="166">
        <f t="shared" si="144"/>
        <v>0</v>
      </c>
    </row>
    <row r="562" spans="1:54" ht="31.5">
      <c r="A562" s="148" t="s">
        <v>7446</v>
      </c>
      <c r="B562" s="203" t="s">
        <v>816</v>
      </c>
      <c r="C562" s="203"/>
      <c r="D562" s="203"/>
      <c r="E562" s="203" t="s">
        <v>7448</v>
      </c>
      <c r="F562" s="205" t="s">
        <v>7450</v>
      </c>
      <c r="G562" s="205" t="s">
        <v>7451</v>
      </c>
      <c r="H562" s="204" t="s">
        <v>334</v>
      </c>
      <c r="I562" s="204" t="s">
        <v>11</v>
      </c>
      <c r="J562" s="205" t="s">
        <v>7449</v>
      </c>
      <c r="K562" s="206">
        <v>2100</v>
      </c>
      <c r="L562" s="206"/>
      <c r="M562" s="159">
        <f t="shared" si="130"/>
        <v>0</v>
      </c>
      <c r="N562" s="159"/>
      <c r="O562" s="159"/>
      <c r="P562" s="159"/>
      <c r="Q562" s="159"/>
      <c r="R562" s="159"/>
      <c r="S562" s="150" t="s">
        <v>5298</v>
      </c>
      <c r="T562" s="150" t="s">
        <v>5299</v>
      </c>
      <c r="U562" s="202" t="s">
        <v>7447</v>
      </c>
      <c r="V562" s="204">
        <v>3</v>
      </c>
      <c r="W562" s="203" t="s">
        <v>5784</v>
      </c>
      <c r="X562" s="204" t="s">
        <v>213</v>
      </c>
      <c r="Y562" s="206">
        <v>4500</v>
      </c>
      <c r="Z562" s="207">
        <v>50000</v>
      </c>
      <c r="AA562" s="207">
        <f t="shared" si="131"/>
        <v>105000000</v>
      </c>
      <c r="AB562" s="157">
        <v>50000</v>
      </c>
      <c r="AC562" s="158">
        <f t="shared" si="145"/>
        <v>50000</v>
      </c>
      <c r="AD562" s="159">
        <f t="shared" si="132"/>
        <v>0</v>
      </c>
      <c r="AE562" s="160"/>
      <c r="AF562" s="160">
        <f t="shared" si="133"/>
        <v>0</v>
      </c>
      <c r="AG562" s="165"/>
      <c r="AH562" s="161">
        <f t="shared" si="134"/>
        <v>0</v>
      </c>
      <c r="AI562" s="162"/>
      <c r="AJ562" s="162">
        <f t="shared" si="135"/>
        <v>0</v>
      </c>
      <c r="AK562" s="164"/>
      <c r="AL562" s="164">
        <f t="shared" si="136"/>
        <v>0</v>
      </c>
      <c r="AM562" s="165"/>
      <c r="AN562" s="165">
        <f t="shared" si="137"/>
        <v>0</v>
      </c>
      <c r="AO562" s="166">
        <v>0</v>
      </c>
      <c r="AP562" s="166">
        <f t="shared" si="138"/>
        <v>0</v>
      </c>
      <c r="AQ562" s="162"/>
      <c r="AR562" s="162">
        <f t="shared" si="139"/>
        <v>0</v>
      </c>
      <c r="AS562" s="173"/>
      <c r="AT562" s="167">
        <f t="shared" si="140"/>
        <v>0</v>
      </c>
      <c r="AU562" s="163"/>
      <c r="AV562" s="163">
        <f t="shared" si="141"/>
        <v>0</v>
      </c>
      <c r="AW562" s="168"/>
      <c r="AX562" s="168">
        <f t="shared" si="142"/>
        <v>0</v>
      </c>
      <c r="AY562" s="170"/>
      <c r="AZ562" s="170">
        <f t="shared" si="143"/>
        <v>0</v>
      </c>
      <c r="BA562" s="166"/>
      <c r="BB562" s="166">
        <f t="shared" si="144"/>
        <v>0</v>
      </c>
    </row>
    <row r="563" spans="1:54">
      <c r="A563" s="148" t="s">
        <v>7452</v>
      </c>
      <c r="B563" s="203" t="s">
        <v>1439</v>
      </c>
      <c r="C563" s="203"/>
      <c r="D563" s="203"/>
      <c r="E563" s="203" t="s">
        <v>1923</v>
      </c>
      <c r="F563" s="205" t="s">
        <v>1924</v>
      </c>
      <c r="G563" s="205" t="s">
        <v>1913</v>
      </c>
      <c r="H563" s="204" t="s">
        <v>225</v>
      </c>
      <c r="I563" s="204" t="s">
        <v>11</v>
      </c>
      <c r="J563" s="205" t="s">
        <v>6935</v>
      </c>
      <c r="K563" s="206">
        <v>1208</v>
      </c>
      <c r="L563" s="206"/>
      <c r="M563" s="159">
        <f t="shared" si="130"/>
        <v>700</v>
      </c>
      <c r="N563" s="159"/>
      <c r="O563" s="159"/>
      <c r="P563" s="159"/>
      <c r="Q563" s="159"/>
      <c r="R563" s="159"/>
      <c r="S563" s="149" t="s">
        <v>7453</v>
      </c>
      <c r="T563" s="149" t="s">
        <v>1913</v>
      </c>
      <c r="U563" s="202" t="s">
        <v>4504</v>
      </c>
      <c r="V563" s="204">
        <v>3</v>
      </c>
      <c r="W563" s="203" t="s">
        <v>5104</v>
      </c>
      <c r="X563" s="204" t="s">
        <v>213</v>
      </c>
      <c r="Y563" s="206">
        <v>1395</v>
      </c>
      <c r="Z563" s="207">
        <v>15000</v>
      </c>
      <c r="AA563" s="207">
        <f t="shared" si="131"/>
        <v>18120000</v>
      </c>
      <c r="AB563" s="157">
        <v>15000</v>
      </c>
      <c r="AC563" s="158">
        <f t="shared" si="145"/>
        <v>14300</v>
      </c>
      <c r="AD563" s="159">
        <f t="shared" si="132"/>
        <v>845600</v>
      </c>
      <c r="AE563" s="160"/>
      <c r="AF563" s="160">
        <f t="shared" si="133"/>
        <v>0</v>
      </c>
      <c r="AG563" s="165"/>
      <c r="AH563" s="161">
        <f t="shared" si="134"/>
        <v>0</v>
      </c>
      <c r="AI563" s="162"/>
      <c r="AJ563" s="162">
        <f t="shared" si="135"/>
        <v>0</v>
      </c>
      <c r="AK563" s="164"/>
      <c r="AL563" s="164">
        <f t="shared" si="136"/>
        <v>0</v>
      </c>
      <c r="AM563" s="165"/>
      <c r="AN563" s="165">
        <f t="shared" si="137"/>
        <v>0</v>
      </c>
      <c r="AO563" s="166">
        <v>0</v>
      </c>
      <c r="AP563" s="166">
        <f t="shared" si="138"/>
        <v>0</v>
      </c>
      <c r="AQ563" s="162"/>
      <c r="AR563" s="162">
        <f t="shared" si="139"/>
        <v>0</v>
      </c>
      <c r="AS563" s="173">
        <v>700</v>
      </c>
      <c r="AT563" s="167">
        <f t="shared" si="140"/>
        <v>845600</v>
      </c>
      <c r="AU563" s="163"/>
      <c r="AV563" s="163">
        <f t="shared" si="141"/>
        <v>0</v>
      </c>
      <c r="AW563" s="168"/>
      <c r="AX563" s="168">
        <f t="shared" si="142"/>
        <v>0</v>
      </c>
      <c r="AY563" s="170"/>
      <c r="AZ563" s="170">
        <f t="shared" si="143"/>
        <v>0</v>
      </c>
      <c r="BA563" s="166"/>
      <c r="BB563" s="166">
        <f t="shared" si="144"/>
        <v>0</v>
      </c>
    </row>
    <row r="564" spans="1:54">
      <c r="A564" s="172" t="s">
        <v>7454</v>
      </c>
      <c r="B564" s="203" t="s">
        <v>1140</v>
      </c>
      <c r="C564" s="203"/>
      <c r="D564" s="203"/>
      <c r="E564" s="203" t="s">
        <v>4519</v>
      </c>
      <c r="F564" s="205" t="s">
        <v>7456</v>
      </c>
      <c r="G564" s="205" t="s">
        <v>7413</v>
      </c>
      <c r="H564" s="204" t="s">
        <v>4520</v>
      </c>
      <c r="I564" s="204" t="s">
        <v>4240</v>
      </c>
      <c r="J564" s="205" t="s">
        <v>7455</v>
      </c>
      <c r="K564" s="206">
        <v>6500</v>
      </c>
      <c r="L564" s="206"/>
      <c r="M564" s="159">
        <f t="shared" si="130"/>
        <v>200</v>
      </c>
      <c r="N564" s="159"/>
      <c r="O564" s="159"/>
      <c r="P564" s="159"/>
      <c r="Q564" s="159"/>
      <c r="R564" s="159"/>
      <c r="S564" s="149" t="s">
        <v>7409</v>
      </c>
      <c r="T564" s="149" t="s">
        <v>7410</v>
      </c>
      <c r="U564" s="202" t="s">
        <v>4518</v>
      </c>
      <c r="V564" s="204">
        <v>3</v>
      </c>
      <c r="W564" s="203" t="s">
        <v>253</v>
      </c>
      <c r="X564" s="204" t="s">
        <v>213</v>
      </c>
      <c r="Y564" s="206">
        <v>11000</v>
      </c>
      <c r="Z564" s="207">
        <v>1000</v>
      </c>
      <c r="AA564" s="207">
        <f t="shared" si="131"/>
        <v>6500000</v>
      </c>
      <c r="AB564" s="157">
        <v>1000</v>
      </c>
      <c r="AC564" s="158">
        <f t="shared" si="145"/>
        <v>800</v>
      </c>
      <c r="AD564" s="159">
        <f t="shared" si="132"/>
        <v>1300000</v>
      </c>
      <c r="AE564" s="160"/>
      <c r="AF564" s="160">
        <f t="shared" si="133"/>
        <v>0</v>
      </c>
      <c r="AG564" s="165">
        <v>100</v>
      </c>
      <c r="AH564" s="161">
        <f t="shared" si="134"/>
        <v>650000</v>
      </c>
      <c r="AI564" s="162"/>
      <c r="AJ564" s="162">
        <f t="shared" si="135"/>
        <v>0</v>
      </c>
      <c r="AK564" s="164"/>
      <c r="AL564" s="164">
        <f t="shared" si="136"/>
        <v>0</v>
      </c>
      <c r="AM564" s="165">
        <v>100</v>
      </c>
      <c r="AN564" s="165">
        <f t="shared" si="137"/>
        <v>650000</v>
      </c>
      <c r="AO564" s="166">
        <v>0</v>
      </c>
      <c r="AP564" s="166">
        <f t="shared" si="138"/>
        <v>0</v>
      </c>
      <c r="AQ564" s="162"/>
      <c r="AR564" s="162">
        <f t="shared" si="139"/>
        <v>0</v>
      </c>
      <c r="AS564" s="173"/>
      <c r="AT564" s="167">
        <f t="shared" si="140"/>
        <v>0</v>
      </c>
      <c r="AU564" s="163"/>
      <c r="AV564" s="163">
        <f t="shared" si="141"/>
        <v>0</v>
      </c>
      <c r="AW564" s="168"/>
      <c r="AX564" s="168">
        <f t="shared" si="142"/>
        <v>0</v>
      </c>
      <c r="AY564" s="170"/>
      <c r="AZ564" s="170">
        <f t="shared" si="143"/>
        <v>0</v>
      </c>
      <c r="BA564" s="166"/>
      <c r="BB564" s="166">
        <f t="shared" si="144"/>
        <v>0</v>
      </c>
    </row>
    <row r="565" spans="1:54" ht="112.5">
      <c r="A565" s="148" t="s">
        <v>7457</v>
      </c>
      <c r="B565" s="203" t="s">
        <v>564</v>
      </c>
      <c r="C565" s="203"/>
      <c r="D565" s="203"/>
      <c r="E565" s="203" t="s">
        <v>4550</v>
      </c>
      <c r="F565" s="205" t="s">
        <v>1078</v>
      </c>
      <c r="G565" s="205" t="s">
        <v>336</v>
      </c>
      <c r="H565" s="204" t="s">
        <v>2532</v>
      </c>
      <c r="I565" s="204" t="s">
        <v>13</v>
      </c>
      <c r="J565" s="205" t="s">
        <v>7458</v>
      </c>
      <c r="K565" s="206">
        <v>980</v>
      </c>
      <c r="L565" s="206"/>
      <c r="M565" s="159">
        <f t="shared" si="130"/>
        <v>500</v>
      </c>
      <c r="N565" s="159"/>
      <c r="O565" s="159"/>
      <c r="P565" s="159"/>
      <c r="Q565" s="159"/>
      <c r="R565" s="159"/>
      <c r="S565" s="209" t="s">
        <v>5848</v>
      </c>
      <c r="T565" s="203" t="s">
        <v>5849</v>
      </c>
      <c r="U565" s="202" t="s">
        <v>4549</v>
      </c>
      <c r="V565" s="204">
        <v>3</v>
      </c>
      <c r="W565" s="203" t="s">
        <v>253</v>
      </c>
      <c r="X565" s="204" t="s">
        <v>213</v>
      </c>
      <c r="Y565" s="206">
        <v>1963</v>
      </c>
      <c r="Z565" s="207">
        <v>10000</v>
      </c>
      <c r="AA565" s="207">
        <f t="shared" si="131"/>
        <v>9800000</v>
      </c>
      <c r="AB565" s="157">
        <v>10000</v>
      </c>
      <c r="AC565" s="158">
        <f t="shared" si="145"/>
        <v>9500</v>
      </c>
      <c r="AD565" s="159">
        <f t="shared" si="132"/>
        <v>490000</v>
      </c>
      <c r="AE565" s="160"/>
      <c r="AF565" s="160">
        <f t="shared" si="133"/>
        <v>0</v>
      </c>
      <c r="AG565" s="165"/>
      <c r="AH565" s="161">
        <f t="shared" si="134"/>
        <v>0</v>
      </c>
      <c r="AI565" s="162"/>
      <c r="AJ565" s="162">
        <f t="shared" si="135"/>
        <v>0</v>
      </c>
      <c r="AK565" s="164"/>
      <c r="AL565" s="164">
        <f t="shared" si="136"/>
        <v>0</v>
      </c>
      <c r="AM565" s="165">
        <v>200</v>
      </c>
      <c r="AN565" s="165">
        <f t="shared" si="137"/>
        <v>196000</v>
      </c>
      <c r="AO565" s="166">
        <v>0</v>
      </c>
      <c r="AP565" s="166">
        <f t="shared" si="138"/>
        <v>0</v>
      </c>
      <c r="AQ565" s="162"/>
      <c r="AR565" s="162">
        <f t="shared" si="139"/>
        <v>0</v>
      </c>
      <c r="AS565" s="173">
        <v>300</v>
      </c>
      <c r="AT565" s="167">
        <f t="shared" si="140"/>
        <v>294000</v>
      </c>
      <c r="AU565" s="163"/>
      <c r="AV565" s="163">
        <f t="shared" si="141"/>
        <v>0</v>
      </c>
      <c r="AW565" s="168"/>
      <c r="AX565" s="168">
        <f t="shared" si="142"/>
        <v>0</v>
      </c>
      <c r="AY565" s="170"/>
      <c r="AZ565" s="170">
        <f t="shared" si="143"/>
        <v>0</v>
      </c>
      <c r="BA565" s="166"/>
      <c r="BB565" s="166">
        <f t="shared" si="144"/>
        <v>0</v>
      </c>
    </row>
    <row r="566" spans="1:54">
      <c r="A566" s="148" t="s">
        <v>7459</v>
      </c>
      <c r="B566" s="203" t="s">
        <v>564</v>
      </c>
      <c r="C566" s="203"/>
      <c r="D566" s="203"/>
      <c r="E566" s="203" t="s">
        <v>4552</v>
      </c>
      <c r="F566" s="205" t="s">
        <v>7461</v>
      </c>
      <c r="G566" s="205" t="s">
        <v>1913</v>
      </c>
      <c r="H566" s="204" t="s">
        <v>566</v>
      </c>
      <c r="I566" s="204" t="s">
        <v>11</v>
      </c>
      <c r="J566" s="205" t="s">
        <v>7460</v>
      </c>
      <c r="K566" s="206">
        <v>651</v>
      </c>
      <c r="L566" s="206"/>
      <c r="M566" s="159">
        <f t="shared" si="130"/>
        <v>80</v>
      </c>
      <c r="N566" s="159"/>
      <c r="O566" s="159"/>
      <c r="P566" s="159"/>
      <c r="Q566" s="159"/>
      <c r="R566" s="159"/>
      <c r="S566" s="149" t="s">
        <v>7453</v>
      </c>
      <c r="T566" s="149" t="s">
        <v>1913</v>
      </c>
      <c r="U566" s="202" t="s">
        <v>4548</v>
      </c>
      <c r="V566" s="204">
        <v>3</v>
      </c>
      <c r="W566" s="203" t="s">
        <v>5104</v>
      </c>
      <c r="X566" s="204" t="s">
        <v>213</v>
      </c>
      <c r="Y566" s="206">
        <v>900</v>
      </c>
      <c r="Z566" s="207">
        <v>20000</v>
      </c>
      <c r="AA566" s="207">
        <f t="shared" si="131"/>
        <v>13020000</v>
      </c>
      <c r="AB566" s="157">
        <v>20000</v>
      </c>
      <c r="AC566" s="158">
        <f t="shared" si="145"/>
        <v>19920</v>
      </c>
      <c r="AD566" s="159">
        <f t="shared" si="132"/>
        <v>52080</v>
      </c>
      <c r="AE566" s="160"/>
      <c r="AF566" s="160">
        <f t="shared" si="133"/>
        <v>0</v>
      </c>
      <c r="AG566" s="165"/>
      <c r="AH566" s="161">
        <f t="shared" si="134"/>
        <v>0</v>
      </c>
      <c r="AI566" s="162"/>
      <c r="AJ566" s="162">
        <f t="shared" si="135"/>
        <v>0</v>
      </c>
      <c r="AK566" s="164"/>
      <c r="AL566" s="164">
        <f t="shared" si="136"/>
        <v>0</v>
      </c>
      <c r="AM566" s="165"/>
      <c r="AN566" s="165">
        <f t="shared" si="137"/>
        <v>0</v>
      </c>
      <c r="AO566" s="166">
        <v>0</v>
      </c>
      <c r="AP566" s="166">
        <f t="shared" si="138"/>
        <v>0</v>
      </c>
      <c r="AQ566" s="162"/>
      <c r="AR566" s="162">
        <f t="shared" si="139"/>
        <v>0</v>
      </c>
      <c r="AS566" s="173">
        <v>80</v>
      </c>
      <c r="AT566" s="167">
        <f t="shared" si="140"/>
        <v>52080</v>
      </c>
      <c r="AU566" s="163"/>
      <c r="AV566" s="163">
        <f t="shared" si="141"/>
        <v>0</v>
      </c>
      <c r="AW566" s="168"/>
      <c r="AX566" s="168">
        <f t="shared" si="142"/>
        <v>0</v>
      </c>
      <c r="AY566" s="170"/>
      <c r="AZ566" s="170">
        <f t="shared" si="143"/>
        <v>0</v>
      </c>
      <c r="BA566" s="166"/>
      <c r="BB566" s="166">
        <f t="shared" si="144"/>
        <v>0</v>
      </c>
    </row>
    <row r="567" spans="1:54" ht="31.5">
      <c r="A567" s="172" t="s">
        <v>7462</v>
      </c>
      <c r="B567" s="203" t="s">
        <v>7466</v>
      </c>
      <c r="C567" s="203"/>
      <c r="D567" s="203"/>
      <c r="E567" s="203" t="s">
        <v>7467</v>
      </c>
      <c r="F567" s="205" t="s">
        <v>7469</v>
      </c>
      <c r="G567" s="205" t="s">
        <v>7470</v>
      </c>
      <c r="H567" s="204" t="s">
        <v>262</v>
      </c>
      <c r="I567" s="204" t="s">
        <v>11</v>
      </c>
      <c r="J567" s="205" t="s">
        <v>7468</v>
      </c>
      <c r="K567" s="206">
        <v>1800</v>
      </c>
      <c r="L567" s="206"/>
      <c r="M567" s="159">
        <f t="shared" si="130"/>
        <v>0</v>
      </c>
      <c r="N567" s="159"/>
      <c r="O567" s="159"/>
      <c r="P567" s="159"/>
      <c r="Q567" s="159"/>
      <c r="R567" s="159"/>
      <c r="S567" s="149" t="s">
        <v>7463</v>
      </c>
      <c r="T567" s="149" t="s">
        <v>7464</v>
      </c>
      <c r="U567" s="202" t="s">
        <v>7465</v>
      </c>
      <c r="V567" s="204">
        <v>3</v>
      </c>
      <c r="W567" s="203" t="s">
        <v>253</v>
      </c>
      <c r="X567" s="204" t="s">
        <v>213</v>
      </c>
      <c r="Y567" s="206">
        <v>3500</v>
      </c>
      <c r="Z567" s="207">
        <v>20000</v>
      </c>
      <c r="AA567" s="207">
        <f t="shared" si="131"/>
        <v>36000000</v>
      </c>
      <c r="AB567" s="157">
        <v>20000</v>
      </c>
      <c r="AC567" s="158">
        <f t="shared" si="145"/>
        <v>20000</v>
      </c>
      <c r="AD567" s="159">
        <f t="shared" si="132"/>
        <v>0</v>
      </c>
      <c r="AE567" s="160"/>
      <c r="AF567" s="160">
        <f t="shared" si="133"/>
        <v>0</v>
      </c>
      <c r="AG567" s="165"/>
      <c r="AH567" s="161">
        <f t="shared" si="134"/>
        <v>0</v>
      </c>
      <c r="AI567" s="162"/>
      <c r="AJ567" s="162">
        <f t="shared" si="135"/>
        <v>0</v>
      </c>
      <c r="AK567" s="164"/>
      <c r="AL567" s="164">
        <f t="shared" si="136"/>
        <v>0</v>
      </c>
      <c r="AM567" s="165"/>
      <c r="AN567" s="165">
        <f t="shared" si="137"/>
        <v>0</v>
      </c>
      <c r="AO567" s="166">
        <v>0</v>
      </c>
      <c r="AP567" s="166">
        <f t="shared" si="138"/>
        <v>0</v>
      </c>
      <c r="AQ567" s="162"/>
      <c r="AR567" s="162">
        <f t="shared" si="139"/>
        <v>0</v>
      </c>
      <c r="AS567" s="173"/>
      <c r="AT567" s="167">
        <f t="shared" si="140"/>
        <v>0</v>
      </c>
      <c r="AU567" s="163"/>
      <c r="AV567" s="163">
        <f t="shared" si="141"/>
        <v>0</v>
      </c>
      <c r="AW567" s="168"/>
      <c r="AX567" s="168">
        <f t="shared" si="142"/>
        <v>0</v>
      </c>
      <c r="AY567" s="170"/>
      <c r="AZ567" s="170">
        <f t="shared" si="143"/>
        <v>0</v>
      </c>
      <c r="BA567" s="166"/>
      <c r="BB567" s="166">
        <f t="shared" si="144"/>
        <v>0</v>
      </c>
    </row>
    <row r="568" spans="1:54" ht="31.5">
      <c r="A568" s="148" t="s">
        <v>7471</v>
      </c>
      <c r="B568" s="203" t="s">
        <v>5979</v>
      </c>
      <c r="C568" s="203"/>
      <c r="D568" s="203"/>
      <c r="E568" s="203" t="s">
        <v>4458</v>
      </c>
      <c r="F568" s="205" t="s">
        <v>7344</v>
      </c>
      <c r="G568" s="205" t="s">
        <v>7211</v>
      </c>
      <c r="H568" s="204" t="s">
        <v>7473</v>
      </c>
      <c r="I568" s="204" t="s">
        <v>11</v>
      </c>
      <c r="J568" s="205" t="s">
        <v>7343</v>
      </c>
      <c r="K568" s="206">
        <v>1090</v>
      </c>
      <c r="L568" s="206"/>
      <c r="M568" s="159">
        <f t="shared" si="130"/>
        <v>0</v>
      </c>
      <c r="N568" s="159"/>
      <c r="O568" s="159"/>
      <c r="P568" s="159"/>
      <c r="Q568" s="159"/>
      <c r="R568" s="159"/>
      <c r="S568" s="150" t="s">
        <v>5328</v>
      </c>
      <c r="T568" s="150" t="s">
        <v>215</v>
      </c>
      <c r="U568" s="202" t="s">
        <v>7472</v>
      </c>
      <c r="V568" s="204">
        <v>3</v>
      </c>
      <c r="W568" s="203" t="s">
        <v>5104</v>
      </c>
      <c r="X568" s="204" t="s">
        <v>213</v>
      </c>
      <c r="Y568" s="206">
        <v>3300</v>
      </c>
      <c r="Z568" s="207">
        <v>2000</v>
      </c>
      <c r="AA568" s="207">
        <f t="shared" si="131"/>
        <v>2180000</v>
      </c>
      <c r="AB568" s="157">
        <v>2000</v>
      </c>
      <c r="AC568" s="158">
        <f t="shared" si="145"/>
        <v>2000</v>
      </c>
      <c r="AD568" s="159">
        <f t="shared" si="132"/>
        <v>0</v>
      </c>
      <c r="AE568" s="160"/>
      <c r="AF568" s="160">
        <f t="shared" si="133"/>
        <v>0</v>
      </c>
      <c r="AG568" s="165"/>
      <c r="AH568" s="161">
        <f t="shared" si="134"/>
        <v>0</v>
      </c>
      <c r="AI568" s="162"/>
      <c r="AJ568" s="162">
        <f t="shared" si="135"/>
        <v>0</v>
      </c>
      <c r="AK568" s="164"/>
      <c r="AL568" s="164">
        <f t="shared" si="136"/>
        <v>0</v>
      </c>
      <c r="AM568" s="165"/>
      <c r="AN568" s="165">
        <f t="shared" si="137"/>
        <v>0</v>
      </c>
      <c r="AO568" s="166">
        <v>0</v>
      </c>
      <c r="AP568" s="166">
        <f t="shared" si="138"/>
        <v>0</v>
      </c>
      <c r="AQ568" s="162"/>
      <c r="AR568" s="162">
        <f t="shared" si="139"/>
        <v>0</v>
      </c>
      <c r="AS568" s="173"/>
      <c r="AT568" s="167">
        <f t="shared" si="140"/>
        <v>0</v>
      </c>
      <c r="AU568" s="163"/>
      <c r="AV568" s="163">
        <f t="shared" si="141"/>
        <v>0</v>
      </c>
      <c r="AW568" s="168"/>
      <c r="AX568" s="168">
        <f t="shared" si="142"/>
        <v>0</v>
      </c>
      <c r="AY568" s="170"/>
      <c r="AZ568" s="170">
        <f t="shared" si="143"/>
        <v>0</v>
      </c>
      <c r="BA568" s="166"/>
      <c r="BB568" s="166">
        <f t="shared" si="144"/>
        <v>0</v>
      </c>
    </row>
    <row r="569" spans="1:54" ht="31.5">
      <c r="A569" s="148" t="s">
        <v>7474</v>
      </c>
      <c r="B569" s="203" t="s">
        <v>5985</v>
      </c>
      <c r="C569" s="203"/>
      <c r="D569" s="203"/>
      <c r="E569" s="203" t="s">
        <v>7476</v>
      </c>
      <c r="F569" s="205" t="s">
        <v>7478</v>
      </c>
      <c r="G569" s="205" t="s">
        <v>7161</v>
      </c>
      <c r="H569" s="204" t="s">
        <v>5986</v>
      </c>
      <c r="I569" s="204" t="s">
        <v>11</v>
      </c>
      <c r="J569" s="205" t="s">
        <v>7477</v>
      </c>
      <c r="K569" s="206">
        <v>4200</v>
      </c>
      <c r="L569" s="206"/>
      <c r="M569" s="159">
        <f t="shared" si="130"/>
        <v>0</v>
      </c>
      <c r="N569" s="159"/>
      <c r="O569" s="159"/>
      <c r="P569" s="159"/>
      <c r="Q569" s="159"/>
      <c r="R569" s="159"/>
      <c r="S569" s="149" t="s">
        <v>7157</v>
      </c>
      <c r="T569" s="149" t="s">
        <v>7158</v>
      </c>
      <c r="U569" s="202" t="s">
        <v>7475</v>
      </c>
      <c r="V569" s="204">
        <v>3</v>
      </c>
      <c r="W569" s="203" t="s">
        <v>5104</v>
      </c>
      <c r="X569" s="204" t="s">
        <v>213</v>
      </c>
      <c r="Y569" s="206">
        <v>6000</v>
      </c>
      <c r="Z569" s="207">
        <v>2000</v>
      </c>
      <c r="AA569" s="207">
        <f t="shared" si="131"/>
        <v>8400000</v>
      </c>
      <c r="AB569" s="157">
        <v>2000</v>
      </c>
      <c r="AC569" s="158">
        <f t="shared" si="145"/>
        <v>2000</v>
      </c>
      <c r="AD569" s="159">
        <f t="shared" si="132"/>
        <v>0</v>
      </c>
      <c r="AE569" s="160"/>
      <c r="AF569" s="160">
        <f t="shared" si="133"/>
        <v>0</v>
      </c>
      <c r="AG569" s="165"/>
      <c r="AH569" s="161">
        <f t="shared" si="134"/>
        <v>0</v>
      </c>
      <c r="AI569" s="162"/>
      <c r="AJ569" s="162">
        <f t="shared" si="135"/>
        <v>0</v>
      </c>
      <c r="AK569" s="164"/>
      <c r="AL569" s="164">
        <f t="shared" si="136"/>
        <v>0</v>
      </c>
      <c r="AM569" s="165"/>
      <c r="AN569" s="165">
        <f t="shared" si="137"/>
        <v>0</v>
      </c>
      <c r="AO569" s="166">
        <v>0</v>
      </c>
      <c r="AP569" s="166">
        <f t="shared" si="138"/>
        <v>0</v>
      </c>
      <c r="AQ569" s="162"/>
      <c r="AR569" s="162">
        <f t="shared" si="139"/>
        <v>0</v>
      </c>
      <c r="AS569" s="173"/>
      <c r="AT569" s="167">
        <f t="shared" si="140"/>
        <v>0</v>
      </c>
      <c r="AU569" s="163"/>
      <c r="AV569" s="163">
        <f t="shared" si="141"/>
        <v>0</v>
      </c>
      <c r="AW569" s="168"/>
      <c r="AX569" s="168">
        <f t="shared" si="142"/>
        <v>0</v>
      </c>
      <c r="AY569" s="170"/>
      <c r="AZ569" s="170">
        <f t="shared" si="143"/>
        <v>0</v>
      </c>
      <c r="BA569" s="166"/>
      <c r="BB569" s="166">
        <f t="shared" si="144"/>
        <v>0</v>
      </c>
    </row>
    <row r="570" spans="1:54" ht="31.5">
      <c r="A570" s="172" t="s">
        <v>7479</v>
      </c>
      <c r="B570" s="203" t="s">
        <v>1330</v>
      </c>
      <c r="C570" s="203"/>
      <c r="D570" s="203"/>
      <c r="E570" s="203" t="s">
        <v>1330</v>
      </c>
      <c r="F570" s="205" t="s">
        <v>7482</v>
      </c>
      <c r="G570" s="205" t="s">
        <v>7483</v>
      </c>
      <c r="H570" s="204" t="s">
        <v>258</v>
      </c>
      <c r="I570" s="204" t="s">
        <v>11</v>
      </c>
      <c r="J570" s="205" t="s">
        <v>7481</v>
      </c>
      <c r="K570" s="206">
        <v>11900</v>
      </c>
      <c r="L570" s="206"/>
      <c r="M570" s="159">
        <f t="shared" si="130"/>
        <v>0</v>
      </c>
      <c r="N570" s="159"/>
      <c r="O570" s="159"/>
      <c r="P570" s="159"/>
      <c r="Q570" s="159"/>
      <c r="R570" s="159"/>
      <c r="S570" s="150" t="s">
        <v>5298</v>
      </c>
      <c r="T570" s="150" t="s">
        <v>5299</v>
      </c>
      <c r="U570" s="202" t="s">
        <v>7480</v>
      </c>
      <c r="V570" s="204">
        <v>3</v>
      </c>
      <c r="W570" s="203" t="s">
        <v>253</v>
      </c>
      <c r="X570" s="204" t="s">
        <v>213</v>
      </c>
      <c r="Y570" s="206">
        <v>12000</v>
      </c>
      <c r="Z570" s="207">
        <v>2000</v>
      </c>
      <c r="AA570" s="207">
        <f t="shared" si="131"/>
        <v>23800000</v>
      </c>
      <c r="AB570" s="157">
        <v>2000</v>
      </c>
      <c r="AC570" s="158">
        <f t="shared" si="145"/>
        <v>2000</v>
      </c>
      <c r="AD570" s="159">
        <f t="shared" si="132"/>
        <v>0</v>
      </c>
      <c r="AE570" s="160"/>
      <c r="AF570" s="160">
        <f t="shared" si="133"/>
        <v>0</v>
      </c>
      <c r="AG570" s="165"/>
      <c r="AH570" s="161">
        <f t="shared" si="134"/>
        <v>0</v>
      </c>
      <c r="AI570" s="162"/>
      <c r="AJ570" s="162">
        <f t="shared" si="135"/>
        <v>0</v>
      </c>
      <c r="AK570" s="164"/>
      <c r="AL570" s="164">
        <f t="shared" si="136"/>
        <v>0</v>
      </c>
      <c r="AM570" s="165"/>
      <c r="AN570" s="165">
        <f t="shared" si="137"/>
        <v>0</v>
      </c>
      <c r="AO570" s="166">
        <v>0</v>
      </c>
      <c r="AP570" s="166">
        <f t="shared" si="138"/>
        <v>0</v>
      </c>
      <c r="AQ570" s="162"/>
      <c r="AR570" s="162">
        <f t="shared" si="139"/>
        <v>0</v>
      </c>
      <c r="AS570" s="173"/>
      <c r="AT570" s="167">
        <f t="shared" si="140"/>
        <v>0</v>
      </c>
      <c r="AU570" s="163"/>
      <c r="AV570" s="163">
        <f t="shared" si="141"/>
        <v>0</v>
      </c>
      <c r="AW570" s="168"/>
      <c r="AX570" s="168">
        <f t="shared" si="142"/>
        <v>0</v>
      </c>
      <c r="AY570" s="170"/>
      <c r="AZ570" s="170">
        <f t="shared" si="143"/>
        <v>0</v>
      </c>
      <c r="BA570" s="166"/>
      <c r="BB570" s="166">
        <f t="shared" si="144"/>
        <v>0</v>
      </c>
    </row>
    <row r="571" spans="1:54" s="131" customFormat="1" ht="31.5">
      <c r="A571" s="148" t="s">
        <v>7484</v>
      </c>
      <c r="B571" s="203" t="s">
        <v>1330</v>
      </c>
      <c r="C571" s="203"/>
      <c r="D571" s="203"/>
      <c r="E571" s="203" t="s">
        <v>1330</v>
      </c>
      <c r="F571" s="205" t="s">
        <v>1332</v>
      </c>
      <c r="G571" s="205" t="s">
        <v>7001</v>
      </c>
      <c r="H571" s="204" t="s">
        <v>291</v>
      </c>
      <c r="I571" s="204" t="s">
        <v>11</v>
      </c>
      <c r="J571" s="205" t="s">
        <v>7485</v>
      </c>
      <c r="K571" s="206">
        <v>100</v>
      </c>
      <c r="L571" s="206"/>
      <c r="M571" s="159">
        <f t="shared" si="130"/>
        <v>31000</v>
      </c>
      <c r="N571" s="159"/>
      <c r="O571" s="159"/>
      <c r="P571" s="159"/>
      <c r="Q571" s="159"/>
      <c r="R571" s="159"/>
      <c r="S571" s="150" t="s">
        <v>360</v>
      </c>
      <c r="T571" s="150" t="s">
        <v>358</v>
      </c>
      <c r="U571" s="202" t="s">
        <v>3924</v>
      </c>
      <c r="V571" s="204">
        <v>3</v>
      </c>
      <c r="W571" s="203" t="s">
        <v>5104</v>
      </c>
      <c r="X571" s="204" t="s">
        <v>213</v>
      </c>
      <c r="Y571" s="206">
        <v>220</v>
      </c>
      <c r="Z571" s="207">
        <v>100000</v>
      </c>
      <c r="AA571" s="207">
        <f t="shared" si="131"/>
        <v>10000000</v>
      </c>
      <c r="AB571" s="157">
        <v>100000</v>
      </c>
      <c r="AC571" s="158">
        <f t="shared" si="145"/>
        <v>69000</v>
      </c>
      <c r="AD571" s="159">
        <f t="shared" si="132"/>
        <v>3100000</v>
      </c>
      <c r="AE571" s="160"/>
      <c r="AF571" s="160">
        <f t="shared" si="133"/>
        <v>0</v>
      </c>
      <c r="AG571" s="161">
        <v>11000</v>
      </c>
      <c r="AH571" s="161">
        <f t="shared" si="134"/>
        <v>1100000</v>
      </c>
      <c r="AI571" s="162"/>
      <c r="AJ571" s="162">
        <f t="shared" si="135"/>
        <v>0</v>
      </c>
      <c r="AK571" s="164"/>
      <c r="AL571" s="164">
        <f t="shared" si="136"/>
        <v>0</v>
      </c>
      <c r="AM571" s="165">
        <f>10000+5000</f>
        <v>15000</v>
      </c>
      <c r="AN571" s="165">
        <f t="shared" si="137"/>
        <v>1500000</v>
      </c>
      <c r="AO571" s="166">
        <v>0</v>
      </c>
      <c r="AP571" s="166">
        <f t="shared" si="138"/>
        <v>0</v>
      </c>
      <c r="AQ571" s="162"/>
      <c r="AR571" s="162">
        <f t="shared" si="139"/>
        <v>0</v>
      </c>
      <c r="AS571" s="167">
        <v>5000</v>
      </c>
      <c r="AT571" s="167">
        <f t="shared" si="140"/>
        <v>500000</v>
      </c>
      <c r="AU571" s="163"/>
      <c r="AV571" s="163">
        <f t="shared" si="141"/>
        <v>0</v>
      </c>
      <c r="AW571" s="168"/>
      <c r="AX571" s="168">
        <f t="shared" si="142"/>
        <v>0</v>
      </c>
      <c r="AY571" s="170"/>
      <c r="AZ571" s="170">
        <f t="shared" si="143"/>
        <v>0</v>
      </c>
      <c r="BA571" s="166"/>
      <c r="BB571" s="166">
        <f t="shared" si="144"/>
        <v>0</v>
      </c>
    </row>
    <row r="572" spans="1:54" s="131" customFormat="1" ht="31.5">
      <c r="A572" s="148" t="s">
        <v>7486</v>
      </c>
      <c r="B572" s="203" t="s">
        <v>1330</v>
      </c>
      <c r="C572" s="203"/>
      <c r="D572" s="203"/>
      <c r="E572" s="203" t="s">
        <v>3929</v>
      </c>
      <c r="F572" s="205" t="s">
        <v>7488</v>
      </c>
      <c r="G572" s="205" t="s">
        <v>2385</v>
      </c>
      <c r="H572" s="204" t="s">
        <v>1580</v>
      </c>
      <c r="I572" s="204" t="s">
        <v>11</v>
      </c>
      <c r="J572" s="205" t="s">
        <v>7487</v>
      </c>
      <c r="K572" s="206">
        <v>140</v>
      </c>
      <c r="L572" s="206"/>
      <c r="M572" s="159">
        <f t="shared" si="130"/>
        <v>15000</v>
      </c>
      <c r="N572" s="159"/>
      <c r="O572" s="159"/>
      <c r="P572" s="159"/>
      <c r="Q572" s="159"/>
      <c r="R572" s="159"/>
      <c r="S572" s="149" t="s">
        <v>2385</v>
      </c>
      <c r="T572" s="150" t="s">
        <v>2380</v>
      </c>
      <c r="U572" s="202" t="s">
        <v>3928</v>
      </c>
      <c r="V572" s="204">
        <v>3</v>
      </c>
      <c r="W572" s="203" t="s">
        <v>5784</v>
      </c>
      <c r="X572" s="204" t="s">
        <v>213</v>
      </c>
      <c r="Y572" s="206">
        <v>250</v>
      </c>
      <c r="Z572" s="207">
        <v>100000</v>
      </c>
      <c r="AA572" s="207">
        <f t="shared" si="131"/>
        <v>14000000</v>
      </c>
      <c r="AB572" s="157">
        <v>100000</v>
      </c>
      <c r="AC572" s="158">
        <f t="shared" si="145"/>
        <v>85000</v>
      </c>
      <c r="AD572" s="159">
        <f t="shared" si="132"/>
        <v>2100000</v>
      </c>
      <c r="AE572" s="160"/>
      <c r="AF572" s="160">
        <f t="shared" si="133"/>
        <v>0</v>
      </c>
      <c r="AG572" s="165">
        <v>5000</v>
      </c>
      <c r="AH572" s="161">
        <f t="shared" si="134"/>
        <v>700000</v>
      </c>
      <c r="AI572" s="162"/>
      <c r="AJ572" s="162">
        <f t="shared" si="135"/>
        <v>0</v>
      </c>
      <c r="AK572" s="164"/>
      <c r="AL572" s="164">
        <f t="shared" si="136"/>
        <v>0</v>
      </c>
      <c r="AM572" s="165">
        <v>9000</v>
      </c>
      <c r="AN572" s="165">
        <f t="shared" si="137"/>
        <v>1260000</v>
      </c>
      <c r="AO572" s="166">
        <v>0</v>
      </c>
      <c r="AP572" s="166">
        <f t="shared" si="138"/>
        <v>0</v>
      </c>
      <c r="AQ572" s="162"/>
      <c r="AR572" s="162">
        <f t="shared" si="139"/>
        <v>0</v>
      </c>
      <c r="AS572" s="173">
        <v>1000</v>
      </c>
      <c r="AT572" s="167">
        <f t="shared" si="140"/>
        <v>140000</v>
      </c>
      <c r="AU572" s="163"/>
      <c r="AV572" s="163">
        <f t="shared" si="141"/>
        <v>0</v>
      </c>
      <c r="AW572" s="168"/>
      <c r="AX572" s="168">
        <f t="shared" si="142"/>
        <v>0</v>
      </c>
      <c r="AY572" s="170"/>
      <c r="AZ572" s="170">
        <f t="shared" si="143"/>
        <v>0</v>
      </c>
      <c r="BA572" s="166"/>
      <c r="BB572" s="166">
        <f t="shared" si="144"/>
        <v>0</v>
      </c>
    </row>
    <row r="573" spans="1:54" s="131" customFormat="1" ht="31.5">
      <c r="A573" s="172" t="s">
        <v>7489</v>
      </c>
      <c r="B573" s="203" t="s">
        <v>3779</v>
      </c>
      <c r="C573" s="203"/>
      <c r="D573" s="203"/>
      <c r="E573" s="203" t="s">
        <v>3778</v>
      </c>
      <c r="F573" s="205" t="s">
        <v>7491</v>
      </c>
      <c r="G573" s="205" t="s">
        <v>7211</v>
      </c>
      <c r="H573" s="204" t="s">
        <v>1915</v>
      </c>
      <c r="I573" s="204" t="s">
        <v>11</v>
      </c>
      <c r="J573" s="205" t="s">
        <v>7490</v>
      </c>
      <c r="K573" s="206">
        <v>72</v>
      </c>
      <c r="L573" s="206"/>
      <c r="M573" s="159">
        <f t="shared" si="130"/>
        <v>55800</v>
      </c>
      <c r="N573" s="159"/>
      <c r="O573" s="159"/>
      <c r="P573" s="159"/>
      <c r="Q573" s="159"/>
      <c r="R573" s="159"/>
      <c r="S573" s="150" t="s">
        <v>5328</v>
      </c>
      <c r="T573" s="150" t="s">
        <v>215</v>
      </c>
      <c r="U573" s="202" t="s">
        <v>3777</v>
      </c>
      <c r="V573" s="204">
        <v>3</v>
      </c>
      <c r="W573" s="203" t="s">
        <v>253</v>
      </c>
      <c r="X573" s="204" t="s">
        <v>213</v>
      </c>
      <c r="Y573" s="206">
        <v>252</v>
      </c>
      <c r="Z573" s="207">
        <v>150000</v>
      </c>
      <c r="AA573" s="207">
        <f t="shared" si="131"/>
        <v>10800000</v>
      </c>
      <c r="AB573" s="157">
        <v>150000</v>
      </c>
      <c r="AC573" s="158">
        <f t="shared" si="145"/>
        <v>94200</v>
      </c>
      <c r="AD573" s="159">
        <f t="shared" si="132"/>
        <v>4017600</v>
      </c>
      <c r="AE573" s="160"/>
      <c r="AF573" s="160">
        <f t="shared" si="133"/>
        <v>0</v>
      </c>
      <c r="AG573" s="161">
        <v>4200</v>
      </c>
      <c r="AH573" s="161">
        <f t="shared" si="134"/>
        <v>302400</v>
      </c>
      <c r="AI573" s="162"/>
      <c r="AJ573" s="162">
        <f t="shared" si="135"/>
        <v>0</v>
      </c>
      <c r="AK573" s="163">
        <v>30000</v>
      </c>
      <c r="AL573" s="164">
        <f t="shared" si="136"/>
        <v>2160000</v>
      </c>
      <c r="AM573" s="161"/>
      <c r="AN573" s="165">
        <f t="shared" si="137"/>
        <v>0</v>
      </c>
      <c r="AO573" s="160">
        <v>0</v>
      </c>
      <c r="AP573" s="166">
        <f t="shared" si="138"/>
        <v>0</v>
      </c>
      <c r="AQ573" s="162"/>
      <c r="AR573" s="162">
        <f t="shared" si="139"/>
        <v>0</v>
      </c>
      <c r="AS573" s="167">
        <v>21600</v>
      </c>
      <c r="AT573" s="167">
        <f t="shared" si="140"/>
        <v>1555200</v>
      </c>
      <c r="AU573" s="163"/>
      <c r="AV573" s="163">
        <f t="shared" si="141"/>
        <v>0</v>
      </c>
      <c r="AW573" s="162"/>
      <c r="AX573" s="168">
        <f t="shared" si="142"/>
        <v>0</v>
      </c>
      <c r="AY573" s="169"/>
      <c r="AZ573" s="170">
        <f t="shared" si="143"/>
        <v>0</v>
      </c>
      <c r="BA573" s="160"/>
      <c r="BB573" s="166">
        <f t="shared" si="144"/>
        <v>0</v>
      </c>
    </row>
    <row r="574" spans="1:54" s="131" customFormat="1" ht="31.5">
      <c r="A574" s="148" t="s">
        <v>7492</v>
      </c>
      <c r="B574" s="203" t="s">
        <v>274</v>
      </c>
      <c r="C574" s="203"/>
      <c r="D574" s="203"/>
      <c r="E574" s="203" t="s">
        <v>7494</v>
      </c>
      <c r="F574" s="205" t="s">
        <v>7495</v>
      </c>
      <c r="G574" s="205" t="s">
        <v>1268</v>
      </c>
      <c r="H574" s="204" t="s">
        <v>17</v>
      </c>
      <c r="I574" s="204" t="s">
        <v>11</v>
      </c>
      <c r="J574" s="205" t="s">
        <v>6792</v>
      </c>
      <c r="K574" s="206">
        <v>1197</v>
      </c>
      <c r="L574" s="206"/>
      <c r="M574" s="159">
        <f t="shared" si="130"/>
        <v>0</v>
      </c>
      <c r="N574" s="159"/>
      <c r="O574" s="159"/>
      <c r="P574" s="159"/>
      <c r="Q574" s="159"/>
      <c r="R574" s="159"/>
      <c r="S574" s="150" t="s">
        <v>5368</v>
      </c>
      <c r="T574" s="150" t="s">
        <v>5369</v>
      </c>
      <c r="U574" s="202" t="s">
        <v>7493</v>
      </c>
      <c r="V574" s="204">
        <v>3</v>
      </c>
      <c r="W574" s="203" t="s">
        <v>5104</v>
      </c>
      <c r="X574" s="204" t="s">
        <v>213</v>
      </c>
      <c r="Y574" s="206">
        <v>1500</v>
      </c>
      <c r="Z574" s="207">
        <v>40000</v>
      </c>
      <c r="AA574" s="207">
        <f t="shared" si="131"/>
        <v>47880000</v>
      </c>
      <c r="AB574" s="157">
        <v>40000</v>
      </c>
      <c r="AC574" s="158">
        <f t="shared" si="145"/>
        <v>40000</v>
      </c>
      <c r="AD574" s="159">
        <f t="shared" si="132"/>
        <v>0</v>
      </c>
      <c r="AE574" s="160"/>
      <c r="AF574" s="160">
        <f t="shared" si="133"/>
        <v>0</v>
      </c>
      <c r="AG574" s="165"/>
      <c r="AH574" s="161">
        <f t="shared" si="134"/>
        <v>0</v>
      </c>
      <c r="AI574" s="162"/>
      <c r="AJ574" s="162">
        <f t="shared" si="135"/>
        <v>0</v>
      </c>
      <c r="AK574" s="164"/>
      <c r="AL574" s="164">
        <f t="shared" si="136"/>
        <v>0</v>
      </c>
      <c r="AM574" s="165"/>
      <c r="AN574" s="165">
        <f t="shared" si="137"/>
        <v>0</v>
      </c>
      <c r="AO574" s="166">
        <v>0</v>
      </c>
      <c r="AP574" s="166">
        <f t="shared" si="138"/>
        <v>0</v>
      </c>
      <c r="AQ574" s="162"/>
      <c r="AR574" s="162">
        <f t="shared" si="139"/>
        <v>0</v>
      </c>
      <c r="AS574" s="173"/>
      <c r="AT574" s="167">
        <f t="shared" si="140"/>
        <v>0</v>
      </c>
      <c r="AU574" s="163"/>
      <c r="AV574" s="163">
        <f t="shared" si="141"/>
        <v>0</v>
      </c>
      <c r="AW574" s="168"/>
      <c r="AX574" s="168">
        <f t="shared" si="142"/>
        <v>0</v>
      </c>
      <c r="AY574" s="170"/>
      <c r="AZ574" s="170">
        <f t="shared" si="143"/>
        <v>0</v>
      </c>
      <c r="BA574" s="166"/>
      <c r="BB574" s="166">
        <f t="shared" si="144"/>
        <v>0</v>
      </c>
    </row>
    <row r="575" spans="1:54" s="131" customFormat="1" ht="31.5">
      <c r="A575" s="148" t="s">
        <v>7496</v>
      </c>
      <c r="B575" s="203" t="s">
        <v>1970</v>
      </c>
      <c r="C575" s="203"/>
      <c r="D575" s="203"/>
      <c r="E575" s="203" t="s">
        <v>1971</v>
      </c>
      <c r="F575" s="205" t="s">
        <v>1973</v>
      </c>
      <c r="G575" s="205" t="s">
        <v>1953</v>
      </c>
      <c r="H575" s="204" t="s">
        <v>1972</v>
      </c>
      <c r="I575" s="204" t="s">
        <v>11</v>
      </c>
      <c r="J575" s="205" t="s">
        <v>7498</v>
      </c>
      <c r="K575" s="206">
        <v>1785</v>
      </c>
      <c r="L575" s="206"/>
      <c r="M575" s="159">
        <f t="shared" si="130"/>
        <v>0</v>
      </c>
      <c r="N575" s="159"/>
      <c r="O575" s="159"/>
      <c r="P575" s="159"/>
      <c r="Q575" s="159"/>
      <c r="R575" s="159"/>
      <c r="S575" s="150" t="s">
        <v>5340</v>
      </c>
      <c r="T575" s="150" t="s">
        <v>5341</v>
      </c>
      <c r="U575" s="202" t="s">
        <v>7497</v>
      </c>
      <c r="V575" s="204">
        <v>3</v>
      </c>
      <c r="W575" s="203" t="s">
        <v>5104</v>
      </c>
      <c r="X575" s="204" t="s">
        <v>213</v>
      </c>
      <c r="Y575" s="206">
        <v>1950</v>
      </c>
      <c r="Z575" s="207">
        <v>20000</v>
      </c>
      <c r="AA575" s="207">
        <f t="shared" si="131"/>
        <v>35700000</v>
      </c>
      <c r="AB575" s="157">
        <v>20000</v>
      </c>
      <c r="AC575" s="158">
        <f t="shared" si="145"/>
        <v>20000</v>
      </c>
      <c r="AD575" s="159">
        <f t="shared" si="132"/>
        <v>0</v>
      </c>
      <c r="AE575" s="160"/>
      <c r="AF575" s="160">
        <f t="shared" si="133"/>
        <v>0</v>
      </c>
      <c r="AG575" s="165"/>
      <c r="AH575" s="161">
        <f t="shared" si="134"/>
        <v>0</v>
      </c>
      <c r="AI575" s="162"/>
      <c r="AJ575" s="162">
        <f t="shared" si="135"/>
        <v>0</v>
      </c>
      <c r="AK575" s="164"/>
      <c r="AL575" s="164">
        <f t="shared" si="136"/>
        <v>0</v>
      </c>
      <c r="AM575" s="165"/>
      <c r="AN575" s="165">
        <f t="shared" si="137"/>
        <v>0</v>
      </c>
      <c r="AO575" s="166">
        <v>0</v>
      </c>
      <c r="AP575" s="166">
        <f t="shared" si="138"/>
        <v>0</v>
      </c>
      <c r="AQ575" s="162"/>
      <c r="AR575" s="162">
        <f t="shared" si="139"/>
        <v>0</v>
      </c>
      <c r="AS575" s="173"/>
      <c r="AT575" s="167">
        <f t="shared" si="140"/>
        <v>0</v>
      </c>
      <c r="AU575" s="163"/>
      <c r="AV575" s="163">
        <f t="shared" si="141"/>
        <v>0</v>
      </c>
      <c r="AW575" s="168"/>
      <c r="AX575" s="168">
        <f t="shared" si="142"/>
        <v>0</v>
      </c>
      <c r="AY575" s="170"/>
      <c r="AZ575" s="170">
        <f t="shared" si="143"/>
        <v>0</v>
      </c>
      <c r="BA575" s="166"/>
      <c r="BB575" s="166">
        <f t="shared" si="144"/>
        <v>0</v>
      </c>
    </row>
    <row r="576" spans="1:54" s="131" customFormat="1" ht="31.5">
      <c r="A576" s="172" t="s">
        <v>7499</v>
      </c>
      <c r="B576" s="203" t="s">
        <v>1702</v>
      </c>
      <c r="C576" s="203"/>
      <c r="D576" s="203"/>
      <c r="E576" s="203" t="s">
        <v>4328</v>
      </c>
      <c r="F576" s="205" t="s">
        <v>7500</v>
      </c>
      <c r="G576" s="205" t="s">
        <v>7501</v>
      </c>
      <c r="H576" s="204" t="s">
        <v>238</v>
      </c>
      <c r="I576" s="204" t="s">
        <v>11</v>
      </c>
      <c r="J576" s="205" t="s">
        <v>6709</v>
      </c>
      <c r="K576" s="206">
        <v>475</v>
      </c>
      <c r="L576" s="206"/>
      <c r="M576" s="159">
        <f t="shared" si="130"/>
        <v>300</v>
      </c>
      <c r="N576" s="159"/>
      <c r="O576" s="159"/>
      <c r="P576" s="159"/>
      <c r="Q576" s="159"/>
      <c r="R576" s="159"/>
      <c r="S576" s="149" t="s">
        <v>5830</v>
      </c>
      <c r="T576" s="149" t="s">
        <v>5831</v>
      </c>
      <c r="U576" s="202" t="s">
        <v>4327</v>
      </c>
      <c r="V576" s="204">
        <v>3</v>
      </c>
      <c r="W576" s="203" t="s">
        <v>5104</v>
      </c>
      <c r="X576" s="204" t="s">
        <v>213</v>
      </c>
      <c r="Y576" s="206">
        <v>1000</v>
      </c>
      <c r="Z576" s="207">
        <v>45000</v>
      </c>
      <c r="AA576" s="207">
        <f t="shared" si="131"/>
        <v>21375000</v>
      </c>
      <c r="AB576" s="157">
        <v>45000</v>
      </c>
      <c r="AC576" s="158">
        <f t="shared" si="145"/>
        <v>44700</v>
      </c>
      <c r="AD576" s="159">
        <f t="shared" si="132"/>
        <v>142500</v>
      </c>
      <c r="AE576" s="160"/>
      <c r="AF576" s="160">
        <f t="shared" si="133"/>
        <v>0</v>
      </c>
      <c r="AG576" s="165">
        <v>300</v>
      </c>
      <c r="AH576" s="161">
        <f t="shared" si="134"/>
        <v>142500</v>
      </c>
      <c r="AI576" s="162"/>
      <c r="AJ576" s="162">
        <f t="shared" si="135"/>
        <v>0</v>
      </c>
      <c r="AK576" s="164"/>
      <c r="AL576" s="164">
        <f t="shared" si="136"/>
        <v>0</v>
      </c>
      <c r="AM576" s="165"/>
      <c r="AN576" s="165">
        <f t="shared" si="137"/>
        <v>0</v>
      </c>
      <c r="AO576" s="166">
        <v>0</v>
      </c>
      <c r="AP576" s="166">
        <f t="shared" si="138"/>
        <v>0</v>
      </c>
      <c r="AQ576" s="162"/>
      <c r="AR576" s="162">
        <f t="shared" si="139"/>
        <v>0</v>
      </c>
      <c r="AS576" s="173"/>
      <c r="AT576" s="167">
        <f t="shared" si="140"/>
        <v>0</v>
      </c>
      <c r="AU576" s="163"/>
      <c r="AV576" s="163">
        <f t="shared" si="141"/>
        <v>0</v>
      </c>
      <c r="AW576" s="168"/>
      <c r="AX576" s="168">
        <f t="shared" si="142"/>
        <v>0</v>
      </c>
      <c r="AY576" s="170"/>
      <c r="AZ576" s="170">
        <f t="shared" si="143"/>
        <v>0</v>
      </c>
      <c r="BA576" s="166"/>
      <c r="BB576" s="166">
        <f t="shared" si="144"/>
        <v>0</v>
      </c>
    </row>
    <row r="577" spans="1:54" s="131" customFormat="1" ht="31.5">
      <c r="A577" s="148" t="s">
        <v>7502</v>
      </c>
      <c r="B577" s="203" t="s">
        <v>1702</v>
      </c>
      <c r="C577" s="203"/>
      <c r="D577" s="203"/>
      <c r="E577" s="203" t="s">
        <v>7504</v>
      </c>
      <c r="F577" s="205" t="s">
        <v>7505</v>
      </c>
      <c r="G577" s="205" t="s">
        <v>6979</v>
      </c>
      <c r="H577" s="204" t="s">
        <v>327</v>
      </c>
      <c r="I577" s="204" t="s">
        <v>16</v>
      </c>
      <c r="J577" s="205" t="s">
        <v>6321</v>
      </c>
      <c r="K577" s="206">
        <v>248</v>
      </c>
      <c r="L577" s="206"/>
      <c r="M577" s="159">
        <f t="shared" si="130"/>
        <v>0</v>
      </c>
      <c r="N577" s="159"/>
      <c r="O577" s="159"/>
      <c r="P577" s="159"/>
      <c r="Q577" s="159"/>
      <c r="R577" s="159"/>
      <c r="S577" s="149" t="s">
        <v>5360</v>
      </c>
      <c r="T577" s="150" t="s">
        <v>489</v>
      </c>
      <c r="U577" s="202" t="s">
        <v>7503</v>
      </c>
      <c r="V577" s="204">
        <v>3</v>
      </c>
      <c r="W577" s="203" t="s">
        <v>5104</v>
      </c>
      <c r="X577" s="204" t="s">
        <v>213</v>
      </c>
      <c r="Y577" s="206">
        <v>1200</v>
      </c>
      <c r="Z577" s="207">
        <v>50000</v>
      </c>
      <c r="AA577" s="207">
        <f t="shared" si="131"/>
        <v>12400000</v>
      </c>
      <c r="AB577" s="157">
        <v>50000</v>
      </c>
      <c r="AC577" s="158">
        <f t="shared" si="145"/>
        <v>50000</v>
      </c>
      <c r="AD577" s="159">
        <f t="shared" si="132"/>
        <v>0</v>
      </c>
      <c r="AE577" s="160"/>
      <c r="AF577" s="160">
        <f t="shared" si="133"/>
        <v>0</v>
      </c>
      <c r="AG577" s="165"/>
      <c r="AH577" s="161">
        <f t="shared" si="134"/>
        <v>0</v>
      </c>
      <c r="AI577" s="162"/>
      <c r="AJ577" s="162">
        <f t="shared" si="135"/>
        <v>0</v>
      </c>
      <c r="AK577" s="164"/>
      <c r="AL577" s="164">
        <f t="shared" si="136"/>
        <v>0</v>
      </c>
      <c r="AM577" s="165"/>
      <c r="AN577" s="165">
        <f t="shared" si="137"/>
        <v>0</v>
      </c>
      <c r="AO577" s="166">
        <v>0</v>
      </c>
      <c r="AP577" s="166">
        <f t="shared" si="138"/>
        <v>0</v>
      </c>
      <c r="AQ577" s="162"/>
      <c r="AR577" s="162">
        <f t="shared" si="139"/>
        <v>0</v>
      </c>
      <c r="AS577" s="173"/>
      <c r="AT577" s="167">
        <f t="shared" si="140"/>
        <v>0</v>
      </c>
      <c r="AU577" s="163"/>
      <c r="AV577" s="163">
        <f t="shared" si="141"/>
        <v>0</v>
      </c>
      <c r="AW577" s="168"/>
      <c r="AX577" s="168">
        <f t="shared" si="142"/>
        <v>0</v>
      </c>
      <c r="AY577" s="170"/>
      <c r="AZ577" s="170">
        <f t="shared" si="143"/>
        <v>0</v>
      </c>
      <c r="BA577" s="166"/>
      <c r="BB577" s="166">
        <f t="shared" si="144"/>
        <v>0</v>
      </c>
    </row>
    <row r="578" spans="1:54" s="131" customFormat="1">
      <c r="A578" s="148" t="s">
        <v>7506</v>
      </c>
      <c r="B578" s="203" t="s">
        <v>2501</v>
      </c>
      <c r="C578" s="203"/>
      <c r="D578" s="203"/>
      <c r="E578" s="203" t="s">
        <v>4112</v>
      </c>
      <c r="F578" s="205" t="s">
        <v>3068</v>
      </c>
      <c r="G578" s="205" t="s">
        <v>712</v>
      </c>
      <c r="H578" s="204" t="s">
        <v>299</v>
      </c>
      <c r="I578" s="204" t="s">
        <v>11</v>
      </c>
      <c r="J578" s="205" t="s">
        <v>7507</v>
      </c>
      <c r="K578" s="206">
        <v>3150</v>
      </c>
      <c r="L578" s="206"/>
      <c r="M578" s="159">
        <f t="shared" si="130"/>
        <v>17000</v>
      </c>
      <c r="N578" s="159"/>
      <c r="O578" s="159"/>
      <c r="P578" s="159"/>
      <c r="Q578" s="159"/>
      <c r="R578" s="159"/>
      <c r="S578" s="149" t="s">
        <v>6965</v>
      </c>
      <c r="T578" s="149" t="s">
        <v>6966</v>
      </c>
      <c r="U578" s="202" t="s">
        <v>4111</v>
      </c>
      <c r="V578" s="204">
        <v>3</v>
      </c>
      <c r="W578" s="203" t="s">
        <v>5104</v>
      </c>
      <c r="X578" s="204" t="s">
        <v>213</v>
      </c>
      <c r="Y578" s="206">
        <v>3240</v>
      </c>
      <c r="Z578" s="207">
        <v>60000</v>
      </c>
      <c r="AA578" s="207">
        <f t="shared" si="131"/>
        <v>189000000</v>
      </c>
      <c r="AB578" s="157">
        <v>60000</v>
      </c>
      <c r="AC578" s="158">
        <f t="shared" si="145"/>
        <v>43000</v>
      </c>
      <c r="AD578" s="159">
        <f t="shared" si="132"/>
        <v>53550000</v>
      </c>
      <c r="AE578" s="160"/>
      <c r="AF578" s="160">
        <f t="shared" si="133"/>
        <v>0</v>
      </c>
      <c r="AG578" s="165">
        <v>6000</v>
      </c>
      <c r="AH578" s="161">
        <f t="shared" si="134"/>
        <v>18900000</v>
      </c>
      <c r="AI578" s="162"/>
      <c r="AJ578" s="162">
        <f t="shared" si="135"/>
        <v>0</v>
      </c>
      <c r="AK578" s="164"/>
      <c r="AL578" s="164">
        <f t="shared" si="136"/>
        <v>0</v>
      </c>
      <c r="AM578" s="165">
        <v>5000</v>
      </c>
      <c r="AN578" s="165">
        <f t="shared" si="137"/>
        <v>15750000</v>
      </c>
      <c r="AO578" s="166">
        <v>0</v>
      </c>
      <c r="AP578" s="166">
        <f t="shared" si="138"/>
        <v>0</v>
      </c>
      <c r="AQ578" s="162"/>
      <c r="AR578" s="162">
        <f t="shared" si="139"/>
        <v>0</v>
      </c>
      <c r="AS578" s="173">
        <v>6000</v>
      </c>
      <c r="AT578" s="167">
        <f t="shared" si="140"/>
        <v>18900000</v>
      </c>
      <c r="AU578" s="163"/>
      <c r="AV578" s="163">
        <f t="shared" si="141"/>
        <v>0</v>
      </c>
      <c r="AW578" s="168"/>
      <c r="AX578" s="168">
        <f t="shared" si="142"/>
        <v>0</v>
      </c>
      <c r="AY578" s="170"/>
      <c r="AZ578" s="170">
        <f t="shared" si="143"/>
        <v>0</v>
      </c>
      <c r="BA578" s="166"/>
      <c r="BB578" s="166">
        <f t="shared" si="144"/>
        <v>0</v>
      </c>
    </row>
    <row r="579" spans="1:54" s="131" customFormat="1" ht="31.5">
      <c r="A579" s="172" t="s">
        <v>7508</v>
      </c>
      <c r="B579" s="203" t="s">
        <v>378</v>
      </c>
      <c r="C579" s="203"/>
      <c r="D579" s="203"/>
      <c r="E579" s="203" t="s">
        <v>7510</v>
      </c>
      <c r="F579" s="205" t="s">
        <v>7512</v>
      </c>
      <c r="G579" s="205" t="s">
        <v>7513</v>
      </c>
      <c r="H579" s="204" t="s">
        <v>299</v>
      </c>
      <c r="I579" s="204" t="s">
        <v>13</v>
      </c>
      <c r="J579" s="205" t="s">
        <v>7511</v>
      </c>
      <c r="K579" s="206">
        <v>2400</v>
      </c>
      <c r="L579" s="206"/>
      <c r="M579" s="159">
        <f t="shared" si="130"/>
        <v>0</v>
      </c>
      <c r="N579" s="159"/>
      <c r="O579" s="159"/>
      <c r="P579" s="159"/>
      <c r="Q579" s="159"/>
      <c r="R579" s="159"/>
      <c r="S579" s="150" t="s">
        <v>5293</v>
      </c>
      <c r="T579" s="150" t="s">
        <v>5294</v>
      </c>
      <c r="U579" s="202" t="s">
        <v>7509</v>
      </c>
      <c r="V579" s="204">
        <v>3</v>
      </c>
      <c r="W579" s="203" t="s">
        <v>5104</v>
      </c>
      <c r="X579" s="204" t="s">
        <v>213</v>
      </c>
      <c r="Y579" s="206">
        <v>4500</v>
      </c>
      <c r="Z579" s="207">
        <v>50000</v>
      </c>
      <c r="AA579" s="207">
        <f t="shared" si="131"/>
        <v>120000000</v>
      </c>
      <c r="AB579" s="157">
        <v>50000</v>
      </c>
      <c r="AC579" s="158">
        <f t="shared" si="145"/>
        <v>50000</v>
      </c>
      <c r="AD579" s="159">
        <f t="shared" si="132"/>
        <v>0</v>
      </c>
      <c r="AE579" s="160"/>
      <c r="AF579" s="160">
        <f t="shared" si="133"/>
        <v>0</v>
      </c>
      <c r="AG579" s="165"/>
      <c r="AH579" s="161">
        <f t="shared" si="134"/>
        <v>0</v>
      </c>
      <c r="AI579" s="162"/>
      <c r="AJ579" s="162">
        <f t="shared" si="135"/>
        <v>0</v>
      </c>
      <c r="AK579" s="164"/>
      <c r="AL579" s="164">
        <f t="shared" si="136"/>
        <v>0</v>
      </c>
      <c r="AM579" s="165"/>
      <c r="AN579" s="165">
        <f t="shared" si="137"/>
        <v>0</v>
      </c>
      <c r="AO579" s="166">
        <v>0</v>
      </c>
      <c r="AP579" s="166">
        <f t="shared" si="138"/>
        <v>0</v>
      </c>
      <c r="AQ579" s="162"/>
      <c r="AR579" s="162">
        <f t="shared" si="139"/>
        <v>0</v>
      </c>
      <c r="AS579" s="173"/>
      <c r="AT579" s="167">
        <f t="shared" si="140"/>
        <v>0</v>
      </c>
      <c r="AU579" s="163"/>
      <c r="AV579" s="163">
        <f t="shared" si="141"/>
        <v>0</v>
      </c>
      <c r="AW579" s="168"/>
      <c r="AX579" s="168">
        <f t="shared" si="142"/>
        <v>0</v>
      </c>
      <c r="AY579" s="170"/>
      <c r="AZ579" s="170">
        <f t="shared" si="143"/>
        <v>0</v>
      </c>
      <c r="BA579" s="166"/>
      <c r="BB579" s="166">
        <f t="shared" si="144"/>
        <v>0</v>
      </c>
    </row>
    <row r="580" spans="1:54" s="131" customFormat="1">
      <c r="A580" s="148" t="s">
        <v>7514</v>
      </c>
      <c r="B580" s="203" t="s">
        <v>1668</v>
      </c>
      <c r="C580" s="203"/>
      <c r="D580" s="203"/>
      <c r="E580" s="203" t="s">
        <v>4151</v>
      </c>
      <c r="F580" s="205" t="s">
        <v>7516</v>
      </c>
      <c r="G580" s="205" t="s">
        <v>1449</v>
      </c>
      <c r="H580" s="204" t="s">
        <v>869</v>
      </c>
      <c r="I580" s="204" t="s">
        <v>11</v>
      </c>
      <c r="J580" s="205" t="s">
        <v>7515</v>
      </c>
      <c r="K580" s="206">
        <v>542</v>
      </c>
      <c r="L580" s="206"/>
      <c r="M580" s="159">
        <f t="shared" ref="M580:M643" si="146">AE580+AG580+AI580+AK580+AM580+AO580+AQ580+AS580+AU580+AW580+AY580+BA580</f>
        <v>13000</v>
      </c>
      <c r="N580" s="159"/>
      <c r="O580" s="159"/>
      <c r="P580" s="159"/>
      <c r="Q580" s="159"/>
      <c r="R580" s="159"/>
      <c r="S580" s="149" t="s">
        <v>7241</v>
      </c>
      <c r="T580" s="149" t="s">
        <v>7242</v>
      </c>
      <c r="U580" s="202" t="s">
        <v>4150</v>
      </c>
      <c r="V580" s="204">
        <v>3</v>
      </c>
      <c r="W580" s="203" t="s">
        <v>5104</v>
      </c>
      <c r="X580" s="204" t="s">
        <v>213</v>
      </c>
      <c r="Y580" s="206">
        <v>1900</v>
      </c>
      <c r="Z580" s="207">
        <v>50000</v>
      </c>
      <c r="AA580" s="207">
        <f t="shared" ref="AA580:AA643" si="147">Z580*K580</f>
        <v>27100000</v>
      </c>
      <c r="AB580" s="157">
        <v>50000</v>
      </c>
      <c r="AC580" s="158">
        <f t="shared" si="145"/>
        <v>37000</v>
      </c>
      <c r="AD580" s="159">
        <f t="shared" ref="AD580:AD643" si="148">M580*K580</f>
        <v>7046000</v>
      </c>
      <c r="AE580" s="160"/>
      <c r="AF580" s="160">
        <f t="shared" ref="AF580:AF643" si="149">AE580*K580</f>
        <v>0</v>
      </c>
      <c r="AG580" s="165"/>
      <c r="AH580" s="161">
        <f t="shared" ref="AH580:AH643" si="150">AG580*K580</f>
        <v>0</v>
      </c>
      <c r="AI580" s="162"/>
      <c r="AJ580" s="162">
        <f t="shared" ref="AJ580:AJ643" si="151">AI580*K580</f>
        <v>0</v>
      </c>
      <c r="AK580" s="163"/>
      <c r="AL580" s="164">
        <f t="shared" ref="AL580:AL643" si="152">AK580*K580</f>
        <v>0</v>
      </c>
      <c r="AM580" s="161"/>
      <c r="AN580" s="165">
        <f t="shared" ref="AN580:AN643" si="153">AM580*K580</f>
        <v>0</v>
      </c>
      <c r="AO580" s="160">
        <v>8000</v>
      </c>
      <c r="AP580" s="166">
        <f t="shared" ref="AP580:AP643" si="154">AO580*K580</f>
        <v>4336000</v>
      </c>
      <c r="AQ580" s="162"/>
      <c r="AR580" s="162">
        <f t="shared" ref="AR580:AR643" si="155">AQ580*K580</f>
        <v>0</v>
      </c>
      <c r="AS580" s="173">
        <v>5000</v>
      </c>
      <c r="AT580" s="167">
        <f t="shared" ref="AT580:AT643" si="156">AS580*K580</f>
        <v>2710000</v>
      </c>
      <c r="AU580" s="163"/>
      <c r="AV580" s="163">
        <f t="shared" ref="AV580:AV643" si="157">AU580*K580</f>
        <v>0</v>
      </c>
      <c r="AW580" s="162"/>
      <c r="AX580" s="168">
        <f t="shared" ref="AX580:AX643" si="158">AW580*K580</f>
        <v>0</v>
      </c>
      <c r="AY580" s="169"/>
      <c r="AZ580" s="170">
        <f t="shared" ref="AZ580:AZ643" si="159">AY580*K580</f>
        <v>0</v>
      </c>
      <c r="BA580" s="160"/>
      <c r="BB580" s="166">
        <f t="shared" ref="BB580:BB643" si="160">BA580*K580</f>
        <v>0</v>
      </c>
    </row>
    <row r="581" spans="1:54" s="131" customFormat="1" ht="31.5">
      <c r="A581" s="148" t="s">
        <v>7517</v>
      </c>
      <c r="B581" s="203" t="s">
        <v>7519</v>
      </c>
      <c r="C581" s="203"/>
      <c r="D581" s="203"/>
      <c r="E581" s="203" t="s">
        <v>7520</v>
      </c>
      <c r="F581" s="205" t="s">
        <v>7522</v>
      </c>
      <c r="G581" s="205" t="s">
        <v>7523</v>
      </c>
      <c r="H581" s="204" t="s">
        <v>4782</v>
      </c>
      <c r="I581" s="204" t="s">
        <v>11</v>
      </c>
      <c r="J581" s="205" t="s">
        <v>7521</v>
      </c>
      <c r="K581" s="206">
        <v>12200</v>
      </c>
      <c r="L581" s="206"/>
      <c r="M581" s="159">
        <f t="shared" si="146"/>
        <v>0</v>
      </c>
      <c r="N581" s="159"/>
      <c r="O581" s="159"/>
      <c r="P581" s="159"/>
      <c r="Q581" s="159"/>
      <c r="R581" s="159"/>
      <c r="S581" s="149" t="s">
        <v>5887</v>
      </c>
      <c r="T581" s="149" t="s">
        <v>5888</v>
      </c>
      <c r="U581" s="202" t="s">
        <v>7518</v>
      </c>
      <c r="V581" s="204">
        <v>3</v>
      </c>
      <c r="W581" s="203" t="s">
        <v>5104</v>
      </c>
      <c r="X581" s="204" t="s">
        <v>213</v>
      </c>
      <c r="Y581" s="206">
        <v>12600</v>
      </c>
      <c r="Z581" s="207">
        <v>10000</v>
      </c>
      <c r="AA581" s="207">
        <f t="shared" si="147"/>
        <v>122000000</v>
      </c>
      <c r="AB581" s="157">
        <v>10000</v>
      </c>
      <c r="AC581" s="158">
        <f t="shared" si="145"/>
        <v>10000</v>
      </c>
      <c r="AD581" s="159">
        <f t="shared" si="148"/>
        <v>0</v>
      </c>
      <c r="AE581" s="160"/>
      <c r="AF581" s="160">
        <f t="shared" si="149"/>
        <v>0</v>
      </c>
      <c r="AG581" s="165"/>
      <c r="AH581" s="161">
        <f t="shared" si="150"/>
        <v>0</v>
      </c>
      <c r="AI581" s="162"/>
      <c r="AJ581" s="162">
        <f t="shared" si="151"/>
        <v>0</v>
      </c>
      <c r="AK581" s="163"/>
      <c r="AL581" s="164">
        <f t="shared" si="152"/>
        <v>0</v>
      </c>
      <c r="AM581" s="161"/>
      <c r="AN581" s="165">
        <f t="shared" si="153"/>
        <v>0</v>
      </c>
      <c r="AO581" s="160">
        <v>0</v>
      </c>
      <c r="AP581" s="166">
        <f t="shared" si="154"/>
        <v>0</v>
      </c>
      <c r="AQ581" s="162"/>
      <c r="AR581" s="162">
        <f t="shared" si="155"/>
        <v>0</v>
      </c>
      <c r="AS581" s="173"/>
      <c r="AT581" s="167">
        <f t="shared" si="156"/>
        <v>0</v>
      </c>
      <c r="AU581" s="163"/>
      <c r="AV581" s="163">
        <f t="shared" si="157"/>
        <v>0</v>
      </c>
      <c r="AW581" s="162"/>
      <c r="AX581" s="168">
        <f t="shared" si="158"/>
        <v>0</v>
      </c>
      <c r="AY581" s="169"/>
      <c r="AZ581" s="170">
        <f t="shared" si="159"/>
        <v>0</v>
      </c>
      <c r="BA581" s="160"/>
      <c r="BB581" s="166">
        <f t="shared" si="160"/>
        <v>0</v>
      </c>
    </row>
    <row r="582" spans="1:54" s="131" customFormat="1">
      <c r="A582" s="172" t="s">
        <v>7524</v>
      </c>
      <c r="B582" s="203" t="s">
        <v>1550</v>
      </c>
      <c r="C582" s="203"/>
      <c r="D582" s="203"/>
      <c r="E582" s="203" t="s">
        <v>1776</v>
      </c>
      <c r="F582" s="205" t="s">
        <v>1778</v>
      </c>
      <c r="G582" s="205" t="s">
        <v>7362</v>
      </c>
      <c r="H582" s="204" t="s">
        <v>1777</v>
      </c>
      <c r="I582" s="204" t="s">
        <v>11</v>
      </c>
      <c r="J582" s="205" t="s">
        <v>7525</v>
      </c>
      <c r="K582" s="206">
        <v>220</v>
      </c>
      <c r="L582" s="206"/>
      <c r="M582" s="159">
        <f t="shared" si="146"/>
        <v>9990</v>
      </c>
      <c r="N582" s="159"/>
      <c r="O582" s="159"/>
      <c r="P582" s="159"/>
      <c r="Q582" s="159"/>
      <c r="R582" s="159"/>
      <c r="S582" s="149" t="s">
        <v>7359</v>
      </c>
      <c r="T582" s="149" t="s">
        <v>7360</v>
      </c>
      <c r="U582" s="202" t="s">
        <v>4982</v>
      </c>
      <c r="V582" s="204">
        <v>3</v>
      </c>
      <c r="W582" s="203" t="s">
        <v>5104</v>
      </c>
      <c r="X582" s="204" t="s">
        <v>213</v>
      </c>
      <c r="Y582" s="206">
        <v>710</v>
      </c>
      <c r="Z582" s="207">
        <v>50000</v>
      </c>
      <c r="AA582" s="207">
        <f t="shared" si="147"/>
        <v>11000000</v>
      </c>
      <c r="AB582" s="157">
        <v>50000</v>
      </c>
      <c r="AC582" s="158">
        <f t="shared" si="145"/>
        <v>40010</v>
      </c>
      <c r="AD582" s="159">
        <f t="shared" si="148"/>
        <v>2197800</v>
      </c>
      <c r="AE582" s="160"/>
      <c r="AF582" s="160">
        <f t="shared" si="149"/>
        <v>0</v>
      </c>
      <c r="AG582" s="165">
        <v>9990</v>
      </c>
      <c r="AH582" s="161">
        <f t="shared" si="150"/>
        <v>2197800</v>
      </c>
      <c r="AI582" s="162"/>
      <c r="AJ582" s="162">
        <f t="shared" si="151"/>
        <v>0</v>
      </c>
      <c r="AK582" s="164"/>
      <c r="AL582" s="164">
        <f t="shared" si="152"/>
        <v>0</v>
      </c>
      <c r="AM582" s="165"/>
      <c r="AN582" s="165">
        <f t="shared" si="153"/>
        <v>0</v>
      </c>
      <c r="AO582" s="166">
        <v>0</v>
      </c>
      <c r="AP582" s="166">
        <f t="shared" si="154"/>
        <v>0</v>
      </c>
      <c r="AQ582" s="162"/>
      <c r="AR582" s="162">
        <f t="shared" si="155"/>
        <v>0</v>
      </c>
      <c r="AS582" s="173"/>
      <c r="AT582" s="167">
        <f t="shared" si="156"/>
        <v>0</v>
      </c>
      <c r="AU582" s="163"/>
      <c r="AV582" s="163">
        <f t="shared" si="157"/>
        <v>0</v>
      </c>
      <c r="AW582" s="168"/>
      <c r="AX582" s="168">
        <f t="shared" si="158"/>
        <v>0</v>
      </c>
      <c r="AY582" s="170"/>
      <c r="AZ582" s="170">
        <f t="shared" si="159"/>
        <v>0</v>
      </c>
      <c r="BA582" s="166"/>
      <c r="BB582" s="166">
        <f t="shared" si="160"/>
        <v>0</v>
      </c>
    </row>
    <row r="583" spans="1:54" s="131" customFormat="1" ht="31.5">
      <c r="A583" s="148" t="s">
        <v>7526</v>
      </c>
      <c r="B583" s="203" t="s">
        <v>1550</v>
      </c>
      <c r="C583" s="203"/>
      <c r="D583" s="203"/>
      <c r="E583" s="203" t="s">
        <v>5020</v>
      </c>
      <c r="F583" s="205" t="s">
        <v>7528</v>
      </c>
      <c r="G583" s="205" t="s">
        <v>7161</v>
      </c>
      <c r="H583" s="204" t="s">
        <v>5021</v>
      </c>
      <c r="I583" s="204" t="s">
        <v>11</v>
      </c>
      <c r="J583" s="205" t="s">
        <v>7527</v>
      </c>
      <c r="K583" s="206">
        <v>470</v>
      </c>
      <c r="L583" s="206"/>
      <c r="M583" s="159">
        <f t="shared" si="146"/>
        <v>3000</v>
      </c>
      <c r="N583" s="159"/>
      <c r="O583" s="159"/>
      <c r="P583" s="159"/>
      <c r="Q583" s="159"/>
      <c r="R583" s="159"/>
      <c r="S583" s="149" t="s">
        <v>7157</v>
      </c>
      <c r="T583" s="149" t="s">
        <v>7158</v>
      </c>
      <c r="U583" s="202" t="s">
        <v>5019</v>
      </c>
      <c r="V583" s="204">
        <v>3</v>
      </c>
      <c r="W583" s="203" t="s">
        <v>5104</v>
      </c>
      <c r="X583" s="204" t="s">
        <v>213</v>
      </c>
      <c r="Y583" s="206">
        <v>900</v>
      </c>
      <c r="Z583" s="207">
        <v>50000</v>
      </c>
      <c r="AA583" s="207">
        <f t="shared" si="147"/>
        <v>23500000</v>
      </c>
      <c r="AB583" s="157">
        <v>50000</v>
      </c>
      <c r="AC583" s="158">
        <f t="shared" si="145"/>
        <v>47000</v>
      </c>
      <c r="AD583" s="159">
        <f t="shared" si="148"/>
        <v>1410000</v>
      </c>
      <c r="AE583" s="160"/>
      <c r="AF583" s="160">
        <f t="shared" si="149"/>
        <v>0</v>
      </c>
      <c r="AG583" s="165">
        <v>2000</v>
      </c>
      <c r="AH583" s="161">
        <f t="shared" si="150"/>
        <v>940000</v>
      </c>
      <c r="AI583" s="162"/>
      <c r="AJ583" s="162">
        <f t="shared" si="151"/>
        <v>0</v>
      </c>
      <c r="AK583" s="164"/>
      <c r="AL583" s="164">
        <f t="shared" si="152"/>
        <v>0</v>
      </c>
      <c r="AM583" s="165"/>
      <c r="AN583" s="165">
        <f t="shared" si="153"/>
        <v>0</v>
      </c>
      <c r="AO583" s="166">
        <v>0</v>
      </c>
      <c r="AP583" s="166">
        <f t="shared" si="154"/>
        <v>0</v>
      </c>
      <c r="AQ583" s="162"/>
      <c r="AR583" s="162">
        <f t="shared" si="155"/>
        <v>0</v>
      </c>
      <c r="AS583" s="173">
        <v>1000</v>
      </c>
      <c r="AT583" s="167">
        <f t="shared" si="156"/>
        <v>470000</v>
      </c>
      <c r="AU583" s="163"/>
      <c r="AV583" s="163">
        <f t="shared" si="157"/>
        <v>0</v>
      </c>
      <c r="AW583" s="168"/>
      <c r="AX583" s="168">
        <f t="shared" si="158"/>
        <v>0</v>
      </c>
      <c r="AY583" s="170"/>
      <c r="AZ583" s="170">
        <f t="shared" si="159"/>
        <v>0</v>
      </c>
      <c r="BA583" s="166"/>
      <c r="BB583" s="166">
        <f t="shared" si="160"/>
        <v>0</v>
      </c>
    </row>
    <row r="584" spans="1:54" s="131" customFormat="1" ht="31.5">
      <c r="A584" s="148" t="s">
        <v>7529</v>
      </c>
      <c r="B584" s="203" t="s">
        <v>1550</v>
      </c>
      <c r="C584" s="203"/>
      <c r="D584" s="203"/>
      <c r="E584" s="203" t="s">
        <v>5030</v>
      </c>
      <c r="F584" s="205" t="s">
        <v>7531</v>
      </c>
      <c r="G584" s="205" t="s">
        <v>1268</v>
      </c>
      <c r="H584" s="204" t="s">
        <v>5031</v>
      </c>
      <c r="I584" s="204" t="s">
        <v>11</v>
      </c>
      <c r="J584" s="205" t="s">
        <v>7530</v>
      </c>
      <c r="K584" s="206">
        <v>630</v>
      </c>
      <c r="L584" s="206"/>
      <c r="M584" s="159">
        <f t="shared" si="146"/>
        <v>10560</v>
      </c>
      <c r="N584" s="159"/>
      <c r="O584" s="159"/>
      <c r="P584" s="159"/>
      <c r="Q584" s="159"/>
      <c r="R584" s="159"/>
      <c r="S584" s="150" t="s">
        <v>5368</v>
      </c>
      <c r="T584" s="150" t="s">
        <v>5369</v>
      </c>
      <c r="U584" s="202" t="s">
        <v>5029</v>
      </c>
      <c r="V584" s="204">
        <v>3</v>
      </c>
      <c r="W584" s="203" t="s">
        <v>5104</v>
      </c>
      <c r="X584" s="204" t="s">
        <v>213</v>
      </c>
      <c r="Y584" s="206">
        <v>630</v>
      </c>
      <c r="Z584" s="207">
        <v>100000</v>
      </c>
      <c r="AA584" s="207">
        <f t="shared" si="147"/>
        <v>63000000</v>
      </c>
      <c r="AB584" s="157">
        <v>100000</v>
      </c>
      <c r="AC584" s="158">
        <f t="shared" si="145"/>
        <v>89440</v>
      </c>
      <c r="AD584" s="159">
        <f t="shared" si="148"/>
        <v>6652800</v>
      </c>
      <c r="AE584" s="160"/>
      <c r="AF584" s="160">
        <f t="shared" si="149"/>
        <v>0</v>
      </c>
      <c r="AG584" s="165">
        <v>9960</v>
      </c>
      <c r="AH584" s="161">
        <f t="shared" si="150"/>
        <v>6274800</v>
      </c>
      <c r="AI584" s="162"/>
      <c r="AJ584" s="162">
        <f t="shared" si="151"/>
        <v>0</v>
      </c>
      <c r="AK584" s="164"/>
      <c r="AL584" s="164">
        <f t="shared" si="152"/>
        <v>0</v>
      </c>
      <c r="AM584" s="165">
        <v>600</v>
      </c>
      <c r="AN584" s="165">
        <f t="shared" si="153"/>
        <v>378000</v>
      </c>
      <c r="AO584" s="166">
        <v>0</v>
      </c>
      <c r="AP584" s="166">
        <f t="shared" si="154"/>
        <v>0</v>
      </c>
      <c r="AQ584" s="162"/>
      <c r="AR584" s="162">
        <f t="shared" si="155"/>
        <v>0</v>
      </c>
      <c r="AS584" s="173"/>
      <c r="AT584" s="167">
        <f t="shared" si="156"/>
        <v>0</v>
      </c>
      <c r="AU584" s="163"/>
      <c r="AV584" s="163">
        <f t="shared" si="157"/>
        <v>0</v>
      </c>
      <c r="AW584" s="168"/>
      <c r="AX584" s="168">
        <f t="shared" si="158"/>
        <v>0</v>
      </c>
      <c r="AY584" s="170"/>
      <c r="AZ584" s="170">
        <f t="shared" si="159"/>
        <v>0</v>
      </c>
      <c r="BA584" s="166"/>
      <c r="BB584" s="166">
        <f t="shared" si="160"/>
        <v>0</v>
      </c>
    </row>
    <row r="585" spans="1:54" s="131" customFormat="1" ht="31.5">
      <c r="A585" s="172" t="s">
        <v>7532</v>
      </c>
      <c r="B585" s="203" t="s">
        <v>7534</v>
      </c>
      <c r="C585" s="203"/>
      <c r="D585" s="203"/>
      <c r="E585" s="203" t="s">
        <v>7536</v>
      </c>
      <c r="F585" s="205" t="s">
        <v>7538</v>
      </c>
      <c r="G585" s="205" t="s">
        <v>7539</v>
      </c>
      <c r="H585" s="204" t="s">
        <v>7535</v>
      </c>
      <c r="I585" s="204" t="s">
        <v>11</v>
      </c>
      <c r="J585" s="205" t="s">
        <v>7537</v>
      </c>
      <c r="K585" s="206">
        <v>5300</v>
      </c>
      <c r="L585" s="206"/>
      <c r="M585" s="159">
        <f t="shared" si="146"/>
        <v>0</v>
      </c>
      <c r="N585" s="159"/>
      <c r="O585" s="159"/>
      <c r="P585" s="159"/>
      <c r="Q585" s="159"/>
      <c r="R585" s="159"/>
      <c r="S585" s="149" t="s">
        <v>7100</v>
      </c>
      <c r="T585" s="149" t="s">
        <v>7101</v>
      </c>
      <c r="U585" s="202" t="s">
        <v>7533</v>
      </c>
      <c r="V585" s="204">
        <v>3</v>
      </c>
      <c r="W585" s="203" t="s">
        <v>5104</v>
      </c>
      <c r="X585" s="204" t="s">
        <v>213</v>
      </c>
      <c r="Y585" s="206">
        <v>5300</v>
      </c>
      <c r="Z585" s="207">
        <v>50000</v>
      </c>
      <c r="AA585" s="207">
        <f t="shared" si="147"/>
        <v>265000000</v>
      </c>
      <c r="AB585" s="157">
        <v>50000</v>
      </c>
      <c r="AC585" s="158">
        <f t="shared" si="145"/>
        <v>50000</v>
      </c>
      <c r="AD585" s="159">
        <f t="shared" si="148"/>
        <v>0</v>
      </c>
      <c r="AE585" s="160"/>
      <c r="AF585" s="160">
        <f t="shared" si="149"/>
        <v>0</v>
      </c>
      <c r="AG585" s="165"/>
      <c r="AH585" s="161">
        <f t="shared" si="150"/>
        <v>0</v>
      </c>
      <c r="AI585" s="162"/>
      <c r="AJ585" s="162">
        <f t="shared" si="151"/>
        <v>0</v>
      </c>
      <c r="AK585" s="164"/>
      <c r="AL585" s="164">
        <f t="shared" si="152"/>
        <v>0</v>
      </c>
      <c r="AM585" s="165"/>
      <c r="AN585" s="165">
        <f t="shared" si="153"/>
        <v>0</v>
      </c>
      <c r="AO585" s="166">
        <v>0</v>
      </c>
      <c r="AP585" s="166">
        <f t="shared" si="154"/>
        <v>0</v>
      </c>
      <c r="AQ585" s="162"/>
      <c r="AR585" s="162">
        <f t="shared" si="155"/>
        <v>0</v>
      </c>
      <c r="AS585" s="173"/>
      <c r="AT585" s="167">
        <f t="shared" si="156"/>
        <v>0</v>
      </c>
      <c r="AU585" s="163"/>
      <c r="AV585" s="163">
        <f t="shared" si="157"/>
        <v>0</v>
      </c>
      <c r="AW585" s="168"/>
      <c r="AX585" s="168">
        <f t="shared" si="158"/>
        <v>0</v>
      </c>
      <c r="AY585" s="170"/>
      <c r="AZ585" s="170">
        <f t="shared" si="159"/>
        <v>0</v>
      </c>
      <c r="BA585" s="166"/>
      <c r="BB585" s="166">
        <f t="shared" si="160"/>
        <v>0</v>
      </c>
    </row>
    <row r="586" spans="1:54" s="131" customFormat="1" ht="47.25">
      <c r="A586" s="148" t="s">
        <v>7540</v>
      </c>
      <c r="B586" s="203" t="s">
        <v>4958</v>
      </c>
      <c r="C586" s="203"/>
      <c r="D586" s="203"/>
      <c r="E586" s="203" t="s">
        <v>7542</v>
      </c>
      <c r="F586" s="205" t="s">
        <v>7544</v>
      </c>
      <c r="G586" s="205" t="s">
        <v>7545</v>
      </c>
      <c r="H586" s="204" t="s">
        <v>1016</v>
      </c>
      <c r="I586" s="204" t="s">
        <v>520</v>
      </c>
      <c r="J586" s="205" t="s">
        <v>7543</v>
      </c>
      <c r="K586" s="206">
        <v>4410</v>
      </c>
      <c r="L586" s="206"/>
      <c r="M586" s="159">
        <f t="shared" si="146"/>
        <v>0</v>
      </c>
      <c r="N586" s="159"/>
      <c r="O586" s="159"/>
      <c r="P586" s="159"/>
      <c r="Q586" s="159"/>
      <c r="R586" s="159"/>
      <c r="S586" s="149" t="s">
        <v>5830</v>
      </c>
      <c r="T586" s="149" t="s">
        <v>5831</v>
      </c>
      <c r="U586" s="202" t="s">
        <v>7541</v>
      </c>
      <c r="V586" s="204">
        <v>3</v>
      </c>
      <c r="W586" s="203" t="s">
        <v>5104</v>
      </c>
      <c r="X586" s="204" t="s">
        <v>213</v>
      </c>
      <c r="Y586" s="206">
        <v>7000</v>
      </c>
      <c r="Z586" s="207">
        <v>3000</v>
      </c>
      <c r="AA586" s="207">
        <f t="shared" si="147"/>
        <v>13230000</v>
      </c>
      <c r="AB586" s="157">
        <v>3000</v>
      </c>
      <c r="AC586" s="158">
        <f t="shared" si="145"/>
        <v>3000</v>
      </c>
      <c r="AD586" s="159">
        <f t="shared" si="148"/>
        <v>0</v>
      </c>
      <c r="AE586" s="160"/>
      <c r="AF586" s="160">
        <f t="shared" si="149"/>
        <v>0</v>
      </c>
      <c r="AG586" s="165"/>
      <c r="AH586" s="161">
        <f t="shared" si="150"/>
        <v>0</v>
      </c>
      <c r="AI586" s="162"/>
      <c r="AJ586" s="162">
        <f t="shared" si="151"/>
        <v>0</v>
      </c>
      <c r="AK586" s="163"/>
      <c r="AL586" s="164">
        <f t="shared" si="152"/>
        <v>0</v>
      </c>
      <c r="AM586" s="161"/>
      <c r="AN586" s="165">
        <f t="shared" si="153"/>
        <v>0</v>
      </c>
      <c r="AO586" s="160">
        <v>0</v>
      </c>
      <c r="AP586" s="166">
        <f t="shared" si="154"/>
        <v>0</v>
      </c>
      <c r="AQ586" s="162"/>
      <c r="AR586" s="162">
        <f t="shared" si="155"/>
        <v>0</v>
      </c>
      <c r="AS586" s="173"/>
      <c r="AT586" s="167">
        <f t="shared" si="156"/>
        <v>0</v>
      </c>
      <c r="AU586" s="163"/>
      <c r="AV586" s="163">
        <f t="shared" si="157"/>
        <v>0</v>
      </c>
      <c r="AW586" s="162"/>
      <c r="AX586" s="168">
        <f t="shared" si="158"/>
        <v>0</v>
      </c>
      <c r="AY586" s="169"/>
      <c r="AZ586" s="170">
        <f t="shared" si="159"/>
        <v>0</v>
      </c>
      <c r="BA586" s="160"/>
      <c r="BB586" s="166">
        <f t="shared" si="160"/>
        <v>0</v>
      </c>
    </row>
    <row r="587" spans="1:54" s="131" customFormat="1">
      <c r="A587" s="148" t="s">
        <v>7546</v>
      </c>
      <c r="B587" s="203" t="s">
        <v>7548</v>
      </c>
      <c r="C587" s="203"/>
      <c r="D587" s="203"/>
      <c r="E587" s="203" t="s">
        <v>7550</v>
      </c>
      <c r="F587" s="205" t="s">
        <v>7552</v>
      </c>
      <c r="G587" s="205" t="s">
        <v>463</v>
      </c>
      <c r="H587" s="204" t="s">
        <v>7549</v>
      </c>
      <c r="I587" s="204" t="s">
        <v>11</v>
      </c>
      <c r="J587" s="205" t="s">
        <v>7551</v>
      </c>
      <c r="K587" s="206">
        <v>520</v>
      </c>
      <c r="L587" s="206"/>
      <c r="M587" s="159">
        <f t="shared" si="146"/>
        <v>0</v>
      </c>
      <c r="N587" s="159"/>
      <c r="O587" s="159"/>
      <c r="P587" s="159"/>
      <c r="Q587" s="159"/>
      <c r="R587" s="159"/>
      <c r="S587" s="149" t="s">
        <v>5275</v>
      </c>
      <c r="T587" s="150" t="s">
        <v>463</v>
      </c>
      <c r="U587" s="202" t="s">
        <v>7547</v>
      </c>
      <c r="V587" s="204">
        <v>3</v>
      </c>
      <c r="W587" s="203" t="s">
        <v>5104</v>
      </c>
      <c r="X587" s="204" t="s">
        <v>213</v>
      </c>
      <c r="Y587" s="206">
        <v>920</v>
      </c>
      <c r="Z587" s="207">
        <v>80000</v>
      </c>
      <c r="AA587" s="207">
        <f t="shared" si="147"/>
        <v>41600000</v>
      </c>
      <c r="AB587" s="157">
        <v>80000</v>
      </c>
      <c r="AC587" s="158">
        <f t="shared" si="145"/>
        <v>80000</v>
      </c>
      <c r="AD587" s="159">
        <f t="shared" si="148"/>
        <v>0</v>
      </c>
      <c r="AE587" s="160"/>
      <c r="AF587" s="160">
        <f t="shared" si="149"/>
        <v>0</v>
      </c>
      <c r="AG587" s="165"/>
      <c r="AH587" s="161">
        <f t="shared" si="150"/>
        <v>0</v>
      </c>
      <c r="AI587" s="162"/>
      <c r="AJ587" s="162">
        <f t="shared" si="151"/>
        <v>0</v>
      </c>
      <c r="AK587" s="164"/>
      <c r="AL587" s="164">
        <f t="shared" si="152"/>
        <v>0</v>
      </c>
      <c r="AM587" s="165"/>
      <c r="AN587" s="165">
        <f t="shared" si="153"/>
        <v>0</v>
      </c>
      <c r="AO587" s="166">
        <v>0</v>
      </c>
      <c r="AP587" s="166">
        <f t="shared" si="154"/>
        <v>0</v>
      </c>
      <c r="AQ587" s="162"/>
      <c r="AR587" s="162">
        <f t="shared" si="155"/>
        <v>0</v>
      </c>
      <c r="AS587" s="173"/>
      <c r="AT587" s="167">
        <f t="shared" si="156"/>
        <v>0</v>
      </c>
      <c r="AU587" s="163"/>
      <c r="AV587" s="163">
        <f t="shared" si="157"/>
        <v>0</v>
      </c>
      <c r="AW587" s="168"/>
      <c r="AX587" s="168">
        <f t="shared" si="158"/>
        <v>0</v>
      </c>
      <c r="AY587" s="170"/>
      <c r="AZ587" s="170">
        <f t="shared" si="159"/>
        <v>0</v>
      </c>
      <c r="BA587" s="166"/>
      <c r="BB587" s="166">
        <f t="shared" si="160"/>
        <v>0</v>
      </c>
    </row>
    <row r="588" spans="1:54" s="131" customFormat="1">
      <c r="A588" s="172" t="s">
        <v>7553</v>
      </c>
      <c r="B588" s="203" t="s">
        <v>1727</v>
      </c>
      <c r="C588" s="203"/>
      <c r="D588" s="203"/>
      <c r="E588" s="203" t="s">
        <v>3736</v>
      </c>
      <c r="F588" s="205" t="s">
        <v>1729</v>
      </c>
      <c r="G588" s="205" t="s">
        <v>7555</v>
      </c>
      <c r="H588" s="204" t="s">
        <v>238</v>
      </c>
      <c r="I588" s="204" t="s">
        <v>11</v>
      </c>
      <c r="J588" s="205" t="s">
        <v>7554</v>
      </c>
      <c r="K588" s="206">
        <v>1250</v>
      </c>
      <c r="L588" s="206"/>
      <c r="M588" s="159">
        <f t="shared" si="146"/>
        <v>960</v>
      </c>
      <c r="N588" s="159"/>
      <c r="O588" s="159"/>
      <c r="P588" s="159"/>
      <c r="Q588" s="159"/>
      <c r="R588" s="159"/>
      <c r="S588" s="149" t="s">
        <v>5982</v>
      </c>
      <c r="T588" s="149" t="s">
        <v>5983</v>
      </c>
      <c r="U588" s="202" t="s">
        <v>3735</v>
      </c>
      <c r="V588" s="204">
        <v>3</v>
      </c>
      <c r="W588" s="203" t="s">
        <v>5104</v>
      </c>
      <c r="X588" s="204" t="s">
        <v>213</v>
      </c>
      <c r="Y588" s="206">
        <v>1300</v>
      </c>
      <c r="Z588" s="207">
        <v>20000</v>
      </c>
      <c r="AA588" s="207">
        <f t="shared" si="147"/>
        <v>25000000</v>
      </c>
      <c r="AB588" s="157">
        <v>20000</v>
      </c>
      <c r="AC588" s="158">
        <f t="shared" si="145"/>
        <v>19040</v>
      </c>
      <c r="AD588" s="159">
        <f t="shared" si="148"/>
        <v>1200000</v>
      </c>
      <c r="AE588" s="160"/>
      <c r="AF588" s="160">
        <f t="shared" si="149"/>
        <v>0</v>
      </c>
      <c r="AG588" s="165">
        <v>960</v>
      </c>
      <c r="AH588" s="161">
        <f t="shared" si="150"/>
        <v>1200000</v>
      </c>
      <c r="AI588" s="162"/>
      <c r="AJ588" s="162">
        <f t="shared" si="151"/>
        <v>0</v>
      </c>
      <c r="AK588" s="164"/>
      <c r="AL588" s="164">
        <f t="shared" si="152"/>
        <v>0</v>
      </c>
      <c r="AM588" s="165"/>
      <c r="AN588" s="165">
        <f t="shared" si="153"/>
        <v>0</v>
      </c>
      <c r="AO588" s="166">
        <v>0</v>
      </c>
      <c r="AP588" s="166">
        <f t="shared" si="154"/>
        <v>0</v>
      </c>
      <c r="AQ588" s="162"/>
      <c r="AR588" s="162">
        <f t="shared" si="155"/>
        <v>0</v>
      </c>
      <c r="AS588" s="173"/>
      <c r="AT588" s="167">
        <f t="shared" si="156"/>
        <v>0</v>
      </c>
      <c r="AU588" s="163"/>
      <c r="AV588" s="163">
        <f t="shared" si="157"/>
        <v>0</v>
      </c>
      <c r="AW588" s="168"/>
      <c r="AX588" s="168">
        <f t="shared" si="158"/>
        <v>0</v>
      </c>
      <c r="AY588" s="170"/>
      <c r="AZ588" s="170">
        <f t="shared" si="159"/>
        <v>0</v>
      </c>
      <c r="BA588" s="166"/>
      <c r="BB588" s="166">
        <f t="shared" si="160"/>
        <v>0</v>
      </c>
    </row>
    <row r="589" spans="1:54" s="131" customFormat="1" ht="31.5">
      <c r="A589" s="148" t="s">
        <v>7556</v>
      </c>
      <c r="B589" s="203" t="s">
        <v>765</v>
      </c>
      <c r="C589" s="203"/>
      <c r="D589" s="203"/>
      <c r="E589" s="203" t="s">
        <v>7558</v>
      </c>
      <c r="F589" s="205" t="s">
        <v>7560</v>
      </c>
      <c r="G589" s="205" t="s">
        <v>7015</v>
      </c>
      <c r="H589" s="204" t="s">
        <v>770</v>
      </c>
      <c r="I589" s="204" t="s">
        <v>520</v>
      </c>
      <c r="J589" s="205" t="s">
        <v>7559</v>
      </c>
      <c r="K589" s="206">
        <v>5880</v>
      </c>
      <c r="L589" s="206"/>
      <c r="M589" s="159">
        <f t="shared" si="146"/>
        <v>0</v>
      </c>
      <c r="N589" s="159"/>
      <c r="O589" s="159"/>
      <c r="P589" s="159"/>
      <c r="Q589" s="159"/>
      <c r="R589" s="159"/>
      <c r="S589" s="149" t="s">
        <v>5417</v>
      </c>
      <c r="T589" s="150" t="s">
        <v>5418</v>
      </c>
      <c r="U589" s="202" t="s">
        <v>7557</v>
      </c>
      <c r="V589" s="204">
        <v>3</v>
      </c>
      <c r="W589" s="203" t="s">
        <v>5104</v>
      </c>
      <c r="X589" s="204" t="s">
        <v>213</v>
      </c>
      <c r="Y589" s="206">
        <v>9500</v>
      </c>
      <c r="Z589" s="207">
        <v>500</v>
      </c>
      <c r="AA589" s="207">
        <f t="shared" si="147"/>
        <v>2940000</v>
      </c>
      <c r="AB589" s="157">
        <v>500</v>
      </c>
      <c r="AC589" s="158">
        <f t="shared" si="145"/>
        <v>500</v>
      </c>
      <c r="AD589" s="159">
        <f t="shared" si="148"/>
        <v>0</v>
      </c>
      <c r="AE589" s="160"/>
      <c r="AF589" s="160">
        <f t="shared" si="149"/>
        <v>0</v>
      </c>
      <c r="AG589" s="165"/>
      <c r="AH589" s="161">
        <f t="shared" si="150"/>
        <v>0</v>
      </c>
      <c r="AI589" s="162"/>
      <c r="AJ589" s="162">
        <f t="shared" si="151"/>
        <v>0</v>
      </c>
      <c r="AK589" s="164"/>
      <c r="AL589" s="164">
        <f t="shared" si="152"/>
        <v>0</v>
      </c>
      <c r="AM589" s="165"/>
      <c r="AN589" s="165">
        <f t="shared" si="153"/>
        <v>0</v>
      </c>
      <c r="AO589" s="166">
        <v>0</v>
      </c>
      <c r="AP589" s="166">
        <f t="shared" si="154"/>
        <v>0</v>
      </c>
      <c r="AQ589" s="162"/>
      <c r="AR589" s="162">
        <f t="shared" si="155"/>
        <v>0</v>
      </c>
      <c r="AS589" s="173"/>
      <c r="AT589" s="167">
        <f t="shared" si="156"/>
        <v>0</v>
      </c>
      <c r="AU589" s="163"/>
      <c r="AV589" s="163">
        <f t="shared" si="157"/>
        <v>0</v>
      </c>
      <c r="AW589" s="168"/>
      <c r="AX589" s="168">
        <f t="shared" si="158"/>
        <v>0</v>
      </c>
      <c r="AY589" s="170"/>
      <c r="AZ589" s="170">
        <f t="shared" si="159"/>
        <v>0</v>
      </c>
      <c r="BA589" s="166"/>
      <c r="BB589" s="166">
        <f t="shared" si="160"/>
        <v>0</v>
      </c>
    </row>
    <row r="590" spans="1:54" s="131" customFormat="1" ht="47.25">
      <c r="A590" s="148" t="s">
        <v>7561</v>
      </c>
      <c r="B590" s="203" t="s">
        <v>765</v>
      </c>
      <c r="C590" s="203"/>
      <c r="D590" s="203"/>
      <c r="E590" s="203" t="s">
        <v>4165</v>
      </c>
      <c r="F590" s="205" t="s">
        <v>7565</v>
      </c>
      <c r="G590" s="205" t="s">
        <v>7566</v>
      </c>
      <c r="H590" s="204" t="s">
        <v>272</v>
      </c>
      <c r="I590" s="204" t="s">
        <v>11</v>
      </c>
      <c r="J590" s="205" t="s">
        <v>7564</v>
      </c>
      <c r="K590" s="206">
        <v>1620</v>
      </c>
      <c r="L590" s="206"/>
      <c r="M590" s="159">
        <f t="shared" si="146"/>
        <v>1000</v>
      </c>
      <c r="N590" s="159"/>
      <c r="O590" s="159"/>
      <c r="P590" s="159"/>
      <c r="Q590" s="159"/>
      <c r="R590" s="159"/>
      <c r="S590" s="149" t="s">
        <v>7562</v>
      </c>
      <c r="T590" s="149" t="s">
        <v>7563</v>
      </c>
      <c r="U590" s="202" t="s">
        <v>4164</v>
      </c>
      <c r="V590" s="204">
        <v>3</v>
      </c>
      <c r="W590" s="203" t="s">
        <v>5104</v>
      </c>
      <c r="X590" s="204" t="s">
        <v>213</v>
      </c>
      <c r="Y590" s="206">
        <v>1650</v>
      </c>
      <c r="Z590" s="207">
        <v>10000</v>
      </c>
      <c r="AA590" s="207">
        <f t="shared" si="147"/>
        <v>16200000</v>
      </c>
      <c r="AB590" s="157">
        <v>10000</v>
      </c>
      <c r="AC590" s="158">
        <f t="shared" si="145"/>
        <v>9000</v>
      </c>
      <c r="AD590" s="159">
        <f t="shared" si="148"/>
        <v>1620000</v>
      </c>
      <c r="AE590" s="160"/>
      <c r="AF590" s="160">
        <f t="shared" si="149"/>
        <v>0</v>
      </c>
      <c r="AG590" s="165">
        <v>1000</v>
      </c>
      <c r="AH590" s="161">
        <f t="shared" si="150"/>
        <v>1620000</v>
      </c>
      <c r="AI590" s="162"/>
      <c r="AJ590" s="162">
        <f t="shared" si="151"/>
        <v>0</v>
      </c>
      <c r="AK590" s="164"/>
      <c r="AL590" s="164">
        <f t="shared" si="152"/>
        <v>0</v>
      </c>
      <c r="AM590" s="165"/>
      <c r="AN590" s="165">
        <f t="shared" si="153"/>
        <v>0</v>
      </c>
      <c r="AO590" s="166">
        <v>0</v>
      </c>
      <c r="AP590" s="166">
        <f t="shared" si="154"/>
        <v>0</v>
      </c>
      <c r="AQ590" s="162"/>
      <c r="AR590" s="162">
        <f t="shared" si="155"/>
        <v>0</v>
      </c>
      <c r="AS590" s="173"/>
      <c r="AT590" s="167">
        <f t="shared" si="156"/>
        <v>0</v>
      </c>
      <c r="AU590" s="163"/>
      <c r="AV590" s="163">
        <f t="shared" si="157"/>
        <v>0</v>
      </c>
      <c r="AW590" s="168"/>
      <c r="AX590" s="168">
        <f t="shared" si="158"/>
        <v>0</v>
      </c>
      <c r="AY590" s="170"/>
      <c r="AZ590" s="170">
        <f t="shared" si="159"/>
        <v>0</v>
      </c>
      <c r="BA590" s="166"/>
      <c r="BB590" s="166">
        <f t="shared" si="160"/>
        <v>0</v>
      </c>
    </row>
    <row r="591" spans="1:54" s="131" customFormat="1" ht="31.5">
      <c r="A591" s="172" t="s">
        <v>7567</v>
      </c>
      <c r="B591" s="203" t="s">
        <v>765</v>
      </c>
      <c r="C591" s="203"/>
      <c r="D591" s="203"/>
      <c r="E591" s="203" t="s">
        <v>7558</v>
      </c>
      <c r="F591" s="205" t="s">
        <v>7570</v>
      </c>
      <c r="G591" s="205" t="s">
        <v>7015</v>
      </c>
      <c r="H591" s="204" t="s">
        <v>225</v>
      </c>
      <c r="I591" s="204" t="s">
        <v>11</v>
      </c>
      <c r="J591" s="205" t="s">
        <v>7569</v>
      </c>
      <c r="K591" s="206">
        <v>1596</v>
      </c>
      <c r="L591" s="206"/>
      <c r="M591" s="159">
        <f t="shared" si="146"/>
        <v>0</v>
      </c>
      <c r="N591" s="159"/>
      <c r="O591" s="159"/>
      <c r="P591" s="159"/>
      <c r="Q591" s="159"/>
      <c r="R591" s="159"/>
      <c r="S591" s="149" t="s">
        <v>5417</v>
      </c>
      <c r="T591" s="150" t="s">
        <v>5418</v>
      </c>
      <c r="U591" s="202" t="s">
        <v>7568</v>
      </c>
      <c r="V591" s="204">
        <v>3</v>
      </c>
      <c r="W591" s="203" t="s">
        <v>5104</v>
      </c>
      <c r="X591" s="204" t="s">
        <v>213</v>
      </c>
      <c r="Y591" s="206">
        <v>2000</v>
      </c>
      <c r="Z591" s="207">
        <v>10000</v>
      </c>
      <c r="AA591" s="207">
        <f t="shared" si="147"/>
        <v>15960000</v>
      </c>
      <c r="AB591" s="157">
        <v>10000</v>
      </c>
      <c r="AC591" s="158">
        <f t="shared" si="145"/>
        <v>10000</v>
      </c>
      <c r="AD591" s="159">
        <f t="shared" si="148"/>
        <v>0</v>
      </c>
      <c r="AE591" s="160"/>
      <c r="AF591" s="160">
        <f t="shared" si="149"/>
        <v>0</v>
      </c>
      <c r="AG591" s="165"/>
      <c r="AH591" s="161">
        <f t="shared" si="150"/>
        <v>0</v>
      </c>
      <c r="AI591" s="162"/>
      <c r="AJ591" s="162">
        <f t="shared" si="151"/>
        <v>0</v>
      </c>
      <c r="AK591" s="164"/>
      <c r="AL591" s="164">
        <f t="shared" si="152"/>
        <v>0</v>
      </c>
      <c r="AM591" s="165"/>
      <c r="AN591" s="165">
        <f t="shared" si="153"/>
        <v>0</v>
      </c>
      <c r="AO591" s="166">
        <v>0</v>
      </c>
      <c r="AP591" s="166">
        <f t="shared" si="154"/>
        <v>0</v>
      </c>
      <c r="AQ591" s="162"/>
      <c r="AR591" s="162">
        <f t="shared" si="155"/>
        <v>0</v>
      </c>
      <c r="AS591" s="173"/>
      <c r="AT591" s="167">
        <f t="shared" si="156"/>
        <v>0</v>
      </c>
      <c r="AU591" s="163"/>
      <c r="AV591" s="163">
        <f t="shared" si="157"/>
        <v>0</v>
      </c>
      <c r="AW591" s="168"/>
      <c r="AX591" s="168">
        <f t="shared" si="158"/>
        <v>0</v>
      </c>
      <c r="AY591" s="170"/>
      <c r="AZ591" s="170">
        <f t="shared" si="159"/>
        <v>0</v>
      </c>
      <c r="BA591" s="166"/>
      <c r="BB591" s="166">
        <f t="shared" si="160"/>
        <v>0</v>
      </c>
    </row>
    <row r="592" spans="1:54" s="131" customFormat="1" ht="31.5">
      <c r="A592" s="148" t="s">
        <v>7571</v>
      </c>
      <c r="B592" s="203" t="s">
        <v>1119</v>
      </c>
      <c r="C592" s="203"/>
      <c r="D592" s="203"/>
      <c r="E592" s="203" t="s">
        <v>7572</v>
      </c>
      <c r="F592" s="205" t="s">
        <v>7574</v>
      </c>
      <c r="G592" s="205" t="s">
        <v>7575</v>
      </c>
      <c r="H592" s="204" t="s">
        <v>225</v>
      </c>
      <c r="I592" s="204" t="s">
        <v>11</v>
      </c>
      <c r="J592" s="205" t="s">
        <v>7573</v>
      </c>
      <c r="K592" s="206">
        <v>1670</v>
      </c>
      <c r="L592" s="206"/>
      <c r="M592" s="159">
        <f t="shared" si="146"/>
        <v>0</v>
      </c>
      <c r="N592" s="159"/>
      <c r="O592" s="159"/>
      <c r="P592" s="159"/>
      <c r="Q592" s="159"/>
      <c r="R592" s="159"/>
      <c r="S592" s="150" t="s">
        <v>5328</v>
      </c>
      <c r="T592" s="150" t="s">
        <v>215</v>
      </c>
      <c r="U592" s="202" t="s">
        <v>4287</v>
      </c>
      <c r="V592" s="204">
        <v>3</v>
      </c>
      <c r="W592" s="203" t="s">
        <v>253</v>
      </c>
      <c r="X592" s="204" t="s">
        <v>213</v>
      </c>
      <c r="Y592" s="206">
        <v>5000</v>
      </c>
      <c r="Z592" s="207">
        <v>30000</v>
      </c>
      <c r="AA592" s="207">
        <f t="shared" si="147"/>
        <v>50100000</v>
      </c>
      <c r="AB592" s="157">
        <v>30000</v>
      </c>
      <c r="AC592" s="158">
        <f t="shared" si="145"/>
        <v>30000</v>
      </c>
      <c r="AD592" s="159">
        <f t="shared" si="148"/>
        <v>0</v>
      </c>
      <c r="AE592" s="160"/>
      <c r="AF592" s="160">
        <f t="shared" si="149"/>
        <v>0</v>
      </c>
      <c r="AG592" s="165"/>
      <c r="AH592" s="161">
        <f t="shared" si="150"/>
        <v>0</v>
      </c>
      <c r="AI592" s="162"/>
      <c r="AJ592" s="162">
        <f t="shared" si="151"/>
        <v>0</v>
      </c>
      <c r="AK592" s="164"/>
      <c r="AL592" s="164">
        <f t="shared" si="152"/>
        <v>0</v>
      </c>
      <c r="AM592" s="165"/>
      <c r="AN592" s="165">
        <f t="shared" si="153"/>
        <v>0</v>
      </c>
      <c r="AO592" s="166">
        <v>0</v>
      </c>
      <c r="AP592" s="166">
        <f t="shared" si="154"/>
        <v>0</v>
      </c>
      <c r="AQ592" s="162"/>
      <c r="AR592" s="162">
        <f t="shared" si="155"/>
        <v>0</v>
      </c>
      <c r="AS592" s="173"/>
      <c r="AT592" s="167">
        <f t="shared" si="156"/>
        <v>0</v>
      </c>
      <c r="AU592" s="163"/>
      <c r="AV592" s="163">
        <f t="shared" si="157"/>
        <v>0</v>
      </c>
      <c r="AW592" s="168"/>
      <c r="AX592" s="168">
        <f t="shared" si="158"/>
        <v>0</v>
      </c>
      <c r="AY592" s="170"/>
      <c r="AZ592" s="170">
        <f t="shared" si="159"/>
        <v>0</v>
      </c>
      <c r="BA592" s="166"/>
      <c r="BB592" s="166">
        <f t="shared" si="160"/>
        <v>0</v>
      </c>
    </row>
    <row r="593" spans="1:54" s="131" customFormat="1" ht="31.5">
      <c r="A593" s="148" t="s">
        <v>7576</v>
      </c>
      <c r="B593" s="203" t="s">
        <v>1119</v>
      </c>
      <c r="C593" s="203"/>
      <c r="D593" s="203"/>
      <c r="E593" s="203" t="s">
        <v>7578</v>
      </c>
      <c r="F593" s="205" t="s">
        <v>7580</v>
      </c>
      <c r="G593" s="205" t="s">
        <v>7211</v>
      </c>
      <c r="H593" s="204" t="s">
        <v>17</v>
      </c>
      <c r="I593" s="204" t="s">
        <v>11</v>
      </c>
      <c r="J593" s="205" t="s">
        <v>7579</v>
      </c>
      <c r="K593" s="206">
        <v>3640</v>
      </c>
      <c r="L593" s="206"/>
      <c r="M593" s="159">
        <f t="shared" si="146"/>
        <v>0</v>
      </c>
      <c r="N593" s="159"/>
      <c r="O593" s="159"/>
      <c r="P593" s="159"/>
      <c r="Q593" s="159"/>
      <c r="R593" s="159"/>
      <c r="S593" s="150" t="s">
        <v>5328</v>
      </c>
      <c r="T593" s="150" t="s">
        <v>215</v>
      </c>
      <c r="U593" s="202" t="s">
        <v>7577</v>
      </c>
      <c r="V593" s="204">
        <v>3</v>
      </c>
      <c r="W593" s="203" t="s">
        <v>5104</v>
      </c>
      <c r="X593" s="204" t="s">
        <v>213</v>
      </c>
      <c r="Y593" s="206">
        <v>8800</v>
      </c>
      <c r="Z593" s="207">
        <v>30000</v>
      </c>
      <c r="AA593" s="207">
        <f t="shared" si="147"/>
        <v>109200000</v>
      </c>
      <c r="AB593" s="157">
        <v>30000</v>
      </c>
      <c r="AC593" s="158">
        <f t="shared" si="145"/>
        <v>30000</v>
      </c>
      <c r="AD593" s="159">
        <f t="shared" si="148"/>
        <v>0</v>
      </c>
      <c r="AE593" s="160"/>
      <c r="AF593" s="160">
        <f t="shared" si="149"/>
        <v>0</v>
      </c>
      <c r="AG593" s="165"/>
      <c r="AH593" s="161">
        <f t="shared" si="150"/>
        <v>0</v>
      </c>
      <c r="AI593" s="162"/>
      <c r="AJ593" s="162">
        <f t="shared" si="151"/>
        <v>0</v>
      </c>
      <c r="AK593" s="164"/>
      <c r="AL593" s="164">
        <f t="shared" si="152"/>
        <v>0</v>
      </c>
      <c r="AM593" s="165"/>
      <c r="AN593" s="165">
        <f t="shared" si="153"/>
        <v>0</v>
      </c>
      <c r="AO593" s="166">
        <v>0</v>
      </c>
      <c r="AP593" s="166">
        <f t="shared" si="154"/>
        <v>0</v>
      </c>
      <c r="AQ593" s="162"/>
      <c r="AR593" s="162">
        <f t="shared" si="155"/>
        <v>0</v>
      </c>
      <c r="AS593" s="173"/>
      <c r="AT593" s="167">
        <f t="shared" si="156"/>
        <v>0</v>
      </c>
      <c r="AU593" s="163"/>
      <c r="AV593" s="163">
        <f t="shared" si="157"/>
        <v>0</v>
      </c>
      <c r="AW593" s="168"/>
      <c r="AX593" s="168">
        <f t="shared" si="158"/>
        <v>0</v>
      </c>
      <c r="AY593" s="170"/>
      <c r="AZ593" s="170">
        <f t="shared" si="159"/>
        <v>0</v>
      </c>
      <c r="BA593" s="166"/>
      <c r="BB593" s="166">
        <f t="shared" si="160"/>
        <v>0</v>
      </c>
    </row>
    <row r="594" spans="1:54" s="131" customFormat="1" ht="112.5">
      <c r="A594" s="172" t="s">
        <v>7581</v>
      </c>
      <c r="B594" s="203" t="s">
        <v>6037</v>
      </c>
      <c r="C594" s="203"/>
      <c r="D594" s="203"/>
      <c r="E594" s="203" t="s">
        <v>7583</v>
      </c>
      <c r="F594" s="205" t="s">
        <v>7584</v>
      </c>
      <c r="G594" s="205" t="s">
        <v>7585</v>
      </c>
      <c r="H594" s="204" t="s">
        <v>730</v>
      </c>
      <c r="I594" s="204" t="s">
        <v>11</v>
      </c>
      <c r="J594" s="205" t="s">
        <v>6530</v>
      </c>
      <c r="K594" s="206">
        <v>2400</v>
      </c>
      <c r="L594" s="206"/>
      <c r="M594" s="159">
        <f t="shared" si="146"/>
        <v>0</v>
      </c>
      <c r="N594" s="159"/>
      <c r="O594" s="159"/>
      <c r="P594" s="159"/>
      <c r="Q594" s="159"/>
      <c r="R594" s="159"/>
      <c r="S594" s="209" t="s">
        <v>5848</v>
      </c>
      <c r="T594" s="203" t="s">
        <v>5849</v>
      </c>
      <c r="U594" s="202" t="s">
        <v>7582</v>
      </c>
      <c r="V594" s="204">
        <v>3</v>
      </c>
      <c r="W594" s="203" t="s">
        <v>5111</v>
      </c>
      <c r="X594" s="204" t="s">
        <v>213</v>
      </c>
      <c r="Y594" s="206">
        <v>3500</v>
      </c>
      <c r="Z594" s="207">
        <v>20000</v>
      </c>
      <c r="AA594" s="207">
        <f t="shared" si="147"/>
        <v>48000000</v>
      </c>
      <c r="AB594" s="157">
        <v>20000</v>
      </c>
      <c r="AC594" s="158">
        <f t="shared" si="145"/>
        <v>20000</v>
      </c>
      <c r="AD594" s="159">
        <f t="shared" si="148"/>
        <v>0</v>
      </c>
      <c r="AE594" s="160"/>
      <c r="AF594" s="160">
        <f t="shared" si="149"/>
        <v>0</v>
      </c>
      <c r="AG594" s="165"/>
      <c r="AH594" s="161">
        <f t="shared" si="150"/>
        <v>0</v>
      </c>
      <c r="AI594" s="162"/>
      <c r="AJ594" s="162">
        <f t="shared" si="151"/>
        <v>0</v>
      </c>
      <c r="AK594" s="164"/>
      <c r="AL594" s="164">
        <f t="shared" si="152"/>
        <v>0</v>
      </c>
      <c r="AM594" s="165"/>
      <c r="AN594" s="165">
        <f t="shared" si="153"/>
        <v>0</v>
      </c>
      <c r="AO594" s="166">
        <v>0</v>
      </c>
      <c r="AP594" s="166">
        <f t="shared" si="154"/>
        <v>0</v>
      </c>
      <c r="AQ594" s="162"/>
      <c r="AR594" s="162">
        <f t="shared" si="155"/>
        <v>0</v>
      </c>
      <c r="AS594" s="173"/>
      <c r="AT594" s="167">
        <f t="shared" si="156"/>
        <v>0</v>
      </c>
      <c r="AU594" s="163"/>
      <c r="AV594" s="163">
        <f t="shared" si="157"/>
        <v>0</v>
      </c>
      <c r="AW594" s="168"/>
      <c r="AX594" s="168">
        <f t="shared" si="158"/>
        <v>0</v>
      </c>
      <c r="AY594" s="170"/>
      <c r="AZ594" s="170">
        <f t="shared" si="159"/>
        <v>0</v>
      </c>
      <c r="BA594" s="166"/>
      <c r="BB594" s="166">
        <f t="shared" si="160"/>
        <v>0</v>
      </c>
    </row>
    <row r="595" spans="1:54" s="131" customFormat="1" ht="31.5">
      <c r="A595" s="148" t="s">
        <v>7586</v>
      </c>
      <c r="B595" s="203" t="s">
        <v>1365</v>
      </c>
      <c r="C595" s="203"/>
      <c r="D595" s="203"/>
      <c r="E595" s="203" t="s">
        <v>7587</v>
      </c>
      <c r="F595" s="205" t="s">
        <v>7589</v>
      </c>
      <c r="G595" s="205" t="s">
        <v>7015</v>
      </c>
      <c r="H595" s="204" t="s">
        <v>310</v>
      </c>
      <c r="I595" s="204" t="s">
        <v>16</v>
      </c>
      <c r="J595" s="205" t="s">
        <v>7588</v>
      </c>
      <c r="K595" s="206">
        <v>231</v>
      </c>
      <c r="L595" s="206"/>
      <c r="M595" s="159">
        <f t="shared" si="146"/>
        <v>0</v>
      </c>
      <c r="N595" s="159"/>
      <c r="O595" s="159"/>
      <c r="P595" s="159"/>
      <c r="Q595" s="159"/>
      <c r="R595" s="159"/>
      <c r="S595" s="149" t="s">
        <v>5417</v>
      </c>
      <c r="T595" s="150" t="s">
        <v>5418</v>
      </c>
      <c r="U595" s="202" t="s">
        <v>4205</v>
      </c>
      <c r="V595" s="204">
        <v>3</v>
      </c>
      <c r="W595" s="203" t="s">
        <v>5104</v>
      </c>
      <c r="X595" s="204" t="s">
        <v>213</v>
      </c>
      <c r="Y595" s="206">
        <v>400</v>
      </c>
      <c r="Z595" s="207">
        <v>100000</v>
      </c>
      <c r="AA595" s="207">
        <f t="shared" si="147"/>
        <v>23100000</v>
      </c>
      <c r="AB595" s="157">
        <v>100000</v>
      </c>
      <c r="AC595" s="158">
        <f t="shared" si="145"/>
        <v>100000</v>
      </c>
      <c r="AD595" s="159">
        <f t="shared" si="148"/>
        <v>0</v>
      </c>
      <c r="AE595" s="160"/>
      <c r="AF595" s="160">
        <f t="shared" si="149"/>
        <v>0</v>
      </c>
      <c r="AG595" s="165"/>
      <c r="AH595" s="161">
        <f t="shared" si="150"/>
        <v>0</v>
      </c>
      <c r="AI595" s="162"/>
      <c r="AJ595" s="162">
        <f t="shared" si="151"/>
        <v>0</v>
      </c>
      <c r="AK595" s="164"/>
      <c r="AL595" s="164">
        <f t="shared" si="152"/>
        <v>0</v>
      </c>
      <c r="AM595" s="165"/>
      <c r="AN595" s="165">
        <f t="shared" si="153"/>
        <v>0</v>
      </c>
      <c r="AO595" s="166">
        <v>0</v>
      </c>
      <c r="AP595" s="166">
        <f t="shared" si="154"/>
        <v>0</v>
      </c>
      <c r="AQ595" s="162"/>
      <c r="AR595" s="162">
        <f t="shared" si="155"/>
        <v>0</v>
      </c>
      <c r="AS595" s="173"/>
      <c r="AT595" s="167">
        <f t="shared" si="156"/>
        <v>0</v>
      </c>
      <c r="AU595" s="163"/>
      <c r="AV595" s="163">
        <f t="shared" si="157"/>
        <v>0</v>
      </c>
      <c r="AW595" s="168"/>
      <c r="AX595" s="168">
        <f t="shared" si="158"/>
        <v>0</v>
      </c>
      <c r="AY595" s="170"/>
      <c r="AZ595" s="170">
        <f t="shared" si="159"/>
        <v>0</v>
      </c>
      <c r="BA595" s="166"/>
      <c r="BB595" s="166">
        <f t="shared" si="160"/>
        <v>0</v>
      </c>
    </row>
    <row r="596" spans="1:54" s="131" customFormat="1" ht="31.5">
      <c r="A596" s="148" t="s">
        <v>7590</v>
      </c>
      <c r="B596" s="203" t="s">
        <v>607</v>
      </c>
      <c r="C596" s="203"/>
      <c r="D596" s="203"/>
      <c r="E596" s="203" t="s">
        <v>7594</v>
      </c>
      <c r="F596" s="205" t="s">
        <v>7596</v>
      </c>
      <c r="G596" s="205" t="s">
        <v>1698</v>
      </c>
      <c r="H596" s="204" t="s">
        <v>327</v>
      </c>
      <c r="I596" s="204" t="s">
        <v>11</v>
      </c>
      <c r="J596" s="205" t="s">
        <v>7595</v>
      </c>
      <c r="K596" s="206">
        <v>2980</v>
      </c>
      <c r="L596" s="206"/>
      <c r="M596" s="159">
        <f t="shared" si="146"/>
        <v>0</v>
      </c>
      <c r="N596" s="159"/>
      <c r="O596" s="159"/>
      <c r="P596" s="159"/>
      <c r="Q596" s="159"/>
      <c r="R596" s="159"/>
      <c r="S596" s="149" t="s">
        <v>7591</v>
      </c>
      <c r="T596" s="149" t="s">
        <v>7592</v>
      </c>
      <c r="U596" s="202" t="s">
        <v>7593</v>
      </c>
      <c r="V596" s="204">
        <v>3</v>
      </c>
      <c r="W596" s="203" t="s">
        <v>253</v>
      </c>
      <c r="X596" s="204" t="s">
        <v>213</v>
      </c>
      <c r="Y596" s="206">
        <v>3500</v>
      </c>
      <c r="Z596" s="207">
        <v>10000</v>
      </c>
      <c r="AA596" s="207">
        <f t="shared" si="147"/>
        <v>29800000</v>
      </c>
      <c r="AB596" s="157">
        <v>10000</v>
      </c>
      <c r="AC596" s="158">
        <f t="shared" si="145"/>
        <v>10000</v>
      </c>
      <c r="AD596" s="159">
        <f t="shared" si="148"/>
        <v>0</v>
      </c>
      <c r="AE596" s="160"/>
      <c r="AF596" s="160">
        <f t="shared" si="149"/>
        <v>0</v>
      </c>
      <c r="AG596" s="165"/>
      <c r="AH596" s="161">
        <f t="shared" si="150"/>
        <v>0</v>
      </c>
      <c r="AI596" s="162"/>
      <c r="AJ596" s="162">
        <f t="shared" si="151"/>
        <v>0</v>
      </c>
      <c r="AK596" s="164"/>
      <c r="AL596" s="164">
        <f t="shared" si="152"/>
        <v>0</v>
      </c>
      <c r="AM596" s="165"/>
      <c r="AN596" s="165">
        <f t="shared" si="153"/>
        <v>0</v>
      </c>
      <c r="AO596" s="166">
        <v>0</v>
      </c>
      <c r="AP596" s="166">
        <f t="shared" si="154"/>
        <v>0</v>
      </c>
      <c r="AQ596" s="162"/>
      <c r="AR596" s="162">
        <f t="shared" si="155"/>
        <v>0</v>
      </c>
      <c r="AS596" s="173"/>
      <c r="AT596" s="167">
        <f t="shared" si="156"/>
        <v>0</v>
      </c>
      <c r="AU596" s="163"/>
      <c r="AV596" s="163">
        <f t="shared" si="157"/>
        <v>0</v>
      </c>
      <c r="AW596" s="168"/>
      <c r="AX596" s="168">
        <f t="shared" si="158"/>
        <v>0</v>
      </c>
      <c r="AY596" s="170"/>
      <c r="AZ596" s="170">
        <f t="shared" si="159"/>
        <v>0</v>
      </c>
      <c r="BA596" s="166"/>
      <c r="BB596" s="166">
        <f t="shared" si="160"/>
        <v>0</v>
      </c>
    </row>
    <row r="597" spans="1:54" s="131" customFormat="1" ht="31.5">
      <c r="A597" s="172" t="s">
        <v>7597</v>
      </c>
      <c r="B597" s="203" t="s">
        <v>592</v>
      </c>
      <c r="C597" s="203"/>
      <c r="D597" s="203"/>
      <c r="E597" s="203" t="s">
        <v>4416</v>
      </c>
      <c r="F597" s="205" t="s">
        <v>7599</v>
      </c>
      <c r="G597" s="205" t="s">
        <v>1946</v>
      </c>
      <c r="H597" s="204" t="s">
        <v>594</v>
      </c>
      <c r="I597" s="204" t="s">
        <v>11</v>
      </c>
      <c r="J597" s="205" t="s">
        <v>7598</v>
      </c>
      <c r="K597" s="206">
        <v>357</v>
      </c>
      <c r="L597" s="206"/>
      <c r="M597" s="159">
        <f t="shared" si="146"/>
        <v>49950</v>
      </c>
      <c r="N597" s="159"/>
      <c r="O597" s="159"/>
      <c r="P597" s="159"/>
      <c r="Q597" s="159"/>
      <c r="R597" s="159"/>
      <c r="S597" s="150" t="s">
        <v>5340</v>
      </c>
      <c r="T597" s="150" t="s">
        <v>5341</v>
      </c>
      <c r="U597" s="202" t="s">
        <v>4203</v>
      </c>
      <c r="V597" s="204">
        <v>3</v>
      </c>
      <c r="W597" s="203" t="s">
        <v>5104</v>
      </c>
      <c r="X597" s="204" t="s">
        <v>213</v>
      </c>
      <c r="Y597" s="206">
        <v>800</v>
      </c>
      <c r="Z597" s="207">
        <v>50000</v>
      </c>
      <c r="AA597" s="207">
        <f t="shared" si="147"/>
        <v>17850000</v>
      </c>
      <c r="AB597" s="157">
        <v>50000</v>
      </c>
      <c r="AC597" s="158">
        <f t="shared" si="145"/>
        <v>50</v>
      </c>
      <c r="AD597" s="159">
        <f t="shared" si="148"/>
        <v>17832150</v>
      </c>
      <c r="AE597" s="160">
        <v>19980</v>
      </c>
      <c r="AF597" s="160">
        <f t="shared" si="149"/>
        <v>7132860</v>
      </c>
      <c r="AG597" s="165"/>
      <c r="AH597" s="161">
        <f t="shared" si="150"/>
        <v>0</v>
      </c>
      <c r="AI597" s="162"/>
      <c r="AJ597" s="162">
        <f t="shared" si="151"/>
        <v>0</v>
      </c>
      <c r="AK597" s="164"/>
      <c r="AL597" s="164">
        <f t="shared" si="152"/>
        <v>0</v>
      </c>
      <c r="AM597" s="165">
        <v>29970</v>
      </c>
      <c r="AN597" s="165">
        <f t="shared" si="153"/>
        <v>10699290</v>
      </c>
      <c r="AO597" s="166">
        <v>0</v>
      </c>
      <c r="AP597" s="166">
        <f t="shared" si="154"/>
        <v>0</v>
      </c>
      <c r="AQ597" s="162"/>
      <c r="AR597" s="162">
        <f t="shared" si="155"/>
        <v>0</v>
      </c>
      <c r="AS597" s="173"/>
      <c r="AT597" s="167">
        <f t="shared" si="156"/>
        <v>0</v>
      </c>
      <c r="AU597" s="163"/>
      <c r="AV597" s="163">
        <f t="shared" si="157"/>
        <v>0</v>
      </c>
      <c r="AW597" s="168"/>
      <c r="AX597" s="168">
        <f t="shared" si="158"/>
        <v>0</v>
      </c>
      <c r="AY597" s="170"/>
      <c r="AZ597" s="170">
        <f t="shared" si="159"/>
        <v>0</v>
      </c>
      <c r="BA597" s="166"/>
      <c r="BB597" s="166">
        <f t="shared" si="160"/>
        <v>0</v>
      </c>
    </row>
    <row r="598" spans="1:54" s="131" customFormat="1" ht="31.5">
      <c r="A598" s="148" t="s">
        <v>7600</v>
      </c>
      <c r="B598" s="203" t="s">
        <v>592</v>
      </c>
      <c r="C598" s="203"/>
      <c r="D598" s="203"/>
      <c r="E598" s="203" t="s">
        <v>1400</v>
      </c>
      <c r="F598" s="205" t="s">
        <v>7602</v>
      </c>
      <c r="G598" s="205" t="s">
        <v>7001</v>
      </c>
      <c r="H598" s="204" t="s">
        <v>235</v>
      </c>
      <c r="I598" s="204" t="s">
        <v>11</v>
      </c>
      <c r="J598" s="205" t="s">
        <v>7601</v>
      </c>
      <c r="K598" s="206">
        <v>95</v>
      </c>
      <c r="L598" s="206"/>
      <c r="M598" s="159">
        <f t="shared" si="146"/>
        <v>50600</v>
      </c>
      <c r="N598" s="159"/>
      <c r="O598" s="159"/>
      <c r="P598" s="159"/>
      <c r="Q598" s="159"/>
      <c r="R598" s="159"/>
      <c r="S598" s="150" t="s">
        <v>360</v>
      </c>
      <c r="T598" s="150" t="s">
        <v>358</v>
      </c>
      <c r="U598" s="202" t="s">
        <v>4106</v>
      </c>
      <c r="V598" s="204">
        <v>3</v>
      </c>
      <c r="W598" s="203" t="s">
        <v>5104</v>
      </c>
      <c r="X598" s="204" t="s">
        <v>213</v>
      </c>
      <c r="Y598" s="206">
        <v>450</v>
      </c>
      <c r="Z598" s="207">
        <v>180000</v>
      </c>
      <c r="AA598" s="207">
        <f t="shared" si="147"/>
        <v>17100000</v>
      </c>
      <c r="AB598" s="157">
        <v>180000</v>
      </c>
      <c r="AC598" s="158">
        <f t="shared" si="145"/>
        <v>129400</v>
      </c>
      <c r="AD598" s="159">
        <f t="shared" si="148"/>
        <v>4807000</v>
      </c>
      <c r="AE598" s="160"/>
      <c r="AF598" s="160">
        <f t="shared" si="149"/>
        <v>0</v>
      </c>
      <c r="AG598" s="165">
        <v>15000</v>
      </c>
      <c r="AH598" s="161">
        <f t="shared" si="150"/>
        <v>1425000</v>
      </c>
      <c r="AI598" s="162"/>
      <c r="AJ598" s="162">
        <f t="shared" si="151"/>
        <v>0</v>
      </c>
      <c r="AK598" s="163"/>
      <c r="AL598" s="164">
        <f t="shared" si="152"/>
        <v>0</v>
      </c>
      <c r="AM598" s="161">
        <v>10000</v>
      </c>
      <c r="AN598" s="165">
        <f t="shared" si="153"/>
        <v>950000</v>
      </c>
      <c r="AO598" s="160">
        <v>0</v>
      </c>
      <c r="AP598" s="166">
        <f t="shared" si="154"/>
        <v>0</v>
      </c>
      <c r="AQ598" s="162"/>
      <c r="AR598" s="162">
        <f t="shared" si="155"/>
        <v>0</v>
      </c>
      <c r="AS598" s="173">
        <v>25600</v>
      </c>
      <c r="AT598" s="167">
        <f t="shared" si="156"/>
        <v>2432000</v>
      </c>
      <c r="AU598" s="163"/>
      <c r="AV598" s="163">
        <f t="shared" si="157"/>
        <v>0</v>
      </c>
      <c r="AW598" s="162"/>
      <c r="AX598" s="168">
        <f t="shared" si="158"/>
        <v>0</v>
      </c>
      <c r="AY598" s="169"/>
      <c r="AZ598" s="170">
        <f t="shared" si="159"/>
        <v>0</v>
      </c>
      <c r="BA598" s="160"/>
      <c r="BB598" s="166">
        <f t="shared" si="160"/>
        <v>0</v>
      </c>
    </row>
    <row r="599" spans="1:54" s="131" customFormat="1" ht="31.5">
      <c r="A599" s="148" t="s">
        <v>7603</v>
      </c>
      <c r="B599" s="203" t="s">
        <v>750</v>
      </c>
      <c r="C599" s="203"/>
      <c r="D599" s="203"/>
      <c r="E599" s="203" t="s">
        <v>1369</v>
      </c>
      <c r="F599" s="205" t="s">
        <v>7605</v>
      </c>
      <c r="G599" s="205" t="s">
        <v>7001</v>
      </c>
      <c r="H599" s="204" t="s">
        <v>833</v>
      </c>
      <c r="I599" s="204" t="s">
        <v>11</v>
      </c>
      <c r="J599" s="205" t="s">
        <v>7604</v>
      </c>
      <c r="K599" s="206">
        <v>84</v>
      </c>
      <c r="L599" s="206"/>
      <c r="M599" s="159">
        <f t="shared" si="146"/>
        <v>41000</v>
      </c>
      <c r="N599" s="159"/>
      <c r="O599" s="159"/>
      <c r="P599" s="159"/>
      <c r="Q599" s="159"/>
      <c r="R599" s="159"/>
      <c r="S599" s="150" t="s">
        <v>360</v>
      </c>
      <c r="T599" s="150" t="s">
        <v>358</v>
      </c>
      <c r="U599" s="202" t="s">
        <v>3720</v>
      </c>
      <c r="V599" s="204">
        <v>3</v>
      </c>
      <c r="W599" s="203" t="s">
        <v>5104</v>
      </c>
      <c r="X599" s="204" t="s">
        <v>213</v>
      </c>
      <c r="Y599" s="206">
        <v>350</v>
      </c>
      <c r="Z599" s="207">
        <v>100000</v>
      </c>
      <c r="AA599" s="207">
        <f t="shared" si="147"/>
        <v>8400000</v>
      </c>
      <c r="AB599" s="157">
        <v>100000</v>
      </c>
      <c r="AC599" s="158">
        <f t="shared" si="145"/>
        <v>59000</v>
      </c>
      <c r="AD599" s="159">
        <f t="shared" si="148"/>
        <v>3444000</v>
      </c>
      <c r="AE599" s="160"/>
      <c r="AF599" s="160">
        <f t="shared" si="149"/>
        <v>0</v>
      </c>
      <c r="AG599" s="165">
        <v>15000</v>
      </c>
      <c r="AH599" s="161">
        <f t="shared" si="150"/>
        <v>1260000</v>
      </c>
      <c r="AI599" s="162"/>
      <c r="AJ599" s="162">
        <f t="shared" si="151"/>
        <v>0</v>
      </c>
      <c r="AK599" s="163"/>
      <c r="AL599" s="164">
        <f t="shared" si="152"/>
        <v>0</v>
      </c>
      <c r="AM599" s="161">
        <f>10000+8000</f>
        <v>18000</v>
      </c>
      <c r="AN599" s="165">
        <f t="shared" si="153"/>
        <v>1512000</v>
      </c>
      <c r="AO599" s="160">
        <v>0</v>
      </c>
      <c r="AP599" s="166">
        <f t="shared" si="154"/>
        <v>0</v>
      </c>
      <c r="AQ599" s="162"/>
      <c r="AR599" s="162">
        <f t="shared" si="155"/>
        <v>0</v>
      </c>
      <c r="AS599" s="173">
        <v>8000</v>
      </c>
      <c r="AT599" s="167">
        <f t="shared" si="156"/>
        <v>672000</v>
      </c>
      <c r="AU599" s="163"/>
      <c r="AV599" s="163">
        <f t="shared" si="157"/>
        <v>0</v>
      </c>
      <c r="AW599" s="162"/>
      <c r="AX599" s="168">
        <f t="shared" si="158"/>
        <v>0</v>
      </c>
      <c r="AY599" s="169"/>
      <c r="AZ599" s="170">
        <f t="shared" si="159"/>
        <v>0</v>
      </c>
      <c r="BA599" s="160"/>
      <c r="BB599" s="166">
        <f t="shared" si="160"/>
        <v>0</v>
      </c>
    </row>
    <row r="600" spans="1:54" s="131" customFormat="1" ht="31.5">
      <c r="A600" s="172" t="s">
        <v>7606</v>
      </c>
      <c r="B600" s="203" t="s">
        <v>750</v>
      </c>
      <c r="C600" s="203"/>
      <c r="D600" s="203"/>
      <c r="E600" s="203" t="s">
        <v>7609</v>
      </c>
      <c r="F600" s="205" t="s">
        <v>7611</v>
      </c>
      <c r="G600" s="205" t="s">
        <v>6907</v>
      </c>
      <c r="H600" s="204" t="s">
        <v>7608</v>
      </c>
      <c r="I600" s="204" t="s">
        <v>520</v>
      </c>
      <c r="J600" s="205" t="s">
        <v>7610</v>
      </c>
      <c r="K600" s="206">
        <v>4200</v>
      </c>
      <c r="L600" s="206"/>
      <c r="M600" s="159">
        <f t="shared" si="146"/>
        <v>0</v>
      </c>
      <c r="N600" s="159"/>
      <c r="O600" s="159"/>
      <c r="P600" s="159"/>
      <c r="Q600" s="159"/>
      <c r="R600" s="159"/>
      <c r="S600" s="149" t="s">
        <v>5830</v>
      </c>
      <c r="T600" s="149" t="s">
        <v>5831</v>
      </c>
      <c r="U600" s="202" t="s">
        <v>7607</v>
      </c>
      <c r="V600" s="204">
        <v>3</v>
      </c>
      <c r="W600" s="203" t="s">
        <v>5104</v>
      </c>
      <c r="X600" s="204" t="s">
        <v>213</v>
      </c>
      <c r="Y600" s="206">
        <v>4410</v>
      </c>
      <c r="Z600" s="207">
        <v>100000</v>
      </c>
      <c r="AA600" s="207">
        <f t="shared" si="147"/>
        <v>420000000</v>
      </c>
      <c r="AB600" s="157">
        <v>100000</v>
      </c>
      <c r="AC600" s="158">
        <f t="shared" si="145"/>
        <v>100000</v>
      </c>
      <c r="AD600" s="159">
        <f t="shared" si="148"/>
        <v>0</v>
      </c>
      <c r="AE600" s="160"/>
      <c r="AF600" s="160">
        <f t="shared" si="149"/>
        <v>0</v>
      </c>
      <c r="AG600" s="165"/>
      <c r="AH600" s="161">
        <f t="shared" si="150"/>
        <v>0</v>
      </c>
      <c r="AI600" s="162"/>
      <c r="AJ600" s="162">
        <f t="shared" si="151"/>
        <v>0</v>
      </c>
      <c r="AK600" s="163"/>
      <c r="AL600" s="164">
        <f t="shared" si="152"/>
        <v>0</v>
      </c>
      <c r="AM600" s="161"/>
      <c r="AN600" s="165">
        <f t="shared" si="153"/>
        <v>0</v>
      </c>
      <c r="AO600" s="160">
        <v>0</v>
      </c>
      <c r="AP600" s="166">
        <f t="shared" si="154"/>
        <v>0</v>
      </c>
      <c r="AQ600" s="162"/>
      <c r="AR600" s="162">
        <f t="shared" si="155"/>
        <v>0</v>
      </c>
      <c r="AS600" s="173"/>
      <c r="AT600" s="167">
        <f t="shared" si="156"/>
        <v>0</v>
      </c>
      <c r="AU600" s="163"/>
      <c r="AV600" s="163">
        <f t="shared" si="157"/>
        <v>0</v>
      </c>
      <c r="AW600" s="162"/>
      <c r="AX600" s="168">
        <f t="shared" si="158"/>
        <v>0</v>
      </c>
      <c r="AY600" s="169"/>
      <c r="AZ600" s="170">
        <f t="shared" si="159"/>
        <v>0</v>
      </c>
      <c r="BA600" s="160"/>
      <c r="BB600" s="166">
        <f t="shared" si="160"/>
        <v>0</v>
      </c>
    </row>
    <row r="601" spans="1:54" s="131" customFormat="1" ht="31.5">
      <c r="A601" s="148" t="s">
        <v>7612</v>
      </c>
      <c r="B601" s="203" t="s">
        <v>7613</v>
      </c>
      <c r="C601" s="203"/>
      <c r="D601" s="203"/>
      <c r="E601" s="203" t="s">
        <v>4413</v>
      </c>
      <c r="F601" s="205" t="s">
        <v>7614</v>
      </c>
      <c r="G601" s="205" t="s">
        <v>2385</v>
      </c>
      <c r="H601" s="204" t="s">
        <v>4415</v>
      </c>
      <c r="I601" s="204" t="s">
        <v>11</v>
      </c>
      <c r="J601" s="205" t="s">
        <v>6935</v>
      </c>
      <c r="K601" s="206">
        <v>348</v>
      </c>
      <c r="L601" s="206"/>
      <c r="M601" s="159">
        <f t="shared" si="146"/>
        <v>22000</v>
      </c>
      <c r="N601" s="159"/>
      <c r="O601" s="159"/>
      <c r="P601" s="159"/>
      <c r="Q601" s="159"/>
      <c r="R601" s="159"/>
      <c r="S601" s="149" t="s">
        <v>2385</v>
      </c>
      <c r="T601" s="150" t="s">
        <v>2380</v>
      </c>
      <c r="U601" s="202" t="s">
        <v>4412</v>
      </c>
      <c r="V601" s="204">
        <v>3</v>
      </c>
      <c r="W601" s="203" t="s">
        <v>5104</v>
      </c>
      <c r="X601" s="204" t="s">
        <v>213</v>
      </c>
      <c r="Y601" s="206">
        <v>600</v>
      </c>
      <c r="Z601" s="207">
        <v>100000</v>
      </c>
      <c r="AA601" s="207">
        <f t="shared" si="147"/>
        <v>34800000</v>
      </c>
      <c r="AB601" s="157">
        <v>100000</v>
      </c>
      <c r="AC601" s="158">
        <f t="shared" si="145"/>
        <v>78000</v>
      </c>
      <c r="AD601" s="159">
        <f t="shared" si="148"/>
        <v>7656000</v>
      </c>
      <c r="AE601" s="160"/>
      <c r="AF601" s="160">
        <f t="shared" si="149"/>
        <v>0</v>
      </c>
      <c r="AG601" s="165">
        <v>22000</v>
      </c>
      <c r="AH601" s="161">
        <f t="shared" si="150"/>
        <v>7656000</v>
      </c>
      <c r="AI601" s="162"/>
      <c r="AJ601" s="162">
        <f t="shared" si="151"/>
        <v>0</v>
      </c>
      <c r="AK601" s="164"/>
      <c r="AL601" s="164">
        <f t="shared" si="152"/>
        <v>0</v>
      </c>
      <c r="AM601" s="165"/>
      <c r="AN601" s="165">
        <f t="shared" si="153"/>
        <v>0</v>
      </c>
      <c r="AO601" s="166">
        <v>0</v>
      </c>
      <c r="AP601" s="166">
        <f t="shared" si="154"/>
        <v>0</v>
      </c>
      <c r="AQ601" s="162"/>
      <c r="AR601" s="162">
        <f t="shared" si="155"/>
        <v>0</v>
      </c>
      <c r="AS601" s="173"/>
      <c r="AT601" s="167">
        <f t="shared" si="156"/>
        <v>0</v>
      </c>
      <c r="AU601" s="163"/>
      <c r="AV601" s="163">
        <f t="shared" si="157"/>
        <v>0</v>
      </c>
      <c r="AW601" s="168"/>
      <c r="AX601" s="168">
        <f t="shared" si="158"/>
        <v>0</v>
      </c>
      <c r="AY601" s="170"/>
      <c r="AZ601" s="170">
        <f t="shared" si="159"/>
        <v>0</v>
      </c>
      <c r="BA601" s="166"/>
      <c r="BB601" s="166">
        <f t="shared" si="160"/>
        <v>0</v>
      </c>
    </row>
    <row r="602" spans="1:54" s="131" customFormat="1" ht="31.5">
      <c r="A602" s="148" t="s">
        <v>7615</v>
      </c>
      <c r="B602" s="223" t="s">
        <v>7617</v>
      </c>
      <c r="C602" s="223"/>
      <c r="D602" s="223"/>
      <c r="E602" s="223" t="s">
        <v>7619</v>
      </c>
      <c r="F602" s="225" t="s">
        <v>7621</v>
      </c>
      <c r="G602" s="225" t="s">
        <v>7353</v>
      </c>
      <c r="H602" s="224" t="s">
        <v>7618</v>
      </c>
      <c r="I602" s="204" t="s">
        <v>11</v>
      </c>
      <c r="J602" s="225" t="s">
        <v>7620</v>
      </c>
      <c r="K602" s="226">
        <v>2500</v>
      </c>
      <c r="L602" s="226"/>
      <c r="M602" s="159">
        <f t="shared" si="146"/>
        <v>0</v>
      </c>
      <c r="N602" s="159"/>
      <c r="O602" s="159"/>
      <c r="P602" s="159"/>
      <c r="Q602" s="159"/>
      <c r="R602" s="159"/>
      <c r="S602" s="149" t="s">
        <v>6224</v>
      </c>
      <c r="T602" s="149" t="s">
        <v>6225</v>
      </c>
      <c r="U602" s="222" t="s">
        <v>7616</v>
      </c>
      <c r="V602" s="204">
        <v>3</v>
      </c>
      <c r="W602" s="223" t="s">
        <v>253</v>
      </c>
      <c r="X602" s="224" t="s">
        <v>213</v>
      </c>
      <c r="Y602" s="226">
        <v>2500</v>
      </c>
      <c r="Z602" s="207">
        <v>50000</v>
      </c>
      <c r="AA602" s="207">
        <f t="shared" si="147"/>
        <v>125000000</v>
      </c>
      <c r="AB602" s="157">
        <v>50000</v>
      </c>
      <c r="AC602" s="158">
        <f t="shared" si="145"/>
        <v>50000</v>
      </c>
      <c r="AD602" s="159">
        <f t="shared" si="148"/>
        <v>0</v>
      </c>
      <c r="AE602" s="160"/>
      <c r="AF602" s="160">
        <f t="shared" si="149"/>
        <v>0</v>
      </c>
      <c r="AG602" s="165"/>
      <c r="AH602" s="161">
        <f t="shared" si="150"/>
        <v>0</v>
      </c>
      <c r="AI602" s="162"/>
      <c r="AJ602" s="162">
        <f t="shared" si="151"/>
        <v>0</v>
      </c>
      <c r="AK602" s="164"/>
      <c r="AL602" s="164">
        <f t="shared" si="152"/>
        <v>0</v>
      </c>
      <c r="AM602" s="165"/>
      <c r="AN602" s="165">
        <f t="shared" si="153"/>
        <v>0</v>
      </c>
      <c r="AO602" s="166">
        <v>0</v>
      </c>
      <c r="AP602" s="166">
        <f t="shared" si="154"/>
        <v>0</v>
      </c>
      <c r="AQ602" s="162"/>
      <c r="AR602" s="162">
        <f t="shared" si="155"/>
        <v>0</v>
      </c>
      <c r="AS602" s="173"/>
      <c r="AT602" s="167">
        <f t="shared" si="156"/>
        <v>0</v>
      </c>
      <c r="AU602" s="163"/>
      <c r="AV602" s="163">
        <f t="shared" si="157"/>
        <v>0</v>
      </c>
      <c r="AW602" s="168"/>
      <c r="AX602" s="168">
        <f t="shared" si="158"/>
        <v>0</v>
      </c>
      <c r="AY602" s="170"/>
      <c r="AZ602" s="170">
        <f t="shared" si="159"/>
        <v>0</v>
      </c>
      <c r="BA602" s="166"/>
      <c r="BB602" s="166">
        <f t="shared" si="160"/>
        <v>0</v>
      </c>
    </row>
    <row r="603" spans="1:54" s="131" customFormat="1" ht="31.5">
      <c r="A603" s="172" t="s">
        <v>7622</v>
      </c>
      <c r="B603" s="203" t="s">
        <v>4248</v>
      </c>
      <c r="C603" s="203"/>
      <c r="D603" s="203"/>
      <c r="E603" s="203" t="s">
        <v>4247</v>
      </c>
      <c r="F603" s="205" t="s">
        <v>7624</v>
      </c>
      <c r="G603" s="205" t="s">
        <v>7625</v>
      </c>
      <c r="H603" s="204" t="s">
        <v>4249</v>
      </c>
      <c r="I603" s="204" t="s">
        <v>11</v>
      </c>
      <c r="J603" s="205" t="s">
        <v>7623</v>
      </c>
      <c r="K603" s="206">
        <v>1974</v>
      </c>
      <c r="L603" s="206"/>
      <c r="M603" s="159">
        <f t="shared" si="146"/>
        <v>10000</v>
      </c>
      <c r="N603" s="159"/>
      <c r="O603" s="159"/>
      <c r="P603" s="159"/>
      <c r="Q603" s="159"/>
      <c r="R603" s="159"/>
      <c r="S603" s="149" t="s">
        <v>6248</v>
      </c>
      <c r="T603" s="149" t="s">
        <v>6249</v>
      </c>
      <c r="U603" s="202" t="s">
        <v>4246</v>
      </c>
      <c r="V603" s="204">
        <v>3</v>
      </c>
      <c r="W603" s="203" t="s">
        <v>5104</v>
      </c>
      <c r="X603" s="204" t="s">
        <v>6694</v>
      </c>
      <c r="Y603" s="206">
        <v>2300</v>
      </c>
      <c r="Z603" s="207">
        <v>100000</v>
      </c>
      <c r="AA603" s="207">
        <f t="shared" si="147"/>
        <v>197400000</v>
      </c>
      <c r="AB603" s="157">
        <v>100000</v>
      </c>
      <c r="AC603" s="158">
        <f t="shared" si="145"/>
        <v>90000</v>
      </c>
      <c r="AD603" s="159">
        <f t="shared" si="148"/>
        <v>19740000</v>
      </c>
      <c r="AE603" s="160"/>
      <c r="AF603" s="160">
        <f t="shared" si="149"/>
        <v>0</v>
      </c>
      <c r="AG603" s="165"/>
      <c r="AH603" s="161">
        <f t="shared" si="150"/>
        <v>0</v>
      </c>
      <c r="AI603" s="162"/>
      <c r="AJ603" s="162">
        <f t="shared" si="151"/>
        <v>0</v>
      </c>
      <c r="AK603" s="164"/>
      <c r="AL603" s="164">
        <f t="shared" si="152"/>
        <v>0</v>
      </c>
      <c r="AM603" s="165"/>
      <c r="AN603" s="165">
        <f t="shared" si="153"/>
        <v>0</v>
      </c>
      <c r="AO603" s="166">
        <v>0</v>
      </c>
      <c r="AP603" s="166">
        <f t="shared" si="154"/>
        <v>0</v>
      </c>
      <c r="AQ603" s="162"/>
      <c r="AR603" s="162">
        <f t="shared" si="155"/>
        <v>0</v>
      </c>
      <c r="AS603" s="173">
        <v>10000</v>
      </c>
      <c r="AT603" s="167">
        <f t="shared" si="156"/>
        <v>19740000</v>
      </c>
      <c r="AU603" s="163"/>
      <c r="AV603" s="163">
        <f t="shared" si="157"/>
        <v>0</v>
      </c>
      <c r="AW603" s="168"/>
      <c r="AX603" s="168">
        <f t="shared" si="158"/>
        <v>0</v>
      </c>
      <c r="AY603" s="170"/>
      <c r="AZ603" s="170">
        <f t="shared" si="159"/>
        <v>0</v>
      </c>
      <c r="BA603" s="166"/>
      <c r="BB603" s="166">
        <f t="shared" si="160"/>
        <v>0</v>
      </c>
    </row>
    <row r="604" spans="1:54" s="131" customFormat="1" ht="31.5">
      <c r="A604" s="148" t="s">
        <v>7626</v>
      </c>
      <c r="B604" s="203" t="s">
        <v>750</v>
      </c>
      <c r="C604" s="203"/>
      <c r="D604" s="203"/>
      <c r="E604" s="203" t="s">
        <v>3819</v>
      </c>
      <c r="F604" s="205" t="s">
        <v>7628</v>
      </c>
      <c r="G604" s="205" t="s">
        <v>7011</v>
      </c>
      <c r="H604" s="204" t="s">
        <v>232</v>
      </c>
      <c r="I604" s="204" t="s">
        <v>11</v>
      </c>
      <c r="J604" s="205" t="s">
        <v>7627</v>
      </c>
      <c r="K604" s="206">
        <v>1554</v>
      </c>
      <c r="L604" s="206"/>
      <c r="M604" s="159">
        <f t="shared" si="146"/>
        <v>250</v>
      </c>
      <c r="N604" s="159"/>
      <c r="O604" s="159"/>
      <c r="P604" s="159"/>
      <c r="Q604" s="159"/>
      <c r="R604" s="159"/>
      <c r="S604" s="150" t="s">
        <v>5323</v>
      </c>
      <c r="T604" s="150" t="s">
        <v>5324</v>
      </c>
      <c r="U604" s="202" t="s">
        <v>3818</v>
      </c>
      <c r="V604" s="204">
        <v>3</v>
      </c>
      <c r="W604" s="203" t="s">
        <v>5104</v>
      </c>
      <c r="X604" s="204" t="s">
        <v>213</v>
      </c>
      <c r="Y604" s="206">
        <v>2100</v>
      </c>
      <c r="Z604" s="207">
        <v>15000</v>
      </c>
      <c r="AA604" s="207">
        <f t="shared" si="147"/>
        <v>23310000</v>
      </c>
      <c r="AB604" s="157">
        <v>15000</v>
      </c>
      <c r="AC604" s="158">
        <f t="shared" si="145"/>
        <v>14750</v>
      </c>
      <c r="AD604" s="159">
        <f t="shared" si="148"/>
        <v>388500</v>
      </c>
      <c r="AE604" s="160"/>
      <c r="AF604" s="160">
        <f t="shared" si="149"/>
        <v>0</v>
      </c>
      <c r="AG604" s="165">
        <v>250</v>
      </c>
      <c r="AH604" s="161">
        <f t="shared" si="150"/>
        <v>388500</v>
      </c>
      <c r="AI604" s="162"/>
      <c r="AJ604" s="162">
        <f t="shared" si="151"/>
        <v>0</v>
      </c>
      <c r="AK604" s="163"/>
      <c r="AL604" s="164">
        <f t="shared" si="152"/>
        <v>0</v>
      </c>
      <c r="AM604" s="161"/>
      <c r="AN604" s="165">
        <f t="shared" si="153"/>
        <v>0</v>
      </c>
      <c r="AO604" s="160">
        <v>0</v>
      </c>
      <c r="AP604" s="166">
        <f t="shared" si="154"/>
        <v>0</v>
      </c>
      <c r="AQ604" s="162"/>
      <c r="AR604" s="162">
        <f t="shared" si="155"/>
        <v>0</v>
      </c>
      <c r="AS604" s="173"/>
      <c r="AT604" s="167">
        <f t="shared" si="156"/>
        <v>0</v>
      </c>
      <c r="AU604" s="163"/>
      <c r="AV604" s="163">
        <f t="shared" si="157"/>
        <v>0</v>
      </c>
      <c r="AW604" s="162"/>
      <c r="AX604" s="168">
        <f t="shared" si="158"/>
        <v>0</v>
      </c>
      <c r="AY604" s="169"/>
      <c r="AZ604" s="170">
        <f t="shared" si="159"/>
        <v>0</v>
      </c>
      <c r="BA604" s="160"/>
      <c r="BB604" s="166">
        <f t="shared" si="160"/>
        <v>0</v>
      </c>
    </row>
    <row r="605" spans="1:54" s="131" customFormat="1" ht="31.5">
      <c r="A605" s="148" t="s">
        <v>7629</v>
      </c>
      <c r="B605" s="203" t="s">
        <v>750</v>
      </c>
      <c r="C605" s="203"/>
      <c r="D605" s="203"/>
      <c r="E605" s="203" t="s">
        <v>3822</v>
      </c>
      <c r="F605" s="205" t="s">
        <v>7630</v>
      </c>
      <c r="G605" s="205" t="s">
        <v>7011</v>
      </c>
      <c r="H605" s="204" t="s">
        <v>262</v>
      </c>
      <c r="I605" s="204" t="s">
        <v>11</v>
      </c>
      <c r="J605" s="205" t="s">
        <v>7627</v>
      </c>
      <c r="K605" s="206">
        <v>1869</v>
      </c>
      <c r="L605" s="206"/>
      <c r="M605" s="159">
        <f t="shared" si="146"/>
        <v>50</v>
      </c>
      <c r="N605" s="159"/>
      <c r="O605" s="159"/>
      <c r="P605" s="159"/>
      <c r="Q605" s="159"/>
      <c r="R605" s="159"/>
      <c r="S605" s="150" t="s">
        <v>5323</v>
      </c>
      <c r="T605" s="150" t="s">
        <v>5324</v>
      </c>
      <c r="U605" s="202" t="s">
        <v>3821</v>
      </c>
      <c r="V605" s="204">
        <v>3</v>
      </c>
      <c r="W605" s="203" t="s">
        <v>5104</v>
      </c>
      <c r="X605" s="204" t="s">
        <v>213</v>
      </c>
      <c r="Y605" s="206">
        <v>2200</v>
      </c>
      <c r="Z605" s="207">
        <v>10000</v>
      </c>
      <c r="AA605" s="207">
        <f t="shared" si="147"/>
        <v>18690000</v>
      </c>
      <c r="AB605" s="157">
        <v>10000</v>
      </c>
      <c r="AC605" s="158">
        <f t="shared" si="145"/>
        <v>9950</v>
      </c>
      <c r="AD605" s="159">
        <f t="shared" si="148"/>
        <v>93450</v>
      </c>
      <c r="AE605" s="160"/>
      <c r="AF605" s="160">
        <f t="shared" si="149"/>
        <v>0</v>
      </c>
      <c r="AG605" s="165"/>
      <c r="AH605" s="161">
        <f t="shared" si="150"/>
        <v>0</v>
      </c>
      <c r="AI605" s="162"/>
      <c r="AJ605" s="162">
        <f t="shared" si="151"/>
        <v>0</v>
      </c>
      <c r="AK605" s="163"/>
      <c r="AL605" s="164">
        <f t="shared" si="152"/>
        <v>0</v>
      </c>
      <c r="AM605" s="161"/>
      <c r="AN605" s="165">
        <f t="shared" si="153"/>
        <v>0</v>
      </c>
      <c r="AO605" s="160">
        <v>0</v>
      </c>
      <c r="AP605" s="166">
        <f t="shared" si="154"/>
        <v>0</v>
      </c>
      <c r="AQ605" s="162"/>
      <c r="AR605" s="162">
        <f t="shared" si="155"/>
        <v>0</v>
      </c>
      <c r="AS605" s="173">
        <v>50</v>
      </c>
      <c r="AT605" s="167">
        <f t="shared" si="156"/>
        <v>93450</v>
      </c>
      <c r="AU605" s="163"/>
      <c r="AV605" s="163">
        <f t="shared" si="157"/>
        <v>0</v>
      </c>
      <c r="AW605" s="162"/>
      <c r="AX605" s="168">
        <f t="shared" si="158"/>
        <v>0</v>
      </c>
      <c r="AY605" s="169"/>
      <c r="AZ605" s="170">
        <f t="shared" si="159"/>
        <v>0</v>
      </c>
      <c r="BA605" s="160"/>
      <c r="BB605" s="166">
        <f t="shared" si="160"/>
        <v>0</v>
      </c>
    </row>
    <row r="606" spans="1:54" s="131" customFormat="1" ht="112.5">
      <c r="A606" s="172" t="s">
        <v>7631</v>
      </c>
      <c r="B606" s="203" t="s">
        <v>750</v>
      </c>
      <c r="C606" s="203"/>
      <c r="D606" s="203"/>
      <c r="E606" s="203" t="s">
        <v>1771</v>
      </c>
      <c r="F606" s="205" t="s">
        <v>1773</v>
      </c>
      <c r="G606" s="205" t="s">
        <v>6510</v>
      </c>
      <c r="H606" s="204" t="s">
        <v>1772</v>
      </c>
      <c r="I606" s="204" t="s">
        <v>15</v>
      </c>
      <c r="J606" s="205" t="s">
        <v>6678</v>
      </c>
      <c r="K606" s="206">
        <v>15740</v>
      </c>
      <c r="L606" s="206"/>
      <c r="M606" s="159">
        <f t="shared" si="146"/>
        <v>440</v>
      </c>
      <c r="N606" s="159"/>
      <c r="O606" s="159"/>
      <c r="P606" s="159"/>
      <c r="Q606" s="159"/>
      <c r="R606" s="159"/>
      <c r="S606" s="209" t="s">
        <v>5848</v>
      </c>
      <c r="T606" s="203" t="s">
        <v>5849</v>
      </c>
      <c r="U606" s="202" t="s">
        <v>4244</v>
      </c>
      <c r="V606" s="204">
        <v>3</v>
      </c>
      <c r="W606" s="203" t="s">
        <v>5104</v>
      </c>
      <c r="X606" s="204" t="s">
        <v>213</v>
      </c>
      <c r="Y606" s="206">
        <v>36000</v>
      </c>
      <c r="Z606" s="207">
        <v>1000</v>
      </c>
      <c r="AA606" s="207">
        <f t="shared" si="147"/>
        <v>15740000</v>
      </c>
      <c r="AB606" s="157">
        <v>1000</v>
      </c>
      <c r="AC606" s="158">
        <f t="shared" si="145"/>
        <v>560</v>
      </c>
      <c r="AD606" s="159">
        <f t="shared" si="148"/>
        <v>6925600</v>
      </c>
      <c r="AE606" s="160"/>
      <c r="AF606" s="160">
        <f t="shared" si="149"/>
        <v>0</v>
      </c>
      <c r="AG606" s="165"/>
      <c r="AH606" s="161">
        <f t="shared" si="150"/>
        <v>0</v>
      </c>
      <c r="AI606" s="162"/>
      <c r="AJ606" s="162">
        <f t="shared" si="151"/>
        <v>0</v>
      </c>
      <c r="AK606" s="163"/>
      <c r="AL606" s="164">
        <f t="shared" si="152"/>
        <v>0</v>
      </c>
      <c r="AM606" s="161"/>
      <c r="AN606" s="165">
        <f t="shared" si="153"/>
        <v>0</v>
      </c>
      <c r="AO606" s="160">
        <v>0</v>
      </c>
      <c r="AP606" s="166">
        <f t="shared" si="154"/>
        <v>0</v>
      </c>
      <c r="AQ606" s="162"/>
      <c r="AR606" s="162">
        <f t="shared" si="155"/>
        <v>0</v>
      </c>
      <c r="AS606" s="173">
        <v>440</v>
      </c>
      <c r="AT606" s="167">
        <f t="shared" si="156"/>
        <v>6925600</v>
      </c>
      <c r="AU606" s="163"/>
      <c r="AV606" s="163">
        <f t="shared" si="157"/>
        <v>0</v>
      </c>
      <c r="AW606" s="162"/>
      <c r="AX606" s="168">
        <f t="shared" si="158"/>
        <v>0</v>
      </c>
      <c r="AY606" s="169"/>
      <c r="AZ606" s="170">
        <f t="shared" si="159"/>
        <v>0</v>
      </c>
      <c r="BA606" s="160"/>
      <c r="BB606" s="166">
        <f t="shared" si="160"/>
        <v>0</v>
      </c>
    </row>
    <row r="607" spans="1:54" s="131" customFormat="1">
      <c r="A607" s="148" t="s">
        <v>7632</v>
      </c>
      <c r="B607" s="203" t="s">
        <v>347</v>
      </c>
      <c r="C607" s="203"/>
      <c r="D607" s="203"/>
      <c r="E607" s="203" t="s">
        <v>858</v>
      </c>
      <c r="F607" s="205" t="s">
        <v>860</v>
      </c>
      <c r="G607" s="205" t="s">
        <v>7635</v>
      </c>
      <c r="H607" s="204" t="s">
        <v>238</v>
      </c>
      <c r="I607" s="204" t="s">
        <v>11</v>
      </c>
      <c r="J607" s="205" t="s">
        <v>7634</v>
      </c>
      <c r="K607" s="206">
        <v>355</v>
      </c>
      <c r="L607" s="206"/>
      <c r="M607" s="159">
        <f t="shared" si="146"/>
        <v>0</v>
      </c>
      <c r="N607" s="159"/>
      <c r="O607" s="159"/>
      <c r="P607" s="159"/>
      <c r="Q607" s="159"/>
      <c r="R607" s="159"/>
      <c r="S607" s="149" t="s">
        <v>5993</v>
      </c>
      <c r="T607" s="149" t="s">
        <v>5994</v>
      </c>
      <c r="U607" s="202" t="s">
        <v>7633</v>
      </c>
      <c r="V607" s="204">
        <v>3</v>
      </c>
      <c r="W607" s="203" t="s">
        <v>5104</v>
      </c>
      <c r="X607" s="204" t="s">
        <v>213</v>
      </c>
      <c r="Y607" s="206">
        <v>800</v>
      </c>
      <c r="Z607" s="207">
        <v>20000</v>
      </c>
      <c r="AA607" s="207">
        <f t="shared" si="147"/>
        <v>7100000</v>
      </c>
      <c r="AB607" s="157">
        <v>20000</v>
      </c>
      <c r="AC607" s="158">
        <f t="shared" si="145"/>
        <v>20000</v>
      </c>
      <c r="AD607" s="159">
        <f t="shared" si="148"/>
        <v>0</v>
      </c>
      <c r="AE607" s="160"/>
      <c r="AF607" s="160">
        <f t="shared" si="149"/>
        <v>0</v>
      </c>
      <c r="AG607" s="165"/>
      <c r="AH607" s="161">
        <f t="shared" si="150"/>
        <v>0</v>
      </c>
      <c r="AI607" s="162"/>
      <c r="AJ607" s="162">
        <f t="shared" si="151"/>
        <v>0</v>
      </c>
      <c r="AK607" s="164"/>
      <c r="AL607" s="164">
        <f t="shared" si="152"/>
        <v>0</v>
      </c>
      <c r="AM607" s="165"/>
      <c r="AN607" s="165">
        <f t="shared" si="153"/>
        <v>0</v>
      </c>
      <c r="AO607" s="166">
        <v>0</v>
      </c>
      <c r="AP607" s="166">
        <f t="shared" si="154"/>
        <v>0</v>
      </c>
      <c r="AQ607" s="162"/>
      <c r="AR607" s="162">
        <f t="shared" si="155"/>
        <v>0</v>
      </c>
      <c r="AS607" s="173"/>
      <c r="AT607" s="167">
        <f t="shared" si="156"/>
        <v>0</v>
      </c>
      <c r="AU607" s="163"/>
      <c r="AV607" s="163">
        <f t="shared" si="157"/>
        <v>0</v>
      </c>
      <c r="AW607" s="168"/>
      <c r="AX607" s="168">
        <f t="shared" si="158"/>
        <v>0</v>
      </c>
      <c r="AY607" s="170"/>
      <c r="AZ607" s="170">
        <f t="shared" si="159"/>
        <v>0</v>
      </c>
      <c r="BA607" s="166"/>
      <c r="BB607" s="166">
        <f t="shared" si="160"/>
        <v>0</v>
      </c>
    </row>
    <row r="608" spans="1:54" s="131" customFormat="1">
      <c r="A608" s="148" t="s">
        <v>7636</v>
      </c>
      <c r="B608" s="203" t="s">
        <v>7638</v>
      </c>
      <c r="C608" s="203"/>
      <c r="D608" s="203"/>
      <c r="E608" s="203" t="s">
        <v>7640</v>
      </c>
      <c r="F608" s="205" t="s">
        <v>7642</v>
      </c>
      <c r="G608" s="205" t="s">
        <v>463</v>
      </c>
      <c r="H608" s="204" t="s">
        <v>7639</v>
      </c>
      <c r="I608" s="204" t="s">
        <v>11</v>
      </c>
      <c r="J608" s="205" t="s">
        <v>7641</v>
      </c>
      <c r="K608" s="206">
        <v>3150</v>
      </c>
      <c r="L608" s="206"/>
      <c r="M608" s="159">
        <f t="shared" si="146"/>
        <v>0</v>
      </c>
      <c r="N608" s="159"/>
      <c r="O608" s="159"/>
      <c r="P608" s="159"/>
      <c r="Q608" s="159"/>
      <c r="R608" s="159"/>
      <c r="S608" s="149" t="s">
        <v>5275</v>
      </c>
      <c r="T608" s="150" t="s">
        <v>463</v>
      </c>
      <c r="U608" s="202" t="s">
        <v>7637</v>
      </c>
      <c r="V608" s="204">
        <v>3</v>
      </c>
      <c r="W608" s="203" t="s">
        <v>5104</v>
      </c>
      <c r="X608" s="204" t="s">
        <v>213</v>
      </c>
      <c r="Y608" s="206">
        <v>3690</v>
      </c>
      <c r="Z608" s="207">
        <v>10000</v>
      </c>
      <c r="AA608" s="207">
        <f t="shared" si="147"/>
        <v>31500000</v>
      </c>
      <c r="AB608" s="157">
        <v>10000</v>
      </c>
      <c r="AC608" s="158">
        <f t="shared" si="145"/>
        <v>10000</v>
      </c>
      <c r="AD608" s="159">
        <f t="shared" si="148"/>
        <v>0</v>
      </c>
      <c r="AE608" s="160"/>
      <c r="AF608" s="160">
        <f t="shared" si="149"/>
        <v>0</v>
      </c>
      <c r="AG608" s="161"/>
      <c r="AH608" s="161">
        <f t="shared" si="150"/>
        <v>0</v>
      </c>
      <c r="AI608" s="162"/>
      <c r="AJ608" s="162">
        <f t="shared" si="151"/>
        <v>0</v>
      </c>
      <c r="AK608" s="164"/>
      <c r="AL608" s="164">
        <f t="shared" si="152"/>
        <v>0</v>
      </c>
      <c r="AM608" s="165"/>
      <c r="AN608" s="165">
        <f t="shared" si="153"/>
        <v>0</v>
      </c>
      <c r="AO608" s="166">
        <v>0</v>
      </c>
      <c r="AP608" s="166">
        <f t="shared" si="154"/>
        <v>0</v>
      </c>
      <c r="AQ608" s="162"/>
      <c r="AR608" s="162">
        <f t="shared" si="155"/>
        <v>0</v>
      </c>
      <c r="AS608" s="167"/>
      <c r="AT608" s="167">
        <f t="shared" si="156"/>
        <v>0</v>
      </c>
      <c r="AU608" s="163"/>
      <c r="AV608" s="163">
        <f t="shared" si="157"/>
        <v>0</v>
      </c>
      <c r="AW608" s="168"/>
      <c r="AX608" s="168">
        <f t="shared" si="158"/>
        <v>0</v>
      </c>
      <c r="AY608" s="170"/>
      <c r="AZ608" s="170">
        <f t="shared" si="159"/>
        <v>0</v>
      </c>
      <c r="BA608" s="166"/>
      <c r="BB608" s="166">
        <f t="shared" si="160"/>
        <v>0</v>
      </c>
    </row>
    <row r="609" spans="1:54" s="131" customFormat="1" ht="31.5">
      <c r="A609" s="172" t="s">
        <v>7643</v>
      </c>
      <c r="B609" s="203" t="s">
        <v>7645</v>
      </c>
      <c r="C609" s="203"/>
      <c r="D609" s="203"/>
      <c r="E609" s="203" t="s">
        <v>7646</v>
      </c>
      <c r="F609" s="205" t="s">
        <v>7648</v>
      </c>
      <c r="G609" s="205" t="s">
        <v>7649</v>
      </c>
      <c r="H609" s="204" t="s">
        <v>327</v>
      </c>
      <c r="I609" s="204" t="s">
        <v>11</v>
      </c>
      <c r="J609" s="205" t="s">
        <v>7647</v>
      </c>
      <c r="K609" s="206">
        <v>2480</v>
      </c>
      <c r="L609" s="206"/>
      <c r="M609" s="159">
        <f t="shared" si="146"/>
        <v>0</v>
      </c>
      <c r="N609" s="159"/>
      <c r="O609" s="159"/>
      <c r="P609" s="159"/>
      <c r="Q609" s="159"/>
      <c r="R609" s="159"/>
      <c r="S609" s="149" t="s">
        <v>5206</v>
      </c>
      <c r="T609" s="149" t="s">
        <v>5207</v>
      </c>
      <c r="U609" s="202" t="s">
        <v>7644</v>
      </c>
      <c r="V609" s="204">
        <v>3</v>
      </c>
      <c r="W609" s="203" t="s">
        <v>5104</v>
      </c>
      <c r="X609" s="204" t="s">
        <v>213</v>
      </c>
      <c r="Y609" s="206">
        <v>4500</v>
      </c>
      <c r="Z609" s="207">
        <v>30000</v>
      </c>
      <c r="AA609" s="207">
        <f t="shared" si="147"/>
        <v>74400000</v>
      </c>
      <c r="AB609" s="157">
        <v>30000</v>
      </c>
      <c r="AC609" s="158">
        <f t="shared" si="145"/>
        <v>30000</v>
      </c>
      <c r="AD609" s="159">
        <f t="shared" si="148"/>
        <v>0</v>
      </c>
      <c r="AE609" s="160"/>
      <c r="AF609" s="160">
        <f t="shared" si="149"/>
        <v>0</v>
      </c>
      <c r="AG609" s="161"/>
      <c r="AH609" s="161">
        <f t="shared" si="150"/>
        <v>0</v>
      </c>
      <c r="AI609" s="162"/>
      <c r="AJ609" s="162">
        <f t="shared" si="151"/>
        <v>0</v>
      </c>
      <c r="AK609" s="163"/>
      <c r="AL609" s="164">
        <f t="shared" si="152"/>
        <v>0</v>
      </c>
      <c r="AM609" s="161"/>
      <c r="AN609" s="165">
        <f t="shared" si="153"/>
        <v>0</v>
      </c>
      <c r="AO609" s="160">
        <v>0</v>
      </c>
      <c r="AP609" s="166">
        <f t="shared" si="154"/>
        <v>0</v>
      </c>
      <c r="AQ609" s="162"/>
      <c r="AR609" s="162">
        <f t="shared" si="155"/>
        <v>0</v>
      </c>
      <c r="AS609" s="167"/>
      <c r="AT609" s="167">
        <f t="shared" si="156"/>
        <v>0</v>
      </c>
      <c r="AU609" s="163"/>
      <c r="AV609" s="163">
        <f t="shared" si="157"/>
        <v>0</v>
      </c>
      <c r="AW609" s="162"/>
      <c r="AX609" s="168">
        <f t="shared" si="158"/>
        <v>0</v>
      </c>
      <c r="AY609" s="169"/>
      <c r="AZ609" s="170">
        <f t="shared" si="159"/>
        <v>0</v>
      </c>
      <c r="BA609" s="160"/>
      <c r="BB609" s="166">
        <f t="shared" si="160"/>
        <v>0</v>
      </c>
    </row>
    <row r="610" spans="1:54" s="131" customFormat="1" ht="31.5">
      <c r="A610" s="148" t="s">
        <v>7650</v>
      </c>
      <c r="B610" s="203" t="s">
        <v>750</v>
      </c>
      <c r="C610" s="203"/>
      <c r="D610" s="203"/>
      <c r="E610" s="203" t="s">
        <v>7652</v>
      </c>
      <c r="F610" s="205" t="s">
        <v>7654</v>
      </c>
      <c r="G610" s="205" t="s">
        <v>7655</v>
      </c>
      <c r="H610" s="204" t="s">
        <v>7651</v>
      </c>
      <c r="I610" s="204" t="s">
        <v>12</v>
      </c>
      <c r="J610" s="205" t="s">
        <v>7653</v>
      </c>
      <c r="K610" s="206">
        <v>1800</v>
      </c>
      <c r="L610" s="206"/>
      <c r="M610" s="159">
        <f t="shared" si="146"/>
        <v>0</v>
      </c>
      <c r="N610" s="159"/>
      <c r="O610" s="159"/>
      <c r="P610" s="159"/>
      <c r="Q610" s="159"/>
      <c r="R610" s="159"/>
      <c r="S610" s="149" t="s">
        <v>5669</v>
      </c>
      <c r="T610" s="149" t="s">
        <v>5670</v>
      </c>
      <c r="U610" s="202" t="s">
        <v>4342</v>
      </c>
      <c r="V610" s="204">
        <v>3</v>
      </c>
      <c r="W610" s="203" t="s">
        <v>5104</v>
      </c>
      <c r="X610" s="204" t="s">
        <v>213</v>
      </c>
      <c r="Y610" s="206">
        <v>1800</v>
      </c>
      <c r="Z610" s="207">
        <v>40000</v>
      </c>
      <c r="AA610" s="207">
        <f t="shared" si="147"/>
        <v>72000000</v>
      </c>
      <c r="AB610" s="157">
        <v>40000</v>
      </c>
      <c r="AC610" s="158">
        <f t="shared" si="145"/>
        <v>40000</v>
      </c>
      <c r="AD610" s="159">
        <f t="shared" si="148"/>
        <v>0</v>
      </c>
      <c r="AE610" s="160"/>
      <c r="AF610" s="160">
        <f t="shared" si="149"/>
        <v>0</v>
      </c>
      <c r="AG610" s="165"/>
      <c r="AH610" s="161">
        <f t="shared" si="150"/>
        <v>0</v>
      </c>
      <c r="AI610" s="162"/>
      <c r="AJ610" s="162">
        <f t="shared" si="151"/>
        <v>0</v>
      </c>
      <c r="AK610" s="163"/>
      <c r="AL610" s="164">
        <f t="shared" si="152"/>
        <v>0</v>
      </c>
      <c r="AM610" s="161"/>
      <c r="AN610" s="165">
        <f t="shared" si="153"/>
        <v>0</v>
      </c>
      <c r="AO610" s="160">
        <v>0</v>
      </c>
      <c r="AP610" s="166">
        <f t="shared" si="154"/>
        <v>0</v>
      </c>
      <c r="AQ610" s="162"/>
      <c r="AR610" s="162">
        <f t="shared" si="155"/>
        <v>0</v>
      </c>
      <c r="AS610" s="173"/>
      <c r="AT610" s="167">
        <f t="shared" si="156"/>
        <v>0</v>
      </c>
      <c r="AU610" s="163"/>
      <c r="AV610" s="163">
        <f t="shared" si="157"/>
        <v>0</v>
      </c>
      <c r="AW610" s="162"/>
      <c r="AX610" s="168">
        <f t="shared" si="158"/>
        <v>0</v>
      </c>
      <c r="AY610" s="169"/>
      <c r="AZ610" s="170">
        <f t="shared" si="159"/>
        <v>0</v>
      </c>
      <c r="BA610" s="160"/>
      <c r="BB610" s="166">
        <f t="shared" si="160"/>
        <v>0</v>
      </c>
    </row>
    <row r="611" spans="1:54" s="131" customFormat="1" ht="31.5">
      <c r="A611" s="148" t="s">
        <v>7656</v>
      </c>
      <c r="B611" s="203" t="s">
        <v>624</v>
      </c>
      <c r="C611" s="203"/>
      <c r="D611" s="203"/>
      <c r="E611" s="203" t="s">
        <v>3714</v>
      </c>
      <c r="F611" s="205" t="s">
        <v>7658</v>
      </c>
      <c r="G611" s="205" t="s">
        <v>621</v>
      </c>
      <c r="H611" s="204" t="s">
        <v>625</v>
      </c>
      <c r="I611" s="204" t="s">
        <v>11</v>
      </c>
      <c r="J611" s="205" t="s">
        <v>7657</v>
      </c>
      <c r="K611" s="206">
        <v>196</v>
      </c>
      <c r="L611" s="206"/>
      <c r="M611" s="159">
        <f t="shared" si="146"/>
        <v>10500</v>
      </c>
      <c r="N611" s="159"/>
      <c r="O611" s="159"/>
      <c r="P611" s="159"/>
      <c r="Q611" s="159"/>
      <c r="R611" s="159"/>
      <c r="S611" s="149" t="s">
        <v>6938</v>
      </c>
      <c r="T611" s="149" t="s">
        <v>6939</v>
      </c>
      <c r="U611" s="202" t="s">
        <v>3713</v>
      </c>
      <c r="V611" s="204">
        <v>3</v>
      </c>
      <c r="W611" s="203" t="s">
        <v>253</v>
      </c>
      <c r="X611" s="204" t="s">
        <v>213</v>
      </c>
      <c r="Y611" s="206">
        <v>1400</v>
      </c>
      <c r="Z611" s="207">
        <v>40000</v>
      </c>
      <c r="AA611" s="207">
        <f t="shared" si="147"/>
        <v>7840000</v>
      </c>
      <c r="AB611" s="157">
        <v>40000</v>
      </c>
      <c r="AC611" s="158">
        <f t="shared" si="145"/>
        <v>29500</v>
      </c>
      <c r="AD611" s="159">
        <f t="shared" si="148"/>
        <v>2058000</v>
      </c>
      <c r="AE611" s="160"/>
      <c r="AF611" s="160">
        <f t="shared" si="149"/>
        <v>0</v>
      </c>
      <c r="AG611" s="165">
        <v>10300</v>
      </c>
      <c r="AH611" s="161">
        <f t="shared" si="150"/>
        <v>2018800</v>
      </c>
      <c r="AI611" s="162"/>
      <c r="AJ611" s="162">
        <f t="shared" si="151"/>
        <v>0</v>
      </c>
      <c r="AK611" s="164"/>
      <c r="AL611" s="164">
        <f t="shared" si="152"/>
        <v>0</v>
      </c>
      <c r="AM611" s="165">
        <v>200</v>
      </c>
      <c r="AN611" s="165">
        <f t="shared" si="153"/>
        <v>39200</v>
      </c>
      <c r="AO611" s="166">
        <v>0</v>
      </c>
      <c r="AP611" s="166">
        <f t="shared" si="154"/>
        <v>0</v>
      </c>
      <c r="AQ611" s="162"/>
      <c r="AR611" s="162">
        <f t="shared" si="155"/>
        <v>0</v>
      </c>
      <c r="AS611" s="173"/>
      <c r="AT611" s="167">
        <f t="shared" si="156"/>
        <v>0</v>
      </c>
      <c r="AU611" s="163"/>
      <c r="AV611" s="163">
        <f t="shared" si="157"/>
        <v>0</v>
      </c>
      <c r="AW611" s="168"/>
      <c r="AX611" s="168">
        <f t="shared" si="158"/>
        <v>0</v>
      </c>
      <c r="AY611" s="170"/>
      <c r="AZ611" s="170">
        <f t="shared" si="159"/>
        <v>0</v>
      </c>
      <c r="BA611" s="166"/>
      <c r="BB611" s="166">
        <f t="shared" si="160"/>
        <v>0</v>
      </c>
    </row>
    <row r="612" spans="1:54" s="131" customFormat="1" ht="31.5">
      <c r="A612" s="172" t="s">
        <v>7659</v>
      </c>
      <c r="B612" s="203" t="s">
        <v>624</v>
      </c>
      <c r="C612" s="203"/>
      <c r="D612" s="203"/>
      <c r="E612" s="203" t="s">
        <v>624</v>
      </c>
      <c r="F612" s="205" t="s">
        <v>7661</v>
      </c>
      <c r="G612" s="205" t="s">
        <v>7001</v>
      </c>
      <c r="H612" s="204" t="s">
        <v>327</v>
      </c>
      <c r="I612" s="204" t="s">
        <v>11</v>
      </c>
      <c r="J612" s="205" t="s">
        <v>6767</v>
      </c>
      <c r="K612" s="206">
        <v>196</v>
      </c>
      <c r="L612" s="206"/>
      <c r="M612" s="159">
        <f t="shared" si="146"/>
        <v>0</v>
      </c>
      <c r="N612" s="159"/>
      <c r="O612" s="159"/>
      <c r="P612" s="159"/>
      <c r="Q612" s="159"/>
      <c r="R612" s="159"/>
      <c r="S612" s="150" t="s">
        <v>360</v>
      </c>
      <c r="T612" s="150" t="s">
        <v>358</v>
      </c>
      <c r="U612" s="202" t="s">
        <v>7660</v>
      </c>
      <c r="V612" s="204">
        <v>3</v>
      </c>
      <c r="W612" s="203" t="s">
        <v>5104</v>
      </c>
      <c r="X612" s="204" t="s">
        <v>213</v>
      </c>
      <c r="Y612" s="206">
        <v>800</v>
      </c>
      <c r="Z612" s="207">
        <v>40000</v>
      </c>
      <c r="AA612" s="207">
        <f t="shared" si="147"/>
        <v>7840000</v>
      </c>
      <c r="AB612" s="157">
        <v>40000</v>
      </c>
      <c r="AC612" s="158">
        <f t="shared" si="145"/>
        <v>40000</v>
      </c>
      <c r="AD612" s="159">
        <f t="shared" si="148"/>
        <v>0</v>
      </c>
      <c r="AE612" s="160"/>
      <c r="AF612" s="160">
        <f t="shared" si="149"/>
        <v>0</v>
      </c>
      <c r="AG612" s="161"/>
      <c r="AH612" s="161">
        <f t="shared" si="150"/>
        <v>0</v>
      </c>
      <c r="AI612" s="162"/>
      <c r="AJ612" s="162">
        <f t="shared" si="151"/>
        <v>0</v>
      </c>
      <c r="AK612" s="164"/>
      <c r="AL612" s="164">
        <f t="shared" si="152"/>
        <v>0</v>
      </c>
      <c r="AM612" s="165"/>
      <c r="AN612" s="165">
        <f t="shared" si="153"/>
        <v>0</v>
      </c>
      <c r="AO612" s="166">
        <v>0</v>
      </c>
      <c r="AP612" s="166">
        <f t="shared" si="154"/>
        <v>0</v>
      </c>
      <c r="AQ612" s="162"/>
      <c r="AR612" s="162">
        <f t="shared" si="155"/>
        <v>0</v>
      </c>
      <c r="AS612" s="167"/>
      <c r="AT612" s="167">
        <f t="shared" si="156"/>
        <v>0</v>
      </c>
      <c r="AU612" s="163"/>
      <c r="AV612" s="163">
        <f t="shared" si="157"/>
        <v>0</v>
      </c>
      <c r="AW612" s="168"/>
      <c r="AX612" s="168">
        <f t="shared" si="158"/>
        <v>0</v>
      </c>
      <c r="AY612" s="170"/>
      <c r="AZ612" s="170">
        <f t="shared" si="159"/>
        <v>0</v>
      </c>
      <c r="BA612" s="166"/>
      <c r="BB612" s="166">
        <f t="shared" si="160"/>
        <v>0</v>
      </c>
    </row>
    <row r="613" spans="1:54" s="131" customFormat="1" ht="31.5">
      <c r="A613" s="148" t="s">
        <v>7662</v>
      </c>
      <c r="B613" s="203" t="s">
        <v>1562</v>
      </c>
      <c r="C613" s="203"/>
      <c r="D613" s="203"/>
      <c r="E613" s="203" t="s">
        <v>3042</v>
      </c>
      <c r="F613" s="205" t="s">
        <v>7665</v>
      </c>
      <c r="G613" s="205" t="s">
        <v>6536</v>
      </c>
      <c r="H613" s="204" t="s">
        <v>7663</v>
      </c>
      <c r="I613" s="204" t="s">
        <v>13</v>
      </c>
      <c r="J613" s="205" t="s">
        <v>7664</v>
      </c>
      <c r="K613" s="206">
        <v>1050</v>
      </c>
      <c r="L613" s="206"/>
      <c r="M613" s="159">
        <f t="shared" si="146"/>
        <v>0</v>
      </c>
      <c r="N613" s="159"/>
      <c r="O613" s="159"/>
      <c r="P613" s="159"/>
      <c r="Q613" s="159"/>
      <c r="R613" s="159"/>
      <c r="S613" s="149" t="s">
        <v>5530</v>
      </c>
      <c r="T613" s="149" t="s">
        <v>5531</v>
      </c>
      <c r="U613" s="202" t="s">
        <v>4096</v>
      </c>
      <c r="V613" s="204">
        <v>3</v>
      </c>
      <c r="W613" s="203" t="s">
        <v>5104</v>
      </c>
      <c r="X613" s="204" t="s">
        <v>213</v>
      </c>
      <c r="Y613" s="206">
        <v>1785</v>
      </c>
      <c r="Z613" s="207">
        <v>100000</v>
      </c>
      <c r="AA613" s="207">
        <f t="shared" si="147"/>
        <v>105000000</v>
      </c>
      <c r="AB613" s="157">
        <v>100000</v>
      </c>
      <c r="AC613" s="158">
        <f t="shared" si="145"/>
        <v>100000</v>
      </c>
      <c r="AD613" s="159">
        <f t="shared" si="148"/>
        <v>0</v>
      </c>
      <c r="AE613" s="160"/>
      <c r="AF613" s="160">
        <f t="shared" si="149"/>
        <v>0</v>
      </c>
      <c r="AG613" s="165"/>
      <c r="AH613" s="161">
        <f t="shared" si="150"/>
        <v>0</v>
      </c>
      <c r="AI613" s="162"/>
      <c r="AJ613" s="162">
        <f t="shared" si="151"/>
        <v>0</v>
      </c>
      <c r="AK613" s="164"/>
      <c r="AL613" s="164">
        <f t="shared" si="152"/>
        <v>0</v>
      </c>
      <c r="AM613" s="165"/>
      <c r="AN613" s="165">
        <f t="shared" si="153"/>
        <v>0</v>
      </c>
      <c r="AO613" s="166">
        <v>0</v>
      </c>
      <c r="AP613" s="166">
        <f t="shared" si="154"/>
        <v>0</v>
      </c>
      <c r="AQ613" s="162"/>
      <c r="AR613" s="162">
        <f t="shared" si="155"/>
        <v>0</v>
      </c>
      <c r="AS613" s="173"/>
      <c r="AT613" s="167">
        <f t="shared" si="156"/>
        <v>0</v>
      </c>
      <c r="AU613" s="163"/>
      <c r="AV613" s="163">
        <f t="shared" si="157"/>
        <v>0</v>
      </c>
      <c r="AW613" s="168"/>
      <c r="AX613" s="168">
        <f t="shared" si="158"/>
        <v>0</v>
      </c>
      <c r="AY613" s="170"/>
      <c r="AZ613" s="170">
        <f t="shared" si="159"/>
        <v>0</v>
      </c>
      <c r="BA613" s="166"/>
      <c r="BB613" s="166">
        <f t="shared" si="160"/>
        <v>0</v>
      </c>
    </row>
    <row r="614" spans="1:54" s="131" customFormat="1">
      <c r="A614" s="148" t="s">
        <v>7666</v>
      </c>
      <c r="B614" s="203" t="s">
        <v>706</v>
      </c>
      <c r="C614" s="203"/>
      <c r="D614" s="203"/>
      <c r="E614" s="203" t="s">
        <v>3843</v>
      </c>
      <c r="F614" s="205" t="s">
        <v>7669</v>
      </c>
      <c r="G614" s="205" t="s">
        <v>7670</v>
      </c>
      <c r="H614" s="204" t="s">
        <v>390</v>
      </c>
      <c r="I614" s="204" t="s">
        <v>11</v>
      </c>
      <c r="J614" s="205" t="s">
        <v>6143</v>
      </c>
      <c r="K614" s="206">
        <v>1533</v>
      </c>
      <c r="L614" s="206"/>
      <c r="M614" s="159">
        <f t="shared" si="146"/>
        <v>9990</v>
      </c>
      <c r="N614" s="159"/>
      <c r="O614" s="159"/>
      <c r="P614" s="159"/>
      <c r="Q614" s="159"/>
      <c r="R614" s="159"/>
      <c r="S614" s="149" t="s">
        <v>7667</v>
      </c>
      <c r="T614" s="149" t="s">
        <v>7668</v>
      </c>
      <c r="U614" s="202" t="s">
        <v>3842</v>
      </c>
      <c r="V614" s="204">
        <v>3</v>
      </c>
      <c r="W614" s="203" t="s">
        <v>253</v>
      </c>
      <c r="X614" s="204" t="s">
        <v>213</v>
      </c>
      <c r="Y614" s="206">
        <v>2000</v>
      </c>
      <c r="Z614" s="207">
        <v>10000</v>
      </c>
      <c r="AA614" s="207">
        <f t="shared" si="147"/>
        <v>15330000</v>
      </c>
      <c r="AB614" s="157">
        <v>10000</v>
      </c>
      <c r="AC614" s="158">
        <f t="shared" si="145"/>
        <v>10</v>
      </c>
      <c r="AD614" s="159">
        <f t="shared" si="148"/>
        <v>15314670</v>
      </c>
      <c r="AE614" s="160"/>
      <c r="AF614" s="160">
        <f t="shared" si="149"/>
        <v>0</v>
      </c>
      <c r="AG614" s="165">
        <v>6000</v>
      </c>
      <c r="AH614" s="161">
        <f t="shared" si="150"/>
        <v>9198000</v>
      </c>
      <c r="AI614" s="162"/>
      <c r="AJ614" s="162">
        <f t="shared" si="151"/>
        <v>0</v>
      </c>
      <c r="AK614" s="164"/>
      <c r="AL614" s="164">
        <f t="shared" si="152"/>
        <v>0</v>
      </c>
      <c r="AM614" s="165">
        <v>3990</v>
      </c>
      <c r="AN614" s="165">
        <f t="shared" si="153"/>
        <v>6116670</v>
      </c>
      <c r="AO614" s="166">
        <v>0</v>
      </c>
      <c r="AP614" s="166">
        <f t="shared" si="154"/>
        <v>0</v>
      </c>
      <c r="AQ614" s="162"/>
      <c r="AR614" s="162">
        <f t="shared" si="155"/>
        <v>0</v>
      </c>
      <c r="AS614" s="173"/>
      <c r="AT614" s="167">
        <f t="shared" si="156"/>
        <v>0</v>
      </c>
      <c r="AU614" s="163"/>
      <c r="AV614" s="163">
        <f t="shared" si="157"/>
        <v>0</v>
      </c>
      <c r="AW614" s="168"/>
      <c r="AX614" s="168">
        <f t="shared" si="158"/>
        <v>0</v>
      </c>
      <c r="AY614" s="170"/>
      <c r="AZ614" s="170">
        <f t="shared" si="159"/>
        <v>0</v>
      </c>
      <c r="BA614" s="166"/>
      <c r="BB614" s="166">
        <f t="shared" si="160"/>
        <v>0</v>
      </c>
    </row>
    <row r="615" spans="1:54" s="131" customFormat="1" ht="31.5">
      <c r="A615" s="172" t="s">
        <v>7671</v>
      </c>
      <c r="B615" s="203" t="s">
        <v>706</v>
      </c>
      <c r="C615" s="203"/>
      <c r="D615" s="203"/>
      <c r="E615" s="203" t="s">
        <v>4098</v>
      </c>
      <c r="F615" s="205" t="s">
        <v>7673</v>
      </c>
      <c r="G615" s="205" t="s">
        <v>7674</v>
      </c>
      <c r="H615" s="204" t="s">
        <v>369</v>
      </c>
      <c r="I615" s="204" t="s">
        <v>11</v>
      </c>
      <c r="J615" s="205" t="s">
        <v>7672</v>
      </c>
      <c r="K615" s="206">
        <v>639</v>
      </c>
      <c r="L615" s="206"/>
      <c r="M615" s="159">
        <f t="shared" si="146"/>
        <v>9990</v>
      </c>
      <c r="N615" s="159"/>
      <c r="O615" s="159"/>
      <c r="P615" s="159"/>
      <c r="Q615" s="159"/>
      <c r="R615" s="159"/>
      <c r="S615" s="149" t="s">
        <v>5669</v>
      </c>
      <c r="T615" s="149" t="s">
        <v>5670</v>
      </c>
      <c r="U615" s="202" t="s">
        <v>4097</v>
      </c>
      <c r="V615" s="204">
        <v>3</v>
      </c>
      <c r="W615" s="203" t="s">
        <v>5104</v>
      </c>
      <c r="X615" s="204" t="s">
        <v>213</v>
      </c>
      <c r="Y615" s="206">
        <v>3500</v>
      </c>
      <c r="Z615" s="207">
        <v>10000</v>
      </c>
      <c r="AA615" s="207">
        <f t="shared" si="147"/>
        <v>6390000</v>
      </c>
      <c r="AB615" s="157">
        <v>10000</v>
      </c>
      <c r="AC615" s="158">
        <f t="shared" si="145"/>
        <v>10</v>
      </c>
      <c r="AD615" s="159">
        <f t="shared" si="148"/>
        <v>6383610</v>
      </c>
      <c r="AE615" s="160"/>
      <c r="AF615" s="160">
        <f t="shared" si="149"/>
        <v>0</v>
      </c>
      <c r="AG615" s="165">
        <v>3000</v>
      </c>
      <c r="AH615" s="161">
        <f t="shared" si="150"/>
        <v>1917000</v>
      </c>
      <c r="AI615" s="162"/>
      <c r="AJ615" s="162">
        <f t="shared" si="151"/>
        <v>0</v>
      </c>
      <c r="AK615" s="164"/>
      <c r="AL615" s="164">
        <f t="shared" si="152"/>
        <v>0</v>
      </c>
      <c r="AM615" s="165">
        <v>6990</v>
      </c>
      <c r="AN615" s="165">
        <f t="shared" si="153"/>
        <v>4466610</v>
      </c>
      <c r="AO615" s="166">
        <v>0</v>
      </c>
      <c r="AP615" s="166">
        <f t="shared" si="154"/>
        <v>0</v>
      </c>
      <c r="AQ615" s="162"/>
      <c r="AR615" s="162">
        <f t="shared" si="155"/>
        <v>0</v>
      </c>
      <c r="AS615" s="173"/>
      <c r="AT615" s="167">
        <f t="shared" si="156"/>
        <v>0</v>
      </c>
      <c r="AU615" s="163"/>
      <c r="AV615" s="163">
        <f t="shared" si="157"/>
        <v>0</v>
      </c>
      <c r="AW615" s="168"/>
      <c r="AX615" s="168">
        <f t="shared" si="158"/>
        <v>0</v>
      </c>
      <c r="AY615" s="170"/>
      <c r="AZ615" s="170">
        <f t="shared" si="159"/>
        <v>0</v>
      </c>
      <c r="BA615" s="166"/>
      <c r="BB615" s="166">
        <f t="shared" si="160"/>
        <v>0</v>
      </c>
    </row>
    <row r="616" spans="1:54" s="131" customFormat="1" ht="31.5">
      <c r="A616" s="148" t="s">
        <v>7675</v>
      </c>
      <c r="B616" s="203" t="s">
        <v>1965</v>
      </c>
      <c r="C616" s="203"/>
      <c r="D616" s="203"/>
      <c r="E616" s="203" t="s">
        <v>3850</v>
      </c>
      <c r="F616" s="205" t="s">
        <v>7676</v>
      </c>
      <c r="G616" s="205" t="s">
        <v>1946</v>
      </c>
      <c r="H616" s="204" t="s">
        <v>1967</v>
      </c>
      <c r="I616" s="204" t="s">
        <v>11</v>
      </c>
      <c r="J616" s="205" t="s">
        <v>7498</v>
      </c>
      <c r="K616" s="206">
        <v>599</v>
      </c>
      <c r="L616" s="206"/>
      <c r="M616" s="159">
        <f t="shared" si="146"/>
        <v>4500</v>
      </c>
      <c r="N616" s="159"/>
      <c r="O616" s="159"/>
      <c r="P616" s="159"/>
      <c r="Q616" s="159"/>
      <c r="R616" s="159"/>
      <c r="S616" s="150" t="s">
        <v>5340</v>
      </c>
      <c r="T616" s="150" t="s">
        <v>5341</v>
      </c>
      <c r="U616" s="202" t="s">
        <v>3849</v>
      </c>
      <c r="V616" s="204">
        <v>3</v>
      </c>
      <c r="W616" s="203" t="s">
        <v>5104</v>
      </c>
      <c r="X616" s="204" t="s">
        <v>213</v>
      </c>
      <c r="Y616" s="206">
        <v>750</v>
      </c>
      <c r="Z616" s="207">
        <v>60000</v>
      </c>
      <c r="AA616" s="207">
        <f t="shared" si="147"/>
        <v>35940000</v>
      </c>
      <c r="AB616" s="157">
        <v>60000</v>
      </c>
      <c r="AC616" s="158">
        <f t="shared" si="145"/>
        <v>55500</v>
      </c>
      <c r="AD616" s="159">
        <f t="shared" si="148"/>
        <v>2695500</v>
      </c>
      <c r="AE616" s="160"/>
      <c r="AF616" s="160">
        <f t="shared" si="149"/>
        <v>0</v>
      </c>
      <c r="AG616" s="165"/>
      <c r="AH616" s="161">
        <f t="shared" si="150"/>
        <v>0</v>
      </c>
      <c r="AI616" s="162"/>
      <c r="AJ616" s="162">
        <f t="shared" si="151"/>
        <v>0</v>
      </c>
      <c r="AK616" s="164"/>
      <c r="AL616" s="164">
        <f t="shared" si="152"/>
        <v>0</v>
      </c>
      <c r="AM616" s="165"/>
      <c r="AN616" s="165">
        <f t="shared" si="153"/>
        <v>0</v>
      </c>
      <c r="AO616" s="166">
        <v>0</v>
      </c>
      <c r="AP616" s="166">
        <f t="shared" si="154"/>
        <v>0</v>
      </c>
      <c r="AQ616" s="162"/>
      <c r="AR616" s="162">
        <f t="shared" si="155"/>
        <v>0</v>
      </c>
      <c r="AS616" s="173">
        <v>4500</v>
      </c>
      <c r="AT616" s="167">
        <f t="shared" si="156"/>
        <v>2695500</v>
      </c>
      <c r="AU616" s="163"/>
      <c r="AV616" s="163">
        <f t="shared" si="157"/>
        <v>0</v>
      </c>
      <c r="AW616" s="168"/>
      <c r="AX616" s="168">
        <f t="shared" si="158"/>
        <v>0</v>
      </c>
      <c r="AY616" s="170"/>
      <c r="AZ616" s="170">
        <f t="shared" si="159"/>
        <v>0</v>
      </c>
      <c r="BA616" s="166"/>
      <c r="BB616" s="166">
        <f t="shared" si="160"/>
        <v>0</v>
      </c>
    </row>
    <row r="617" spans="1:54" s="131" customFormat="1" ht="31.5">
      <c r="A617" s="148" t="s">
        <v>7677</v>
      </c>
      <c r="B617" s="203" t="s">
        <v>836</v>
      </c>
      <c r="C617" s="203"/>
      <c r="D617" s="203"/>
      <c r="E617" s="203" t="s">
        <v>7680</v>
      </c>
      <c r="F617" s="205" t="s">
        <v>7682</v>
      </c>
      <c r="G617" s="205" t="s">
        <v>7683</v>
      </c>
      <c r="H617" s="204" t="s">
        <v>7679</v>
      </c>
      <c r="I617" s="204" t="s">
        <v>7684</v>
      </c>
      <c r="J617" s="205" t="s">
        <v>7681</v>
      </c>
      <c r="K617" s="206">
        <v>1850</v>
      </c>
      <c r="L617" s="206"/>
      <c r="M617" s="159">
        <f t="shared" si="146"/>
        <v>0</v>
      </c>
      <c r="N617" s="159"/>
      <c r="O617" s="159"/>
      <c r="P617" s="159"/>
      <c r="Q617" s="159"/>
      <c r="R617" s="159"/>
      <c r="S617" s="149" t="s">
        <v>5945</v>
      </c>
      <c r="T617" s="149" t="s">
        <v>5946</v>
      </c>
      <c r="U617" s="202" t="s">
        <v>7678</v>
      </c>
      <c r="V617" s="204">
        <v>3</v>
      </c>
      <c r="W617" s="203" t="s">
        <v>5104</v>
      </c>
      <c r="X617" s="204" t="s">
        <v>213</v>
      </c>
      <c r="Y617" s="206">
        <v>2100</v>
      </c>
      <c r="Z617" s="207">
        <v>120000</v>
      </c>
      <c r="AA617" s="207">
        <f t="shared" si="147"/>
        <v>222000000</v>
      </c>
      <c r="AB617" s="157">
        <v>120000</v>
      </c>
      <c r="AC617" s="158">
        <f t="shared" si="145"/>
        <v>120000</v>
      </c>
      <c r="AD617" s="159">
        <f t="shared" si="148"/>
        <v>0</v>
      </c>
      <c r="AE617" s="160"/>
      <c r="AF617" s="160">
        <f t="shared" si="149"/>
        <v>0</v>
      </c>
      <c r="AG617" s="165"/>
      <c r="AH617" s="161">
        <f t="shared" si="150"/>
        <v>0</v>
      </c>
      <c r="AI617" s="162"/>
      <c r="AJ617" s="162">
        <f t="shared" si="151"/>
        <v>0</v>
      </c>
      <c r="AK617" s="164"/>
      <c r="AL617" s="164">
        <f t="shared" si="152"/>
        <v>0</v>
      </c>
      <c r="AM617" s="165"/>
      <c r="AN617" s="165">
        <f t="shared" si="153"/>
        <v>0</v>
      </c>
      <c r="AO617" s="166">
        <v>0</v>
      </c>
      <c r="AP617" s="166">
        <f t="shared" si="154"/>
        <v>0</v>
      </c>
      <c r="AQ617" s="162"/>
      <c r="AR617" s="162">
        <f t="shared" si="155"/>
        <v>0</v>
      </c>
      <c r="AS617" s="173"/>
      <c r="AT617" s="167">
        <f t="shared" si="156"/>
        <v>0</v>
      </c>
      <c r="AU617" s="163"/>
      <c r="AV617" s="163">
        <f t="shared" si="157"/>
        <v>0</v>
      </c>
      <c r="AW617" s="168"/>
      <c r="AX617" s="168">
        <f t="shared" si="158"/>
        <v>0</v>
      </c>
      <c r="AY617" s="170"/>
      <c r="AZ617" s="170">
        <f t="shared" si="159"/>
        <v>0</v>
      </c>
      <c r="BA617" s="166"/>
      <c r="BB617" s="166">
        <f t="shared" si="160"/>
        <v>0</v>
      </c>
    </row>
    <row r="618" spans="1:54" s="131" customFormat="1" ht="31.5">
      <c r="A618" s="172" t="s">
        <v>7685</v>
      </c>
      <c r="B618" s="203" t="s">
        <v>555</v>
      </c>
      <c r="C618" s="203"/>
      <c r="D618" s="203"/>
      <c r="E618" s="203" t="s">
        <v>4117</v>
      </c>
      <c r="F618" s="205" t="s">
        <v>7686</v>
      </c>
      <c r="G618" s="205" t="s">
        <v>7211</v>
      </c>
      <c r="H618" s="204" t="s">
        <v>232</v>
      </c>
      <c r="I618" s="204" t="s">
        <v>11</v>
      </c>
      <c r="J618" s="205" t="s">
        <v>7579</v>
      </c>
      <c r="K618" s="206">
        <v>410</v>
      </c>
      <c r="L618" s="206"/>
      <c r="M618" s="159">
        <f t="shared" si="146"/>
        <v>29940</v>
      </c>
      <c r="N618" s="159"/>
      <c r="O618" s="159"/>
      <c r="P618" s="159"/>
      <c r="Q618" s="159"/>
      <c r="R618" s="159"/>
      <c r="S618" s="150" t="s">
        <v>5328</v>
      </c>
      <c r="T618" s="150" t="s">
        <v>215</v>
      </c>
      <c r="U618" s="202" t="s">
        <v>4116</v>
      </c>
      <c r="V618" s="204">
        <v>3</v>
      </c>
      <c r="W618" s="203" t="s">
        <v>5104</v>
      </c>
      <c r="X618" s="204" t="s">
        <v>213</v>
      </c>
      <c r="Y618" s="206">
        <v>2960</v>
      </c>
      <c r="Z618" s="207">
        <v>30000</v>
      </c>
      <c r="AA618" s="207">
        <f t="shared" si="147"/>
        <v>12300000</v>
      </c>
      <c r="AB618" s="157">
        <v>30000</v>
      </c>
      <c r="AC618" s="158">
        <f t="shared" si="145"/>
        <v>60</v>
      </c>
      <c r="AD618" s="159">
        <f t="shared" si="148"/>
        <v>12275400</v>
      </c>
      <c r="AE618" s="160">
        <v>4980</v>
      </c>
      <c r="AF618" s="160">
        <f t="shared" si="149"/>
        <v>2041800</v>
      </c>
      <c r="AG618" s="165">
        <v>16980</v>
      </c>
      <c r="AH618" s="161">
        <f t="shared" si="150"/>
        <v>6961800</v>
      </c>
      <c r="AI618" s="162"/>
      <c r="AJ618" s="162">
        <f t="shared" si="151"/>
        <v>0</v>
      </c>
      <c r="AK618" s="164">
        <v>7980</v>
      </c>
      <c r="AL618" s="164">
        <f t="shared" si="152"/>
        <v>3271800</v>
      </c>
      <c r="AM618" s="165"/>
      <c r="AN618" s="165">
        <f t="shared" si="153"/>
        <v>0</v>
      </c>
      <c r="AO618" s="166">
        <v>0</v>
      </c>
      <c r="AP618" s="166">
        <f t="shared" si="154"/>
        <v>0</v>
      </c>
      <c r="AQ618" s="162"/>
      <c r="AR618" s="162">
        <f t="shared" si="155"/>
        <v>0</v>
      </c>
      <c r="AS618" s="173"/>
      <c r="AT618" s="167">
        <f t="shared" si="156"/>
        <v>0</v>
      </c>
      <c r="AU618" s="163"/>
      <c r="AV618" s="163">
        <f t="shared" si="157"/>
        <v>0</v>
      </c>
      <c r="AW618" s="168"/>
      <c r="AX618" s="168">
        <f t="shared" si="158"/>
        <v>0</v>
      </c>
      <c r="AY618" s="170"/>
      <c r="AZ618" s="170">
        <f t="shared" si="159"/>
        <v>0</v>
      </c>
      <c r="BA618" s="166"/>
      <c r="BB618" s="166">
        <f t="shared" si="160"/>
        <v>0</v>
      </c>
    </row>
    <row r="619" spans="1:54" ht="31.5">
      <c r="A619" s="148" t="s">
        <v>7687</v>
      </c>
      <c r="B619" s="203" t="s">
        <v>836</v>
      </c>
      <c r="C619" s="203"/>
      <c r="D619" s="203"/>
      <c r="E619" s="203" t="s">
        <v>7690</v>
      </c>
      <c r="F619" s="205" t="s">
        <v>7691</v>
      </c>
      <c r="G619" s="205" t="s">
        <v>6979</v>
      </c>
      <c r="H619" s="204" t="s">
        <v>7689</v>
      </c>
      <c r="I619" s="204" t="s">
        <v>11</v>
      </c>
      <c r="J619" s="205" t="s">
        <v>6767</v>
      </c>
      <c r="K619" s="206">
        <v>1260</v>
      </c>
      <c r="L619" s="206"/>
      <c r="M619" s="159">
        <f t="shared" si="146"/>
        <v>0</v>
      </c>
      <c r="N619" s="159"/>
      <c r="O619" s="159"/>
      <c r="P619" s="159"/>
      <c r="Q619" s="159"/>
      <c r="R619" s="159"/>
      <c r="S619" s="149" t="s">
        <v>5360</v>
      </c>
      <c r="T619" s="150" t="s">
        <v>489</v>
      </c>
      <c r="U619" s="202" t="s">
        <v>7688</v>
      </c>
      <c r="V619" s="204">
        <v>3</v>
      </c>
      <c r="W619" s="203" t="s">
        <v>5104</v>
      </c>
      <c r="X619" s="204" t="s">
        <v>213</v>
      </c>
      <c r="Y619" s="206">
        <v>1400</v>
      </c>
      <c r="Z619" s="207">
        <v>100000</v>
      </c>
      <c r="AA619" s="207">
        <f t="shared" si="147"/>
        <v>126000000</v>
      </c>
      <c r="AB619" s="157">
        <v>100000</v>
      </c>
      <c r="AC619" s="158">
        <f t="shared" si="145"/>
        <v>100000</v>
      </c>
      <c r="AD619" s="159">
        <f t="shared" si="148"/>
        <v>0</v>
      </c>
      <c r="AE619" s="160"/>
      <c r="AF619" s="160">
        <f t="shared" si="149"/>
        <v>0</v>
      </c>
      <c r="AG619" s="165"/>
      <c r="AH619" s="161">
        <f t="shared" si="150"/>
        <v>0</v>
      </c>
      <c r="AI619" s="162"/>
      <c r="AJ619" s="162">
        <f t="shared" si="151"/>
        <v>0</v>
      </c>
      <c r="AK619" s="164"/>
      <c r="AL619" s="164">
        <f t="shared" si="152"/>
        <v>0</v>
      </c>
      <c r="AM619" s="165"/>
      <c r="AN619" s="165">
        <f t="shared" si="153"/>
        <v>0</v>
      </c>
      <c r="AO619" s="166">
        <v>0</v>
      </c>
      <c r="AP619" s="166">
        <f t="shared" si="154"/>
        <v>0</v>
      </c>
      <c r="AQ619" s="162"/>
      <c r="AR619" s="162">
        <f t="shared" si="155"/>
        <v>0</v>
      </c>
      <c r="AS619" s="173"/>
      <c r="AT619" s="167">
        <f t="shared" si="156"/>
        <v>0</v>
      </c>
      <c r="AU619" s="163"/>
      <c r="AV619" s="163">
        <f t="shared" si="157"/>
        <v>0</v>
      </c>
      <c r="AW619" s="168"/>
      <c r="AX619" s="168">
        <f t="shared" si="158"/>
        <v>0</v>
      </c>
      <c r="AY619" s="170"/>
      <c r="AZ619" s="170">
        <f t="shared" si="159"/>
        <v>0</v>
      </c>
      <c r="BA619" s="166"/>
      <c r="BB619" s="166">
        <f t="shared" si="160"/>
        <v>0</v>
      </c>
    </row>
    <row r="620" spans="1:54" ht="31.5">
      <c r="A620" s="148" t="s">
        <v>7692</v>
      </c>
      <c r="B620" s="203" t="s">
        <v>7696</v>
      </c>
      <c r="C620" s="203"/>
      <c r="D620" s="203"/>
      <c r="E620" s="203" t="s">
        <v>7697</v>
      </c>
      <c r="F620" s="205" t="s">
        <v>7698</v>
      </c>
      <c r="G620" s="205" t="s">
        <v>587</v>
      </c>
      <c r="H620" s="204" t="s">
        <v>222</v>
      </c>
      <c r="I620" s="204" t="s">
        <v>11</v>
      </c>
      <c r="J620" s="205" t="s">
        <v>6009</v>
      </c>
      <c r="K620" s="206">
        <v>2248</v>
      </c>
      <c r="L620" s="206"/>
      <c r="M620" s="159">
        <f t="shared" si="146"/>
        <v>0</v>
      </c>
      <c r="N620" s="159"/>
      <c r="O620" s="159"/>
      <c r="P620" s="159"/>
      <c r="Q620" s="159"/>
      <c r="R620" s="159"/>
      <c r="S620" s="149" t="s">
        <v>7693</v>
      </c>
      <c r="T620" s="149" t="s">
        <v>7694</v>
      </c>
      <c r="U620" s="202" t="s">
        <v>7695</v>
      </c>
      <c r="V620" s="204">
        <v>3</v>
      </c>
      <c r="W620" s="203" t="s">
        <v>5104</v>
      </c>
      <c r="X620" s="204" t="s">
        <v>213</v>
      </c>
      <c r="Y620" s="206">
        <v>3500</v>
      </c>
      <c r="Z620" s="207">
        <v>10000</v>
      </c>
      <c r="AA620" s="207">
        <f t="shared" si="147"/>
        <v>22480000</v>
      </c>
      <c r="AB620" s="157">
        <v>10000</v>
      </c>
      <c r="AC620" s="158">
        <f t="shared" ref="AC620:AC683" si="161">AB620-M620</f>
        <v>10000</v>
      </c>
      <c r="AD620" s="159">
        <f t="shared" si="148"/>
        <v>0</v>
      </c>
      <c r="AE620" s="160"/>
      <c r="AF620" s="160">
        <f t="shared" si="149"/>
        <v>0</v>
      </c>
      <c r="AG620" s="165"/>
      <c r="AH620" s="161">
        <f t="shared" si="150"/>
        <v>0</v>
      </c>
      <c r="AI620" s="162"/>
      <c r="AJ620" s="162">
        <f t="shared" si="151"/>
        <v>0</v>
      </c>
      <c r="AK620" s="164"/>
      <c r="AL620" s="164">
        <f t="shared" si="152"/>
        <v>0</v>
      </c>
      <c r="AM620" s="165"/>
      <c r="AN620" s="165">
        <f t="shared" si="153"/>
        <v>0</v>
      </c>
      <c r="AO620" s="166">
        <v>0</v>
      </c>
      <c r="AP620" s="166">
        <f t="shared" si="154"/>
        <v>0</v>
      </c>
      <c r="AQ620" s="162"/>
      <c r="AR620" s="162">
        <f t="shared" si="155"/>
        <v>0</v>
      </c>
      <c r="AS620" s="173"/>
      <c r="AT620" s="167">
        <f t="shared" si="156"/>
        <v>0</v>
      </c>
      <c r="AU620" s="163"/>
      <c r="AV620" s="163">
        <f t="shared" si="157"/>
        <v>0</v>
      </c>
      <c r="AW620" s="168"/>
      <c r="AX620" s="168">
        <f t="shared" si="158"/>
        <v>0</v>
      </c>
      <c r="AY620" s="170"/>
      <c r="AZ620" s="170">
        <f t="shared" si="159"/>
        <v>0</v>
      </c>
      <c r="BA620" s="166"/>
      <c r="BB620" s="166">
        <f t="shared" si="160"/>
        <v>0</v>
      </c>
    </row>
    <row r="621" spans="1:54" ht="31.5">
      <c r="A621" s="172" t="s">
        <v>7699</v>
      </c>
      <c r="B621" s="203" t="s">
        <v>7696</v>
      </c>
      <c r="C621" s="203"/>
      <c r="D621" s="203"/>
      <c r="E621" s="203" t="s">
        <v>7701</v>
      </c>
      <c r="F621" s="205" t="s">
        <v>7703</v>
      </c>
      <c r="G621" s="205" t="s">
        <v>7674</v>
      </c>
      <c r="H621" s="204" t="s">
        <v>390</v>
      </c>
      <c r="I621" s="204" t="s">
        <v>11</v>
      </c>
      <c r="J621" s="205" t="s">
        <v>7702</v>
      </c>
      <c r="K621" s="206">
        <v>2390</v>
      </c>
      <c r="L621" s="206"/>
      <c r="M621" s="159">
        <f t="shared" si="146"/>
        <v>0</v>
      </c>
      <c r="N621" s="159"/>
      <c r="O621" s="159"/>
      <c r="P621" s="159"/>
      <c r="Q621" s="159"/>
      <c r="R621" s="159"/>
      <c r="S621" s="149" t="s">
        <v>7100</v>
      </c>
      <c r="T621" s="149" t="s">
        <v>7101</v>
      </c>
      <c r="U621" s="202" t="s">
        <v>7700</v>
      </c>
      <c r="V621" s="204">
        <v>3</v>
      </c>
      <c r="W621" s="203" t="s">
        <v>5104</v>
      </c>
      <c r="X621" s="204" t="s">
        <v>213</v>
      </c>
      <c r="Y621" s="206">
        <v>5800</v>
      </c>
      <c r="Z621" s="207">
        <v>10000</v>
      </c>
      <c r="AA621" s="207">
        <f t="shared" si="147"/>
        <v>23900000</v>
      </c>
      <c r="AB621" s="157">
        <v>10000</v>
      </c>
      <c r="AC621" s="158">
        <f t="shared" si="161"/>
        <v>10000</v>
      </c>
      <c r="AD621" s="159">
        <f t="shared" si="148"/>
        <v>0</v>
      </c>
      <c r="AE621" s="160"/>
      <c r="AF621" s="160">
        <f t="shared" si="149"/>
        <v>0</v>
      </c>
      <c r="AG621" s="165"/>
      <c r="AH621" s="161">
        <f t="shared" si="150"/>
        <v>0</v>
      </c>
      <c r="AI621" s="162"/>
      <c r="AJ621" s="162">
        <f t="shared" si="151"/>
        <v>0</v>
      </c>
      <c r="AK621" s="164"/>
      <c r="AL621" s="164">
        <f t="shared" si="152"/>
        <v>0</v>
      </c>
      <c r="AM621" s="165"/>
      <c r="AN621" s="165">
        <f t="shared" si="153"/>
        <v>0</v>
      </c>
      <c r="AO621" s="166">
        <v>0</v>
      </c>
      <c r="AP621" s="166">
        <f t="shared" si="154"/>
        <v>0</v>
      </c>
      <c r="AQ621" s="162"/>
      <c r="AR621" s="162">
        <f t="shared" si="155"/>
        <v>0</v>
      </c>
      <c r="AS621" s="173"/>
      <c r="AT621" s="167">
        <f t="shared" si="156"/>
        <v>0</v>
      </c>
      <c r="AU621" s="163"/>
      <c r="AV621" s="163">
        <f t="shared" si="157"/>
        <v>0</v>
      </c>
      <c r="AW621" s="168"/>
      <c r="AX621" s="168">
        <f t="shared" si="158"/>
        <v>0</v>
      </c>
      <c r="AY621" s="170"/>
      <c r="AZ621" s="170">
        <f t="shared" si="159"/>
        <v>0</v>
      </c>
      <c r="BA621" s="166"/>
      <c r="BB621" s="166">
        <f t="shared" si="160"/>
        <v>0</v>
      </c>
    </row>
    <row r="622" spans="1:54" ht="31.5">
      <c r="A622" s="148" t="s">
        <v>7704</v>
      </c>
      <c r="B622" s="203" t="s">
        <v>836</v>
      </c>
      <c r="C622" s="203"/>
      <c r="D622" s="203"/>
      <c r="E622" s="203" t="s">
        <v>7706</v>
      </c>
      <c r="F622" s="205" t="s">
        <v>7708</v>
      </c>
      <c r="G622" s="205" t="s">
        <v>806</v>
      </c>
      <c r="H622" s="204" t="s">
        <v>838</v>
      </c>
      <c r="I622" s="204" t="s">
        <v>11</v>
      </c>
      <c r="J622" s="205" t="s">
        <v>7707</v>
      </c>
      <c r="K622" s="206">
        <v>1015</v>
      </c>
      <c r="L622" s="206"/>
      <c r="M622" s="159">
        <f t="shared" si="146"/>
        <v>0</v>
      </c>
      <c r="N622" s="159"/>
      <c r="O622" s="159"/>
      <c r="P622" s="159"/>
      <c r="Q622" s="159"/>
      <c r="R622" s="159"/>
      <c r="S622" s="149" t="s">
        <v>6986</v>
      </c>
      <c r="T622" s="149" t="s">
        <v>6987</v>
      </c>
      <c r="U622" s="202" t="s">
        <v>7705</v>
      </c>
      <c r="V622" s="204">
        <v>3</v>
      </c>
      <c r="W622" s="203" t="s">
        <v>5104</v>
      </c>
      <c r="X622" s="204" t="s">
        <v>213</v>
      </c>
      <c r="Y622" s="206">
        <v>3500</v>
      </c>
      <c r="Z622" s="207">
        <v>50000</v>
      </c>
      <c r="AA622" s="207">
        <f t="shared" si="147"/>
        <v>50750000</v>
      </c>
      <c r="AB622" s="157">
        <v>50000</v>
      </c>
      <c r="AC622" s="158">
        <f t="shared" si="161"/>
        <v>50000</v>
      </c>
      <c r="AD622" s="159">
        <f t="shared" si="148"/>
        <v>0</v>
      </c>
      <c r="AE622" s="160"/>
      <c r="AF622" s="160">
        <f t="shared" si="149"/>
        <v>0</v>
      </c>
      <c r="AG622" s="165"/>
      <c r="AH622" s="161">
        <f t="shared" si="150"/>
        <v>0</v>
      </c>
      <c r="AI622" s="162"/>
      <c r="AJ622" s="162">
        <f t="shared" si="151"/>
        <v>0</v>
      </c>
      <c r="AK622" s="164"/>
      <c r="AL622" s="164">
        <f t="shared" si="152"/>
        <v>0</v>
      </c>
      <c r="AM622" s="165"/>
      <c r="AN622" s="165">
        <f t="shared" si="153"/>
        <v>0</v>
      </c>
      <c r="AO622" s="166">
        <v>0</v>
      </c>
      <c r="AP622" s="166">
        <f t="shared" si="154"/>
        <v>0</v>
      </c>
      <c r="AQ622" s="162"/>
      <c r="AR622" s="162">
        <f t="shared" si="155"/>
        <v>0</v>
      </c>
      <c r="AS622" s="173"/>
      <c r="AT622" s="167">
        <f t="shared" si="156"/>
        <v>0</v>
      </c>
      <c r="AU622" s="163"/>
      <c r="AV622" s="163">
        <f t="shared" si="157"/>
        <v>0</v>
      </c>
      <c r="AW622" s="168"/>
      <c r="AX622" s="168">
        <f t="shared" si="158"/>
        <v>0</v>
      </c>
      <c r="AY622" s="170"/>
      <c r="AZ622" s="170">
        <f t="shared" si="159"/>
        <v>0</v>
      </c>
      <c r="BA622" s="166"/>
      <c r="BB622" s="166">
        <f t="shared" si="160"/>
        <v>0</v>
      </c>
    </row>
    <row r="623" spans="1:54" ht="31.5">
      <c r="A623" s="148" t="s">
        <v>7709</v>
      </c>
      <c r="B623" s="203" t="s">
        <v>556</v>
      </c>
      <c r="C623" s="203"/>
      <c r="D623" s="203"/>
      <c r="E623" s="203" t="s">
        <v>7711</v>
      </c>
      <c r="F623" s="205" t="s">
        <v>7713</v>
      </c>
      <c r="G623" s="205" t="s">
        <v>7211</v>
      </c>
      <c r="H623" s="204" t="s">
        <v>238</v>
      </c>
      <c r="I623" s="204" t="s">
        <v>11</v>
      </c>
      <c r="J623" s="205" t="s">
        <v>7712</v>
      </c>
      <c r="K623" s="206">
        <v>330</v>
      </c>
      <c r="L623" s="206"/>
      <c r="M623" s="159">
        <f t="shared" si="146"/>
        <v>0</v>
      </c>
      <c r="N623" s="159"/>
      <c r="O623" s="159"/>
      <c r="P623" s="159"/>
      <c r="Q623" s="159"/>
      <c r="R623" s="159"/>
      <c r="S623" s="150" t="s">
        <v>5328</v>
      </c>
      <c r="T623" s="150" t="s">
        <v>215</v>
      </c>
      <c r="U623" s="202" t="s">
        <v>7710</v>
      </c>
      <c r="V623" s="204">
        <v>3</v>
      </c>
      <c r="W623" s="203" t="s">
        <v>5104</v>
      </c>
      <c r="X623" s="204" t="s">
        <v>213</v>
      </c>
      <c r="Y623" s="206">
        <v>2450</v>
      </c>
      <c r="Z623" s="207">
        <v>20000</v>
      </c>
      <c r="AA623" s="207">
        <f t="shared" si="147"/>
        <v>6600000</v>
      </c>
      <c r="AB623" s="157">
        <v>20000</v>
      </c>
      <c r="AC623" s="158">
        <f t="shared" si="161"/>
        <v>20000</v>
      </c>
      <c r="AD623" s="159">
        <f t="shared" si="148"/>
        <v>0</v>
      </c>
      <c r="AE623" s="160"/>
      <c r="AF623" s="160">
        <f t="shared" si="149"/>
        <v>0</v>
      </c>
      <c r="AG623" s="165"/>
      <c r="AH623" s="161">
        <f t="shared" si="150"/>
        <v>0</v>
      </c>
      <c r="AI623" s="162"/>
      <c r="AJ623" s="162">
        <f t="shared" si="151"/>
        <v>0</v>
      </c>
      <c r="AK623" s="164"/>
      <c r="AL623" s="164">
        <f t="shared" si="152"/>
        <v>0</v>
      </c>
      <c r="AM623" s="165"/>
      <c r="AN623" s="165">
        <f t="shared" si="153"/>
        <v>0</v>
      </c>
      <c r="AO623" s="166">
        <v>0</v>
      </c>
      <c r="AP623" s="166">
        <f t="shared" si="154"/>
        <v>0</v>
      </c>
      <c r="AQ623" s="162"/>
      <c r="AR623" s="162">
        <f t="shared" si="155"/>
        <v>0</v>
      </c>
      <c r="AS623" s="173"/>
      <c r="AT623" s="167">
        <f t="shared" si="156"/>
        <v>0</v>
      </c>
      <c r="AU623" s="163"/>
      <c r="AV623" s="163">
        <f t="shared" si="157"/>
        <v>0</v>
      </c>
      <c r="AW623" s="168"/>
      <c r="AX623" s="168">
        <f t="shared" si="158"/>
        <v>0</v>
      </c>
      <c r="AY623" s="170"/>
      <c r="AZ623" s="170">
        <f t="shared" si="159"/>
        <v>0</v>
      </c>
      <c r="BA623" s="166"/>
      <c r="BB623" s="166">
        <f t="shared" si="160"/>
        <v>0</v>
      </c>
    </row>
    <row r="624" spans="1:54" ht="31.5">
      <c r="A624" s="172" t="s">
        <v>7714</v>
      </c>
      <c r="B624" s="203" t="s">
        <v>556</v>
      </c>
      <c r="C624" s="203"/>
      <c r="D624" s="203"/>
      <c r="E624" s="203" t="s">
        <v>3747</v>
      </c>
      <c r="F624" s="205" t="s">
        <v>7715</v>
      </c>
      <c r="G624" s="205" t="s">
        <v>7211</v>
      </c>
      <c r="H624" s="204" t="s">
        <v>327</v>
      </c>
      <c r="I624" s="204" t="s">
        <v>11</v>
      </c>
      <c r="J624" s="205" t="s">
        <v>7712</v>
      </c>
      <c r="K624" s="206">
        <v>272</v>
      </c>
      <c r="L624" s="206"/>
      <c r="M624" s="159">
        <f t="shared" si="146"/>
        <v>18990</v>
      </c>
      <c r="N624" s="159"/>
      <c r="O624" s="159"/>
      <c r="P624" s="159"/>
      <c r="Q624" s="159"/>
      <c r="R624" s="159"/>
      <c r="S624" s="150" t="s">
        <v>5328</v>
      </c>
      <c r="T624" s="150" t="s">
        <v>215</v>
      </c>
      <c r="U624" s="202" t="s">
        <v>3746</v>
      </c>
      <c r="V624" s="204">
        <v>3</v>
      </c>
      <c r="W624" s="203" t="s">
        <v>5104</v>
      </c>
      <c r="X624" s="204" t="s">
        <v>213</v>
      </c>
      <c r="Y624" s="206">
        <v>1385</v>
      </c>
      <c r="Z624" s="207">
        <v>20000</v>
      </c>
      <c r="AA624" s="207">
        <f t="shared" si="147"/>
        <v>5440000</v>
      </c>
      <c r="AB624" s="157">
        <v>20000</v>
      </c>
      <c r="AC624" s="158">
        <f t="shared" si="161"/>
        <v>1010</v>
      </c>
      <c r="AD624" s="159">
        <f t="shared" si="148"/>
        <v>5165280</v>
      </c>
      <c r="AE624" s="160"/>
      <c r="AF624" s="160">
        <f t="shared" si="149"/>
        <v>0</v>
      </c>
      <c r="AG624" s="165">
        <v>9990</v>
      </c>
      <c r="AH624" s="161">
        <f t="shared" si="150"/>
        <v>2717280</v>
      </c>
      <c r="AI624" s="162"/>
      <c r="AJ624" s="162">
        <f t="shared" si="151"/>
        <v>0</v>
      </c>
      <c r="AK624" s="163">
        <f>8190+810</f>
        <v>9000</v>
      </c>
      <c r="AL624" s="164">
        <f t="shared" si="152"/>
        <v>2448000</v>
      </c>
      <c r="AM624" s="161"/>
      <c r="AN624" s="165">
        <f t="shared" si="153"/>
        <v>0</v>
      </c>
      <c r="AO624" s="160">
        <v>0</v>
      </c>
      <c r="AP624" s="166">
        <f t="shared" si="154"/>
        <v>0</v>
      </c>
      <c r="AQ624" s="162"/>
      <c r="AR624" s="162">
        <f t="shared" si="155"/>
        <v>0</v>
      </c>
      <c r="AS624" s="173"/>
      <c r="AT624" s="167">
        <f t="shared" si="156"/>
        <v>0</v>
      </c>
      <c r="AU624" s="163"/>
      <c r="AV624" s="163">
        <f t="shared" si="157"/>
        <v>0</v>
      </c>
      <c r="AW624" s="162"/>
      <c r="AX624" s="168">
        <f t="shared" si="158"/>
        <v>0</v>
      </c>
      <c r="AY624" s="169"/>
      <c r="AZ624" s="170">
        <f t="shared" si="159"/>
        <v>0</v>
      </c>
      <c r="BA624" s="160"/>
      <c r="BB624" s="166">
        <f t="shared" si="160"/>
        <v>0</v>
      </c>
    </row>
    <row r="625" spans="1:54" s="115" customFormat="1">
      <c r="A625" s="148" t="s">
        <v>7716</v>
      </c>
      <c r="B625" s="203" t="s">
        <v>645</v>
      </c>
      <c r="C625" s="203"/>
      <c r="D625" s="203"/>
      <c r="E625" s="203" t="s">
        <v>646</v>
      </c>
      <c r="F625" s="205" t="s">
        <v>7718</v>
      </c>
      <c r="G625" s="205" t="s">
        <v>2385</v>
      </c>
      <c r="H625" s="204" t="s">
        <v>248</v>
      </c>
      <c r="I625" s="204" t="s">
        <v>11</v>
      </c>
      <c r="J625" s="205" t="s">
        <v>7717</v>
      </c>
      <c r="K625" s="206">
        <v>198</v>
      </c>
      <c r="L625" s="206"/>
      <c r="M625" s="159">
        <f t="shared" si="146"/>
        <v>0</v>
      </c>
      <c r="N625" s="159"/>
      <c r="O625" s="159"/>
      <c r="P625" s="159"/>
      <c r="Q625" s="159"/>
      <c r="R625" s="159"/>
      <c r="S625" s="149" t="s">
        <v>2385</v>
      </c>
      <c r="T625" s="150" t="s">
        <v>2380</v>
      </c>
      <c r="U625" s="202" t="s">
        <v>4147</v>
      </c>
      <c r="V625" s="204">
        <v>3</v>
      </c>
      <c r="W625" s="203" t="s">
        <v>5104</v>
      </c>
      <c r="X625" s="204" t="s">
        <v>213</v>
      </c>
      <c r="Y625" s="206">
        <v>1600</v>
      </c>
      <c r="Z625" s="207">
        <v>30000</v>
      </c>
      <c r="AA625" s="207">
        <f t="shared" si="147"/>
        <v>5940000</v>
      </c>
      <c r="AB625" s="157">
        <v>30000</v>
      </c>
      <c r="AC625" s="158">
        <f t="shared" si="161"/>
        <v>30000</v>
      </c>
      <c r="AD625" s="159">
        <f t="shared" si="148"/>
        <v>0</v>
      </c>
      <c r="AE625" s="160"/>
      <c r="AF625" s="160">
        <f t="shared" si="149"/>
        <v>0</v>
      </c>
      <c r="AG625" s="165"/>
      <c r="AH625" s="161">
        <f t="shared" si="150"/>
        <v>0</v>
      </c>
      <c r="AI625" s="162"/>
      <c r="AJ625" s="162">
        <f t="shared" si="151"/>
        <v>0</v>
      </c>
      <c r="AK625" s="164"/>
      <c r="AL625" s="164">
        <f t="shared" si="152"/>
        <v>0</v>
      </c>
      <c r="AM625" s="165"/>
      <c r="AN625" s="165">
        <f t="shared" si="153"/>
        <v>0</v>
      </c>
      <c r="AO625" s="166">
        <v>0</v>
      </c>
      <c r="AP625" s="166">
        <f t="shared" si="154"/>
        <v>0</v>
      </c>
      <c r="AQ625" s="162"/>
      <c r="AR625" s="162">
        <f t="shared" si="155"/>
        <v>0</v>
      </c>
      <c r="AS625" s="173"/>
      <c r="AT625" s="167">
        <f t="shared" si="156"/>
        <v>0</v>
      </c>
      <c r="AU625" s="163"/>
      <c r="AV625" s="163">
        <f t="shared" si="157"/>
        <v>0</v>
      </c>
      <c r="AW625" s="168"/>
      <c r="AX625" s="168">
        <f t="shared" si="158"/>
        <v>0</v>
      </c>
      <c r="AY625" s="170"/>
      <c r="AZ625" s="170">
        <f t="shared" si="159"/>
        <v>0</v>
      </c>
      <c r="BA625" s="166"/>
      <c r="BB625" s="166">
        <f t="shared" si="160"/>
        <v>0</v>
      </c>
    </row>
    <row r="626" spans="1:54" ht="31.5">
      <c r="A626" s="148" t="s">
        <v>7719</v>
      </c>
      <c r="B626" s="203" t="s">
        <v>645</v>
      </c>
      <c r="C626" s="203"/>
      <c r="D626" s="203"/>
      <c r="E626" s="203" t="s">
        <v>7721</v>
      </c>
      <c r="F626" s="205" t="s">
        <v>7723</v>
      </c>
      <c r="G626" s="205" t="s">
        <v>7575</v>
      </c>
      <c r="H626" s="204" t="s">
        <v>291</v>
      </c>
      <c r="I626" s="204" t="s">
        <v>11</v>
      </c>
      <c r="J626" s="205" t="s">
        <v>7722</v>
      </c>
      <c r="K626" s="206">
        <v>199</v>
      </c>
      <c r="L626" s="206"/>
      <c r="M626" s="159">
        <f t="shared" si="146"/>
        <v>0</v>
      </c>
      <c r="N626" s="159"/>
      <c r="O626" s="159"/>
      <c r="P626" s="159"/>
      <c r="Q626" s="159"/>
      <c r="R626" s="159"/>
      <c r="S626" s="150" t="s">
        <v>5328</v>
      </c>
      <c r="T626" s="150" t="s">
        <v>215</v>
      </c>
      <c r="U626" s="202" t="s">
        <v>7720</v>
      </c>
      <c r="V626" s="204">
        <v>3</v>
      </c>
      <c r="W626" s="203" t="s">
        <v>253</v>
      </c>
      <c r="X626" s="204" t="s">
        <v>213</v>
      </c>
      <c r="Y626" s="206">
        <v>3000</v>
      </c>
      <c r="Z626" s="207">
        <v>30000</v>
      </c>
      <c r="AA626" s="207">
        <f t="shared" si="147"/>
        <v>5970000</v>
      </c>
      <c r="AB626" s="157">
        <v>30000</v>
      </c>
      <c r="AC626" s="158">
        <f t="shared" si="161"/>
        <v>30000</v>
      </c>
      <c r="AD626" s="159">
        <f t="shared" si="148"/>
        <v>0</v>
      </c>
      <c r="AE626" s="160"/>
      <c r="AF626" s="160">
        <f t="shared" si="149"/>
        <v>0</v>
      </c>
      <c r="AG626" s="165"/>
      <c r="AH626" s="161">
        <f t="shared" si="150"/>
        <v>0</v>
      </c>
      <c r="AI626" s="162"/>
      <c r="AJ626" s="162">
        <f t="shared" si="151"/>
        <v>0</v>
      </c>
      <c r="AK626" s="164"/>
      <c r="AL626" s="164">
        <f t="shared" si="152"/>
        <v>0</v>
      </c>
      <c r="AM626" s="165"/>
      <c r="AN626" s="165">
        <f t="shared" si="153"/>
        <v>0</v>
      </c>
      <c r="AO626" s="166">
        <v>0</v>
      </c>
      <c r="AP626" s="166">
        <f t="shared" si="154"/>
        <v>0</v>
      </c>
      <c r="AQ626" s="162"/>
      <c r="AR626" s="162">
        <f t="shared" si="155"/>
        <v>0</v>
      </c>
      <c r="AS626" s="173"/>
      <c r="AT626" s="167">
        <f t="shared" si="156"/>
        <v>0</v>
      </c>
      <c r="AU626" s="163"/>
      <c r="AV626" s="163">
        <f t="shared" si="157"/>
        <v>0</v>
      </c>
      <c r="AW626" s="168"/>
      <c r="AX626" s="168">
        <f t="shared" si="158"/>
        <v>0</v>
      </c>
      <c r="AY626" s="170"/>
      <c r="AZ626" s="170">
        <f t="shared" si="159"/>
        <v>0</v>
      </c>
      <c r="BA626" s="166"/>
      <c r="BB626" s="166">
        <f t="shared" si="160"/>
        <v>0</v>
      </c>
    </row>
    <row r="627" spans="1:54" ht="31.5">
      <c r="A627" s="172" t="s">
        <v>7724</v>
      </c>
      <c r="B627" s="203" t="s">
        <v>1488</v>
      </c>
      <c r="C627" s="203"/>
      <c r="D627" s="203"/>
      <c r="E627" s="203" t="s">
        <v>3745</v>
      </c>
      <c r="F627" s="205" t="s">
        <v>7725</v>
      </c>
      <c r="G627" s="205" t="s">
        <v>7211</v>
      </c>
      <c r="H627" s="204" t="s">
        <v>1173</v>
      </c>
      <c r="I627" s="204" t="s">
        <v>11</v>
      </c>
      <c r="J627" s="205" t="s">
        <v>7579</v>
      </c>
      <c r="K627" s="206">
        <v>525</v>
      </c>
      <c r="L627" s="206"/>
      <c r="M627" s="159">
        <f t="shared" si="146"/>
        <v>19980</v>
      </c>
      <c r="N627" s="159"/>
      <c r="O627" s="159"/>
      <c r="P627" s="159"/>
      <c r="Q627" s="159"/>
      <c r="R627" s="159"/>
      <c r="S627" s="150" t="s">
        <v>5328</v>
      </c>
      <c r="T627" s="150" t="s">
        <v>215</v>
      </c>
      <c r="U627" s="202" t="s">
        <v>3744</v>
      </c>
      <c r="V627" s="204">
        <v>3</v>
      </c>
      <c r="W627" s="203" t="s">
        <v>5104</v>
      </c>
      <c r="X627" s="204" t="s">
        <v>213</v>
      </c>
      <c r="Y627" s="206">
        <v>3900</v>
      </c>
      <c r="Z627" s="207">
        <v>20000</v>
      </c>
      <c r="AA627" s="207">
        <f t="shared" si="147"/>
        <v>10500000</v>
      </c>
      <c r="AB627" s="157">
        <v>20000</v>
      </c>
      <c r="AC627" s="158">
        <f t="shared" si="161"/>
        <v>20</v>
      </c>
      <c r="AD627" s="159">
        <f t="shared" si="148"/>
        <v>10489500</v>
      </c>
      <c r="AE627" s="160"/>
      <c r="AF627" s="160">
        <f t="shared" si="149"/>
        <v>0</v>
      </c>
      <c r="AG627" s="165">
        <v>19980</v>
      </c>
      <c r="AH627" s="161">
        <f t="shared" si="150"/>
        <v>10489500</v>
      </c>
      <c r="AI627" s="162"/>
      <c r="AJ627" s="162">
        <f t="shared" si="151"/>
        <v>0</v>
      </c>
      <c r="AK627" s="164"/>
      <c r="AL627" s="164">
        <f t="shared" si="152"/>
        <v>0</v>
      </c>
      <c r="AM627" s="165"/>
      <c r="AN627" s="165">
        <f t="shared" si="153"/>
        <v>0</v>
      </c>
      <c r="AO627" s="166">
        <v>0</v>
      </c>
      <c r="AP627" s="166">
        <f t="shared" si="154"/>
        <v>0</v>
      </c>
      <c r="AQ627" s="162"/>
      <c r="AR627" s="162">
        <f t="shared" si="155"/>
        <v>0</v>
      </c>
      <c r="AS627" s="173"/>
      <c r="AT627" s="167">
        <f t="shared" si="156"/>
        <v>0</v>
      </c>
      <c r="AU627" s="163"/>
      <c r="AV627" s="163">
        <f t="shared" si="157"/>
        <v>0</v>
      </c>
      <c r="AW627" s="168"/>
      <c r="AX627" s="168">
        <f t="shared" si="158"/>
        <v>0</v>
      </c>
      <c r="AY627" s="170"/>
      <c r="AZ627" s="170">
        <f t="shared" si="159"/>
        <v>0</v>
      </c>
      <c r="BA627" s="166"/>
      <c r="BB627" s="166">
        <f t="shared" si="160"/>
        <v>0</v>
      </c>
    </row>
    <row r="628" spans="1:54">
      <c r="A628" s="148" t="s">
        <v>7726</v>
      </c>
      <c r="B628" s="203" t="s">
        <v>568</v>
      </c>
      <c r="C628" s="203"/>
      <c r="D628" s="203"/>
      <c r="E628" s="203" t="s">
        <v>2600</v>
      </c>
      <c r="F628" s="205" t="s">
        <v>7729</v>
      </c>
      <c r="G628" s="205" t="s">
        <v>867</v>
      </c>
      <c r="H628" s="204" t="s">
        <v>570</v>
      </c>
      <c r="I628" s="204" t="s">
        <v>11</v>
      </c>
      <c r="J628" s="205" t="s">
        <v>7728</v>
      </c>
      <c r="K628" s="206">
        <v>252</v>
      </c>
      <c r="L628" s="206"/>
      <c r="M628" s="159">
        <f t="shared" si="146"/>
        <v>46300</v>
      </c>
      <c r="N628" s="159"/>
      <c r="O628" s="159"/>
      <c r="P628" s="159"/>
      <c r="Q628" s="159"/>
      <c r="R628" s="159"/>
      <c r="S628" s="150" t="s">
        <v>7727</v>
      </c>
      <c r="T628" s="149" t="s">
        <v>863</v>
      </c>
      <c r="U628" s="202" t="s">
        <v>3922</v>
      </c>
      <c r="V628" s="204">
        <v>3</v>
      </c>
      <c r="W628" s="203" t="s">
        <v>5104</v>
      </c>
      <c r="X628" s="204" t="s">
        <v>213</v>
      </c>
      <c r="Y628" s="206">
        <v>400</v>
      </c>
      <c r="Z628" s="207">
        <v>100000</v>
      </c>
      <c r="AA628" s="207">
        <f t="shared" si="147"/>
        <v>25200000</v>
      </c>
      <c r="AB628" s="157">
        <v>100000</v>
      </c>
      <c r="AC628" s="158">
        <f t="shared" si="161"/>
        <v>53700</v>
      </c>
      <c r="AD628" s="159">
        <f t="shared" si="148"/>
        <v>11667600</v>
      </c>
      <c r="AE628" s="160"/>
      <c r="AF628" s="160">
        <f t="shared" si="149"/>
        <v>0</v>
      </c>
      <c r="AG628" s="165">
        <v>12000</v>
      </c>
      <c r="AH628" s="161">
        <f t="shared" si="150"/>
        <v>3024000</v>
      </c>
      <c r="AI628" s="162"/>
      <c r="AJ628" s="162">
        <f t="shared" si="151"/>
        <v>0</v>
      </c>
      <c r="AK628" s="164"/>
      <c r="AL628" s="164">
        <f t="shared" si="152"/>
        <v>0</v>
      </c>
      <c r="AM628" s="165">
        <v>14000</v>
      </c>
      <c r="AN628" s="165">
        <f t="shared" si="153"/>
        <v>3528000</v>
      </c>
      <c r="AO628" s="166">
        <v>0</v>
      </c>
      <c r="AP628" s="166">
        <f t="shared" si="154"/>
        <v>0</v>
      </c>
      <c r="AQ628" s="162"/>
      <c r="AR628" s="162">
        <f t="shared" si="155"/>
        <v>0</v>
      </c>
      <c r="AS628" s="173">
        <v>20300</v>
      </c>
      <c r="AT628" s="167">
        <f t="shared" si="156"/>
        <v>5115600</v>
      </c>
      <c r="AU628" s="163"/>
      <c r="AV628" s="163">
        <f t="shared" si="157"/>
        <v>0</v>
      </c>
      <c r="AW628" s="168"/>
      <c r="AX628" s="168">
        <f t="shared" si="158"/>
        <v>0</v>
      </c>
      <c r="AY628" s="170"/>
      <c r="AZ628" s="170">
        <f t="shared" si="159"/>
        <v>0</v>
      </c>
      <c r="BA628" s="166"/>
      <c r="BB628" s="166">
        <f t="shared" si="160"/>
        <v>0</v>
      </c>
    </row>
    <row r="629" spans="1:54" ht="31.5">
      <c r="A629" s="148" t="s">
        <v>7730</v>
      </c>
      <c r="B629" s="203" t="s">
        <v>1123</v>
      </c>
      <c r="C629" s="203"/>
      <c r="D629" s="203"/>
      <c r="E629" s="203" t="s">
        <v>1124</v>
      </c>
      <c r="F629" s="205" t="s">
        <v>7733</v>
      </c>
      <c r="G629" s="205" t="s">
        <v>7734</v>
      </c>
      <c r="H629" s="204" t="s">
        <v>310</v>
      </c>
      <c r="I629" s="204" t="s">
        <v>11</v>
      </c>
      <c r="J629" s="205" t="s">
        <v>7732</v>
      </c>
      <c r="K629" s="206">
        <v>6580</v>
      </c>
      <c r="L629" s="206"/>
      <c r="M629" s="159">
        <f t="shared" si="146"/>
        <v>0</v>
      </c>
      <c r="N629" s="159"/>
      <c r="O629" s="159"/>
      <c r="P629" s="159"/>
      <c r="Q629" s="159"/>
      <c r="R629" s="159"/>
      <c r="S629" s="149" t="s">
        <v>6224</v>
      </c>
      <c r="T629" s="149" t="s">
        <v>6225</v>
      </c>
      <c r="U629" s="202" t="s">
        <v>7731</v>
      </c>
      <c r="V629" s="204">
        <v>3</v>
      </c>
      <c r="W629" s="203" t="s">
        <v>5104</v>
      </c>
      <c r="X629" s="204" t="s">
        <v>213</v>
      </c>
      <c r="Y629" s="206">
        <v>6600</v>
      </c>
      <c r="Z629" s="207">
        <v>30000</v>
      </c>
      <c r="AA629" s="207">
        <f t="shared" si="147"/>
        <v>197400000</v>
      </c>
      <c r="AB629" s="157">
        <v>30000</v>
      </c>
      <c r="AC629" s="158">
        <f t="shared" si="161"/>
        <v>30000</v>
      </c>
      <c r="AD629" s="159">
        <f t="shared" si="148"/>
        <v>0</v>
      </c>
      <c r="AE629" s="160"/>
      <c r="AF629" s="160">
        <f t="shared" si="149"/>
        <v>0</v>
      </c>
      <c r="AG629" s="165"/>
      <c r="AH629" s="161">
        <f t="shared" si="150"/>
        <v>0</v>
      </c>
      <c r="AI629" s="162"/>
      <c r="AJ629" s="162">
        <f t="shared" si="151"/>
        <v>0</v>
      </c>
      <c r="AK629" s="164"/>
      <c r="AL629" s="164">
        <f t="shared" si="152"/>
        <v>0</v>
      </c>
      <c r="AM629" s="165"/>
      <c r="AN629" s="165">
        <f t="shared" si="153"/>
        <v>0</v>
      </c>
      <c r="AO629" s="166">
        <v>0</v>
      </c>
      <c r="AP629" s="166">
        <f t="shared" si="154"/>
        <v>0</v>
      </c>
      <c r="AQ629" s="162"/>
      <c r="AR629" s="162">
        <f t="shared" si="155"/>
        <v>0</v>
      </c>
      <c r="AS629" s="173"/>
      <c r="AT629" s="167">
        <f t="shared" si="156"/>
        <v>0</v>
      </c>
      <c r="AU629" s="163"/>
      <c r="AV629" s="163">
        <f t="shared" si="157"/>
        <v>0</v>
      </c>
      <c r="AW629" s="168"/>
      <c r="AX629" s="168">
        <f t="shared" si="158"/>
        <v>0</v>
      </c>
      <c r="AY629" s="170"/>
      <c r="AZ629" s="170">
        <f t="shared" si="159"/>
        <v>0</v>
      </c>
      <c r="BA629" s="166"/>
      <c r="BB629" s="166">
        <f t="shared" si="160"/>
        <v>0</v>
      </c>
    </row>
    <row r="630" spans="1:54" ht="31.5">
      <c r="A630" s="172" t="s">
        <v>7735</v>
      </c>
      <c r="B630" s="203" t="s">
        <v>788</v>
      </c>
      <c r="C630" s="203"/>
      <c r="D630" s="203"/>
      <c r="E630" s="203" t="s">
        <v>3884</v>
      </c>
      <c r="F630" s="205" t="s">
        <v>7737</v>
      </c>
      <c r="G630" s="205" t="s">
        <v>7211</v>
      </c>
      <c r="H630" s="204" t="s">
        <v>390</v>
      </c>
      <c r="I630" s="204" t="s">
        <v>11</v>
      </c>
      <c r="J630" s="205" t="s">
        <v>7736</v>
      </c>
      <c r="K630" s="206">
        <v>365</v>
      </c>
      <c r="L630" s="206"/>
      <c r="M630" s="159">
        <f t="shared" si="146"/>
        <v>5490</v>
      </c>
      <c r="N630" s="159"/>
      <c r="O630" s="159"/>
      <c r="P630" s="159"/>
      <c r="Q630" s="159"/>
      <c r="R630" s="159"/>
      <c r="S630" s="150" t="s">
        <v>5328</v>
      </c>
      <c r="T630" s="150" t="s">
        <v>215</v>
      </c>
      <c r="U630" s="202" t="s">
        <v>3883</v>
      </c>
      <c r="V630" s="204">
        <v>3</v>
      </c>
      <c r="W630" s="203" t="s">
        <v>5104</v>
      </c>
      <c r="X630" s="204" t="s">
        <v>213</v>
      </c>
      <c r="Y630" s="206">
        <v>3000</v>
      </c>
      <c r="Z630" s="207">
        <v>20000</v>
      </c>
      <c r="AA630" s="207">
        <f t="shared" si="147"/>
        <v>7300000</v>
      </c>
      <c r="AB630" s="157">
        <v>20000</v>
      </c>
      <c r="AC630" s="158">
        <f t="shared" si="161"/>
        <v>14510</v>
      </c>
      <c r="AD630" s="159">
        <f t="shared" si="148"/>
        <v>2003850</v>
      </c>
      <c r="AE630" s="160"/>
      <c r="AF630" s="160">
        <f t="shared" si="149"/>
        <v>0</v>
      </c>
      <c r="AG630" s="165">
        <v>5490</v>
      </c>
      <c r="AH630" s="161">
        <f t="shared" si="150"/>
        <v>2003850</v>
      </c>
      <c r="AI630" s="162"/>
      <c r="AJ630" s="162">
        <f t="shared" si="151"/>
        <v>0</v>
      </c>
      <c r="AK630" s="164"/>
      <c r="AL630" s="164">
        <f t="shared" si="152"/>
        <v>0</v>
      </c>
      <c r="AM630" s="165"/>
      <c r="AN630" s="165">
        <f t="shared" si="153"/>
        <v>0</v>
      </c>
      <c r="AO630" s="166">
        <v>0</v>
      </c>
      <c r="AP630" s="166">
        <f t="shared" si="154"/>
        <v>0</v>
      </c>
      <c r="AQ630" s="162"/>
      <c r="AR630" s="162">
        <f t="shared" si="155"/>
        <v>0</v>
      </c>
      <c r="AS630" s="173"/>
      <c r="AT630" s="167">
        <f t="shared" si="156"/>
        <v>0</v>
      </c>
      <c r="AU630" s="163"/>
      <c r="AV630" s="163">
        <f t="shared" si="157"/>
        <v>0</v>
      </c>
      <c r="AW630" s="168"/>
      <c r="AX630" s="168">
        <f t="shared" si="158"/>
        <v>0</v>
      </c>
      <c r="AY630" s="170"/>
      <c r="AZ630" s="170">
        <f t="shared" si="159"/>
        <v>0</v>
      </c>
      <c r="BA630" s="166"/>
      <c r="BB630" s="166">
        <f t="shared" si="160"/>
        <v>0</v>
      </c>
    </row>
    <row r="631" spans="1:54" ht="31.5">
      <c r="A631" s="148" t="s">
        <v>7738</v>
      </c>
      <c r="B631" s="203" t="s">
        <v>788</v>
      </c>
      <c r="C631" s="203"/>
      <c r="D631" s="203"/>
      <c r="E631" s="203" t="s">
        <v>7739</v>
      </c>
      <c r="F631" s="205" t="s">
        <v>7741</v>
      </c>
      <c r="G631" s="205" t="s">
        <v>7742</v>
      </c>
      <c r="H631" s="204" t="s">
        <v>369</v>
      </c>
      <c r="I631" s="204" t="s">
        <v>11</v>
      </c>
      <c r="J631" s="205" t="s">
        <v>7740</v>
      </c>
      <c r="K631" s="206">
        <v>1809</v>
      </c>
      <c r="L631" s="206"/>
      <c r="M631" s="159">
        <f t="shared" si="146"/>
        <v>0</v>
      </c>
      <c r="N631" s="159"/>
      <c r="O631" s="159"/>
      <c r="P631" s="159"/>
      <c r="Q631" s="159"/>
      <c r="R631" s="159"/>
      <c r="S631" s="150" t="s">
        <v>5298</v>
      </c>
      <c r="T631" s="150" t="s">
        <v>5299</v>
      </c>
      <c r="U631" s="202" t="s">
        <v>3894</v>
      </c>
      <c r="V631" s="204">
        <v>3</v>
      </c>
      <c r="W631" s="203" t="s">
        <v>253</v>
      </c>
      <c r="X631" s="204" t="s">
        <v>213</v>
      </c>
      <c r="Y631" s="206">
        <v>4000</v>
      </c>
      <c r="Z631" s="207">
        <v>40000</v>
      </c>
      <c r="AA631" s="207">
        <f t="shared" si="147"/>
        <v>72360000</v>
      </c>
      <c r="AB631" s="157">
        <v>40000</v>
      </c>
      <c r="AC631" s="158">
        <f t="shared" si="161"/>
        <v>40000</v>
      </c>
      <c r="AD631" s="159">
        <f t="shared" si="148"/>
        <v>0</v>
      </c>
      <c r="AE631" s="160"/>
      <c r="AF631" s="160">
        <f t="shared" si="149"/>
        <v>0</v>
      </c>
      <c r="AG631" s="165"/>
      <c r="AH631" s="161">
        <f t="shared" si="150"/>
        <v>0</v>
      </c>
      <c r="AI631" s="162"/>
      <c r="AJ631" s="162">
        <f t="shared" si="151"/>
        <v>0</v>
      </c>
      <c r="AK631" s="164"/>
      <c r="AL631" s="164">
        <f t="shared" si="152"/>
        <v>0</v>
      </c>
      <c r="AM631" s="165"/>
      <c r="AN631" s="165">
        <f t="shared" si="153"/>
        <v>0</v>
      </c>
      <c r="AO631" s="166">
        <v>0</v>
      </c>
      <c r="AP631" s="166">
        <f t="shared" si="154"/>
        <v>0</v>
      </c>
      <c r="AQ631" s="162"/>
      <c r="AR631" s="162">
        <f t="shared" si="155"/>
        <v>0</v>
      </c>
      <c r="AS631" s="173"/>
      <c r="AT631" s="167">
        <f t="shared" si="156"/>
        <v>0</v>
      </c>
      <c r="AU631" s="163"/>
      <c r="AV631" s="163">
        <f t="shared" si="157"/>
        <v>0</v>
      </c>
      <c r="AW631" s="168"/>
      <c r="AX631" s="168">
        <f t="shared" si="158"/>
        <v>0</v>
      </c>
      <c r="AY631" s="170"/>
      <c r="AZ631" s="170">
        <f t="shared" si="159"/>
        <v>0</v>
      </c>
      <c r="BA631" s="166"/>
      <c r="BB631" s="166">
        <f t="shared" si="160"/>
        <v>0</v>
      </c>
    </row>
    <row r="632" spans="1:54" ht="31.5">
      <c r="A632" s="148" t="s">
        <v>7743</v>
      </c>
      <c r="B632" s="203" t="s">
        <v>1245</v>
      </c>
      <c r="C632" s="203"/>
      <c r="D632" s="203"/>
      <c r="E632" s="203" t="s">
        <v>1992</v>
      </c>
      <c r="F632" s="205" t="s">
        <v>1993</v>
      </c>
      <c r="G632" s="205" t="s">
        <v>1946</v>
      </c>
      <c r="H632" s="204" t="s">
        <v>1246</v>
      </c>
      <c r="I632" s="204" t="s">
        <v>11</v>
      </c>
      <c r="J632" s="205" t="s">
        <v>7745</v>
      </c>
      <c r="K632" s="206">
        <v>2184</v>
      </c>
      <c r="L632" s="206"/>
      <c r="M632" s="159">
        <f t="shared" si="146"/>
        <v>0</v>
      </c>
      <c r="N632" s="159"/>
      <c r="O632" s="159"/>
      <c r="P632" s="159"/>
      <c r="Q632" s="159"/>
      <c r="R632" s="159"/>
      <c r="S632" s="150" t="s">
        <v>5340</v>
      </c>
      <c r="T632" s="150" t="s">
        <v>5341</v>
      </c>
      <c r="U632" s="202" t="s">
        <v>7744</v>
      </c>
      <c r="V632" s="204">
        <v>3</v>
      </c>
      <c r="W632" s="203" t="s">
        <v>5104</v>
      </c>
      <c r="X632" s="204" t="s">
        <v>213</v>
      </c>
      <c r="Y632" s="206">
        <v>2200</v>
      </c>
      <c r="Z632" s="207">
        <v>80000</v>
      </c>
      <c r="AA632" s="207">
        <f t="shared" si="147"/>
        <v>174720000</v>
      </c>
      <c r="AB632" s="157">
        <v>80000</v>
      </c>
      <c r="AC632" s="158">
        <f t="shared" si="161"/>
        <v>80000</v>
      </c>
      <c r="AD632" s="159">
        <f t="shared" si="148"/>
        <v>0</v>
      </c>
      <c r="AE632" s="160"/>
      <c r="AF632" s="160">
        <f t="shared" si="149"/>
        <v>0</v>
      </c>
      <c r="AG632" s="165"/>
      <c r="AH632" s="161">
        <f t="shared" si="150"/>
        <v>0</v>
      </c>
      <c r="AI632" s="162"/>
      <c r="AJ632" s="162">
        <f t="shared" si="151"/>
        <v>0</v>
      </c>
      <c r="AK632" s="164"/>
      <c r="AL632" s="164">
        <f t="shared" si="152"/>
        <v>0</v>
      </c>
      <c r="AM632" s="165"/>
      <c r="AN632" s="165">
        <f t="shared" si="153"/>
        <v>0</v>
      </c>
      <c r="AO632" s="166">
        <v>0</v>
      </c>
      <c r="AP632" s="166">
        <f t="shared" si="154"/>
        <v>0</v>
      </c>
      <c r="AQ632" s="162"/>
      <c r="AR632" s="162">
        <f t="shared" si="155"/>
        <v>0</v>
      </c>
      <c r="AS632" s="173"/>
      <c r="AT632" s="167">
        <f t="shared" si="156"/>
        <v>0</v>
      </c>
      <c r="AU632" s="163"/>
      <c r="AV632" s="163">
        <f t="shared" si="157"/>
        <v>0</v>
      </c>
      <c r="AW632" s="168"/>
      <c r="AX632" s="168">
        <f t="shared" si="158"/>
        <v>0</v>
      </c>
      <c r="AY632" s="170"/>
      <c r="AZ632" s="170">
        <f t="shared" si="159"/>
        <v>0</v>
      </c>
      <c r="BA632" s="166"/>
      <c r="BB632" s="166">
        <f t="shared" si="160"/>
        <v>0</v>
      </c>
    </row>
    <row r="633" spans="1:54">
      <c r="A633" s="172" t="s">
        <v>7746</v>
      </c>
      <c r="B633" s="203" t="s">
        <v>7748</v>
      </c>
      <c r="C633" s="203"/>
      <c r="D633" s="203"/>
      <c r="E633" s="203" t="s">
        <v>7749</v>
      </c>
      <c r="F633" s="205" t="s">
        <v>7751</v>
      </c>
      <c r="G633" s="205" t="s">
        <v>463</v>
      </c>
      <c r="H633" s="204" t="s">
        <v>327</v>
      </c>
      <c r="I633" s="204" t="s">
        <v>11</v>
      </c>
      <c r="J633" s="205" t="s">
        <v>7750</v>
      </c>
      <c r="K633" s="206">
        <v>1449</v>
      </c>
      <c r="L633" s="206"/>
      <c r="M633" s="159">
        <f t="shared" si="146"/>
        <v>0</v>
      </c>
      <c r="N633" s="159"/>
      <c r="O633" s="159"/>
      <c r="P633" s="159"/>
      <c r="Q633" s="159"/>
      <c r="R633" s="159"/>
      <c r="S633" s="149" t="s">
        <v>5275</v>
      </c>
      <c r="T633" s="150" t="s">
        <v>463</v>
      </c>
      <c r="U633" s="202" t="s">
        <v>7747</v>
      </c>
      <c r="V633" s="204">
        <v>3</v>
      </c>
      <c r="W633" s="203" t="s">
        <v>5104</v>
      </c>
      <c r="X633" s="204" t="s">
        <v>213</v>
      </c>
      <c r="Y633" s="206">
        <v>2900</v>
      </c>
      <c r="Z633" s="207">
        <v>20000</v>
      </c>
      <c r="AA633" s="207">
        <f t="shared" si="147"/>
        <v>28980000</v>
      </c>
      <c r="AB633" s="157">
        <v>20000</v>
      </c>
      <c r="AC633" s="158">
        <f t="shared" si="161"/>
        <v>20000</v>
      </c>
      <c r="AD633" s="159">
        <f t="shared" si="148"/>
        <v>0</v>
      </c>
      <c r="AE633" s="160"/>
      <c r="AF633" s="160">
        <f t="shared" si="149"/>
        <v>0</v>
      </c>
      <c r="AG633" s="165"/>
      <c r="AH633" s="161">
        <f t="shared" si="150"/>
        <v>0</v>
      </c>
      <c r="AI633" s="162"/>
      <c r="AJ633" s="162">
        <f t="shared" si="151"/>
        <v>0</v>
      </c>
      <c r="AK633" s="164"/>
      <c r="AL633" s="164">
        <f t="shared" si="152"/>
        <v>0</v>
      </c>
      <c r="AM633" s="165"/>
      <c r="AN633" s="165">
        <f t="shared" si="153"/>
        <v>0</v>
      </c>
      <c r="AO633" s="166">
        <v>0</v>
      </c>
      <c r="AP633" s="166">
        <f t="shared" si="154"/>
        <v>0</v>
      </c>
      <c r="AQ633" s="162"/>
      <c r="AR633" s="162">
        <f t="shared" si="155"/>
        <v>0</v>
      </c>
      <c r="AS633" s="173"/>
      <c r="AT633" s="167">
        <f t="shared" si="156"/>
        <v>0</v>
      </c>
      <c r="AU633" s="163"/>
      <c r="AV633" s="163">
        <f t="shared" si="157"/>
        <v>0</v>
      </c>
      <c r="AW633" s="168"/>
      <c r="AX633" s="168">
        <f t="shared" si="158"/>
        <v>0</v>
      </c>
      <c r="AY633" s="170"/>
      <c r="AZ633" s="170">
        <f t="shared" si="159"/>
        <v>0</v>
      </c>
      <c r="BA633" s="166"/>
      <c r="BB633" s="166">
        <f t="shared" si="160"/>
        <v>0</v>
      </c>
    </row>
    <row r="634" spans="1:54" ht="31.5">
      <c r="A634" s="148" t="s">
        <v>7752</v>
      </c>
      <c r="B634" s="203" t="s">
        <v>1999</v>
      </c>
      <c r="C634" s="203"/>
      <c r="D634" s="203"/>
      <c r="E634" s="203" t="s">
        <v>7754</v>
      </c>
      <c r="F634" s="205" t="s">
        <v>7755</v>
      </c>
      <c r="G634" s="205" t="s">
        <v>587</v>
      </c>
      <c r="H634" s="204" t="s">
        <v>2001</v>
      </c>
      <c r="I634" s="204" t="s">
        <v>11</v>
      </c>
      <c r="J634" s="205" t="s">
        <v>6143</v>
      </c>
      <c r="K634" s="206">
        <v>1278</v>
      </c>
      <c r="L634" s="206"/>
      <c r="M634" s="159">
        <f t="shared" si="146"/>
        <v>0</v>
      </c>
      <c r="N634" s="159"/>
      <c r="O634" s="159"/>
      <c r="P634" s="159"/>
      <c r="Q634" s="159"/>
      <c r="R634" s="159"/>
      <c r="S634" s="149" t="s">
        <v>7693</v>
      </c>
      <c r="T634" s="149" t="s">
        <v>7694</v>
      </c>
      <c r="U634" s="202" t="s">
        <v>7753</v>
      </c>
      <c r="V634" s="204">
        <v>3</v>
      </c>
      <c r="W634" s="203" t="s">
        <v>5104</v>
      </c>
      <c r="X634" s="204" t="s">
        <v>213</v>
      </c>
      <c r="Y634" s="206">
        <v>3590</v>
      </c>
      <c r="Z634" s="207">
        <v>60000</v>
      </c>
      <c r="AA634" s="207">
        <f t="shared" si="147"/>
        <v>76680000</v>
      </c>
      <c r="AB634" s="157">
        <v>60000</v>
      </c>
      <c r="AC634" s="158">
        <f t="shared" si="161"/>
        <v>60000</v>
      </c>
      <c r="AD634" s="159">
        <f t="shared" si="148"/>
        <v>0</v>
      </c>
      <c r="AE634" s="160"/>
      <c r="AF634" s="160">
        <f t="shared" si="149"/>
        <v>0</v>
      </c>
      <c r="AG634" s="165"/>
      <c r="AH634" s="161">
        <f t="shared" si="150"/>
        <v>0</v>
      </c>
      <c r="AI634" s="162"/>
      <c r="AJ634" s="162">
        <f t="shared" si="151"/>
        <v>0</v>
      </c>
      <c r="AK634" s="164"/>
      <c r="AL634" s="164">
        <f t="shared" si="152"/>
        <v>0</v>
      </c>
      <c r="AM634" s="165"/>
      <c r="AN634" s="165">
        <f t="shared" si="153"/>
        <v>0</v>
      </c>
      <c r="AO634" s="166">
        <v>0</v>
      </c>
      <c r="AP634" s="166">
        <f t="shared" si="154"/>
        <v>0</v>
      </c>
      <c r="AQ634" s="162"/>
      <c r="AR634" s="162">
        <f t="shared" si="155"/>
        <v>0</v>
      </c>
      <c r="AS634" s="173"/>
      <c r="AT634" s="167">
        <f t="shared" si="156"/>
        <v>0</v>
      </c>
      <c r="AU634" s="163"/>
      <c r="AV634" s="163">
        <f t="shared" si="157"/>
        <v>0</v>
      </c>
      <c r="AW634" s="168"/>
      <c r="AX634" s="168">
        <f t="shared" si="158"/>
        <v>0</v>
      </c>
      <c r="AY634" s="170"/>
      <c r="AZ634" s="170">
        <f t="shared" si="159"/>
        <v>0</v>
      </c>
      <c r="BA634" s="166"/>
      <c r="BB634" s="166">
        <f t="shared" si="160"/>
        <v>0</v>
      </c>
    </row>
    <row r="635" spans="1:54" s="131" customFormat="1" ht="31.5">
      <c r="A635" s="148" t="s">
        <v>7756</v>
      </c>
      <c r="B635" s="203" t="s">
        <v>1999</v>
      </c>
      <c r="C635" s="203"/>
      <c r="D635" s="203"/>
      <c r="E635" s="203" t="s">
        <v>4365</v>
      </c>
      <c r="F635" s="205" t="s">
        <v>7757</v>
      </c>
      <c r="G635" s="205" t="s">
        <v>7649</v>
      </c>
      <c r="H635" s="204" t="s">
        <v>4366</v>
      </c>
      <c r="I635" s="204" t="s">
        <v>11</v>
      </c>
      <c r="J635" s="205" t="s">
        <v>6473</v>
      </c>
      <c r="K635" s="206">
        <v>1995</v>
      </c>
      <c r="L635" s="206"/>
      <c r="M635" s="159">
        <f t="shared" si="146"/>
        <v>6000</v>
      </c>
      <c r="N635" s="159"/>
      <c r="O635" s="159"/>
      <c r="P635" s="159"/>
      <c r="Q635" s="159"/>
      <c r="R635" s="159"/>
      <c r="S635" s="150" t="s">
        <v>5368</v>
      </c>
      <c r="T635" s="150" t="s">
        <v>5369</v>
      </c>
      <c r="U635" s="202" t="s">
        <v>4364</v>
      </c>
      <c r="V635" s="204">
        <v>3</v>
      </c>
      <c r="W635" s="203" t="s">
        <v>5104</v>
      </c>
      <c r="X635" s="204" t="s">
        <v>213</v>
      </c>
      <c r="Y635" s="206">
        <v>7200</v>
      </c>
      <c r="Z635" s="207">
        <v>60000</v>
      </c>
      <c r="AA635" s="207">
        <f t="shared" si="147"/>
        <v>119700000</v>
      </c>
      <c r="AB635" s="157">
        <v>60000</v>
      </c>
      <c r="AC635" s="158">
        <f t="shared" si="161"/>
        <v>54000</v>
      </c>
      <c r="AD635" s="159">
        <f t="shared" si="148"/>
        <v>11970000</v>
      </c>
      <c r="AE635" s="160"/>
      <c r="AF635" s="160">
        <f t="shared" si="149"/>
        <v>0</v>
      </c>
      <c r="AG635" s="165"/>
      <c r="AH635" s="161">
        <f t="shared" si="150"/>
        <v>0</v>
      </c>
      <c r="AI635" s="162"/>
      <c r="AJ635" s="162">
        <f t="shared" si="151"/>
        <v>0</v>
      </c>
      <c r="AK635" s="164"/>
      <c r="AL635" s="164">
        <f t="shared" si="152"/>
        <v>0</v>
      </c>
      <c r="AM635" s="165"/>
      <c r="AN635" s="165">
        <f t="shared" si="153"/>
        <v>0</v>
      </c>
      <c r="AO635" s="166">
        <v>0</v>
      </c>
      <c r="AP635" s="166">
        <f t="shared" si="154"/>
        <v>0</v>
      </c>
      <c r="AQ635" s="162"/>
      <c r="AR635" s="162">
        <f t="shared" si="155"/>
        <v>0</v>
      </c>
      <c r="AS635" s="173">
        <v>6000</v>
      </c>
      <c r="AT635" s="167">
        <f t="shared" si="156"/>
        <v>11970000</v>
      </c>
      <c r="AU635" s="163"/>
      <c r="AV635" s="163">
        <f t="shared" si="157"/>
        <v>0</v>
      </c>
      <c r="AW635" s="168"/>
      <c r="AX635" s="168">
        <f t="shared" si="158"/>
        <v>0</v>
      </c>
      <c r="AY635" s="170"/>
      <c r="AZ635" s="170">
        <f t="shared" si="159"/>
        <v>0</v>
      </c>
      <c r="BA635" s="166"/>
      <c r="BB635" s="166">
        <f t="shared" si="160"/>
        <v>0</v>
      </c>
    </row>
    <row r="636" spans="1:54" s="131" customFormat="1" ht="31.5">
      <c r="A636" s="172" t="s">
        <v>7758</v>
      </c>
      <c r="B636" s="203" t="s">
        <v>1247</v>
      </c>
      <c r="C636" s="203"/>
      <c r="D636" s="203"/>
      <c r="E636" s="203" t="s">
        <v>4176</v>
      </c>
      <c r="F636" s="205" t="s">
        <v>7760</v>
      </c>
      <c r="G636" s="205" t="s">
        <v>7761</v>
      </c>
      <c r="H636" s="204" t="s">
        <v>1249</v>
      </c>
      <c r="I636" s="204" t="s">
        <v>11</v>
      </c>
      <c r="J636" s="205" t="s">
        <v>7759</v>
      </c>
      <c r="K636" s="206">
        <v>7800</v>
      </c>
      <c r="L636" s="206"/>
      <c r="M636" s="159">
        <f t="shared" si="146"/>
        <v>6000</v>
      </c>
      <c r="N636" s="159"/>
      <c r="O636" s="159"/>
      <c r="P636" s="159"/>
      <c r="Q636" s="159"/>
      <c r="R636" s="159"/>
      <c r="S636" s="149" t="s">
        <v>6248</v>
      </c>
      <c r="T636" s="149" t="s">
        <v>6249</v>
      </c>
      <c r="U636" s="202" t="s">
        <v>4175</v>
      </c>
      <c r="V636" s="204">
        <v>3</v>
      </c>
      <c r="W636" s="203" t="s">
        <v>6705</v>
      </c>
      <c r="X636" s="204" t="s">
        <v>6694</v>
      </c>
      <c r="Y636" s="206">
        <v>8000</v>
      </c>
      <c r="Z636" s="207">
        <v>20000</v>
      </c>
      <c r="AA636" s="207">
        <f t="shared" si="147"/>
        <v>156000000</v>
      </c>
      <c r="AB636" s="157">
        <v>20000</v>
      </c>
      <c r="AC636" s="158">
        <f t="shared" si="161"/>
        <v>14000</v>
      </c>
      <c r="AD636" s="159">
        <f t="shared" si="148"/>
        <v>46800000</v>
      </c>
      <c r="AE636" s="160"/>
      <c r="AF636" s="160">
        <f t="shared" si="149"/>
        <v>0</v>
      </c>
      <c r="AG636" s="165"/>
      <c r="AH636" s="161">
        <f t="shared" si="150"/>
        <v>0</v>
      </c>
      <c r="AI636" s="162"/>
      <c r="AJ636" s="162">
        <f t="shared" si="151"/>
        <v>0</v>
      </c>
      <c r="AK636" s="164"/>
      <c r="AL636" s="164">
        <f t="shared" si="152"/>
        <v>0</v>
      </c>
      <c r="AM636" s="165">
        <v>6000</v>
      </c>
      <c r="AN636" s="165">
        <f t="shared" si="153"/>
        <v>46800000</v>
      </c>
      <c r="AO636" s="166">
        <v>0</v>
      </c>
      <c r="AP636" s="166">
        <f t="shared" si="154"/>
        <v>0</v>
      </c>
      <c r="AQ636" s="162"/>
      <c r="AR636" s="162">
        <f t="shared" si="155"/>
        <v>0</v>
      </c>
      <c r="AS636" s="173"/>
      <c r="AT636" s="167">
        <f t="shared" si="156"/>
        <v>0</v>
      </c>
      <c r="AU636" s="163"/>
      <c r="AV636" s="163">
        <f t="shared" si="157"/>
        <v>0</v>
      </c>
      <c r="AW636" s="168"/>
      <c r="AX636" s="168">
        <f t="shared" si="158"/>
        <v>0</v>
      </c>
      <c r="AY636" s="170"/>
      <c r="AZ636" s="170">
        <f t="shared" si="159"/>
        <v>0</v>
      </c>
      <c r="BA636" s="166"/>
      <c r="BB636" s="166">
        <f t="shared" si="160"/>
        <v>0</v>
      </c>
    </row>
    <row r="637" spans="1:54" s="131" customFormat="1" ht="31.5">
      <c r="A637" s="148" t="s">
        <v>7762</v>
      </c>
      <c r="B637" s="203" t="s">
        <v>7763</v>
      </c>
      <c r="C637" s="203"/>
      <c r="D637" s="203"/>
      <c r="E637" s="203" t="s">
        <v>7764</v>
      </c>
      <c r="F637" s="205" t="s">
        <v>7766</v>
      </c>
      <c r="G637" s="205" t="s">
        <v>7767</v>
      </c>
      <c r="H637" s="204" t="s">
        <v>1165</v>
      </c>
      <c r="I637" s="204" t="s">
        <v>11</v>
      </c>
      <c r="J637" s="205" t="s">
        <v>7765</v>
      </c>
      <c r="K637" s="206">
        <v>3800</v>
      </c>
      <c r="L637" s="206"/>
      <c r="M637" s="159">
        <f t="shared" si="146"/>
        <v>0</v>
      </c>
      <c r="N637" s="159"/>
      <c r="O637" s="159"/>
      <c r="P637" s="159"/>
      <c r="Q637" s="159"/>
      <c r="R637" s="159"/>
      <c r="S637" s="149" t="s">
        <v>5830</v>
      </c>
      <c r="T637" s="149" t="s">
        <v>5831</v>
      </c>
      <c r="U637" s="202" t="s">
        <v>4253</v>
      </c>
      <c r="V637" s="204">
        <v>3</v>
      </c>
      <c r="W637" s="203" t="s">
        <v>5104</v>
      </c>
      <c r="X637" s="204" t="s">
        <v>213</v>
      </c>
      <c r="Y637" s="206">
        <v>10000</v>
      </c>
      <c r="Z637" s="207">
        <v>50000</v>
      </c>
      <c r="AA637" s="207">
        <f t="shared" si="147"/>
        <v>190000000</v>
      </c>
      <c r="AB637" s="157">
        <v>50000</v>
      </c>
      <c r="AC637" s="158">
        <f t="shared" si="161"/>
        <v>50000</v>
      </c>
      <c r="AD637" s="159">
        <f t="shared" si="148"/>
        <v>0</v>
      </c>
      <c r="AE637" s="160"/>
      <c r="AF637" s="160">
        <f t="shared" si="149"/>
        <v>0</v>
      </c>
      <c r="AG637" s="165"/>
      <c r="AH637" s="161">
        <f t="shared" si="150"/>
        <v>0</v>
      </c>
      <c r="AI637" s="162"/>
      <c r="AJ637" s="162">
        <f t="shared" si="151"/>
        <v>0</v>
      </c>
      <c r="AK637" s="163"/>
      <c r="AL637" s="164">
        <f t="shared" si="152"/>
        <v>0</v>
      </c>
      <c r="AM637" s="161"/>
      <c r="AN637" s="165">
        <f t="shared" si="153"/>
        <v>0</v>
      </c>
      <c r="AO637" s="160">
        <v>0</v>
      </c>
      <c r="AP637" s="166">
        <f t="shared" si="154"/>
        <v>0</v>
      </c>
      <c r="AQ637" s="162"/>
      <c r="AR637" s="162">
        <f t="shared" si="155"/>
        <v>0</v>
      </c>
      <c r="AS637" s="173"/>
      <c r="AT637" s="167">
        <f t="shared" si="156"/>
        <v>0</v>
      </c>
      <c r="AU637" s="163"/>
      <c r="AV637" s="163">
        <f t="shared" si="157"/>
        <v>0</v>
      </c>
      <c r="AW637" s="162"/>
      <c r="AX637" s="168">
        <f t="shared" si="158"/>
        <v>0</v>
      </c>
      <c r="AY637" s="169"/>
      <c r="AZ637" s="170">
        <f t="shared" si="159"/>
        <v>0</v>
      </c>
      <c r="BA637" s="160"/>
      <c r="BB637" s="166">
        <f t="shared" si="160"/>
        <v>0</v>
      </c>
    </row>
    <row r="638" spans="1:54" s="131" customFormat="1" ht="31.5">
      <c r="A638" s="148" t="s">
        <v>7768</v>
      </c>
      <c r="B638" s="203" t="s">
        <v>365</v>
      </c>
      <c r="C638" s="203"/>
      <c r="D638" s="203"/>
      <c r="E638" s="203" t="s">
        <v>3785</v>
      </c>
      <c r="F638" s="205" t="s">
        <v>7770</v>
      </c>
      <c r="G638" s="205" t="s">
        <v>7001</v>
      </c>
      <c r="H638" s="204" t="s">
        <v>238</v>
      </c>
      <c r="I638" s="204" t="s">
        <v>11</v>
      </c>
      <c r="J638" s="205" t="s">
        <v>7769</v>
      </c>
      <c r="K638" s="206">
        <v>128</v>
      </c>
      <c r="L638" s="206"/>
      <c r="M638" s="159">
        <f t="shared" si="146"/>
        <v>5000</v>
      </c>
      <c r="N638" s="159"/>
      <c r="O638" s="159"/>
      <c r="P638" s="159"/>
      <c r="Q638" s="159"/>
      <c r="R638" s="159"/>
      <c r="S638" s="150" t="s">
        <v>360</v>
      </c>
      <c r="T638" s="150" t="s">
        <v>358</v>
      </c>
      <c r="U638" s="202" t="s">
        <v>3784</v>
      </c>
      <c r="V638" s="204">
        <v>3</v>
      </c>
      <c r="W638" s="203" t="s">
        <v>5104</v>
      </c>
      <c r="X638" s="204" t="s">
        <v>213</v>
      </c>
      <c r="Y638" s="206">
        <v>1000</v>
      </c>
      <c r="Z638" s="207">
        <v>10000</v>
      </c>
      <c r="AA638" s="207">
        <f t="shared" si="147"/>
        <v>1280000</v>
      </c>
      <c r="AB638" s="157">
        <v>10000</v>
      </c>
      <c r="AC638" s="158">
        <f t="shared" si="161"/>
        <v>5000</v>
      </c>
      <c r="AD638" s="159">
        <f t="shared" si="148"/>
        <v>640000</v>
      </c>
      <c r="AE638" s="160"/>
      <c r="AF638" s="160">
        <f t="shared" si="149"/>
        <v>0</v>
      </c>
      <c r="AG638" s="161"/>
      <c r="AH638" s="161">
        <f t="shared" si="150"/>
        <v>0</v>
      </c>
      <c r="AI638" s="162"/>
      <c r="AJ638" s="162">
        <f t="shared" si="151"/>
        <v>0</v>
      </c>
      <c r="AK638" s="163"/>
      <c r="AL638" s="164">
        <f t="shared" si="152"/>
        <v>0</v>
      </c>
      <c r="AM638" s="161">
        <v>5000</v>
      </c>
      <c r="AN638" s="165">
        <f t="shared" si="153"/>
        <v>640000</v>
      </c>
      <c r="AO638" s="160">
        <v>0</v>
      </c>
      <c r="AP638" s="166">
        <f t="shared" si="154"/>
        <v>0</v>
      </c>
      <c r="AQ638" s="162"/>
      <c r="AR638" s="162">
        <f t="shared" si="155"/>
        <v>0</v>
      </c>
      <c r="AS638" s="167"/>
      <c r="AT638" s="167">
        <f t="shared" si="156"/>
        <v>0</v>
      </c>
      <c r="AU638" s="163"/>
      <c r="AV638" s="163">
        <f t="shared" si="157"/>
        <v>0</v>
      </c>
      <c r="AW638" s="162"/>
      <c r="AX638" s="168">
        <f t="shared" si="158"/>
        <v>0</v>
      </c>
      <c r="AY638" s="169"/>
      <c r="AZ638" s="170">
        <f t="shared" si="159"/>
        <v>0</v>
      </c>
      <c r="BA638" s="160"/>
      <c r="BB638" s="166">
        <f t="shared" si="160"/>
        <v>0</v>
      </c>
    </row>
    <row r="639" spans="1:54" s="131" customFormat="1" ht="31.5">
      <c r="A639" s="172" t="s">
        <v>7771</v>
      </c>
      <c r="B639" s="203" t="s">
        <v>7773</v>
      </c>
      <c r="C639" s="203"/>
      <c r="D639" s="203"/>
      <c r="E639" s="203" t="s">
        <v>7774</v>
      </c>
      <c r="F639" s="205" t="s">
        <v>7775</v>
      </c>
      <c r="G639" s="205" t="s">
        <v>621</v>
      </c>
      <c r="H639" s="204" t="s">
        <v>238</v>
      </c>
      <c r="I639" s="204" t="s">
        <v>11</v>
      </c>
      <c r="J639" s="205" t="s">
        <v>6099</v>
      </c>
      <c r="K639" s="206">
        <v>1365</v>
      </c>
      <c r="L639" s="206"/>
      <c r="M639" s="159">
        <f t="shared" si="146"/>
        <v>0</v>
      </c>
      <c r="N639" s="159"/>
      <c r="O639" s="159"/>
      <c r="P639" s="159"/>
      <c r="Q639" s="159"/>
      <c r="R639" s="159"/>
      <c r="S639" s="149" t="s">
        <v>6938</v>
      </c>
      <c r="T639" s="149" t="s">
        <v>6939</v>
      </c>
      <c r="U639" s="202" t="s">
        <v>7772</v>
      </c>
      <c r="V639" s="204">
        <v>3</v>
      </c>
      <c r="W639" s="203" t="s">
        <v>253</v>
      </c>
      <c r="X639" s="204" t="s">
        <v>213</v>
      </c>
      <c r="Y639" s="206">
        <v>3900</v>
      </c>
      <c r="Z639" s="207">
        <v>20000</v>
      </c>
      <c r="AA639" s="207">
        <f t="shared" si="147"/>
        <v>27300000</v>
      </c>
      <c r="AB639" s="157">
        <v>20000</v>
      </c>
      <c r="AC639" s="158">
        <f t="shared" si="161"/>
        <v>20000</v>
      </c>
      <c r="AD639" s="159">
        <f t="shared" si="148"/>
        <v>0</v>
      </c>
      <c r="AE639" s="160"/>
      <c r="AF639" s="160">
        <f t="shared" si="149"/>
        <v>0</v>
      </c>
      <c r="AG639" s="165"/>
      <c r="AH639" s="161">
        <f t="shared" si="150"/>
        <v>0</v>
      </c>
      <c r="AI639" s="162"/>
      <c r="AJ639" s="162">
        <f t="shared" si="151"/>
        <v>0</v>
      </c>
      <c r="AK639" s="164"/>
      <c r="AL639" s="164">
        <f t="shared" si="152"/>
        <v>0</v>
      </c>
      <c r="AM639" s="165"/>
      <c r="AN639" s="165">
        <f t="shared" si="153"/>
        <v>0</v>
      </c>
      <c r="AO639" s="166">
        <v>0</v>
      </c>
      <c r="AP639" s="166">
        <f t="shared" si="154"/>
        <v>0</v>
      </c>
      <c r="AQ639" s="162"/>
      <c r="AR639" s="162">
        <f t="shared" si="155"/>
        <v>0</v>
      </c>
      <c r="AS639" s="173"/>
      <c r="AT639" s="167">
        <f t="shared" si="156"/>
        <v>0</v>
      </c>
      <c r="AU639" s="163"/>
      <c r="AV639" s="163">
        <f t="shared" si="157"/>
        <v>0</v>
      </c>
      <c r="AW639" s="168"/>
      <c r="AX639" s="168">
        <f t="shared" si="158"/>
        <v>0</v>
      </c>
      <c r="AY639" s="170"/>
      <c r="AZ639" s="170">
        <f t="shared" si="159"/>
        <v>0</v>
      </c>
      <c r="BA639" s="166"/>
      <c r="BB639" s="166">
        <f t="shared" si="160"/>
        <v>0</v>
      </c>
    </row>
    <row r="640" spans="1:54" s="131" customFormat="1" ht="31.5">
      <c r="A640" s="148" t="s">
        <v>7776</v>
      </c>
      <c r="B640" s="203" t="s">
        <v>376</v>
      </c>
      <c r="C640" s="203"/>
      <c r="D640" s="203"/>
      <c r="E640" s="203" t="s">
        <v>4102</v>
      </c>
      <c r="F640" s="205" t="s">
        <v>7778</v>
      </c>
      <c r="G640" s="205" t="s">
        <v>1946</v>
      </c>
      <c r="H640" s="204" t="s">
        <v>4103</v>
      </c>
      <c r="I640" s="204" t="s">
        <v>11</v>
      </c>
      <c r="J640" s="205" t="s">
        <v>7777</v>
      </c>
      <c r="K640" s="206">
        <v>3150</v>
      </c>
      <c r="L640" s="206"/>
      <c r="M640" s="159">
        <f t="shared" si="146"/>
        <v>10980</v>
      </c>
      <c r="N640" s="159"/>
      <c r="O640" s="159"/>
      <c r="P640" s="159"/>
      <c r="Q640" s="159"/>
      <c r="R640" s="159"/>
      <c r="S640" s="150" t="s">
        <v>5340</v>
      </c>
      <c r="T640" s="150" t="s">
        <v>5341</v>
      </c>
      <c r="U640" s="202" t="s">
        <v>4101</v>
      </c>
      <c r="V640" s="204">
        <v>3</v>
      </c>
      <c r="W640" s="203" t="s">
        <v>5104</v>
      </c>
      <c r="X640" s="204" t="s">
        <v>213</v>
      </c>
      <c r="Y640" s="206">
        <v>3160</v>
      </c>
      <c r="Z640" s="207">
        <v>50000</v>
      </c>
      <c r="AA640" s="207">
        <f t="shared" si="147"/>
        <v>157500000</v>
      </c>
      <c r="AB640" s="157">
        <v>50000</v>
      </c>
      <c r="AC640" s="158">
        <f t="shared" si="161"/>
        <v>39020</v>
      </c>
      <c r="AD640" s="159">
        <f t="shared" si="148"/>
        <v>34587000</v>
      </c>
      <c r="AE640" s="160"/>
      <c r="AF640" s="160">
        <f t="shared" si="149"/>
        <v>0</v>
      </c>
      <c r="AG640" s="165"/>
      <c r="AH640" s="161">
        <f t="shared" si="150"/>
        <v>0</v>
      </c>
      <c r="AI640" s="162"/>
      <c r="AJ640" s="162">
        <f t="shared" si="151"/>
        <v>0</v>
      </c>
      <c r="AK640" s="164"/>
      <c r="AL640" s="164">
        <f t="shared" si="152"/>
        <v>0</v>
      </c>
      <c r="AM640" s="165">
        <v>4980</v>
      </c>
      <c r="AN640" s="165">
        <f t="shared" si="153"/>
        <v>15687000</v>
      </c>
      <c r="AO640" s="166">
        <v>0</v>
      </c>
      <c r="AP640" s="166">
        <f t="shared" si="154"/>
        <v>0</v>
      </c>
      <c r="AQ640" s="162">
        <v>3000</v>
      </c>
      <c r="AR640" s="162">
        <f t="shared" si="155"/>
        <v>9450000</v>
      </c>
      <c r="AS640" s="173">
        <v>3000</v>
      </c>
      <c r="AT640" s="167">
        <f t="shared" si="156"/>
        <v>9450000</v>
      </c>
      <c r="AU640" s="163"/>
      <c r="AV640" s="163">
        <f t="shared" si="157"/>
        <v>0</v>
      </c>
      <c r="AW640" s="168"/>
      <c r="AX640" s="168">
        <f t="shared" si="158"/>
        <v>0</v>
      </c>
      <c r="AY640" s="170"/>
      <c r="AZ640" s="170">
        <f t="shared" si="159"/>
        <v>0</v>
      </c>
      <c r="BA640" s="166"/>
      <c r="BB640" s="166">
        <f t="shared" si="160"/>
        <v>0</v>
      </c>
    </row>
    <row r="641" spans="1:54" s="131" customFormat="1" ht="31.5">
      <c r="A641" s="148" t="s">
        <v>7779</v>
      </c>
      <c r="B641" s="203" t="s">
        <v>376</v>
      </c>
      <c r="C641" s="203"/>
      <c r="D641" s="203"/>
      <c r="E641" s="203" t="s">
        <v>7781</v>
      </c>
      <c r="F641" s="205" t="s">
        <v>7782</v>
      </c>
      <c r="G641" s="205" t="s">
        <v>7783</v>
      </c>
      <c r="H641" s="204" t="s">
        <v>550</v>
      </c>
      <c r="I641" s="204" t="s">
        <v>11</v>
      </c>
      <c r="J641" s="205" t="s">
        <v>5608</v>
      </c>
      <c r="K641" s="206">
        <v>560</v>
      </c>
      <c r="L641" s="206"/>
      <c r="M641" s="159">
        <f t="shared" si="146"/>
        <v>0</v>
      </c>
      <c r="N641" s="159"/>
      <c r="O641" s="159"/>
      <c r="P641" s="159"/>
      <c r="Q641" s="159"/>
      <c r="R641" s="159"/>
      <c r="S641" s="149" t="s">
        <v>5206</v>
      </c>
      <c r="T641" s="149" t="s">
        <v>5207</v>
      </c>
      <c r="U641" s="202" t="s">
        <v>7780</v>
      </c>
      <c r="V641" s="204">
        <v>3</v>
      </c>
      <c r="W641" s="203" t="s">
        <v>5104</v>
      </c>
      <c r="X641" s="204" t="s">
        <v>213</v>
      </c>
      <c r="Y641" s="206">
        <v>950</v>
      </c>
      <c r="Z641" s="207">
        <v>30000</v>
      </c>
      <c r="AA641" s="207">
        <f t="shared" si="147"/>
        <v>16800000</v>
      </c>
      <c r="AB641" s="157">
        <v>30000</v>
      </c>
      <c r="AC641" s="158">
        <f t="shared" si="161"/>
        <v>30000</v>
      </c>
      <c r="AD641" s="159">
        <f t="shared" si="148"/>
        <v>0</v>
      </c>
      <c r="AE641" s="160"/>
      <c r="AF641" s="160">
        <f t="shared" si="149"/>
        <v>0</v>
      </c>
      <c r="AG641" s="165"/>
      <c r="AH641" s="161">
        <f t="shared" si="150"/>
        <v>0</v>
      </c>
      <c r="AI641" s="162"/>
      <c r="AJ641" s="162">
        <f t="shared" si="151"/>
        <v>0</v>
      </c>
      <c r="AK641" s="164"/>
      <c r="AL641" s="164">
        <f t="shared" si="152"/>
        <v>0</v>
      </c>
      <c r="AM641" s="165"/>
      <c r="AN641" s="165">
        <f t="shared" si="153"/>
        <v>0</v>
      </c>
      <c r="AO641" s="166">
        <v>0</v>
      </c>
      <c r="AP641" s="166">
        <f t="shared" si="154"/>
        <v>0</v>
      </c>
      <c r="AQ641" s="162"/>
      <c r="AR641" s="162">
        <f t="shared" si="155"/>
        <v>0</v>
      </c>
      <c r="AS641" s="173"/>
      <c r="AT641" s="167">
        <f t="shared" si="156"/>
        <v>0</v>
      </c>
      <c r="AU641" s="163"/>
      <c r="AV641" s="163">
        <f t="shared" si="157"/>
        <v>0</v>
      </c>
      <c r="AW641" s="168"/>
      <c r="AX641" s="168">
        <f t="shared" si="158"/>
        <v>0</v>
      </c>
      <c r="AY641" s="170"/>
      <c r="AZ641" s="170">
        <f t="shared" si="159"/>
        <v>0</v>
      </c>
      <c r="BA641" s="166"/>
      <c r="BB641" s="166">
        <f t="shared" si="160"/>
        <v>0</v>
      </c>
    </row>
    <row r="642" spans="1:54" s="131" customFormat="1" ht="31.5">
      <c r="A642" s="172" t="s">
        <v>7784</v>
      </c>
      <c r="B642" s="203" t="s">
        <v>376</v>
      </c>
      <c r="C642" s="203"/>
      <c r="D642" s="203"/>
      <c r="E642" s="203" t="s">
        <v>7786</v>
      </c>
      <c r="F642" s="205" t="s">
        <v>7787</v>
      </c>
      <c r="G642" s="205" t="s">
        <v>6979</v>
      </c>
      <c r="H642" s="204" t="s">
        <v>299</v>
      </c>
      <c r="I642" s="204" t="s">
        <v>11</v>
      </c>
      <c r="J642" s="205" t="s">
        <v>6321</v>
      </c>
      <c r="K642" s="206">
        <v>401</v>
      </c>
      <c r="L642" s="206"/>
      <c r="M642" s="159">
        <f t="shared" si="146"/>
        <v>0</v>
      </c>
      <c r="N642" s="159"/>
      <c r="O642" s="159"/>
      <c r="P642" s="159"/>
      <c r="Q642" s="159"/>
      <c r="R642" s="159"/>
      <c r="S642" s="149" t="s">
        <v>5360</v>
      </c>
      <c r="T642" s="150" t="s">
        <v>489</v>
      </c>
      <c r="U642" s="202" t="s">
        <v>7785</v>
      </c>
      <c r="V642" s="204">
        <v>3</v>
      </c>
      <c r="W642" s="203" t="s">
        <v>5104</v>
      </c>
      <c r="X642" s="204" t="s">
        <v>213</v>
      </c>
      <c r="Y642" s="206">
        <v>1201</v>
      </c>
      <c r="Z642" s="207">
        <v>30000</v>
      </c>
      <c r="AA642" s="207">
        <f t="shared" si="147"/>
        <v>12030000</v>
      </c>
      <c r="AB642" s="157">
        <v>30000</v>
      </c>
      <c r="AC642" s="158">
        <f t="shared" si="161"/>
        <v>30000</v>
      </c>
      <c r="AD642" s="159">
        <f t="shared" si="148"/>
        <v>0</v>
      </c>
      <c r="AE642" s="160"/>
      <c r="AF642" s="160">
        <f t="shared" si="149"/>
        <v>0</v>
      </c>
      <c r="AG642" s="165"/>
      <c r="AH642" s="161">
        <f t="shared" si="150"/>
        <v>0</v>
      </c>
      <c r="AI642" s="162"/>
      <c r="AJ642" s="162">
        <f t="shared" si="151"/>
        <v>0</v>
      </c>
      <c r="AK642" s="164"/>
      <c r="AL642" s="164">
        <f t="shared" si="152"/>
        <v>0</v>
      </c>
      <c r="AM642" s="165"/>
      <c r="AN642" s="165">
        <f t="shared" si="153"/>
        <v>0</v>
      </c>
      <c r="AO642" s="166">
        <v>0</v>
      </c>
      <c r="AP642" s="166">
        <f t="shared" si="154"/>
        <v>0</v>
      </c>
      <c r="AQ642" s="162"/>
      <c r="AR642" s="162">
        <f t="shared" si="155"/>
        <v>0</v>
      </c>
      <c r="AS642" s="173"/>
      <c r="AT642" s="167">
        <f t="shared" si="156"/>
        <v>0</v>
      </c>
      <c r="AU642" s="163"/>
      <c r="AV642" s="163">
        <f t="shared" si="157"/>
        <v>0</v>
      </c>
      <c r="AW642" s="168"/>
      <c r="AX642" s="168">
        <f t="shared" si="158"/>
        <v>0</v>
      </c>
      <c r="AY642" s="170"/>
      <c r="AZ642" s="170">
        <f t="shared" si="159"/>
        <v>0</v>
      </c>
      <c r="BA642" s="166"/>
      <c r="BB642" s="166">
        <f t="shared" si="160"/>
        <v>0</v>
      </c>
    </row>
    <row r="643" spans="1:54" s="131" customFormat="1">
      <c r="A643" s="148" t="s">
        <v>7788</v>
      </c>
      <c r="B643" s="203" t="s">
        <v>7790</v>
      </c>
      <c r="C643" s="203"/>
      <c r="D643" s="203"/>
      <c r="E643" s="203" t="s">
        <v>7791</v>
      </c>
      <c r="F643" s="205" t="s">
        <v>7792</v>
      </c>
      <c r="G643" s="205" t="s">
        <v>1268</v>
      </c>
      <c r="H643" s="204" t="s">
        <v>235</v>
      </c>
      <c r="I643" s="204" t="s">
        <v>11</v>
      </c>
      <c r="J643" s="205" t="s">
        <v>6473</v>
      </c>
      <c r="K643" s="206">
        <v>1554</v>
      </c>
      <c r="L643" s="206"/>
      <c r="M643" s="159">
        <f t="shared" si="146"/>
        <v>0</v>
      </c>
      <c r="N643" s="159"/>
      <c r="O643" s="159"/>
      <c r="P643" s="159"/>
      <c r="Q643" s="159"/>
      <c r="R643" s="159"/>
      <c r="S643" s="150" t="s">
        <v>5368</v>
      </c>
      <c r="T643" s="150" t="s">
        <v>5369</v>
      </c>
      <c r="U643" s="202" t="s">
        <v>7789</v>
      </c>
      <c r="V643" s="204">
        <v>3</v>
      </c>
      <c r="W643" s="203" t="s">
        <v>5104</v>
      </c>
      <c r="X643" s="204" t="s">
        <v>213</v>
      </c>
      <c r="Y643" s="206">
        <v>4000</v>
      </c>
      <c r="Z643" s="207">
        <v>30000</v>
      </c>
      <c r="AA643" s="207">
        <f t="shared" si="147"/>
        <v>46620000</v>
      </c>
      <c r="AB643" s="157">
        <v>30000</v>
      </c>
      <c r="AC643" s="158">
        <f t="shared" si="161"/>
        <v>30000</v>
      </c>
      <c r="AD643" s="159">
        <f t="shared" si="148"/>
        <v>0</v>
      </c>
      <c r="AE643" s="160"/>
      <c r="AF643" s="160">
        <f t="shared" si="149"/>
        <v>0</v>
      </c>
      <c r="AG643" s="165"/>
      <c r="AH643" s="161">
        <f t="shared" si="150"/>
        <v>0</v>
      </c>
      <c r="AI643" s="162"/>
      <c r="AJ643" s="162">
        <f t="shared" si="151"/>
        <v>0</v>
      </c>
      <c r="AK643" s="164"/>
      <c r="AL643" s="164">
        <f t="shared" si="152"/>
        <v>0</v>
      </c>
      <c r="AM643" s="165"/>
      <c r="AN643" s="165">
        <f t="shared" si="153"/>
        <v>0</v>
      </c>
      <c r="AO643" s="166">
        <v>0</v>
      </c>
      <c r="AP643" s="166">
        <f t="shared" si="154"/>
        <v>0</v>
      </c>
      <c r="AQ643" s="162"/>
      <c r="AR643" s="162">
        <f t="shared" si="155"/>
        <v>0</v>
      </c>
      <c r="AS643" s="173"/>
      <c r="AT643" s="167">
        <f t="shared" si="156"/>
        <v>0</v>
      </c>
      <c r="AU643" s="163"/>
      <c r="AV643" s="163">
        <f t="shared" si="157"/>
        <v>0</v>
      </c>
      <c r="AW643" s="168"/>
      <c r="AX643" s="168">
        <f t="shared" si="158"/>
        <v>0</v>
      </c>
      <c r="AY643" s="170"/>
      <c r="AZ643" s="170">
        <f t="shared" si="159"/>
        <v>0</v>
      </c>
      <c r="BA643" s="166"/>
      <c r="BB643" s="166">
        <f t="shared" si="160"/>
        <v>0</v>
      </c>
    </row>
    <row r="644" spans="1:54" s="131" customFormat="1" ht="31.5">
      <c r="A644" s="148" t="s">
        <v>7793</v>
      </c>
      <c r="B644" s="203" t="s">
        <v>1220</v>
      </c>
      <c r="C644" s="203"/>
      <c r="D644" s="203"/>
      <c r="E644" s="203" t="s">
        <v>7795</v>
      </c>
      <c r="F644" s="205" t="s">
        <v>7797</v>
      </c>
      <c r="G644" s="205" t="s">
        <v>7798</v>
      </c>
      <c r="H644" s="204" t="s">
        <v>267</v>
      </c>
      <c r="I644" s="204" t="s">
        <v>11</v>
      </c>
      <c r="J644" s="205" t="s">
        <v>7796</v>
      </c>
      <c r="K644" s="206">
        <v>287</v>
      </c>
      <c r="L644" s="206"/>
      <c r="M644" s="159">
        <f t="shared" ref="M644:M707" si="162">AE644+AG644+AI644+AK644+AM644+AO644+AQ644+AS644+AU644+AW644+AY644+BA644</f>
        <v>0</v>
      </c>
      <c r="N644" s="159"/>
      <c r="O644" s="159"/>
      <c r="P644" s="159"/>
      <c r="Q644" s="159"/>
      <c r="R644" s="159"/>
      <c r="S644" s="150" t="s">
        <v>5162</v>
      </c>
      <c r="T644" s="150" t="s">
        <v>5163</v>
      </c>
      <c r="U644" s="202" t="s">
        <v>7794</v>
      </c>
      <c r="V644" s="204">
        <v>3</v>
      </c>
      <c r="W644" s="203" t="s">
        <v>5104</v>
      </c>
      <c r="X644" s="204" t="s">
        <v>213</v>
      </c>
      <c r="Y644" s="206">
        <v>1350</v>
      </c>
      <c r="Z644" s="207">
        <v>50000</v>
      </c>
      <c r="AA644" s="207">
        <f t="shared" ref="AA644:AA707" si="163">Z644*K644</f>
        <v>14350000</v>
      </c>
      <c r="AB644" s="157">
        <v>50000</v>
      </c>
      <c r="AC644" s="158">
        <f t="shared" si="161"/>
        <v>50000</v>
      </c>
      <c r="AD644" s="159">
        <f t="shared" ref="AD644:AD707" si="164">M644*K644</f>
        <v>0</v>
      </c>
      <c r="AE644" s="160"/>
      <c r="AF644" s="160">
        <f t="shared" ref="AF644:AF707" si="165">AE644*K644</f>
        <v>0</v>
      </c>
      <c r="AG644" s="165"/>
      <c r="AH644" s="161">
        <f t="shared" ref="AH644:AH707" si="166">AG644*K644</f>
        <v>0</v>
      </c>
      <c r="AI644" s="162"/>
      <c r="AJ644" s="162">
        <f t="shared" ref="AJ644:AJ707" si="167">AI644*K644</f>
        <v>0</v>
      </c>
      <c r="AK644" s="164"/>
      <c r="AL644" s="164">
        <f t="shared" ref="AL644:AL707" si="168">AK644*K644</f>
        <v>0</v>
      </c>
      <c r="AM644" s="165"/>
      <c r="AN644" s="165">
        <f t="shared" ref="AN644:AN707" si="169">AM644*K644</f>
        <v>0</v>
      </c>
      <c r="AO644" s="166">
        <v>0</v>
      </c>
      <c r="AP644" s="166">
        <f t="shared" ref="AP644:AP707" si="170">AO644*K644</f>
        <v>0</v>
      </c>
      <c r="AQ644" s="162"/>
      <c r="AR644" s="162">
        <f t="shared" ref="AR644:AR707" si="171">AQ644*K644</f>
        <v>0</v>
      </c>
      <c r="AS644" s="173"/>
      <c r="AT644" s="167">
        <f t="shared" ref="AT644:AT707" si="172">AS644*K644</f>
        <v>0</v>
      </c>
      <c r="AU644" s="163"/>
      <c r="AV644" s="163">
        <f t="shared" ref="AV644:AV707" si="173">AU644*K644</f>
        <v>0</v>
      </c>
      <c r="AW644" s="168"/>
      <c r="AX644" s="168">
        <f t="shared" ref="AX644:AX707" si="174">AW644*K644</f>
        <v>0</v>
      </c>
      <c r="AY644" s="170"/>
      <c r="AZ644" s="170">
        <f t="shared" ref="AZ644:AZ707" si="175">AY644*K644</f>
        <v>0</v>
      </c>
      <c r="BA644" s="166"/>
      <c r="BB644" s="166">
        <f t="shared" ref="BB644:BB707" si="176">BA644*K644</f>
        <v>0</v>
      </c>
    </row>
    <row r="645" spans="1:54" s="131" customFormat="1" ht="31.5">
      <c r="A645" s="172" t="s">
        <v>7799</v>
      </c>
      <c r="B645" s="203" t="s">
        <v>855</v>
      </c>
      <c r="C645" s="203"/>
      <c r="D645" s="203"/>
      <c r="E645" s="203" t="s">
        <v>1374</v>
      </c>
      <c r="F645" s="205" t="s">
        <v>7800</v>
      </c>
      <c r="G645" s="205" t="s">
        <v>7001</v>
      </c>
      <c r="H645" s="204" t="s">
        <v>641</v>
      </c>
      <c r="I645" s="204" t="s">
        <v>11</v>
      </c>
      <c r="J645" s="205" t="s">
        <v>6767</v>
      </c>
      <c r="K645" s="206">
        <v>309</v>
      </c>
      <c r="L645" s="206"/>
      <c r="M645" s="159">
        <f t="shared" si="162"/>
        <v>19000</v>
      </c>
      <c r="N645" s="159"/>
      <c r="O645" s="159"/>
      <c r="P645" s="159"/>
      <c r="Q645" s="159"/>
      <c r="R645" s="159"/>
      <c r="S645" s="150" t="s">
        <v>360</v>
      </c>
      <c r="T645" s="150" t="s">
        <v>358</v>
      </c>
      <c r="U645" s="202" t="s">
        <v>4122</v>
      </c>
      <c r="V645" s="204">
        <v>3</v>
      </c>
      <c r="W645" s="203" t="s">
        <v>5104</v>
      </c>
      <c r="X645" s="204" t="s">
        <v>213</v>
      </c>
      <c r="Y645" s="206">
        <v>1100</v>
      </c>
      <c r="Z645" s="207">
        <v>100000</v>
      </c>
      <c r="AA645" s="207">
        <f t="shared" si="163"/>
        <v>30900000</v>
      </c>
      <c r="AB645" s="157">
        <v>100000</v>
      </c>
      <c r="AC645" s="158">
        <f t="shared" si="161"/>
        <v>81000</v>
      </c>
      <c r="AD645" s="159">
        <f t="shared" si="164"/>
        <v>5871000</v>
      </c>
      <c r="AE645" s="160"/>
      <c r="AF645" s="160">
        <f t="shared" si="165"/>
        <v>0</v>
      </c>
      <c r="AG645" s="165">
        <v>10000</v>
      </c>
      <c r="AH645" s="161">
        <f t="shared" si="166"/>
        <v>3090000</v>
      </c>
      <c r="AI645" s="162"/>
      <c r="AJ645" s="162">
        <f t="shared" si="167"/>
        <v>0</v>
      </c>
      <c r="AK645" s="164"/>
      <c r="AL645" s="164">
        <f t="shared" si="168"/>
        <v>0</v>
      </c>
      <c r="AM645" s="165">
        <v>9000</v>
      </c>
      <c r="AN645" s="165">
        <f t="shared" si="169"/>
        <v>2781000</v>
      </c>
      <c r="AO645" s="166">
        <v>0</v>
      </c>
      <c r="AP645" s="166">
        <f t="shared" si="170"/>
        <v>0</v>
      </c>
      <c r="AQ645" s="162"/>
      <c r="AR645" s="162">
        <f t="shared" si="171"/>
        <v>0</v>
      </c>
      <c r="AS645" s="173"/>
      <c r="AT645" s="167">
        <f t="shared" si="172"/>
        <v>0</v>
      </c>
      <c r="AU645" s="163"/>
      <c r="AV645" s="163">
        <f t="shared" si="173"/>
        <v>0</v>
      </c>
      <c r="AW645" s="168"/>
      <c r="AX645" s="168">
        <f t="shared" si="174"/>
        <v>0</v>
      </c>
      <c r="AY645" s="170"/>
      <c r="AZ645" s="170">
        <f t="shared" si="175"/>
        <v>0</v>
      </c>
      <c r="BA645" s="166"/>
      <c r="BB645" s="166">
        <f t="shared" si="176"/>
        <v>0</v>
      </c>
    </row>
    <row r="646" spans="1:54" s="131" customFormat="1" ht="31.5">
      <c r="A646" s="148" t="s">
        <v>7801</v>
      </c>
      <c r="B646" s="203" t="s">
        <v>855</v>
      </c>
      <c r="C646" s="203"/>
      <c r="D646" s="203"/>
      <c r="E646" s="203" t="s">
        <v>7804</v>
      </c>
      <c r="F646" s="205" t="s">
        <v>7805</v>
      </c>
      <c r="G646" s="205" t="s">
        <v>6996</v>
      </c>
      <c r="H646" s="204" t="s">
        <v>7803</v>
      </c>
      <c r="I646" s="204" t="s">
        <v>520</v>
      </c>
      <c r="J646" s="205" t="s">
        <v>6994</v>
      </c>
      <c r="K646" s="206">
        <v>3050</v>
      </c>
      <c r="L646" s="206"/>
      <c r="M646" s="159">
        <f t="shared" si="162"/>
        <v>0</v>
      </c>
      <c r="N646" s="159"/>
      <c r="O646" s="159"/>
      <c r="P646" s="159"/>
      <c r="Q646" s="159"/>
      <c r="R646" s="159"/>
      <c r="S646" s="149" t="s">
        <v>6224</v>
      </c>
      <c r="T646" s="149" t="s">
        <v>6225</v>
      </c>
      <c r="U646" s="202" t="s">
        <v>7802</v>
      </c>
      <c r="V646" s="204">
        <v>3</v>
      </c>
      <c r="W646" s="203" t="s">
        <v>5104</v>
      </c>
      <c r="X646" s="204" t="s">
        <v>213</v>
      </c>
      <c r="Y646" s="206">
        <v>4500</v>
      </c>
      <c r="Z646" s="207">
        <v>50000</v>
      </c>
      <c r="AA646" s="207">
        <f t="shared" si="163"/>
        <v>152500000</v>
      </c>
      <c r="AB646" s="157">
        <v>50000</v>
      </c>
      <c r="AC646" s="158">
        <f t="shared" si="161"/>
        <v>50000</v>
      </c>
      <c r="AD646" s="159">
        <f t="shared" si="164"/>
        <v>0</v>
      </c>
      <c r="AE646" s="160"/>
      <c r="AF646" s="160">
        <f t="shared" si="165"/>
        <v>0</v>
      </c>
      <c r="AG646" s="165"/>
      <c r="AH646" s="161">
        <f t="shared" si="166"/>
        <v>0</v>
      </c>
      <c r="AI646" s="162"/>
      <c r="AJ646" s="162">
        <f t="shared" si="167"/>
        <v>0</v>
      </c>
      <c r="AK646" s="164"/>
      <c r="AL646" s="164">
        <f t="shared" si="168"/>
        <v>0</v>
      </c>
      <c r="AM646" s="165"/>
      <c r="AN646" s="165">
        <f t="shared" si="169"/>
        <v>0</v>
      </c>
      <c r="AO646" s="166">
        <v>0</v>
      </c>
      <c r="AP646" s="166">
        <f t="shared" si="170"/>
        <v>0</v>
      </c>
      <c r="AQ646" s="162"/>
      <c r="AR646" s="162">
        <f t="shared" si="171"/>
        <v>0</v>
      </c>
      <c r="AS646" s="173"/>
      <c r="AT646" s="167">
        <f t="shared" si="172"/>
        <v>0</v>
      </c>
      <c r="AU646" s="163"/>
      <c r="AV646" s="163">
        <f t="shared" si="173"/>
        <v>0</v>
      </c>
      <c r="AW646" s="168"/>
      <c r="AX646" s="168">
        <f t="shared" si="174"/>
        <v>0</v>
      </c>
      <c r="AY646" s="170"/>
      <c r="AZ646" s="170">
        <f t="shared" si="175"/>
        <v>0</v>
      </c>
      <c r="BA646" s="166"/>
      <c r="BB646" s="166">
        <f t="shared" si="176"/>
        <v>0</v>
      </c>
    </row>
    <row r="647" spans="1:54" s="131" customFormat="1" ht="31.5">
      <c r="A647" s="148" t="s">
        <v>7806</v>
      </c>
      <c r="B647" s="203" t="s">
        <v>855</v>
      </c>
      <c r="C647" s="203"/>
      <c r="D647" s="203"/>
      <c r="E647" s="203" t="s">
        <v>855</v>
      </c>
      <c r="F647" s="205" t="s">
        <v>7807</v>
      </c>
      <c r="G647" s="205" t="s">
        <v>7001</v>
      </c>
      <c r="H647" s="204" t="s">
        <v>334</v>
      </c>
      <c r="I647" s="204" t="s">
        <v>11</v>
      </c>
      <c r="J647" s="205" t="s">
        <v>6999</v>
      </c>
      <c r="K647" s="206">
        <v>190</v>
      </c>
      <c r="L647" s="206"/>
      <c r="M647" s="159">
        <f t="shared" si="162"/>
        <v>19500</v>
      </c>
      <c r="N647" s="159"/>
      <c r="O647" s="159"/>
      <c r="P647" s="159"/>
      <c r="Q647" s="159"/>
      <c r="R647" s="159"/>
      <c r="S647" s="150" t="s">
        <v>360</v>
      </c>
      <c r="T647" s="150" t="s">
        <v>358</v>
      </c>
      <c r="U647" s="202" t="s">
        <v>4258</v>
      </c>
      <c r="V647" s="204">
        <v>3</v>
      </c>
      <c r="W647" s="203" t="s">
        <v>5104</v>
      </c>
      <c r="X647" s="204" t="s">
        <v>213</v>
      </c>
      <c r="Y647" s="206">
        <v>480</v>
      </c>
      <c r="Z647" s="207">
        <v>100000</v>
      </c>
      <c r="AA647" s="207">
        <f t="shared" si="163"/>
        <v>19000000</v>
      </c>
      <c r="AB647" s="157">
        <v>100000</v>
      </c>
      <c r="AC647" s="158">
        <f t="shared" si="161"/>
        <v>80500</v>
      </c>
      <c r="AD647" s="159">
        <f t="shared" si="164"/>
        <v>3705000</v>
      </c>
      <c r="AE647" s="160"/>
      <c r="AF647" s="160">
        <f t="shared" si="165"/>
        <v>0</v>
      </c>
      <c r="AG647" s="165">
        <v>11500</v>
      </c>
      <c r="AH647" s="161">
        <f t="shared" si="166"/>
        <v>2185000</v>
      </c>
      <c r="AI647" s="162"/>
      <c r="AJ647" s="162">
        <f t="shared" si="167"/>
        <v>0</v>
      </c>
      <c r="AK647" s="164"/>
      <c r="AL647" s="164">
        <f t="shared" si="168"/>
        <v>0</v>
      </c>
      <c r="AM647" s="165">
        <v>7000</v>
      </c>
      <c r="AN647" s="165">
        <f t="shared" si="169"/>
        <v>1330000</v>
      </c>
      <c r="AO647" s="166">
        <v>0</v>
      </c>
      <c r="AP647" s="166">
        <f t="shared" si="170"/>
        <v>0</v>
      </c>
      <c r="AQ647" s="162"/>
      <c r="AR647" s="162">
        <f t="shared" si="171"/>
        <v>0</v>
      </c>
      <c r="AS647" s="173">
        <v>1000</v>
      </c>
      <c r="AT647" s="167">
        <f t="shared" si="172"/>
        <v>190000</v>
      </c>
      <c r="AU647" s="163"/>
      <c r="AV647" s="163">
        <f t="shared" si="173"/>
        <v>0</v>
      </c>
      <c r="AW647" s="168"/>
      <c r="AX647" s="168">
        <f t="shared" si="174"/>
        <v>0</v>
      </c>
      <c r="AY647" s="170"/>
      <c r="AZ647" s="170">
        <f t="shared" si="175"/>
        <v>0</v>
      </c>
      <c r="BA647" s="166"/>
      <c r="BB647" s="166">
        <f t="shared" si="176"/>
        <v>0</v>
      </c>
    </row>
    <row r="648" spans="1:54" s="131" customFormat="1" ht="112.5">
      <c r="A648" s="172" t="s">
        <v>7808</v>
      </c>
      <c r="B648" s="203" t="s">
        <v>3888</v>
      </c>
      <c r="C648" s="203"/>
      <c r="D648" s="203"/>
      <c r="E648" s="203" t="s">
        <v>7810</v>
      </c>
      <c r="F648" s="205" t="s">
        <v>1059</v>
      </c>
      <c r="G648" s="205" t="s">
        <v>336</v>
      </c>
      <c r="H648" s="204" t="s">
        <v>7809</v>
      </c>
      <c r="I648" s="204" t="s">
        <v>15</v>
      </c>
      <c r="J648" s="205" t="s">
        <v>7811</v>
      </c>
      <c r="K648" s="206">
        <v>6300</v>
      </c>
      <c r="L648" s="206"/>
      <c r="M648" s="159">
        <f t="shared" si="162"/>
        <v>0</v>
      </c>
      <c r="N648" s="159"/>
      <c r="O648" s="159"/>
      <c r="P648" s="159"/>
      <c r="Q648" s="159"/>
      <c r="R648" s="159"/>
      <c r="S648" s="209" t="s">
        <v>5848</v>
      </c>
      <c r="T648" s="203" t="s">
        <v>5849</v>
      </c>
      <c r="U648" s="202" t="s">
        <v>3887</v>
      </c>
      <c r="V648" s="204">
        <v>3</v>
      </c>
      <c r="W648" s="203" t="s">
        <v>253</v>
      </c>
      <c r="X648" s="204" t="s">
        <v>213</v>
      </c>
      <c r="Y648" s="206">
        <v>6500</v>
      </c>
      <c r="Z648" s="207">
        <v>2000</v>
      </c>
      <c r="AA648" s="207">
        <f t="shared" si="163"/>
        <v>12600000</v>
      </c>
      <c r="AB648" s="157">
        <v>2000</v>
      </c>
      <c r="AC648" s="158">
        <f t="shared" si="161"/>
        <v>2000</v>
      </c>
      <c r="AD648" s="159">
        <f t="shared" si="164"/>
        <v>0</v>
      </c>
      <c r="AE648" s="160"/>
      <c r="AF648" s="160">
        <f t="shared" si="165"/>
        <v>0</v>
      </c>
      <c r="AG648" s="165"/>
      <c r="AH648" s="161">
        <f t="shared" si="166"/>
        <v>0</v>
      </c>
      <c r="AI648" s="162"/>
      <c r="AJ648" s="162">
        <f t="shared" si="167"/>
        <v>0</v>
      </c>
      <c r="AK648" s="164"/>
      <c r="AL648" s="164">
        <f t="shared" si="168"/>
        <v>0</v>
      </c>
      <c r="AM648" s="165"/>
      <c r="AN648" s="165">
        <f t="shared" si="169"/>
        <v>0</v>
      </c>
      <c r="AO648" s="166">
        <v>0</v>
      </c>
      <c r="AP648" s="166">
        <f t="shared" si="170"/>
        <v>0</v>
      </c>
      <c r="AQ648" s="162"/>
      <c r="AR648" s="162">
        <f t="shared" si="171"/>
        <v>0</v>
      </c>
      <c r="AS648" s="173"/>
      <c r="AT648" s="167">
        <f t="shared" si="172"/>
        <v>0</v>
      </c>
      <c r="AU648" s="163"/>
      <c r="AV648" s="163">
        <f t="shared" si="173"/>
        <v>0</v>
      </c>
      <c r="AW648" s="168"/>
      <c r="AX648" s="168">
        <f t="shared" si="174"/>
        <v>0</v>
      </c>
      <c r="AY648" s="170"/>
      <c r="AZ648" s="170">
        <f t="shared" si="175"/>
        <v>0</v>
      </c>
      <c r="BA648" s="166"/>
      <c r="BB648" s="166">
        <f t="shared" si="176"/>
        <v>0</v>
      </c>
    </row>
    <row r="649" spans="1:54" s="131" customFormat="1" ht="31.5">
      <c r="A649" s="148" t="s">
        <v>7812</v>
      </c>
      <c r="B649" s="203" t="s">
        <v>544</v>
      </c>
      <c r="C649" s="203"/>
      <c r="D649" s="203"/>
      <c r="E649" s="203" t="s">
        <v>544</v>
      </c>
      <c r="F649" s="205" t="s">
        <v>7813</v>
      </c>
      <c r="G649" s="205" t="s">
        <v>7001</v>
      </c>
      <c r="H649" s="204" t="s">
        <v>546</v>
      </c>
      <c r="I649" s="204" t="s">
        <v>11</v>
      </c>
      <c r="J649" s="205" t="s">
        <v>6709</v>
      </c>
      <c r="K649" s="206">
        <v>252</v>
      </c>
      <c r="L649" s="206"/>
      <c r="M649" s="159">
        <f t="shared" si="162"/>
        <v>1000</v>
      </c>
      <c r="N649" s="159"/>
      <c r="O649" s="159"/>
      <c r="P649" s="159"/>
      <c r="Q649" s="159"/>
      <c r="R649" s="159"/>
      <c r="S649" s="150" t="s">
        <v>360</v>
      </c>
      <c r="T649" s="150" t="s">
        <v>358</v>
      </c>
      <c r="U649" s="202" t="s">
        <v>3876</v>
      </c>
      <c r="V649" s="204">
        <v>3</v>
      </c>
      <c r="W649" s="203" t="s">
        <v>5104</v>
      </c>
      <c r="X649" s="204" t="s">
        <v>213</v>
      </c>
      <c r="Y649" s="206">
        <v>500</v>
      </c>
      <c r="Z649" s="207">
        <v>10000</v>
      </c>
      <c r="AA649" s="207">
        <f t="shared" si="163"/>
        <v>2520000</v>
      </c>
      <c r="AB649" s="157">
        <v>10000</v>
      </c>
      <c r="AC649" s="158">
        <f t="shared" si="161"/>
        <v>9000</v>
      </c>
      <c r="AD649" s="159">
        <f t="shared" si="164"/>
        <v>252000</v>
      </c>
      <c r="AE649" s="160"/>
      <c r="AF649" s="160">
        <f t="shared" si="165"/>
        <v>0</v>
      </c>
      <c r="AG649" s="161">
        <v>1000</v>
      </c>
      <c r="AH649" s="161">
        <f t="shared" si="166"/>
        <v>252000</v>
      </c>
      <c r="AI649" s="162"/>
      <c r="AJ649" s="162">
        <f t="shared" si="167"/>
        <v>0</v>
      </c>
      <c r="AK649" s="164"/>
      <c r="AL649" s="164">
        <f t="shared" si="168"/>
        <v>0</v>
      </c>
      <c r="AM649" s="165"/>
      <c r="AN649" s="165">
        <f t="shared" si="169"/>
        <v>0</v>
      </c>
      <c r="AO649" s="166">
        <v>0</v>
      </c>
      <c r="AP649" s="166">
        <f t="shared" si="170"/>
        <v>0</v>
      </c>
      <c r="AQ649" s="162"/>
      <c r="AR649" s="162">
        <f t="shared" si="171"/>
        <v>0</v>
      </c>
      <c r="AS649" s="167"/>
      <c r="AT649" s="167">
        <f t="shared" si="172"/>
        <v>0</v>
      </c>
      <c r="AU649" s="163"/>
      <c r="AV649" s="163">
        <f t="shared" si="173"/>
        <v>0</v>
      </c>
      <c r="AW649" s="168"/>
      <c r="AX649" s="168">
        <f t="shared" si="174"/>
        <v>0</v>
      </c>
      <c r="AY649" s="170"/>
      <c r="AZ649" s="170">
        <f t="shared" si="175"/>
        <v>0</v>
      </c>
      <c r="BA649" s="166"/>
      <c r="BB649" s="166">
        <f t="shared" si="176"/>
        <v>0</v>
      </c>
    </row>
    <row r="650" spans="1:54" s="131" customFormat="1" ht="47.25">
      <c r="A650" s="148" t="s">
        <v>7814</v>
      </c>
      <c r="B650" s="203" t="s">
        <v>7817</v>
      </c>
      <c r="C650" s="203"/>
      <c r="D650" s="203"/>
      <c r="E650" s="203" t="s">
        <v>7819</v>
      </c>
      <c r="F650" s="205" t="s">
        <v>7821</v>
      </c>
      <c r="G650" s="205" t="s">
        <v>7822</v>
      </c>
      <c r="H650" s="204" t="s">
        <v>7818</v>
      </c>
      <c r="I650" s="204" t="s">
        <v>5639</v>
      </c>
      <c r="J650" s="205" t="s">
        <v>7820</v>
      </c>
      <c r="K650" s="206">
        <v>1370</v>
      </c>
      <c r="L650" s="206"/>
      <c r="M650" s="159">
        <f t="shared" si="162"/>
        <v>500</v>
      </c>
      <c r="N650" s="159"/>
      <c r="O650" s="159"/>
      <c r="P650" s="159"/>
      <c r="Q650" s="159"/>
      <c r="R650" s="159"/>
      <c r="S650" s="149" t="s">
        <v>2337</v>
      </c>
      <c r="T650" s="149" t="s">
        <v>7815</v>
      </c>
      <c r="U650" s="202" t="s">
        <v>7816</v>
      </c>
      <c r="V650" s="204">
        <v>3</v>
      </c>
      <c r="W650" s="203" t="s">
        <v>5104</v>
      </c>
      <c r="X650" s="204" t="s">
        <v>213</v>
      </c>
      <c r="Y650" s="206">
        <v>2320</v>
      </c>
      <c r="Z650" s="207">
        <v>10000</v>
      </c>
      <c r="AA650" s="207">
        <f t="shared" si="163"/>
        <v>13700000</v>
      </c>
      <c r="AB650" s="157">
        <v>10000</v>
      </c>
      <c r="AC650" s="158">
        <f t="shared" si="161"/>
        <v>9500</v>
      </c>
      <c r="AD650" s="159">
        <f t="shared" si="164"/>
        <v>685000</v>
      </c>
      <c r="AE650" s="160"/>
      <c r="AF650" s="160">
        <f t="shared" si="165"/>
        <v>0</v>
      </c>
      <c r="AG650" s="165"/>
      <c r="AH650" s="161">
        <f t="shared" si="166"/>
        <v>0</v>
      </c>
      <c r="AI650" s="162"/>
      <c r="AJ650" s="162">
        <f t="shared" si="167"/>
        <v>0</v>
      </c>
      <c r="AK650" s="164"/>
      <c r="AL650" s="164">
        <f t="shared" si="168"/>
        <v>0</v>
      </c>
      <c r="AM650" s="165">
        <v>500</v>
      </c>
      <c r="AN650" s="165">
        <f t="shared" si="169"/>
        <v>685000</v>
      </c>
      <c r="AO650" s="166">
        <v>0</v>
      </c>
      <c r="AP650" s="166">
        <f t="shared" si="170"/>
        <v>0</v>
      </c>
      <c r="AQ650" s="162"/>
      <c r="AR650" s="162">
        <f t="shared" si="171"/>
        <v>0</v>
      </c>
      <c r="AS650" s="173"/>
      <c r="AT650" s="167">
        <f t="shared" si="172"/>
        <v>0</v>
      </c>
      <c r="AU650" s="163"/>
      <c r="AV650" s="163">
        <f t="shared" si="173"/>
        <v>0</v>
      </c>
      <c r="AW650" s="168"/>
      <c r="AX650" s="168">
        <f t="shared" si="174"/>
        <v>0</v>
      </c>
      <c r="AY650" s="170"/>
      <c r="AZ650" s="170">
        <f t="shared" si="175"/>
        <v>0</v>
      </c>
      <c r="BA650" s="166"/>
      <c r="BB650" s="166">
        <f t="shared" si="176"/>
        <v>0</v>
      </c>
    </row>
    <row r="651" spans="1:54" s="131" customFormat="1" ht="31.5">
      <c r="A651" s="172" t="s">
        <v>7823</v>
      </c>
      <c r="B651" s="203" t="s">
        <v>1167</v>
      </c>
      <c r="C651" s="203"/>
      <c r="D651" s="203"/>
      <c r="E651" s="203" t="s">
        <v>1168</v>
      </c>
      <c r="F651" s="205" t="s">
        <v>7825</v>
      </c>
      <c r="G651" s="205" t="s">
        <v>7674</v>
      </c>
      <c r="H651" s="204" t="s">
        <v>258</v>
      </c>
      <c r="I651" s="204" t="s">
        <v>11</v>
      </c>
      <c r="J651" s="205" t="s">
        <v>7824</v>
      </c>
      <c r="K651" s="206">
        <v>3990</v>
      </c>
      <c r="L651" s="206"/>
      <c r="M651" s="159">
        <f t="shared" si="162"/>
        <v>3000</v>
      </c>
      <c r="N651" s="159"/>
      <c r="O651" s="159"/>
      <c r="P651" s="159"/>
      <c r="Q651" s="159"/>
      <c r="R651" s="159"/>
      <c r="S651" s="149" t="s">
        <v>5669</v>
      </c>
      <c r="T651" s="149" t="s">
        <v>5670</v>
      </c>
      <c r="U651" s="202" t="s">
        <v>4298</v>
      </c>
      <c r="V651" s="204">
        <v>3</v>
      </c>
      <c r="W651" s="203" t="s">
        <v>5104</v>
      </c>
      <c r="X651" s="204" t="s">
        <v>213</v>
      </c>
      <c r="Y651" s="206">
        <v>7000</v>
      </c>
      <c r="Z651" s="207">
        <v>10000</v>
      </c>
      <c r="AA651" s="207">
        <f t="shared" si="163"/>
        <v>39900000</v>
      </c>
      <c r="AB651" s="157">
        <v>10000</v>
      </c>
      <c r="AC651" s="158">
        <f t="shared" si="161"/>
        <v>7000</v>
      </c>
      <c r="AD651" s="159">
        <f t="shared" si="164"/>
        <v>11970000</v>
      </c>
      <c r="AE651" s="160"/>
      <c r="AF651" s="160">
        <f t="shared" si="165"/>
        <v>0</v>
      </c>
      <c r="AG651" s="165"/>
      <c r="AH651" s="161">
        <f t="shared" si="166"/>
        <v>0</v>
      </c>
      <c r="AI651" s="162"/>
      <c r="AJ651" s="162">
        <f t="shared" si="167"/>
        <v>0</v>
      </c>
      <c r="AK651" s="164"/>
      <c r="AL651" s="164">
        <f t="shared" si="168"/>
        <v>0</v>
      </c>
      <c r="AM651" s="165"/>
      <c r="AN651" s="165">
        <f t="shared" si="169"/>
        <v>0</v>
      </c>
      <c r="AO651" s="166">
        <v>3000</v>
      </c>
      <c r="AP651" s="166">
        <f t="shared" si="170"/>
        <v>11970000</v>
      </c>
      <c r="AQ651" s="162"/>
      <c r="AR651" s="162">
        <f t="shared" si="171"/>
        <v>0</v>
      </c>
      <c r="AS651" s="173"/>
      <c r="AT651" s="167">
        <f t="shared" si="172"/>
        <v>0</v>
      </c>
      <c r="AU651" s="163"/>
      <c r="AV651" s="163">
        <f t="shared" si="173"/>
        <v>0</v>
      </c>
      <c r="AW651" s="168"/>
      <c r="AX651" s="168">
        <f t="shared" si="174"/>
        <v>0</v>
      </c>
      <c r="AY651" s="170"/>
      <c r="AZ651" s="170">
        <f t="shared" si="175"/>
        <v>0</v>
      </c>
      <c r="BA651" s="166"/>
      <c r="BB651" s="166">
        <f t="shared" si="176"/>
        <v>0</v>
      </c>
    </row>
    <row r="652" spans="1:54" s="131" customFormat="1" ht="31.5">
      <c r="A652" s="148" t="s">
        <v>7826</v>
      </c>
      <c r="B652" s="203" t="s">
        <v>729</v>
      </c>
      <c r="C652" s="203"/>
      <c r="D652" s="203"/>
      <c r="E652" s="203" t="s">
        <v>729</v>
      </c>
      <c r="F652" s="205" t="s">
        <v>7827</v>
      </c>
      <c r="G652" s="205" t="s">
        <v>7001</v>
      </c>
      <c r="H652" s="204" t="s">
        <v>225</v>
      </c>
      <c r="I652" s="204" t="s">
        <v>11</v>
      </c>
      <c r="J652" s="205" t="s">
        <v>6767</v>
      </c>
      <c r="K652" s="206">
        <v>225</v>
      </c>
      <c r="L652" s="206"/>
      <c r="M652" s="159">
        <f t="shared" si="162"/>
        <v>0</v>
      </c>
      <c r="N652" s="159"/>
      <c r="O652" s="159"/>
      <c r="P652" s="159"/>
      <c r="Q652" s="159"/>
      <c r="R652" s="159"/>
      <c r="S652" s="150" t="s">
        <v>360</v>
      </c>
      <c r="T652" s="150" t="s">
        <v>358</v>
      </c>
      <c r="U652" s="202" t="s">
        <v>4075</v>
      </c>
      <c r="V652" s="204">
        <v>3</v>
      </c>
      <c r="W652" s="203" t="s">
        <v>5104</v>
      </c>
      <c r="X652" s="204" t="s">
        <v>213</v>
      </c>
      <c r="Y652" s="206">
        <v>1500</v>
      </c>
      <c r="Z652" s="207">
        <v>70000</v>
      </c>
      <c r="AA652" s="207">
        <f t="shared" si="163"/>
        <v>15750000</v>
      </c>
      <c r="AB652" s="157">
        <v>70000</v>
      </c>
      <c r="AC652" s="158">
        <f t="shared" si="161"/>
        <v>70000</v>
      </c>
      <c r="AD652" s="159">
        <f t="shared" si="164"/>
        <v>0</v>
      </c>
      <c r="AE652" s="160"/>
      <c r="AF652" s="160">
        <f t="shared" si="165"/>
        <v>0</v>
      </c>
      <c r="AG652" s="161"/>
      <c r="AH652" s="161">
        <f t="shared" si="166"/>
        <v>0</v>
      </c>
      <c r="AI652" s="162"/>
      <c r="AJ652" s="162">
        <f t="shared" si="167"/>
        <v>0</v>
      </c>
      <c r="AK652" s="164"/>
      <c r="AL652" s="164">
        <f t="shared" si="168"/>
        <v>0</v>
      </c>
      <c r="AM652" s="165"/>
      <c r="AN652" s="165">
        <f t="shared" si="169"/>
        <v>0</v>
      </c>
      <c r="AO652" s="166">
        <v>0</v>
      </c>
      <c r="AP652" s="166">
        <f t="shared" si="170"/>
        <v>0</v>
      </c>
      <c r="AQ652" s="162"/>
      <c r="AR652" s="162">
        <f t="shared" si="171"/>
        <v>0</v>
      </c>
      <c r="AS652" s="167"/>
      <c r="AT652" s="167">
        <f t="shared" si="172"/>
        <v>0</v>
      </c>
      <c r="AU652" s="163"/>
      <c r="AV652" s="163">
        <f t="shared" si="173"/>
        <v>0</v>
      </c>
      <c r="AW652" s="168"/>
      <c r="AX652" s="168">
        <f t="shared" si="174"/>
        <v>0</v>
      </c>
      <c r="AY652" s="170"/>
      <c r="AZ652" s="170">
        <f t="shared" si="175"/>
        <v>0</v>
      </c>
      <c r="BA652" s="166"/>
      <c r="BB652" s="166">
        <f t="shared" si="176"/>
        <v>0</v>
      </c>
    </row>
    <row r="653" spans="1:54" s="131" customFormat="1" ht="31.5">
      <c r="A653" s="148" t="s">
        <v>7828</v>
      </c>
      <c r="B653" s="203" t="s">
        <v>729</v>
      </c>
      <c r="C653" s="203"/>
      <c r="D653" s="203"/>
      <c r="E653" s="203" t="s">
        <v>4419</v>
      </c>
      <c r="F653" s="205" t="s">
        <v>7829</v>
      </c>
      <c r="G653" s="205" t="s">
        <v>2385</v>
      </c>
      <c r="H653" s="204" t="s">
        <v>17</v>
      </c>
      <c r="I653" s="204" t="s">
        <v>11</v>
      </c>
      <c r="J653" s="205" t="s">
        <v>7131</v>
      </c>
      <c r="K653" s="206">
        <v>443</v>
      </c>
      <c r="L653" s="206"/>
      <c r="M653" s="159">
        <f t="shared" si="162"/>
        <v>10000</v>
      </c>
      <c r="N653" s="159"/>
      <c r="O653" s="159"/>
      <c r="P653" s="159"/>
      <c r="Q653" s="159"/>
      <c r="R653" s="159"/>
      <c r="S653" s="149" t="s">
        <v>2385</v>
      </c>
      <c r="T653" s="150" t="s">
        <v>2380</v>
      </c>
      <c r="U653" s="202" t="s">
        <v>4418</v>
      </c>
      <c r="V653" s="204">
        <v>3</v>
      </c>
      <c r="W653" s="203" t="s">
        <v>5104</v>
      </c>
      <c r="X653" s="204" t="s">
        <v>213</v>
      </c>
      <c r="Y653" s="206">
        <v>900</v>
      </c>
      <c r="Z653" s="207">
        <v>100000</v>
      </c>
      <c r="AA653" s="207">
        <f t="shared" si="163"/>
        <v>44300000</v>
      </c>
      <c r="AB653" s="157">
        <v>100000</v>
      </c>
      <c r="AC653" s="158">
        <f t="shared" si="161"/>
        <v>90000</v>
      </c>
      <c r="AD653" s="159">
        <f t="shared" si="164"/>
        <v>4430000</v>
      </c>
      <c r="AE653" s="160"/>
      <c r="AF653" s="160">
        <f t="shared" si="165"/>
        <v>0</v>
      </c>
      <c r="AG653" s="165"/>
      <c r="AH653" s="161">
        <f t="shared" si="166"/>
        <v>0</v>
      </c>
      <c r="AI653" s="162"/>
      <c r="AJ653" s="162">
        <f t="shared" si="167"/>
        <v>0</v>
      </c>
      <c r="AK653" s="164"/>
      <c r="AL653" s="164">
        <f t="shared" si="168"/>
        <v>0</v>
      </c>
      <c r="AM653" s="165"/>
      <c r="AN653" s="165">
        <f t="shared" si="169"/>
        <v>0</v>
      </c>
      <c r="AO653" s="166">
        <v>0</v>
      </c>
      <c r="AP653" s="166">
        <f t="shared" si="170"/>
        <v>0</v>
      </c>
      <c r="AQ653" s="162"/>
      <c r="AR653" s="162">
        <f t="shared" si="171"/>
        <v>0</v>
      </c>
      <c r="AS653" s="173">
        <v>10000</v>
      </c>
      <c r="AT653" s="167">
        <f t="shared" si="172"/>
        <v>4430000</v>
      </c>
      <c r="AU653" s="163"/>
      <c r="AV653" s="163">
        <f t="shared" si="173"/>
        <v>0</v>
      </c>
      <c r="AW653" s="168"/>
      <c r="AX653" s="168">
        <f t="shared" si="174"/>
        <v>0</v>
      </c>
      <c r="AY653" s="170"/>
      <c r="AZ653" s="170">
        <f t="shared" si="175"/>
        <v>0</v>
      </c>
      <c r="BA653" s="166"/>
      <c r="BB653" s="166">
        <f t="shared" si="176"/>
        <v>0</v>
      </c>
    </row>
    <row r="654" spans="1:54" s="131" customFormat="1">
      <c r="A654" s="172" t="s">
        <v>7830</v>
      </c>
      <c r="B654" s="203" t="s">
        <v>729</v>
      </c>
      <c r="C654" s="203"/>
      <c r="D654" s="203"/>
      <c r="E654" s="203" t="s">
        <v>7833</v>
      </c>
      <c r="F654" s="205" t="s">
        <v>7835</v>
      </c>
      <c r="G654" s="205" t="s">
        <v>7353</v>
      </c>
      <c r="H654" s="204" t="s">
        <v>7832</v>
      </c>
      <c r="I654" s="204" t="s">
        <v>11</v>
      </c>
      <c r="J654" s="205" t="s">
        <v>7834</v>
      </c>
      <c r="K654" s="206">
        <v>4000</v>
      </c>
      <c r="L654" s="206"/>
      <c r="M654" s="159">
        <f t="shared" si="162"/>
        <v>0</v>
      </c>
      <c r="N654" s="159"/>
      <c r="O654" s="159"/>
      <c r="P654" s="159"/>
      <c r="Q654" s="159"/>
      <c r="R654" s="159"/>
      <c r="S654" s="149" t="s">
        <v>7346</v>
      </c>
      <c r="T654" s="149" t="s">
        <v>7347</v>
      </c>
      <c r="U654" s="202" t="s">
        <v>7831</v>
      </c>
      <c r="V654" s="204">
        <v>3</v>
      </c>
      <c r="W654" s="203" t="s">
        <v>7151</v>
      </c>
      <c r="X654" s="204" t="s">
        <v>213</v>
      </c>
      <c r="Y654" s="206">
        <v>6000</v>
      </c>
      <c r="Z654" s="207">
        <v>20000</v>
      </c>
      <c r="AA654" s="207">
        <f t="shared" si="163"/>
        <v>80000000</v>
      </c>
      <c r="AB654" s="157">
        <v>20000</v>
      </c>
      <c r="AC654" s="158">
        <f t="shared" si="161"/>
        <v>20000</v>
      </c>
      <c r="AD654" s="159">
        <f t="shared" si="164"/>
        <v>0</v>
      </c>
      <c r="AE654" s="160"/>
      <c r="AF654" s="160">
        <f t="shared" si="165"/>
        <v>0</v>
      </c>
      <c r="AG654" s="165"/>
      <c r="AH654" s="161">
        <f t="shared" si="166"/>
        <v>0</v>
      </c>
      <c r="AI654" s="162"/>
      <c r="AJ654" s="162">
        <f t="shared" si="167"/>
        <v>0</v>
      </c>
      <c r="AK654" s="164"/>
      <c r="AL654" s="164">
        <f t="shared" si="168"/>
        <v>0</v>
      </c>
      <c r="AM654" s="165"/>
      <c r="AN654" s="165">
        <f t="shared" si="169"/>
        <v>0</v>
      </c>
      <c r="AO654" s="166">
        <v>0</v>
      </c>
      <c r="AP654" s="166">
        <f t="shared" si="170"/>
        <v>0</v>
      </c>
      <c r="AQ654" s="162"/>
      <c r="AR654" s="162">
        <f t="shared" si="171"/>
        <v>0</v>
      </c>
      <c r="AS654" s="173"/>
      <c r="AT654" s="167">
        <f t="shared" si="172"/>
        <v>0</v>
      </c>
      <c r="AU654" s="163"/>
      <c r="AV654" s="163">
        <f t="shared" si="173"/>
        <v>0</v>
      </c>
      <c r="AW654" s="168"/>
      <c r="AX654" s="168">
        <f t="shared" si="174"/>
        <v>0</v>
      </c>
      <c r="AY654" s="170"/>
      <c r="AZ654" s="170">
        <f t="shared" si="175"/>
        <v>0</v>
      </c>
      <c r="BA654" s="166"/>
      <c r="BB654" s="166">
        <f t="shared" si="176"/>
        <v>0</v>
      </c>
    </row>
    <row r="655" spans="1:54" s="131" customFormat="1" ht="47.25">
      <c r="A655" s="148" t="s">
        <v>7836</v>
      </c>
      <c r="B655" s="203" t="s">
        <v>7838</v>
      </c>
      <c r="C655" s="203"/>
      <c r="D655" s="203"/>
      <c r="E655" s="203" t="s">
        <v>7840</v>
      </c>
      <c r="F655" s="205" t="s">
        <v>7842</v>
      </c>
      <c r="G655" s="205" t="s">
        <v>7822</v>
      </c>
      <c r="H655" s="204" t="s">
        <v>7839</v>
      </c>
      <c r="I655" s="204" t="s">
        <v>5639</v>
      </c>
      <c r="J655" s="205" t="s">
        <v>7841</v>
      </c>
      <c r="K655" s="206">
        <v>2310</v>
      </c>
      <c r="L655" s="206"/>
      <c r="M655" s="159">
        <f t="shared" si="162"/>
        <v>300</v>
      </c>
      <c r="N655" s="159"/>
      <c r="O655" s="159"/>
      <c r="P655" s="159"/>
      <c r="Q655" s="159"/>
      <c r="R655" s="159"/>
      <c r="S655" s="149" t="s">
        <v>2337</v>
      </c>
      <c r="T655" s="149" t="s">
        <v>7815</v>
      </c>
      <c r="U655" s="202" t="s">
        <v>7837</v>
      </c>
      <c r="V655" s="204">
        <v>3</v>
      </c>
      <c r="W655" s="203" t="s">
        <v>5104</v>
      </c>
      <c r="X655" s="204" t="s">
        <v>213</v>
      </c>
      <c r="Y655" s="206">
        <v>3885</v>
      </c>
      <c r="Z655" s="207">
        <v>10000</v>
      </c>
      <c r="AA655" s="207">
        <f t="shared" si="163"/>
        <v>23100000</v>
      </c>
      <c r="AB655" s="157">
        <v>10000</v>
      </c>
      <c r="AC655" s="158">
        <f t="shared" si="161"/>
        <v>9700</v>
      </c>
      <c r="AD655" s="159">
        <f t="shared" si="164"/>
        <v>693000</v>
      </c>
      <c r="AE655" s="160"/>
      <c r="AF655" s="160">
        <f t="shared" si="165"/>
        <v>0</v>
      </c>
      <c r="AG655" s="165"/>
      <c r="AH655" s="161">
        <f t="shared" si="166"/>
        <v>0</v>
      </c>
      <c r="AI655" s="162"/>
      <c r="AJ655" s="162">
        <f t="shared" si="167"/>
        <v>0</v>
      </c>
      <c r="AK655" s="164"/>
      <c r="AL655" s="164">
        <f t="shared" si="168"/>
        <v>0</v>
      </c>
      <c r="AM655" s="165">
        <v>300</v>
      </c>
      <c r="AN655" s="165">
        <f t="shared" si="169"/>
        <v>693000</v>
      </c>
      <c r="AO655" s="166">
        <v>0</v>
      </c>
      <c r="AP655" s="166">
        <f t="shared" si="170"/>
        <v>0</v>
      </c>
      <c r="AQ655" s="162"/>
      <c r="AR655" s="162">
        <f t="shared" si="171"/>
        <v>0</v>
      </c>
      <c r="AS655" s="173"/>
      <c r="AT655" s="167">
        <f t="shared" si="172"/>
        <v>0</v>
      </c>
      <c r="AU655" s="163"/>
      <c r="AV655" s="163">
        <f t="shared" si="173"/>
        <v>0</v>
      </c>
      <c r="AW655" s="168"/>
      <c r="AX655" s="168">
        <f t="shared" si="174"/>
        <v>0</v>
      </c>
      <c r="AY655" s="170"/>
      <c r="AZ655" s="170">
        <f t="shared" si="175"/>
        <v>0</v>
      </c>
      <c r="BA655" s="166"/>
      <c r="BB655" s="166">
        <f t="shared" si="176"/>
        <v>0</v>
      </c>
    </row>
    <row r="656" spans="1:54" s="131" customFormat="1" ht="31.5">
      <c r="A656" s="148" t="s">
        <v>7843</v>
      </c>
      <c r="B656" s="203" t="s">
        <v>870</v>
      </c>
      <c r="C656" s="203"/>
      <c r="D656" s="203"/>
      <c r="E656" s="203" t="s">
        <v>7846</v>
      </c>
      <c r="F656" s="205" t="s">
        <v>7848</v>
      </c>
      <c r="G656" s="205" t="s">
        <v>867</v>
      </c>
      <c r="H656" s="204" t="s">
        <v>7845</v>
      </c>
      <c r="I656" s="204" t="s">
        <v>658</v>
      </c>
      <c r="J656" s="205" t="s">
        <v>7847</v>
      </c>
      <c r="K656" s="206">
        <v>3150</v>
      </c>
      <c r="L656" s="206"/>
      <c r="M656" s="159">
        <f t="shared" si="162"/>
        <v>200</v>
      </c>
      <c r="N656" s="159"/>
      <c r="O656" s="159"/>
      <c r="P656" s="159"/>
      <c r="Q656" s="159"/>
      <c r="R656" s="159"/>
      <c r="S656" s="150" t="s">
        <v>7727</v>
      </c>
      <c r="T656" s="149" t="s">
        <v>863</v>
      </c>
      <c r="U656" s="202" t="s">
        <v>7844</v>
      </c>
      <c r="V656" s="204">
        <v>3</v>
      </c>
      <c r="W656" s="203" t="s">
        <v>253</v>
      </c>
      <c r="X656" s="204" t="s">
        <v>213</v>
      </c>
      <c r="Y656" s="206">
        <v>8200</v>
      </c>
      <c r="Z656" s="207">
        <v>10000</v>
      </c>
      <c r="AA656" s="207">
        <f t="shared" si="163"/>
        <v>31500000</v>
      </c>
      <c r="AB656" s="157">
        <v>10000</v>
      </c>
      <c r="AC656" s="158">
        <f t="shared" si="161"/>
        <v>9800</v>
      </c>
      <c r="AD656" s="159">
        <f t="shared" si="164"/>
        <v>630000</v>
      </c>
      <c r="AE656" s="160"/>
      <c r="AF656" s="160">
        <f t="shared" si="165"/>
        <v>0</v>
      </c>
      <c r="AG656" s="165"/>
      <c r="AH656" s="161">
        <f t="shared" si="166"/>
        <v>0</v>
      </c>
      <c r="AI656" s="162"/>
      <c r="AJ656" s="162">
        <f t="shared" si="167"/>
        <v>0</v>
      </c>
      <c r="AK656" s="164"/>
      <c r="AL656" s="164">
        <f t="shared" si="168"/>
        <v>0</v>
      </c>
      <c r="AM656" s="165">
        <v>200</v>
      </c>
      <c r="AN656" s="165">
        <f t="shared" si="169"/>
        <v>630000</v>
      </c>
      <c r="AO656" s="166">
        <v>0</v>
      </c>
      <c r="AP656" s="166">
        <f t="shared" si="170"/>
        <v>0</v>
      </c>
      <c r="AQ656" s="162"/>
      <c r="AR656" s="162">
        <f t="shared" si="171"/>
        <v>0</v>
      </c>
      <c r="AS656" s="173"/>
      <c r="AT656" s="167">
        <f t="shared" si="172"/>
        <v>0</v>
      </c>
      <c r="AU656" s="163"/>
      <c r="AV656" s="163">
        <f t="shared" si="173"/>
        <v>0</v>
      </c>
      <c r="AW656" s="168"/>
      <c r="AX656" s="168">
        <f t="shared" si="174"/>
        <v>0</v>
      </c>
      <c r="AY656" s="170"/>
      <c r="AZ656" s="170">
        <f t="shared" si="175"/>
        <v>0</v>
      </c>
      <c r="BA656" s="166"/>
      <c r="BB656" s="166">
        <f t="shared" si="176"/>
        <v>0</v>
      </c>
    </row>
    <row r="657" spans="1:54" s="131" customFormat="1" ht="31.5">
      <c r="A657" s="172" t="s">
        <v>7849</v>
      </c>
      <c r="B657" s="203" t="s">
        <v>870</v>
      </c>
      <c r="C657" s="203"/>
      <c r="D657" s="203"/>
      <c r="E657" s="203" t="s">
        <v>7851</v>
      </c>
      <c r="F657" s="205" t="s">
        <v>7853</v>
      </c>
      <c r="G657" s="205" t="s">
        <v>7362</v>
      </c>
      <c r="H657" s="204" t="s">
        <v>7018</v>
      </c>
      <c r="I657" s="204" t="s">
        <v>15</v>
      </c>
      <c r="J657" s="205" t="s">
        <v>7852</v>
      </c>
      <c r="K657" s="206">
        <v>37480</v>
      </c>
      <c r="L657" s="206"/>
      <c r="M657" s="159">
        <f t="shared" si="162"/>
        <v>0</v>
      </c>
      <c r="N657" s="159"/>
      <c r="O657" s="159"/>
      <c r="P657" s="159"/>
      <c r="Q657" s="159"/>
      <c r="R657" s="159"/>
      <c r="S657" s="149" t="s">
        <v>7359</v>
      </c>
      <c r="T657" s="149" t="s">
        <v>7360</v>
      </c>
      <c r="U657" s="202" t="s">
        <v>7850</v>
      </c>
      <c r="V657" s="204">
        <v>3</v>
      </c>
      <c r="W657" s="203" t="s">
        <v>5104</v>
      </c>
      <c r="X657" s="204" t="s">
        <v>213</v>
      </c>
      <c r="Y657" s="206">
        <v>50000</v>
      </c>
      <c r="Z657" s="207">
        <v>600</v>
      </c>
      <c r="AA657" s="207">
        <f t="shared" si="163"/>
        <v>22488000</v>
      </c>
      <c r="AB657" s="157">
        <v>600</v>
      </c>
      <c r="AC657" s="158">
        <f t="shared" si="161"/>
        <v>600</v>
      </c>
      <c r="AD657" s="159">
        <f t="shared" si="164"/>
        <v>0</v>
      </c>
      <c r="AE657" s="160"/>
      <c r="AF657" s="160">
        <f t="shared" si="165"/>
        <v>0</v>
      </c>
      <c r="AG657" s="165"/>
      <c r="AH657" s="161">
        <f t="shared" si="166"/>
        <v>0</v>
      </c>
      <c r="AI657" s="162"/>
      <c r="AJ657" s="162">
        <f t="shared" si="167"/>
        <v>0</v>
      </c>
      <c r="AK657" s="164"/>
      <c r="AL657" s="164">
        <f t="shared" si="168"/>
        <v>0</v>
      </c>
      <c r="AM657" s="165"/>
      <c r="AN657" s="165">
        <f t="shared" si="169"/>
        <v>0</v>
      </c>
      <c r="AO657" s="166">
        <v>0</v>
      </c>
      <c r="AP657" s="166">
        <f t="shared" si="170"/>
        <v>0</v>
      </c>
      <c r="AQ657" s="162"/>
      <c r="AR657" s="162">
        <f t="shared" si="171"/>
        <v>0</v>
      </c>
      <c r="AS657" s="173"/>
      <c r="AT657" s="167">
        <f t="shared" si="172"/>
        <v>0</v>
      </c>
      <c r="AU657" s="163"/>
      <c r="AV657" s="163">
        <f t="shared" si="173"/>
        <v>0</v>
      </c>
      <c r="AW657" s="168"/>
      <c r="AX657" s="168">
        <f t="shared" si="174"/>
        <v>0</v>
      </c>
      <c r="AY657" s="170"/>
      <c r="AZ657" s="170">
        <f t="shared" si="175"/>
        <v>0</v>
      </c>
      <c r="BA657" s="166"/>
      <c r="BB657" s="166">
        <f t="shared" si="176"/>
        <v>0</v>
      </c>
    </row>
    <row r="658" spans="1:54" s="131" customFormat="1" ht="112.5">
      <c r="A658" s="148" t="s">
        <v>7854</v>
      </c>
      <c r="B658" s="203" t="s">
        <v>870</v>
      </c>
      <c r="C658" s="203"/>
      <c r="D658" s="203"/>
      <c r="E658" s="203" t="s">
        <v>7856</v>
      </c>
      <c r="F658" s="205" t="s">
        <v>7858</v>
      </c>
      <c r="G658" s="205" t="s">
        <v>2168</v>
      </c>
      <c r="H658" s="204" t="s">
        <v>1568</v>
      </c>
      <c r="I658" s="204" t="s">
        <v>658</v>
      </c>
      <c r="J658" s="205" t="s">
        <v>7857</v>
      </c>
      <c r="K658" s="206">
        <v>10500</v>
      </c>
      <c r="L658" s="206"/>
      <c r="M658" s="159">
        <f t="shared" si="162"/>
        <v>110</v>
      </c>
      <c r="N658" s="159"/>
      <c r="O658" s="159"/>
      <c r="P658" s="159"/>
      <c r="Q658" s="159"/>
      <c r="R658" s="159"/>
      <c r="S658" s="209" t="s">
        <v>5848</v>
      </c>
      <c r="T658" s="203" t="s">
        <v>5849</v>
      </c>
      <c r="U658" s="202" t="s">
        <v>7855</v>
      </c>
      <c r="V658" s="204">
        <v>3</v>
      </c>
      <c r="W658" s="203" t="s">
        <v>5104</v>
      </c>
      <c r="X658" s="204" t="s">
        <v>213</v>
      </c>
      <c r="Y658" s="206">
        <v>15000</v>
      </c>
      <c r="Z658" s="207">
        <v>6000</v>
      </c>
      <c r="AA658" s="207">
        <f t="shared" si="163"/>
        <v>63000000</v>
      </c>
      <c r="AB658" s="157">
        <v>6000</v>
      </c>
      <c r="AC658" s="158">
        <f t="shared" si="161"/>
        <v>5890</v>
      </c>
      <c r="AD658" s="159">
        <f t="shared" si="164"/>
        <v>1155000</v>
      </c>
      <c r="AE658" s="160"/>
      <c r="AF658" s="160">
        <f t="shared" si="165"/>
        <v>0</v>
      </c>
      <c r="AG658" s="165"/>
      <c r="AH658" s="161">
        <f t="shared" si="166"/>
        <v>0</v>
      </c>
      <c r="AI658" s="162"/>
      <c r="AJ658" s="162">
        <f t="shared" si="167"/>
        <v>0</v>
      </c>
      <c r="AK658" s="164"/>
      <c r="AL658" s="164">
        <f t="shared" si="168"/>
        <v>0</v>
      </c>
      <c r="AM658" s="165">
        <v>110</v>
      </c>
      <c r="AN658" s="165">
        <f t="shared" si="169"/>
        <v>1155000</v>
      </c>
      <c r="AO658" s="166">
        <v>0</v>
      </c>
      <c r="AP658" s="166">
        <f t="shared" si="170"/>
        <v>0</v>
      </c>
      <c r="AQ658" s="162"/>
      <c r="AR658" s="162">
        <f t="shared" si="171"/>
        <v>0</v>
      </c>
      <c r="AS658" s="173"/>
      <c r="AT658" s="167">
        <f t="shared" si="172"/>
        <v>0</v>
      </c>
      <c r="AU658" s="163"/>
      <c r="AV658" s="163">
        <f t="shared" si="173"/>
        <v>0</v>
      </c>
      <c r="AW658" s="168"/>
      <c r="AX658" s="168">
        <f t="shared" si="174"/>
        <v>0</v>
      </c>
      <c r="AY658" s="170"/>
      <c r="AZ658" s="170">
        <f t="shared" si="175"/>
        <v>0</v>
      </c>
      <c r="BA658" s="166"/>
      <c r="BB658" s="166">
        <f t="shared" si="176"/>
        <v>0</v>
      </c>
    </row>
    <row r="659" spans="1:54" s="131" customFormat="1" ht="31.5">
      <c r="A659" s="148" t="s">
        <v>7859</v>
      </c>
      <c r="B659" s="203" t="s">
        <v>747</v>
      </c>
      <c r="C659" s="203"/>
      <c r="D659" s="203"/>
      <c r="E659" s="203" t="s">
        <v>7861</v>
      </c>
      <c r="F659" s="205" t="s">
        <v>7863</v>
      </c>
      <c r="G659" s="205" t="s">
        <v>621</v>
      </c>
      <c r="H659" s="204" t="s">
        <v>7060</v>
      </c>
      <c r="I659" s="204" t="s">
        <v>15</v>
      </c>
      <c r="J659" s="205" t="s">
        <v>7862</v>
      </c>
      <c r="K659" s="206">
        <v>9345</v>
      </c>
      <c r="L659" s="206"/>
      <c r="M659" s="159">
        <f t="shared" si="162"/>
        <v>0</v>
      </c>
      <c r="N659" s="159"/>
      <c r="O659" s="159"/>
      <c r="P659" s="159"/>
      <c r="Q659" s="159"/>
      <c r="R659" s="159"/>
      <c r="S659" s="149" t="s">
        <v>6938</v>
      </c>
      <c r="T659" s="149" t="s">
        <v>6939</v>
      </c>
      <c r="U659" s="202" t="s">
        <v>7860</v>
      </c>
      <c r="V659" s="204">
        <v>3</v>
      </c>
      <c r="W659" s="203" t="s">
        <v>5104</v>
      </c>
      <c r="X659" s="204" t="s">
        <v>213</v>
      </c>
      <c r="Y659" s="206">
        <v>26000</v>
      </c>
      <c r="Z659" s="207">
        <v>2000</v>
      </c>
      <c r="AA659" s="207">
        <f t="shared" si="163"/>
        <v>18690000</v>
      </c>
      <c r="AB659" s="157">
        <v>2000</v>
      </c>
      <c r="AC659" s="158">
        <f t="shared" si="161"/>
        <v>2000</v>
      </c>
      <c r="AD659" s="159">
        <f t="shared" si="164"/>
        <v>0</v>
      </c>
      <c r="AE659" s="160"/>
      <c r="AF659" s="160">
        <f t="shared" si="165"/>
        <v>0</v>
      </c>
      <c r="AG659" s="165"/>
      <c r="AH659" s="161">
        <f t="shared" si="166"/>
        <v>0</v>
      </c>
      <c r="AI659" s="162"/>
      <c r="AJ659" s="162">
        <f t="shared" si="167"/>
        <v>0</v>
      </c>
      <c r="AK659" s="164"/>
      <c r="AL659" s="164">
        <f t="shared" si="168"/>
        <v>0</v>
      </c>
      <c r="AM659" s="165"/>
      <c r="AN659" s="165">
        <f t="shared" si="169"/>
        <v>0</v>
      </c>
      <c r="AO659" s="166">
        <v>0</v>
      </c>
      <c r="AP659" s="166">
        <f t="shared" si="170"/>
        <v>0</v>
      </c>
      <c r="AQ659" s="162"/>
      <c r="AR659" s="162">
        <f t="shared" si="171"/>
        <v>0</v>
      </c>
      <c r="AS659" s="173"/>
      <c r="AT659" s="167">
        <f t="shared" si="172"/>
        <v>0</v>
      </c>
      <c r="AU659" s="163"/>
      <c r="AV659" s="163">
        <f t="shared" si="173"/>
        <v>0</v>
      </c>
      <c r="AW659" s="168"/>
      <c r="AX659" s="168">
        <f t="shared" si="174"/>
        <v>0</v>
      </c>
      <c r="AY659" s="170"/>
      <c r="AZ659" s="170">
        <f t="shared" si="175"/>
        <v>0</v>
      </c>
      <c r="BA659" s="166"/>
      <c r="BB659" s="166">
        <f t="shared" si="176"/>
        <v>0</v>
      </c>
    </row>
    <row r="660" spans="1:54" s="131" customFormat="1" ht="31.5">
      <c r="A660" s="172" t="s">
        <v>7864</v>
      </c>
      <c r="B660" s="203" t="s">
        <v>4374</v>
      </c>
      <c r="C660" s="203"/>
      <c r="D660" s="203"/>
      <c r="E660" s="203" t="s">
        <v>4376</v>
      </c>
      <c r="F660" s="205" t="s">
        <v>7866</v>
      </c>
      <c r="G660" s="205" t="s">
        <v>7332</v>
      </c>
      <c r="H660" s="204" t="s">
        <v>248</v>
      </c>
      <c r="I660" s="204" t="s">
        <v>11</v>
      </c>
      <c r="J660" s="205" t="s">
        <v>7865</v>
      </c>
      <c r="K660" s="206">
        <v>149</v>
      </c>
      <c r="L660" s="206"/>
      <c r="M660" s="159">
        <f t="shared" si="162"/>
        <v>3100</v>
      </c>
      <c r="N660" s="159"/>
      <c r="O660" s="159"/>
      <c r="P660" s="159"/>
      <c r="Q660" s="159"/>
      <c r="R660" s="159"/>
      <c r="S660" s="149" t="s">
        <v>7329</v>
      </c>
      <c r="T660" s="149" t="s">
        <v>1136</v>
      </c>
      <c r="U660" s="202" t="s">
        <v>4375</v>
      </c>
      <c r="V660" s="204">
        <v>3</v>
      </c>
      <c r="W660" s="203" t="s">
        <v>5104</v>
      </c>
      <c r="X660" s="204" t="s">
        <v>213</v>
      </c>
      <c r="Y660" s="206">
        <v>252</v>
      </c>
      <c r="Z660" s="207">
        <v>20000</v>
      </c>
      <c r="AA660" s="207">
        <f t="shared" si="163"/>
        <v>2980000</v>
      </c>
      <c r="AB660" s="157">
        <v>20000</v>
      </c>
      <c r="AC660" s="158">
        <f t="shared" si="161"/>
        <v>16900</v>
      </c>
      <c r="AD660" s="159">
        <f t="shared" si="164"/>
        <v>461900</v>
      </c>
      <c r="AE660" s="160"/>
      <c r="AF660" s="160">
        <f t="shared" si="165"/>
        <v>0</v>
      </c>
      <c r="AG660" s="165">
        <v>3100</v>
      </c>
      <c r="AH660" s="161">
        <f t="shared" si="166"/>
        <v>461900</v>
      </c>
      <c r="AI660" s="162"/>
      <c r="AJ660" s="162">
        <f t="shared" si="167"/>
        <v>0</v>
      </c>
      <c r="AK660" s="164"/>
      <c r="AL660" s="164">
        <f t="shared" si="168"/>
        <v>0</v>
      </c>
      <c r="AM660" s="165"/>
      <c r="AN660" s="165">
        <f t="shared" si="169"/>
        <v>0</v>
      </c>
      <c r="AO660" s="166">
        <v>0</v>
      </c>
      <c r="AP660" s="166">
        <f t="shared" si="170"/>
        <v>0</v>
      </c>
      <c r="AQ660" s="162"/>
      <c r="AR660" s="162">
        <f t="shared" si="171"/>
        <v>0</v>
      </c>
      <c r="AS660" s="173"/>
      <c r="AT660" s="167">
        <f t="shared" si="172"/>
        <v>0</v>
      </c>
      <c r="AU660" s="163"/>
      <c r="AV660" s="163">
        <f t="shared" si="173"/>
        <v>0</v>
      </c>
      <c r="AW660" s="168"/>
      <c r="AX660" s="168">
        <f t="shared" si="174"/>
        <v>0</v>
      </c>
      <c r="AY660" s="170"/>
      <c r="AZ660" s="170">
        <f t="shared" si="175"/>
        <v>0</v>
      </c>
      <c r="BA660" s="166"/>
      <c r="BB660" s="166">
        <f t="shared" si="176"/>
        <v>0</v>
      </c>
    </row>
    <row r="661" spans="1:54" s="131" customFormat="1" ht="31.5">
      <c r="A661" s="148" t="s">
        <v>7867</v>
      </c>
      <c r="B661" s="203" t="s">
        <v>7869</v>
      </c>
      <c r="C661" s="203"/>
      <c r="D661" s="203"/>
      <c r="E661" s="203" t="s">
        <v>7870</v>
      </c>
      <c r="F661" s="205" t="s">
        <v>7872</v>
      </c>
      <c r="G661" s="205" t="s">
        <v>7674</v>
      </c>
      <c r="H661" s="204" t="s">
        <v>1340</v>
      </c>
      <c r="I661" s="204" t="s">
        <v>11</v>
      </c>
      <c r="J661" s="205" t="s">
        <v>7871</v>
      </c>
      <c r="K661" s="206">
        <v>3950</v>
      </c>
      <c r="L661" s="206"/>
      <c r="M661" s="159">
        <f t="shared" si="162"/>
        <v>0</v>
      </c>
      <c r="N661" s="159"/>
      <c r="O661" s="159"/>
      <c r="P661" s="159"/>
      <c r="Q661" s="159"/>
      <c r="R661" s="159"/>
      <c r="S661" s="149" t="s">
        <v>7100</v>
      </c>
      <c r="T661" s="149" t="s">
        <v>7101</v>
      </c>
      <c r="U661" s="202" t="s">
        <v>7868</v>
      </c>
      <c r="V661" s="204">
        <v>3</v>
      </c>
      <c r="W661" s="203" t="s">
        <v>5104</v>
      </c>
      <c r="X661" s="204" t="s">
        <v>213</v>
      </c>
      <c r="Y661" s="206">
        <v>3950</v>
      </c>
      <c r="Z661" s="207">
        <v>30000</v>
      </c>
      <c r="AA661" s="207">
        <f t="shared" si="163"/>
        <v>118500000</v>
      </c>
      <c r="AB661" s="157">
        <v>30000</v>
      </c>
      <c r="AC661" s="158">
        <f t="shared" si="161"/>
        <v>30000</v>
      </c>
      <c r="AD661" s="159">
        <f t="shared" si="164"/>
        <v>0</v>
      </c>
      <c r="AE661" s="160"/>
      <c r="AF661" s="160">
        <f t="shared" si="165"/>
        <v>0</v>
      </c>
      <c r="AG661" s="165"/>
      <c r="AH661" s="161">
        <f t="shared" si="166"/>
        <v>0</v>
      </c>
      <c r="AI661" s="162"/>
      <c r="AJ661" s="162">
        <f t="shared" si="167"/>
        <v>0</v>
      </c>
      <c r="AK661" s="164"/>
      <c r="AL661" s="164">
        <f t="shared" si="168"/>
        <v>0</v>
      </c>
      <c r="AM661" s="165"/>
      <c r="AN661" s="165">
        <f t="shared" si="169"/>
        <v>0</v>
      </c>
      <c r="AO661" s="166">
        <v>0</v>
      </c>
      <c r="AP661" s="166">
        <f t="shared" si="170"/>
        <v>0</v>
      </c>
      <c r="AQ661" s="162"/>
      <c r="AR661" s="162">
        <f t="shared" si="171"/>
        <v>0</v>
      </c>
      <c r="AS661" s="173"/>
      <c r="AT661" s="167">
        <f t="shared" si="172"/>
        <v>0</v>
      </c>
      <c r="AU661" s="163"/>
      <c r="AV661" s="163">
        <f t="shared" si="173"/>
        <v>0</v>
      </c>
      <c r="AW661" s="168"/>
      <c r="AX661" s="168">
        <f t="shared" si="174"/>
        <v>0</v>
      </c>
      <c r="AY661" s="170"/>
      <c r="AZ661" s="170">
        <f t="shared" si="175"/>
        <v>0</v>
      </c>
      <c r="BA661" s="166"/>
      <c r="BB661" s="166">
        <f t="shared" si="176"/>
        <v>0</v>
      </c>
    </row>
    <row r="662" spans="1:54" s="131" customFormat="1" ht="31.5">
      <c r="A662" s="148" t="s">
        <v>7873</v>
      </c>
      <c r="B662" s="229" t="s">
        <v>1109</v>
      </c>
      <c r="C662" s="229"/>
      <c r="D662" s="229"/>
      <c r="E662" s="229" t="s">
        <v>1349</v>
      </c>
      <c r="F662" s="231" t="s">
        <v>7876</v>
      </c>
      <c r="G662" s="231" t="s">
        <v>7001</v>
      </c>
      <c r="H662" s="230" t="s">
        <v>4040</v>
      </c>
      <c r="I662" s="230" t="s">
        <v>11</v>
      </c>
      <c r="J662" s="231" t="s">
        <v>7875</v>
      </c>
      <c r="K662" s="232">
        <v>296</v>
      </c>
      <c r="L662" s="232"/>
      <c r="M662" s="159">
        <f t="shared" si="162"/>
        <v>0</v>
      </c>
      <c r="N662" s="159"/>
      <c r="O662" s="159"/>
      <c r="P662" s="159"/>
      <c r="Q662" s="159"/>
      <c r="R662" s="159"/>
      <c r="S662" s="150" t="s">
        <v>360</v>
      </c>
      <c r="T662" s="150" t="s">
        <v>358</v>
      </c>
      <c r="U662" s="228" t="s">
        <v>7874</v>
      </c>
      <c r="V662" s="230">
        <v>3</v>
      </c>
      <c r="W662" s="229" t="s">
        <v>5104</v>
      </c>
      <c r="X662" s="230" t="s">
        <v>213</v>
      </c>
      <c r="Y662" s="232">
        <v>1000</v>
      </c>
      <c r="Z662" s="233">
        <v>50000</v>
      </c>
      <c r="AA662" s="233">
        <f t="shared" si="163"/>
        <v>14800000</v>
      </c>
      <c r="AB662" s="157">
        <v>50000</v>
      </c>
      <c r="AC662" s="158">
        <f t="shared" si="161"/>
        <v>50000</v>
      </c>
      <c r="AD662" s="159">
        <f t="shared" si="164"/>
        <v>0</v>
      </c>
      <c r="AE662" s="160"/>
      <c r="AF662" s="160">
        <f t="shared" si="165"/>
        <v>0</v>
      </c>
      <c r="AG662" s="161"/>
      <c r="AH662" s="161">
        <f t="shared" si="166"/>
        <v>0</v>
      </c>
      <c r="AI662" s="162"/>
      <c r="AJ662" s="162">
        <f t="shared" si="167"/>
        <v>0</v>
      </c>
      <c r="AK662" s="164"/>
      <c r="AL662" s="164">
        <f t="shared" si="168"/>
        <v>0</v>
      </c>
      <c r="AM662" s="165"/>
      <c r="AN662" s="165">
        <f t="shared" si="169"/>
        <v>0</v>
      </c>
      <c r="AO662" s="166">
        <v>0</v>
      </c>
      <c r="AP662" s="166">
        <f t="shared" si="170"/>
        <v>0</v>
      </c>
      <c r="AQ662" s="162"/>
      <c r="AR662" s="162">
        <f t="shared" si="171"/>
        <v>0</v>
      </c>
      <c r="AS662" s="167"/>
      <c r="AT662" s="167">
        <f t="shared" si="172"/>
        <v>0</v>
      </c>
      <c r="AU662" s="163"/>
      <c r="AV662" s="163">
        <f t="shared" si="173"/>
        <v>0</v>
      </c>
      <c r="AW662" s="168"/>
      <c r="AX662" s="168">
        <f t="shared" si="174"/>
        <v>0</v>
      </c>
      <c r="AY662" s="170"/>
      <c r="AZ662" s="170">
        <f t="shared" si="175"/>
        <v>0</v>
      </c>
      <c r="BA662" s="166"/>
      <c r="BB662" s="166">
        <f t="shared" si="176"/>
        <v>0</v>
      </c>
    </row>
    <row r="663" spans="1:54" s="131" customFormat="1" ht="31.5">
      <c r="A663" s="172" t="s">
        <v>7877</v>
      </c>
      <c r="B663" s="203" t="s">
        <v>1982</v>
      </c>
      <c r="C663" s="203"/>
      <c r="D663" s="203"/>
      <c r="E663" s="203" t="s">
        <v>1983</v>
      </c>
      <c r="F663" s="205" t="s">
        <v>7879</v>
      </c>
      <c r="G663" s="205" t="s">
        <v>1953</v>
      </c>
      <c r="H663" s="204" t="s">
        <v>1984</v>
      </c>
      <c r="I663" s="204" t="s">
        <v>13</v>
      </c>
      <c r="J663" s="205" t="s">
        <v>7878</v>
      </c>
      <c r="K663" s="206">
        <v>2394</v>
      </c>
      <c r="L663" s="206"/>
      <c r="M663" s="159">
        <f t="shared" si="162"/>
        <v>0</v>
      </c>
      <c r="N663" s="159"/>
      <c r="O663" s="159"/>
      <c r="P663" s="159"/>
      <c r="Q663" s="159"/>
      <c r="R663" s="159"/>
      <c r="S663" s="150" t="s">
        <v>5340</v>
      </c>
      <c r="T663" s="150" t="s">
        <v>5341</v>
      </c>
      <c r="U663" s="202" t="s">
        <v>4045</v>
      </c>
      <c r="V663" s="204">
        <v>3</v>
      </c>
      <c r="W663" s="203" t="s">
        <v>5104</v>
      </c>
      <c r="X663" s="204" t="s">
        <v>213</v>
      </c>
      <c r="Y663" s="206">
        <v>2880</v>
      </c>
      <c r="Z663" s="207">
        <v>60000</v>
      </c>
      <c r="AA663" s="207">
        <f t="shared" si="163"/>
        <v>143640000</v>
      </c>
      <c r="AB663" s="157">
        <v>60000</v>
      </c>
      <c r="AC663" s="158">
        <f t="shared" si="161"/>
        <v>60000</v>
      </c>
      <c r="AD663" s="159">
        <f t="shared" si="164"/>
        <v>0</v>
      </c>
      <c r="AE663" s="160"/>
      <c r="AF663" s="160">
        <f t="shared" si="165"/>
        <v>0</v>
      </c>
      <c r="AG663" s="165"/>
      <c r="AH663" s="161">
        <f t="shared" si="166"/>
        <v>0</v>
      </c>
      <c r="AI663" s="162"/>
      <c r="AJ663" s="162">
        <f t="shared" si="167"/>
        <v>0</v>
      </c>
      <c r="AK663" s="164"/>
      <c r="AL663" s="164">
        <f t="shared" si="168"/>
        <v>0</v>
      </c>
      <c r="AM663" s="165"/>
      <c r="AN663" s="165">
        <f t="shared" si="169"/>
        <v>0</v>
      </c>
      <c r="AO663" s="166">
        <v>0</v>
      </c>
      <c r="AP663" s="166">
        <f t="shared" si="170"/>
        <v>0</v>
      </c>
      <c r="AQ663" s="162"/>
      <c r="AR663" s="162">
        <f t="shared" si="171"/>
        <v>0</v>
      </c>
      <c r="AS663" s="173"/>
      <c r="AT663" s="167">
        <f t="shared" si="172"/>
        <v>0</v>
      </c>
      <c r="AU663" s="163"/>
      <c r="AV663" s="163">
        <f t="shared" si="173"/>
        <v>0</v>
      </c>
      <c r="AW663" s="168"/>
      <c r="AX663" s="168">
        <f t="shared" si="174"/>
        <v>0</v>
      </c>
      <c r="AY663" s="170"/>
      <c r="AZ663" s="170">
        <f t="shared" si="175"/>
        <v>0</v>
      </c>
      <c r="BA663" s="166"/>
      <c r="BB663" s="166">
        <f t="shared" si="176"/>
        <v>0</v>
      </c>
    </row>
    <row r="664" spans="1:54" s="131" customFormat="1" ht="31.5">
      <c r="A664" s="148" t="s">
        <v>7880</v>
      </c>
      <c r="B664" s="203" t="s">
        <v>1982</v>
      </c>
      <c r="C664" s="203"/>
      <c r="D664" s="203"/>
      <c r="E664" s="203" t="s">
        <v>7882</v>
      </c>
      <c r="F664" s="205" t="s">
        <v>7884</v>
      </c>
      <c r="G664" s="205" t="s">
        <v>7103</v>
      </c>
      <c r="H664" s="204" t="s">
        <v>7881</v>
      </c>
      <c r="I664" s="204" t="s">
        <v>12</v>
      </c>
      <c r="J664" s="205" t="s">
        <v>7883</v>
      </c>
      <c r="K664" s="206">
        <v>2690</v>
      </c>
      <c r="L664" s="206"/>
      <c r="M664" s="159">
        <f t="shared" si="162"/>
        <v>0</v>
      </c>
      <c r="N664" s="159"/>
      <c r="O664" s="159"/>
      <c r="P664" s="159"/>
      <c r="Q664" s="159"/>
      <c r="R664" s="159"/>
      <c r="S664" s="149" t="s">
        <v>5669</v>
      </c>
      <c r="T664" s="149" t="s">
        <v>5670</v>
      </c>
      <c r="U664" s="202" t="s">
        <v>4108</v>
      </c>
      <c r="V664" s="204">
        <v>3</v>
      </c>
      <c r="W664" s="203" t="s">
        <v>253</v>
      </c>
      <c r="X664" s="204" t="s">
        <v>213</v>
      </c>
      <c r="Y664" s="206">
        <v>3500</v>
      </c>
      <c r="Z664" s="207">
        <v>60000</v>
      </c>
      <c r="AA664" s="207">
        <f t="shared" si="163"/>
        <v>161400000</v>
      </c>
      <c r="AB664" s="157">
        <v>60000</v>
      </c>
      <c r="AC664" s="158">
        <f t="shared" si="161"/>
        <v>60000</v>
      </c>
      <c r="AD664" s="159">
        <f t="shared" si="164"/>
        <v>0</v>
      </c>
      <c r="AE664" s="160"/>
      <c r="AF664" s="160">
        <f t="shared" si="165"/>
        <v>0</v>
      </c>
      <c r="AG664" s="165"/>
      <c r="AH664" s="161">
        <f t="shared" si="166"/>
        <v>0</v>
      </c>
      <c r="AI664" s="162"/>
      <c r="AJ664" s="162">
        <f t="shared" si="167"/>
        <v>0</v>
      </c>
      <c r="AK664" s="163"/>
      <c r="AL664" s="164">
        <f t="shared" si="168"/>
        <v>0</v>
      </c>
      <c r="AM664" s="161"/>
      <c r="AN664" s="165">
        <f t="shared" si="169"/>
        <v>0</v>
      </c>
      <c r="AO664" s="160">
        <v>0</v>
      </c>
      <c r="AP664" s="166">
        <f t="shared" si="170"/>
        <v>0</v>
      </c>
      <c r="AQ664" s="162"/>
      <c r="AR664" s="162">
        <f t="shared" si="171"/>
        <v>0</v>
      </c>
      <c r="AS664" s="173"/>
      <c r="AT664" s="167">
        <f t="shared" si="172"/>
        <v>0</v>
      </c>
      <c r="AU664" s="163"/>
      <c r="AV664" s="163">
        <f t="shared" si="173"/>
        <v>0</v>
      </c>
      <c r="AW664" s="162"/>
      <c r="AX664" s="168">
        <f t="shared" si="174"/>
        <v>0</v>
      </c>
      <c r="AY664" s="169"/>
      <c r="AZ664" s="170">
        <f t="shared" si="175"/>
        <v>0</v>
      </c>
      <c r="BA664" s="160"/>
      <c r="BB664" s="166">
        <f t="shared" si="176"/>
        <v>0</v>
      </c>
    </row>
    <row r="665" spans="1:54" s="131" customFormat="1" ht="31.5">
      <c r="A665" s="148" t="s">
        <v>7885</v>
      </c>
      <c r="B665" s="203" t="s">
        <v>736</v>
      </c>
      <c r="C665" s="203"/>
      <c r="D665" s="203"/>
      <c r="E665" s="203" t="s">
        <v>7888</v>
      </c>
      <c r="F665" s="205" t="s">
        <v>7890</v>
      </c>
      <c r="G665" s="205" t="s">
        <v>1953</v>
      </c>
      <c r="H665" s="204" t="s">
        <v>7887</v>
      </c>
      <c r="I665" s="204" t="s">
        <v>1258</v>
      </c>
      <c r="J665" s="205" t="s">
        <v>7889</v>
      </c>
      <c r="K665" s="206">
        <v>3486</v>
      </c>
      <c r="L665" s="206"/>
      <c r="M665" s="159">
        <f t="shared" si="162"/>
        <v>0</v>
      </c>
      <c r="N665" s="159"/>
      <c r="O665" s="159"/>
      <c r="P665" s="159"/>
      <c r="Q665" s="159"/>
      <c r="R665" s="159"/>
      <c r="S665" s="150" t="s">
        <v>5340</v>
      </c>
      <c r="T665" s="150" t="s">
        <v>5341</v>
      </c>
      <c r="U665" s="202" t="s">
        <v>7886</v>
      </c>
      <c r="V665" s="204">
        <v>3</v>
      </c>
      <c r="W665" s="203" t="s">
        <v>5104</v>
      </c>
      <c r="X665" s="204" t="s">
        <v>213</v>
      </c>
      <c r="Y665" s="206">
        <v>3500</v>
      </c>
      <c r="Z665" s="207">
        <v>60000</v>
      </c>
      <c r="AA665" s="207">
        <f t="shared" si="163"/>
        <v>209160000</v>
      </c>
      <c r="AB665" s="157">
        <v>60000</v>
      </c>
      <c r="AC665" s="158">
        <f t="shared" si="161"/>
        <v>60000</v>
      </c>
      <c r="AD665" s="159">
        <f t="shared" si="164"/>
        <v>0</v>
      </c>
      <c r="AE665" s="160"/>
      <c r="AF665" s="160">
        <f t="shared" si="165"/>
        <v>0</v>
      </c>
      <c r="AG665" s="165"/>
      <c r="AH665" s="161">
        <f t="shared" si="166"/>
        <v>0</v>
      </c>
      <c r="AI665" s="162"/>
      <c r="AJ665" s="162">
        <f t="shared" si="167"/>
        <v>0</v>
      </c>
      <c r="AK665" s="164"/>
      <c r="AL665" s="164">
        <f t="shared" si="168"/>
        <v>0</v>
      </c>
      <c r="AM665" s="165"/>
      <c r="AN665" s="165">
        <f t="shared" si="169"/>
        <v>0</v>
      </c>
      <c r="AO665" s="166">
        <v>0</v>
      </c>
      <c r="AP665" s="166">
        <f t="shared" si="170"/>
        <v>0</v>
      </c>
      <c r="AQ665" s="162"/>
      <c r="AR665" s="162">
        <f t="shared" si="171"/>
        <v>0</v>
      </c>
      <c r="AS665" s="173"/>
      <c r="AT665" s="167">
        <f t="shared" si="172"/>
        <v>0</v>
      </c>
      <c r="AU665" s="163"/>
      <c r="AV665" s="163">
        <f t="shared" si="173"/>
        <v>0</v>
      </c>
      <c r="AW665" s="168"/>
      <c r="AX665" s="168">
        <f t="shared" si="174"/>
        <v>0</v>
      </c>
      <c r="AY665" s="170"/>
      <c r="AZ665" s="170">
        <f t="shared" si="175"/>
        <v>0</v>
      </c>
      <c r="BA665" s="166"/>
      <c r="BB665" s="166">
        <f t="shared" si="176"/>
        <v>0</v>
      </c>
    </row>
    <row r="666" spans="1:54" s="131" customFormat="1" ht="31.5">
      <c r="A666" s="172" t="s">
        <v>7891</v>
      </c>
      <c r="B666" s="203" t="s">
        <v>736</v>
      </c>
      <c r="C666" s="203"/>
      <c r="D666" s="203"/>
      <c r="E666" s="203" t="s">
        <v>7894</v>
      </c>
      <c r="F666" s="205" t="s">
        <v>7896</v>
      </c>
      <c r="G666" s="205" t="s">
        <v>7335</v>
      </c>
      <c r="H666" s="204" t="s">
        <v>7893</v>
      </c>
      <c r="I666" s="204" t="s">
        <v>13</v>
      </c>
      <c r="J666" s="205" t="s">
        <v>7895</v>
      </c>
      <c r="K666" s="206">
        <v>3300</v>
      </c>
      <c r="L666" s="206"/>
      <c r="M666" s="159">
        <f t="shared" si="162"/>
        <v>0</v>
      </c>
      <c r="N666" s="159"/>
      <c r="O666" s="159"/>
      <c r="P666" s="159"/>
      <c r="Q666" s="159"/>
      <c r="R666" s="159"/>
      <c r="S666" s="149" t="s">
        <v>6812</v>
      </c>
      <c r="T666" s="149" t="s">
        <v>6813</v>
      </c>
      <c r="U666" s="202" t="s">
        <v>7892</v>
      </c>
      <c r="V666" s="204">
        <v>3</v>
      </c>
      <c r="W666" s="203" t="s">
        <v>5104</v>
      </c>
      <c r="X666" s="204" t="s">
        <v>213</v>
      </c>
      <c r="Y666" s="206">
        <v>3300</v>
      </c>
      <c r="Z666" s="207">
        <v>60000</v>
      </c>
      <c r="AA666" s="207">
        <f t="shared" si="163"/>
        <v>198000000</v>
      </c>
      <c r="AB666" s="157">
        <v>60000</v>
      </c>
      <c r="AC666" s="158">
        <f t="shared" si="161"/>
        <v>60000</v>
      </c>
      <c r="AD666" s="159">
        <f t="shared" si="164"/>
        <v>0</v>
      </c>
      <c r="AE666" s="160"/>
      <c r="AF666" s="160">
        <f t="shared" si="165"/>
        <v>0</v>
      </c>
      <c r="AG666" s="165"/>
      <c r="AH666" s="161">
        <f t="shared" si="166"/>
        <v>0</v>
      </c>
      <c r="AI666" s="162"/>
      <c r="AJ666" s="162">
        <f t="shared" si="167"/>
        <v>0</v>
      </c>
      <c r="AK666" s="164"/>
      <c r="AL666" s="164">
        <f t="shared" si="168"/>
        <v>0</v>
      </c>
      <c r="AM666" s="165"/>
      <c r="AN666" s="165">
        <f t="shared" si="169"/>
        <v>0</v>
      </c>
      <c r="AO666" s="166">
        <v>0</v>
      </c>
      <c r="AP666" s="166">
        <f t="shared" si="170"/>
        <v>0</v>
      </c>
      <c r="AQ666" s="162"/>
      <c r="AR666" s="162">
        <f t="shared" si="171"/>
        <v>0</v>
      </c>
      <c r="AS666" s="173"/>
      <c r="AT666" s="167">
        <f t="shared" si="172"/>
        <v>0</v>
      </c>
      <c r="AU666" s="163"/>
      <c r="AV666" s="163">
        <f t="shared" si="173"/>
        <v>0</v>
      </c>
      <c r="AW666" s="168"/>
      <c r="AX666" s="168">
        <f t="shared" si="174"/>
        <v>0</v>
      </c>
      <c r="AY666" s="170"/>
      <c r="AZ666" s="170">
        <f t="shared" si="175"/>
        <v>0</v>
      </c>
      <c r="BA666" s="166"/>
      <c r="BB666" s="166">
        <f t="shared" si="176"/>
        <v>0</v>
      </c>
    </row>
    <row r="667" spans="1:54" ht="31.5">
      <c r="A667" s="148" t="s">
        <v>7897</v>
      </c>
      <c r="B667" s="203" t="s">
        <v>736</v>
      </c>
      <c r="C667" s="203"/>
      <c r="D667" s="203"/>
      <c r="E667" s="203" t="s">
        <v>7902</v>
      </c>
      <c r="F667" s="205" t="s">
        <v>7904</v>
      </c>
      <c r="G667" s="205" t="s">
        <v>7905</v>
      </c>
      <c r="H667" s="204" t="s">
        <v>7901</v>
      </c>
      <c r="I667" s="204" t="s">
        <v>11</v>
      </c>
      <c r="J667" s="205" t="s">
        <v>7903</v>
      </c>
      <c r="K667" s="206">
        <v>1450</v>
      </c>
      <c r="L667" s="206"/>
      <c r="M667" s="159">
        <f t="shared" si="162"/>
        <v>0</v>
      </c>
      <c r="N667" s="159"/>
      <c r="O667" s="159"/>
      <c r="P667" s="159"/>
      <c r="Q667" s="159"/>
      <c r="R667" s="159"/>
      <c r="S667" s="149" t="s">
        <v>7898</v>
      </c>
      <c r="T667" s="149" t="s">
        <v>7899</v>
      </c>
      <c r="U667" s="202" t="s">
        <v>7900</v>
      </c>
      <c r="V667" s="204">
        <v>3</v>
      </c>
      <c r="W667" s="203" t="s">
        <v>5104</v>
      </c>
      <c r="X667" s="204" t="s">
        <v>213</v>
      </c>
      <c r="Y667" s="206">
        <v>1500</v>
      </c>
      <c r="Z667" s="207">
        <v>60000</v>
      </c>
      <c r="AA667" s="207">
        <f t="shared" si="163"/>
        <v>87000000</v>
      </c>
      <c r="AB667" s="157">
        <v>60000</v>
      </c>
      <c r="AC667" s="158">
        <f t="shared" si="161"/>
        <v>60000</v>
      </c>
      <c r="AD667" s="159">
        <f t="shared" si="164"/>
        <v>0</v>
      </c>
      <c r="AE667" s="160"/>
      <c r="AF667" s="160">
        <f t="shared" si="165"/>
        <v>0</v>
      </c>
      <c r="AG667" s="165"/>
      <c r="AH667" s="161">
        <f t="shared" si="166"/>
        <v>0</v>
      </c>
      <c r="AI667" s="162"/>
      <c r="AJ667" s="162">
        <f t="shared" si="167"/>
        <v>0</v>
      </c>
      <c r="AK667" s="164"/>
      <c r="AL667" s="164">
        <f t="shared" si="168"/>
        <v>0</v>
      </c>
      <c r="AM667" s="165"/>
      <c r="AN667" s="165">
        <f t="shared" si="169"/>
        <v>0</v>
      </c>
      <c r="AO667" s="166">
        <v>0</v>
      </c>
      <c r="AP667" s="166">
        <f t="shared" si="170"/>
        <v>0</v>
      </c>
      <c r="AQ667" s="162"/>
      <c r="AR667" s="162">
        <f t="shared" si="171"/>
        <v>0</v>
      </c>
      <c r="AS667" s="173"/>
      <c r="AT667" s="167">
        <f t="shared" si="172"/>
        <v>0</v>
      </c>
      <c r="AU667" s="163"/>
      <c r="AV667" s="163">
        <f t="shared" si="173"/>
        <v>0</v>
      </c>
      <c r="AW667" s="168"/>
      <c r="AX667" s="168">
        <f t="shared" si="174"/>
        <v>0</v>
      </c>
      <c r="AY667" s="170"/>
      <c r="AZ667" s="170">
        <f t="shared" si="175"/>
        <v>0</v>
      </c>
      <c r="BA667" s="166"/>
      <c r="BB667" s="166">
        <f t="shared" si="176"/>
        <v>0</v>
      </c>
    </row>
    <row r="668" spans="1:54" ht="31.5">
      <c r="A668" s="148" t="s">
        <v>7906</v>
      </c>
      <c r="B668" s="203" t="s">
        <v>736</v>
      </c>
      <c r="C668" s="203"/>
      <c r="D668" s="203"/>
      <c r="E668" s="203" t="s">
        <v>7909</v>
      </c>
      <c r="F668" s="205" t="s">
        <v>7911</v>
      </c>
      <c r="G668" s="205" t="s">
        <v>7180</v>
      </c>
      <c r="H668" s="204" t="s">
        <v>7908</v>
      </c>
      <c r="I668" s="204" t="s">
        <v>12</v>
      </c>
      <c r="J668" s="205" t="s">
        <v>7910</v>
      </c>
      <c r="K668" s="206">
        <v>2540</v>
      </c>
      <c r="L668" s="206"/>
      <c r="M668" s="159">
        <f t="shared" si="162"/>
        <v>0</v>
      </c>
      <c r="N668" s="159"/>
      <c r="O668" s="159"/>
      <c r="P668" s="159"/>
      <c r="Q668" s="159"/>
      <c r="R668" s="159"/>
      <c r="S668" s="149" t="s">
        <v>2385</v>
      </c>
      <c r="T668" s="150" t="s">
        <v>2380</v>
      </c>
      <c r="U668" s="202" t="s">
        <v>7907</v>
      </c>
      <c r="V668" s="204">
        <v>3</v>
      </c>
      <c r="W668" s="203" t="s">
        <v>5784</v>
      </c>
      <c r="X668" s="204" t="s">
        <v>213</v>
      </c>
      <c r="Y668" s="206">
        <v>3400</v>
      </c>
      <c r="Z668" s="207">
        <v>80000</v>
      </c>
      <c r="AA668" s="207">
        <f t="shared" si="163"/>
        <v>203200000</v>
      </c>
      <c r="AB668" s="157">
        <v>80000</v>
      </c>
      <c r="AC668" s="158">
        <f t="shared" si="161"/>
        <v>80000</v>
      </c>
      <c r="AD668" s="159">
        <f t="shared" si="164"/>
        <v>0</v>
      </c>
      <c r="AE668" s="160"/>
      <c r="AF668" s="160">
        <f t="shared" si="165"/>
        <v>0</v>
      </c>
      <c r="AG668" s="165"/>
      <c r="AH668" s="161">
        <f t="shared" si="166"/>
        <v>0</v>
      </c>
      <c r="AI668" s="162"/>
      <c r="AJ668" s="162">
        <f t="shared" si="167"/>
        <v>0</v>
      </c>
      <c r="AK668" s="164"/>
      <c r="AL668" s="164">
        <f t="shared" si="168"/>
        <v>0</v>
      </c>
      <c r="AM668" s="165"/>
      <c r="AN668" s="165">
        <f t="shared" si="169"/>
        <v>0</v>
      </c>
      <c r="AO668" s="166">
        <v>0</v>
      </c>
      <c r="AP668" s="166">
        <f t="shared" si="170"/>
        <v>0</v>
      </c>
      <c r="AQ668" s="162"/>
      <c r="AR668" s="162">
        <f t="shared" si="171"/>
        <v>0</v>
      </c>
      <c r="AS668" s="173"/>
      <c r="AT668" s="167">
        <f t="shared" si="172"/>
        <v>0</v>
      </c>
      <c r="AU668" s="163"/>
      <c r="AV668" s="163">
        <f t="shared" si="173"/>
        <v>0</v>
      </c>
      <c r="AW668" s="168"/>
      <c r="AX668" s="168">
        <f t="shared" si="174"/>
        <v>0</v>
      </c>
      <c r="AY668" s="170"/>
      <c r="AZ668" s="170">
        <f t="shared" si="175"/>
        <v>0</v>
      </c>
      <c r="BA668" s="166"/>
      <c r="BB668" s="166">
        <f t="shared" si="176"/>
        <v>0</v>
      </c>
    </row>
    <row r="669" spans="1:54" ht="31.5">
      <c r="A669" s="172" t="s">
        <v>7912</v>
      </c>
      <c r="B669" s="203" t="s">
        <v>736</v>
      </c>
      <c r="C669" s="203"/>
      <c r="D669" s="203"/>
      <c r="E669" s="203" t="s">
        <v>7914</v>
      </c>
      <c r="F669" s="205" t="s">
        <v>7916</v>
      </c>
      <c r="G669" s="205" t="s">
        <v>7917</v>
      </c>
      <c r="H669" s="204" t="s">
        <v>1115</v>
      </c>
      <c r="I669" s="204" t="s">
        <v>12</v>
      </c>
      <c r="J669" s="205" t="s">
        <v>7915</v>
      </c>
      <c r="K669" s="206">
        <v>4198</v>
      </c>
      <c r="L669" s="206"/>
      <c r="M669" s="159">
        <f t="shared" si="162"/>
        <v>0</v>
      </c>
      <c r="N669" s="159"/>
      <c r="O669" s="159"/>
      <c r="P669" s="159"/>
      <c r="Q669" s="159"/>
      <c r="R669" s="159"/>
      <c r="S669" s="149" t="s">
        <v>5830</v>
      </c>
      <c r="T669" s="149" t="s">
        <v>5831</v>
      </c>
      <c r="U669" s="202" t="s">
        <v>7913</v>
      </c>
      <c r="V669" s="204">
        <v>3</v>
      </c>
      <c r="W669" s="203" t="s">
        <v>5104</v>
      </c>
      <c r="X669" s="204" t="s">
        <v>213</v>
      </c>
      <c r="Y669" s="206">
        <v>4400</v>
      </c>
      <c r="Z669" s="207">
        <v>60000</v>
      </c>
      <c r="AA669" s="207">
        <f t="shared" si="163"/>
        <v>251880000</v>
      </c>
      <c r="AB669" s="157">
        <v>60000</v>
      </c>
      <c r="AC669" s="158">
        <f t="shared" si="161"/>
        <v>60000</v>
      </c>
      <c r="AD669" s="159">
        <f t="shared" si="164"/>
        <v>0</v>
      </c>
      <c r="AE669" s="160"/>
      <c r="AF669" s="160">
        <f t="shared" si="165"/>
        <v>0</v>
      </c>
      <c r="AG669" s="165"/>
      <c r="AH669" s="161">
        <f t="shared" si="166"/>
        <v>0</v>
      </c>
      <c r="AI669" s="162"/>
      <c r="AJ669" s="162">
        <f t="shared" si="167"/>
        <v>0</v>
      </c>
      <c r="AK669" s="164"/>
      <c r="AL669" s="164">
        <f t="shared" si="168"/>
        <v>0</v>
      </c>
      <c r="AM669" s="165"/>
      <c r="AN669" s="165">
        <f t="shared" si="169"/>
        <v>0</v>
      </c>
      <c r="AO669" s="166">
        <v>0</v>
      </c>
      <c r="AP669" s="166">
        <f t="shared" si="170"/>
        <v>0</v>
      </c>
      <c r="AQ669" s="162"/>
      <c r="AR669" s="162">
        <f t="shared" si="171"/>
        <v>0</v>
      </c>
      <c r="AS669" s="173"/>
      <c r="AT669" s="167">
        <f t="shared" si="172"/>
        <v>0</v>
      </c>
      <c r="AU669" s="163"/>
      <c r="AV669" s="163">
        <f t="shared" si="173"/>
        <v>0</v>
      </c>
      <c r="AW669" s="168"/>
      <c r="AX669" s="168">
        <f t="shared" si="174"/>
        <v>0</v>
      </c>
      <c r="AY669" s="170"/>
      <c r="AZ669" s="170">
        <f t="shared" si="175"/>
        <v>0</v>
      </c>
      <c r="BA669" s="166"/>
      <c r="BB669" s="166">
        <f t="shared" si="176"/>
        <v>0</v>
      </c>
    </row>
    <row r="670" spans="1:54" ht="31.5">
      <c r="A670" s="148" t="s">
        <v>7918</v>
      </c>
      <c r="B670" s="203" t="s">
        <v>736</v>
      </c>
      <c r="C670" s="203"/>
      <c r="D670" s="203"/>
      <c r="E670" s="203" t="s">
        <v>7921</v>
      </c>
      <c r="F670" s="205" t="s">
        <v>7923</v>
      </c>
      <c r="G670" s="205" t="s">
        <v>7353</v>
      </c>
      <c r="H670" s="204" t="s">
        <v>7920</v>
      </c>
      <c r="I670" s="204" t="s">
        <v>13</v>
      </c>
      <c r="J670" s="205" t="s">
        <v>7922</v>
      </c>
      <c r="K670" s="206">
        <v>2870</v>
      </c>
      <c r="L670" s="206"/>
      <c r="M670" s="159">
        <f t="shared" si="162"/>
        <v>0</v>
      </c>
      <c r="N670" s="159"/>
      <c r="O670" s="159"/>
      <c r="P670" s="159"/>
      <c r="Q670" s="159"/>
      <c r="R670" s="159"/>
      <c r="S670" s="149" t="s">
        <v>6224</v>
      </c>
      <c r="T670" s="149" t="s">
        <v>6225</v>
      </c>
      <c r="U670" s="202" t="s">
        <v>7919</v>
      </c>
      <c r="V670" s="204">
        <v>3</v>
      </c>
      <c r="W670" s="203" t="s">
        <v>5104</v>
      </c>
      <c r="X670" s="204" t="s">
        <v>213</v>
      </c>
      <c r="Y670" s="206">
        <v>2940</v>
      </c>
      <c r="Z670" s="207">
        <v>60000</v>
      </c>
      <c r="AA670" s="207">
        <f t="shared" si="163"/>
        <v>172200000</v>
      </c>
      <c r="AB670" s="157">
        <v>60000</v>
      </c>
      <c r="AC670" s="158">
        <f t="shared" si="161"/>
        <v>60000</v>
      </c>
      <c r="AD670" s="159">
        <f t="shared" si="164"/>
        <v>0</v>
      </c>
      <c r="AE670" s="160"/>
      <c r="AF670" s="160">
        <f t="shared" si="165"/>
        <v>0</v>
      </c>
      <c r="AG670" s="165"/>
      <c r="AH670" s="161">
        <f t="shared" si="166"/>
        <v>0</v>
      </c>
      <c r="AI670" s="162"/>
      <c r="AJ670" s="162">
        <f t="shared" si="167"/>
        <v>0</v>
      </c>
      <c r="AK670" s="164"/>
      <c r="AL670" s="164">
        <f t="shared" si="168"/>
        <v>0</v>
      </c>
      <c r="AM670" s="165"/>
      <c r="AN670" s="165">
        <f t="shared" si="169"/>
        <v>0</v>
      </c>
      <c r="AO670" s="166">
        <v>0</v>
      </c>
      <c r="AP670" s="166">
        <f t="shared" si="170"/>
        <v>0</v>
      </c>
      <c r="AQ670" s="162"/>
      <c r="AR670" s="162">
        <f t="shared" si="171"/>
        <v>0</v>
      </c>
      <c r="AS670" s="173"/>
      <c r="AT670" s="167">
        <f t="shared" si="172"/>
        <v>0</v>
      </c>
      <c r="AU670" s="163"/>
      <c r="AV670" s="163">
        <f t="shared" si="173"/>
        <v>0</v>
      </c>
      <c r="AW670" s="168"/>
      <c r="AX670" s="168">
        <f t="shared" si="174"/>
        <v>0</v>
      </c>
      <c r="AY670" s="170"/>
      <c r="AZ670" s="170">
        <f t="shared" si="175"/>
        <v>0</v>
      </c>
      <c r="BA670" s="166"/>
      <c r="BB670" s="166">
        <f t="shared" si="176"/>
        <v>0</v>
      </c>
    </row>
    <row r="671" spans="1:54" ht="31.5">
      <c r="A671" s="148" t="s">
        <v>7924</v>
      </c>
      <c r="B671" s="203" t="s">
        <v>1311</v>
      </c>
      <c r="C671" s="203"/>
      <c r="D671" s="203"/>
      <c r="E671" s="203" t="s">
        <v>1312</v>
      </c>
      <c r="F671" s="205" t="s">
        <v>7926</v>
      </c>
      <c r="G671" s="205" t="s">
        <v>7001</v>
      </c>
      <c r="H671" s="204" t="s">
        <v>1313</v>
      </c>
      <c r="I671" s="204" t="s">
        <v>11</v>
      </c>
      <c r="J671" s="205" t="s">
        <v>7925</v>
      </c>
      <c r="K671" s="206">
        <v>118</v>
      </c>
      <c r="L671" s="206"/>
      <c r="M671" s="159">
        <f t="shared" si="162"/>
        <v>25350</v>
      </c>
      <c r="N671" s="159"/>
      <c r="O671" s="159"/>
      <c r="P671" s="159"/>
      <c r="Q671" s="159"/>
      <c r="R671" s="159"/>
      <c r="S671" s="150" t="s">
        <v>360</v>
      </c>
      <c r="T671" s="150" t="s">
        <v>358</v>
      </c>
      <c r="U671" s="202" t="s">
        <v>4128</v>
      </c>
      <c r="V671" s="204">
        <v>3</v>
      </c>
      <c r="W671" s="203" t="s">
        <v>253</v>
      </c>
      <c r="X671" s="204" t="s">
        <v>213</v>
      </c>
      <c r="Y671" s="206">
        <v>1300</v>
      </c>
      <c r="Z671" s="207">
        <v>50000</v>
      </c>
      <c r="AA671" s="207">
        <f t="shared" si="163"/>
        <v>5900000</v>
      </c>
      <c r="AB671" s="157">
        <v>50000</v>
      </c>
      <c r="AC671" s="158">
        <f t="shared" si="161"/>
        <v>24650</v>
      </c>
      <c r="AD671" s="159">
        <f t="shared" si="164"/>
        <v>2991300</v>
      </c>
      <c r="AE671" s="160"/>
      <c r="AF671" s="160">
        <f t="shared" si="165"/>
        <v>0</v>
      </c>
      <c r="AG671" s="161">
        <v>23400</v>
      </c>
      <c r="AH671" s="161">
        <f t="shared" si="166"/>
        <v>2761200</v>
      </c>
      <c r="AI671" s="162"/>
      <c r="AJ671" s="162">
        <f t="shared" si="167"/>
        <v>0</v>
      </c>
      <c r="AK671" s="164"/>
      <c r="AL671" s="164">
        <f t="shared" si="168"/>
        <v>0</v>
      </c>
      <c r="AM671" s="165"/>
      <c r="AN671" s="165">
        <f t="shared" si="169"/>
        <v>0</v>
      </c>
      <c r="AO671" s="166">
        <v>0</v>
      </c>
      <c r="AP671" s="166">
        <f t="shared" si="170"/>
        <v>0</v>
      </c>
      <c r="AQ671" s="162"/>
      <c r="AR671" s="162">
        <f t="shared" si="171"/>
        <v>0</v>
      </c>
      <c r="AS671" s="167">
        <v>1950</v>
      </c>
      <c r="AT671" s="167">
        <f t="shared" si="172"/>
        <v>230100</v>
      </c>
      <c r="AU671" s="163"/>
      <c r="AV671" s="163">
        <f t="shared" si="173"/>
        <v>0</v>
      </c>
      <c r="AW671" s="168"/>
      <c r="AX671" s="168">
        <f t="shared" si="174"/>
        <v>0</v>
      </c>
      <c r="AY671" s="170"/>
      <c r="AZ671" s="170">
        <f t="shared" si="175"/>
        <v>0</v>
      </c>
      <c r="BA671" s="166"/>
      <c r="BB671" s="166">
        <f t="shared" si="176"/>
        <v>0</v>
      </c>
    </row>
    <row r="672" spans="1:54" ht="31.5">
      <c r="A672" s="172" t="s">
        <v>7927</v>
      </c>
      <c r="B672" s="203" t="s">
        <v>7929</v>
      </c>
      <c r="C672" s="203"/>
      <c r="D672" s="203"/>
      <c r="E672" s="203" t="s">
        <v>7930</v>
      </c>
      <c r="F672" s="205" t="s">
        <v>7932</v>
      </c>
      <c r="G672" s="205" t="s">
        <v>7211</v>
      </c>
      <c r="H672" s="204" t="s">
        <v>232</v>
      </c>
      <c r="I672" s="204" t="s">
        <v>11</v>
      </c>
      <c r="J672" s="205" t="s">
        <v>7931</v>
      </c>
      <c r="K672" s="206">
        <v>1690</v>
      </c>
      <c r="L672" s="206"/>
      <c r="M672" s="159">
        <f t="shared" si="162"/>
        <v>0</v>
      </c>
      <c r="N672" s="159"/>
      <c r="O672" s="159"/>
      <c r="P672" s="159"/>
      <c r="Q672" s="159"/>
      <c r="R672" s="159"/>
      <c r="S672" s="150" t="s">
        <v>5328</v>
      </c>
      <c r="T672" s="150" t="s">
        <v>215</v>
      </c>
      <c r="U672" s="202" t="s">
        <v>7928</v>
      </c>
      <c r="V672" s="204">
        <v>3</v>
      </c>
      <c r="W672" s="203" t="s">
        <v>5104</v>
      </c>
      <c r="X672" s="204" t="s">
        <v>213</v>
      </c>
      <c r="Y672" s="206">
        <v>3500</v>
      </c>
      <c r="Z672" s="207">
        <v>30000</v>
      </c>
      <c r="AA672" s="207">
        <f t="shared" si="163"/>
        <v>50700000</v>
      </c>
      <c r="AB672" s="157">
        <v>30000</v>
      </c>
      <c r="AC672" s="158">
        <f t="shared" si="161"/>
        <v>30000</v>
      </c>
      <c r="AD672" s="159">
        <f t="shared" si="164"/>
        <v>0</v>
      </c>
      <c r="AE672" s="160"/>
      <c r="AF672" s="160">
        <f t="shared" si="165"/>
        <v>0</v>
      </c>
      <c r="AG672" s="165"/>
      <c r="AH672" s="161">
        <f t="shared" si="166"/>
        <v>0</v>
      </c>
      <c r="AI672" s="162"/>
      <c r="AJ672" s="162">
        <f t="shared" si="167"/>
        <v>0</v>
      </c>
      <c r="AK672" s="163"/>
      <c r="AL672" s="164">
        <f t="shared" si="168"/>
        <v>0</v>
      </c>
      <c r="AM672" s="161"/>
      <c r="AN672" s="165">
        <f t="shared" si="169"/>
        <v>0</v>
      </c>
      <c r="AO672" s="160">
        <v>0</v>
      </c>
      <c r="AP672" s="166">
        <f t="shared" si="170"/>
        <v>0</v>
      </c>
      <c r="AQ672" s="162"/>
      <c r="AR672" s="162">
        <f t="shared" si="171"/>
        <v>0</v>
      </c>
      <c r="AS672" s="173"/>
      <c r="AT672" s="167">
        <f t="shared" si="172"/>
        <v>0</v>
      </c>
      <c r="AU672" s="163"/>
      <c r="AV672" s="163">
        <f t="shared" si="173"/>
        <v>0</v>
      </c>
      <c r="AW672" s="162"/>
      <c r="AX672" s="168">
        <f t="shared" si="174"/>
        <v>0</v>
      </c>
      <c r="AY672" s="169"/>
      <c r="AZ672" s="170">
        <f t="shared" si="175"/>
        <v>0</v>
      </c>
      <c r="BA672" s="160"/>
      <c r="BB672" s="166">
        <f t="shared" si="176"/>
        <v>0</v>
      </c>
    </row>
    <row r="673" spans="1:54" ht="31.5">
      <c r="A673" s="148" t="s">
        <v>7933</v>
      </c>
      <c r="B673" s="203" t="s">
        <v>392</v>
      </c>
      <c r="C673" s="203"/>
      <c r="D673" s="203"/>
      <c r="E673" s="203" t="s">
        <v>3472</v>
      </c>
      <c r="F673" s="205" t="s">
        <v>7935</v>
      </c>
      <c r="G673" s="205" t="s">
        <v>2385</v>
      </c>
      <c r="H673" s="204" t="s">
        <v>267</v>
      </c>
      <c r="I673" s="204" t="s">
        <v>11</v>
      </c>
      <c r="J673" s="205" t="s">
        <v>7934</v>
      </c>
      <c r="K673" s="206">
        <v>287</v>
      </c>
      <c r="L673" s="206"/>
      <c r="M673" s="159">
        <f t="shared" si="162"/>
        <v>500</v>
      </c>
      <c r="N673" s="159"/>
      <c r="O673" s="159"/>
      <c r="P673" s="159"/>
      <c r="Q673" s="159"/>
      <c r="R673" s="159"/>
      <c r="S673" s="149" t="s">
        <v>2385</v>
      </c>
      <c r="T673" s="150" t="s">
        <v>2380</v>
      </c>
      <c r="U673" s="202" t="s">
        <v>4411</v>
      </c>
      <c r="V673" s="204">
        <v>3</v>
      </c>
      <c r="W673" s="203" t="s">
        <v>253</v>
      </c>
      <c r="X673" s="204" t="s">
        <v>213</v>
      </c>
      <c r="Y673" s="206">
        <v>1200</v>
      </c>
      <c r="Z673" s="207">
        <v>50000</v>
      </c>
      <c r="AA673" s="207">
        <f t="shared" si="163"/>
        <v>14350000</v>
      </c>
      <c r="AB673" s="157">
        <v>50000</v>
      </c>
      <c r="AC673" s="158">
        <f t="shared" si="161"/>
        <v>49500</v>
      </c>
      <c r="AD673" s="159">
        <f t="shared" si="164"/>
        <v>143500</v>
      </c>
      <c r="AE673" s="160"/>
      <c r="AF673" s="160">
        <f t="shared" si="165"/>
        <v>0</v>
      </c>
      <c r="AG673" s="165"/>
      <c r="AH673" s="161">
        <f t="shared" si="166"/>
        <v>0</v>
      </c>
      <c r="AI673" s="162"/>
      <c r="AJ673" s="162">
        <f t="shared" si="167"/>
        <v>0</v>
      </c>
      <c r="AK673" s="164"/>
      <c r="AL673" s="164">
        <f t="shared" si="168"/>
        <v>0</v>
      </c>
      <c r="AM673" s="165">
        <v>500</v>
      </c>
      <c r="AN673" s="165">
        <f t="shared" si="169"/>
        <v>143500</v>
      </c>
      <c r="AO673" s="166">
        <v>0</v>
      </c>
      <c r="AP673" s="166">
        <f t="shared" si="170"/>
        <v>0</v>
      </c>
      <c r="AQ673" s="162"/>
      <c r="AR673" s="162">
        <f t="shared" si="171"/>
        <v>0</v>
      </c>
      <c r="AS673" s="173"/>
      <c r="AT673" s="167">
        <f t="shared" si="172"/>
        <v>0</v>
      </c>
      <c r="AU673" s="163"/>
      <c r="AV673" s="163">
        <f t="shared" si="173"/>
        <v>0</v>
      </c>
      <c r="AW673" s="168"/>
      <c r="AX673" s="168">
        <f t="shared" si="174"/>
        <v>0</v>
      </c>
      <c r="AY673" s="170"/>
      <c r="AZ673" s="170">
        <f t="shared" si="175"/>
        <v>0</v>
      </c>
      <c r="BA673" s="166"/>
      <c r="BB673" s="166">
        <f t="shared" si="176"/>
        <v>0</v>
      </c>
    </row>
    <row r="674" spans="1:54">
      <c r="A674" s="148" t="s">
        <v>7936</v>
      </c>
      <c r="B674" s="203" t="s">
        <v>634</v>
      </c>
      <c r="C674" s="203"/>
      <c r="D674" s="203"/>
      <c r="E674" s="203" t="s">
        <v>3998</v>
      </c>
      <c r="F674" s="205" t="s">
        <v>2960</v>
      </c>
      <c r="G674" s="205" t="s">
        <v>7940</v>
      </c>
      <c r="H674" s="204" t="s">
        <v>235</v>
      </c>
      <c r="I674" s="204" t="s">
        <v>11</v>
      </c>
      <c r="J674" s="205" t="s">
        <v>7939</v>
      </c>
      <c r="K674" s="206">
        <v>315</v>
      </c>
      <c r="L674" s="206"/>
      <c r="M674" s="159">
        <f t="shared" si="162"/>
        <v>8000</v>
      </c>
      <c r="N674" s="159"/>
      <c r="O674" s="159"/>
      <c r="P674" s="159"/>
      <c r="Q674" s="159"/>
      <c r="R674" s="159"/>
      <c r="S674" s="149" t="s">
        <v>7937</v>
      </c>
      <c r="T674" s="149" t="s">
        <v>7938</v>
      </c>
      <c r="U674" s="202" t="s">
        <v>3997</v>
      </c>
      <c r="V674" s="204">
        <v>3</v>
      </c>
      <c r="W674" s="203" t="s">
        <v>5104</v>
      </c>
      <c r="X674" s="204" t="s">
        <v>213</v>
      </c>
      <c r="Y674" s="206">
        <v>3500</v>
      </c>
      <c r="Z674" s="207">
        <v>30000</v>
      </c>
      <c r="AA674" s="207">
        <f t="shared" si="163"/>
        <v>9450000</v>
      </c>
      <c r="AB674" s="157">
        <v>30000</v>
      </c>
      <c r="AC674" s="158">
        <f t="shared" si="161"/>
        <v>22000</v>
      </c>
      <c r="AD674" s="159">
        <f t="shared" si="164"/>
        <v>2520000</v>
      </c>
      <c r="AE674" s="160"/>
      <c r="AF674" s="160">
        <f t="shared" si="165"/>
        <v>0</v>
      </c>
      <c r="AG674" s="165">
        <v>8000</v>
      </c>
      <c r="AH674" s="161">
        <f t="shared" si="166"/>
        <v>2520000</v>
      </c>
      <c r="AI674" s="162"/>
      <c r="AJ674" s="162">
        <f t="shared" si="167"/>
        <v>0</v>
      </c>
      <c r="AK674" s="164"/>
      <c r="AL674" s="164">
        <f t="shared" si="168"/>
        <v>0</v>
      </c>
      <c r="AM674" s="165"/>
      <c r="AN674" s="165">
        <f t="shared" si="169"/>
        <v>0</v>
      </c>
      <c r="AO674" s="166">
        <v>0</v>
      </c>
      <c r="AP674" s="166">
        <f t="shared" si="170"/>
        <v>0</v>
      </c>
      <c r="AQ674" s="162"/>
      <c r="AR674" s="162">
        <f t="shared" si="171"/>
        <v>0</v>
      </c>
      <c r="AS674" s="173"/>
      <c r="AT674" s="167">
        <f t="shared" si="172"/>
        <v>0</v>
      </c>
      <c r="AU674" s="163"/>
      <c r="AV674" s="163">
        <f t="shared" si="173"/>
        <v>0</v>
      </c>
      <c r="AW674" s="168"/>
      <c r="AX674" s="168">
        <f t="shared" si="174"/>
        <v>0</v>
      </c>
      <c r="AY674" s="170"/>
      <c r="AZ674" s="170">
        <f t="shared" si="175"/>
        <v>0</v>
      </c>
      <c r="BA674" s="166"/>
      <c r="BB674" s="166">
        <f t="shared" si="176"/>
        <v>0</v>
      </c>
    </row>
    <row r="675" spans="1:54" ht="31.5">
      <c r="A675" s="172" t="s">
        <v>7941</v>
      </c>
      <c r="B675" s="203" t="s">
        <v>572</v>
      </c>
      <c r="C675" s="203"/>
      <c r="D675" s="203"/>
      <c r="E675" s="203" t="s">
        <v>573</v>
      </c>
      <c r="F675" s="205" t="s">
        <v>7943</v>
      </c>
      <c r="G675" s="205" t="s">
        <v>7575</v>
      </c>
      <c r="H675" s="204" t="s">
        <v>235</v>
      </c>
      <c r="I675" s="204" t="s">
        <v>11</v>
      </c>
      <c r="J675" s="205" t="s">
        <v>7579</v>
      </c>
      <c r="K675" s="206">
        <v>530</v>
      </c>
      <c r="L675" s="206"/>
      <c r="M675" s="159">
        <f t="shared" si="162"/>
        <v>0</v>
      </c>
      <c r="N675" s="159"/>
      <c r="O675" s="159"/>
      <c r="P675" s="159"/>
      <c r="Q675" s="159"/>
      <c r="R675" s="159"/>
      <c r="S675" s="150" t="s">
        <v>5328</v>
      </c>
      <c r="T675" s="150" t="s">
        <v>215</v>
      </c>
      <c r="U675" s="202" t="s">
        <v>7942</v>
      </c>
      <c r="V675" s="204">
        <v>3</v>
      </c>
      <c r="W675" s="203" t="s">
        <v>253</v>
      </c>
      <c r="X675" s="204" t="s">
        <v>213</v>
      </c>
      <c r="Y675" s="206">
        <v>4500</v>
      </c>
      <c r="Z675" s="207">
        <v>80000</v>
      </c>
      <c r="AA675" s="207">
        <f t="shared" si="163"/>
        <v>42400000</v>
      </c>
      <c r="AB675" s="157">
        <v>80000</v>
      </c>
      <c r="AC675" s="158">
        <f t="shared" si="161"/>
        <v>80000</v>
      </c>
      <c r="AD675" s="159">
        <f t="shared" si="164"/>
        <v>0</v>
      </c>
      <c r="AE675" s="160"/>
      <c r="AF675" s="160">
        <f t="shared" si="165"/>
        <v>0</v>
      </c>
      <c r="AG675" s="165"/>
      <c r="AH675" s="161">
        <f t="shared" si="166"/>
        <v>0</v>
      </c>
      <c r="AI675" s="162"/>
      <c r="AJ675" s="162">
        <f t="shared" si="167"/>
        <v>0</v>
      </c>
      <c r="AK675" s="164"/>
      <c r="AL675" s="164">
        <f t="shared" si="168"/>
        <v>0</v>
      </c>
      <c r="AM675" s="165"/>
      <c r="AN675" s="165">
        <f t="shared" si="169"/>
        <v>0</v>
      </c>
      <c r="AO675" s="166">
        <v>0</v>
      </c>
      <c r="AP675" s="166">
        <f t="shared" si="170"/>
        <v>0</v>
      </c>
      <c r="AQ675" s="162"/>
      <c r="AR675" s="162">
        <f t="shared" si="171"/>
        <v>0</v>
      </c>
      <c r="AS675" s="173"/>
      <c r="AT675" s="167">
        <f t="shared" si="172"/>
        <v>0</v>
      </c>
      <c r="AU675" s="163"/>
      <c r="AV675" s="163">
        <f t="shared" si="173"/>
        <v>0</v>
      </c>
      <c r="AW675" s="168"/>
      <c r="AX675" s="168">
        <f t="shared" si="174"/>
        <v>0</v>
      </c>
      <c r="AY675" s="170"/>
      <c r="AZ675" s="170">
        <f t="shared" si="175"/>
        <v>0</v>
      </c>
      <c r="BA675" s="166"/>
      <c r="BB675" s="166">
        <f t="shared" si="176"/>
        <v>0</v>
      </c>
    </row>
    <row r="676" spans="1:54" ht="31.5">
      <c r="A676" s="148" t="s">
        <v>7944</v>
      </c>
      <c r="B676" s="203" t="s">
        <v>638</v>
      </c>
      <c r="C676" s="203"/>
      <c r="D676" s="203"/>
      <c r="E676" s="203" t="s">
        <v>7945</v>
      </c>
      <c r="F676" s="205" t="s">
        <v>1998</v>
      </c>
      <c r="G676" s="205" t="s">
        <v>1946</v>
      </c>
      <c r="H676" s="204" t="s">
        <v>429</v>
      </c>
      <c r="I676" s="204" t="s">
        <v>13</v>
      </c>
      <c r="J676" s="205" t="s">
        <v>7946</v>
      </c>
      <c r="K676" s="206">
        <v>1533</v>
      </c>
      <c r="L676" s="206"/>
      <c r="M676" s="159">
        <f t="shared" si="162"/>
        <v>0</v>
      </c>
      <c r="N676" s="159"/>
      <c r="O676" s="159"/>
      <c r="P676" s="159"/>
      <c r="Q676" s="159"/>
      <c r="R676" s="159"/>
      <c r="S676" s="150" t="s">
        <v>5340</v>
      </c>
      <c r="T676" s="150" t="s">
        <v>5341</v>
      </c>
      <c r="U676" s="202" t="s">
        <v>4351</v>
      </c>
      <c r="V676" s="204">
        <v>3</v>
      </c>
      <c r="W676" s="203" t="s">
        <v>5104</v>
      </c>
      <c r="X676" s="204" t="s">
        <v>213</v>
      </c>
      <c r="Y676" s="206">
        <v>2100</v>
      </c>
      <c r="Z676" s="207">
        <v>10000</v>
      </c>
      <c r="AA676" s="207">
        <f t="shared" si="163"/>
        <v>15330000</v>
      </c>
      <c r="AB676" s="157">
        <v>10000</v>
      </c>
      <c r="AC676" s="158">
        <f t="shared" si="161"/>
        <v>10000</v>
      </c>
      <c r="AD676" s="159">
        <f t="shared" si="164"/>
        <v>0</v>
      </c>
      <c r="AE676" s="160"/>
      <c r="AF676" s="160">
        <f t="shared" si="165"/>
        <v>0</v>
      </c>
      <c r="AG676" s="165"/>
      <c r="AH676" s="161">
        <f t="shared" si="166"/>
        <v>0</v>
      </c>
      <c r="AI676" s="162"/>
      <c r="AJ676" s="162">
        <f t="shared" si="167"/>
        <v>0</v>
      </c>
      <c r="AK676" s="164"/>
      <c r="AL676" s="164">
        <f t="shared" si="168"/>
        <v>0</v>
      </c>
      <c r="AM676" s="165"/>
      <c r="AN676" s="165">
        <f t="shared" si="169"/>
        <v>0</v>
      </c>
      <c r="AO676" s="166">
        <v>0</v>
      </c>
      <c r="AP676" s="166">
        <f t="shared" si="170"/>
        <v>0</v>
      </c>
      <c r="AQ676" s="162"/>
      <c r="AR676" s="162">
        <f t="shared" si="171"/>
        <v>0</v>
      </c>
      <c r="AS676" s="173"/>
      <c r="AT676" s="167">
        <f t="shared" si="172"/>
        <v>0</v>
      </c>
      <c r="AU676" s="163"/>
      <c r="AV676" s="163">
        <f t="shared" si="173"/>
        <v>0</v>
      </c>
      <c r="AW676" s="168"/>
      <c r="AX676" s="168">
        <f t="shared" si="174"/>
        <v>0</v>
      </c>
      <c r="AY676" s="170"/>
      <c r="AZ676" s="170">
        <f t="shared" si="175"/>
        <v>0</v>
      </c>
      <c r="BA676" s="166"/>
      <c r="BB676" s="166">
        <f t="shared" si="176"/>
        <v>0</v>
      </c>
    </row>
    <row r="677" spans="1:54" ht="31.5">
      <c r="A677" s="148" t="s">
        <v>7947</v>
      </c>
      <c r="B677" s="203" t="s">
        <v>638</v>
      </c>
      <c r="C677" s="203"/>
      <c r="D677" s="203"/>
      <c r="E677" s="203" t="s">
        <v>7949</v>
      </c>
      <c r="F677" s="205" t="s">
        <v>7951</v>
      </c>
      <c r="G677" s="205" t="s">
        <v>621</v>
      </c>
      <c r="H677" s="204" t="s">
        <v>429</v>
      </c>
      <c r="I677" s="204" t="s">
        <v>13</v>
      </c>
      <c r="J677" s="205" t="s">
        <v>7950</v>
      </c>
      <c r="K677" s="206">
        <v>1176</v>
      </c>
      <c r="L677" s="206"/>
      <c r="M677" s="159">
        <f t="shared" si="162"/>
        <v>0</v>
      </c>
      <c r="N677" s="159"/>
      <c r="O677" s="159"/>
      <c r="P677" s="159"/>
      <c r="Q677" s="159"/>
      <c r="R677" s="159"/>
      <c r="S677" s="149" t="s">
        <v>6938</v>
      </c>
      <c r="T677" s="149" t="s">
        <v>6939</v>
      </c>
      <c r="U677" s="202" t="s">
        <v>7948</v>
      </c>
      <c r="V677" s="204">
        <v>3</v>
      </c>
      <c r="W677" s="203" t="s">
        <v>253</v>
      </c>
      <c r="X677" s="204" t="s">
        <v>213</v>
      </c>
      <c r="Y677" s="206">
        <v>4500</v>
      </c>
      <c r="Z677" s="207">
        <v>30000</v>
      </c>
      <c r="AA677" s="207">
        <f t="shared" si="163"/>
        <v>35280000</v>
      </c>
      <c r="AB677" s="157">
        <v>30000</v>
      </c>
      <c r="AC677" s="158">
        <f t="shared" si="161"/>
        <v>30000</v>
      </c>
      <c r="AD677" s="159">
        <f t="shared" si="164"/>
        <v>0</v>
      </c>
      <c r="AE677" s="160"/>
      <c r="AF677" s="160">
        <f t="shared" si="165"/>
        <v>0</v>
      </c>
      <c r="AG677" s="165"/>
      <c r="AH677" s="161">
        <f t="shared" si="166"/>
        <v>0</v>
      </c>
      <c r="AI677" s="162"/>
      <c r="AJ677" s="162">
        <f t="shared" si="167"/>
        <v>0</v>
      </c>
      <c r="AK677" s="164"/>
      <c r="AL677" s="164">
        <f t="shared" si="168"/>
        <v>0</v>
      </c>
      <c r="AM677" s="165"/>
      <c r="AN677" s="165">
        <f t="shared" si="169"/>
        <v>0</v>
      </c>
      <c r="AO677" s="166">
        <v>0</v>
      </c>
      <c r="AP677" s="166">
        <f t="shared" si="170"/>
        <v>0</v>
      </c>
      <c r="AQ677" s="162"/>
      <c r="AR677" s="162">
        <f t="shared" si="171"/>
        <v>0</v>
      </c>
      <c r="AS677" s="173"/>
      <c r="AT677" s="167">
        <f t="shared" si="172"/>
        <v>0</v>
      </c>
      <c r="AU677" s="163"/>
      <c r="AV677" s="163">
        <f t="shared" si="173"/>
        <v>0</v>
      </c>
      <c r="AW677" s="168"/>
      <c r="AX677" s="168">
        <f t="shared" si="174"/>
        <v>0</v>
      </c>
      <c r="AY677" s="170"/>
      <c r="AZ677" s="170">
        <f t="shared" si="175"/>
        <v>0</v>
      </c>
      <c r="BA677" s="166"/>
      <c r="BB677" s="166">
        <f t="shared" si="176"/>
        <v>0</v>
      </c>
    </row>
    <row r="678" spans="1:54" ht="31.5">
      <c r="A678" s="172" t="s">
        <v>7952</v>
      </c>
      <c r="B678" s="203" t="s">
        <v>2038</v>
      </c>
      <c r="C678" s="203"/>
      <c r="D678" s="203"/>
      <c r="E678" s="203" t="s">
        <v>3763</v>
      </c>
      <c r="F678" s="205" t="s">
        <v>7954</v>
      </c>
      <c r="G678" s="205" t="s">
        <v>7011</v>
      </c>
      <c r="H678" s="204" t="s">
        <v>225</v>
      </c>
      <c r="I678" s="204" t="s">
        <v>11</v>
      </c>
      <c r="J678" s="205" t="s">
        <v>7953</v>
      </c>
      <c r="K678" s="206">
        <v>420</v>
      </c>
      <c r="L678" s="206"/>
      <c r="M678" s="159">
        <f t="shared" si="162"/>
        <v>34920</v>
      </c>
      <c r="N678" s="159"/>
      <c r="O678" s="159"/>
      <c r="P678" s="159"/>
      <c r="Q678" s="159"/>
      <c r="R678" s="159"/>
      <c r="S678" s="150" t="s">
        <v>5323</v>
      </c>
      <c r="T678" s="150" t="s">
        <v>5324</v>
      </c>
      <c r="U678" s="202" t="s">
        <v>3762</v>
      </c>
      <c r="V678" s="204">
        <v>3</v>
      </c>
      <c r="W678" s="203" t="s">
        <v>5104</v>
      </c>
      <c r="X678" s="204" t="s">
        <v>213</v>
      </c>
      <c r="Y678" s="206">
        <v>1155</v>
      </c>
      <c r="Z678" s="207">
        <v>200000</v>
      </c>
      <c r="AA678" s="207">
        <f t="shared" si="163"/>
        <v>84000000</v>
      </c>
      <c r="AB678" s="157">
        <v>200000</v>
      </c>
      <c r="AC678" s="158">
        <f t="shared" si="161"/>
        <v>165080</v>
      </c>
      <c r="AD678" s="159">
        <f t="shared" si="164"/>
        <v>14666400</v>
      </c>
      <c r="AE678" s="160"/>
      <c r="AF678" s="160">
        <f t="shared" si="165"/>
        <v>0</v>
      </c>
      <c r="AG678" s="161"/>
      <c r="AH678" s="161">
        <f t="shared" si="166"/>
        <v>0</v>
      </c>
      <c r="AI678" s="162"/>
      <c r="AJ678" s="162">
        <f t="shared" si="167"/>
        <v>0</v>
      </c>
      <c r="AK678" s="163"/>
      <c r="AL678" s="164">
        <f t="shared" si="168"/>
        <v>0</v>
      </c>
      <c r="AM678" s="161"/>
      <c r="AN678" s="165">
        <f t="shared" si="169"/>
        <v>0</v>
      </c>
      <c r="AO678" s="160">
        <v>0</v>
      </c>
      <c r="AP678" s="166">
        <f t="shared" si="170"/>
        <v>0</v>
      </c>
      <c r="AQ678" s="162"/>
      <c r="AR678" s="162">
        <f t="shared" si="171"/>
        <v>0</v>
      </c>
      <c r="AS678" s="167">
        <v>34920</v>
      </c>
      <c r="AT678" s="167">
        <f t="shared" si="172"/>
        <v>14666400</v>
      </c>
      <c r="AU678" s="163"/>
      <c r="AV678" s="163">
        <f t="shared" si="173"/>
        <v>0</v>
      </c>
      <c r="AW678" s="162"/>
      <c r="AX678" s="168">
        <f t="shared" si="174"/>
        <v>0</v>
      </c>
      <c r="AY678" s="169"/>
      <c r="AZ678" s="170">
        <f t="shared" si="175"/>
        <v>0</v>
      </c>
      <c r="BA678" s="160"/>
      <c r="BB678" s="166">
        <f t="shared" si="176"/>
        <v>0</v>
      </c>
    </row>
    <row r="679" spans="1:54" s="115" customFormat="1" ht="53.25" customHeight="1">
      <c r="A679" s="148" t="s">
        <v>7955</v>
      </c>
      <c r="B679" s="203" t="s">
        <v>1132</v>
      </c>
      <c r="C679" s="203"/>
      <c r="D679" s="203"/>
      <c r="E679" s="203" t="s">
        <v>1132</v>
      </c>
      <c r="F679" s="205" t="s">
        <v>7956</v>
      </c>
      <c r="G679" s="205" t="s">
        <v>7001</v>
      </c>
      <c r="H679" s="204" t="s">
        <v>291</v>
      </c>
      <c r="I679" s="204" t="s">
        <v>11</v>
      </c>
      <c r="J679" s="205" t="s">
        <v>7142</v>
      </c>
      <c r="K679" s="206">
        <v>288</v>
      </c>
      <c r="L679" s="206"/>
      <c r="M679" s="159">
        <f t="shared" si="162"/>
        <v>0</v>
      </c>
      <c r="N679" s="159"/>
      <c r="O679" s="159"/>
      <c r="P679" s="159"/>
      <c r="Q679" s="159"/>
      <c r="R679" s="159"/>
      <c r="S679" s="150" t="s">
        <v>360</v>
      </c>
      <c r="T679" s="150" t="s">
        <v>358</v>
      </c>
      <c r="U679" s="202" t="s">
        <v>3808</v>
      </c>
      <c r="V679" s="204">
        <v>3</v>
      </c>
      <c r="W679" s="203" t="s">
        <v>5104</v>
      </c>
      <c r="X679" s="204" t="s">
        <v>213</v>
      </c>
      <c r="Y679" s="206">
        <v>900</v>
      </c>
      <c r="Z679" s="207">
        <v>15000</v>
      </c>
      <c r="AA679" s="207">
        <f t="shared" si="163"/>
        <v>4320000</v>
      </c>
      <c r="AB679" s="157">
        <v>15000</v>
      </c>
      <c r="AC679" s="158">
        <f t="shared" si="161"/>
        <v>15000</v>
      </c>
      <c r="AD679" s="159">
        <f t="shared" si="164"/>
        <v>0</v>
      </c>
      <c r="AE679" s="160"/>
      <c r="AF679" s="160">
        <f t="shared" si="165"/>
        <v>0</v>
      </c>
      <c r="AG679" s="161"/>
      <c r="AH679" s="161">
        <f t="shared" si="166"/>
        <v>0</v>
      </c>
      <c r="AI679" s="162"/>
      <c r="AJ679" s="162">
        <f t="shared" si="167"/>
        <v>0</v>
      </c>
      <c r="AK679" s="163"/>
      <c r="AL679" s="164">
        <f t="shared" si="168"/>
        <v>0</v>
      </c>
      <c r="AM679" s="161"/>
      <c r="AN679" s="165">
        <f t="shared" si="169"/>
        <v>0</v>
      </c>
      <c r="AO679" s="160">
        <v>0</v>
      </c>
      <c r="AP679" s="166">
        <f t="shared" si="170"/>
        <v>0</v>
      </c>
      <c r="AQ679" s="162"/>
      <c r="AR679" s="162">
        <f t="shared" si="171"/>
        <v>0</v>
      </c>
      <c r="AS679" s="167"/>
      <c r="AT679" s="167">
        <f t="shared" si="172"/>
        <v>0</v>
      </c>
      <c r="AU679" s="163"/>
      <c r="AV679" s="163">
        <f t="shared" si="173"/>
        <v>0</v>
      </c>
      <c r="AW679" s="162"/>
      <c r="AX679" s="168">
        <f t="shared" si="174"/>
        <v>0</v>
      </c>
      <c r="AY679" s="169"/>
      <c r="AZ679" s="170">
        <f t="shared" si="175"/>
        <v>0</v>
      </c>
      <c r="BA679" s="160"/>
      <c r="BB679" s="166">
        <f t="shared" si="176"/>
        <v>0</v>
      </c>
    </row>
    <row r="680" spans="1:54" s="115" customFormat="1" ht="31.5">
      <c r="A680" s="148" t="s">
        <v>7957</v>
      </c>
      <c r="B680" s="203" t="s">
        <v>1333</v>
      </c>
      <c r="C680" s="203"/>
      <c r="D680" s="203"/>
      <c r="E680" s="203" t="s">
        <v>630</v>
      </c>
      <c r="F680" s="205" t="s">
        <v>633</v>
      </c>
      <c r="G680" s="205" t="s">
        <v>621</v>
      </c>
      <c r="H680" s="204" t="s">
        <v>3716</v>
      </c>
      <c r="I680" s="204" t="s">
        <v>15</v>
      </c>
      <c r="J680" s="205" t="s">
        <v>7958</v>
      </c>
      <c r="K680" s="206">
        <v>6132</v>
      </c>
      <c r="L680" s="206"/>
      <c r="M680" s="159">
        <f t="shared" si="162"/>
        <v>60</v>
      </c>
      <c r="N680" s="159"/>
      <c r="O680" s="159"/>
      <c r="P680" s="159"/>
      <c r="Q680" s="159"/>
      <c r="R680" s="159"/>
      <c r="S680" s="149" t="s">
        <v>6938</v>
      </c>
      <c r="T680" s="149" t="s">
        <v>6939</v>
      </c>
      <c r="U680" s="202" t="s">
        <v>3715</v>
      </c>
      <c r="V680" s="204">
        <v>3</v>
      </c>
      <c r="W680" s="203" t="s">
        <v>6941</v>
      </c>
      <c r="X680" s="204" t="s">
        <v>213</v>
      </c>
      <c r="Y680" s="206">
        <v>14000</v>
      </c>
      <c r="Z680" s="207">
        <v>5000</v>
      </c>
      <c r="AA680" s="207">
        <f t="shared" si="163"/>
        <v>30660000</v>
      </c>
      <c r="AB680" s="157">
        <v>5000</v>
      </c>
      <c r="AC680" s="158">
        <f t="shared" si="161"/>
        <v>4940</v>
      </c>
      <c r="AD680" s="159">
        <f t="shared" si="164"/>
        <v>367920</v>
      </c>
      <c r="AE680" s="160"/>
      <c r="AF680" s="160">
        <f t="shared" si="165"/>
        <v>0</v>
      </c>
      <c r="AG680" s="165">
        <v>30</v>
      </c>
      <c r="AH680" s="161">
        <f t="shared" si="166"/>
        <v>183960</v>
      </c>
      <c r="AI680" s="162"/>
      <c r="AJ680" s="162">
        <f t="shared" si="167"/>
        <v>0</v>
      </c>
      <c r="AK680" s="163"/>
      <c r="AL680" s="164">
        <f t="shared" si="168"/>
        <v>0</v>
      </c>
      <c r="AM680" s="161"/>
      <c r="AN680" s="165">
        <f t="shared" si="169"/>
        <v>0</v>
      </c>
      <c r="AO680" s="160">
        <v>0</v>
      </c>
      <c r="AP680" s="166">
        <f t="shared" si="170"/>
        <v>0</v>
      </c>
      <c r="AQ680" s="162"/>
      <c r="AR680" s="162">
        <f t="shared" si="171"/>
        <v>0</v>
      </c>
      <c r="AS680" s="173">
        <v>30</v>
      </c>
      <c r="AT680" s="167">
        <f t="shared" si="172"/>
        <v>183960</v>
      </c>
      <c r="AU680" s="163"/>
      <c r="AV680" s="163">
        <f t="shared" si="173"/>
        <v>0</v>
      </c>
      <c r="AW680" s="162"/>
      <c r="AX680" s="168">
        <f t="shared" si="174"/>
        <v>0</v>
      </c>
      <c r="AY680" s="169"/>
      <c r="AZ680" s="170">
        <f t="shared" si="175"/>
        <v>0</v>
      </c>
      <c r="BA680" s="160"/>
      <c r="BB680" s="166">
        <f t="shared" si="176"/>
        <v>0</v>
      </c>
    </row>
    <row r="681" spans="1:54" s="115" customFormat="1">
      <c r="A681" s="172" t="s">
        <v>7959</v>
      </c>
      <c r="B681" s="203" t="s">
        <v>1333</v>
      </c>
      <c r="C681" s="203"/>
      <c r="D681" s="203"/>
      <c r="E681" s="203" t="s">
        <v>3945</v>
      </c>
      <c r="F681" s="205" t="s">
        <v>7961</v>
      </c>
      <c r="G681" s="205" t="s">
        <v>2385</v>
      </c>
      <c r="H681" s="204" t="s">
        <v>238</v>
      </c>
      <c r="I681" s="204" t="s">
        <v>11</v>
      </c>
      <c r="J681" s="205" t="s">
        <v>7960</v>
      </c>
      <c r="K681" s="206">
        <v>53</v>
      </c>
      <c r="L681" s="206"/>
      <c r="M681" s="159">
        <f t="shared" si="162"/>
        <v>10000</v>
      </c>
      <c r="N681" s="159"/>
      <c r="O681" s="159"/>
      <c r="P681" s="159"/>
      <c r="Q681" s="159"/>
      <c r="R681" s="159"/>
      <c r="S681" s="149" t="s">
        <v>2385</v>
      </c>
      <c r="T681" s="150" t="s">
        <v>2380</v>
      </c>
      <c r="U681" s="202" t="s">
        <v>3947</v>
      </c>
      <c r="V681" s="204">
        <v>3</v>
      </c>
      <c r="W681" s="203" t="s">
        <v>5104</v>
      </c>
      <c r="X681" s="204" t="s">
        <v>213</v>
      </c>
      <c r="Y681" s="206">
        <v>260</v>
      </c>
      <c r="Z681" s="207">
        <v>10000</v>
      </c>
      <c r="AA681" s="207">
        <f t="shared" si="163"/>
        <v>530000</v>
      </c>
      <c r="AB681" s="157">
        <v>10000</v>
      </c>
      <c r="AC681" s="158">
        <f t="shared" si="161"/>
        <v>0</v>
      </c>
      <c r="AD681" s="159">
        <f t="shared" si="164"/>
        <v>530000</v>
      </c>
      <c r="AE681" s="160"/>
      <c r="AF681" s="160">
        <f t="shared" si="165"/>
        <v>0</v>
      </c>
      <c r="AG681" s="165">
        <v>10000</v>
      </c>
      <c r="AH681" s="161">
        <f t="shared" si="166"/>
        <v>530000</v>
      </c>
      <c r="AI681" s="162"/>
      <c r="AJ681" s="162">
        <f t="shared" si="167"/>
        <v>0</v>
      </c>
      <c r="AK681" s="163"/>
      <c r="AL681" s="164">
        <f t="shared" si="168"/>
        <v>0</v>
      </c>
      <c r="AM681" s="161"/>
      <c r="AN681" s="165">
        <f t="shared" si="169"/>
        <v>0</v>
      </c>
      <c r="AO681" s="160">
        <v>0</v>
      </c>
      <c r="AP681" s="166">
        <f t="shared" si="170"/>
        <v>0</v>
      </c>
      <c r="AQ681" s="162"/>
      <c r="AR681" s="162">
        <f t="shared" si="171"/>
        <v>0</v>
      </c>
      <c r="AS681" s="173"/>
      <c r="AT681" s="167">
        <f t="shared" si="172"/>
        <v>0</v>
      </c>
      <c r="AU681" s="163"/>
      <c r="AV681" s="163">
        <f t="shared" si="173"/>
        <v>0</v>
      </c>
      <c r="AW681" s="162"/>
      <c r="AX681" s="168">
        <f t="shared" si="174"/>
        <v>0</v>
      </c>
      <c r="AY681" s="169"/>
      <c r="AZ681" s="170">
        <f t="shared" si="175"/>
        <v>0</v>
      </c>
      <c r="BA681" s="160"/>
      <c r="BB681" s="166">
        <f t="shared" si="176"/>
        <v>0</v>
      </c>
    </row>
    <row r="682" spans="1:54" s="131" customFormat="1" ht="31.5">
      <c r="A682" s="148" t="s">
        <v>7962</v>
      </c>
      <c r="B682" s="203" t="s">
        <v>629</v>
      </c>
      <c r="C682" s="203"/>
      <c r="D682" s="203"/>
      <c r="E682" s="203" t="s">
        <v>3751</v>
      </c>
      <c r="F682" s="205" t="s">
        <v>7964</v>
      </c>
      <c r="G682" s="205" t="s">
        <v>7575</v>
      </c>
      <c r="H682" s="204" t="s">
        <v>631</v>
      </c>
      <c r="I682" s="204" t="s">
        <v>5639</v>
      </c>
      <c r="J682" s="205" t="s">
        <v>7963</v>
      </c>
      <c r="K682" s="206">
        <v>11270</v>
      </c>
      <c r="L682" s="206"/>
      <c r="M682" s="159">
        <f t="shared" si="162"/>
        <v>130</v>
      </c>
      <c r="N682" s="159"/>
      <c r="O682" s="159"/>
      <c r="P682" s="159"/>
      <c r="Q682" s="159"/>
      <c r="R682" s="159"/>
      <c r="S682" s="150" t="s">
        <v>5328</v>
      </c>
      <c r="T682" s="150" t="s">
        <v>215</v>
      </c>
      <c r="U682" s="202" t="s">
        <v>3750</v>
      </c>
      <c r="V682" s="204">
        <v>3</v>
      </c>
      <c r="W682" s="203" t="s">
        <v>253</v>
      </c>
      <c r="X682" s="204" t="s">
        <v>213</v>
      </c>
      <c r="Y682" s="206">
        <v>45000</v>
      </c>
      <c r="Z682" s="207">
        <v>6000</v>
      </c>
      <c r="AA682" s="207">
        <f t="shared" si="163"/>
        <v>67620000</v>
      </c>
      <c r="AB682" s="157">
        <v>6000</v>
      </c>
      <c r="AC682" s="158">
        <f t="shared" si="161"/>
        <v>5870</v>
      </c>
      <c r="AD682" s="159">
        <f t="shared" si="164"/>
        <v>1465100</v>
      </c>
      <c r="AE682" s="160"/>
      <c r="AF682" s="160">
        <f t="shared" si="165"/>
        <v>0</v>
      </c>
      <c r="AG682" s="161">
        <f>128+2</f>
        <v>130</v>
      </c>
      <c r="AH682" s="161">
        <f t="shared" si="166"/>
        <v>1465100</v>
      </c>
      <c r="AI682" s="162"/>
      <c r="AJ682" s="162">
        <f t="shared" si="167"/>
        <v>0</v>
      </c>
      <c r="AK682" s="163"/>
      <c r="AL682" s="164">
        <f t="shared" si="168"/>
        <v>0</v>
      </c>
      <c r="AM682" s="161"/>
      <c r="AN682" s="165">
        <f t="shared" si="169"/>
        <v>0</v>
      </c>
      <c r="AO682" s="160">
        <v>0</v>
      </c>
      <c r="AP682" s="166">
        <f t="shared" si="170"/>
        <v>0</v>
      </c>
      <c r="AQ682" s="162"/>
      <c r="AR682" s="162">
        <f t="shared" si="171"/>
        <v>0</v>
      </c>
      <c r="AS682" s="167"/>
      <c r="AT682" s="167">
        <f t="shared" si="172"/>
        <v>0</v>
      </c>
      <c r="AU682" s="163"/>
      <c r="AV682" s="163">
        <f t="shared" si="173"/>
        <v>0</v>
      </c>
      <c r="AW682" s="162"/>
      <c r="AX682" s="168">
        <f t="shared" si="174"/>
        <v>0</v>
      </c>
      <c r="AY682" s="169"/>
      <c r="AZ682" s="170">
        <f t="shared" si="175"/>
        <v>0</v>
      </c>
      <c r="BA682" s="160"/>
      <c r="BB682" s="166">
        <f t="shared" si="176"/>
        <v>0</v>
      </c>
    </row>
    <row r="683" spans="1:54" s="131" customFormat="1" ht="31.5">
      <c r="A683" s="148" t="s">
        <v>7965</v>
      </c>
      <c r="B683" s="203" t="s">
        <v>1356</v>
      </c>
      <c r="C683" s="203"/>
      <c r="D683" s="203"/>
      <c r="E683" s="203" t="s">
        <v>7967</v>
      </c>
      <c r="F683" s="205" t="s">
        <v>7969</v>
      </c>
      <c r="G683" s="205" t="s">
        <v>7015</v>
      </c>
      <c r="H683" s="204" t="s">
        <v>1767</v>
      </c>
      <c r="I683" s="204" t="s">
        <v>520</v>
      </c>
      <c r="J683" s="205" t="s">
        <v>7968</v>
      </c>
      <c r="K683" s="206">
        <v>1260</v>
      </c>
      <c r="L683" s="206"/>
      <c r="M683" s="159">
        <f t="shared" si="162"/>
        <v>0</v>
      </c>
      <c r="N683" s="159"/>
      <c r="O683" s="159"/>
      <c r="P683" s="159"/>
      <c r="Q683" s="159"/>
      <c r="R683" s="159"/>
      <c r="S683" s="149" t="s">
        <v>5417</v>
      </c>
      <c r="T683" s="150" t="s">
        <v>5418</v>
      </c>
      <c r="U683" s="202" t="s">
        <v>7966</v>
      </c>
      <c r="V683" s="204">
        <v>3</v>
      </c>
      <c r="W683" s="203" t="s">
        <v>5104</v>
      </c>
      <c r="X683" s="204" t="s">
        <v>213</v>
      </c>
      <c r="Y683" s="206">
        <v>2100</v>
      </c>
      <c r="Z683" s="207">
        <v>3000</v>
      </c>
      <c r="AA683" s="207">
        <f t="shared" si="163"/>
        <v>3780000</v>
      </c>
      <c r="AB683" s="157">
        <v>3000</v>
      </c>
      <c r="AC683" s="158">
        <f t="shared" si="161"/>
        <v>3000</v>
      </c>
      <c r="AD683" s="159">
        <f t="shared" si="164"/>
        <v>0</v>
      </c>
      <c r="AE683" s="160"/>
      <c r="AF683" s="160">
        <f t="shared" si="165"/>
        <v>0</v>
      </c>
      <c r="AG683" s="165"/>
      <c r="AH683" s="161">
        <f t="shared" si="166"/>
        <v>0</v>
      </c>
      <c r="AI683" s="162"/>
      <c r="AJ683" s="162">
        <f t="shared" si="167"/>
        <v>0</v>
      </c>
      <c r="AK683" s="164"/>
      <c r="AL683" s="164">
        <f t="shared" si="168"/>
        <v>0</v>
      </c>
      <c r="AM683" s="165"/>
      <c r="AN683" s="165">
        <f t="shared" si="169"/>
        <v>0</v>
      </c>
      <c r="AO683" s="166">
        <v>0</v>
      </c>
      <c r="AP683" s="166">
        <f t="shared" si="170"/>
        <v>0</v>
      </c>
      <c r="AQ683" s="162"/>
      <c r="AR683" s="162">
        <f t="shared" si="171"/>
        <v>0</v>
      </c>
      <c r="AS683" s="173"/>
      <c r="AT683" s="167">
        <f t="shared" si="172"/>
        <v>0</v>
      </c>
      <c r="AU683" s="163"/>
      <c r="AV683" s="163">
        <f t="shared" si="173"/>
        <v>0</v>
      </c>
      <c r="AW683" s="168"/>
      <c r="AX683" s="168">
        <f t="shared" si="174"/>
        <v>0</v>
      </c>
      <c r="AY683" s="170"/>
      <c r="AZ683" s="170">
        <f t="shared" si="175"/>
        <v>0</v>
      </c>
      <c r="BA683" s="166"/>
      <c r="BB683" s="166">
        <f t="shared" si="176"/>
        <v>0</v>
      </c>
    </row>
    <row r="684" spans="1:54" s="131" customFormat="1" ht="31.5">
      <c r="A684" s="172" t="s">
        <v>7970</v>
      </c>
      <c r="B684" s="203" t="s">
        <v>1356</v>
      </c>
      <c r="C684" s="203"/>
      <c r="D684" s="203"/>
      <c r="E684" s="203" t="s">
        <v>1357</v>
      </c>
      <c r="F684" s="205" t="s">
        <v>7972</v>
      </c>
      <c r="G684" s="205" t="s">
        <v>7001</v>
      </c>
      <c r="H684" s="204" t="s">
        <v>238</v>
      </c>
      <c r="I684" s="204" t="s">
        <v>11</v>
      </c>
      <c r="J684" s="205" t="s">
        <v>7971</v>
      </c>
      <c r="K684" s="206">
        <v>98</v>
      </c>
      <c r="L684" s="206"/>
      <c r="M684" s="159">
        <f t="shared" si="162"/>
        <v>1200</v>
      </c>
      <c r="N684" s="159"/>
      <c r="O684" s="159"/>
      <c r="P684" s="159"/>
      <c r="Q684" s="159"/>
      <c r="R684" s="159"/>
      <c r="S684" s="150" t="s">
        <v>360</v>
      </c>
      <c r="T684" s="150" t="s">
        <v>358</v>
      </c>
      <c r="U684" s="202" t="s">
        <v>4124</v>
      </c>
      <c r="V684" s="204">
        <v>3</v>
      </c>
      <c r="W684" s="203" t="s">
        <v>5104</v>
      </c>
      <c r="X684" s="204" t="s">
        <v>213</v>
      </c>
      <c r="Y684" s="206">
        <v>500</v>
      </c>
      <c r="Z684" s="207">
        <v>10000</v>
      </c>
      <c r="AA684" s="207">
        <f t="shared" si="163"/>
        <v>980000</v>
      </c>
      <c r="AB684" s="157">
        <v>10000</v>
      </c>
      <c r="AC684" s="158">
        <f t="shared" ref="AC684:AC747" si="177">AB684-M684</f>
        <v>8800</v>
      </c>
      <c r="AD684" s="159">
        <f t="shared" si="164"/>
        <v>117600</v>
      </c>
      <c r="AE684" s="160"/>
      <c r="AF684" s="160">
        <f t="shared" si="165"/>
        <v>0</v>
      </c>
      <c r="AG684" s="165">
        <v>1000</v>
      </c>
      <c r="AH684" s="161">
        <f t="shared" si="166"/>
        <v>98000</v>
      </c>
      <c r="AI684" s="162"/>
      <c r="AJ684" s="162">
        <f t="shared" si="167"/>
        <v>0</v>
      </c>
      <c r="AK684" s="164"/>
      <c r="AL684" s="164">
        <f t="shared" si="168"/>
        <v>0</v>
      </c>
      <c r="AM684" s="165">
        <v>200</v>
      </c>
      <c r="AN684" s="165">
        <f t="shared" si="169"/>
        <v>19600</v>
      </c>
      <c r="AO684" s="166">
        <v>0</v>
      </c>
      <c r="AP684" s="166">
        <f t="shared" si="170"/>
        <v>0</v>
      </c>
      <c r="AQ684" s="162"/>
      <c r="AR684" s="162">
        <f t="shared" si="171"/>
        <v>0</v>
      </c>
      <c r="AS684" s="173"/>
      <c r="AT684" s="167">
        <f t="shared" si="172"/>
        <v>0</v>
      </c>
      <c r="AU684" s="163"/>
      <c r="AV684" s="163">
        <f t="shared" si="173"/>
        <v>0</v>
      </c>
      <c r="AW684" s="168"/>
      <c r="AX684" s="168">
        <f t="shared" si="174"/>
        <v>0</v>
      </c>
      <c r="AY684" s="170"/>
      <c r="AZ684" s="170">
        <f t="shared" si="175"/>
        <v>0</v>
      </c>
      <c r="BA684" s="166"/>
      <c r="BB684" s="166">
        <f t="shared" si="176"/>
        <v>0</v>
      </c>
    </row>
    <row r="685" spans="1:54" s="131" customFormat="1" ht="31.5">
      <c r="A685" s="148" t="s">
        <v>7973</v>
      </c>
      <c r="B685" s="203" t="s">
        <v>1315</v>
      </c>
      <c r="C685" s="203"/>
      <c r="D685" s="203"/>
      <c r="E685" s="203" t="s">
        <v>3767</v>
      </c>
      <c r="F685" s="205" t="s">
        <v>7975</v>
      </c>
      <c r="G685" s="205" t="s">
        <v>7015</v>
      </c>
      <c r="H685" s="204" t="s">
        <v>267</v>
      </c>
      <c r="I685" s="204" t="s">
        <v>7976</v>
      </c>
      <c r="J685" s="205" t="s">
        <v>7974</v>
      </c>
      <c r="K685" s="206">
        <v>100</v>
      </c>
      <c r="L685" s="206"/>
      <c r="M685" s="159">
        <f t="shared" si="162"/>
        <v>17250</v>
      </c>
      <c r="N685" s="159"/>
      <c r="O685" s="159"/>
      <c r="P685" s="159"/>
      <c r="Q685" s="159"/>
      <c r="R685" s="159"/>
      <c r="S685" s="149" t="s">
        <v>5417</v>
      </c>
      <c r="T685" s="150" t="s">
        <v>5418</v>
      </c>
      <c r="U685" s="202" t="s">
        <v>3766</v>
      </c>
      <c r="V685" s="204">
        <v>3</v>
      </c>
      <c r="W685" s="203" t="s">
        <v>5104</v>
      </c>
      <c r="X685" s="204" t="s">
        <v>213</v>
      </c>
      <c r="Y685" s="206">
        <v>200</v>
      </c>
      <c r="Z685" s="207">
        <v>150000</v>
      </c>
      <c r="AA685" s="207">
        <f t="shared" si="163"/>
        <v>15000000</v>
      </c>
      <c r="AB685" s="157">
        <v>150000</v>
      </c>
      <c r="AC685" s="158">
        <f t="shared" si="177"/>
        <v>132750</v>
      </c>
      <c r="AD685" s="159">
        <f t="shared" si="164"/>
        <v>1725000</v>
      </c>
      <c r="AE685" s="160"/>
      <c r="AF685" s="160">
        <f t="shared" si="165"/>
        <v>0</v>
      </c>
      <c r="AG685" s="161">
        <v>17250</v>
      </c>
      <c r="AH685" s="161">
        <f t="shared" si="166"/>
        <v>1725000</v>
      </c>
      <c r="AI685" s="162"/>
      <c r="AJ685" s="162">
        <f t="shared" si="167"/>
        <v>0</v>
      </c>
      <c r="AK685" s="164"/>
      <c r="AL685" s="164">
        <f t="shared" si="168"/>
        <v>0</v>
      </c>
      <c r="AM685" s="165"/>
      <c r="AN685" s="165">
        <f t="shared" si="169"/>
        <v>0</v>
      </c>
      <c r="AO685" s="166">
        <v>0</v>
      </c>
      <c r="AP685" s="166">
        <f t="shared" si="170"/>
        <v>0</v>
      </c>
      <c r="AQ685" s="162"/>
      <c r="AR685" s="162">
        <f t="shared" si="171"/>
        <v>0</v>
      </c>
      <c r="AS685" s="167"/>
      <c r="AT685" s="167">
        <f t="shared" si="172"/>
        <v>0</v>
      </c>
      <c r="AU685" s="163"/>
      <c r="AV685" s="163">
        <f t="shared" si="173"/>
        <v>0</v>
      </c>
      <c r="AW685" s="168"/>
      <c r="AX685" s="168">
        <f t="shared" si="174"/>
        <v>0</v>
      </c>
      <c r="AY685" s="170"/>
      <c r="AZ685" s="170">
        <f t="shared" si="175"/>
        <v>0</v>
      </c>
      <c r="BA685" s="166"/>
      <c r="BB685" s="166">
        <f t="shared" si="176"/>
        <v>0</v>
      </c>
    </row>
    <row r="686" spans="1:54" s="131" customFormat="1" ht="31.5">
      <c r="A686" s="148" t="s">
        <v>7977</v>
      </c>
      <c r="B686" s="203" t="s">
        <v>4345</v>
      </c>
      <c r="C686" s="203"/>
      <c r="D686" s="203"/>
      <c r="E686" s="203" t="s">
        <v>4344</v>
      </c>
      <c r="F686" s="205" t="s">
        <v>7978</v>
      </c>
      <c r="G686" s="205" t="s">
        <v>7211</v>
      </c>
      <c r="H686" s="204" t="s">
        <v>869</v>
      </c>
      <c r="I686" s="204" t="s">
        <v>11</v>
      </c>
      <c r="J686" s="205" t="s">
        <v>7931</v>
      </c>
      <c r="K686" s="206">
        <v>465</v>
      </c>
      <c r="L686" s="206"/>
      <c r="M686" s="159">
        <f t="shared" si="162"/>
        <v>5400</v>
      </c>
      <c r="N686" s="159"/>
      <c r="O686" s="159"/>
      <c r="P686" s="159"/>
      <c r="Q686" s="159"/>
      <c r="R686" s="159"/>
      <c r="S686" s="150" t="s">
        <v>5328</v>
      </c>
      <c r="T686" s="150" t="s">
        <v>215</v>
      </c>
      <c r="U686" s="202" t="s">
        <v>4343</v>
      </c>
      <c r="V686" s="204">
        <v>3</v>
      </c>
      <c r="W686" s="203" t="s">
        <v>5104</v>
      </c>
      <c r="X686" s="204" t="s">
        <v>213</v>
      </c>
      <c r="Y686" s="206">
        <v>900</v>
      </c>
      <c r="Z686" s="207">
        <v>100000</v>
      </c>
      <c r="AA686" s="207">
        <f t="shared" si="163"/>
        <v>46500000</v>
      </c>
      <c r="AB686" s="157">
        <v>100000</v>
      </c>
      <c r="AC686" s="158">
        <f t="shared" si="177"/>
        <v>94600</v>
      </c>
      <c r="AD686" s="159">
        <f t="shared" si="164"/>
        <v>2511000</v>
      </c>
      <c r="AE686" s="160"/>
      <c r="AF686" s="160">
        <f t="shared" si="165"/>
        <v>0</v>
      </c>
      <c r="AG686" s="161">
        <v>1200</v>
      </c>
      <c r="AH686" s="161">
        <f t="shared" si="166"/>
        <v>558000</v>
      </c>
      <c r="AI686" s="162"/>
      <c r="AJ686" s="162">
        <f t="shared" si="167"/>
        <v>0</v>
      </c>
      <c r="AK686" s="164"/>
      <c r="AL686" s="164">
        <f t="shared" si="168"/>
        <v>0</v>
      </c>
      <c r="AM686" s="165"/>
      <c r="AN686" s="165">
        <f t="shared" si="169"/>
        <v>0</v>
      </c>
      <c r="AO686" s="166">
        <v>0</v>
      </c>
      <c r="AP686" s="166">
        <f t="shared" si="170"/>
        <v>0</v>
      </c>
      <c r="AQ686" s="162"/>
      <c r="AR686" s="162">
        <f t="shared" si="171"/>
        <v>0</v>
      </c>
      <c r="AS686" s="167">
        <v>4200</v>
      </c>
      <c r="AT686" s="167">
        <f t="shared" si="172"/>
        <v>1953000</v>
      </c>
      <c r="AU686" s="163"/>
      <c r="AV686" s="163">
        <f t="shared" si="173"/>
        <v>0</v>
      </c>
      <c r="AW686" s="168"/>
      <c r="AX686" s="168">
        <f t="shared" si="174"/>
        <v>0</v>
      </c>
      <c r="AY686" s="170"/>
      <c r="AZ686" s="170">
        <f t="shared" si="175"/>
        <v>0</v>
      </c>
      <c r="BA686" s="166"/>
      <c r="BB686" s="166">
        <f t="shared" si="176"/>
        <v>0</v>
      </c>
    </row>
    <row r="687" spans="1:54" s="131" customFormat="1" ht="31.5">
      <c r="A687" s="172" t="s">
        <v>7979</v>
      </c>
      <c r="B687" s="203" t="s">
        <v>3974</v>
      </c>
      <c r="C687" s="203"/>
      <c r="D687" s="203"/>
      <c r="E687" s="203" t="s">
        <v>7981</v>
      </c>
      <c r="F687" s="205" t="s">
        <v>7983</v>
      </c>
      <c r="G687" s="205" t="s">
        <v>463</v>
      </c>
      <c r="H687" s="204" t="s">
        <v>2510</v>
      </c>
      <c r="I687" s="204" t="s">
        <v>5655</v>
      </c>
      <c r="J687" s="205" t="s">
        <v>7982</v>
      </c>
      <c r="K687" s="206">
        <v>2600</v>
      </c>
      <c r="L687" s="206"/>
      <c r="M687" s="159">
        <f t="shared" si="162"/>
        <v>0</v>
      </c>
      <c r="N687" s="159"/>
      <c r="O687" s="159"/>
      <c r="P687" s="159"/>
      <c r="Q687" s="159"/>
      <c r="R687" s="159"/>
      <c r="S687" s="149" t="s">
        <v>5275</v>
      </c>
      <c r="T687" s="150" t="s">
        <v>463</v>
      </c>
      <c r="U687" s="202" t="s">
        <v>7980</v>
      </c>
      <c r="V687" s="204">
        <v>3</v>
      </c>
      <c r="W687" s="203" t="s">
        <v>5111</v>
      </c>
      <c r="X687" s="204" t="s">
        <v>213</v>
      </c>
      <c r="Y687" s="206">
        <v>6040</v>
      </c>
      <c r="Z687" s="207">
        <v>2000</v>
      </c>
      <c r="AA687" s="207">
        <f t="shared" si="163"/>
        <v>5200000</v>
      </c>
      <c r="AB687" s="157">
        <v>2000</v>
      </c>
      <c r="AC687" s="158">
        <f t="shared" si="177"/>
        <v>2000</v>
      </c>
      <c r="AD687" s="159">
        <f t="shared" si="164"/>
        <v>0</v>
      </c>
      <c r="AE687" s="160"/>
      <c r="AF687" s="160">
        <f t="shared" si="165"/>
        <v>0</v>
      </c>
      <c r="AG687" s="165"/>
      <c r="AH687" s="161">
        <f t="shared" si="166"/>
        <v>0</v>
      </c>
      <c r="AI687" s="162"/>
      <c r="AJ687" s="162">
        <f t="shared" si="167"/>
        <v>0</v>
      </c>
      <c r="AK687" s="163"/>
      <c r="AL687" s="164">
        <f t="shared" si="168"/>
        <v>0</v>
      </c>
      <c r="AM687" s="161"/>
      <c r="AN687" s="165">
        <f t="shared" si="169"/>
        <v>0</v>
      </c>
      <c r="AO687" s="160">
        <v>0</v>
      </c>
      <c r="AP687" s="166">
        <f t="shared" si="170"/>
        <v>0</v>
      </c>
      <c r="AQ687" s="162"/>
      <c r="AR687" s="162">
        <f t="shared" si="171"/>
        <v>0</v>
      </c>
      <c r="AS687" s="173"/>
      <c r="AT687" s="167">
        <f t="shared" si="172"/>
        <v>0</v>
      </c>
      <c r="AU687" s="163"/>
      <c r="AV687" s="163">
        <f t="shared" si="173"/>
        <v>0</v>
      </c>
      <c r="AW687" s="162"/>
      <c r="AX687" s="168">
        <f t="shared" si="174"/>
        <v>0</v>
      </c>
      <c r="AY687" s="169"/>
      <c r="AZ687" s="170">
        <f t="shared" si="175"/>
        <v>0</v>
      </c>
      <c r="BA687" s="160"/>
      <c r="BB687" s="166">
        <f t="shared" si="176"/>
        <v>0</v>
      </c>
    </row>
    <row r="688" spans="1:54" s="131" customFormat="1" ht="31.5">
      <c r="A688" s="148" t="s">
        <v>7984</v>
      </c>
      <c r="B688" s="203" t="s">
        <v>3974</v>
      </c>
      <c r="C688" s="203"/>
      <c r="D688" s="203"/>
      <c r="E688" s="203" t="s">
        <v>7986</v>
      </c>
      <c r="F688" s="205" t="s">
        <v>7987</v>
      </c>
      <c r="G688" s="205" t="s">
        <v>7001</v>
      </c>
      <c r="H688" s="204" t="s">
        <v>267</v>
      </c>
      <c r="I688" s="204" t="s">
        <v>11</v>
      </c>
      <c r="J688" s="205" t="s">
        <v>6709</v>
      </c>
      <c r="K688" s="206">
        <v>183</v>
      </c>
      <c r="L688" s="206"/>
      <c r="M688" s="159">
        <f t="shared" si="162"/>
        <v>0</v>
      </c>
      <c r="N688" s="159"/>
      <c r="O688" s="159"/>
      <c r="P688" s="159"/>
      <c r="Q688" s="159"/>
      <c r="R688" s="159"/>
      <c r="S688" s="150" t="s">
        <v>360</v>
      </c>
      <c r="T688" s="150" t="s">
        <v>358</v>
      </c>
      <c r="U688" s="202" t="s">
        <v>7985</v>
      </c>
      <c r="V688" s="204">
        <v>3</v>
      </c>
      <c r="W688" s="203" t="s">
        <v>5104</v>
      </c>
      <c r="X688" s="204" t="s">
        <v>213</v>
      </c>
      <c r="Y688" s="206">
        <v>610</v>
      </c>
      <c r="Z688" s="207">
        <v>30000</v>
      </c>
      <c r="AA688" s="207">
        <f t="shared" si="163"/>
        <v>5490000</v>
      </c>
      <c r="AB688" s="157">
        <v>30000</v>
      </c>
      <c r="AC688" s="158">
        <f t="shared" si="177"/>
        <v>30000</v>
      </c>
      <c r="AD688" s="159">
        <f t="shared" si="164"/>
        <v>0</v>
      </c>
      <c r="AE688" s="160"/>
      <c r="AF688" s="160">
        <f t="shared" si="165"/>
        <v>0</v>
      </c>
      <c r="AG688" s="161"/>
      <c r="AH688" s="161">
        <f t="shared" si="166"/>
        <v>0</v>
      </c>
      <c r="AI688" s="162"/>
      <c r="AJ688" s="162">
        <f t="shared" si="167"/>
        <v>0</v>
      </c>
      <c r="AK688" s="163"/>
      <c r="AL688" s="164">
        <f t="shared" si="168"/>
        <v>0</v>
      </c>
      <c r="AM688" s="161"/>
      <c r="AN688" s="165">
        <f t="shared" si="169"/>
        <v>0</v>
      </c>
      <c r="AO688" s="160">
        <v>0</v>
      </c>
      <c r="AP688" s="166">
        <f t="shared" si="170"/>
        <v>0</v>
      </c>
      <c r="AQ688" s="162"/>
      <c r="AR688" s="162">
        <f t="shared" si="171"/>
        <v>0</v>
      </c>
      <c r="AS688" s="167"/>
      <c r="AT688" s="167">
        <f t="shared" si="172"/>
        <v>0</v>
      </c>
      <c r="AU688" s="163"/>
      <c r="AV688" s="163">
        <f t="shared" si="173"/>
        <v>0</v>
      </c>
      <c r="AW688" s="162"/>
      <c r="AX688" s="168">
        <f t="shared" si="174"/>
        <v>0</v>
      </c>
      <c r="AY688" s="169"/>
      <c r="AZ688" s="170">
        <f t="shared" si="175"/>
        <v>0</v>
      </c>
      <c r="BA688" s="160"/>
      <c r="BB688" s="166">
        <f t="shared" si="176"/>
        <v>0</v>
      </c>
    </row>
    <row r="689" spans="1:54" s="131" customFormat="1" ht="31.5">
      <c r="A689" s="148" t="s">
        <v>7988</v>
      </c>
      <c r="B689" s="203" t="s">
        <v>1195</v>
      </c>
      <c r="C689" s="203"/>
      <c r="D689" s="203"/>
      <c r="E689" s="203" t="s">
        <v>1196</v>
      </c>
      <c r="F689" s="205" t="s">
        <v>7990</v>
      </c>
      <c r="G689" s="205" t="s">
        <v>6536</v>
      </c>
      <c r="H689" s="204" t="s">
        <v>327</v>
      </c>
      <c r="I689" s="204" t="s">
        <v>11</v>
      </c>
      <c r="J689" s="205" t="s">
        <v>7989</v>
      </c>
      <c r="K689" s="206">
        <v>250</v>
      </c>
      <c r="L689" s="206"/>
      <c r="M689" s="159">
        <f t="shared" si="162"/>
        <v>0</v>
      </c>
      <c r="N689" s="159"/>
      <c r="O689" s="159"/>
      <c r="P689" s="159"/>
      <c r="Q689" s="159"/>
      <c r="R689" s="159"/>
      <c r="S689" s="149" t="s">
        <v>5530</v>
      </c>
      <c r="T689" s="149" t="s">
        <v>5531</v>
      </c>
      <c r="U689" s="202" t="s">
        <v>3823</v>
      </c>
      <c r="V689" s="204">
        <v>3</v>
      </c>
      <c r="W689" s="203" t="s">
        <v>5535</v>
      </c>
      <c r="X689" s="204" t="s">
        <v>213</v>
      </c>
      <c r="Y689" s="206">
        <v>315</v>
      </c>
      <c r="Z689" s="207">
        <v>10000</v>
      </c>
      <c r="AA689" s="207">
        <f t="shared" si="163"/>
        <v>2500000</v>
      </c>
      <c r="AB689" s="157">
        <v>10000</v>
      </c>
      <c r="AC689" s="158">
        <f t="shared" si="177"/>
        <v>10000</v>
      </c>
      <c r="AD689" s="159">
        <f t="shared" si="164"/>
        <v>0</v>
      </c>
      <c r="AE689" s="160"/>
      <c r="AF689" s="160">
        <f t="shared" si="165"/>
        <v>0</v>
      </c>
      <c r="AG689" s="165"/>
      <c r="AH689" s="161">
        <f t="shared" si="166"/>
        <v>0</v>
      </c>
      <c r="AI689" s="162"/>
      <c r="AJ689" s="162">
        <f t="shared" si="167"/>
        <v>0</v>
      </c>
      <c r="AK689" s="164"/>
      <c r="AL689" s="164">
        <f t="shared" si="168"/>
        <v>0</v>
      </c>
      <c r="AM689" s="165"/>
      <c r="AN689" s="165">
        <f t="shared" si="169"/>
        <v>0</v>
      </c>
      <c r="AO689" s="166">
        <v>0</v>
      </c>
      <c r="AP689" s="166">
        <f t="shared" si="170"/>
        <v>0</v>
      </c>
      <c r="AQ689" s="162"/>
      <c r="AR689" s="162">
        <f t="shared" si="171"/>
        <v>0</v>
      </c>
      <c r="AS689" s="173"/>
      <c r="AT689" s="167">
        <f t="shared" si="172"/>
        <v>0</v>
      </c>
      <c r="AU689" s="163"/>
      <c r="AV689" s="163">
        <f t="shared" si="173"/>
        <v>0</v>
      </c>
      <c r="AW689" s="168"/>
      <c r="AX689" s="168">
        <f t="shared" si="174"/>
        <v>0</v>
      </c>
      <c r="AY689" s="170"/>
      <c r="AZ689" s="170">
        <f t="shared" si="175"/>
        <v>0</v>
      </c>
      <c r="BA689" s="166"/>
      <c r="BB689" s="166">
        <f t="shared" si="176"/>
        <v>0</v>
      </c>
    </row>
    <row r="690" spans="1:54" s="131" customFormat="1" ht="31.5">
      <c r="A690" s="172" t="s">
        <v>7991</v>
      </c>
      <c r="B690" s="203" t="s">
        <v>3790</v>
      </c>
      <c r="C690" s="203"/>
      <c r="D690" s="203"/>
      <c r="E690" s="203" t="s">
        <v>1847</v>
      </c>
      <c r="F690" s="205" t="s">
        <v>7993</v>
      </c>
      <c r="G690" s="205" t="s">
        <v>7994</v>
      </c>
      <c r="H690" s="204" t="s">
        <v>272</v>
      </c>
      <c r="I690" s="204" t="s">
        <v>11</v>
      </c>
      <c r="J690" s="205" t="s">
        <v>7992</v>
      </c>
      <c r="K690" s="206">
        <v>2550</v>
      </c>
      <c r="L690" s="206"/>
      <c r="M690" s="159">
        <f t="shared" si="162"/>
        <v>1500</v>
      </c>
      <c r="N690" s="159"/>
      <c r="O690" s="159"/>
      <c r="P690" s="159"/>
      <c r="Q690" s="159"/>
      <c r="R690" s="159"/>
      <c r="S690" s="149" t="s">
        <v>6819</v>
      </c>
      <c r="T690" s="149" t="s">
        <v>6820</v>
      </c>
      <c r="U690" s="202" t="s">
        <v>3789</v>
      </c>
      <c r="V690" s="204">
        <v>3</v>
      </c>
      <c r="W690" s="203" t="s">
        <v>253</v>
      </c>
      <c r="X690" s="204" t="s">
        <v>213</v>
      </c>
      <c r="Y690" s="206">
        <v>2700</v>
      </c>
      <c r="Z690" s="207">
        <v>10000</v>
      </c>
      <c r="AA690" s="207">
        <f t="shared" si="163"/>
        <v>25500000</v>
      </c>
      <c r="AB690" s="157">
        <v>10000</v>
      </c>
      <c r="AC690" s="158">
        <f t="shared" si="177"/>
        <v>8500</v>
      </c>
      <c r="AD690" s="159">
        <f t="shared" si="164"/>
        <v>3825000</v>
      </c>
      <c r="AE690" s="160"/>
      <c r="AF690" s="160">
        <f t="shared" si="165"/>
        <v>0</v>
      </c>
      <c r="AG690" s="165">
        <v>900</v>
      </c>
      <c r="AH690" s="161">
        <f t="shared" si="166"/>
        <v>2295000</v>
      </c>
      <c r="AI690" s="162"/>
      <c r="AJ690" s="162">
        <f t="shared" si="167"/>
        <v>0</v>
      </c>
      <c r="AK690" s="163"/>
      <c r="AL690" s="164">
        <f t="shared" si="168"/>
        <v>0</v>
      </c>
      <c r="AM690" s="161">
        <v>600</v>
      </c>
      <c r="AN690" s="165">
        <f t="shared" si="169"/>
        <v>1530000</v>
      </c>
      <c r="AO690" s="160">
        <v>0</v>
      </c>
      <c r="AP690" s="166">
        <f t="shared" si="170"/>
        <v>0</v>
      </c>
      <c r="AQ690" s="162"/>
      <c r="AR690" s="162">
        <f t="shared" si="171"/>
        <v>0</v>
      </c>
      <c r="AS690" s="173"/>
      <c r="AT690" s="167">
        <f t="shared" si="172"/>
        <v>0</v>
      </c>
      <c r="AU690" s="163"/>
      <c r="AV690" s="163">
        <f t="shared" si="173"/>
        <v>0</v>
      </c>
      <c r="AW690" s="162"/>
      <c r="AX690" s="168">
        <f t="shared" si="174"/>
        <v>0</v>
      </c>
      <c r="AY690" s="169"/>
      <c r="AZ690" s="170">
        <f t="shared" si="175"/>
        <v>0</v>
      </c>
      <c r="BA690" s="160"/>
      <c r="BB690" s="166">
        <f t="shared" si="176"/>
        <v>0</v>
      </c>
    </row>
    <row r="691" spans="1:54" s="131" customFormat="1" ht="47.25">
      <c r="A691" s="148" t="s">
        <v>7995</v>
      </c>
      <c r="B691" s="203" t="s">
        <v>7997</v>
      </c>
      <c r="C691" s="203"/>
      <c r="D691" s="203"/>
      <c r="E691" s="203" t="s">
        <v>7999</v>
      </c>
      <c r="F691" s="205" t="s">
        <v>8001</v>
      </c>
      <c r="G691" s="205" t="s">
        <v>7332</v>
      </c>
      <c r="H691" s="204" t="s">
        <v>7998</v>
      </c>
      <c r="I691" s="204" t="s">
        <v>520</v>
      </c>
      <c r="J691" s="205" t="s">
        <v>8000</v>
      </c>
      <c r="K691" s="206">
        <v>1864</v>
      </c>
      <c r="L691" s="206"/>
      <c r="M691" s="159">
        <f t="shared" si="162"/>
        <v>0</v>
      </c>
      <c r="N691" s="159"/>
      <c r="O691" s="159"/>
      <c r="P691" s="159"/>
      <c r="Q691" s="159"/>
      <c r="R691" s="159"/>
      <c r="S691" s="149" t="s">
        <v>7329</v>
      </c>
      <c r="T691" s="149" t="s">
        <v>1136</v>
      </c>
      <c r="U691" s="202" t="s">
        <v>7996</v>
      </c>
      <c r="V691" s="204">
        <v>3</v>
      </c>
      <c r="W691" s="203" t="s">
        <v>6049</v>
      </c>
      <c r="X691" s="204" t="s">
        <v>213</v>
      </c>
      <c r="Y691" s="206">
        <v>2573</v>
      </c>
      <c r="Z691" s="207">
        <v>2000</v>
      </c>
      <c r="AA691" s="207">
        <f t="shared" si="163"/>
        <v>3728000</v>
      </c>
      <c r="AB691" s="157">
        <v>2000</v>
      </c>
      <c r="AC691" s="158">
        <f t="shared" si="177"/>
        <v>2000</v>
      </c>
      <c r="AD691" s="159">
        <f t="shared" si="164"/>
        <v>0</v>
      </c>
      <c r="AE691" s="160"/>
      <c r="AF691" s="160">
        <f t="shared" si="165"/>
        <v>0</v>
      </c>
      <c r="AG691" s="165"/>
      <c r="AH691" s="161">
        <f t="shared" si="166"/>
        <v>0</v>
      </c>
      <c r="AI691" s="162"/>
      <c r="AJ691" s="162">
        <f t="shared" si="167"/>
        <v>0</v>
      </c>
      <c r="AK691" s="164"/>
      <c r="AL691" s="164">
        <f t="shared" si="168"/>
        <v>0</v>
      </c>
      <c r="AM691" s="165"/>
      <c r="AN691" s="165">
        <f t="shared" si="169"/>
        <v>0</v>
      </c>
      <c r="AO691" s="166">
        <v>0</v>
      </c>
      <c r="AP691" s="166">
        <f t="shared" si="170"/>
        <v>0</v>
      </c>
      <c r="AQ691" s="162"/>
      <c r="AR691" s="162">
        <f t="shared" si="171"/>
        <v>0</v>
      </c>
      <c r="AS691" s="173"/>
      <c r="AT691" s="167">
        <f t="shared" si="172"/>
        <v>0</v>
      </c>
      <c r="AU691" s="163"/>
      <c r="AV691" s="163">
        <f t="shared" si="173"/>
        <v>0</v>
      </c>
      <c r="AW691" s="168"/>
      <c r="AX691" s="168">
        <f t="shared" si="174"/>
        <v>0</v>
      </c>
      <c r="AY691" s="170"/>
      <c r="AZ691" s="170">
        <f t="shared" si="175"/>
        <v>0</v>
      </c>
      <c r="BA691" s="166"/>
      <c r="BB691" s="166">
        <f t="shared" si="176"/>
        <v>0</v>
      </c>
    </row>
    <row r="692" spans="1:54" s="131" customFormat="1" ht="31.5">
      <c r="A692" s="148" t="s">
        <v>8002</v>
      </c>
      <c r="B692" s="203" t="s">
        <v>1631</v>
      </c>
      <c r="C692" s="203"/>
      <c r="D692" s="203"/>
      <c r="E692" s="203" t="s">
        <v>3667</v>
      </c>
      <c r="F692" s="205" t="s">
        <v>8004</v>
      </c>
      <c r="G692" s="205" t="s">
        <v>867</v>
      </c>
      <c r="H692" s="204" t="s">
        <v>1632</v>
      </c>
      <c r="I692" s="204" t="s">
        <v>12</v>
      </c>
      <c r="J692" s="205" t="s">
        <v>8003</v>
      </c>
      <c r="K692" s="206">
        <v>390</v>
      </c>
      <c r="L692" s="206"/>
      <c r="M692" s="159">
        <f t="shared" si="162"/>
        <v>3140</v>
      </c>
      <c r="N692" s="159"/>
      <c r="O692" s="159"/>
      <c r="P692" s="159"/>
      <c r="Q692" s="159"/>
      <c r="R692" s="159"/>
      <c r="S692" s="150" t="s">
        <v>7727</v>
      </c>
      <c r="T692" s="149" t="s">
        <v>863</v>
      </c>
      <c r="U692" s="202" t="s">
        <v>4338</v>
      </c>
      <c r="V692" s="204">
        <v>3</v>
      </c>
      <c r="W692" s="203" t="s">
        <v>253</v>
      </c>
      <c r="X692" s="204" t="s">
        <v>213</v>
      </c>
      <c r="Y692" s="206">
        <v>735</v>
      </c>
      <c r="Z692" s="207">
        <v>120000</v>
      </c>
      <c r="AA692" s="207">
        <f t="shared" si="163"/>
        <v>46800000</v>
      </c>
      <c r="AB692" s="157">
        <v>120000</v>
      </c>
      <c r="AC692" s="158">
        <f t="shared" si="177"/>
        <v>116860</v>
      </c>
      <c r="AD692" s="159">
        <f t="shared" si="164"/>
        <v>1224600</v>
      </c>
      <c r="AE692" s="160"/>
      <c r="AF692" s="160">
        <f t="shared" si="165"/>
        <v>0</v>
      </c>
      <c r="AG692" s="165">
        <v>140</v>
      </c>
      <c r="AH692" s="161">
        <f t="shared" si="166"/>
        <v>54600</v>
      </c>
      <c r="AI692" s="162"/>
      <c r="AJ692" s="162">
        <f t="shared" si="167"/>
        <v>0</v>
      </c>
      <c r="AK692" s="164"/>
      <c r="AL692" s="164">
        <f t="shared" si="168"/>
        <v>0</v>
      </c>
      <c r="AM692" s="165">
        <v>1500</v>
      </c>
      <c r="AN692" s="165">
        <f t="shared" si="169"/>
        <v>585000</v>
      </c>
      <c r="AO692" s="166">
        <v>0</v>
      </c>
      <c r="AP692" s="166">
        <f t="shared" si="170"/>
        <v>0</v>
      </c>
      <c r="AQ692" s="162"/>
      <c r="AR692" s="162">
        <f t="shared" si="171"/>
        <v>0</v>
      </c>
      <c r="AS692" s="173">
        <v>1500</v>
      </c>
      <c r="AT692" s="167">
        <f t="shared" si="172"/>
        <v>585000</v>
      </c>
      <c r="AU692" s="163"/>
      <c r="AV692" s="163">
        <f t="shared" si="173"/>
        <v>0</v>
      </c>
      <c r="AW692" s="168"/>
      <c r="AX692" s="168">
        <f t="shared" si="174"/>
        <v>0</v>
      </c>
      <c r="AY692" s="170"/>
      <c r="AZ692" s="170">
        <f t="shared" si="175"/>
        <v>0</v>
      </c>
      <c r="BA692" s="166"/>
      <c r="BB692" s="166">
        <f t="shared" si="176"/>
        <v>0</v>
      </c>
    </row>
    <row r="693" spans="1:54" s="131" customFormat="1" ht="31.5">
      <c r="A693" s="172" t="s">
        <v>8005</v>
      </c>
      <c r="B693" s="203" t="s">
        <v>3953</v>
      </c>
      <c r="C693" s="203"/>
      <c r="D693" s="203"/>
      <c r="E693" s="203" t="s">
        <v>3952</v>
      </c>
      <c r="F693" s="205" t="s">
        <v>8007</v>
      </c>
      <c r="G693" s="205" t="s">
        <v>1151</v>
      </c>
      <c r="H693" s="204" t="s">
        <v>3954</v>
      </c>
      <c r="I693" s="204" t="s">
        <v>520</v>
      </c>
      <c r="J693" s="205" t="s">
        <v>8006</v>
      </c>
      <c r="K693" s="206">
        <v>5500</v>
      </c>
      <c r="L693" s="206"/>
      <c r="M693" s="159">
        <f t="shared" si="162"/>
        <v>3200</v>
      </c>
      <c r="N693" s="159"/>
      <c r="O693" s="159"/>
      <c r="P693" s="159"/>
      <c r="Q693" s="159"/>
      <c r="R693" s="159"/>
      <c r="S693" s="149" t="s">
        <v>5669</v>
      </c>
      <c r="T693" s="149" t="s">
        <v>5670</v>
      </c>
      <c r="U693" s="202" t="s">
        <v>3951</v>
      </c>
      <c r="V693" s="204">
        <v>3</v>
      </c>
      <c r="W693" s="203" t="s">
        <v>253</v>
      </c>
      <c r="X693" s="204" t="s">
        <v>213</v>
      </c>
      <c r="Y693" s="206">
        <v>5565</v>
      </c>
      <c r="Z693" s="207">
        <v>50000</v>
      </c>
      <c r="AA693" s="207">
        <f t="shared" si="163"/>
        <v>275000000</v>
      </c>
      <c r="AB693" s="157">
        <v>50000</v>
      </c>
      <c r="AC693" s="158">
        <f t="shared" si="177"/>
        <v>46800</v>
      </c>
      <c r="AD693" s="159">
        <f t="shared" si="164"/>
        <v>17600000</v>
      </c>
      <c r="AE693" s="160"/>
      <c r="AF693" s="160">
        <f t="shared" si="165"/>
        <v>0</v>
      </c>
      <c r="AG693" s="165"/>
      <c r="AH693" s="161">
        <f t="shared" si="166"/>
        <v>0</v>
      </c>
      <c r="AI693" s="162"/>
      <c r="AJ693" s="162">
        <f t="shared" si="167"/>
        <v>0</v>
      </c>
      <c r="AK693" s="163"/>
      <c r="AL693" s="164">
        <f t="shared" si="168"/>
        <v>0</v>
      </c>
      <c r="AM693" s="161"/>
      <c r="AN693" s="165">
        <f t="shared" si="169"/>
        <v>0</v>
      </c>
      <c r="AO693" s="160">
        <v>0</v>
      </c>
      <c r="AP693" s="166">
        <f t="shared" si="170"/>
        <v>0</v>
      </c>
      <c r="AQ693" s="162"/>
      <c r="AR693" s="162">
        <f t="shared" si="171"/>
        <v>0</v>
      </c>
      <c r="AS693" s="173"/>
      <c r="AT693" s="167">
        <f t="shared" si="172"/>
        <v>0</v>
      </c>
      <c r="AU693" s="163">
        <v>3200</v>
      </c>
      <c r="AV693" s="163">
        <f t="shared" si="173"/>
        <v>17600000</v>
      </c>
      <c r="AW693" s="162"/>
      <c r="AX693" s="168">
        <f t="shared" si="174"/>
        <v>0</v>
      </c>
      <c r="AY693" s="169"/>
      <c r="AZ693" s="170">
        <f t="shared" si="175"/>
        <v>0</v>
      </c>
      <c r="BA693" s="160"/>
      <c r="BB693" s="166">
        <f t="shared" si="176"/>
        <v>0</v>
      </c>
    </row>
    <row r="694" spans="1:54" s="131" customFormat="1" ht="112.5">
      <c r="A694" s="148" t="s">
        <v>8008</v>
      </c>
      <c r="B694" s="203" t="s">
        <v>2482</v>
      </c>
      <c r="C694" s="203"/>
      <c r="D694" s="203"/>
      <c r="E694" s="203" t="s">
        <v>2950</v>
      </c>
      <c r="F694" s="205" t="s">
        <v>2951</v>
      </c>
      <c r="G694" s="205" t="s">
        <v>8012</v>
      </c>
      <c r="H694" s="204" t="s">
        <v>8010</v>
      </c>
      <c r="I694" s="204" t="s">
        <v>1258</v>
      </c>
      <c r="J694" s="205" t="s">
        <v>8011</v>
      </c>
      <c r="K694" s="206">
        <v>5500</v>
      </c>
      <c r="L694" s="206"/>
      <c r="M694" s="159">
        <f t="shared" si="162"/>
        <v>0</v>
      </c>
      <c r="N694" s="159"/>
      <c r="O694" s="159"/>
      <c r="P694" s="159"/>
      <c r="Q694" s="159"/>
      <c r="R694" s="159"/>
      <c r="S694" s="209" t="s">
        <v>5848</v>
      </c>
      <c r="T694" s="203" t="s">
        <v>5849</v>
      </c>
      <c r="U694" s="202" t="s">
        <v>8009</v>
      </c>
      <c r="V694" s="204">
        <v>3</v>
      </c>
      <c r="W694" s="203" t="s">
        <v>5104</v>
      </c>
      <c r="X694" s="204" t="s">
        <v>213</v>
      </c>
      <c r="Y694" s="206">
        <v>5500</v>
      </c>
      <c r="Z694" s="207">
        <v>50000</v>
      </c>
      <c r="AA694" s="207">
        <f t="shared" si="163"/>
        <v>275000000</v>
      </c>
      <c r="AB694" s="157">
        <v>50000</v>
      </c>
      <c r="AC694" s="158">
        <f t="shared" si="177"/>
        <v>50000</v>
      </c>
      <c r="AD694" s="159">
        <f t="shared" si="164"/>
        <v>0</v>
      </c>
      <c r="AE694" s="160"/>
      <c r="AF694" s="160">
        <f t="shared" si="165"/>
        <v>0</v>
      </c>
      <c r="AG694" s="165"/>
      <c r="AH694" s="161">
        <f t="shared" si="166"/>
        <v>0</v>
      </c>
      <c r="AI694" s="162"/>
      <c r="AJ694" s="162">
        <f t="shared" si="167"/>
        <v>0</v>
      </c>
      <c r="AK694" s="163"/>
      <c r="AL694" s="164">
        <f t="shared" si="168"/>
        <v>0</v>
      </c>
      <c r="AM694" s="161"/>
      <c r="AN694" s="165">
        <f t="shared" si="169"/>
        <v>0</v>
      </c>
      <c r="AO694" s="160">
        <v>0</v>
      </c>
      <c r="AP694" s="166">
        <f t="shared" si="170"/>
        <v>0</v>
      </c>
      <c r="AQ694" s="162"/>
      <c r="AR694" s="162">
        <f t="shared" si="171"/>
        <v>0</v>
      </c>
      <c r="AS694" s="173"/>
      <c r="AT694" s="167">
        <f t="shared" si="172"/>
        <v>0</v>
      </c>
      <c r="AU694" s="163"/>
      <c r="AV694" s="163">
        <f t="shared" si="173"/>
        <v>0</v>
      </c>
      <c r="AW694" s="162"/>
      <c r="AX694" s="168">
        <f t="shared" si="174"/>
        <v>0</v>
      </c>
      <c r="AY694" s="169"/>
      <c r="AZ694" s="170">
        <f t="shared" si="175"/>
        <v>0</v>
      </c>
      <c r="BA694" s="160"/>
      <c r="BB694" s="166">
        <f t="shared" si="176"/>
        <v>0</v>
      </c>
    </row>
    <row r="695" spans="1:54" s="131" customFormat="1" ht="31.5">
      <c r="A695" s="148" t="s">
        <v>8013</v>
      </c>
      <c r="B695" s="203" t="s">
        <v>2452</v>
      </c>
      <c r="C695" s="203"/>
      <c r="D695" s="203"/>
      <c r="E695" s="203" t="s">
        <v>3799</v>
      </c>
      <c r="F695" s="205" t="s">
        <v>8015</v>
      </c>
      <c r="G695" s="205" t="s">
        <v>7011</v>
      </c>
      <c r="H695" s="204" t="s">
        <v>258</v>
      </c>
      <c r="I695" s="204" t="s">
        <v>11</v>
      </c>
      <c r="J695" s="205" t="s">
        <v>8014</v>
      </c>
      <c r="K695" s="206">
        <v>399</v>
      </c>
      <c r="L695" s="206"/>
      <c r="M695" s="159">
        <f t="shared" si="162"/>
        <v>1400</v>
      </c>
      <c r="N695" s="159"/>
      <c r="O695" s="159"/>
      <c r="P695" s="159"/>
      <c r="Q695" s="159"/>
      <c r="R695" s="159"/>
      <c r="S695" s="150" t="s">
        <v>5323</v>
      </c>
      <c r="T695" s="150" t="s">
        <v>5324</v>
      </c>
      <c r="U695" s="202" t="s">
        <v>3798</v>
      </c>
      <c r="V695" s="204">
        <v>3</v>
      </c>
      <c r="W695" s="203" t="s">
        <v>253</v>
      </c>
      <c r="X695" s="204" t="s">
        <v>213</v>
      </c>
      <c r="Y695" s="206">
        <v>630</v>
      </c>
      <c r="Z695" s="207">
        <v>25000</v>
      </c>
      <c r="AA695" s="207">
        <f t="shared" si="163"/>
        <v>9975000</v>
      </c>
      <c r="AB695" s="157">
        <v>25000</v>
      </c>
      <c r="AC695" s="158">
        <f t="shared" si="177"/>
        <v>23600</v>
      </c>
      <c r="AD695" s="159">
        <f t="shared" si="164"/>
        <v>558600</v>
      </c>
      <c r="AE695" s="160"/>
      <c r="AF695" s="160">
        <f t="shared" si="165"/>
        <v>0</v>
      </c>
      <c r="AG695" s="161">
        <v>1400</v>
      </c>
      <c r="AH695" s="161">
        <f t="shared" si="166"/>
        <v>558600</v>
      </c>
      <c r="AI695" s="162"/>
      <c r="AJ695" s="162">
        <f t="shared" si="167"/>
        <v>0</v>
      </c>
      <c r="AK695" s="164"/>
      <c r="AL695" s="164">
        <f t="shared" si="168"/>
        <v>0</v>
      </c>
      <c r="AM695" s="165"/>
      <c r="AN695" s="165">
        <f t="shared" si="169"/>
        <v>0</v>
      </c>
      <c r="AO695" s="166">
        <v>0</v>
      </c>
      <c r="AP695" s="166">
        <f t="shared" si="170"/>
        <v>0</v>
      </c>
      <c r="AQ695" s="162"/>
      <c r="AR695" s="162">
        <f t="shared" si="171"/>
        <v>0</v>
      </c>
      <c r="AS695" s="167"/>
      <c r="AT695" s="167">
        <f t="shared" si="172"/>
        <v>0</v>
      </c>
      <c r="AU695" s="163"/>
      <c r="AV695" s="163">
        <f t="shared" si="173"/>
        <v>0</v>
      </c>
      <c r="AW695" s="168"/>
      <c r="AX695" s="168">
        <f t="shared" si="174"/>
        <v>0</v>
      </c>
      <c r="AY695" s="170"/>
      <c r="AZ695" s="170">
        <f t="shared" si="175"/>
        <v>0</v>
      </c>
      <c r="BA695" s="166"/>
      <c r="BB695" s="166">
        <f t="shared" si="176"/>
        <v>0</v>
      </c>
    </row>
    <row r="696" spans="1:54" s="131" customFormat="1" ht="31.5">
      <c r="A696" s="172" t="s">
        <v>8016</v>
      </c>
      <c r="B696" s="203" t="s">
        <v>1585</v>
      </c>
      <c r="C696" s="203"/>
      <c r="D696" s="203"/>
      <c r="E696" s="203" t="s">
        <v>8018</v>
      </c>
      <c r="F696" s="205" t="s">
        <v>8020</v>
      </c>
      <c r="G696" s="205" t="s">
        <v>7674</v>
      </c>
      <c r="H696" s="204" t="s">
        <v>1587</v>
      </c>
      <c r="I696" s="204" t="s">
        <v>12</v>
      </c>
      <c r="J696" s="205" t="s">
        <v>8019</v>
      </c>
      <c r="K696" s="206">
        <v>6450</v>
      </c>
      <c r="L696" s="206"/>
      <c r="M696" s="159">
        <f t="shared" si="162"/>
        <v>0</v>
      </c>
      <c r="N696" s="159"/>
      <c r="O696" s="159"/>
      <c r="P696" s="159"/>
      <c r="Q696" s="159"/>
      <c r="R696" s="159"/>
      <c r="S696" s="149" t="s">
        <v>5669</v>
      </c>
      <c r="T696" s="149" t="s">
        <v>5670</v>
      </c>
      <c r="U696" s="202" t="s">
        <v>8017</v>
      </c>
      <c r="V696" s="204">
        <v>3</v>
      </c>
      <c r="W696" s="203" t="s">
        <v>5104</v>
      </c>
      <c r="X696" s="204" t="s">
        <v>213</v>
      </c>
      <c r="Y696" s="206">
        <v>6500</v>
      </c>
      <c r="Z696" s="207">
        <v>20000</v>
      </c>
      <c r="AA696" s="207">
        <f t="shared" si="163"/>
        <v>129000000</v>
      </c>
      <c r="AB696" s="157">
        <v>20000</v>
      </c>
      <c r="AC696" s="158">
        <f t="shared" si="177"/>
        <v>20000</v>
      </c>
      <c r="AD696" s="159">
        <f t="shared" si="164"/>
        <v>0</v>
      </c>
      <c r="AE696" s="160"/>
      <c r="AF696" s="160">
        <f t="shared" si="165"/>
        <v>0</v>
      </c>
      <c r="AG696" s="165"/>
      <c r="AH696" s="161">
        <f t="shared" si="166"/>
        <v>0</v>
      </c>
      <c r="AI696" s="162"/>
      <c r="AJ696" s="162">
        <f t="shared" si="167"/>
        <v>0</v>
      </c>
      <c r="AK696" s="164"/>
      <c r="AL696" s="164">
        <f t="shared" si="168"/>
        <v>0</v>
      </c>
      <c r="AM696" s="165"/>
      <c r="AN696" s="165">
        <f t="shared" si="169"/>
        <v>0</v>
      </c>
      <c r="AO696" s="166">
        <v>0</v>
      </c>
      <c r="AP696" s="166">
        <f t="shared" si="170"/>
        <v>0</v>
      </c>
      <c r="AQ696" s="162"/>
      <c r="AR696" s="162">
        <f t="shared" si="171"/>
        <v>0</v>
      </c>
      <c r="AS696" s="173"/>
      <c r="AT696" s="167">
        <f t="shared" si="172"/>
        <v>0</v>
      </c>
      <c r="AU696" s="163"/>
      <c r="AV696" s="163">
        <f t="shared" si="173"/>
        <v>0</v>
      </c>
      <c r="AW696" s="168"/>
      <c r="AX696" s="168">
        <f t="shared" si="174"/>
        <v>0</v>
      </c>
      <c r="AY696" s="170"/>
      <c r="AZ696" s="170">
        <f t="shared" si="175"/>
        <v>0</v>
      </c>
      <c r="BA696" s="166"/>
      <c r="BB696" s="166">
        <f t="shared" si="176"/>
        <v>0</v>
      </c>
    </row>
    <row r="697" spans="1:54" s="131" customFormat="1">
      <c r="A697" s="148" t="s">
        <v>8021</v>
      </c>
      <c r="B697" s="203" t="s">
        <v>1212</v>
      </c>
      <c r="C697" s="203"/>
      <c r="D697" s="203"/>
      <c r="E697" s="203" t="s">
        <v>4407</v>
      </c>
      <c r="F697" s="205" t="s">
        <v>8023</v>
      </c>
      <c r="G697" s="205" t="s">
        <v>2385</v>
      </c>
      <c r="H697" s="204" t="s">
        <v>945</v>
      </c>
      <c r="I697" s="204" t="s">
        <v>12</v>
      </c>
      <c r="J697" s="205" t="s">
        <v>8022</v>
      </c>
      <c r="K697" s="206">
        <v>728</v>
      </c>
      <c r="L697" s="206"/>
      <c r="M697" s="159">
        <f t="shared" si="162"/>
        <v>6400</v>
      </c>
      <c r="N697" s="159"/>
      <c r="O697" s="159"/>
      <c r="P697" s="159"/>
      <c r="Q697" s="159"/>
      <c r="R697" s="159"/>
      <c r="S697" s="149" t="s">
        <v>2385</v>
      </c>
      <c r="T697" s="150" t="s">
        <v>2380</v>
      </c>
      <c r="U697" s="202" t="s">
        <v>4406</v>
      </c>
      <c r="V697" s="204">
        <v>3</v>
      </c>
      <c r="W697" s="203" t="s">
        <v>253</v>
      </c>
      <c r="X697" s="204" t="s">
        <v>213</v>
      </c>
      <c r="Y697" s="206">
        <v>2100</v>
      </c>
      <c r="Z697" s="207">
        <v>35000</v>
      </c>
      <c r="AA697" s="207">
        <f t="shared" si="163"/>
        <v>25480000</v>
      </c>
      <c r="AB697" s="157">
        <v>35000</v>
      </c>
      <c r="AC697" s="158">
        <f t="shared" si="177"/>
        <v>28600</v>
      </c>
      <c r="AD697" s="159">
        <f t="shared" si="164"/>
        <v>4659200</v>
      </c>
      <c r="AE697" s="160"/>
      <c r="AF697" s="160">
        <f t="shared" si="165"/>
        <v>0</v>
      </c>
      <c r="AG697" s="165">
        <v>4600</v>
      </c>
      <c r="AH697" s="161">
        <f t="shared" si="166"/>
        <v>3348800</v>
      </c>
      <c r="AI697" s="162"/>
      <c r="AJ697" s="162">
        <f t="shared" si="167"/>
        <v>0</v>
      </c>
      <c r="AK697" s="163"/>
      <c r="AL697" s="164">
        <f t="shared" si="168"/>
        <v>0</v>
      </c>
      <c r="AM697" s="161">
        <v>1800</v>
      </c>
      <c r="AN697" s="165">
        <f t="shared" si="169"/>
        <v>1310400</v>
      </c>
      <c r="AO697" s="160">
        <v>0</v>
      </c>
      <c r="AP697" s="166">
        <f t="shared" si="170"/>
        <v>0</v>
      </c>
      <c r="AQ697" s="162"/>
      <c r="AR697" s="162">
        <f t="shared" si="171"/>
        <v>0</v>
      </c>
      <c r="AS697" s="173"/>
      <c r="AT697" s="167">
        <f t="shared" si="172"/>
        <v>0</v>
      </c>
      <c r="AU697" s="163"/>
      <c r="AV697" s="163">
        <f t="shared" si="173"/>
        <v>0</v>
      </c>
      <c r="AW697" s="162"/>
      <c r="AX697" s="168">
        <f t="shared" si="174"/>
        <v>0</v>
      </c>
      <c r="AY697" s="169"/>
      <c r="AZ697" s="170">
        <f t="shared" si="175"/>
        <v>0</v>
      </c>
      <c r="BA697" s="160"/>
      <c r="BB697" s="166">
        <f t="shared" si="176"/>
        <v>0</v>
      </c>
    </row>
    <row r="698" spans="1:54" ht="31.5">
      <c r="A698" s="148" t="s">
        <v>8024</v>
      </c>
      <c r="B698" s="203" t="s">
        <v>3513</v>
      </c>
      <c r="C698" s="203"/>
      <c r="D698" s="203"/>
      <c r="E698" s="203" t="s">
        <v>4979</v>
      </c>
      <c r="F698" s="205" t="s">
        <v>8025</v>
      </c>
      <c r="G698" s="205" t="s">
        <v>621</v>
      </c>
      <c r="H698" s="204" t="s">
        <v>4980</v>
      </c>
      <c r="I698" s="204" t="s">
        <v>15</v>
      </c>
      <c r="J698" s="205" t="s">
        <v>6940</v>
      </c>
      <c r="K698" s="206">
        <v>16590</v>
      </c>
      <c r="L698" s="206"/>
      <c r="M698" s="159">
        <f t="shared" si="162"/>
        <v>82</v>
      </c>
      <c r="N698" s="159"/>
      <c r="O698" s="159"/>
      <c r="P698" s="159"/>
      <c r="Q698" s="159"/>
      <c r="R698" s="159"/>
      <c r="S698" s="149" t="s">
        <v>6938</v>
      </c>
      <c r="T698" s="149" t="s">
        <v>6939</v>
      </c>
      <c r="U698" s="202" t="s">
        <v>4978</v>
      </c>
      <c r="V698" s="204">
        <v>3</v>
      </c>
      <c r="W698" s="203" t="s">
        <v>6941</v>
      </c>
      <c r="X698" s="204" t="s">
        <v>213</v>
      </c>
      <c r="Y698" s="206">
        <v>32000</v>
      </c>
      <c r="Z698" s="207">
        <v>2000</v>
      </c>
      <c r="AA698" s="207">
        <f t="shared" si="163"/>
        <v>33180000</v>
      </c>
      <c r="AB698" s="157">
        <v>2000</v>
      </c>
      <c r="AC698" s="158">
        <f t="shared" si="177"/>
        <v>1918</v>
      </c>
      <c r="AD698" s="159">
        <f t="shared" si="164"/>
        <v>1360380</v>
      </c>
      <c r="AE698" s="160"/>
      <c r="AF698" s="160">
        <f t="shared" si="165"/>
        <v>0</v>
      </c>
      <c r="AG698" s="165">
        <v>82</v>
      </c>
      <c r="AH698" s="161">
        <f t="shared" si="166"/>
        <v>1360380</v>
      </c>
      <c r="AI698" s="162"/>
      <c r="AJ698" s="162">
        <f t="shared" si="167"/>
        <v>0</v>
      </c>
      <c r="AK698" s="164"/>
      <c r="AL698" s="164">
        <f t="shared" si="168"/>
        <v>0</v>
      </c>
      <c r="AM698" s="165"/>
      <c r="AN698" s="165">
        <f t="shared" si="169"/>
        <v>0</v>
      </c>
      <c r="AO698" s="166">
        <v>0</v>
      </c>
      <c r="AP698" s="166">
        <f t="shared" si="170"/>
        <v>0</v>
      </c>
      <c r="AQ698" s="162"/>
      <c r="AR698" s="162">
        <f t="shared" si="171"/>
        <v>0</v>
      </c>
      <c r="AS698" s="173"/>
      <c r="AT698" s="167">
        <f t="shared" si="172"/>
        <v>0</v>
      </c>
      <c r="AU698" s="163"/>
      <c r="AV698" s="163">
        <f t="shared" si="173"/>
        <v>0</v>
      </c>
      <c r="AW698" s="168"/>
      <c r="AX698" s="168">
        <f t="shared" si="174"/>
        <v>0</v>
      </c>
      <c r="AY698" s="170"/>
      <c r="AZ698" s="170">
        <f t="shared" si="175"/>
        <v>0</v>
      </c>
      <c r="BA698" s="166"/>
      <c r="BB698" s="166">
        <f t="shared" si="176"/>
        <v>0</v>
      </c>
    </row>
    <row r="699" spans="1:54" ht="31.5">
      <c r="A699" s="172" t="s">
        <v>8026</v>
      </c>
      <c r="B699" s="203" t="s">
        <v>3513</v>
      </c>
      <c r="C699" s="203"/>
      <c r="D699" s="203"/>
      <c r="E699" s="203" t="s">
        <v>8029</v>
      </c>
      <c r="F699" s="205" t="s">
        <v>8031</v>
      </c>
      <c r="G699" s="205" t="s">
        <v>1268</v>
      </c>
      <c r="H699" s="204" t="s">
        <v>8028</v>
      </c>
      <c r="I699" s="204" t="s">
        <v>12</v>
      </c>
      <c r="J699" s="205" t="s">
        <v>8030</v>
      </c>
      <c r="K699" s="206">
        <v>1950</v>
      </c>
      <c r="L699" s="206"/>
      <c r="M699" s="159">
        <f t="shared" si="162"/>
        <v>0</v>
      </c>
      <c r="N699" s="159"/>
      <c r="O699" s="159"/>
      <c r="P699" s="159"/>
      <c r="Q699" s="159"/>
      <c r="R699" s="159"/>
      <c r="S699" s="149" t="s">
        <v>6500</v>
      </c>
      <c r="T699" s="149" t="s">
        <v>6501</v>
      </c>
      <c r="U699" s="202" t="s">
        <v>8027</v>
      </c>
      <c r="V699" s="204">
        <v>3</v>
      </c>
      <c r="W699" s="203" t="s">
        <v>5104</v>
      </c>
      <c r="X699" s="204" t="s">
        <v>213</v>
      </c>
      <c r="Y699" s="206">
        <v>3500</v>
      </c>
      <c r="Z699" s="207">
        <v>10000</v>
      </c>
      <c r="AA699" s="207">
        <f t="shared" si="163"/>
        <v>19500000</v>
      </c>
      <c r="AB699" s="157">
        <v>10000</v>
      </c>
      <c r="AC699" s="158">
        <f t="shared" si="177"/>
        <v>10000</v>
      </c>
      <c r="AD699" s="159">
        <f t="shared" si="164"/>
        <v>0</v>
      </c>
      <c r="AE699" s="160"/>
      <c r="AF699" s="160">
        <f t="shared" si="165"/>
        <v>0</v>
      </c>
      <c r="AG699" s="165"/>
      <c r="AH699" s="161">
        <f t="shared" si="166"/>
        <v>0</v>
      </c>
      <c r="AI699" s="162"/>
      <c r="AJ699" s="162">
        <f t="shared" si="167"/>
        <v>0</v>
      </c>
      <c r="AK699" s="164"/>
      <c r="AL699" s="164">
        <f t="shared" si="168"/>
        <v>0</v>
      </c>
      <c r="AM699" s="165"/>
      <c r="AN699" s="165">
        <f t="shared" si="169"/>
        <v>0</v>
      </c>
      <c r="AO699" s="166">
        <v>0</v>
      </c>
      <c r="AP699" s="166">
        <f t="shared" si="170"/>
        <v>0</v>
      </c>
      <c r="AQ699" s="162"/>
      <c r="AR699" s="162">
        <f t="shared" si="171"/>
        <v>0</v>
      </c>
      <c r="AS699" s="173"/>
      <c r="AT699" s="167">
        <f t="shared" si="172"/>
        <v>0</v>
      </c>
      <c r="AU699" s="163"/>
      <c r="AV699" s="163">
        <f t="shared" si="173"/>
        <v>0</v>
      </c>
      <c r="AW699" s="168"/>
      <c r="AX699" s="168">
        <f t="shared" si="174"/>
        <v>0</v>
      </c>
      <c r="AY699" s="170"/>
      <c r="AZ699" s="170">
        <f t="shared" si="175"/>
        <v>0</v>
      </c>
      <c r="BA699" s="166"/>
      <c r="BB699" s="166">
        <f t="shared" si="176"/>
        <v>0</v>
      </c>
    </row>
    <row r="700" spans="1:54" ht="31.5">
      <c r="A700" s="148" t="s">
        <v>8032</v>
      </c>
      <c r="B700" s="203" t="s">
        <v>3793</v>
      </c>
      <c r="C700" s="203"/>
      <c r="D700" s="203"/>
      <c r="E700" s="203" t="s">
        <v>4158</v>
      </c>
      <c r="F700" s="205" t="s">
        <v>8034</v>
      </c>
      <c r="G700" s="205" t="s">
        <v>1953</v>
      </c>
      <c r="H700" s="204" t="s">
        <v>4159</v>
      </c>
      <c r="I700" s="204" t="s">
        <v>13</v>
      </c>
      <c r="J700" s="205" t="s">
        <v>8033</v>
      </c>
      <c r="K700" s="206">
        <v>1932</v>
      </c>
      <c r="L700" s="206"/>
      <c r="M700" s="159">
        <f t="shared" si="162"/>
        <v>11700</v>
      </c>
      <c r="N700" s="159"/>
      <c r="O700" s="159"/>
      <c r="P700" s="159"/>
      <c r="Q700" s="159"/>
      <c r="R700" s="159"/>
      <c r="S700" s="150" t="s">
        <v>5340</v>
      </c>
      <c r="T700" s="150" t="s">
        <v>5341</v>
      </c>
      <c r="U700" s="202" t="s">
        <v>3792</v>
      </c>
      <c r="V700" s="204">
        <v>3</v>
      </c>
      <c r="W700" s="203" t="s">
        <v>253</v>
      </c>
      <c r="X700" s="204" t="s">
        <v>213</v>
      </c>
      <c r="Y700" s="206">
        <v>1950</v>
      </c>
      <c r="Z700" s="207">
        <v>50000</v>
      </c>
      <c r="AA700" s="207">
        <f t="shared" si="163"/>
        <v>96600000</v>
      </c>
      <c r="AB700" s="157">
        <v>50000</v>
      </c>
      <c r="AC700" s="158">
        <f t="shared" si="177"/>
        <v>38300</v>
      </c>
      <c r="AD700" s="159">
        <f t="shared" si="164"/>
        <v>22604400</v>
      </c>
      <c r="AE700" s="160"/>
      <c r="AF700" s="160">
        <f t="shared" si="165"/>
        <v>0</v>
      </c>
      <c r="AG700" s="165">
        <v>600</v>
      </c>
      <c r="AH700" s="161">
        <f t="shared" si="166"/>
        <v>1159200</v>
      </c>
      <c r="AI700" s="162"/>
      <c r="AJ700" s="162">
        <f t="shared" si="167"/>
        <v>0</v>
      </c>
      <c r="AK700" s="164"/>
      <c r="AL700" s="164">
        <f t="shared" si="168"/>
        <v>0</v>
      </c>
      <c r="AM700" s="165">
        <v>8100</v>
      </c>
      <c r="AN700" s="165">
        <f t="shared" si="169"/>
        <v>15649200</v>
      </c>
      <c r="AO700" s="166">
        <v>0</v>
      </c>
      <c r="AP700" s="166">
        <f t="shared" si="170"/>
        <v>0</v>
      </c>
      <c r="AQ700" s="162"/>
      <c r="AR700" s="162">
        <f t="shared" si="171"/>
        <v>0</v>
      </c>
      <c r="AS700" s="173"/>
      <c r="AT700" s="167">
        <f t="shared" si="172"/>
        <v>0</v>
      </c>
      <c r="AU700" s="163">
        <v>3000</v>
      </c>
      <c r="AV700" s="163">
        <f t="shared" si="173"/>
        <v>5796000</v>
      </c>
      <c r="AW700" s="168"/>
      <c r="AX700" s="168">
        <f t="shared" si="174"/>
        <v>0</v>
      </c>
      <c r="AY700" s="170"/>
      <c r="AZ700" s="170">
        <f t="shared" si="175"/>
        <v>0</v>
      </c>
      <c r="BA700" s="166"/>
      <c r="BB700" s="166">
        <f t="shared" si="176"/>
        <v>0</v>
      </c>
    </row>
    <row r="701" spans="1:54" ht="31.5">
      <c r="A701" s="148" t="s">
        <v>8035</v>
      </c>
      <c r="B701" s="203" t="s">
        <v>3793</v>
      </c>
      <c r="C701" s="203"/>
      <c r="D701" s="203"/>
      <c r="E701" s="203" t="s">
        <v>8036</v>
      </c>
      <c r="F701" s="205" t="s">
        <v>8038</v>
      </c>
      <c r="G701" s="205" t="s">
        <v>7011</v>
      </c>
      <c r="H701" s="204" t="s">
        <v>4134</v>
      </c>
      <c r="I701" s="204" t="s">
        <v>12</v>
      </c>
      <c r="J701" s="205" t="s">
        <v>8037</v>
      </c>
      <c r="K701" s="206">
        <v>720</v>
      </c>
      <c r="L701" s="206"/>
      <c r="M701" s="159">
        <f t="shared" si="162"/>
        <v>4000</v>
      </c>
      <c r="N701" s="159"/>
      <c r="O701" s="159"/>
      <c r="P701" s="159"/>
      <c r="Q701" s="159"/>
      <c r="R701" s="159"/>
      <c r="S701" s="150" t="s">
        <v>5323</v>
      </c>
      <c r="T701" s="150" t="s">
        <v>5324</v>
      </c>
      <c r="U701" s="202" t="s">
        <v>3993</v>
      </c>
      <c r="V701" s="204">
        <v>3</v>
      </c>
      <c r="W701" s="203" t="s">
        <v>5104</v>
      </c>
      <c r="X701" s="204" t="s">
        <v>213</v>
      </c>
      <c r="Y701" s="206">
        <v>1890</v>
      </c>
      <c r="Z701" s="207">
        <v>50000</v>
      </c>
      <c r="AA701" s="207">
        <f t="shared" si="163"/>
        <v>36000000</v>
      </c>
      <c r="AB701" s="157">
        <v>50000</v>
      </c>
      <c r="AC701" s="158">
        <f t="shared" si="177"/>
        <v>46000</v>
      </c>
      <c r="AD701" s="159">
        <f t="shared" si="164"/>
        <v>2880000</v>
      </c>
      <c r="AE701" s="160"/>
      <c r="AF701" s="160">
        <f t="shared" si="165"/>
        <v>0</v>
      </c>
      <c r="AG701" s="165">
        <v>4000</v>
      </c>
      <c r="AH701" s="161">
        <f t="shared" si="166"/>
        <v>2880000</v>
      </c>
      <c r="AI701" s="162"/>
      <c r="AJ701" s="162">
        <f t="shared" si="167"/>
        <v>0</v>
      </c>
      <c r="AK701" s="164"/>
      <c r="AL701" s="164">
        <f t="shared" si="168"/>
        <v>0</v>
      </c>
      <c r="AM701" s="165"/>
      <c r="AN701" s="165">
        <f t="shared" si="169"/>
        <v>0</v>
      </c>
      <c r="AO701" s="166">
        <v>0</v>
      </c>
      <c r="AP701" s="166">
        <f t="shared" si="170"/>
        <v>0</v>
      </c>
      <c r="AQ701" s="162"/>
      <c r="AR701" s="162">
        <f t="shared" si="171"/>
        <v>0</v>
      </c>
      <c r="AS701" s="173"/>
      <c r="AT701" s="167">
        <f t="shared" si="172"/>
        <v>0</v>
      </c>
      <c r="AU701" s="163"/>
      <c r="AV701" s="163">
        <f t="shared" si="173"/>
        <v>0</v>
      </c>
      <c r="AW701" s="168"/>
      <c r="AX701" s="168">
        <f t="shared" si="174"/>
        <v>0</v>
      </c>
      <c r="AY701" s="170"/>
      <c r="AZ701" s="170">
        <f t="shared" si="175"/>
        <v>0</v>
      </c>
      <c r="BA701" s="166"/>
      <c r="BB701" s="166">
        <f t="shared" si="176"/>
        <v>0</v>
      </c>
    </row>
    <row r="702" spans="1:54" ht="31.5">
      <c r="A702" s="172" t="s">
        <v>8039</v>
      </c>
      <c r="B702" s="203" t="s">
        <v>8041</v>
      </c>
      <c r="C702" s="203"/>
      <c r="D702" s="203"/>
      <c r="E702" s="203" t="s">
        <v>8043</v>
      </c>
      <c r="F702" s="205" t="s">
        <v>8045</v>
      </c>
      <c r="G702" s="205" t="s">
        <v>8046</v>
      </c>
      <c r="H702" s="204" t="s">
        <v>8042</v>
      </c>
      <c r="I702" s="204" t="s">
        <v>11</v>
      </c>
      <c r="J702" s="205" t="s">
        <v>8044</v>
      </c>
      <c r="K702" s="206">
        <v>1200</v>
      </c>
      <c r="L702" s="206"/>
      <c r="M702" s="159">
        <f t="shared" si="162"/>
        <v>0</v>
      </c>
      <c r="N702" s="159"/>
      <c r="O702" s="159"/>
      <c r="P702" s="159"/>
      <c r="Q702" s="159"/>
      <c r="R702" s="159"/>
      <c r="S702" s="150" t="s">
        <v>5118</v>
      </c>
      <c r="T702" s="150" t="s">
        <v>5119</v>
      </c>
      <c r="U702" s="202" t="s">
        <v>8040</v>
      </c>
      <c r="V702" s="204">
        <v>3</v>
      </c>
      <c r="W702" s="203" t="s">
        <v>5104</v>
      </c>
      <c r="X702" s="204" t="s">
        <v>213</v>
      </c>
      <c r="Y702" s="206">
        <v>1324</v>
      </c>
      <c r="Z702" s="207">
        <v>6000</v>
      </c>
      <c r="AA702" s="207">
        <f t="shared" si="163"/>
        <v>7200000</v>
      </c>
      <c r="AB702" s="157">
        <v>6000</v>
      </c>
      <c r="AC702" s="158">
        <f t="shared" si="177"/>
        <v>6000</v>
      </c>
      <c r="AD702" s="159">
        <f t="shared" si="164"/>
        <v>0</v>
      </c>
      <c r="AE702" s="160"/>
      <c r="AF702" s="160">
        <f t="shared" si="165"/>
        <v>0</v>
      </c>
      <c r="AG702" s="165"/>
      <c r="AH702" s="161">
        <f t="shared" si="166"/>
        <v>0</v>
      </c>
      <c r="AI702" s="162"/>
      <c r="AJ702" s="162">
        <f t="shared" si="167"/>
        <v>0</v>
      </c>
      <c r="AK702" s="164"/>
      <c r="AL702" s="164">
        <f t="shared" si="168"/>
        <v>0</v>
      </c>
      <c r="AM702" s="165"/>
      <c r="AN702" s="165">
        <f t="shared" si="169"/>
        <v>0</v>
      </c>
      <c r="AO702" s="166">
        <v>0</v>
      </c>
      <c r="AP702" s="166">
        <f t="shared" si="170"/>
        <v>0</v>
      </c>
      <c r="AQ702" s="162"/>
      <c r="AR702" s="162">
        <f t="shared" si="171"/>
        <v>0</v>
      </c>
      <c r="AS702" s="173"/>
      <c r="AT702" s="167">
        <f t="shared" si="172"/>
        <v>0</v>
      </c>
      <c r="AU702" s="163"/>
      <c r="AV702" s="163">
        <f t="shared" si="173"/>
        <v>0</v>
      </c>
      <c r="AW702" s="168"/>
      <c r="AX702" s="168">
        <f t="shared" si="174"/>
        <v>0</v>
      </c>
      <c r="AY702" s="170"/>
      <c r="AZ702" s="170">
        <f t="shared" si="175"/>
        <v>0</v>
      </c>
      <c r="BA702" s="166"/>
      <c r="BB702" s="166">
        <f t="shared" si="176"/>
        <v>0</v>
      </c>
    </row>
    <row r="703" spans="1:54" ht="31.5">
      <c r="A703" s="148" t="s">
        <v>8047</v>
      </c>
      <c r="B703" s="203" t="s">
        <v>1522</v>
      </c>
      <c r="C703" s="203"/>
      <c r="D703" s="203"/>
      <c r="E703" s="203" t="s">
        <v>1522</v>
      </c>
      <c r="F703" s="205" t="s">
        <v>8049</v>
      </c>
      <c r="G703" s="205" t="s">
        <v>7001</v>
      </c>
      <c r="H703" s="204" t="s">
        <v>225</v>
      </c>
      <c r="I703" s="204" t="s">
        <v>11</v>
      </c>
      <c r="J703" s="205" t="s">
        <v>6709</v>
      </c>
      <c r="K703" s="206">
        <v>522</v>
      </c>
      <c r="L703" s="206"/>
      <c r="M703" s="159">
        <f t="shared" si="162"/>
        <v>0</v>
      </c>
      <c r="N703" s="159"/>
      <c r="O703" s="159"/>
      <c r="P703" s="159"/>
      <c r="Q703" s="159"/>
      <c r="R703" s="159"/>
      <c r="S703" s="150" t="s">
        <v>360</v>
      </c>
      <c r="T703" s="150" t="s">
        <v>358</v>
      </c>
      <c r="U703" s="202" t="s">
        <v>8048</v>
      </c>
      <c r="V703" s="204">
        <v>3</v>
      </c>
      <c r="W703" s="203" t="s">
        <v>5104</v>
      </c>
      <c r="X703" s="204" t="s">
        <v>213</v>
      </c>
      <c r="Y703" s="206">
        <v>1900</v>
      </c>
      <c r="Z703" s="207">
        <v>50000</v>
      </c>
      <c r="AA703" s="207">
        <f t="shared" si="163"/>
        <v>26100000</v>
      </c>
      <c r="AB703" s="157">
        <v>50000</v>
      </c>
      <c r="AC703" s="158">
        <f t="shared" si="177"/>
        <v>50000</v>
      </c>
      <c r="AD703" s="159">
        <f t="shared" si="164"/>
        <v>0</v>
      </c>
      <c r="AE703" s="160"/>
      <c r="AF703" s="160">
        <f t="shared" si="165"/>
        <v>0</v>
      </c>
      <c r="AG703" s="165"/>
      <c r="AH703" s="161">
        <f t="shared" si="166"/>
        <v>0</v>
      </c>
      <c r="AI703" s="162"/>
      <c r="AJ703" s="162">
        <f t="shared" si="167"/>
        <v>0</v>
      </c>
      <c r="AK703" s="164"/>
      <c r="AL703" s="164">
        <f t="shared" si="168"/>
        <v>0</v>
      </c>
      <c r="AM703" s="165"/>
      <c r="AN703" s="165">
        <f t="shared" si="169"/>
        <v>0</v>
      </c>
      <c r="AO703" s="166">
        <v>0</v>
      </c>
      <c r="AP703" s="166">
        <f t="shared" si="170"/>
        <v>0</v>
      </c>
      <c r="AQ703" s="162"/>
      <c r="AR703" s="162">
        <f t="shared" si="171"/>
        <v>0</v>
      </c>
      <c r="AS703" s="173"/>
      <c r="AT703" s="167">
        <f t="shared" si="172"/>
        <v>0</v>
      </c>
      <c r="AU703" s="163"/>
      <c r="AV703" s="163">
        <f t="shared" si="173"/>
        <v>0</v>
      </c>
      <c r="AW703" s="168"/>
      <c r="AX703" s="168">
        <f t="shared" si="174"/>
        <v>0</v>
      </c>
      <c r="AY703" s="170"/>
      <c r="AZ703" s="170">
        <f t="shared" si="175"/>
        <v>0</v>
      </c>
      <c r="BA703" s="166"/>
      <c r="BB703" s="166">
        <f t="shared" si="176"/>
        <v>0</v>
      </c>
    </row>
    <row r="704" spans="1:54" ht="31.5">
      <c r="A704" s="148" t="s">
        <v>8050</v>
      </c>
      <c r="B704" s="203" t="s">
        <v>6320</v>
      </c>
      <c r="C704" s="203"/>
      <c r="D704" s="203"/>
      <c r="E704" s="203" t="s">
        <v>3960</v>
      </c>
      <c r="F704" s="205" t="s">
        <v>8052</v>
      </c>
      <c r="G704" s="205" t="s">
        <v>8053</v>
      </c>
      <c r="H704" s="204" t="s">
        <v>3962</v>
      </c>
      <c r="I704" s="204" t="s">
        <v>11</v>
      </c>
      <c r="J704" s="205" t="s">
        <v>8051</v>
      </c>
      <c r="K704" s="206">
        <v>3129</v>
      </c>
      <c r="L704" s="206"/>
      <c r="M704" s="159">
        <f t="shared" si="162"/>
        <v>4980</v>
      </c>
      <c r="N704" s="159"/>
      <c r="O704" s="159"/>
      <c r="P704" s="159"/>
      <c r="Q704" s="159"/>
      <c r="R704" s="159"/>
      <c r="S704" s="149" t="s">
        <v>5830</v>
      </c>
      <c r="T704" s="149" t="s">
        <v>5831</v>
      </c>
      <c r="U704" s="202" t="s">
        <v>3959</v>
      </c>
      <c r="V704" s="204">
        <v>3</v>
      </c>
      <c r="W704" s="203" t="s">
        <v>5104</v>
      </c>
      <c r="X704" s="204" t="s">
        <v>213</v>
      </c>
      <c r="Y704" s="206">
        <v>3320</v>
      </c>
      <c r="Z704" s="207">
        <v>5000</v>
      </c>
      <c r="AA704" s="207">
        <f t="shared" si="163"/>
        <v>15645000</v>
      </c>
      <c r="AB704" s="157">
        <v>5000</v>
      </c>
      <c r="AC704" s="158">
        <f t="shared" si="177"/>
        <v>20</v>
      </c>
      <c r="AD704" s="159">
        <f t="shared" si="164"/>
        <v>15582420</v>
      </c>
      <c r="AE704" s="160"/>
      <c r="AF704" s="160">
        <f t="shared" si="165"/>
        <v>0</v>
      </c>
      <c r="AG704" s="165"/>
      <c r="AH704" s="161">
        <f t="shared" si="166"/>
        <v>0</v>
      </c>
      <c r="AI704" s="162"/>
      <c r="AJ704" s="162">
        <f t="shared" si="167"/>
        <v>0</v>
      </c>
      <c r="AK704" s="164"/>
      <c r="AL704" s="164">
        <f t="shared" si="168"/>
        <v>0</v>
      </c>
      <c r="AM704" s="165">
        <v>900</v>
      </c>
      <c r="AN704" s="165">
        <f t="shared" si="169"/>
        <v>2816100</v>
      </c>
      <c r="AO704" s="166">
        <v>0</v>
      </c>
      <c r="AP704" s="166">
        <f t="shared" si="170"/>
        <v>0</v>
      </c>
      <c r="AQ704" s="162"/>
      <c r="AR704" s="162">
        <f t="shared" si="171"/>
        <v>0</v>
      </c>
      <c r="AS704" s="173">
        <v>4080</v>
      </c>
      <c r="AT704" s="167">
        <f t="shared" si="172"/>
        <v>12766320</v>
      </c>
      <c r="AU704" s="163"/>
      <c r="AV704" s="163">
        <f t="shared" si="173"/>
        <v>0</v>
      </c>
      <c r="AW704" s="168"/>
      <c r="AX704" s="168">
        <f t="shared" si="174"/>
        <v>0</v>
      </c>
      <c r="AY704" s="170"/>
      <c r="AZ704" s="170">
        <f t="shared" si="175"/>
        <v>0</v>
      </c>
      <c r="BA704" s="166"/>
      <c r="BB704" s="166">
        <f t="shared" si="176"/>
        <v>0</v>
      </c>
    </row>
    <row r="705" spans="1:54">
      <c r="A705" s="172" t="s">
        <v>8054</v>
      </c>
      <c r="B705" s="203" t="s">
        <v>1522</v>
      </c>
      <c r="C705" s="203"/>
      <c r="D705" s="203"/>
      <c r="E705" s="203" t="s">
        <v>8056</v>
      </c>
      <c r="F705" s="205" t="s">
        <v>8058</v>
      </c>
      <c r="G705" s="205" t="s">
        <v>1449</v>
      </c>
      <c r="H705" s="204" t="s">
        <v>17</v>
      </c>
      <c r="I705" s="204" t="s">
        <v>11</v>
      </c>
      <c r="J705" s="205" t="s">
        <v>8057</v>
      </c>
      <c r="K705" s="206">
        <v>1043</v>
      </c>
      <c r="L705" s="206"/>
      <c r="M705" s="159">
        <f t="shared" si="162"/>
        <v>0</v>
      </c>
      <c r="N705" s="159"/>
      <c r="O705" s="159"/>
      <c r="P705" s="159"/>
      <c r="Q705" s="159"/>
      <c r="R705" s="159"/>
      <c r="S705" s="149" t="s">
        <v>7241</v>
      </c>
      <c r="T705" s="149" t="s">
        <v>7242</v>
      </c>
      <c r="U705" s="202" t="s">
        <v>8055</v>
      </c>
      <c r="V705" s="204">
        <v>3</v>
      </c>
      <c r="W705" s="203" t="s">
        <v>5104</v>
      </c>
      <c r="X705" s="204" t="s">
        <v>6628</v>
      </c>
      <c r="Y705" s="206">
        <v>2850</v>
      </c>
      <c r="Z705" s="207">
        <v>100000</v>
      </c>
      <c r="AA705" s="207">
        <f t="shared" si="163"/>
        <v>104300000</v>
      </c>
      <c r="AB705" s="157">
        <v>100000</v>
      </c>
      <c r="AC705" s="158">
        <f t="shared" si="177"/>
        <v>100000</v>
      </c>
      <c r="AD705" s="159">
        <f t="shared" si="164"/>
        <v>0</v>
      </c>
      <c r="AE705" s="160"/>
      <c r="AF705" s="160">
        <f t="shared" si="165"/>
        <v>0</v>
      </c>
      <c r="AG705" s="165"/>
      <c r="AH705" s="161">
        <f t="shared" si="166"/>
        <v>0</v>
      </c>
      <c r="AI705" s="162"/>
      <c r="AJ705" s="162">
        <f t="shared" si="167"/>
        <v>0</v>
      </c>
      <c r="AK705" s="164"/>
      <c r="AL705" s="164">
        <f t="shared" si="168"/>
        <v>0</v>
      </c>
      <c r="AM705" s="165"/>
      <c r="AN705" s="165">
        <f t="shared" si="169"/>
        <v>0</v>
      </c>
      <c r="AO705" s="166">
        <v>0</v>
      </c>
      <c r="AP705" s="166">
        <f t="shared" si="170"/>
        <v>0</v>
      </c>
      <c r="AQ705" s="162"/>
      <c r="AR705" s="162">
        <f t="shared" si="171"/>
        <v>0</v>
      </c>
      <c r="AS705" s="173"/>
      <c r="AT705" s="167">
        <f t="shared" si="172"/>
        <v>0</v>
      </c>
      <c r="AU705" s="163"/>
      <c r="AV705" s="163">
        <f t="shared" si="173"/>
        <v>0</v>
      </c>
      <c r="AW705" s="168"/>
      <c r="AX705" s="168">
        <f t="shared" si="174"/>
        <v>0</v>
      </c>
      <c r="AY705" s="170"/>
      <c r="AZ705" s="170">
        <f t="shared" si="175"/>
        <v>0</v>
      </c>
      <c r="BA705" s="166"/>
      <c r="BB705" s="166">
        <f t="shared" si="176"/>
        <v>0</v>
      </c>
    </row>
    <row r="706" spans="1:54" ht="31.5">
      <c r="A706" s="148" t="s">
        <v>8059</v>
      </c>
      <c r="B706" s="203" t="s">
        <v>1215</v>
      </c>
      <c r="C706" s="203"/>
      <c r="D706" s="203"/>
      <c r="E706" s="203" t="s">
        <v>1216</v>
      </c>
      <c r="F706" s="205" t="s">
        <v>1219</v>
      </c>
      <c r="G706" s="205" t="s">
        <v>6536</v>
      </c>
      <c r="H706" s="204" t="s">
        <v>1217</v>
      </c>
      <c r="I706" s="204" t="s">
        <v>11</v>
      </c>
      <c r="J706" s="205" t="s">
        <v>8061</v>
      </c>
      <c r="K706" s="206">
        <v>720</v>
      </c>
      <c r="L706" s="206"/>
      <c r="M706" s="159">
        <f t="shared" si="162"/>
        <v>0</v>
      </c>
      <c r="N706" s="159"/>
      <c r="O706" s="159"/>
      <c r="P706" s="159"/>
      <c r="Q706" s="159"/>
      <c r="R706" s="159"/>
      <c r="S706" s="149" t="s">
        <v>5530</v>
      </c>
      <c r="T706" s="149" t="s">
        <v>5531</v>
      </c>
      <c r="U706" s="202" t="s">
        <v>8060</v>
      </c>
      <c r="V706" s="204">
        <v>3</v>
      </c>
      <c r="W706" s="203" t="s">
        <v>5104</v>
      </c>
      <c r="X706" s="204" t="s">
        <v>213</v>
      </c>
      <c r="Y706" s="206">
        <v>2310</v>
      </c>
      <c r="Z706" s="207">
        <v>30000</v>
      </c>
      <c r="AA706" s="207">
        <f t="shared" si="163"/>
        <v>21600000</v>
      </c>
      <c r="AB706" s="157">
        <v>30000</v>
      </c>
      <c r="AC706" s="158">
        <f t="shared" si="177"/>
        <v>30000</v>
      </c>
      <c r="AD706" s="159">
        <f t="shared" si="164"/>
        <v>0</v>
      </c>
      <c r="AE706" s="160"/>
      <c r="AF706" s="160">
        <f t="shared" si="165"/>
        <v>0</v>
      </c>
      <c r="AG706" s="165"/>
      <c r="AH706" s="161">
        <f t="shared" si="166"/>
        <v>0</v>
      </c>
      <c r="AI706" s="162"/>
      <c r="AJ706" s="162">
        <f t="shared" si="167"/>
        <v>0</v>
      </c>
      <c r="AK706" s="163"/>
      <c r="AL706" s="164">
        <f t="shared" si="168"/>
        <v>0</v>
      </c>
      <c r="AM706" s="161"/>
      <c r="AN706" s="165">
        <f t="shared" si="169"/>
        <v>0</v>
      </c>
      <c r="AO706" s="160">
        <v>0</v>
      </c>
      <c r="AP706" s="166">
        <f t="shared" si="170"/>
        <v>0</v>
      </c>
      <c r="AQ706" s="162"/>
      <c r="AR706" s="162">
        <f t="shared" si="171"/>
        <v>0</v>
      </c>
      <c r="AS706" s="173"/>
      <c r="AT706" s="167">
        <f t="shared" si="172"/>
        <v>0</v>
      </c>
      <c r="AU706" s="163"/>
      <c r="AV706" s="163">
        <f t="shared" si="173"/>
        <v>0</v>
      </c>
      <c r="AW706" s="162"/>
      <c r="AX706" s="168">
        <f t="shared" si="174"/>
        <v>0</v>
      </c>
      <c r="AY706" s="169"/>
      <c r="AZ706" s="170">
        <f t="shared" si="175"/>
        <v>0</v>
      </c>
      <c r="BA706" s="160"/>
      <c r="BB706" s="166">
        <f t="shared" si="176"/>
        <v>0</v>
      </c>
    </row>
    <row r="707" spans="1:54" s="115" customFormat="1" ht="31.5">
      <c r="A707" s="148" t="s">
        <v>8062</v>
      </c>
      <c r="B707" s="203" t="s">
        <v>576</v>
      </c>
      <c r="C707" s="203"/>
      <c r="D707" s="203"/>
      <c r="E707" s="203" t="s">
        <v>8064</v>
      </c>
      <c r="F707" s="205" t="s">
        <v>8066</v>
      </c>
      <c r="G707" s="205" t="s">
        <v>336</v>
      </c>
      <c r="H707" s="204" t="s">
        <v>2050</v>
      </c>
      <c r="I707" s="204" t="s">
        <v>12</v>
      </c>
      <c r="J707" s="205" t="s">
        <v>8065</v>
      </c>
      <c r="K707" s="206">
        <v>2100</v>
      </c>
      <c r="L707" s="206"/>
      <c r="M707" s="159">
        <f t="shared" si="162"/>
        <v>0</v>
      </c>
      <c r="N707" s="159"/>
      <c r="O707" s="159"/>
      <c r="P707" s="159"/>
      <c r="Q707" s="159"/>
      <c r="R707" s="159"/>
      <c r="S707" s="149" t="s">
        <v>5669</v>
      </c>
      <c r="T707" s="149" t="s">
        <v>5670</v>
      </c>
      <c r="U707" s="202" t="s">
        <v>8063</v>
      </c>
      <c r="V707" s="204">
        <v>3</v>
      </c>
      <c r="W707" s="203" t="s">
        <v>5104</v>
      </c>
      <c r="X707" s="204" t="s">
        <v>213</v>
      </c>
      <c r="Y707" s="206">
        <v>2100</v>
      </c>
      <c r="Z707" s="207">
        <v>10000</v>
      </c>
      <c r="AA707" s="207">
        <f t="shared" si="163"/>
        <v>21000000</v>
      </c>
      <c r="AB707" s="157">
        <v>10000</v>
      </c>
      <c r="AC707" s="158">
        <f t="shared" si="177"/>
        <v>10000</v>
      </c>
      <c r="AD707" s="159">
        <f t="shared" si="164"/>
        <v>0</v>
      </c>
      <c r="AE707" s="160"/>
      <c r="AF707" s="160">
        <f t="shared" si="165"/>
        <v>0</v>
      </c>
      <c r="AG707" s="165"/>
      <c r="AH707" s="161">
        <f t="shared" si="166"/>
        <v>0</v>
      </c>
      <c r="AI707" s="162"/>
      <c r="AJ707" s="162">
        <f t="shared" si="167"/>
        <v>0</v>
      </c>
      <c r="AK707" s="164"/>
      <c r="AL707" s="164">
        <f t="shared" si="168"/>
        <v>0</v>
      </c>
      <c r="AM707" s="165"/>
      <c r="AN707" s="165">
        <f t="shared" si="169"/>
        <v>0</v>
      </c>
      <c r="AO707" s="166">
        <v>0</v>
      </c>
      <c r="AP707" s="166">
        <f t="shared" si="170"/>
        <v>0</v>
      </c>
      <c r="AQ707" s="162"/>
      <c r="AR707" s="162">
        <f t="shared" si="171"/>
        <v>0</v>
      </c>
      <c r="AS707" s="173"/>
      <c r="AT707" s="167">
        <f t="shared" si="172"/>
        <v>0</v>
      </c>
      <c r="AU707" s="163"/>
      <c r="AV707" s="163">
        <f t="shared" si="173"/>
        <v>0</v>
      </c>
      <c r="AW707" s="168"/>
      <c r="AX707" s="168">
        <f t="shared" si="174"/>
        <v>0</v>
      </c>
      <c r="AY707" s="170"/>
      <c r="AZ707" s="170">
        <f t="shared" si="175"/>
        <v>0</v>
      </c>
      <c r="BA707" s="166"/>
      <c r="BB707" s="166">
        <f t="shared" si="176"/>
        <v>0</v>
      </c>
    </row>
    <row r="708" spans="1:54" s="115" customFormat="1" ht="31.5">
      <c r="A708" s="172" t="s">
        <v>8067</v>
      </c>
      <c r="B708" s="203" t="s">
        <v>576</v>
      </c>
      <c r="C708" s="203"/>
      <c r="D708" s="203"/>
      <c r="E708" s="203" t="s">
        <v>577</v>
      </c>
      <c r="F708" s="205" t="s">
        <v>8069</v>
      </c>
      <c r="G708" s="205" t="s">
        <v>7575</v>
      </c>
      <c r="H708" s="204" t="s">
        <v>299</v>
      </c>
      <c r="I708" s="204" t="s">
        <v>11</v>
      </c>
      <c r="J708" s="205" t="s">
        <v>8068</v>
      </c>
      <c r="K708" s="206">
        <v>600</v>
      </c>
      <c r="L708" s="206"/>
      <c r="M708" s="159">
        <f t="shared" ref="M708:M771" si="178">AE708+AG708+AI708+AK708+AM708+AO708+AQ708+AS708+AU708+AW708+AY708+BA708</f>
        <v>0</v>
      </c>
      <c r="N708" s="159"/>
      <c r="O708" s="159"/>
      <c r="P708" s="159"/>
      <c r="Q708" s="159"/>
      <c r="R708" s="159"/>
      <c r="S708" s="150" t="s">
        <v>5328</v>
      </c>
      <c r="T708" s="150" t="s">
        <v>215</v>
      </c>
      <c r="U708" s="202" t="s">
        <v>3753</v>
      </c>
      <c r="V708" s="204">
        <v>3</v>
      </c>
      <c r="W708" s="203" t="s">
        <v>5104</v>
      </c>
      <c r="X708" s="204" t="s">
        <v>213</v>
      </c>
      <c r="Y708" s="206">
        <v>1500</v>
      </c>
      <c r="Z708" s="207">
        <v>20000</v>
      </c>
      <c r="AA708" s="207">
        <f t="shared" ref="AA708:AA771" si="179">Z708*K708</f>
        <v>12000000</v>
      </c>
      <c r="AB708" s="157">
        <v>20000</v>
      </c>
      <c r="AC708" s="158">
        <f t="shared" si="177"/>
        <v>20000</v>
      </c>
      <c r="AD708" s="159">
        <f t="shared" ref="AD708:AD771" si="180">M708*K708</f>
        <v>0</v>
      </c>
      <c r="AE708" s="160"/>
      <c r="AF708" s="160">
        <f t="shared" ref="AF708:AF771" si="181">AE708*K708</f>
        <v>0</v>
      </c>
      <c r="AG708" s="165"/>
      <c r="AH708" s="161">
        <f t="shared" ref="AH708:AH771" si="182">AG708*K708</f>
        <v>0</v>
      </c>
      <c r="AI708" s="162"/>
      <c r="AJ708" s="162">
        <f t="shared" ref="AJ708:AJ771" si="183">AI708*K708</f>
        <v>0</v>
      </c>
      <c r="AK708" s="164"/>
      <c r="AL708" s="164">
        <f t="shared" ref="AL708:AL771" si="184">AK708*K708</f>
        <v>0</v>
      </c>
      <c r="AM708" s="165"/>
      <c r="AN708" s="165">
        <f t="shared" ref="AN708:AN771" si="185">AM708*K708</f>
        <v>0</v>
      </c>
      <c r="AO708" s="166">
        <v>0</v>
      </c>
      <c r="AP708" s="166">
        <f t="shared" ref="AP708:AP771" si="186">AO708*K708</f>
        <v>0</v>
      </c>
      <c r="AQ708" s="162"/>
      <c r="AR708" s="162">
        <f t="shared" ref="AR708:AR771" si="187">AQ708*K708</f>
        <v>0</v>
      </c>
      <c r="AS708" s="173"/>
      <c r="AT708" s="167">
        <f t="shared" ref="AT708:AT771" si="188">AS708*K708</f>
        <v>0</v>
      </c>
      <c r="AU708" s="163"/>
      <c r="AV708" s="163">
        <f t="shared" ref="AV708:AV771" si="189">AU708*K708</f>
        <v>0</v>
      </c>
      <c r="AW708" s="168"/>
      <c r="AX708" s="168">
        <f t="shared" ref="AX708:AX771" si="190">AW708*K708</f>
        <v>0</v>
      </c>
      <c r="AY708" s="170"/>
      <c r="AZ708" s="170">
        <f t="shared" ref="AZ708:AZ771" si="191">AY708*K708</f>
        <v>0</v>
      </c>
      <c r="BA708" s="166"/>
      <c r="BB708" s="166">
        <f t="shared" ref="BB708:BB771" si="192">BA708*K708</f>
        <v>0</v>
      </c>
    </row>
    <row r="709" spans="1:54" ht="31.5">
      <c r="A709" s="148" t="s">
        <v>8070</v>
      </c>
      <c r="B709" s="203" t="s">
        <v>876</v>
      </c>
      <c r="C709" s="203"/>
      <c r="D709" s="203"/>
      <c r="E709" s="203" t="s">
        <v>8072</v>
      </c>
      <c r="F709" s="205" t="s">
        <v>8074</v>
      </c>
      <c r="G709" s="205" t="s">
        <v>6907</v>
      </c>
      <c r="H709" s="204" t="s">
        <v>5658</v>
      </c>
      <c r="I709" s="204" t="s">
        <v>658</v>
      </c>
      <c r="J709" s="205" t="s">
        <v>8073</v>
      </c>
      <c r="K709" s="206">
        <v>12600</v>
      </c>
      <c r="L709" s="206"/>
      <c r="M709" s="159">
        <f t="shared" si="178"/>
        <v>0</v>
      </c>
      <c r="N709" s="159"/>
      <c r="O709" s="159"/>
      <c r="P709" s="159"/>
      <c r="Q709" s="159"/>
      <c r="R709" s="159"/>
      <c r="S709" s="149" t="s">
        <v>5830</v>
      </c>
      <c r="T709" s="149" t="s">
        <v>5831</v>
      </c>
      <c r="U709" s="202" t="s">
        <v>8071</v>
      </c>
      <c r="V709" s="204">
        <v>3</v>
      </c>
      <c r="W709" s="203" t="s">
        <v>253</v>
      </c>
      <c r="X709" s="204" t="s">
        <v>213</v>
      </c>
      <c r="Y709" s="206">
        <v>12800</v>
      </c>
      <c r="Z709" s="207">
        <v>3000</v>
      </c>
      <c r="AA709" s="207">
        <f t="shared" si="179"/>
        <v>37800000</v>
      </c>
      <c r="AB709" s="157">
        <v>3000</v>
      </c>
      <c r="AC709" s="158">
        <f t="shared" si="177"/>
        <v>3000</v>
      </c>
      <c r="AD709" s="159">
        <f t="shared" si="180"/>
        <v>0</v>
      </c>
      <c r="AE709" s="160"/>
      <c r="AF709" s="160">
        <f t="shared" si="181"/>
        <v>0</v>
      </c>
      <c r="AG709" s="165"/>
      <c r="AH709" s="161">
        <f t="shared" si="182"/>
        <v>0</v>
      </c>
      <c r="AI709" s="162"/>
      <c r="AJ709" s="162">
        <f t="shared" si="183"/>
        <v>0</v>
      </c>
      <c r="AK709" s="164"/>
      <c r="AL709" s="164">
        <f t="shared" si="184"/>
        <v>0</v>
      </c>
      <c r="AM709" s="165"/>
      <c r="AN709" s="165">
        <f t="shared" si="185"/>
        <v>0</v>
      </c>
      <c r="AO709" s="166">
        <v>0</v>
      </c>
      <c r="AP709" s="166">
        <f t="shared" si="186"/>
        <v>0</v>
      </c>
      <c r="AQ709" s="162"/>
      <c r="AR709" s="162">
        <f t="shared" si="187"/>
        <v>0</v>
      </c>
      <c r="AS709" s="173"/>
      <c r="AT709" s="167">
        <f t="shared" si="188"/>
        <v>0</v>
      </c>
      <c r="AU709" s="163"/>
      <c r="AV709" s="163">
        <f t="shared" si="189"/>
        <v>0</v>
      </c>
      <c r="AW709" s="168"/>
      <c r="AX709" s="168">
        <f t="shared" si="190"/>
        <v>0</v>
      </c>
      <c r="AY709" s="170"/>
      <c r="AZ709" s="170">
        <f t="shared" si="191"/>
        <v>0</v>
      </c>
      <c r="BA709" s="166"/>
      <c r="BB709" s="166">
        <f t="shared" si="192"/>
        <v>0</v>
      </c>
    </row>
    <row r="710" spans="1:54" ht="31.5">
      <c r="A710" s="148" t="s">
        <v>8075</v>
      </c>
      <c r="B710" s="203" t="s">
        <v>876</v>
      </c>
      <c r="C710" s="203"/>
      <c r="D710" s="203"/>
      <c r="E710" s="203" t="s">
        <v>1574</v>
      </c>
      <c r="F710" s="205" t="s">
        <v>1577</v>
      </c>
      <c r="G710" s="205" t="s">
        <v>7335</v>
      </c>
      <c r="H710" s="204" t="s">
        <v>1575</v>
      </c>
      <c r="I710" s="204" t="s">
        <v>658</v>
      </c>
      <c r="J710" s="205" t="s">
        <v>8077</v>
      </c>
      <c r="K710" s="206">
        <v>90000</v>
      </c>
      <c r="L710" s="206"/>
      <c r="M710" s="159">
        <f t="shared" si="178"/>
        <v>0</v>
      </c>
      <c r="N710" s="159"/>
      <c r="O710" s="159"/>
      <c r="P710" s="159"/>
      <c r="Q710" s="159"/>
      <c r="R710" s="159"/>
      <c r="S710" s="149" t="s">
        <v>6812</v>
      </c>
      <c r="T710" s="149" t="s">
        <v>6813</v>
      </c>
      <c r="U710" s="202" t="s">
        <v>8076</v>
      </c>
      <c r="V710" s="204">
        <v>3</v>
      </c>
      <c r="W710" s="203" t="s">
        <v>253</v>
      </c>
      <c r="X710" s="204" t="s">
        <v>213</v>
      </c>
      <c r="Y710" s="206">
        <v>100000</v>
      </c>
      <c r="Z710" s="207">
        <v>1000</v>
      </c>
      <c r="AA710" s="207">
        <f t="shared" si="179"/>
        <v>90000000</v>
      </c>
      <c r="AB710" s="157">
        <v>1000</v>
      </c>
      <c r="AC710" s="158">
        <f t="shared" si="177"/>
        <v>1000</v>
      </c>
      <c r="AD710" s="159">
        <f t="shared" si="180"/>
        <v>0</v>
      </c>
      <c r="AE710" s="160"/>
      <c r="AF710" s="160">
        <f t="shared" si="181"/>
        <v>0</v>
      </c>
      <c r="AG710" s="165"/>
      <c r="AH710" s="161">
        <f t="shared" si="182"/>
        <v>0</v>
      </c>
      <c r="AI710" s="162"/>
      <c r="AJ710" s="162">
        <f t="shared" si="183"/>
        <v>0</v>
      </c>
      <c r="AK710" s="164"/>
      <c r="AL710" s="164">
        <f t="shared" si="184"/>
        <v>0</v>
      </c>
      <c r="AM710" s="165"/>
      <c r="AN710" s="165">
        <f t="shared" si="185"/>
        <v>0</v>
      </c>
      <c r="AO710" s="166">
        <v>0</v>
      </c>
      <c r="AP710" s="166">
        <f t="shared" si="186"/>
        <v>0</v>
      </c>
      <c r="AQ710" s="162"/>
      <c r="AR710" s="162">
        <f t="shared" si="187"/>
        <v>0</v>
      </c>
      <c r="AS710" s="173"/>
      <c r="AT710" s="167">
        <f t="shared" si="188"/>
        <v>0</v>
      </c>
      <c r="AU710" s="163"/>
      <c r="AV710" s="163">
        <f t="shared" si="189"/>
        <v>0</v>
      </c>
      <c r="AW710" s="168"/>
      <c r="AX710" s="168">
        <f t="shared" si="190"/>
        <v>0</v>
      </c>
      <c r="AY710" s="170"/>
      <c r="AZ710" s="170">
        <f t="shared" si="191"/>
        <v>0</v>
      </c>
      <c r="BA710" s="166"/>
      <c r="BB710" s="166">
        <f t="shared" si="192"/>
        <v>0</v>
      </c>
    </row>
    <row r="711" spans="1:54">
      <c r="A711" s="172" t="s">
        <v>8078</v>
      </c>
      <c r="B711" s="203" t="s">
        <v>2469</v>
      </c>
      <c r="C711" s="203"/>
      <c r="D711" s="203"/>
      <c r="E711" s="203" t="s">
        <v>2469</v>
      </c>
      <c r="F711" s="205" t="s">
        <v>8080</v>
      </c>
      <c r="G711" s="205" t="s">
        <v>2385</v>
      </c>
      <c r="H711" s="204" t="s">
        <v>4782</v>
      </c>
      <c r="I711" s="204" t="s">
        <v>11</v>
      </c>
      <c r="J711" s="205" t="s">
        <v>8079</v>
      </c>
      <c r="K711" s="206">
        <v>100</v>
      </c>
      <c r="L711" s="206"/>
      <c r="M711" s="159">
        <f t="shared" si="178"/>
        <v>5000</v>
      </c>
      <c r="N711" s="159"/>
      <c r="O711" s="159"/>
      <c r="P711" s="159"/>
      <c r="Q711" s="159"/>
      <c r="R711" s="159"/>
      <c r="S711" s="149" t="s">
        <v>2385</v>
      </c>
      <c r="T711" s="150" t="s">
        <v>2380</v>
      </c>
      <c r="U711" s="202" t="s">
        <v>4781</v>
      </c>
      <c r="V711" s="204">
        <v>3</v>
      </c>
      <c r="W711" s="203" t="s">
        <v>253</v>
      </c>
      <c r="X711" s="204" t="s">
        <v>213</v>
      </c>
      <c r="Y711" s="206">
        <v>200</v>
      </c>
      <c r="Z711" s="207">
        <v>30000</v>
      </c>
      <c r="AA711" s="207">
        <f t="shared" si="179"/>
        <v>3000000</v>
      </c>
      <c r="AB711" s="157">
        <v>30000</v>
      </c>
      <c r="AC711" s="158">
        <f t="shared" si="177"/>
        <v>25000</v>
      </c>
      <c r="AD711" s="159">
        <f t="shared" si="180"/>
        <v>500000</v>
      </c>
      <c r="AE711" s="160"/>
      <c r="AF711" s="160">
        <f t="shared" si="181"/>
        <v>0</v>
      </c>
      <c r="AG711" s="165">
        <v>5000</v>
      </c>
      <c r="AH711" s="161">
        <f t="shared" si="182"/>
        <v>500000</v>
      </c>
      <c r="AI711" s="162"/>
      <c r="AJ711" s="162">
        <f t="shared" si="183"/>
        <v>0</v>
      </c>
      <c r="AK711" s="164"/>
      <c r="AL711" s="164">
        <f t="shared" si="184"/>
        <v>0</v>
      </c>
      <c r="AM711" s="165"/>
      <c r="AN711" s="165">
        <f t="shared" si="185"/>
        <v>0</v>
      </c>
      <c r="AO711" s="166">
        <v>0</v>
      </c>
      <c r="AP711" s="166">
        <f t="shared" si="186"/>
        <v>0</v>
      </c>
      <c r="AQ711" s="162"/>
      <c r="AR711" s="162">
        <f t="shared" si="187"/>
        <v>0</v>
      </c>
      <c r="AS711" s="173"/>
      <c r="AT711" s="167">
        <f t="shared" si="188"/>
        <v>0</v>
      </c>
      <c r="AU711" s="163"/>
      <c r="AV711" s="163">
        <f t="shared" si="189"/>
        <v>0</v>
      </c>
      <c r="AW711" s="168"/>
      <c r="AX711" s="168">
        <f t="shared" si="190"/>
        <v>0</v>
      </c>
      <c r="AY711" s="170"/>
      <c r="AZ711" s="170">
        <f t="shared" si="191"/>
        <v>0</v>
      </c>
      <c r="BA711" s="166"/>
      <c r="BB711" s="166">
        <f t="shared" si="192"/>
        <v>0</v>
      </c>
    </row>
    <row r="712" spans="1:54" ht="31.5">
      <c r="A712" s="148" t="s">
        <v>8081</v>
      </c>
      <c r="B712" s="203" t="s">
        <v>4110</v>
      </c>
      <c r="C712" s="203"/>
      <c r="D712" s="203"/>
      <c r="E712" s="203" t="s">
        <v>403</v>
      </c>
      <c r="F712" s="205" t="s">
        <v>8082</v>
      </c>
      <c r="G712" s="205" t="s">
        <v>7001</v>
      </c>
      <c r="H712" s="204" t="s">
        <v>327</v>
      </c>
      <c r="I712" s="204" t="s">
        <v>11</v>
      </c>
      <c r="J712" s="205" t="s">
        <v>7769</v>
      </c>
      <c r="K712" s="206">
        <v>102</v>
      </c>
      <c r="L712" s="206"/>
      <c r="M712" s="159">
        <f t="shared" si="178"/>
        <v>10000</v>
      </c>
      <c r="N712" s="159"/>
      <c r="O712" s="159"/>
      <c r="P712" s="159"/>
      <c r="Q712" s="159"/>
      <c r="R712" s="159"/>
      <c r="S712" s="150" t="s">
        <v>360</v>
      </c>
      <c r="T712" s="150" t="s">
        <v>358</v>
      </c>
      <c r="U712" s="202" t="s">
        <v>4109</v>
      </c>
      <c r="V712" s="204">
        <v>3</v>
      </c>
      <c r="W712" s="203" t="s">
        <v>5104</v>
      </c>
      <c r="X712" s="204" t="s">
        <v>213</v>
      </c>
      <c r="Y712" s="206">
        <v>300</v>
      </c>
      <c r="Z712" s="207">
        <v>300000</v>
      </c>
      <c r="AA712" s="207">
        <f t="shared" si="179"/>
        <v>30600000</v>
      </c>
      <c r="AB712" s="157">
        <v>300000</v>
      </c>
      <c r="AC712" s="158">
        <f t="shared" si="177"/>
        <v>290000</v>
      </c>
      <c r="AD712" s="159">
        <f t="shared" si="180"/>
        <v>1020000</v>
      </c>
      <c r="AE712" s="160"/>
      <c r="AF712" s="160">
        <f t="shared" si="181"/>
        <v>0</v>
      </c>
      <c r="AG712" s="165">
        <v>10000</v>
      </c>
      <c r="AH712" s="161">
        <f t="shared" si="182"/>
        <v>1020000</v>
      </c>
      <c r="AI712" s="162"/>
      <c r="AJ712" s="162">
        <f t="shared" si="183"/>
        <v>0</v>
      </c>
      <c r="AK712" s="164"/>
      <c r="AL712" s="164">
        <f t="shared" si="184"/>
        <v>0</v>
      </c>
      <c r="AM712" s="165"/>
      <c r="AN712" s="165">
        <f t="shared" si="185"/>
        <v>0</v>
      </c>
      <c r="AO712" s="166">
        <v>0</v>
      </c>
      <c r="AP712" s="166">
        <f t="shared" si="186"/>
        <v>0</v>
      </c>
      <c r="AQ712" s="162"/>
      <c r="AR712" s="162">
        <f t="shared" si="187"/>
        <v>0</v>
      </c>
      <c r="AS712" s="173"/>
      <c r="AT712" s="167">
        <f t="shared" si="188"/>
        <v>0</v>
      </c>
      <c r="AU712" s="163"/>
      <c r="AV712" s="163">
        <f t="shared" si="189"/>
        <v>0</v>
      </c>
      <c r="AW712" s="168"/>
      <c r="AX712" s="168">
        <f t="shared" si="190"/>
        <v>0</v>
      </c>
      <c r="AY712" s="170"/>
      <c r="AZ712" s="170">
        <f t="shared" si="191"/>
        <v>0</v>
      </c>
      <c r="BA712" s="166"/>
      <c r="BB712" s="166">
        <f t="shared" si="192"/>
        <v>0</v>
      </c>
    </row>
    <row r="713" spans="1:54">
      <c r="A713" s="148" t="s">
        <v>8083</v>
      </c>
      <c r="B713" s="203" t="s">
        <v>1307</v>
      </c>
      <c r="C713" s="203"/>
      <c r="D713" s="203"/>
      <c r="E713" s="203" t="s">
        <v>8086</v>
      </c>
      <c r="F713" s="205" t="s">
        <v>8088</v>
      </c>
      <c r="G713" s="205" t="s">
        <v>1913</v>
      </c>
      <c r="H713" s="204" t="s">
        <v>8085</v>
      </c>
      <c r="I713" s="204" t="s">
        <v>15</v>
      </c>
      <c r="J713" s="205" t="s">
        <v>8087</v>
      </c>
      <c r="K713" s="206">
        <v>10500</v>
      </c>
      <c r="L713" s="206"/>
      <c r="M713" s="159">
        <f t="shared" si="178"/>
        <v>0</v>
      </c>
      <c r="N713" s="159"/>
      <c r="O713" s="159"/>
      <c r="P713" s="159"/>
      <c r="Q713" s="159"/>
      <c r="R713" s="159"/>
      <c r="S713" s="149" t="s">
        <v>7453</v>
      </c>
      <c r="T713" s="149" t="s">
        <v>1913</v>
      </c>
      <c r="U713" s="202" t="s">
        <v>8084</v>
      </c>
      <c r="V713" s="204">
        <v>3</v>
      </c>
      <c r="W713" s="203" t="s">
        <v>5104</v>
      </c>
      <c r="X713" s="204" t="s">
        <v>213</v>
      </c>
      <c r="Y713" s="206">
        <v>10540</v>
      </c>
      <c r="Z713" s="207">
        <v>2000</v>
      </c>
      <c r="AA713" s="207">
        <f t="shared" si="179"/>
        <v>21000000</v>
      </c>
      <c r="AB713" s="157">
        <v>2000</v>
      </c>
      <c r="AC713" s="158">
        <f t="shared" si="177"/>
        <v>2000</v>
      </c>
      <c r="AD713" s="159">
        <f t="shared" si="180"/>
        <v>0</v>
      </c>
      <c r="AE713" s="160"/>
      <c r="AF713" s="160">
        <f t="shared" si="181"/>
        <v>0</v>
      </c>
      <c r="AG713" s="165"/>
      <c r="AH713" s="161">
        <f t="shared" si="182"/>
        <v>0</v>
      </c>
      <c r="AI713" s="162"/>
      <c r="AJ713" s="162">
        <f t="shared" si="183"/>
        <v>0</v>
      </c>
      <c r="AK713" s="164"/>
      <c r="AL713" s="164">
        <f t="shared" si="184"/>
        <v>0</v>
      </c>
      <c r="AM713" s="165"/>
      <c r="AN713" s="165">
        <f t="shared" si="185"/>
        <v>0</v>
      </c>
      <c r="AO713" s="166">
        <v>0</v>
      </c>
      <c r="AP713" s="166">
        <f t="shared" si="186"/>
        <v>0</v>
      </c>
      <c r="AQ713" s="162"/>
      <c r="AR713" s="162">
        <f t="shared" si="187"/>
        <v>0</v>
      </c>
      <c r="AS713" s="173"/>
      <c r="AT713" s="167">
        <f t="shared" si="188"/>
        <v>0</v>
      </c>
      <c r="AU713" s="163"/>
      <c r="AV713" s="163">
        <f t="shared" si="189"/>
        <v>0</v>
      </c>
      <c r="AW713" s="168"/>
      <c r="AX713" s="168">
        <f t="shared" si="190"/>
        <v>0</v>
      </c>
      <c r="AY713" s="170"/>
      <c r="AZ713" s="170">
        <f t="shared" si="191"/>
        <v>0</v>
      </c>
      <c r="BA713" s="166"/>
      <c r="BB713" s="166">
        <f t="shared" si="192"/>
        <v>0</v>
      </c>
    </row>
    <row r="714" spans="1:54" s="115" customFormat="1" ht="31.5">
      <c r="A714" s="172" t="s">
        <v>8089</v>
      </c>
      <c r="B714" s="203" t="s">
        <v>1307</v>
      </c>
      <c r="C714" s="203"/>
      <c r="D714" s="203"/>
      <c r="E714" s="203" t="s">
        <v>4394</v>
      </c>
      <c r="F714" s="205" t="s">
        <v>8091</v>
      </c>
      <c r="G714" s="205" t="s">
        <v>2385</v>
      </c>
      <c r="H714" s="204" t="s">
        <v>1004</v>
      </c>
      <c r="I714" s="204" t="s">
        <v>11</v>
      </c>
      <c r="J714" s="205" t="s">
        <v>8090</v>
      </c>
      <c r="K714" s="206">
        <v>72</v>
      </c>
      <c r="L714" s="206"/>
      <c r="M714" s="159">
        <f t="shared" si="178"/>
        <v>37000</v>
      </c>
      <c r="N714" s="159"/>
      <c r="O714" s="159"/>
      <c r="P714" s="159"/>
      <c r="Q714" s="159"/>
      <c r="R714" s="159"/>
      <c r="S714" s="149" t="s">
        <v>2385</v>
      </c>
      <c r="T714" s="150" t="s">
        <v>2380</v>
      </c>
      <c r="U714" s="202" t="s">
        <v>4368</v>
      </c>
      <c r="V714" s="204">
        <v>3</v>
      </c>
      <c r="W714" s="203" t="s">
        <v>5104</v>
      </c>
      <c r="X714" s="204" t="s">
        <v>213</v>
      </c>
      <c r="Y714" s="206">
        <v>240</v>
      </c>
      <c r="Z714" s="207">
        <v>150000</v>
      </c>
      <c r="AA714" s="207">
        <f t="shared" si="179"/>
        <v>10800000</v>
      </c>
      <c r="AB714" s="157">
        <v>150000</v>
      </c>
      <c r="AC714" s="158">
        <f t="shared" si="177"/>
        <v>113000</v>
      </c>
      <c r="AD714" s="159">
        <f t="shared" si="180"/>
        <v>2664000</v>
      </c>
      <c r="AE714" s="160"/>
      <c r="AF714" s="160">
        <f t="shared" si="181"/>
        <v>0</v>
      </c>
      <c r="AG714" s="165">
        <v>16000</v>
      </c>
      <c r="AH714" s="161">
        <f t="shared" si="182"/>
        <v>1152000</v>
      </c>
      <c r="AI714" s="162"/>
      <c r="AJ714" s="162">
        <f t="shared" si="183"/>
        <v>0</v>
      </c>
      <c r="AK714" s="164"/>
      <c r="AL714" s="164">
        <f t="shared" si="184"/>
        <v>0</v>
      </c>
      <c r="AM714" s="165">
        <v>20000</v>
      </c>
      <c r="AN714" s="165">
        <f t="shared" si="185"/>
        <v>1440000</v>
      </c>
      <c r="AO714" s="166">
        <v>0</v>
      </c>
      <c r="AP714" s="166">
        <f t="shared" si="186"/>
        <v>0</v>
      </c>
      <c r="AQ714" s="162"/>
      <c r="AR714" s="162">
        <f t="shared" si="187"/>
        <v>0</v>
      </c>
      <c r="AS714" s="173">
        <v>1000</v>
      </c>
      <c r="AT714" s="167">
        <f t="shared" si="188"/>
        <v>72000</v>
      </c>
      <c r="AU714" s="163"/>
      <c r="AV714" s="163">
        <f t="shared" si="189"/>
        <v>0</v>
      </c>
      <c r="AW714" s="168"/>
      <c r="AX714" s="168">
        <f t="shared" si="190"/>
        <v>0</v>
      </c>
      <c r="AY714" s="170"/>
      <c r="AZ714" s="170">
        <f t="shared" si="191"/>
        <v>0</v>
      </c>
      <c r="BA714" s="166"/>
      <c r="BB714" s="166">
        <f t="shared" si="192"/>
        <v>0</v>
      </c>
    </row>
    <row r="715" spans="1:54" s="115" customFormat="1" ht="31.5">
      <c r="A715" s="148" t="s">
        <v>8092</v>
      </c>
      <c r="B715" s="203" t="s">
        <v>1318</v>
      </c>
      <c r="C715" s="203"/>
      <c r="D715" s="203"/>
      <c r="E715" s="203" t="s">
        <v>2809</v>
      </c>
      <c r="F715" s="205" t="s">
        <v>2810</v>
      </c>
      <c r="G715" s="205" t="s">
        <v>2385</v>
      </c>
      <c r="H715" s="204" t="s">
        <v>238</v>
      </c>
      <c r="I715" s="204" t="s">
        <v>11</v>
      </c>
      <c r="J715" s="205" t="s">
        <v>8093</v>
      </c>
      <c r="K715" s="206">
        <v>51</v>
      </c>
      <c r="L715" s="206"/>
      <c r="M715" s="159">
        <f t="shared" si="178"/>
        <v>43500</v>
      </c>
      <c r="N715" s="159"/>
      <c r="O715" s="159"/>
      <c r="P715" s="159"/>
      <c r="Q715" s="159"/>
      <c r="R715" s="159"/>
      <c r="S715" s="149" t="s">
        <v>2385</v>
      </c>
      <c r="T715" s="150" t="s">
        <v>2380</v>
      </c>
      <c r="U715" s="202" t="s">
        <v>3868</v>
      </c>
      <c r="V715" s="204">
        <v>3</v>
      </c>
      <c r="W715" s="203" t="s">
        <v>5104</v>
      </c>
      <c r="X715" s="204" t="s">
        <v>213</v>
      </c>
      <c r="Y715" s="206">
        <v>240</v>
      </c>
      <c r="Z715" s="207">
        <v>70000</v>
      </c>
      <c r="AA715" s="207">
        <f t="shared" si="179"/>
        <v>3570000</v>
      </c>
      <c r="AB715" s="157">
        <v>70000</v>
      </c>
      <c r="AC715" s="158">
        <f t="shared" si="177"/>
        <v>26500</v>
      </c>
      <c r="AD715" s="159">
        <f t="shared" si="180"/>
        <v>2218500</v>
      </c>
      <c r="AE715" s="160"/>
      <c r="AF715" s="160">
        <f t="shared" si="181"/>
        <v>0</v>
      </c>
      <c r="AG715" s="165">
        <v>32000</v>
      </c>
      <c r="AH715" s="161">
        <f t="shared" si="182"/>
        <v>1632000</v>
      </c>
      <c r="AI715" s="162"/>
      <c r="AJ715" s="162">
        <f t="shared" si="183"/>
        <v>0</v>
      </c>
      <c r="AK715" s="164"/>
      <c r="AL715" s="164">
        <f t="shared" si="184"/>
        <v>0</v>
      </c>
      <c r="AM715" s="165">
        <v>8000</v>
      </c>
      <c r="AN715" s="165">
        <f t="shared" si="185"/>
        <v>408000</v>
      </c>
      <c r="AO715" s="166">
        <v>0</v>
      </c>
      <c r="AP715" s="166">
        <f t="shared" si="186"/>
        <v>0</v>
      </c>
      <c r="AQ715" s="162"/>
      <c r="AR715" s="162">
        <f t="shared" si="187"/>
        <v>0</v>
      </c>
      <c r="AS715" s="173">
        <v>3500</v>
      </c>
      <c r="AT715" s="167">
        <f t="shared" si="188"/>
        <v>178500</v>
      </c>
      <c r="AU715" s="163"/>
      <c r="AV715" s="163">
        <f t="shared" si="189"/>
        <v>0</v>
      </c>
      <c r="AW715" s="168"/>
      <c r="AX715" s="168">
        <f t="shared" si="190"/>
        <v>0</v>
      </c>
      <c r="AY715" s="170"/>
      <c r="AZ715" s="170">
        <f t="shared" si="191"/>
        <v>0</v>
      </c>
      <c r="BA715" s="166"/>
      <c r="BB715" s="166">
        <f t="shared" si="192"/>
        <v>0</v>
      </c>
    </row>
    <row r="716" spans="1:54" s="115" customFormat="1" ht="31.5">
      <c r="A716" s="148" t="s">
        <v>8094</v>
      </c>
      <c r="B716" s="203" t="s">
        <v>4403</v>
      </c>
      <c r="C716" s="203"/>
      <c r="D716" s="203"/>
      <c r="E716" s="203" t="s">
        <v>8096</v>
      </c>
      <c r="F716" s="205" t="s">
        <v>8098</v>
      </c>
      <c r="G716" s="205" t="s">
        <v>7674</v>
      </c>
      <c r="H716" s="204" t="s">
        <v>258</v>
      </c>
      <c r="I716" s="204" t="s">
        <v>11</v>
      </c>
      <c r="J716" s="205" t="s">
        <v>8097</v>
      </c>
      <c r="K716" s="206">
        <v>4500</v>
      </c>
      <c r="L716" s="206"/>
      <c r="M716" s="159">
        <f t="shared" si="178"/>
        <v>0</v>
      </c>
      <c r="N716" s="159"/>
      <c r="O716" s="159"/>
      <c r="P716" s="159"/>
      <c r="Q716" s="159"/>
      <c r="R716" s="159"/>
      <c r="S716" s="149" t="s">
        <v>7100</v>
      </c>
      <c r="T716" s="149" t="s">
        <v>7101</v>
      </c>
      <c r="U716" s="202" t="s">
        <v>8095</v>
      </c>
      <c r="V716" s="204">
        <v>3</v>
      </c>
      <c r="W716" s="203" t="s">
        <v>5104</v>
      </c>
      <c r="X716" s="204" t="s">
        <v>213</v>
      </c>
      <c r="Y716" s="206">
        <v>6000</v>
      </c>
      <c r="Z716" s="207">
        <v>1500</v>
      </c>
      <c r="AA716" s="207">
        <f t="shared" si="179"/>
        <v>6750000</v>
      </c>
      <c r="AB716" s="157">
        <v>1500</v>
      </c>
      <c r="AC716" s="158">
        <f t="shared" si="177"/>
        <v>1500</v>
      </c>
      <c r="AD716" s="159">
        <f t="shared" si="180"/>
        <v>0</v>
      </c>
      <c r="AE716" s="160"/>
      <c r="AF716" s="160">
        <f t="shared" si="181"/>
        <v>0</v>
      </c>
      <c r="AG716" s="165"/>
      <c r="AH716" s="161">
        <f t="shared" si="182"/>
        <v>0</v>
      </c>
      <c r="AI716" s="162"/>
      <c r="AJ716" s="162">
        <f t="shared" si="183"/>
        <v>0</v>
      </c>
      <c r="AK716" s="164"/>
      <c r="AL716" s="164">
        <f t="shared" si="184"/>
        <v>0</v>
      </c>
      <c r="AM716" s="165"/>
      <c r="AN716" s="165">
        <f t="shared" si="185"/>
        <v>0</v>
      </c>
      <c r="AO716" s="166">
        <v>0</v>
      </c>
      <c r="AP716" s="166">
        <f t="shared" si="186"/>
        <v>0</v>
      </c>
      <c r="AQ716" s="162"/>
      <c r="AR716" s="162">
        <f t="shared" si="187"/>
        <v>0</v>
      </c>
      <c r="AS716" s="173"/>
      <c r="AT716" s="167">
        <f t="shared" si="188"/>
        <v>0</v>
      </c>
      <c r="AU716" s="163"/>
      <c r="AV716" s="163">
        <f t="shared" si="189"/>
        <v>0</v>
      </c>
      <c r="AW716" s="168"/>
      <c r="AX716" s="168">
        <f t="shared" si="190"/>
        <v>0</v>
      </c>
      <c r="AY716" s="170"/>
      <c r="AZ716" s="170">
        <f t="shared" si="191"/>
        <v>0</v>
      </c>
      <c r="BA716" s="166"/>
      <c r="BB716" s="166">
        <f t="shared" si="192"/>
        <v>0</v>
      </c>
    </row>
    <row r="717" spans="1:54" s="115" customFormat="1" ht="31.5">
      <c r="A717" s="172" t="s">
        <v>8099</v>
      </c>
      <c r="B717" s="203" t="s">
        <v>289</v>
      </c>
      <c r="C717" s="203"/>
      <c r="D717" s="203"/>
      <c r="E717" s="203" t="s">
        <v>3776</v>
      </c>
      <c r="F717" s="205" t="s">
        <v>8100</v>
      </c>
      <c r="G717" s="205" t="s">
        <v>7211</v>
      </c>
      <c r="H717" s="204" t="s">
        <v>258</v>
      </c>
      <c r="I717" s="204" t="s">
        <v>11</v>
      </c>
      <c r="J717" s="205" t="s">
        <v>7579</v>
      </c>
      <c r="K717" s="206">
        <v>1390</v>
      </c>
      <c r="L717" s="206"/>
      <c r="M717" s="159">
        <f t="shared" si="178"/>
        <v>49980</v>
      </c>
      <c r="N717" s="159"/>
      <c r="O717" s="159"/>
      <c r="P717" s="159"/>
      <c r="Q717" s="159"/>
      <c r="R717" s="159"/>
      <c r="S717" s="150" t="s">
        <v>5328</v>
      </c>
      <c r="T717" s="150" t="s">
        <v>215</v>
      </c>
      <c r="U717" s="202" t="s">
        <v>3775</v>
      </c>
      <c r="V717" s="204">
        <v>3</v>
      </c>
      <c r="W717" s="203" t="s">
        <v>253</v>
      </c>
      <c r="X717" s="204" t="s">
        <v>213</v>
      </c>
      <c r="Y717" s="206">
        <v>3500</v>
      </c>
      <c r="Z717" s="207">
        <v>50000</v>
      </c>
      <c r="AA717" s="207">
        <f t="shared" si="179"/>
        <v>69500000</v>
      </c>
      <c r="AB717" s="157">
        <v>50000</v>
      </c>
      <c r="AC717" s="158">
        <f t="shared" si="177"/>
        <v>20</v>
      </c>
      <c r="AD717" s="159">
        <f t="shared" si="180"/>
        <v>69472200</v>
      </c>
      <c r="AE717" s="160"/>
      <c r="AF717" s="160">
        <f t="shared" si="181"/>
        <v>0</v>
      </c>
      <c r="AG717" s="161">
        <v>15000</v>
      </c>
      <c r="AH717" s="161">
        <f t="shared" si="182"/>
        <v>20850000</v>
      </c>
      <c r="AI717" s="162"/>
      <c r="AJ717" s="162">
        <f t="shared" si="183"/>
        <v>0</v>
      </c>
      <c r="AK717" s="164">
        <f>9030+25950</f>
        <v>34980</v>
      </c>
      <c r="AL717" s="164">
        <f t="shared" si="184"/>
        <v>48622200</v>
      </c>
      <c r="AM717" s="165"/>
      <c r="AN717" s="165">
        <f t="shared" si="185"/>
        <v>0</v>
      </c>
      <c r="AO717" s="166">
        <v>0</v>
      </c>
      <c r="AP717" s="166">
        <f t="shared" si="186"/>
        <v>0</v>
      </c>
      <c r="AQ717" s="162"/>
      <c r="AR717" s="162">
        <f t="shared" si="187"/>
        <v>0</v>
      </c>
      <c r="AS717" s="167"/>
      <c r="AT717" s="167">
        <f t="shared" si="188"/>
        <v>0</v>
      </c>
      <c r="AU717" s="163"/>
      <c r="AV717" s="163">
        <f t="shared" si="189"/>
        <v>0</v>
      </c>
      <c r="AW717" s="168"/>
      <c r="AX717" s="168">
        <f t="shared" si="190"/>
        <v>0</v>
      </c>
      <c r="AY717" s="170"/>
      <c r="AZ717" s="170">
        <f t="shared" si="191"/>
        <v>0</v>
      </c>
      <c r="BA717" s="166"/>
      <c r="BB717" s="166">
        <f t="shared" si="192"/>
        <v>0</v>
      </c>
    </row>
    <row r="718" spans="1:54" s="115" customFormat="1" ht="31.5">
      <c r="A718" s="148" t="s">
        <v>8101</v>
      </c>
      <c r="B718" s="203" t="s">
        <v>1321</v>
      </c>
      <c r="C718" s="203"/>
      <c r="D718" s="203"/>
      <c r="E718" s="203" t="s">
        <v>4436</v>
      </c>
      <c r="F718" s="205" t="s">
        <v>8103</v>
      </c>
      <c r="G718" s="205" t="s">
        <v>7015</v>
      </c>
      <c r="H718" s="204" t="s">
        <v>248</v>
      </c>
      <c r="I718" s="204" t="s">
        <v>11</v>
      </c>
      <c r="J718" s="205" t="s">
        <v>8102</v>
      </c>
      <c r="K718" s="206">
        <v>45</v>
      </c>
      <c r="L718" s="206"/>
      <c r="M718" s="159">
        <f t="shared" si="178"/>
        <v>15000</v>
      </c>
      <c r="N718" s="159"/>
      <c r="O718" s="159"/>
      <c r="P718" s="159"/>
      <c r="Q718" s="159"/>
      <c r="R718" s="159"/>
      <c r="S718" s="149" t="s">
        <v>5417</v>
      </c>
      <c r="T718" s="150" t="s">
        <v>5418</v>
      </c>
      <c r="U718" s="202" t="s">
        <v>3870</v>
      </c>
      <c r="V718" s="204">
        <v>3</v>
      </c>
      <c r="W718" s="203" t="s">
        <v>5104</v>
      </c>
      <c r="X718" s="204" t="s">
        <v>213</v>
      </c>
      <c r="Y718" s="206">
        <v>150</v>
      </c>
      <c r="Z718" s="207">
        <v>200000</v>
      </c>
      <c r="AA718" s="207">
        <f t="shared" si="179"/>
        <v>9000000</v>
      </c>
      <c r="AB718" s="157">
        <v>200000</v>
      </c>
      <c r="AC718" s="158">
        <f t="shared" si="177"/>
        <v>185000</v>
      </c>
      <c r="AD718" s="159">
        <f t="shared" si="180"/>
        <v>675000</v>
      </c>
      <c r="AE718" s="160"/>
      <c r="AF718" s="160">
        <f t="shared" si="181"/>
        <v>0</v>
      </c>
      <c r="AG718" s="161">
        <v>15000</v>
      </c>
      <c r="AH718" s="161">
        <f t="shared" si="182"/>
        <v>675000</v>
      </c>
      <c r="AI718" s="162"/>
      <c r="AJ718" s="162">
        <f t="shared" si="183"/>
        <v>0</v>
      </c>
      <c r="AK718" s="164"/>
      <c r="AL718" s="164">
        <f t="shared" si="184"/>
        <v>0</v>
      </c>
      <c r="AM718" s="165"/>
      <c r="AN718" s="165">
        <f t="shared" si="185"/>
        <v>0</v>
      </c>
      <c r="AO718" s="166">
        <v>0</v>
      </c>
      <c r="AP718" s="166">
        <f t="shared" si="186"/>
        <v>0</v>
      </c>
      <c r="AQ718" s="162"/>
      <c r="AR718" s="162">
        <f t="shared" si="187"/>
        <v>0</v>
      </c>
      <c r="AS718" s="167"/>
      <c r="AT718" s="167">
        <f t="shared" si="188"/>
        <v>0</v>
      </c>
      <c r="AU718" s="163"/>
      <c r="AV718" s="163">
        <f t="shared" si="189"/>
        <v>0</v>
      </c>
      <c r="AW718" s="168"/>
      <c r="AX718" s="168">
        <f t="shared" si="190"/>
        <v>0</v>
      </c>
      <c r="AY718" s="170"/>
      <c r="AZ718" s="170">
        <f t="shared" si="191"/>
        <v>0</v>
      </c>
      <c r="BA718" s="166"/>
      <c r="BB718" s="166">
        <f t="shared" si="192"/>
        <v>0</v>
      </c>
    </row>
    <row r="719" spans="1:54" s="115" customFormat="1" ht="31.5">
      <c r="A719" s="148" t="s">
        <v>8104</v>
      </c>
      <c r="B719" s="203" t="s">
        <v>583</v>
      </c>
      <c r="C719" s="203"/>
      <c r="D719" s="203"/>
      <c r="E719" s="203" t="s">
        <v>4064</v>
      </c>
      <c r="F719" s="205" t="s">
        <v>8105</v>
      </c>
      <c r="G719" s="205" t="s">
        <v>7211</v>
      </c>
      <c r="H719" s="204" t="s">
        <v>222</v>
      </c>
      <c r="I719" s="204" t="s">
        <v>11</v>
      </c>
      <c r="J719" s="205" t="s">
        <v>7712</v>
      </c>
      <c r="K719" s="206">
        <v>245</v>
      </c>
      <c r="L719" s="206"/>
      <c r="M719" s="159">
        <f t="shared" si="178"/>
        <v>19980</v>
      </c>
      <c r="N719" s="159"/>
      <c r="O719" s="159"/>
      <c r="P719" s="159"/>
      <c r="Q719" s="159"/>
      <c r="R719" s="159"/>
      <c r="S719" s="150" t="s">
        <v>5328</v>
      </c>
      <c r="T719" s="150" t="s">
        <v>215</v>
      </c>
      <c r="U719" s="202" t="s">
        <v>4063</v>
      </c>
      <c r="V719" s="204">
        <v>3</v>
      </c>
      <c r="W719" s="203" t="s">
        <v>5104</v>
      </c>
      <c r="X719" s="204" t="s">
        <v>213</v>
      </c>
      <c r="Y719" s="206">
        <v>1677</v>
      </c>
      <c r="Z719" s="207">
        <v>20000</v>
      </c>
      <c r="AA719" s="207">
        <f t="shared" si="179"/>
        <v>4900000</v>
      </c>
      <c r="AB719" s="157">
        <v>20000</v>
      </c>
      <c r="AC719" s="158">
        <f t="shared" si="177"/>
        <v>20</v>
      </c>
      <c r="AD719" s="159">
        <f t="shared" si="180"/>
        <v>4895100</v>
      </c>
      <c r="AE719" s="160"/>
      <c r="AF719" s="160">
        <f t="shared" si="181"/>
        <v>0</v>
      </c>
      <c r="AG719" s="165"/>
      <c r="AH719" s="161">
        <f t="shared" si="182"/>
        <v>0</v>
      </c>
      <c r="AI719" s="162"/>
      <c r="AJ719" s="162">
        <f t="shared" si="183"/>
        <v>0</v>
      </c>
      <c r="AK719" s="164">
        <v>19980</v>
      </c>
      <c r="AL719" s="164">
        <f t="shared" si="184"/>
        <v>4895100</v>
      </c>
      <c r="AM719" s="165"/>
      <c r="AN719" s="165">
        <f t="shared" si="185"/>
        <v>0</v>
      </c>
      <c r="AO719" s="166">
        <v>0</v>
      </c>
      <c r="AP719" s="166">
        <f t="shared" si="186"/>
        <v>0</v>
      </c>
      <c r="AQ719" s="162"/>
      <c r="AR719" s="162">
        <f t="shared" si="187"/>
        <v>0</v>
      </c>
      <c r="AS719" s="173"/>
      <c r="AT719" s="167">
        <f t="shared" si="188"/>
        <v>0</v>
      </c>
      <c r="AU719" s="163"/>
      <c r="AV719" s="163">
        <f t="shared" si="189"/>
        <v>0</v>
      </c>
      <c r="AW719" s="168"/>
      <c r="AX719" s="168">
        <f t="shared" si="190"/>
        <v>0</v>
      </c>
      <c r="AY719" s="170"/>
      <c r="AZ719" s="170">
        <f t="shared" si="191"/>
        <v>0</v>
      </c>
      <c r="BA719" s="166"/>
      <c r="BB719" s="166">
        <f t="shared" si="192"/>
        <v>0</v>
      </c>
    </row>
    <row r="720" spans="1:54" s="238" customFormat="1" ht="31.5">
      <c r="A720" s="210" t="s">
        <v>4352</v>
      </c>
      <c r="B720" s="213" t="s">
        <v>583</v>
      </c>
      <c r="C720" s="213"/>
      <c r="D720" s="213"/>
      <c r="E720" s="213" t="s">
        <v>8108</v>
      </c>
      <c r="F720" s="205" t="s">
        <v>8110</v>
      </c>
      <c r="G720" s="205" t="s">
        <v>8111</v>
      </c>
      <c r="H720" s="214" t="s">
        <v>390</v>
      </c>
      <c r="I720" s="214" t="s">
        <v>11</v>
      </c>
      <c r="J720" s="205" t="s">
        <v>8109</v>
      </c>
      <c r="K720" s="215">
        <v>260</v>
      </c>
      <c r="L720" s="215"/>
      <c r="M720" s="159">
        <f t="shared" si="178"/>
        <v>0</v>
      </c>
      <c r="N720" s="159"/>
      <c r="O720" s="159"/>
      <c r="P720" s="159"/>
      <c r="Q720" s="159"/>
      <c r="R720" s="159"/>
      <c r="S720" s="211" t="s">
        <v>8106</v>
      </c>
      <c r="T720" s="149" t="s">
        <v>8107</v>
      </c>
      <c r="U720" s="212" t="s">
        <v>3770</v>
      </c>
      <c r="V720" s="204">
        <v>3</v>
      </c>
      <c r="W720" s="203" t="s">
        <v>5104</v>
      </c>
      <c r="X720" s="214" t="s">
        <v>213</v>
      </c>
      <c r="Y720" s="206">
        <v>3000</v>
      </c>
      <c r="Z720" s="216">
        <v>20000</v>
      </c>
      <c r="AA720" s="216">
        <f t="shared" si="179"/>
        <v>5200000</v>
      </c>
      <c r="AB720" s="217">
        <v>20000</v>
      </c>
      <c r="AC720" s="218">
        <f t="shared" si="177"/>
        <v>20000</v>
      </c>
      <c r="AD720" s="159">
        <f t="shared" si="180"/>
        <v>0</v>
      </c>
      <c r="AE720" s="219"/>
      <c r="AF720" s="160">
        <f t="shared" si="181"/>
        <v>0</v>
      </c>
      <c r="AG720" s="216"/>
      <c r="AH720" s="161">
        <f t="shared" si="182"/>
        <v>0</v>
      </c>
      <c r="AI720" s="219"/>
      <c r="AJ720" s="219">
        <f t="shared" si="183"/>
        <v>0</v>
      </c>
      <c r="AK720" s="216"/>
      <c r="AL720" s="216">
        <f t="shared" si="184"/>
        <v>0</v>
      </c>
      <c r="AM720" s="216"/>
      <c r="AN720" s="216">
        <f t="shared" si="185"/>
        <v>0</v>
      </c>
      <c r="AO720" s="216">
        <v>0</v>
      </c>
      <c r="AP720" s="216">
        <f t="shared" si="186"/>
        <v>0</v>
      </c>
      <c r="AQ720" s="219"/>
      <c r="AR720" s="219">
        <f t="shared" si="187"/>
        <v>0</v>
      </c>
      <c r="AS720" s="216"/>
      <c r="AT720" s="167">
        <f t="shared" si="188"/>
        <v>0</v>
      </c>
      <c r="AU720" s="219"/>
      <c r="AV720" s="163">
        <f t="shared" si="189"/>
        <v>0</v>
      </c>
      <c r="AW720" s="216"/>
      <c r="AX720" s="168">
        <f t="shared" si="190"/>
        <v>0</v>
      </c>
      <c r="AY720" s="216"/>
      <c r="AZ720" s="170">
        <f t="shared" si="191"/>
        <v>0</v>
      </c>
      <c r="BA720" s="216"/>
      <c r="BB720" s="166">
        <f t="shared" si="192"/>
        <v>0</v>
      </c>
    </row>
    <row r="721" spans="1:54" s="115" customFormat="1" ht="31.5">
      <c r="A721" s="148" t="s">
        <v>8112</v>
      </c>
      <c r="B721" s="203" t="s">
        <v>1976</v>
      </c>
      <c r="C721" s="203"/>
      <c r="D721" s="203"/>
      <c r="E721" s="203" t="s">
        <v>1977</v>
      </c>
      <c r="F721" s="205" t="s">
        <v>8114</v>
      </c>
      <c r="G721" s="205" t="s">
        <v>1946</v>
      </c>
      <c r="H721" s="204" t="s">
        <v>1978</v>
      </c>
      <c r="I721" s="204" t="s">
        <v>11</v>
      </c>
      <c r="J721" s="205" t="s">
        <v>8113</v>
      </c>
      <c r="K721" s="206">
        <v>2499</v>
      </c>
      <c r="L721" s="206"/>
      <c r="M721" s="159">
        <f t="shared" si="178"/>
        <v>78000</v>
      </c>
      <c r="N721" s="159"/>
      <c r="O721" s="159"/>
      <c r="P721" s="159"/>
      <c r="Q721" s="159"/>
      <c r="R721" s="159"/>
      <c r="S721" s="150" t="s">
        <v>5340</v>
      </c>
      <c r="T721" s="150" t="s">
        <v>5341</v>
      </c>
      <c r="U721" s="202" t="s">
        <v>3885</v>
      </c>
      <c r="V721" s="204">
        <v>3</v>
      </c>
      <c r="W721" s="203" t="s">
        <v>5104</v>
      </c>
      <c r="X721" s="204" t="s">
        <v>213</v>
      </c>
      <c r="Y721" s="206">
        <v>2500</v>
      </c>
      <c r="Z721" s="207">
        <v>150000</v>
      </c>
      <c r="AA721" s="207">
        <f t="shared" si="179"/>
        <v>374850000</v>
      </c>
      <c r="AB721" s="157">
        <v>150000</v>
      </c>
      <c r="AC721" s="158">
        <f t="shared" si="177"/>
        <v>72000</v>
      </c>
      <c r="AD721" s="159">
        <f t="shared" si="180"/>
        <v>194922000</v>
      </c>
      <c r="AE721" s="160">
        <v>30000</v>
      </c>
      <c r="AF721" s="160">
        <f t="shared" si="181"/>
        <v>74970000</v>
      </c>
      <c r="AG721" s="165"/>
      <c r="AH721" s="161">
        <f t="shared" si="182"/>
        <v>0</v>
      </c>
      <c r="AI721" s="162"/>
      <c r="AJ721" s="162">
        <f t="shared" si="183"/>
        <v>0</v>
      </c>
      <c r="AK721" s="164"/>
      <c r="AL721" s="164">
        <f t="shared" si="184"/>
        <v>0</v>
      </c>
      <c r="AM721" s="165">
        <v>30000</v>
      </c>
      <c r="AN721" s="165">
        <f t="shared" si="185"/>
        <v>74970000</v>
      </c>
      <c r="AO721" s="166">
        <v>0</v>
      </c>
      <c r="AP721" s="166">
        <f t="shared" si="186"/>
        <v>0</v>
      </c>
      <c r="AQ721" s="162">
        <v>12000</v>
      </c>
      <c r="AR721" s="162">
        <f t="shared" si="187"/>
        <v>29988000</v>
      </c>
      <c r="AS721" s="173">
        <v>6000</v>
      </c>
      <c r="AT721" s="167">
        <f t="shared" si="188"/>
        <v>14994000</v>
      </c>
      <c r="AU721" s="163"/>
      <c r="AV721" s="163">
        <f t="shared" si="189"/>
        <v>0</v>
      </c>
      <c r="AW721" s="168"/>
      <c r="AX721" s="168">
        <f t="shared" si="190"/>
        <v>0</v>
      </c>
      <c r="AY721" s="170"/>
      <c r="AZ721" s="170">
        <f t="shared" si="191"/>
        <v>0</v>
      </c>
      <c r="BA721" s="166"/>
      <c r="BB721" s="166">
        <f t="shared" si="192"/>
        <v>0</v>
      </c>
    </row>
    <row r="722" spans="1:54" s="115" customFormat="1" ht="31.5">
      <c r="A722" s="148" t="s">
        <v>8115</v>
      </c>
      <c r="B722" s="203" t="s">
        <v>8116</v>
      </c>
      <c r="C722" s="203"/>
      <c r="D722" s="203"/>
      <c r="E722" s="203" t="s">
        <v>8117</v>
      </c>
      <c r="F722" s="205" t="s">
        <v>8118</v>
      </c>
      <c r="G722" s="205" t="s">
        <v>6532</v>
      </c>
      <c r="H722" s="204" t="s">
        <v>327</v>
      </c>
      <c r="I722" s="204" t="s">
        <v>11</v>
      </c>
      <c r="J722" s="205" t="s">
        <v>5690</v>
      </c>
      <c r="K722" s="206">
        <v>1950</v>
      </c>
      <c r="L722" s="206"/>
      <c r="M722" s="159">
        <f t="shared" si="178"/>
        <v>0</v>
      </c>
      <c r="N722" s="159"/>
      <c r="O722" s="159"/>
      <c r="P722" s="159"/>
      <c r="Q722" s="159"/>
      <c r="R722" s="159"/>
      <c r="S722" s="149" t="s">
        <v>6224</v>
      </c>
      <c r="T722" s="149" t="s">
        <v>6225</v>
      </c>
      <c r="U722" s="202" t="s">
        <v>4083</v>
      </c>
      <c r="V722" s="204">
        <v>3</v>
      </c>
      <c r="W722" s="203" t="s">
        <v>5104</v>
      </c>
      <c r="X722" s="204" t="s">
        <v>213</v>
      </c>
      <c r="Y722" s="206">
        <v>2950</v>
      </c>
      <c r="Z722" s="207">
        <v>80000</v>
      </c>
      <c r="AA722" s="207">
        <f t="shared" si="179"/>
        <v>156000000</v>
      </c>
      <c r="AB722" s="157">
        <v>80000</v>
      </c>
      <c r="AC722" s="158">
        <f t="shared" si="177"/>
        <v>80000</v>
      </c>
      <c r="AD722" s="159">
        <f t="shared" si="180"/>
        <v>0</v>
      </c>
      <c r="AE722" s="160"/>
      <c r="AF722" s="160">
        <f t="shared" si="181"/>
        <v>0</v>
      </c>
      <c r="AG722" s="165"/>
      <c r="AH722" s="161">
        <f t="shared" si="182"/>
        <v>0</v>
      </c>
      <c r="AI722" s="162"/>
      <c r="AJ722" s="162">
        <f t="shared" si="183"/>
        <v>0</v>
      </c>
      <c r="AK722" s="164"/>
      <c r="AL722" s="164">
        <f t="shared" si="184"/>
        <v>0</v>
      </c>
      <c r="AM722" s="165"/>
      <c r="AN722" s="165">
        <f t="shared" si="185"/>
        <v>0</v>
      </c>
      <c r="AO722" s="166">
        <v>0</v>
      </c>
      <c r="AP722" s="166">
        <f t="shared" si="186"/>
        <v>0</v>
      </c>
      <c r="AQ722" s="162"/>
      <c r="AR722" s="162">
        <f t="shared" si="187"/>
        <v>0</v>
      </c>
      <c r="AS722" s="173"/>
      <c r="AT722" s="167">
        <f t="shared" si="188"/>
        <v>0</v>
      </c>
      <c r="AU722" s="163"/>
      <c r="AV722" s="163">
        <f t="shared" si="189"/>
        <v>0</v>
      </c>
      <c r="AW722" s="168"/>
      <c r="AX722" s="168">
        <f t="shared" si="190"/>
        <v>0</v>
      </c>
      <c r="AY722" s="170"/>
      <c r="AZ722" s="170">
        <f t="shared" si="191"/>
        <v>0</v>
      </c>
      <c r="BA722" s="166"/>
      <c r="BB722" s="166">
        <f t="shared" si="192"/>
        <v>0</v>
      </c>
    </row>
    <row r="723" spans="1:54" ht="31.5">
      <c r="A723" s="172" t="s">
        <v>8119</v>
      </c>
      <c r="B723" s="203" t="s">
        <v>8116</v>
      </c>
      <c r="C723" s="203"/>
      <c r="D723" s="203"/>
      <c r="E723" s="203" t="s">
        <v>1892</v>
      </c>
      <c r="F723" s="205" t="s">
        <v>1893</v>
      </c>
      <c r="G723" s="205" t="s">
        <v>8122</v>
      </c>
      <c r="H723" s="204" t="s">
        <v>327</v>
      </c>
      <c r="I723" s="204" t="s">
        <v>11</v>
      </c>
      <c r="J723" s="205" t="s">
        <v>8121</v>
      </c>
      <c r="K723" s="206">
        <v>5500</v>
      </c>
      <c r="L723" s="206"/>
      <c r="M723" s="159">
        <f t="shared" si="178"/>
        <v>0</v>
      </c>
      <c r="N723" s="159"/>
      <c r="O723" s="159"/>
      <c r="P723" s="159"/>
      <c r="Q723" s="159"/>
      <c r="R723" s="159"/>
      <c r="S723" s="149" t="s">
        <v>6224</v>
      </c>
      <c r="T723" s="149" t="s">
        <v>6225</v>
      </c>
      <c r="U723" s="202" t="s">
        <v>8120</v>
      </c>
      <c r="V723" s="204">
        <v>3</v>
      </c>
      <c r="W723" s="203" t="s">
        <v>5104</v>
      </c>
      <c r="X723" s="204" t="s">
        <v>213</v>
      </c>
      <c r="Y723" s="206">
        <v>5500</v>
      </c>
      <c r="Z723" s="207">
        <v>50000</v>
      </c>
      <c r="AA723" s="207">
        <f t="shared" si="179"/>
        <v>275000000</v>
      </c>
      <c r="AB723" s="157">
        <v>50000</v>
      </c>
      <c r="AC723" s="158">
        <f t="shared" si="177"/>
        <v>50000</v>
      </c>
      <c r="AD723" s="159">
        <f t="shared" si="180"/>
        <v>0</v>
      </c>
      <c r="AE723" s="160"/>
      <c r="AF723" s="160">
        <f t="shared" si="181"/>
        <v>0</v>
      </c>
      <c r="AG723" s="165"/>
      <c r="AH723" s="161">
        <f t="shared" si="182"/>
        <v>0</v>
      </c>
      <c r="AI723" s="162"/>
      <c r="AJ723" s="162">
        <f t="shared" si="183"/>
        <v>0</v>
      </c>
      <c r="AK723" s="164"/>
      <c r="AL723" s="164">
        <f t="shared" si="184"/>
        <v>0</v>
      </c>
      <c r="AM723" s="165"/>
      <c r="AN723" s="165">
        <f t="shared" si="185"/>
        <v>0</v>
      </c>
      <c r="AO723" s="166">
        <v>0</v>
      </c>
      <c r="AP723" s="166">
        <f t="shared" si="186"/>
        <v>0</v>
      </c>
      <c r="AQ723" s="162"/>
      <c r="AR723" s="162">
        <f t="shared" si="187"/>
        <v>0</v>
      </c>
      <c r="AS723" s="173"/>
      <c r="AT723" s="167">
        <f t="shared" si="188"/>
        <v>0</v>
      </c>
      <c r="AU723" s="163"/>
      <c r="AV723" s="163">
        <f t="shared" si="189"/>
        <v>0</v>
      </c>
      <c r="AW723" s="168"/>
      <c r="AX723" s="168">
        <f t="shared" si="190"/>
        <v>0</v>
      </c>
      <c r="AY723" s="170"/>
      <c r="AZ723" s="170">
        <f t="shared" si="191"/>
        <v>0</v>
      </c>
      <c r="BA723" s="166"/>
      <c r="BB723" s="166">
        <f t="shared" si="192"/>
        <v>0</v>
      </c>
    </row>
    <row r="724" spans="1:54" ht="31.5">
      <c r="A724" s="148" t="s">
        <v>8123</v>
      </c>
      <c r="B724" s="203" t="s">
        <v>1618</v>
      </c>
      <c r="C724" s="203"/>
      <c r="D724" s="203"/>
      <c r="E724" s="203" t="s">
        <v>2493</v>
      </c>
      <c r="F724" s="205" t="s">
        <v>8126</v>
      </c>
      <c r="G724" s="205" t="s">
        <v>324</v>
      </c>
      <c r="H724" s="204" t="s">
        <v>1232</v>
      </c>
      <c r="I724" s="204" t="s">
        <v>11</v>
      </c>
      <c r="J724" s="205" t="s">
        <v>8125</v>
      </c>
      <c r="K724" s="206">
        <v>567</v>
      </c>
      <c r="L724" s="206"/>
      <c r="M724" s="159">
        <f t="shared" si="178"/>
        <v>0</v>
      </c>
      <c r="N724" s="159"/>
      <c r="O724" s="159"/>
      <c r="P724" s="159"/>
      <c r="Q724" s="159"/>
      <c r="R724" s="159"/>
      <c r="S724" s="149" t="s">
        <v>5336</v>
      </c>
      <c r="T724" s="150" t="s">
        <v>322</v>
      </c>
      <c r="U724" s="202" t="s">
        <v>8124</v>
      </c>
      <c r="V724" s="204">
        <v>3</v>
      </c>
      <c r="W724" s="203" t="s">
        <v>5104</v>
      </c>
      <c r="X724" s="204" t="s">
        <v>213</v>
      </c>
      <c r="Y724" s="206">
        <v>1415</v>
      </c>
      <c r="Z724" s="207">
        <v>50000</v>
      </c>
      <c r="AA724" s="207">
        <f t="shared" si="179"/>
        <v>28350000</v>
      </c>
      <c r="AB724" s="157">
        <v>50000</v>
      </c>
      <c r="AC724" s="158">
        <f t="shared" si="177"/>
        <v>50000</v>
      </c>
      <c r="AD724" s="159">
        <f t="shared" si="180"/>
        <v>0</v>
      </c>
      <c r="AE724" s="160"/>
      <c r="AF724" s="160">
        <f t="shared" si="181"/>
        <v>0</v>
      </c>
      <c r="AG724" s="161"/>
      <c r="AH724" s="161">
        <f t="shared" si="182"/>
        <v>0</v>
      </c>
      <c r="AI724" s="162"/>
      <c r="AJ724" s="162">
        <f t="shared" si="183"/>
        <v>0</v>
      </c>
      <c r="AK724" s="164"/>
      <c r="AL724" s="164">
        <f t="shared" si="184"/>
        <v>0</v>
      </c>
      <c r="AM724" s="165"/>
      <c r="AN724" s="165">
        <f t="shared" si="185"/>
        <v>0</v>
      </c>
      <c r="AO724" s="166">
        <v>0</v>
      </c>
      <c r="AP724" s="166">
        <f t="shared" si="186"/>
        <v>0</v>
      </c>
      <c r="AQ724" s="162"/>
      <c r="AR724" s="162">
        <f t="shared" si="187"/>
        <v>0</v>
      </c>
      <c r="AS724" s="167"/>
      <c r="AT724" s="167">
        <f t="shared" si="188"/>
        <v>0</v>
      </c>
      <c r="AU724" s="163"/>
      <c r="AV724" s="163">
        <f t="shared" si="189"/>
        <v>0</v>
      </c>
      <c r="AW724" s="168"/>
      <c r="AX724" s="168">
        <f t="shared" si="190"/>
        <v>0</v>
      </c>
      <c r="AY724" s="170"/>
      <c r="AZ724" s="170">
        <f t="shared" si="191"/>
        <v>0</v>
      </c>
      <c r="BA724" s="166"/>
      <c r="BB724" s="166">
        <f t="shared" si="192"/>
        <v>0</v>
      </c>
    </row>
    <row r="725" spans="1:54" ht="31.5">
      <c r="A725" s="148" t="s">
        <v>8127</v>
      </c>
      <c r="B725" s="203" t="s">
        <v>1618</v>
      </c>
      <c r="C725" s="203"/>
      <c r="D725" s="203"/>
      <c r="E725" s="203" t="s">
        <v>2494</v>
      </c>
      <c r="F725" s="205" t="s">
        <v>3031</v>
      </c>
      <c r="G725" s="205" t="s">
        <v>7362</v>
      </c>
      <c r="H725" s="204" t="s">
        <v>994</v>
      </c>
      <c r="I725" s="204" t="s">
        <v>11</v>
      </c>
      <c r="J725" s="205" t="s">
        <v>6792</v>
      </c>
      <c r="K725" s="206">
        <v>204</v>
      </c>
      <c r="L725" s="206"/>
      <c r="M725" s="159">
        <f t="shared" si="178"/>
        <v>64000</v>
      </c>
      <c r="N725" s="159"/>
      <c r="O725" s="159"/>
      <c r="P725" s="159"/>
      <c r="Q725" s="159"/>
      <c r="R725" s="159"/>
      <c r="S725" s="149" t="s">
        <v>7359</v>
      </c>
      <c r="T725" s="149" t="s">
        <v>7360</v>
      </c>
      <c r="U725" s="202" t="s">
        <v>4082</v>
      </c>
      <c r="V725" s="204">
        <v>3</v>
      </c>
      <c r="W725" s="203" t="s">
        <v>5108</v>
      </c>
      <c r="X725" s="204" t="s">
        <v>213</v>
      </c>
      <c r="Y725" s="206">
        <v>2200</v>
      </c>
      <c r="Z725" s="207">
        <v>100000</v>
      </c>
      <c r="AA725" s="207">
        <f t="shared" si="179"/>
        <v>20400000</v>
      </c>
      <c r="AB725" s="157">
        <v>100000</v>
      </c>
      <c r="AC725" s="158">
        <f t="shared" si="177"/>
        <v>36000</v>
      </c>
      <c r="AD725" s="159">
        <f t="shared" si="180"/>
        <v>13056000</v>
      </c>
      <c r="AE725" s="160"/>
      <c r="AF725" s="160">
        <f t="shared" si="181"/>
        <v>0</v>
      </c>
      <c r="AG725" s="165">
        <v>64000</v>
      </c>
      <c r="AH725" s="161">
        <f t="shared" si="182"/>
        <v>13056000</v>
      </c>
      <c r="AI725" s="162"/>
      <c r="AJ725" s="162">
        <f t="shared" si="183"/>
        <v>0</v>
      </c>
      <c r="AK725" s="164"/>
      <c r="AL725" s="164">
        <f t="shared" si="184"/>
        <v>0</v>
      </c>
      <c r="AM725" s="165"/>
      <c r="AN725" s="165">
        <f t="shared" si="185"/>
        <v>0</v>
      </c>
      <c r="AO725" s="166">
        <v>0</v>
      </c>
      <c r="AP725" s="166">
        <f t="shared" si="186"/>
        <v>0</v>
      </c>
      <c r="AQ725" s="162"/>
      <c r="AR725" s="162">
        <f t="shared" si="187"/>
        <v>0</v>
      </c>
      <c r="AS725" s="173"/>
      <c r="AT725" s="167">
        <f t="shared" si="188"/>
        <v>0</v>
      </c>
      <c r="AU725" s="163"/>
      <c r="AV725" s="163">
        <f t="shared" si="189"/>
        <v>0</v>
      </c>
      <c r="AW725" s="168"/>
      <c r="AX725" s="168">
        <f t="shared" si="190"/>
        <v>0</v>
      </c>
      <c r="AY725" s="170"/>
      <c r="AZ725" s="170">
        <f t="shared" si="191"/>
        <v>0</v>
      </c>
      <c r="BA725" s="166"/>
      <c r="BB725" s="166">
        <f t="shared" si="192"/>
        <v>0</v>
      </c>
    </row>
    <row r="726" spans="1:54" ht="31.5">
      <c r="A726" s="172" t="s">
        <v>8128</v>
      </c>
      <c r="B726" s="203" t="s">
        <v>1618</v>
      </c>
      <c r="C726" s="203"/>
      <c r="D726" s="203"/>
      <c r="E726" s="203" t="s">
        <v>4070</v>
      </c>
      <c r="F726" s="205" t="s">
        <v>8130</v>
      </c>
      <c r="G726" s="205" t="s">
        <v>7783</v>
      </c>
      <c r="H726" s="204" t="s">
        <v>225</v>
      </c>
      <c r="I726" s="204" t="s">
        <v>11</v>
      </c>
      <c r="J726" s="205" t="s">
        <v>8129</v>
      </c>
      <c r="K726" s="206">
        <v>154</v>
      </c>
      <c r="L726" s="206"/>
      <c r="M726" s="159">
        <f t="shared" si="178"/>
        <v>30000</v>
      </c>
      <c r="N726" s="159"/>
      <c r="O726" s="159"/>
      <c r="P726" s="159"/>
      <c r="Q726" s="159"/>
      <c r="R726" s="159"/>
      <c r="S726" s="149" t="s">
        <v>5206</v>
      </c>
      <c r="T726" s="149" t="s">
        <v>5207</v>
      </c>
      <c r="U726" s="202" t="s">
        <v>4069</v>
      </c>
      <c r="V726" s="204">
        <v>3</v>
      </c>
      <c r="W726" s="203" t="s">
        <v>5104</v>
      </c>
      <c r="X726" s="204" t="s">
        <v>213</v>
      </c>
      <c r="Y726" s="206">
        <v>680</v>
      </c>
      <c r="Z726" s="207">
        <v>150000</v>
      </c>
      <c r="AA726" s="207">
        <f t="shared" si="179"/>
        <v>23100000</v>
      </c>
      <c r="AB726" s="157">
        <v>150000</v>
      </c>
      <c r="AC726" s="158">
        <f t="shared" si="177"/>
        <v>120000</v>
      </c>
      <c r="AD726" s="159">
        <f t="shared" si="180"/>
        <v>4620000</v>
      </c>
      <c r="AE726" s="160"/>
      <c r="AF726" s="160">
        <f t="shared" si="181"/>
        <v>0</v>
      </c>
      <c r="AG726" s="165"/>
      <c r="AH726" s="161">
        <f t="shared" si="182"/>
        <v>0</v>
      </c>
      <c r="AI726" s="162"/>
      <c r="AJ726" s="162">
        <f t="shared" si="183"/>
        <v>0</v>
      </c>
      <c r="AK726" s="164"/>
      <c r="AL726" s="164">
        <f t="shared" si="184"/>
        <v>0</v>
      </c>
      <c r="AM726" s="165">
        <v>30000</v>
      </c>
      <c r="AN726" s="165">
        <f t="shared" si="185"/>
        <v>4620000</v>
      </c>
      <c r="AO726" s="166">
        <v>0</v>
      </c>
      <c r="AP726" s="166">
        <f t="shared" si="186"/>
        <v>0</v>
      </c>
      <c r="AQ726" s="162"/>
      <c r="AR726" s="162">
        <f t="shared" si="187"/>
        <v>0</v>
      </c>
      <c r="AS726" s="173"/>
      <c r="AT726" s="167">
        <f t="shared" si="188"/>
        <v>0</v>
      </c>
      <c r="AU726" s="163"/>
      <c r="AV726" s="163">
        <f t="shared" si="189"/>
        <v>0</v>
      </c>
      <c r="AW726" s="168"/>
      <c r="AX726" s="168">
        <f t="shared" si="190"/>
        <v>0</v>
      </c>
      <c r="AY726" s="170"/>
      <c r="AZ726" s="170">
        <f t="shared" si="191"/>
        <v>0</v>
      </c>
      <c r="BA726" s="166"/>
      <c r="BB726" s="166">
        <f t="shared" si="192"/>
        <v>0</v>
      </c>
    </row>
    <row r="727" spans="1:54" ht="31.5">
      <c r="A727" s="148" t="s">
        <v>8131</v>
      </c>
      <c r="B727" s="203" t="s">
        <v>2466</v>
      </c>
      <c r="C727" s="203"/>
      <c r="D727" s="203"/>
      <c r="E727" s="203" t="s">
        <v>1324</v>
      </c>
      <c r="F727" s="205" t="s">
        <v>8132</v>
      </c>
      <c r="G727" s="205" t="s">
        <v>7001</v>
      </c>
      <c r="H727" s="204" t="s">
        <v>390</v>
      </c>
      <c r="I727" s="204" t="s">
        <v>11</v>
      </c>
      <c r="J727" s="205" t="s">
        <v>7769</v>
      </c>
      <c r="K727" s="206">
        <v>27</v>
      </c>
      <c r="L727" s="206"/>
      <c r="M727" s="159">
        <f t="shared" si="178"/>
        <v>0</v>
      </c>
      <c r="N727" s="159"/>
      <c r="O727" s="159"/>
      <c r="P727" s="159"/>
      <c r="Q727" s="159"/>
      <c r="R727" s="159"/>
      <c r="S727" s="150" t="s">
        <v>360</v>
      </c>
      <c r="T727" s="150" t="s">
        <v>358</v>
      </c>
      <c r="U727" s="202" t="s">
        <v>3873</v>
      </c>
      <c r="V727" s="204">
        <v>3</v>
      </c>
      <c r="W727" s="203" t="s">
        <v>5104</v>
      </c>
      <c r="X727" s="204" t="s">
        <v>213</v>
      </c>
      <c r="Y727" s="206">
        <v>30</v>
      </c>
      <c r="Z727" s="207">
        <v>220000</v>
      </c>
      <c r="AA727" s="207">
        <f t="shared" si="179"/>
        <v>5940000</v>
      </c>
      <c r="AB727" s="157">
        <v>220000</v>
      </c>
      <c r="AC727" s="158">
        <f t="shared" si="177"/>
        <v>220000</v>
      </c>
      <c r="AD727" s="159">
        <f t="shared" si="180"/>
        <v>0</v>
      </c>
      <c r="AE727" s="160"/>
      <c r="AF727" s="160">
        <f t="shared" si="181"/>
        <v>0</v>
      </c>
      <c r="AG727" s="161"/>
      <c r="AH727" s="161">
        <f t="shared" si="182"/>
        <v>0</v>
      </c>
      <c r="AI727" s="162"/>
      <c r="AJ727" s="162">
        <f t="shared" si="183"/>
        <v>0</v>
      </c>
      <c r="AK727" s="164"/>
      <c r="AL727" s="164">
        <f t="shared" si="184"/>
        <v>0</v>
      </c>
      <c r="AM727" s="165"/>
      <c r="AN727" s="165">
        <f t="shared" si="185"/>
        <v>0</v>
      </c>
      <c r="AO727" s="166">
        <v>0</v>
      </c>
      <c r="AP727" s="166">
        <f t="shared" si="186"/>
        <v>0</v>
      </c>
      <c r="AQ727" s="162"/>
      <c r="AR727" s="162">
        <f t="shared" si="187"/>
        <v>0</v>
      </c>
      <c r="AS727" s="167"/>
      <c r="AT727" s="167">
        <f t="shared" si="188"/>
        <v>0</v>
      </c>
      <c r="AU727" s="163"/>
      <c r="AV727" s="163">
        <f t="shared" si="189"/>
        <v>0</v>
      </c>
      <c r="AW727" s="168"/>
      <c r="AX727" s="168">
        <f t="shared" si="190"/>
        <v>0</v>
      </c>
      <c r="AY727" s="170"/>
      <c r="AZ727" s="170">
        <f t="shared" si="191"/>
        <v>0</v>
      </c>
      <c r="BA727" s="166"/>
      <c r="BB727" s="166">
        <f t="shared" si="192"/>
        <v>0</v>
      </c>
    </row>
    <row r="728" spans="1:54" ht="31.5">
      <c r="A728" s="148" t="s">
        <v>8133</v>
      </c>
      <c r="B728" s="203" t="s">
        <v>4333</v>
      </c>
      <c r="C728" s="203"/>
      <c r="D728" s="203"/>
      <c r="E728" s="203" t="s">
        <v>4332</v>
      </c>
      <c r="F728" s="205" t="s">
        <v>8135</v>
      </c>
      <c r="G728" s="205" t="s">
        <v>7211</v>
      </c>
      <c r="H728" s="204" t="s">
        <v>291</v>
      </c>
      <c r="I728" s="204" t="s">
        <v>11</v>
      </c>
      <c r="J728" s="205" t="s">
        <v>8134</v>
      </c>
      <c r="K728" s="206">
        <v>4095</v>
      </c>
      <c r="L728" s="206"/>
      <c r="M728" s="159">
        <f t="shared" si="178"/>
        <v>9968</v>
      </c>
      <c r="N728" s="159"/>
      <c r="O728" s="159"/>
      <c r="P728" s="159"/>
      <c r="Q728" s="159"/>
      <c r="R728" s="159"/>
      <c r="S728" s="150" t="s">
        <v>5328</v>
      </c>
      <c r="T728" s="150" t="s">
        <v>215</v>
      </c>
      <c r="U728" s="202" t="s">
        <v>4331</v>
      </c>
      <c r="V728" s="204">
        <v>3</v>
      </c>
      <c r="W728" s="203" t="s">
        <v>5104</v>
      </c>
      <c r="X728" s="204" t="s">
        <v>213</v>
      </c>
      <c r="Y728" s="206">
        <v>9800</v>
      </c>
      <c r="Z728" s="207">
        <v>30000</v>
      </c>
      <c r="AA728" s="207">
        <f t="shared" si="179"/>
        <v>122850000</v>
      </c>
      <c r="AB728" s="157">
        <v>30000</v>
      </c>
      <c r="AC728" s="158">
        <f t="shared" si="177"/>
        <v>20032</v>
      </c>
      <c r="AD728" s="159">
        <f t="shared" si="180"/>
        <v>40818960</v>
      </c>
      <c r="AE728" s="160">
        <v>4984</v>
      </c>
      <c r="AF728" s="160">
        <f t="shared" si="181"/>
        <v>20409480</v>
      </c>
      <c r="AG728" s="165"/>
      <c r="AH728" s="161">
        <f t="shared" si="182"/>
        <v>0</v>
      </c>
      <c r="AI728" s="162"/>
      <c r="AJ728" s="162">
        <f t="shared" si="183"/>
        <v>0</v>
      </c>
      <c r="AK728" s="164">
        <v>4984</v>
      </c>
      <c r="AL728" s="164">
        <f t="shared" si="184"/>
        <v>20409480</v>
      </c>
      <c r="AM728" s="165"/>
      <c r="AN728" s="165">
        <f t="shared" si="185"/>
        <v>0</v>
      </c>
      <c r="AO728" s="166">
        <v>0</v>
      </c>
      <c r="AP728" s="166">
        <f t="shared" si="186"/>
        <v>0</v>
      </c>
      <c r="AQ728" s="162"/>
      <c r="AR728" s="162">
        <f t="shared" si="187"/>
        <v>0</v>
      </c>
      <c r="AS728" s="173"/>
      <c r="AT728" s="167">
        <f t="shared" si="188"/>
        <v>0</v>
      </c>
      <c r="AU728" s="163"/>
      <c r="AV728" s="163">
        <f t="shared" si="189"/>
        <v>0</v>
      </c>
      <c r="AW728" s="168"/>
      <c r="AX728" s="168">
        <f t="shared" si="190"/>
        <v>0</v>
      </c>
      <c r="AY728" s="170"/>
      <c r="AZ728" s="170">
        <f t="shared" si="191"/>
        <v>0</v>
      </c>
      <c r="BA728" s="166"/>
      <c r="BB728" s="166">
        <f t="shared" si="192"/>
        <v>0</v>
      </c>
    </row>
    <row r="729" spans="1:54" ht="31.5">
      <c r="A729" s="172" t="s">
        <v>8136</v>
      </c>
      <c r="B729" s="203" t="s">
        <v>611</v>
      </c>
      <c r="C729" s="203"/>
      <c r="D729" s="203"/>
      <c r="E729" s="203" t="s">
        <v>8138</v>
      </c>
      <c r="F729" s="205" t="s">
        <v>8140</v>
      </c>
      <c r="G729" s="205" t="s">
        <v>7174</v>
      </c>
      <c r="H729" s="204" t="s">
        <v>291</v>
      </c>
      <c r="I729" s="204" t="s">
        <v>11</v>
      </c>
      <c r="J729" s="205" t="s">
        <v>8139</v>
      </c>
      <c r="K729" s="206">
        <v>5760</v>
      </c>
      <c r="L729" s="206"/>
      <c r="M729" s="159">
        <f t="shared" si="178"/>
        <v>0</v>
      </c>
      <c r="N729" s="159"/>
      <c r="O729" s="159"/>
      <c r="P729" s="159"/>
      <c r="Q729" s="159"/>
      <c r="R729" s="159"/>
      <c r="S729" s="150" t="s">
        <v>5298</v>
      </c>
      <c r="T729" s="150" t="s">
        <v>5299</v>
      </c>
      <c r="U729" s="202" t="s">
        <v>8137</v>
      </c>
      <c r="V729" s="204">
        <v>3</v>
      </c>
      <c r="W729" s="203" t="s">
        <v>5784</v>
      </c>
      <c r="X729" s="204" t="s">
        <v>213</v>
      </c>
      <c r="Y729" s="206">
        <v>7800</v>
      </c>
      <c r="Z729" s="207">
        <v>20000</v>
      </c>
      <c r="AA729" s="207">
        <f t="shared" si="179"/>
        <v>115200000</v>
      </c>
      <c r="AB729" s="157">
        <v>20000</v>
      </c>
      <c r="AC729" s="158">
        <f t="shared" si="177"/>
        <v>20000</v>
      </c>
      <c r="AD729" s="159">
        <f t="shared" si="180"/>
        <v>0</v>
      </c>
      <c r="AE729" s="160"/>
      <c r="AF729" s="160">
        <f t="shared" si="181"/>
        <v>0</v>
      </c>
      <c r="AG729" s="165"/>
      <c r="AH729" s="161">
        <f t="shared" si="182"/>
        <v>0</v>
      </c>
      <c r="AI729" s="162"/>
      <c r="AJ729" s="162">
        <f t="shared" si="183"/>
        <v>0</v>
      </c>
      <c r="AK729" s="163"/>
      <c r="AL729" s="164">
        <f t="shared" si="184"/>
        <v>0</v>
      </c>
      <c r="AM729" s="161"/>
      <c r="AN729" s="165">
        <f t="shared" si="185"/>
        <v>0</v>
      </c>
      <c r="AO729" s="160">
        <v>0</v>
      </c>
      <c r="AP729" s="166">
        <f t="shared" si="186"/>
        <v>0</v>
      </c>
      <c r="AQ729" s="162"/>
      <c r="AR729" s="162">
        <f t="shared" si="187"/>
        <v>0</v>
      </c>
      <c r="AS729" s="173"/>
      <c r="AT729" s="167">
        <f t="shared" si="188"/>
        <v>0</v>
      </c>
      <c r="AU729" s="163"/>
      <c r="AV729" s="163">
        <f t="shared" si="189"/>
        <v>0</v>
      </c>
      <c r="AW729" s="162"/>
      <c r="AX729" s="168">
        <f t="shared" si="190"/>
        <v>0</v>
      </c>
      <c r="AY729" s="169"/>
      <c r="AZ729" s="170">
        <f t="shared" si="191"/>
        <v>0</v>
      </c>
      <c r="BA729" s="160"/>
      <c r="BB729" s="166">
        <f t="shared" si="192"/>
        <v>0</v>
      </c>
    </row>
    <row r="730" spans="1:54" s="131" customFormat="1" ht="47.25">
      <c r="A730" s="148" t="s">
        <v>8141</v>
      </c>
      <c r="B730" s="203" t="s">
        <v>1647</v>
      </c>
      <c r="C730" s="203"/>
      <c r="D730" s="203"/>
      <c r="E730" s="203" t="s">
        <v>8146</v>
      </c>
      <c r="F730" s="205" t="s">
        <v>8148</v>
      </c>
      <c r="G730" s="205" t="s">
        <v>621</v>
      </c>
      <c r="H730" s="204" t="s">
        <v>8145</v>
      </c>
      <c r="I730" s="204" t="s">
        <v>15</v>
      </c>
      <c r="J730" s="205" t="s">
        <v>8147</v>
      </c>
      <c r="K730" s="206">
        <v>19950</v>
      </c>
      <c r="L730" s="206"/>
      <c r="M730" s="159">
        <f t="shared" si="178"/>
        <v>0</v>
      </c>
      <c r="N730" s="159"/>
      <c r="O730" s="159"/>
      <c r="P730" s="159"/>
      <c r="Q730" s="159"/>
      <c r="R730" s="159"/>
      <c r="S730" s="149" t="s">
        <v>8142</v>
      </c>
      <c r="T730" s="149" t="s">
        <v>8143</v>
      </c>
      <c r="U730" s="202" t="s">
        <v>8144</v>
      </c>
      <c r="V730" s="204">
        <v>3</v>
      </c>
      <c r="W730" s="203" t="s">
        <v>253</v>
      </c>
      <c r="X730" s="204" t="s">
        <v>213</v>
      </c>
      <c r="Y730" s="206">
        <v>35000</v>
      </c>
      <c r="Z730" s="207">
        <v>1000</v>
      </c>
      <c r="AA730" s="207">
        <f t="shared" si="179"/>
        <v>19950000</v>
      </c>
      <c r="AB730" s="157">
        <v>1000</v>
      </c>
      <c r="AC730" s="158">
        <f t="shared" si="177"/>
        <v>1000</v>
      </c>
      <c r="AD730" s="159">
        <f t="shared" si="180"/>
        <v>0</v>
      </c>
      <c r="AE730" s="160"/>
      <c r="AF730" s="160">
        <f t="shared" si="181"/>
        <v>0</v>
      </c>
      <c r="AG730" s="165"/>
      <c r="AH730" s="161">
        <f t="shared" si="182"/>
        <v>0</v>
      </c>
      <c r="AI730" s="162"/>
      <c r="AJ730" s="162">
        <f t="shared" si="183"/>
        <v>0</v>
      </c>
      <c r="AK730" s="164"/>
      <c r="AL730" s="164">
        <f t="shared" si="184"/>
        <v>0</v>
      </c>
      <c r="AM730" s="165"/>
      <c r="AN730" s="165">
        <f t="shared" si="185"/>
        <v>0</v>
      </c>
      <c r="AO730" s="166">
        <v>0</v>
      </c>
      <c r="AP730" s="166">
        <f t="shared" si="186"/>
        <v>0</v>
      </c>
      <c r="AQ730" s="162"/>
      <c r="AR730" s="162">
        <f t="shared" si="187"/>
        <v>0</v>
      </c>
      <c r="AS730" s="173"/>
      <c r="AT730" s="167">
        <f t="shared" si="188"/>
        <v>0</v>
      </c>
      <c r="AU730" s="163"/>
      <c r="AV730" s="163">
        <f t="shared" si="189"/>
        <v>0</v>
      </c>
      <c r="AW730" s="168"/>
      <c r="AX730" s="168">
        <f t="shared" si="190"/>
        <v>0</v>
      </c>
      <c r="AY730" s="170"/>
      <c r="AZ730" s="170">
        <f t="shared" si="191"/>
        <v>0</v>
      </c>
      <c r="BA730" s="166"/>
      <c r="BB730" s="166">
        <f t="shared" si="192"/>
        <v>0</v>
      </c>
    </row>
    <row r="731" spans="1:54" s="131" customFormat="1" ht="31.5">
      <c r="A731" s="148" t="s">
        <v>8149</v>
      </c>
      <c r="B731" s="203" t="s">
        <v>4171</v>
      </c>
      <c r="C731" s="203"/>
      <c r="D731" s="203"/>
      <c r="E731" s="203" t="s">
        <v>4170</v>
      </c>
      <c r="F731" s="205" t="s">
        <v>8151</v>
      </c>
      <c r="G731" s="205" t="s">
        <v>8152</v>
      </c>
      <c r="H731" s="204" t="s">
        <v>291</v>
      </c>
      <c r="I731" s="204" t="s">
        <v>11</v>
      </c>
      <c r="J731" s="205" t="s">
        <v>8150</v>
      </c>
      <c r="K731" s="206">
        <v>264</v>
      </c>
      <c r="L731" s="206"/>
      <c r="M731" s="159">
        <f t="shared" si="178"/>
        <v>1000</v>
      </c>
      <c r="N731" s="159"/>
      <c r="O731" s="159"/>
      <c r="P731" s="159"/>
      <c r="Q731" s="159"/>
      <c r="R731" s="159"/>
      <c r="S731" s="149" t="s">
        <v>5409</v>
      </c>
      <c r="T731" s="150" t="s">
        <v>5410</v>
      </c>
      <c r="U731" s="202" t="s">
        <v>4169</v>
      </c>
      <c r="V731" s="204">
        <v>3</v>
      </c>
      <c r="W731" s="203" t="s">
        <v>5104</v>
      </c>
      <c r="X731" s="204" t="s">
        <v>213</v>
      </c>
      <c r="Y731" s="206">
        <v>2000</v>
      </c>
      <c r="Z731" s="207">
        <v>40000</v>
      </c>
      <c r="AA731" s="207">
        <f t="shared" si="179"/>
        <v>10560000</v>
      </c>
      <c r="AB731" s="157">
        <v>40000</v>
      </c>
      <c r="AC731" s="158">
        <f t="shared" si="177"/>
        <v>39000</v>
      </c>
      <c r="AD731" s="159">
        <f t="shared" si="180"/>
        <v>264000</v>
      </c>
      <c r="AE731" s="160"/>
      <c r="AF731" s="160">
        <f t="shared" si="181"/>
        <v>0</v>
      </c>
      <c r="AG731" s="165"/>
      <c r="AH731" s="161">
        <f t="shared" si="182"/>
        <v>0</v>
      </c>
      <c r="AI731" s="162"/>
      <c r="AJ731" s="162">
        <f t="shared" si="183"/>
        <v>0</v>
      </c>
      <c r="AK731" s="164"/>
      <c r="AL731" s="164">
        <f t="shared" si="184"/>
        <v>0</v>
      </c>
      <c r="AM731" s="165">
        <v>1000</v>
      </c>
      <c r="AN731" s="165">
        <f t="shared" si="185"/>
        <v>264000</v>
      </c>
      <c r="AO731" s="166">
        <v>0</v>
      </c>
      <c r="AP731" s="166">
        <f t="shared" si="186"/>
        <v>0</v>
      </c>
      <c r="AQ731" s="162"/>
      <c r="AR731" s="162">
        <f t="shared" si="187"/>
        <v>0</v>
      </c>
      <c r="AS731" s="173"/>
      <c r="AT731" s="167">
        <f t="shared" si="188"/>
        <v>0</v>
      </c>
      <c r="AU731" s="163"/>
      <c r="AV731" s="163">
        <f t="shared" si="189"/>
        <v>0</v>
      </c>
      <c r="AW731" s="168"/>
      <c r="AX731" s="168">
        <f t="shared" si="190"/>
        <v>0</v>
      </c>
      <c r="AY731" s="170"/>
      <c r="AZ731" s="170">
        <f t="shared" si="191"/>
        <v>0</v>
      </c>
      <c r="BA731" s="166"/>
      <c r="BB731" s="166">
        <f t="shared" si="192"/>
        <v>0</v>
      </c>
    </row>
    <row r="732" spans="1:54" s="131" customFormat="1">
      <c r="A732" s="172" t="s">
        <v>8153</v>
      </c>
      <c r="B732" s="203" t="s">
        <v>1326</v>
      </c>
      <c r="C732" s="203"/>
      <c r="D732" s="203"/>
      <c r="E732" s="203" t="s">
        <v>4405</v>
      </c>
      <c r="F732" s="205" t="s">
        <v>8154</v>
      </c>
      <c r="G732" s="205" t="s">
        <v>2385</v>
      </c>
      <c r="H732" s="204" t="s">
        <v>222</v>
      </c>
      <c r="I732" s="204" t="s">
        <v>11</v>
      </c>
      <c r="J732" s="205" t="s">
        <v>6982</v>
      </c>
      <c r="K732" s="206">
        <v>47</v>
      </c>
      <c r="L732" s="206"/>
      <c r="M732" s="159">
        <f t="shared" si="178"/>
        <v>23000</v>
      </c>
      <c r="N732" s="159"/>
      <c r="O732" s="159"/>
      <c r="P732" s="159"/>
      <c r="Q732" s="159"/>
      <c r="R732" s="159"/>
      <c r="S732" s="149" t="s">
        <v>2385</v>
      </c>
      <c r="T732" s="150" t="s">
        <v>2380</v>
      </c>
      <c r="U732" s="202" t="s">
        <v>3913</v>
      </c>
      <c r="V732" s="204">
        <v>3</v>
      </c>
      <c r="W732" s="203" t="s">
        <v>5111</v>
      </c>
      <c r="X732" s="204" t="s">
        <v>213</v>
      </c>
      <c r="Y732" s="206">
        <v>145</v>
      </c>
      <c r="Z732" s="207">
        <v>100000</v>
      </c>
      <c r="AA732" s="207">
        <f t="shared" si="179"/>
        <v>4700000</v>
      </c>
      <c r="AB732" s="157">
        <v>100000</v>
      </c>
      <c r="AC732" s="158">
        <f t="shared" si="177"/>
        <v>77000</v>
      </c>
      <c r="AD732" s="159">
        <f t="shared" si="180"/>
        <v>1081000</v>
      </c>
      <c r="AE732" s="160"/>
      <c r="AF732" s="160">
        <f t="shared" si="181"/>
        <v>0</v>
      </c>
      <c r="AG732" s="165">
        <v>13000</v>
      </c>
      <c r="AH732" s="161">
        <f t="shared" si="182"/>
        <v>611000</v>
      </c>
      <c r="AI732" s="162"/>
      <c r="AJ732" s="162">
        <f t="shared" si="183"/>
        <v>0</v>
      </c>
      <c r="AK732" s="164"/>
      <c r="AL732" s="164">
        <f t="shared" si="184"/>
        <v>0</v>
      </c>
      <c r="AM732" s="165">
        <v>4000</v>
      </c>
      <c r="AN732" s="165">
        <f t="shared" si="185"/>
        <v>188000</v>
      </c>
      <c r="AO732" s="166">
        <v>0</v>
      </c>
      <c r="AP732" s="166">
        <f t="shared" si="186"/>
        <v>0</v>
      </c>
      <c r="AQ732" s="162"/>
      <c r="AR732" s="162">
        <f t="shared" si="187"/>
        <v>0</v>
      </c>
      <c r="AS732" s="173">
        <v>6000</v>
      </c>
      <c r="AT732" s="167">
        <f t="shared" si="188"/>
        <v>282000</v>
      </c>
      <c r="AU732" s="163"/>
      <c r="AV732" s="163">
        <f t="shared" si="189"/>
        <v>0</v>
      </c>
      <c r="AW732" s="168"/>
      <c r="AX732" s="168">
        <f t="shared" si="190"/>
        <v>0</v>
      </c>
      <c r="AY732" s="170"/>
      <c r="AZ732" s="170">
        <f t="shared" si="191"/>
        <v>0</v>
      </c>
      <c r="BA732" s="166"/>
      <c r="BB732" s="166">
        <f t="shared" si="192"/>
        <v>0</v>
      </c>
    </row>
    <row r="733" spans="1:54" s="131" customFormat="1" ht="31.5">
      <c r="A733" s="148" t="s">
        <v>8155</v>
      </c>
      <c r="B733" s="203" t="s">
        <v>557</v>
      </c>
      <c r="C733" s="203"/>
      <c r="D733" s="203"/>
      <c r="E733" s="203" t="s">
        <v>824</v>
      </c>
      <c r="F733" s="205" t="s">
        <v>8157</v>
      </c>
      <c r="G733" s="205" t="s">
        <v>806</v>
      </c>
      <c r="H733" s="204" t="s">
        <v>272</v>
      </c>
      <c r="I733" s="204" t="s">
        <v>11</v>
      </c>
      <c r="J733" s="205" t="s">
        <v>8156</v>
      </c>
      <c r="K733" s="206">
        <v>119</v>
      </c>
      <c r="L733" s="206"/>
      <c r="M733" s="159">
        <f t="shared" si="178"/>
        <v>0</v>
      </c>
      <c r="N733" s="159"/>
      <c r="O733" s="159"/>
      <c r="P733" s="159"/>
      <c r="Q733" s="159"/>
      <c r="R733" s="159"/>
      <c r="S733" s="149" t="s">
        <v>6986</v>
      </c>
      <c r="T733" s="149" t="s">
        <v>6987</v>
      </c>
      <c r="U733" s="202" t="s">
        <v>3912</v>
      </c>
      <c r="V733" s="204">
        <v>3</v>
      </c>
      <c r="W733" s="203" t="s">
        <v>5104</v>
      </c>
      <c r="X733" s="204" t="s">
        <v>213</v>
      </c>
      <c r="Y733" s="206">
        <v>500</v>
      </c>
      <c r="Z733" s="207">
        <v>200000</v>
      </c>
      <c r="AA733" s="207">
        <f t="shared" si="179"/>
        <v>23800000</v>
      </c>
      <c r="AB733" s="157">
        <v>200000</v>
      </c>
      <c r="AC733" s="158">
        <f t="shared" si="177"/>
        <v>200000</v>
      </c>
      <c r="AD733" s="159">
        <f t="shared" si="180"/>
        <v>0</v>
      </c>
      <c r="AE733" s="160"/>
      <c r="AF733" s="160">
        <f t="shared" si="181"/>
        <v>0</v>
      </c>
      <c r="AG733" s="165"/>
      <c r="AH733" s="161">
        <f t="shared" si="182"/>
        <v>0</v>
      </c>
      <c r="AI733" s="162"/>
      <c r="AJ733" s="162">
        <f t="shared" si="183"/>
        <v>0</v>
      </c>
      <c r="AK733" s="164"/>
      <c r="AL733" s="164">
        <f t="shared" si="184"/>
        <v>0</v>
      </c>
      <c r="AM733" s="165"/>
      <c r="AN733" s="165">
        <f t="shared" si="185"/>
        <v>0</v>
      </c>
      <c r="AO733" s="166">
        <v>0</v>
      </c>
      <c r="AP733" s="166">
        <f t="shared" si="186"/>
        <v>0</v>
      </c>
      <c r="AQ733" s="162"/>
      <c r="AR733" s="162">
        <f t="shared" si="187"/>
        <v>0</v>
      </c>
      <c r="AS733" s="173"/>
      <c r="AT733" s="167">
        <f t="shared" si="188"/>
        <v>0</v>
      </c>
      <c r="AU733" s="163"/>
      <c r="AV733" s="163">
        <f t="shared" si="189"/>
        <v>0</v>
      </c>
      <c r="AW733" s="168"/>
      <c r="AX733" s="168">
        <f t="shared" si="190"/>
        <v>0</v>
      </c>
      <c r="AY733" s="170"/>
      <c r="AZ733" s="170">
        <f t="shared" si="191"/>
        <v>0</v>
      </c>
      <c r="BA733" s="166"/>
      <c r="BB733" s="166">
        <f t="shared" si="192"/>
        <v>0</v>
      </c>
    </row>
    <row r="734" spans="1:54" s="131" customFormat="1" ht="31.5">
      <c r="A734" s="148" t="s">
        <v>8158</v>
      </c>
      <c r="B734" s="203" t="s">
        <v>557</v>
      </c>
      <c r="C734" s="203"/>
      <c r="D734" s="203"/>
      <c r="E734" s="203" t="s">
        <v>8160</v>
      </c>
      <c r="F734" s="205" t="s">
        <v>8162</v>
      </c>
      <c r="G734" s="205" t="s">
        <v>806</v>
      </c>
      <c r="H734" s="204" t="s">
        <v>225</v>
      </c>
      <c r="I734" s="204" t="s">
        <v>11</v>
      </c>
      <c r="J734" s="205" t="s">
        <v>8161</v>
      </c>
      <c r="K734" s="206">
        <v>231</v>
      </c>
      <c r="L734" s="206"/>
      <c r="M734" s="159">
        <f t="shared" si="178"/>
        <v>0</v>
      </c>
      <c r="N734" s="159"/>
      <c r="O734" s="159"/>
      <c r="P734" s="159"/>
      <c r="Q734" s="159"/>
      <c r="R734" s="159"/>
      <c r="S734" s="149" t="s">
        <v>6986</v>
      </c>
      <c r="T734" s="149" t="s">
        <v>6987</v>
      </c>
      <c r="U734" s="202" t="s">
        <v>8159</v>
      </c>
      <c r="V734" s="204">
        <v>3</v>
      </c>
      <c r="W734" s="203" t="s">
        <v>5104</v>
      </c>
      <c r="X734" s="204" t="s">
        <v>213</v>
      </c>
      <c r="Y734" s="206">
        <v>1000</v>
      </c>
      <c r="Z734" s="207">
        <v>150000</v>
      </c>
      <c r="AA734" s="207">
        <f t="shared" si="179"/>
        <v>34650000</v>
      </c>
      <c r="AB734" s="157">
        <v>150000</v>
      </c>
      <c r="AC734" s="158">
        <f t="shared" si="177"/>
        <v>150000</v>
      </c>
      <c r="AD734" s="159">
        <f t="shared" si="180"/>
        <v>0</v>
      </c>
      <c r="AE734" s="160"/>
      <c r="AF734" s="160">
        <f t="shared" si="181"/>
        <v>0</v>
      </c>
      <c r="AG734" s="165"/>
      <c r="AH734" s="161">
        <f t="shared" si="182"/>
        <v>0</v>
      </c>
      <c r="AI734" s="162"/>
      <c r="AJ734" s="162">
        <f t="shared" si="183"/>
        <v>0</v>
      </c>
      <c r="AK734" s="164"/>
      <c r="AL734" s="164">
        <f t="shared" si="184"/>
        <v>0</v>
      </c>
      <c r="AM734" s="165"/>
      <c r="AN734" s="165">
        <f t="shared" si="185"/>
        <v>0</v>
      </c>
      <c r="AO734" s="166">
        <v>0</v>
      </c>
      <c r="AP734" s="166">
        <f t="shared" si="186"/>
        <v>0</v>
      </c>
      <c r="AQ734" s="162"/>
      <c r="AR734" s="162">
        <f t="shared" si="187"/>
        <v>0</v>
      </c>
      <c r="AS734" s="173"/>
      <c r="AT734" s="167">
        <f t="shared" si="188"/>
        <v>0</v>
      </c>
      <c r="AU734" s="163"/>
      <c r="AV734" s="163">
        <f t="shared" si="189"/>
        <v>0</v>
      </c>
      <c r="AW734" s="168"/>
      <c r="AX734" s="168">
        <f t="shared" si="190"/>
        <v>0</v>
      </c>
      <c r="AY734" s="170"/>
      <c r="AZ734" s="170">
        <f t="shared" si="191"/>
        <v>0</v>
      </c>
      <c r="BA734" s="166"/>
      <c r="BB734" s="166">
        <f t="shared" si="192"/>
        <v>0</v>
      </c>
    </row>
    <row r="735" spans="1:54" s="131" customFormat="1" ht="31.5">
      <c r="A735" s="172" t="s">
        <v>8163</v>
      </c>
      <c r="B735" s="203" t="s">
        <v>8165</v>
      </c>
      <c r="C735" s="203"/>
      <c r="D735" s="203"/>
      <c r="E735" s="203" t="s">
        <v>2471</v>
      </c>
      <c r="F735" s="205" t="s">
        <v>8167</v>
      </c>
      <c r="G735" s="205" t="s">
        <v>7015</v>
      </c>
      <c r="H735" s="204" t="s">
        <v>8166</v>
      </c>
      <c r="I735" s="204" t="s">
        <v>520</v>
      </c>
      <c r="J735" s="205" t="s">
        <v>7204</v>
      </c>
      <c r="K735" s="206">
        <v>567</v>
      </c>
      <c r="L735" s="206"/>
      <c r="M735" s="159">
        <f t="shared" si="178"/>
        <v>0</v>
      </c>
      <c r="N735" s="159"/>
      <c r="O735" s="159"/>
      <c r="P735" s="159"/>
      <c r="Q735" s="159"/>
      <c r="R735" s="159"/>
      <c r="S735" s="149" t="s">
        <v>5417</v>
      </c>
      <c r="T735" s="150" t="s">
        <v>5418</v>
      </c>
      <c r="U735" s="202" t="s">
        <v>8164</v>
      </c>
      <c r="V735" s="204">
        <v>3</v>
      </c>
      <c r="W735" s="203" t="s">
        <v>5104</v>
      </c>
      <c r="X735" s="204" t="s">
        <v>213</v>
      </c>
      <c r="Y735" s="206">
        <v>893</v>
      </c>
      <c r="Z735" s="207">
        <v>3000</v>
      </c>
      <c r="AA735" s="207">
        <f t="shared" si="179"/>
        <v>1701000</v>
      </c>
      <c r="AB735" s="157">
        <v>3000</v>
      </c>
      <c r="AC735" s="158">
        <f t="shared" si="177"/>
        <v>3000</v>
      </c>
      <c r="AD735" s="159">
        <f t="shared" si="180"/>
        <v>0</v>
      </c>
      <c r="AE735" s="160"/>
      <c r="AF735" s="160">
        <f t="shared" si="181"/>
        <v>0</v>
      </c>
      <c r="AG735" s="165"/>
      <c r="AH735" s="161">
        <f t="shared" si="182"/>
        <v>0</v>
      </c>
      <c r="AI735" s="162"/>
      <c r="AJ735" s="162">
        <f t="shared" si="183"/>
        <v>0</v>
      </c>
      <c r="AK735" s="163"/>
      <c r="AL735" s="164">
        <f t="shared" si="184"/>
        <v>0</v>
      </c>
      <c r="AM735" s="161"/>
      <c r="AN735" s="165">
        <f t="shared" si="185"/>
        <v>0</v>
      </c>
      <c r="AO735" s="160">
        <v>0</v>
      </c>
      <c r="AP735" s="166">
        <f t="shared" si="186"/>
        <v>0</v>
      </c>
      <c r="AQ735" s="162"/>
      <c r="AR735" s="162">
        <f t="shared" si="187"/>
        <v>0</v>
      </c>
      <c r="AS735" s="173"/>
      <c r="AT735" s="167">
        <f t="shared" si="188"/>
        <v>0</v>
      </c>
      <c r="AU735" s="163"/>
      <c r="AV735" s="163">
        <f t="shared" si="189"/>
        <v>0</v>
      </c>
      <c r="AW735" s="162"/>
      <c r="AX735" s="168">
        <f t="shared" si="190"/>
        <v>0</v>
      </c>
      <c r="AY735" s="169"/>
      <c r="AZ735" s="170">
        <f t="shared" si="191"/>
        <v>0</v>
      </c>
      <c r="BA735" s="160"/>
      <c r="BB735" s="166">
        <f t="shared" si="192"/>
        <v>0</v>
      </c>
    </row>
    <row r="736" spans="1:54" s="131" customFormat="1" ht="31.5">
      <c r="A736" s="148" t="s">
        <v>8168</v>
      </c>
      <c r="B736" s="203" t="s">
        <v>8169</v>
      </c>
      <c r="C736" s="203"/>
      <c r="D736" s="203"/>
      <c r="E736" s="203" t="s">
        <v>2594</v>
      </c>
      <c r="F736" s="205" t="s">
        <v>8171</v>
      </c>
      <c r="G736" s="205" t="s">
        <v>7015</v>
      </c>
      <c r="H736" s="204" t="s">
        <v>733</v>
      </c>
      <c r="I736" s="204" t="s">
        <v>520</v>
      </c>
      <c r="J736" s="205" t="s">
        <v>8170</v>
      </c>
      <c r="K736" s="206">
        <v>1701</v>
      </c>
      <c r="L736" s="206"/>
      <c r="M736" s="159">
        <f t="shared" si="178"/>
        <v>500</v>
      </c>
      <c r="N736" s="159"/>
      <c r="O736" s="159"/>
      <c r="P736" s="159"/>
      <c r="Q736" s="159"/>
      <c r="R736" s="159"/>
      <c r="S736" s="149" t="s">
        <v>5417</v>
      </c>
      <c r="T736" s="150" t="s">
        <v>5418</v>
      </c>
      <c r="U736" s="202" t="s">
        <v>3733</v>
      </c>
      <c r="V736" s="204">
        <v>3</v>
      </c>
      <c r="W736" s="203" t="s">
        <v>6049</v>
      </c>
      <c r="X736" s="204" t="s">
        <v>213</v>
      </c>
      <c r="Y736" s="206">
        <v>3850</v>
      </c>
      <c r="Z736" s="207">
        <v>3000</v>
      </c>
      <c r="AA736" s="207">
        <f t="shared" si="179"/>
        <v>5103000</v>
      </c>
      <c r="AB736" s="157">
        <v>3000</v>
      </c>
      <c r="AC736" s="158">
        <f t="shared" si="177"/>
        <v>2500</v>
      </c>
      <c r="AD736" s="159">
        <f t="shared" si="180"/>
        <v>850500</v>
      </c>
      <c r="AE736" s="160"/>
      <c r="AF736" s="160">
        <f t="shared" si="181"/>
        <v>0</v>
      </c>
      <c r="AG736" s="165">
        <v>500</v>
      </c>
      <c r="AH736" s="161">
        <f t="shared" si="182"/>
        <v>850500</v>
      </c>
      <c r="AI736" s="162"/>
      <c r="AJ736" s="162">
        <f t="shared" si="183"/>
        <v>0</v>
      </c>
      <c r="AK736" s="164"/>
      <c r="AL736" s="164">
        <f t="shared" si="184"/>
        <v>0</v>
      </c>
      <c r="AM736" s="165"/>
      <c r="AN736" s="165">
        <f t="shared" si="185"/>
        <v>0</v>
      </c>
      <c r="AO736" s="166">
        <v>0</v>
      </c>
      <c r="AP736" s="166">
        <f t="shared" si="186"/>
        <v>0</v>
      </c>
      <c r="AQ736" s="162"/>
      <c r="AR736" s="162">
        <f t="shared" si="187"/>
        <v>0</v>
      </c>
      <c r="AS736" s="173"/>
      <c r="AT736" s="167">
        <f t="shared" si="188"/>
        <v>0</v>
      </c>
      <c r="AU736" s="163"/>
      <c r="AV736" s="163">
        <f t="shared" si="189"/>
        <v>0</v>
      </c>
      <c r="AW736" s="168"/>
      <c r="AX736" s="168">
        <f t="shared" si="190"/>
        <v>0</v>
      </c>
      <c r="AY736" s="170"/>
      <c r="AZ736" s="170">
        <f t="shared" si="191"/>
        <v>0</v>
      </c>
      <c r="BA736" s="166"/>
      <c r="BB736" s="166">
        <f t="shared" si="192"/>
        <v>0</v>
      </c>
    </row>
    <row r="737" spans="1:54" s="131" customFormat="1" ht="31.5">
      <c r="A737" s="148" t="s">
        <v>8172</v>
      </c>
      <c r="B737" s="203" t="s">
        <v>8173</v>
      </c>
      <c r="C737" s="203"/>
      <c r="D737" s="203"/>
      <c r="E737" s="203" t="s">
        <v>4357</v>
      </c>
      <c r="F737" s="205" t="s">
        <v>8175</v>
      </c>
      <c r="G737" s="205" t="s">
        <v>7335</v>
      </c>
      <c r="H737" s="204" t="s">
        <v>4359</v>
      </c>
      <c r="I737" s="204" t="s">
        <v>658</v>
      </c>
      <c r="J737" s="205" t="s">
        <v>8174</v>
      </c>
      <c r="K737" s="206">
        <v>30000</v>
      </c>
      <c r="L737" s="206"/>
      <c r="M737" s="159">
        <f t="shared" si="178"/>
        <v>100</v>
      </c>
      <c r="N737" s="159"/>
      <c r="O737" s="159"/>
      <c r="P737" s="159"/>
      <c r="Q737" s="159"/>
      <c r="R737" s="159"/>
      <c r="S737" s="149" t="s">
        <v>6812</v>
      </c>
      <c r="T737" s="149" t="s">
        <v>6813</v>
      </c>
      <c r="U737" s="202" t="s">
        <v>4356</v>
      </c>
      <c r="V737" s="204">
        <v>3</v>
      </c>
      <c r="W737" s="203" t="s">
        <v>253</v>
      </c>
      <c r="X737" s="204" t="s">
        <v>213</v>
      </c>
      <c r="Y737" s="206">
        <v>36000</v>
      </c>
      <c r="Z737" s="207">
        <v>3000</v>
      </c>
      <c r="AA737" s="207">
        <f t="shared" si="179"/>
        <v>90000000</v>
      </c>
      <c r="AB737" s="157">
        <v>3000</v>
      </c>
      <c r="AC737" s="158">
        <f t="shared" si="177"/>
        <v>2900</v>
      </c>
      <c r="AD737" s="159">
        <f t="shared" si="180"/>
        <v>3000000</v>
      </c>
      <c r="AE737" s="160"/>
      <c r="AF737" s="160">
        <f t="shared" si="181"/>
        <v>0</v>
      </c>
      <c r="AG737" s="165"/>
      <c r="AH737" s="161">
        <f t="shared" si="182"/>
        <v>0</v>
      </c>
      <c r="AI737" s="162"/>
      <c r="AJ737" s="162">
        <f t="shared" si="183"/>
        <v>0</v>
      </c>
      <c r="AK737" s="164"/>
      <c r="AL737" s="164">
        <f t="shared" si="184"/>
        <v>0</v>
      </c>
      <c r="AM737" s="165"/>
      <c r="AN737" s="165">
        <f t="shared" si="185"/>
        <v>0</v>
      </c>
      <c r="AO737" s="166">
        <v>0</v>
      </c>
      <c r="AP737" s="166">
        <f t="shared" si="186"/>
        <v>0</v>
      </c>
      <c r="AQ737" s="162"/>
      <c r="AR737" s="162">
        <f t="shared" si="187"/>
        <v>0</v>
      </c>
      <c r="AS737" s="173">
        <v>100</v>
      </c>
      <c r="AT737" s="167">
        <f t="shared" si="188"/>
        <v>3000000</v>
      </c>
      <c r="AU737" s="163"/>
      <c r="AV737" s="163">
        <f t="shared" si="189"/>
        <v>0</v>
      </c>
      <c r="AW737" s="168"/>
      <c r="AX737" s="168">
        <f t="shared" si="190"/>
        <v>0</v>
      </c>
      <c r="AY737" s="170"/>
      <c r="AZ737" s="170">
        <f t="shared" si="191"/>
        <v>0</v>
      </c>
      <c r="BA737" s="166"/>
      <c r="BB737" s="166">
        <f t="shared" si="192"/>
        <v>0</v>
      </c>
    </row>
    <row r="738" spans="1:54" s="131" customFormat="1" ht="31.5">
      <c r="A738" s="172" t="s">
        <v>8176</v>
      </c>
      <c r="B738" s="203" t="s">
        <v>868</v>
      </c>
      <c r="C738" s="203"/>
      <c r="D738" s="203"/>
      <c r="E738" s="203" t="s">
        <v>1338</v>
      </c>
      <c r="F738" s="205" t="s">
        <v>8177</v>
      </c>
      <c r="G738" s="205" t="s">
        <v>7001</v>
      </c>
      <c r="H738" s="204" t="s">
        <v>869</v>
      </c>
      <c r="I738" s="204" t="s">
        <v>11</v>
      </c>
      <c r="J738" s="205" t="s">
        <v>6767</v>
      </c>
      <c r="K738" s="206">
        <v>242</v>
      </c>
      <c r="L738" s="206"/>
      <c r="M738" s="159">
        <f t="shared" si="178"/>
        <v>0</v>
      </c>
      <c r="N738" s="159"/>
      <c r="O738" s="159"/>
      <c r="P738" s="159"/>
      <c r="Q738" s="159"/>
      <c r="R738" s="159"/>
      <c r="S738" s="150" t="s">
        <v>360</v>
      </c>
      <c r="T738" s="150" t="s">
        <v>358</v>
      </c>
      <c r="U738" s="202" t="s">
        <v>4013</v>
      </c>
      <c r="V738" s="204">
        <v>3</v>
      </c>
      <c r="W738" s="203" t="s">
        <v>5104</v>
      </c>
      <c r="X738" s="204" t="s">
        <v>213</v>
      </c>
      <c r="Y738" s="206">
        <v>650</v>
      </c>
      <c r="Z738" s="207">
        <v>80000</v>
      </c>
      <c r="AA738" s="207">
        <f t="shared" si="179"/>
        <v>19360000</v>
      </c>
      <c r="AB738" s="157">
        <v>80000</v>
      </c>
      <c r="AC738" s="158">
        <f t="shared" si="177"/>
        <v>80000</v>
      </c>
      <c r="AD738" s="159">
        <f t="shared" si="180"/>
        <v>0</v>
      </c>
      <c r="AE738" s="160"/>
      <c r="AF738" s="160">
        <f t="shared" si="181"/>
        <v>0</v>
      </c>
      <c r="AG738" s="161"/>
      <c r="AH738" s="161">
        <f t="shared" si="182"/>
        <v>0</v>
      </c>
      <c r="AI738" s="162"/>
      <c r="AJ738" s="162">
        <f t="shared" si="183"/>
        <v>0</v>
      </c>
      <c r="AK738" s="164"/>
      <c r="AL738" s="164">
        <f t="shared" si="184"/>
        <v>0</v>
      </c>
      <c r="AM738" s="165"/>
      <c r="AN738" s="165">
        <f t="shared" si="185"/>
        <v>0</v>
      </c>
      <c r="AO738" s="166">
        <v>0</v>
      </c>
      <c r="AP738" s="166">
        <f t="shared" si="186"/>
        <v>0</v>
      </c>
      <c r="AQ738" s="162"/>
      <c r="AR738" s="162">
        <f t="shared" si="187"/>
        <v>0</v>
      </c>
      <c r="AS738" s="167"/>
      <c r="AT738" s="167">
        <f t="shared" si="188"/>
        <v>0</v>
      </c>
      <c r="AU738" s="163"/>
      <c r="AV738" s="163">
        <f t="shared" si="189"/>
        <v>0</v>
      </c>
      <c r="AW738" s="168"/>
      <c r="AX738" s="168">
        <f t="shared" si="190"/>
        <v>0</v>
      </c>
      <c r="AY738" s="170"/>
      <c r="AZ738" s="170">
        <f t="shared" si="191"/>
        <v>0</v>
      </c>
      <c r="BA738" s="166"/>
      <c r="BB738" s="166">
        <f t="shared" si="192"/>
        <v>0</v>
      </c>
    </row>
    <row r="739" spans="1:54" s="131" customFormat="1" ht="31.5">
      <c r="A739" s="148" t="s">
        <v>8178</v>
      </c>
      <c r="B739" s="203" t="s">
        <v>868</v>
      </c>
      <c r="C739" s="203"/>
      <c r="D739" s="203"/>
      <c r="E739" s="203" t="s">
        <v>1339</v>
      </c>
      <c r="F739" s="205" t="s">
        <v>1341</v>
      </c>
      <c r="G739" s="205" t="s">
        <v>7001</v>
      </c>
      <c r="H739" s="204" t="s">
        <v>1340</v>
      </c>
      <c r="I739" s="204" t="s">
        <v>11</v>
      </c>
      <c r="J739" s="205" t="s">
        <v>6767</v>
      </c>
      <c r="K739" s="206">
        <v>492</v>
      </c>
      <c r="L739" s="206"/>
      <c r="M739" s="159">
        <f t="shared" si="178"/>
        <v>0</v>
      </c>
      <c r="N739" s="159"/>
      <c r="O739" s="159"/>
      <c r="P739" s="159"/>
      <c r="Q739" s="159"/>
      <c r="R739" s="159"/>
      <c r="S739" s="150" t="s">
        <v>360</v>
      </c>
      <c r="T739" s="150" t="s">
        <v>358</v>
      </c>
      <c r="U739" s="202" t="s">
        <v>8179</v>
      </c>
      <c r="V739" s="204">
        <v>3</v>
      </c>
      <c r="W739" s="203" t="s">
        <v>5104</v>
      </c>
      <c r="X739" s="204" t="s">
        <v>213</v>
      </c>
      <c r="Y739" s="206">
        <v>1200</v>
      </c>
      <c r="Z739" s="207">
        <v>50000</v>
      </c>
      <c r="AA739" s="207">
        <f t="shared" si="179"/>
        <v>24600000</v>
      </c>
      <c r="AB739" s="157">
        <v>50000</v>
      </c>
      <c r="AC739" s="158">
        <f t="shared" si="177"/>
        <v>50000</v>
      </c>
      <c r="AD739" s="159">
        <f t="shared" si="180"/>
        <v>0</v>
      </c>
      <c r="AE739" s="160"/>
      <c r="AF739" s="160">
        <f t="shared" si="181"/>
        <v>0</v>
      </c>
      <c r="AG739" s="161"/>
      <c r="AH739" s="161">
        <f t="shared" si="182"/>
        <v>0</v>
      </c>
      <c r="AI739" s="162"/>
      <c r="AJ739" s="162">
        <f t="shared" si="183"/>
        <v>0</v>
      </c>
      <c r="AK739" s="164"/>
      <c r="AL739" s="164">
        <f t="shared" si="184"/>
        <v>0</v>
      </c>
      <c r="AM739" s="165"/>
      <c r="AN739" s="165">
        <f t="shared" si="185"/>
        <v>0</v>
      </c>
      <c r="AO739" s="166">
        <v>0</v>
      </c>
      <c r="AP739" s="166">
        <f t="shared" si="186"/>
        <v>0</v>
      </c>
      <c r="AQ739" s="162"/>
      <c r="AR739" s="162">
        <f t="shared" si="187"/>
        <v>0</v>
      </c>
      <c r="AS739" s="167"/>
      <c r="AT739" s="167">
        <f t="shared" si="188"/>
        <v>0</v>
      </c>
      <c r="AU739" s="163"/>
      <c r="AV739" s="163">
        <f t="shared" si="189"/>
        <v>0</v>
      </c>
      <c r="AW739" s="168"/>
      <c r="AX739" s="168">
        <f t="shared" si="190"/>
        <v>0</v>
      </c>
      <c r="AY739" s="170"/>
      <c r="AZ739" s="170">
        <f t="shared" si="191"/>
        <v>0</v>
      </c>
      <c r="BA739" s="166"/>
      <c r="BB739" s="166">
        <f t="shared" si="192"/>
        <v>0</v>
      </c>
    </row>
    <row r="740" spans="1:54" s="131" customFormat="1" ht="31.5">
      <c r="A740" s="148" t="s">
        <v>8180</v>
      </c>
      <c r="B740" s="203" t="s">
        <v>868</v>
      </c>
      <c r="C740" s="203"/>
      <c r="D740" s="203"/>
      <c r="E740" s="203" t="s">
        <v>1342</v>
      </c>
      <c r="F740" s="205" t="s">
        <v>8182</v>
      </c>
      <c r="G740" s="205" t="s">
        <v>7001</v>
      </c>
      <c r="H740" s="204" t="s">
        <v>1343</v>
      </c>
      <c r="I740" s="204" t="s">
        <v>11</v>
      </c>
      <c r="J740" s="205" t="s">
        <v>6767</v>
      </c>
      <c r="K740" s="206">
        <v>688</v>
      </c>
      <c r="L740" s="206"/>
      <c r="M740" s="159">
        <f t="shared" si="178"/>
        <v>0</v>
      </c>
      <c r="N740" s="159"/>
      <c r="O740" s="159"/>
      <c r="P740" s="159"/>
      <c r="Q740" s="159"/>
      <c r="R740" s="159"/>
      <c r="S740" s="150" t="s">
        <v>360</v>
      </c>
      <c r="T740" s="150" t="s">
        <v>358</v>
      </c>
      <c r="U740" s="202" t="s">
        <v>8181</v>
      </c>
      <c r="V740" s="204">
        <v>3</v>
      </c>
      <c r="W740" s="203" t="s">
        <v>5104</v>
      </c>
      <c r="X740" s="204" t="s">
        <v>213</v>
      </c>
      <c r="Y740" s="206">
        <v>3500</v>
      </c>
      <c r="Z740" s="207">
        <v>40000</v>
      </c>
      <c r="AA740" s="207">
        <f t="shared" si="179"/>
        <v>27520000</v>
      </c>
      <c r="AB740" s="157">
        <v>40000</v>
      </c>
      <c r="AC740" s="158">
        <f t="shared" si="177"/>
        <v>40000</v>
      </c>
      <c r="AD740" s="159">
        <f t="shared" si="180"/>
        <v>0</v>
      </c>
      <c r="AE740" s="160"/>
      <c r="AF740" s="160">
        <f t="shared" si="181"/>
        <v>0</v>
      </c>
      <c r="AG740" s="161"/>
      <c r="AH740" s="161">
        <f t="shared" si="182"/>
        <v>0</v>
      </c>
      <c r="AI740" s="162"/>
      <c r="AJ740" s="162">
        <f t="shared" si="183"/>
        <v>0</v>
      </c>
      <c r="AK740" s="164"/>
      <c r="AL740" s="164">
        <f t="shared" si="184"/>
        <v>0</v>
      </c>
      <c r="AM740" s="165"/>
      <c r="AN740" s="165">
        <f t="shared" si="185"/>
        <v>0</v>
      </c>
      <c r="AO740" s="166">
        <v>0</v>
      </c>
      <c r="AP740" s="166">
        <f t="shared" si="186"/>
        <v>0</v>
      </c>
      <c r="AQ740" s="162"/>
      <c r="AR740" s="162">
        <f t="shared" si="187"/>
        <v>0</v>
      </c>
      <c r="AS740" s="167"/>
      <c r="AT740" s="167">
        <f t="shared" si="188"/>
        <v>0</v>
      </c>
      <c r="AU740" s="163"/>
      <c r="AV740" s="163">
        <f t="shared" si="189"/>
        <v>0</v>
      </c>
      <c r="AW740" s="168"/>
      <c r="AX740" s="168">
        <f t="shared" si="190"/>
        <v>0</v>
      </c>
      <c r="AY740" s="170"/>
      <c r="AZ740" s="170">
        <f t="shared" si="191"/>
        <v>0</v>
      </c>
      <c r="BA740" s="166"/>
      <c r="BB740" s="166">
        <f t="shared" si="192"/>
        <v>0</v>
      </c>
    </row>
    <row r="741" spans="1:54" s="239" customFormat="1">
      <c r="A741" s="172" t="s">
        <v>8183</v>
      </c>
      <c r="B741" s="203" t="s">
        <v>747</v>
      </c>
      <c r="C741" s="203"/>
      <c r="D741" s="203"/>
      <c r="E741" s="203" t="s">
        <v>1068</v>
      </c>
      <c r="F741" s="205" t="s">
        <v>3221</v>
      </c>
      <c r="G741" s="205" t="s">
        <v>1449</v>
      </c>
      <c r="H741" s="204" t="s">
        <v>4193</v>
      </c>
      <c r="I741" s="204" t="s">
        <v>658</v>
      </c>
      <c r="J741" s="205" t="s">
        <v>8184</v>
      </c>
      <c r="K741" s="206">
        <v>1320</v>
      </c>
      <c r="L741" s="206"/>
      <c r="M741" s="159">
        <f t="shared" si="178"/>
        <v>940</v>
      </c>
      <c r="N741" s="159"/>
      <c r="O741" s="159"/>
      <c r="P741" s="159"/>
      <c r="Q741" s="159"/>
      <c r="R741" s="159"/>
      <c r="S741" s="149" t="s">
        <v>7241</v>
      </c>
      <c r="T741" s="149" t="s">
        <v>7242</v>
      </c>
      <c r="U741" s="202" t="s">
        <v>3989</v>
      </c>
      <c r="V741" s="204">
        <v>3</v>
      </c>
      <c r="W741" s="203" t="s">
        <v>253</v>
      </c>
      <c r="X741" s="204" t="s">
        <v>213</v>
      </c>
      <c r="Y741" s="206">
        <v>2500</v>
      </c>
      <c r="Z741" s="207">
        <v>5000</v>
      </c>
      <c r="AA741" s="207">
        <f t="shared" si="179"/>
        <v>6600000</v>
      </c>
      <c r="AB741" s="157">
        <v>5000</v>
      </c>
      <c r="AC741" s="158">
        <f t="shared" si="177"/>
        <v>4060</v>
      </c>
      <c r="AD741" s="159">
        <f t="shared" si="180"/>
        <v>1240800</v>
      </c>
      <c r="AE741" s="160"/>
      <c r="AF741" s="160">
        <f t="shared" si="181"/>
        <v>0</v>
      </c>
      <c r="AG741" s="165"/>
      <c r="AH741" s="161">
        <f t="shared" si="182"/>
        <v>0</v>
      </c>
      <c r="AI741" s="162"/>
      <c r="AJ741" s="162">
        <f t="shared" si="183"/>
        <v>0</v>
      </c>
      <c r="AK741" s="164"/>
      <c r="AL741" s="164">
        <f t="shared" si="184"/>
        <v>0</v>
      </c>
      <c r="AM741" s="165"/>
      <c r="AN741" s="165">
        <f t="shared" si="185"/>
        <v>0</v>
      </c>
      <c r="AO741" s="166">
        <v>740</v>
      </c>
      <c r="AP741" s="166">
        <f t="shared" si="186"/>
        <v>976800</v>
      </c>
      <c r="AQ741" s="162"/>
      <c r="AR741" s="162">
        <f t="shared" si="187"/>
        <v>0</v>
      </c>
      <c r="AS741" s="173">
        <v>200</v>
      </c>
      <c r="AT741" s="167">
        <f t="shared" si="188"/>
        <v>264000</v>
      </c>
      <c r="AU741" s="163"/>
      <c r="AV741" s="163">
        <f t="shared" si="189"/>
        <v>0</v>
      </c>
      <c r="AW741" s="168"/>
      <c r="AX741" s="168">
        <f t="shared" si="190"/>
        <v>0</v>
      </c>
      <c r="AY741" s="170"/>
      <c r="AZ741" s="170">
        <f t="shared" si="191"/>
        <v>0</v>
      </c>
      <c r="BA741" s="166"/>
      <c r="BB741" s="166">
        <f t="shared" si="192"/>
        <v>0</v>
      </c>
    </row>
    <row r="742" spans="1:54" s="239" customFormat="1" ht="31.5">
      <c r="A742" s="148" t="s">
        <v>8185</v>
      </c>
      <c r="B742" s="203" t="s">
        <v>747</v>
      </c>
      <c r="C742" s="203"/>
      <c r="D742" s="203"/>
      <c r="E742" s="203" t="s">
        <v>4190</v>
      </c>
      <c r="F742" s="205" t="s">
        <v>8187</v>
      </c>
      <c r="G742" s="205" t="s">
        <v>8188</v>
      </c>
      <c r="H742" s="204" t="s">
        <v>4191</v>
      </c>
      <c r="I742" s="204" t="s">
        <v>15</v>
      </c>
      <c r="J742" s="205" t="s">
        <v>8186</v>
      </c>
      <c r="K742" s="206">
        <v>23400</v>
      </c>
      <c r="L742" s="206"/>
      <c r="M742" s="159">
        <f t="shared" si="178"/>
        <v>500</v>
      </c>
      <c r="N742" s="159"/>
      <c r="O742" s="159"/>
      <c r="P742" s="159"/>
      <c r="Q742" s="159"/>
      <c r="R742" s="159"/>
      <c r="S742" s="149" t="s">
        <v>6787</v>
      </c>
      <c r="T742" s="149" t="s">
        <v>6788</v>
      </c>
      <c r="U742" s="202" t="s">
        <v>4189</v>
      </c>
      <c r="V742" s="204">
        <v>3</v>
      </c>
      <c r="W742" s="203" t="s">
        <v>5104</v>
      </c>
      <c r="X742" s="204" t="s">
        <v>213</v>
      </c>
      <c r="Y742" s="206">
        <v>52000</v>
      </c>
      <c r="Z742" s="207">
        <v>5000</v>
      </c>
      <c r="AA742" s="207">
        <f t="shared" si="179"/>
        <v>117000000</v>
      </c>
      <c r="AB742" s="157">
        <v>5000</v>
      </c>
      <c r="AC742" s="158">
        <f t="shared" si="177"/>
        <v>4500</v>
      </c>
      <c r="AD742" s="159">
        <f t="shared" si="180"/>
        <v>11700000</v>
      </c>
      <c r="AE742" s="160"/>
      <c r="AF742" s="160">
        <f t="shared" si="181"/>
        <v>0</v>
      </c>
      <c r="AG742" s="165"/>
      <c r="AH742" s="161">
        <f t="shared" si="182"/>
        <v>0</v>
      </c>
      <c r="AI742" s="162"/>
      <c r="AJ742" s="162">
        <f t="shared" si="183"/>
        <v>0</v>
      </c>
      <c r="AK742" s="164"/>
      <c r="AL742" s="164">
        <f t="shared" si="184"/>
        <v>0</v>
      </c>
      <c r="AM742" s="165"/>
      <c r="AN742" s="165">
        <f t="shared" si="185"/>
        <v>0</v>
      </c>
      <c r="AO742" s="166">
        <v>0</v>
      </c>
      <c r="AP742" s="166">
        <f t="shared" si="186"/>
        <v>0</v>
      </c>
      <c r="AQ742" s="162"/>
      <c r="AR742" s="162">
        <f t="shared" si="187"/>
        <v>0</v>
      </c>
      <c r="AS742" s="173">
        <v>500</v>
      </c>
      <c r="AT742" s="167">
        <f t="shared" si="188"/>
        <v>11700000</v>
      </c>
      <c r="AU742" s="163"/>
      <c r="AV742" s="163">
        <f t="shared" si="189"/>
        <v>0</v>
      </c>
      <c r="AW742" s="168"/>
      <c r="AX742" s="168">
        <f t="shared" si="190"/>
        <v>0</v>
      </c>
      <c r="AY742" s="170"/>
      <c r="AZ742" s="170">
        <f t="shared" si="191"/>
        <v>0</v>
      </c>
      <c r="BA742" s="166"/>
      <c r="BB742" s="166">
        <f t="shared" si="192"/>
        <v>0</v>
      </c>
    </row>
    <row r="743" spans="1:54" s="239" customFormat="1">
      <c r="A743" s="148" t="s">
        <v>8189</v>
      </c>
      <c r="B743" s="203" t="s">
        <v>8191</v>
      </c>
      <c r="C743" s="203"/>
      <c r="D743" s="203"/>
      <c r="E743" s="203" t="s">
        <v>8192</v>
      </c>
      <c r="F743" s="205" t="s">
        <v>8194</v>
      </c>
      <c r="G743" s="205" t="s">
        <v>1449</v>
      </c>
      <c r="H743" s="240" t="s">
        <v>2588</v>
      </c>
      <c r="I743" s="204" t="s">
        <v>658</v>
      </c>
      <c r="J743" s="205" t="s">
        <v>8193</v>
      </c>
      <c r="K743" s="206">
        <v>14540</v>
      </c>
      <c r="L743" s="206"/>
      <c r="M743" s="159">
        <f t="shared" si="178"/>
        <v>0</v>
      </c>
      <c r="N743" s="159"/>
      <c r="O743" s="159"/>
      <c r="P743" s="159"/>
      <c r="Q743" s="159"/>
      <c r="R743" s="159"/>
      <c r="S743" s="149" t="s">
        <v>7241</v>
      </c>
      <c r="T743" s="149" t="s">
        <v>7242</v>
      </c>
      <c r="U743" s="202" t="s">
        <v>8190</v>
      </c>
      <c r="V743" s="204">
        <v>3</v>
      </c>
      <c r="W743" s="203" t="s">
        <v>5104</v>
      </c>
      <c r="X743" s="204" t="s">
        <v>213</v>
      </c>
      <c r="Y743" s="206">
        <v>27000</v>
      </c>
      <c r="Z743" s="207">
        <v>1500</v>
      </c>
      <c r="AA743" s="207">
        <f t="shared" si="179"/>
        <v>21810000</v>
      </c>
      <c r="AB743" s="157">
        <v>1500</v>
      </c>
      <c r="AC743" s="158">
        <f t="shared" si="177"/>
        <v>1500</v>
      </c>
      <c r="AD743" s="159">
        <f t="shared" si="180"/>
        <v>0</v>
      </c>
      <c r="AE743" s="160"/>
      <c r="AF743" s="160">
        <f t="shared" si="181"/>
        <v>0</v>
      </c>
      <c r="AG743" s="165"/>
      <c r="AH743" s="161">
        <f t="shared" si="182"/>
        <v>0</v>
      </c>
      <c r="AI743" s="162"/>
      <c r="AJ743" s="162">
        <f t="shared" si="183"/>
        <v>0</v>
      </c>
      <c r="AK743" s="164"/>
      <c r="AL743" s="164">
        <f t="shared" si="184"/>
        <v>0</v>
      </c>
      <c r="AM743" s="165"/>
      <c r="AN743" s="165">
        <f t="shared" si="185"/>
        <v>0</v>
      </c>
      <c r="AO743" s="166">
        <v>0</v>
      </c>
      <c r="AP743" s="166">
        <f t="shared" si="186"/>
        <v>0</v>
      </c>
      <c r="AQ743" s="162"/>
      <c r="AR743" s="162">
        <f t="shared" si="187"/>
        <v>0</v>
      </c>
      <c r="AS743" s="173"/>
      <c r="AT743" s="167">
        <f t="shared" si="188"/>
        <v>0</v>
      </c>
      <c r="AU743" s="163"/>
      <c r="AV743" s="163">
        <f t="shared" si="189"/>
        <v>0</v>
      </c>
      <c r="AW743" s="168"/>
      <c r="AX743" s="168">
        <f t="shared" si="190"/>
        <v>0</v>
      </c>
      <c r="AY743" s="170"/>
      <c r="AZ743" s="170">
        <f t="shared" si="191"/>
        <v>0</v>
      </c>
      <c r="BA743" s="166"/>
      <c r="BB743" s="166">
        <f t="shared" si="192"/>
        <v>0</v>
      </c>
    </row>
    <row r="744" spans="1:54" s="239" customFormat="1" ht="31.5">
      <c r="A744" s="172" t="s">
        <v>8195</v>
      </c>
      <c r="B744" s="203" t="s">
        <v>1352</v>
      </c>
      <c r="C744" s="203"/>
      <c r="D744" s="203"/>
      <c r="E744" s="203" t="s">
        <v>8197</v>
      </c>
      <c r="F744" s="205" t="s">
        <v>8198</v>
      </c>
      <c r="G744" s="205" t="s">
        <v>7674</v>
      </c>
      <c r="H744" s="204" t="s">
        <v>238</v>
      </c>
      <c r="I744" s="204" t="s">
        <v>11</v>
      </c>
      <c r="J744" s="205" t="s">
        <v>7871</v>
      </c>
      <c r="K744" s="206">
        <v>3100</v>
      </c>
      <c r="L744" s="206"/>
      <c r="M744" s="159">
        <f t="shared" si="178"/>
        <v>0</v>
      </c>
      <c r="N744" s="159"/>
      <c r="O744" s="159"/>
      <c r="P744" s="159"/>
      <c r="Q744" s="159"/>
      <c r="R744" s="159"/>
      <c r="S744" s="149" t="s">
        <v>7100</v>
      </c>
      <c r="T744" s="149" t="s">
        <v>7101</v>
      </c>
      <c r="U744" s="202" t="s">
        <v>8196</v>
      </c>
      <c r="V744" s="204">
        <v>3</v>
      </c>
      <c r="W744" s="203" t="s">
        <v>5104</v>
      </c>
      <c r="X744" s="204" t="s">
        <v>213</v>
      </c>
      <c r="Y744" s="206">
        <v>4950</v>
      </c>
      <c r="Z744" s="207">
        <v>50000</v>
      </c>
      <c r="AA744" s="207">
        <f t="shared" si="179"/>
        <v>155000000</v>
      </c>
      <c r="AB744" s="157">
        <v>50000</v>
      </c>
      <c r="AC744" s="158">
        <f t="shared" si="177"/>
        <v>50000</v>
      </c>
      <c r="AD744" s="159">
        <f t="shared" si="180"/>
        <v>0</v>
      </c>
      <c r="AE744" s="160"/>
      <c r="AF744" s="160">
        <f t="shared" si="181"/>
        <v>0</v>
      </c>
      <c r="AG744" s="165"/>
      <c r="AH744" s="161">
        <f t="shared" si="182"/>
        <v>0</v>
      </c>
      <c r="AI744" s="162"/>
      <c r="AJ744" s="162">
        <f t="shared" si="183"/>
        <v>0</v>
      </c>
      <c r="AK744" s="164"/>
      <c r="AL744" s="164">
        <f t="shared" si="184"/>
        <v>0</v>
      </c>
      <c r="AM744" s="165"/>
      <c r="AN744" s="165">
        <f t="shared" si="185"/>
        <v>0</v>
      </c>
      <c r="AO744" s="166">
        <v>0</v>
      </c>
      <c r="AP744" s="166">
        <f t="shared" si="186"/>
        <v>0</v>
      </c>
      <c r="AQ744" s="162"/>
      <c r="AR744" s="162">
        <f t="shared" si="187"/>
        <v>0</v>
      </c>
      <c r="AS744" s="173"/>
      <c r="AT744" s="167">
        <f t="shared" si="188"/>
        <v>0</v>
      </c>
      <c r="AU744" s="163"/>
      <c r="AV744" s="163">
        <f t="shared" si="189"/>
        <v>0</v>
      </c>
      <c r="AW744" s="168"/>
      <c r="AX744" s="168">
        <f t="shared" si="190"/>
        <v>0</v>
      </c>
      <c r="AY744" s="170"/>
      <c r="AZ744" s="170">
        <f t="shared" si="191"/>
        <v>0</v>
      </c>
      <c r="BA744" s="166"/>
      <c r="BB744" s="166">
        <f t="shared" si="192"/>
        <v>0</v>
      </c>
    </row>
    <row r="745" spans="1:54" s="239" customFormat="1" ht="31.5">
      <c r="A745" s="148" t="s">
        <v>8199</v>
      </c>
      <c r="B745" s="203" t="s">
        <v>6873</v>
      </c>
      <c r="C745" s="203"/>
      <c r="D745" s="203"/>
      <c r="E745" s="203" t="s">
        <v>8202</v>
      </c>
      <c r="F745" s="205" t="s">
        <v>8204</v>
      </c>
      <c r="G745" s="205" t="s">
        <v>7335</v>
      </c>
      <c r="H745" s="204" t="s">
        <v>8201</v>
      </c>
      <c r="I745" s="204" t="s">
        <v>658</v>
      </c>
      <c r="J745" s="205" t="s">
        <v>8203</v>
      </c>
      <c r="K745" s="206">
        <v>96000</v>
      </c>
      <c r="L745" s="206"/>
      <c r="M745" s="159">
        <f t="shared" si="178"/>
        <v>0</v>
      </c>
      <c r="N745" s="159"/>
      <c r="O745" s="159"/>
      <c r="P745" s="159"/>
      <c r="Q745" s="159"/>
      <c r="R745" s="159"/>
      <c r="S745" s="149" t="s">
        <v>6812</v>
      </c>
      <c r="T745" s="149" t="s">
        <v>6813</v>
      </c>
      <c r="U745" s="202" t="s">
        <v>8200</v>
      </c>
      <c r="V745" s="204">
        <v>3</v>
      </c>
      <c r="W745" s="203" t="s">
        <v>5104</v>
      </c>
      <c r="X745" s="204" t="s">
        <v>213</v>
      </c>
      <c r="Y745" s="206">
        <v>98000</v>
      </c>
      <c r="Z745" s="207">
        <v>1000</v>
      </c>
      <c r="AA745" s="207">
        <f t="shared" si="179"/>
        <v>96000000</v>
      </c>
      <c r="AB745" s="157">
        <v>1000</v>
      </c>
      <c r="AC745" s="158">
        <f t="shared" si="177"/>
        <v>1000</v>
      </c>
      <c r="AD745" s="159">
        <f t="shared" si="180"/>
        <v>0</v>
      </c>
      <c r="AE745" s="160"/>
      <c r="AF745" s="160">
        <f t="shared" si="181"/>
        <v>0</v>
      </c>
      <c r="AG745" s="165"/>
      <c r="AH745" s="161">
        <f t="shared" si="182"/>
        <v>0</v>
      </c>
      <c r="AI745" s="162"/>
      <c r="AJ745" s="162">
        <f t="shared" si="183"/>
        <v>0</v>
      </c>
      <c r="AK745" s="164"/>
      <c r="AL745" s="164">
        <f t="shared" si="184"/>
        <v>0</v>
      </c>
      <c r="AM745" s="165"/>
      <c r="AN745" s="165">
        <f t="shared" si="185"/>
        <v>0</v>
      </c>
      <c r="AO745" s="166">
        <v>0</v>
      </c>
      <c r="AP745" s="166">
        <f t="shared" si="186"/>
        <v>0</v>
      </c>
      <c r="AQ745" s="162"/>
      <c r="AR745" s="162">
        <f t="shared" si="187"/>
        <v>0</v>
      </c>
      <c r="AS745" s="173"/>
      <c r="AT745" s="167">
        <f t="shared" si="188"/>
        <v>0</v>
      </c>
      <c r="AU745" s="163"/>
      <c r="AV745" s="163">
        <f t="shared" si="189"/>
        <v>0</v>
      </c>
      <c r="AW745" s="168"/>
      <c r="AX745" s="168">
        <f t="shared" si="190"/>
        <v>0</v>
      </c>
      <c r="AY745" s="170"/>
      <c r="AZ745" s="170">
        <f t="shared" si="191"/>
        <v>0</v>
      </c>
      <c r="BA745" s="166"/>
      <c r="BB745" s="166">
        <f t="shared" si="192"/>
        <v>0</v>
      </c>
    </row>
    <row r="746" spans="1:54" s="239" customFormat="1">
      <c r="A746" s="148" t="s">
        <v>8205</v>
      </c>
      <c r="B746" s="203" t="s">
        <v>8207</v>
      </c>
      <c r="C746" s="203"/>
      <c r="D746" s="203"/>
      <c r="E746" s="203" t="s">
        <v>8209</v>
      </c>
      <c r="F746" s="205" t="s">
        <v>8211</v>
      </c>
      <c r="G746" s="205" t="s">
        <v>1449</v>
      </c>
      <c r="H746" s="204" t="s">
        <v>8208</v>
      </c>
      <c r="I746" s="204" t="s">
        <v>658</v>
      </c>
      <c r="J746" s="205" t="s">
        <v>8210</v>
      </c>
      <c r="K746" s="206">
        <v>2030</v>
      </c>
      <c r="L746" s="206"/>
      <c r="M746" s="159">
        <f t="shared" si="178"/>
        <v>0</v>
      </c>
      <c r="N746" s="159"/>
      <c r="O746" s="159"/>
      <c r="P746" s="159"/>
      <c r="Q746" s="159"/>
      <c r="R746" s="159"/>
      <c r="S746" s="149" t="s">
        <v>7241</v>
      </c>
      <c r="T746" s="149" t="s">
        <v>7242</v>
      </c>
      <c r="U746" s="202" t="s">
        <v>8206</v>
      </c>
      <c r="V746" s="204">
        <v>3</v>
      </c>
      <c r="W746" s="203" t="s">
        <v>5104</v>
      </c>
      <c r="X746" s="204" t="s">
        <v>213</v>
      </c>
      <c r="Y746" s="206">
        <v>2300</v>
      </c>
      <c r="Z746" s="207">
        <v>3000</v>
      </c>
      <c r="AA746" s="207">
        <f t="shared" si="179"/>
        <v>6090000</v>
      </c>
      <c r="AB746" s="157">
        <v>3000</v>
      </c>
      <c r="AC746" s="158">
        <f t="shared" si="177"/>
        <v>3000</v>
      </c>
      <c r="AD746" s="159">
        <f t="shared" si="180"/>
        <v>0</v>
      </c>
      <c r="AE746" s="160"/>
      <c r="AF746" s="160">
        <f t="shared" si="181"/>
        <v>0</v>
      </c>
      <c r="AG746" s="165"/>
      <c r="AH746" s="161">
        <f t="shared" si="182"/>
        <v>0</v>
      </c>
      <c r="AI746" s="162"/>
      <c r="AJ746" s="162">
        <f t="shared" si="183"/>
        <v>0</v>
      </c>
      <c r="AK746" s="164"/>
      <c r="AL746" s="164">
        <f t="shared" si="184"/>
        <v>0</v>
      </c>
      <c r="AM746" s="165"/>
      <c r="AN746" s="165">
        <f t="shared" si="185"/>
        <v>0</v>
      </c>
      <c r="AO746" s="166">
        <v>0</v>
      </c>
      <c r="AP746" s="166">
        <f t="shared" si="186"/>
        <v>0</v>
      </c>
      <c r="AQ746" s="162"/>
      <c r="AR746" s="162">
        <f t="shared" si="187"/>
        <v>0</v>
      </c>
      <c r="AS746" s="173"/>
      <c r="AT746" s="167">
        <f t="shared" si="188"/>
        <v>0</v>
      </c>
      <c r="AU746" s="163"/>
      <c r="AV746" s="163">
        <f t="shared" si="189"/>
        <v>0</v>
      </c>
      <c r="AW746" s="168"/>
      <c r="AX746" s="168">
        <f t="shared" si="190"/>
        <v>0</v>
      </c>
      <c r="AY746" s="170"/>
      <c r="AZ746" s="170">
        <f t="shared" si="191"/>
        <v>0</v>
      </c>
      <c r="BA746" s="166"/>
      <c r="BB746" s="166">
        <f t="shared" si="192"/>
        <v>0</v>
      </c>
    </row>
    <row r="747" spans="1:54" s="239" customFormat="1" ht="31.5">
      <c r="A747" s="172" t="s">
        <v>8212</v>
      </c>
      <c r="B747" s="203" t="s">
        <v>8207</v>
      </c>
      <c r="C747" s="203"/>
      <c r="D747" s="203"/>
      <c r="E747" s="203" t="s">
        <v>8217</v>
      </c>
      <c r="F747" s="205" t="s">
        <v>8219</v>
      </c>
      <c r="G747" s="205" t="s">
        <v>8220</v>
      </c>
      <c r="H747" s="204" t="s">
        <v>8216</v>
      </c>
      <c r="I747" s="204" t="s">
        <v>15</v>
      </c>
      <c r="J747" s="205" t="s">
        <v>8218</v>
      </c>
      <c r="K747" s="206">
        <v>14000</v>
      </c>
      <c r="L747" s="206"/>
      <c r="M747" s="159">
        <f t="shared" si="178"/>
        <v>0</v>
      </c>
      <c r="N747" s="159"/>
      <c r="O747" s="159"/>
      <c r="P747" s="159"/>
      <c r="Q747" s="159"/>
      <c r="R747" s="159"/>
      <c r="S747" s="149" t="s">
        <v>8213</v>
      </c>
      <c r="T747" s="149" t="s">
        <v>8214</v>
      </c>
      <c r="U747" s="202" t="s">
        <v>8215</v>
      </c>
      <c r="V747" s="204">
        <v>3</v>
      </c>
      <c r="W747" s="203" t="s">
        <v>5104</v>
      </c>
      <c r="X747" s="204" t="s">
        <v>8221</v>
      </c>
      <c r="Y747" s="206">
        <v>16000</v>
      </c>
      <c r="Z747" s="207">
        <v>2000</v>
      </c>
      <c r="AA747" s="207">
        <f t="shared" si="179"/>
        <v>28000000</v>
      </c>
      <c r="AB747" s="157">
        <v>2000</v>
      </c>
      <c r="AC747" s="158">
        <f t="shared" si="177"/>
        <v>2000</v>
      </c>
      <c r="AD747" s="159">
        <f t="shared" si="180"/>
        <v>0</v>
      </c>
      <c r="AE747" s="160"/>
      <c r="AF747" s="160">
        <f t="shared" si="181"/>
        <v>0</v>
      </c>
      <c r="AG747" s="165"/>
      <c r="AH747" s="161">
        <f t="shared" si="182"/>
        <v>0</v>
      </c>
      <c r="AI747" s="162"/>
      <c r="AJ747" s="162">
        <f t="shared" si="183"/>
        <v>0</v>
      </c>
      <c r="AK747" s="164"/>
      <c r="AL747" s="164">
        <f t="shared" si="184"/>
        <v>0</v>
      </c>
      <c r="AM747" s="165"/>
      <c r="AN747" s="165">
        <f t="shared" si="185"/>
        <v>0</v>
      </c>
      <c r="AO747" s="166">
        <v>0</v>
      </c>
      <c r="AP747" s="166">
        <f t="shared" si="186"/>
        <v>0</v>
      </c>
      <c r="AQ747" s="162"/>
      <c r="AR747" s="162">
        <f t="shared" si="187"/>
        <v>0</v>
      </c>
      <c r="AS747" s="173"/>
      <c r="AT747" s="167">
        <f t="shared" si="188"/>
        <v>0</v>
      </c>
      <c r="AU747" s="163"/>
      <c r="AV747" s="163">
        <f t="shared" si="189"/>
        <v>0</v>
      </c>
      <c r="AW747" s="168"/>
      <c r="AX747" s="168">
        <f t="shared" si="190"/>
        <v>0</v>
      </c>
      <c r="AY747" s="170"/>
      <c r="AZ747" s="170">
        <f t="shared" si="191"/>
        <v>0</v>
      </c>
      <c r="BA747" s="166"/>
      <c r="BB747" s="166">
        <f t="shared" si="192"/>
        <v>0</v>
      </c>
    </row>
    <row r="748" spans="1:54" s="239" customFormat="1" ht="31.5">
      <c r="A748" s="148" t="s">
        <v>8222</v>
      </c>
      <c r="B748" s="203" t="s">
        <v>8224</v>
      </c>
      <c r="C748" s="203"/>
      <c r="D748" s="203"/>
      <c r="E748" s="203" t="s">
        <v>8224</v>
      </c>
      <c r="F748" s="205" t="s">
        <v>8227</v>
      </c>
      <c r="G748" s="205" t="s">
        <v>8228</v>
      </c>
      <c r="H748" s="204" t="s">
        <v>8225</v>
      </c>
      <c r="I748" s="204" t="s">
        <v>11</v>
      </c>
      <c r="J748" s="205" t="s">
        <v>8226</v>
      </c>
      <c r="K748" s="206">
        <v>3420</v>
      </c>
      <c r="L748" s="206"/>
      <c r="M748" s="159">
        <f t="shared" si="178"/>
        <v>0</v>
      </c>
      <c r="N748" s="159"/>
      <c r="O748" s="159"/>
      <c r="P748" s="159"/>
      <c r="Q748" s="159"/>
      <c r="R748" s="159"/>
      <c r="S748" s="149" t="s">
        <v>6925</v>
      </c>
      <c r="T748" s="149" t="s">
        <v>6926</v>
      </c>
      <c r="U748" s="202" t="s">
        <v>8223</v>
      </c>
      <c r="V748" s="204">
        <v>3</v>
      </c>
      <c r="W748" s="203" t="s">
        <v>5104</v>
      </c>
      <c r="X748" s="204" t="s">
        <v>213</v>
      </c>
      <c r="Y748" s="206">
        <v>4500</v>
      </c>
      <c r="Z748" s="207">
        <v>1000</v>
      </c>
      <c r="AA748" s="207">
        <f t="shared" si="179"/>
        <v>3420000</v>
      </c>
      <c r="AB748" s="157">
        <v>1000</v>
      </c>
      <c r="AC748" s="158">
        <f t="shared" ref="AC748:AC811" si="193">AB748-M748</f>
        <v>1000</v>
      </c>
      <c r="AD748" s="159">
        <f t="shared" si="180"/>
        <v>0</v>
      </c>
      <c r="AE748" s="160"/>
      <c r="AF748" s="160">
        <f t="shared" si="181"/>
        <v>0</v>
      </c>
      <c r="AG748" s="165"/>
      <c r="AH748" s="161">
        <f t="shared" si="182"/>
        <v>0</v>
      </c>
      <c r="AI748" s="162"/>
      <c r="AJ748" s="162">
        <f t="shared" si="183"/>
        <v>0</v>
      </c>
      <c r="AK748" s="164"/>
      <c r="AL748" s="164">
        <f t="shared" si="184"/>
        <v>0</v>
      </c>
      <c r="AM748" s="165"/>
      <c r="AN748" s="165">
        <f t="shared" si="185"/>
        <v>0</v>
      </c>
      <c r="AO748" s="166">
        <v>0</v>
      </c>
      <c r="AP748" s="166">
        <f t="shared" si="186"/>
        <v>0</v>
      </c>
      <c r="AQ748" s="162"/>
      <c r="AR748" s="162">
        <f t="shared" si="187"/>
        <v>0</v>
      </c>
      <c r="AS748" s="173"/>
      <c r="AT748" s="167">
        <f t="shared" si="188"/>
        <v>0</v>
      </c>
      <c r="AU748" s="163"/>
      <c r="AV748" s="163">
        <f t="shared" si="189"/>
        <v>0</v>
      </c>
      <c r="AW748" s="168"/>
      <c r="AX748" s="168">
        <f t="shared" si="190"/>
        <v>0</v>
      </c>
      <c r="AY748" s="170"/>
      <c r="AZ748" s="170">
        <f t="shared" si="191"/>
        <v>0</v>
      </c>
      <c r="BA748" s="166"/>
      <c r="BB748" s="166">
        <f t="shared" si="192"/>
        <v>0</v>
      </c>
    </row>
    <row r="749" spans="1:54" s="239" customFormat="1" ht="47.25">
      <c r="A749" s="148" t="s">
        <v>8229</v>
      </c>
      <c r="B749" s="203" t="s">
        <v>713</v>
      </c>
      <c r="C749" s="203"/>
      <c r="D749" s="203"/>
      <c r="E749" s="203" t="s">
        <v>2616</v>
      </c>
      <c r="F749" s="205" t="s">
        <v>8232</v>
      </c>
      <c r="G749" s="205" t="s">
        <v>8233</v>
      </c>
      <c r="H749" s="204" t="s">
        <v>1767</v>
      </c>
      <c r="I749" s="204" t="s">
        <v>520</v>
      </c>
      <c r="J749" s="205" t="s">
        <v>8231</v>
      </c>
      <c r="K749" s="206">
        <v>4410</v>
      </c>
      <c r="L749" s="206"/>
      <c r="M749" s="159">
        <f t="shared" si="178"/>
        <v>0</v>
      </c>
      <c r="N749" s="159"/>
      <c r="O749" s="159"/>
      <c r="P749" s="159"/>
      <c r="Q749" s="159"/>
      <c r="R749" s="159"/>
      <c r="S749" s="149" t="s">
        <v>5830</v>
      </c>
      <c r="T749" s="149" t="s">
        <v>5831</v>
      </c>
      <c r="U749" s="202" t="s">
        <v>8230</v>
      </c>
      <c r="V749" s="204">
        <v>3</v>
      </c>
      <c r="W749" s="203" t="s">
        <v>5104</v>
      </c>
      <c r="X749" s="204" t="s">
        <v>213</v>
      </c>
      <c r="Y749" s="206">
        <v>4480</v>
      </c>
      <c r="Z749" s="207">
        <v>300</v>
      </c>
      <c r="AA749" s="207">
        <f t="shared" si="179"/>
        <v>1323000</v>
      </c>
      <c r="AB749" s="157">
        <v>300</v>
      </c>
      <c r="AC749" s="158">
        <f t="shared" si="193"/>
        <v>300</v>
      </c>
      <c r="AD749" s="159">
        <f t="shared" si="180"/>
        <v>0</v>
      </c>
      <c r="AE749" s="160"/>
      <c r="AF749" s="160">
        <f t="shared" si="181"/>
        <v>0</v>
      </c>
      <c r="AG749" s="165"/>
      <c r="AH749" s="161">
        <f t="shared" si="182"/>
        <v>0</v>
      </c>
      <c r="AI749" s="162"/>
      <c r="AJ749" s="162">
        <f t="shared" si="183"/>
        <v>0</v>
      </c>
      <c r="AK749" s="163"/>
      <c r="AL749" s="164">
        <f t="shared" si="184"/>
        <v>0</v>
      </c>
      <c r="AM749" s="161"/>
      <c r="AN749" s="165">
        <f t="shared" si="185"/>
        <v>0</v>
      </c>
      <c r="AO749" s="160">
        <v>0</v>
      </c>
      <c r="AP749" s="166">
        <f t="shared" si="186"/>
        <v>0</v>
      </c>
      <c r="AQ749" s="162"/>
      <c r="AR749" s="162">
        <f t="shared" si="187"/>
        <v>0</v>
      </c>
      <c r="AS749" s="173"/>
      <c r="AT749" s="167">
        <f t="shared" si="188"/>
        <v>0</v>
      </c>
      <c r="AU749" s="163"/>
      <c r="AV749" s="163">
        <f t="shared" si="189"/>
        <v>0</v>
      </c>
      <c r="AW749" s="162"/>
      <c r="AX749" s="168">
        <f t="shared" si="190"/>
        <v>0</v>
      </c>
      <c r="AY749" s="169"/>
      <c r="AZ749" s="170">
        <f t="shared" si="191"/>
        <v>0</v>
      </c>
      <c r="BA749" s="160"/>
      <c r="BB749" s="166">
        <f t="shared" si="192"/>
        <v>0</v>
      </c>
    </row>
    <row r="750" spans="1:54" s="239" customFormat="1" ht="47.25">
      <c r="A750" s="172" t="s">
        <v>8234</v>
      </c>
      <c r="B750" s="203" t="s">
        <v>713</v>
      </c>
      <c r="C750" s="203"/>
      <c r="D750" s="203"/>
      <c r="E750" s="203" t="s">
        <v>2875</v>
      </c>
      <c r="F750" s="205" t="s">
        <v>8236</v>
      </c>
      <c r="G750" s="205" t="s">
        <v>7545</v>
      </c>
      <c r="H750" s="204" t="s">
        <v>327</v>
      </c>
      <c r="I750" s="204" t="s">
        <v>11</v>
      </c>
      <c r="J750" s="205" t="s">
        <v>6709</v>
      </c>
      <c r="K750" s="206">
        <v>240</v>
      </c>
      <c r="L750" s="206"/>
      <c r="M750" s="159">
        <f t="shared" si="178"/>
        <v>0</v>
      </c>
      <c r="N750" s="159"/>
      <c r="O750" s="159"/>
      <c r="P750" s="159"/>
      <c r="Q750" s="159"/>
      <c r="R750" s="159"/>
      <c r="S750" s="149" t="s">
        <v>5830</v>
      </c>
      <c r="T750" s="149" t="s">
        <v>5831</v>
      </c>
      <c r="U750" s="202" t="s">
        <v>8235</v>
      </c>
      <c r="V750" s="204">
        <v>3</v>
      </c>
      <c r="W750" s="203" t="s">
        <v>5104</v>
      </c>
      <c r="X750" s="204" t="s">
        <v>213</v>
      </c>
      <c r="Y750" s="206">
        <v>240</v>
      </c>
      <c r="Z750" s="207">
        <v>5000</v>
      </c>
      <c r="AA750" s="207">
        <f t="shared" si="179"/>
        <v>1200000</v>
      </c>
      <c r="AB750" s="157">
        <v>5000</v>
      </c>
      <c r="AC750" s="158">
        <f t="shared" si="193"/>
        <v>5000</v>
      </c>
      <c r="AD750" s="159">
        <f t="shared" si="180"/>
        <v>0</v>
      </c>
      <c r="AE750" s="160"/>
      <c r="AF750" s="160">
        <f t="shared" si="181"/>
        <v>0</v>
      </c>
      <c r="AG750" s="165"/>
      <c r="AH750" s="161">
        <f t="shared" si="182"/>
        <v>0</v>
      </c>
      <c r="AI750" s="162"/>
      <c r="AJ750" s="162">
        <f t="shared" si="183"/>
        <v>0</v>
      </c>
      <c r="AK750" s="164"/>
      <c r="AL750" s="164">
        <f t="shared" si="184"/>
        <v>0</v>
      </c>
      <c r="AM750" s="165"/>
      <c r="AN750" s="165">
        <f t="shared" si="185"/>
        <v>0</v>
      </c>
      <c r="AO750" s="166">
        <v>0</v>
      </c>
      <c r="AP750" s="166">
        <f t="shared" si="186"/>
        <v>0</v>
      </c>
      <c r="AQ750" s="162"/>
      <c r="AR750" s="162">
        <f t="shared" si="187"/>
        <v>0</v>
      </c>
      <c r="AS750" s="173"/>
      <c r="AT750" s="167">
        <f t="shared" si="188"/>
        <v>0</v>
      </c>
      <c r="AU750" s="163"/>
      <c r="AV750" s="163">
        <f t="shared" si="189"/>
        <v>0</v>
      </c>
      <c r="AW750" s="168"/>
      <c r="AX750" s="168">
        <f t="shared" si="190"/>
        <v>0</v>
      </c>
      <c r="AY750" s="170"/>
      <c r="AZ750" s="170">
        <f t="shared" si="191"/>
        <v>0</v>
      </c>
      <c r="BA750" s="166"/>
      <c r="BB750" s="166">
        <f t="shared" si="192"/>
        <v>0</v>
      </c>
    </row>
    <row r="751" spans="1:54" s="239" customFormat="1" ht="31.5">
      <c r="A751" s="148" t="s">
        <v>8237</v>
      </c>
      <c r="B751" s="203" t="s">
        <v>1380</v>
      </c>
      <c r="C751" s="203"/>
      <c r="D751" s="203"/>
      <c r="E751" s="203" t="s">
        <v>1381</v>
      </c>
      <c r="F751" s="205" t="s">
        <v>1382</v>
      </c>
      <c r="G751" s="205" t="s">
        <v>7001</v>
      </c>
      <c r="H751" s="204" t="s">
        <v>310</v>
      </c>
      <c r="I751" s="204" t="s">
        <v>11</v>
      </c>
      <c r="J751" s="205" t="s">
        <v>6709</v>
      </c>
      <c r="K751" s="206">
        <v>312</v>
      </c>
      <c r="L751" s="206"/>
      <c r="M751" s="159">
        <f t="shared" si="178"/>
        <v>7700</v>
      </c>
      <c r="N751" s="159"/>
      <c r="O751" s="159"/>
      <c r="P751" s="159"/>
      <c r="Q751" s="159"/>
      <c r="R751" s="159"/>
      <c r="S751" s="150" t="s">
        <v>360</v>
      </c>
      <c r="T751" s="150" t="s">
        <v>358</v>
      </c>
      <c r="U751" s="202" t="s">
        <v>4292</v>
      </c>
      <c r="V751" s="204">
        <v>3</v>
      </c>
      <c r="W751" s="203" t="s">
        <v>5104</v>
      </c>
      <c r="X751" s="204" t="s">
        <v>213</v>
      </c>
      <c r="Y751" s="206">
        <v>500</v>
      </c>
      <c r="Z751" s="207">
        <v>50000</v>
      </c>
      <c r="AA751" s="207">
        <f t="shared" si="179"/>
        <v>15600000</v>
      </c>
      <c r="AB751" s="157">
        <v>50000</v>
      </c>
      <c r="AC751" s="158">
        <f t="shared" si="193"/>
        <v>42300</v>
      </c>
      <c r="AD751" s="159">
        <f t="shared" si="180"/>
        <v>2402400</v>
      </c>
      <c r="AE751" s="160"/>
      <c r="AF751" s="160">
        <f t="shared" si="181"/>
        <v>0</v>
      </c>
      <c r="AG751" s="165">
        <v>5300</v>
      </c>
      <c r="AH751" s="161">
        <f t="shared" si="182"/>
        <v>1653600</v>
      </c>
      <c r="AI751" s="162"/>
      <c r="AJ751" s="162">
        <f t="shared" si="183"/>
        <v>0</v>
      </c>
      <c r="AK751" s="164"/>
      <c r="AL751" s="164">
        <f t="shared" si="184"/>
        <v>0</v>
      </c>
      <c r="AM751" s="165">
        <v>2400</v>
      </c>
      <c r="AN751" s="165">
        <f t="shared" si="185"/>
        <v>748800</v>
      </c>
      <c r="AO751" s="166">
        <v>0</v>
      </c>
      <c r="AP751" s="166">
        <f t="shared" si="186"/>
        <v>0</v>
      </c>
      <c r="AQ751" s="162"/>
      <c r="AR751" s="162">
        <f t="shared" si="187"/>
        <v>0</v>
      </c>
      <c r="AS751" s="173"/>
      <c r="AT751" s="167">
        <f t="shared" si="188"/>
        <v>0</v>
      </c>
      <c r="AU751" s="163"/>
      <c r="AV751" s="163">
        <f t="shared" si="189"/>
        <v>0</v>
      </c>
      <c r="AW751" s="168"/>
      <c r="AX751" s="168">
        <f t="shared" si="190"/>
        <v>0</v>
      </c>
      <c r="AY751" s="170"/>
      <c r="AZ751" s="170">
        <f t="shared" si="191"/>
        <v>0</v>
      </c>
      <c r="BA751" s="166"/>
      <c r="BB751" s="166">
        <f t="shared" si="192"/>
        <v>0</v>
      </c>
    </row>
    <row r="752" spans="1:54" s="239" customFormat="1" ht="31.5">
      <c r="A752" s="148" t="s">
        <v>8238</v>
      </c>
      <c r="B752" s="203" t="s">
        <v>1380</v>
      </c>
      <c r="C752" s="203"/>
      <c r="D752" s="203"/>
      <c r="E752" s="203" t="s">
        <v>1383</v>
      </c>
      <c r="F752" s="205" t="s">
        <v>8239</v>
      </c>
      <c r="G752" s="205" t="s">
        <v>7001</v>
      </c>
      <c r="H752" s="204" t="s">
        <v>869</v>
      </c>
      <c r="I752" s="204" t="s">
        <v>11</v>
      </c>
      <c r="J752" s="205" t="s">
        <v>6709</v>
      </c>
      <c r="K752" s="206">
        <v>599</v>
      </c>
      <c r="L752" s="206"/>
      <c r="M752" s="159">
        <f t="shared" si="178"/>
        <v>28000</v>
      </c>
      <c r="N752" s="159"/>
      <c r="O752" s="159"/>
      <c r="P752" s="159"/>
      <c r="Q752" s="159"/>
      <c r="R752" s="159"/>
      <c r="S752" s="150" t="s">
        <v>360</v>
      </c>
      <c r="T752" s="150" t="s">
        <v>358</v>
      </c>
      <c r="U752" s="202" t="s">
        <v>4295</v>
      </c>
      <c r="V752" s="204">
        <v>3</v>
      </c>
      <c r="W752" s="203" t="s">
        <v>5104</v>
      </c>
      <c r="X752" s="204" t="s">
        <v>213</v>
      </c>
      <c r="Y752" s="206">
        <v>900</v>
      </c>
      <c r="Z752" s="207">
        <v>50000</v>
      </c>
      <c r="AA752" s="207">
        <f t="shared" si="179"/>
        <v>29950000</v>
      </c>
      <c r="AB752" s="157">
        <v>50000</v>
      </c>
      <c r="AC752" s="158">
        <f t="shared" si="193"/>
        <v>22000</v>
      </c>
      <c r="AD752" s="159">
        <f t="shared" si="180"/>
        <v>16772000</v>
      </c>
      <c r="AE752" s="160"/>
      <c r="AF752" s="160">
        <f t="shared" si="181"/>
        <v>0</v>
      </c>
      <c r="AG752" s="165">
        <v>17000</v>
      </c>
      <c r="AH752" s="161">
        <f t="shared" si="182"/>
        <v>10183000</v>
      </c>
      <c r="AI752" s="162"/>
      <c r="AJ752" s="162">
        <f t="shared" si="183"/>
        <v>0</v>
      </c>
      <c r="AK752" s="164"/>
      <c r="AL752" s="164">
        <f t="shared" si="184"/>
        <v>0</v>
      </c>
      <c r="AM752" s="165">
        <v>1000</v>
      </c>
      <c r="AN752" s="165">
        <f t="shared" si="185"/>
        <v>599000</v>
      </c>
      <c r="AO752" s="166">
        <v>0</v>
      </c>
      <c r="AP752" s="166">
        <f t="shared" si="186"/>
        <v>0</v>
      </c>
      <c r="AQ752" s="162"/>
      <c r="AR752" s="162">
        <f t="shared" si="187"/>
        <v>0</v>
      </c>
      <c r="AS752" s="173">
        <v>10000</v>
      </c>
      <c r="AT752" s="167">
        <f t="shared" si="188"/>
        <v>5990000</v>
      </c>
      <c r="AU752" s="163"/>
      <c r="AV752" s="163">
        <f t="shared" si="189"/>
        <v>0</v>
      </c>
      <c r="AW752" s="168"/>
      <c r="AX752" s="168">
        <f t="shared" si="190"/>
        <v>0</v>
      </c>
      <c r="AY752" s="170"/>
      <c r="AZ752" s="170">
        <f t="shared" si="191"/>
        <v>0</v>
      </c>
      <c r="BA752" s="166"/>
      <c r="BB752" s="166">
        <f t="shared" si="192"/>
        <v>0</v>
      </c>
    </row>
    <row r="753" spans="1:54" s="239" customFormat="1">
      <c r="A753" s="172" t="s">
        <v>8240</v>
      </c>
      <c r="B753" s="203" t="s">
        <v>792</v>
      </c>
      <c r="C753" s="203"/>
      <c r="D753" s="203"/>
      <c r="E753" s="203" t="s">
        <v>1934</v>
      </c>
      <c r="F753" s="205" t="s">
        <v>8242</v>
      </c>
      <c r="G753" s="205" t="s">
        <v>1913</v>
      </c>
      <c r="H753" s="204" t="s">
        <v>4275</v>
      </c>
      <c r="I753" s="204" t="s">
        <v>15</v>
      </c>
      <c r="J753" s="205" t="s">
        <v>8241</v>
      </c>
      <c r="K753" s="206">
        <v>9345</v>
      </c>
      <c r="L753" s="206"/>
      <c r="M753" s="159">
        <f t="shared" si="178"/>
        <v>310</v>
      </c>
      <c r="N753" s="159"/>
      <c r="O753" s="159"/>
      <c r="P753" s="159"/>
      <c r="Q753" s="159"/>
      <c r="R753" s="159"/>
      <c r="S753" s="149" t="s">
        <v>7453</v>
      </c>
      <c r="T753" s="149" t="s">
        <v>1913</v>
      </c>
      <c r="U753" s="202" t="s">
        <v>4274</v>
      </c>
      <c r="V753" s="204">
        <v>3</v>
      </c>
      <c r="W753" s="203" t="s">
        <v>5104</v>
      </c>
      <c r="X753" s="204" t="s">
        <v>213</v>
      </c>
      <c r="Y753" s="206">
        <v>9440</v>
      </c>
      <c r="Z753" s="207">
        <v>3000</v>
      </c>
      <c r="AA753" s="207">
        <f t="shared" si="179"/>
        <v>28035000</v>
      </c>
      <c r="AB753" s="157">
        <v>3000</v>
      </c>
      <c r="AC753" s="158">
        <f t="shared" si="193"/>
        <v>2690</v>
      </c>
      <c r="AD753" s="159">
        <f t="shared" si="180"/>
        <v>2896950</v>
      </c>
      <c r="AE753" s="160"/>
      <c r="AF753" s="160">
        <f t="shared" si="181"/>
        <v>0</v>
      </c>
      <c r="AG753" s="165"/>
      <c r="AH753" s="161">
        <f t="shared" si="182"/>
        <v>0</v>
      </c>
      <c r="AI753" s="162"/>
      <c r="AJ753" s="162">
        <f t="shared" si="183"/>
        <v>0</v>
      </c>
      <c r="AK753" s="164"/>
      <c r="AL753" s="164">
        <f t="shared" si="184"/>
        <v>0</v>
      </c>
      <c r="AM753" s="165"/>
      <c r="AN753" s="165">
        <f t="shared" si="185"/>
        <v>0</v>
      </c>
      <c r="AO753" s="166">
        <v>0</v>
      </c>
      <c r="AP753" s="166">
        <f t="shared" si="186"/>
        <v>0</v>
      </c>
      <c r="AQ753" s="162"/>
      <c r="AR753" s="162">
        <f t="shared" si="187"/>
        <v>0</v>
      </c>
      <c r="AS753" s="173">
        <v>310</v>
      </c>
      <c r="AT753" s="167">
        <f t="shared" si="188"/>
        <v>2896950</v>
      </c>
      <c r="AU753" s="163"/>
      <c r="AV753" s="163">
        <f t="shared" si="189"/>
        <v>0</v>
      </c>
      <c r="AW753" s="168"/>
      <c r="AX753" s="168">
        <f t="shared" si="190"/>
        <v>0</v>
      </c>
      <c r="AY753" s="170"/>
      <c r="AZ753" s="170">
        <f t="shared" si="191"/>
        <v>0</v>
      </c>
      <c r="BA753" s="166"/>
      <c r="BB753" s="166">
        <f t="shared" si="192"/>
        <v>0</v>
      </c>
    </row>
    <row r="754" spans="1:54" s="239" customFormat="1">
      <c r="A754" s="148" t="s">
        <v>8243</v>
      </c>
      <c r="B754" s="203" t="s">
        <v>8245</v>
      </c>
      <c r="C754" s="203"/>
      <c r="D754" s="203"/>
      <c r="E754" s="203" t="s">
        <v>8246</v>
      </c>
      <c r="F754" s="205" t="s">
        <v>8247</v>
      </c>
      <c r="G754" s="205" t="s">
        <v>8248</v>
      </c>
      <c r="H754" s="204" t="s">
        <v>248</v>
      </c>
      <c r="I754" s="204" t="s">
        <v>11</v>
      </c>
      <c r="J754" s="205" t="s">
        <v>6099</v>
      </c>
      <c r="K754" s="206">
        <v>2050</v>
      </c>
      <c r="L754" s="206"/>
      <c r="M754" s="159">
        <f t="shared" si="178"/>
        <v>0</v>
      </c>
      <c r="N754" s="159"/>
      <c r="O754" s="159"/>
      <c r="P754" s="159"/>
      <c r="Q754" s="159"/>
      <c r="R754" s="159"/>
      <c r="S754" s="149" t="s">
        <v>6097</v>
      </c>
      <c r="T754" s="149" t="s">
        <v>6098</v>
      </c>
      <c r="U754" s="202" t="s">
        <v>8244</v>
      </c>
      <c r="V754" s="204">
        <v>3</v>
      </c>
      <c r="W754" s="203" t="s">
        <v>5104</v>
      </c>
      <c r="X754" s="204" t="s">
        <v>213</v>
      </c>
      <c r="Y754" s="206">
        <v>2500</v>
      </c>
      <c r="Z754" s="207">
        <v>10000</v>
      </c>
      <c r="AA754" s="207">
        <f t="shared" si="179"/>
        <v>20500000</v>
      </c>
      <c r="AB754" s="157">
        <v>10000</v>
      </c>
      <c r="AC754" s="158">
        <f t="shared" si="193"/>
        <v>10000</v>
      </c>
      <c r="AD754" s="159">
        <f t="shared" si="180"/>
        <v>0</v>
      </c>
      <c r="AE754" s="160"/>
      <c r="AF754" s="160">
        <f t="shared" si="181"/>
        <v>0</v>
      </c>
      <c r="AG754" s="165"/>
      <c r="AH754" s="161">
        <f t="shared" si="182"/>
        <v>0</v>
      </c>
      <c r="AI754" s="162"/>
      <c r="AJ754" s="162">
        <f t="shared" si="183"/>
        <v>0</v>
      </c>
      <c r="AK754" s="164"/>
      <c r="AL754" s="164">
        <f t="shared" si="184"/>
        <v>0</v>
      </c>
      <c r="AM754" s="165"/>
      <c r="AN754" s="165">
        <f t="shared" si="185"/>
        <v>0</v>
      </c>
      <c r="AO754" s="166">
        <v>0</v>
      </c>
      <c r="AP754" s="166">
        <f t="shared" si="186"/>
        <v>0</v>
      </c>
      <c r="AQ754" s="162"/>
      <c r="AR754" s="162">
        <f t="shared" si="187"/>
        <v>0</v>
      </c>
      <c r="AS754" s="173"/>
      <c r="AT754" s="167">
        <f t="shared" si="188"/>
        <v>0</v>
      </c>
      <c r="AU754" s="163"/>
      <c r="AV754" s="163">
        <f t="shared" si="189"/>
        <v>0</v>
      </c>
      <c r="AW754" s="168"/>
      <c r="AX754" s="168">
        <f t="shared" si="190"/>
        <v>0</v>
      </c>
      <c r="AY754" s="170"/>
      <c r="AZ754" s="170">
        <f t="shared" si="191"/>
        <v>0</v>
      </c>
      <c r="BA754" s="166"/>
      <c r="BB754" s="166">
        <f t="shared" si="192"/>
        <v>0</v>
      </c>
    </row>
    <row r="755" spans="1:54" s="239" customFormat="1" ht="31.5">
      <c r="A755" s="148" t="s">
        <v>8249</v>
      </c>
      <c r="B755" s="203" t="s">
        <v>1397</v>
      </c>
      <c r="C755" s="203"/>
      <c r="D755" s="203"/>
      <c r="E755" s="203" t="s">
        <v>1398</v>
      </c>
      <c r="F755" s="205" t="s">
        <v>1399</v>
      </c>
      <c r="G755" s="205" t="s">
        <v>7001</v>
      </c>
      <c r="H755" s="204" t="s">
        <v>291</v>
      </c>
      <c r="I755" s="204" t="s">
        <v>11</v>
      </c>
      <c r="J755" s="205" t="s">
        <v>7142</v>
      </c>
      <c r="K755" s="206">
        <v>120</v>
      </c>
      <c r="L755" s="206"/>
      <c r="M755" s="159">
        <f t="shared" si="178"/>
        <v>16000</v>
      </c>
      <c r="N755" s="159"/>
      <c r="O755" s="159"/>
      <c r="P755" s="159"/>
      <c r="Q755" s="159"/>
      <c r="R755" s="159"/>
      <c r="S755" s="150" t="s">
        <v>360</v>
      </c>
      <c r="T755" s="150" t="s">
        <v>358</v>
      </c>
      <c r="U755" s="202" t="s">
        <v>3941</v>
      </c>
      <c r="V755" s="204">
        <v>3</v>
      </c>
      <c r="W755" s="203" t="s">
        <v>5104</v>
      </c>
      <c r="X755" s="204" t="s">
        <v>213</v>
      </c>
      <c r="Y755" s="206">
        <v>400</v>
      </c>
      <c r="Z755" s="207">
        <v>60000</v>
      </c>
      <c r="AA755" s="207">
        <f t="shared" si="179"/>
        <v>7200000</v>
      </c>
      <c r="AB755" s="157">
        <v>60000</v>
      </c>
      <c r="AC755" s="158">
        <f t="shared" si="193"/>
        <v>44000</v>
      </c>
      <c r="AD755" s="159">
        <f t="shared" si="180"/>
        <v>1920000</v>
      </c>
      <c r="AE755" s="160"/>
      <c r="AF755" s="160">
        <f t="shared" si="181"/>
        <v>0</v>
      </c>
      <c r="AG755" s="165"/>
      <c r="AH755" s="161">
        <f t="shared" si="182"/>
        <v>0</v>
      </c>
      <c r="AI755" s="162"/>
      <c r="AJ755" s="162">
        <f t="shared" si="183"/>
        <v>0</v>
      </c>
      <c r="AK755" s="164"/>
      <c r="AL755" s="164">
        <f t="shared" si="184"/>
        <v>0</v>
      </c>
      <c r="AM755" s="165">
        <v>10000</v>
      </c>
      <c r="AN755" s="165">
        <f t="shared" si="185"/>
        <v>1200000</v>
      </c>
      <c r="AO755" s="166">
        <v>0</v>
      </c>
      <c r="AP755" s="166">
        <f t="shared" si="186"/>
        <v>0</v>
      </c>
      <c r="AQ755" s="162"/>
      <c r="AR755" s="162">
        <f t="shared" si="187"/>
        <v>0</v>
      </c>
      <c r="AS755" s="173">
        <v>6000</v>
      </c>
      <c r="AT755" s="167">
        <f t="shared" si="188"/>
        <v>720000</v>
      </c>
      <c r="AU755" s="163"/>
      <c r="AV755" s="163">
        <f t="shared" si="189"/>
        <v>0</v>
      </c>
      <c r="AW755" s="168"/>
      <c r="AX755" s="168">
        <f t="shared" si="190"/>
        <v>0</v>
      </c>
      <c r="AY755" s="170"/>
      <c r="AZ755" s="170">
        <f t="shared" si="191"/>
        <v>0</v>
      </c>
      <c r="BA755" s="166"/>
      <c r="BB755" s="166">
        <f t="shared" si="192"/>
        <v>0</v>
      </c>
    </row>
    <row r="756" spans="1:54" s="239" customFormat="1" ht="31.5">
      <c r="A756" s="172" t="s">
        <v>8250</v>
      </c>
      <c r="B756" s="203" t="s">
        <v>2449</v>
      </c>
      <c r="C756" s="203"/>
      <c r="D756" s="203"/>
      <c r="E756" s="203" t="s">
        <v>3795</v>
      </c>
      <c r="F756" s="205" t="s">
        <v>8251</v>
      </c>
      <c r="G756" s="205" t="s">
        <v>621</v>
      </c>
      <c r="H756" s="204" t="s">
        <v>238</v>
      </c>
      <c r="I756" s="204" t="s">
        <v>11</v>
      </c>
      <c r="J756" s="205" t="s">
        <v>6644</v>
      </c>
      <c r="K756" s="206">
        <v>490</v>
      </c>
      <c r="L756" s="206"/>
      <c r="M756" s="159">
        <f t="shared" si="178"/>
        <v>4980</v>
      </c>
      <c r="N756" s="159"/>
      <c r="O756" s="159"/>
      <c r="P756" s="159"/>
      <c r="Q756" s="159"/>
      <c r="R756" s="159"/>
      <c r="S756" s="149" t="s">
        <v>6938</v>
      </c>
      <c r="T756" s="149" t="s">
        <v>6939</v>
      </c>
      <c r="U756" s="202" t="s">
        <v>3794</v>
      </c>
      <c r="V756" s="204">
        <v>3</v>
      </c>
      <c r="W756" s="203" t="s">
        <v>253</v>
      </c>
      <c r="X756" s="204" t="s">
        <v>213</v>
      </c>
      <c r="Y756" s="206">
        <v>2800</v>
      </c>
      <c r="Z756" s="207">
        <v>5000</v>
      </c>
      <c r="AA756" s="207">
        <f t="shared" si="179"/>
        <v>2450000</v>
      </c>
      <c r="AB756" s="157">
        <v>5000</v>
      </c>
      <c r="AC756" s="158">
        <f t="shared" si="193"/>
        <v>20</v>
      </c>
      <c r="AD756" s="159">
        <f t="shared" si="180"/>
        <v>2440200</v>
      </c>
      <c r="AE756" s="160"/>
      <c r="AF756" s="160">
        <f t="shared" si="181"/>
        <v>0</v>
      </c>
      <c r="AG756" s="165"/>
      <c r="AH756" s="161">
        <f t="shared" si="182"/>
        <v>0</v>
      </c>
      <c r="AI756" s="162"/>
      <c r="AJ756" s="162">
        <f t="shared" si="183"/>
        <v>0</v>
      </c>
      <c r="AK756" s="163"/>
      <c r="AL756" s="164">
        <f t="shared" si="184"/>
        <v>0</v>
      </c>
      <c r="AM756" s="161"/>
      <c r="AN756" s="165">
        <f t="shared" si="185"/>
        <v>0</v>
      </c>
      <c r="AO756" s="160">
        <v>0</v>
      </c>
      <c r="AP756" s="166">
        <f t="shared" si="186"/>
        <v>0</v>
      </c>
      <c r="AQ756" s="162"/>
      <c r="AR756" s="162">
        <f t="shared" si="187"/>
        <v>0</v>
      </c>
      <c r="AS756" s="173">
        <f>3540+1440</f>
        <v>4980</v>
      </c>
      <c r="AT756" s="167">
        <f t="shared" si="188"/>
        <v>2440200</v>
      </c>
      <c r="AU756" s="163"/>
      <c r="AV756" s="163">
        <f t="shared" si="189"/>
        <v>0</v>
      </c>
      <c r="AW756" s="162"/>
      <c r="AX756" s="168">
        <f t="shared" si="190"/>
        <v>0</v>
      </c>
      <c r="AY756" s="169"/>
      <c r="AZ756" s="170">
        <f t="shared" si="191"/>
        <v>0</v>
      </c>
      <c r="BA756" s="160"/>
      <c r="BB756" s="166">
        <f t="shared" si="192"/>
        <v>0</v>
      </c>
    </row>
    <row r="757" spans="1:54" s="239" customFormat="1" ht="31.5">
      <c r="A757" s="148" t="s">
        <v>8252</v>
      </c>
      <c r="B757" s="203" t="s">
        <v>802</v>
      </c>
      <c r="C757" s="203"/>
      <c r="D757" s="203"/>
      <c r="E757" s="203" t="s">
        <v>4468</v>
      </c>
      <c r="F757" s="205" t="s">
        <v>8254</v>
      </c>
      <c r="G757" s="205" t="s">
        <v>8255</v>
      </c>
      <c r="H757" s="204" t="s">
        <v>225</v>
      </c>
      <c r="I757" s="204" t="s">
        <v>16</v>
      </c>
      <c r="J757" s="205" t="s">
        <v>8253</v>
      </c>
      <c r="K757" s="206">
        <v>9620</v>
      </c>
      <c r="L757" s="206"/>
      <c r="M757" s="159">
        <f t="shared" si="178"/>
        <v>240</v>
      </c>
      <c r="N757" s="159"/>
      <c r="O757" s="159"/>
      <c r="P757" s="159"/>
      <c r="Q757" s="159"/>
      <c r="R757" s="159"/>
      <c r="S757" s="149" t="s">
        <v>6248</v>
      </c>
      <c r="T757" s="149" t="s">
        <v>6249</v>
      </c>
      <c r="U757" s="202" t="s">
        <v>4467</v>
      </c>
      <c r="V757" s="204">
        <v>4</v>
      </c>
      <c r="W757" s="203" t="s">
        <v>5104</v>
      </c>
      <c r="X757" s="204" t="s">
        <v>213</v>
      </c>
      <c r="Y757" s="206">
        <v>11000</v>
      </c>
      <c r="Z757" s="207">
        <v>30000</v>
      </c>
      <c r="AA757" s="207">
        <f t="shared" si="179"/>
        <v>288600000</v>
      </c>
      <c r="AB757" s="157">
        <v>30000</v>
      </c>
      <c r="AC757" s="158">
        <f t="shared" si="193"/>
        <v>29760</v>
      </c>
      <c r="AD757" s="159">
        <f t="shared" si="180"/>
        <v>2308800</v>
      </c>
      <c r="AE757" s="160"/>
      <c r="AF757" s="160">
        <f t="shared" si="181"/>
        <v>0</v>
      </c>
      <c r="AG757" s="165"/>
      <c r="AH757" s="161">
        <f t="shared" si="182"/>
        <v>0</v>
      </c>
      <c r="AI757" s="162"/>
      <c r="AJ757" s="162">
        <f t="shared" si="183"/>
        <v>0</v>
      </c>
      <c r="AK757" s="164"/>
      <c r="AL757" s="164">
        <f t="shared" si="184"/>
        <v>0</v>
      </c>
      <c r="AM757" s="165"/>
      <c r="AN757" s="165">
        <f t="shared" si="185"/>
        <v>0</v>
      </c>
      <c r="AO757" s="166">
        <v>0</v>
      </c>
      <c r="AP757" s="166">
        <f t="shared" si="186"/>
        <v>0</v>
      </c>
      <c r="AQ757" s="162"/>
      <c r="AR757" s="162">
        <f t="shared" si="187"/>
        <v>0</v>
      </c>
      <c r="AS757" s="173">
        <v>240</v>
      </c>
      <c r="AT757" s="167">
        <f t="shared" si="188"/>
        <v>2308800</v>
      </c>
      <c r="AU757" s="163"/>
      <c r="AV757" s="163">
        <f t="shared" si="189"/>
        <v>0</v>
      </c>
      <c r="AW757" s="168"/>
      <c r="AX757" s="168">
        <f t="shared" si="190"/>
        <v>0</v>
      </c>
      <c r="AY757" s="170"/>
      <c r="AZ757" s="170">
        <f t="shared" si="191"/>
        <v>0</v>
      </c>
      <c r="BA757" s="166"/>
      <c r="BB757" s="166">
        <f t="shared" si="192"/>
        <v>0</v>
      </c>
    </row>
    <row r="758" spans="1:54" s="239" customFormat="1" ht="47.25">
      <c r="A758" s="148" t="s">
        <v>8256</v>
      </c>
      <c r="B758" s="203" t="s">
        <v>847</v>
      </c>
      <c r="C758" s="203"/>
      <c r="D758" s="203"/>
      <c r="E758" s="203" t="s">
        <v>4555</v>
      </c>
      <c r="F758" s="205" t="s">
        <v>1875</v>
      </c>
      <c r="G758" s="205" t="s">
        <v>8258</v>
      </c>
      <c r="H758" s="204" t="s">
        <v>225</v>
      </c>
      <c r="I758" s="204" t="s">
        <v>11</v>
      </c>
      <c r="J758" s="205" t="s">
        <v>8257</v>
      </c>
      <c r="K758" s="206">
        <v>2510</v>
      </c>
      <c r="L758" s="206"/>
      <c r="M758" s="159">
        <f t="shared" si="178"/>
        <v>19392</v>
      </c>
      <c r="N758" s="159"/>
      <c r="O758" s="159"/>
      <c r="P758" s="159"/>
      <c r="Q758" s="159"/>
      <c r="R758" s="159"/>
      <c r="S758" s="149" t="s">
        <v>2385</v>
      </c>
      <c r="T758" s="150" t="s">
        <v>2380</v>
      </c>
      <c r="U758" s="202" t="s">
        <v>4554</v>
      </c>
      <c r="V758" s="204">
        <v>4</v>
      </c>
      <c r="W758" s="203" t="s">
        <v>5104</v>
      </c>
      <c r="X758" s="204" t="s">
        <v>213</v>
      </c>
      <c r="Y758" s="206">
        <v>3750</v>
      </c>
      <c r="Z758" s="207">
        <v>30000</v>
      </c>
      <c r="AA758" s="207">
        <f t="shared" si="179"/>
        <v>75300000</v>
      </c>
      <c r="AB758" s="157">
        <v>30000</v>
      </c>
      <c r="AC758" s="158">
        <f t="shared" si="193"/>
        <v>10608</v>
      </c>
      <c r="AD758" s="159">
        <f t="shared" si="180"/>
        <v>48673920</v>
      </c>
      <c r="AE758" s="160"/>
      <c r="AF758" s="160">
        <f t="shared" si="181"/>
        <v>0</v>
      </c>
      <c r="AG758" s="165">
        <v>2592</v>
      </c>
      <c r="AH758" s="161">
        <f t="shared" si="182"/>
        <v>6505920</v>
      </c>
      <c r="AI758" s="162"/>
      <c r="AJ758" s="162">
        <f t="shared" si="183"/>
        <v>0</v>
      </c>
      <c r="AK758" s="164"/>
      <c r="AL758" s="164">
        <f t="shared" si="184"/>
        <v>0</v>
      </c>
      <c r="AM758" s="165"/>
      <c r="AN758" s="165">
        <f t="shared" si="185"/>
        <v>0</v>
      </c>
      <c r="AO758" s="166">
        <v>16800</v>
      </c>
      <c r="AP758" s="166">
        <f t="shared" si="186"/>
        <v>42168000</v>
      </c>
      <c r="AQ758" s="162"/>
      <c r="AR758" s="162">
        <f t="shared" si="187"/>
        <v>0</v>
      </c>
      <c r="AS758" s="173"/>
      <c r="AT758" s="167">
        <f t="shared" si="188"/>
        <v>0</v>
      </c>
      <c r="AU758" s="163"/>
      <c r="AV758" s="163">
        <f t="shared" si="189"/>
        <v>0</v>
      </c>
      <c r="AW758" s="168"/>
      <c r="AX758" s="168">
        <f t="shared" si="190"/>
        <v>0</v>
      </c>
      <c r="AY758" s="170"/>
      <c r="AZ758" s="170">
        <f t="shared" si="191"/>
        <v>0</v>
      </c>
      <c r="BA758" s="166"/>
      <c r="BB758" s="166">
        <f t="shared" si="192"/>
        <v>0</v>
      </c>
    </row>
    <row r="759" spans="1:54" s="239" customFormat="1" ht="31.5">
      <c r="A759" s="172" t="s">
        <v>8259</v>
      </c>
      <c r="B759" s="203" t="s">
        <v>256</v>
      </c>
      <c r="C759" s="203"/>
      <c r="D759" s="203"/>
      <c r="E759" s="203" t="s">
        <v>1274</v>
      </c>
      <c r="F759" s="205" t="s">
        <v>1275</v>
      </c>
      <c r="G759" s="205" t="s">
        <v>7288</v>
      </c>
      <c r="H759" s="204" t="s">
        <v>296</v>
      </c>
      <c r="I759" s="204" t="s">
        <v>13</v>
      </c>
      <c r="J759" s="205" t="s">
        <v>8260</v>
      </c>
      <c r="K759" s="206">
        <v>6800</v>
      </c>
      <c r="L759" s="206"/>
      <c r="M759" s="159">
        <f t="shared" si="178"/>
        <v>0</v>
      </c>
      <c r="N759" s="159"/>
      <c r="O759" s="159"/>
      <c r="P759" s="159"/>
      <c r="Q759" s="159"/>
      <c r="R759" s="159"/>
      <c r="S759" s="150" t="s">
        <v>5293</v>
      </c>
      <c r="T759" s="150" t="s">
        <v>5294</v>
      </c>
      <c r="U759" s="202" t="s">
        <v>4523</v>
      </c>
      <c r="V759" s="204">
        <v>4</v>
      </c>
      <c r="W759" s="203" t="s">
        <v>5104</v>
      </c>
      <c r="X759" s="204" t="s">
        <v>213</v>
      </c>
      <c r="Y759" s="206">
        <v>6800</v>
      </c>
      <c r="Z759" s="207">
        <v>20000</v>
      </c>
      <c r="AA759" s="207">
        <f t="shared" si="179"/>
        <v>136000000</v>
      </c>
      <c r="AB759" s="157">
        <v>20000</v>
      </c>
      <c r="AC759" s="158">
        <f t="shared" si="193"/>
        <v>20000</v>
      </c>
      <c r="AD759" s="159">
        <f t="shared" si="180"/>
        <v>0</v>
      </c>
      <c r="AE759" s="160"/>
      <c r="AF759" s="160">
        <f t="shared" si="181"/>
        <v>0</v>
      </c>
      <c r="AG759" s="165"/>
      <c r="AH759" s="161">
        <f t="shared" si="182"/>
        <v>0</v>
      </c>
      <c r="AI759" s="162"/>
      <c r="AJ759" s="162">
        <f t="shared" si="183"/>
        <v>0</v>
      </c>
      <c r="AK759" s="164"/>
      <c r="AL759" s="164">
        <f t="shared" si="184"/>
        <v>0</v>
      </c>
      <c r="AM759" s="165"/>
      <c r="AN759" s="165">
        <f t="shared" si="185"/>
        <v>0</v>
      </c>
      <c r="AO759" s="166">
        <v>0</v>
      </c>
      <c r="AP759" s="166">
        <f t="shared" si="186"/>
        <v>0</v>
      </c>
      <c r="AQ759" s="162"/>
      <c r="AR759" s="162">
        <f t="shared" si="187"/>
        <v>0</v>
      </c>
      <c r="AS759" s="173"/>
      <c r="AT759" s="167">
        <f t="shared" si="188"/>
        <v>0</v>
      </c>
      <c r="AU759" s="163"/>
      <c r="AV759" s="163">
        <f t="shared" si="189"/>
        <v>0</v>
      </c>
      <c r="AW759" s="168"/>
      <c r="AX759" s="168">
        <f t="shared" si="190"/>
        <v>0</v>
      </c>
      <c r="AY759" s="170"/>
      <c r="AZ759" s="170">
        <f t="shared" si="191"/>
        <v>0</v>
      </c>
      <c r="BA759" s="166"/>
      <c r="BB759" s="166">
        <f t="shared" si="192"/>
        <v>0</v>
      </c>
    </row>
    <row r="760" spans="1:54" s="239" customFormat="1" ht="31.5">
      <c r="A760" s="148" t="s">
        <v>8261</v>
      </c>
      <c r="B760" s="203" t="s">
        <v>256</v>
      </c>
      <c r="C760" s="203"/>
      <c r="D760" s="203"/>
      <c r="E760" s="203" t="s">
        <v>7300</v>
      </c>
      <c r="F760" s="205" t="s">
        <v>7302</v>
      </c>
      <c r="G760" s="205" t="s">
        <v>7303</v>
      </c>
      <c r="H760" s="204" t="s">
        <v>334</v>
      </c>
      <c r="I760" s="204" t="s">
        <v>11</v>
      </c>
      <c r="J760" s="205" t="s">
        <v>7301</v>
      </c>
      <c r="K760" s="206">
        <v>4200</v>
      </c>
      <c r="L760" s="206"/>
      <c r="M760" s="159">
        <f t="shared" si="178"/>
        <v>0</v>
      </c>
      <c r="N760" s="159"/>
      <c r="O760" s="159"/>
      <c r="P760" s="159"/>
      <c r="Q760" s="159"/>
      <c r="R760" s="159"/>
      <c r="S760" s="150" t="s">
        <v>5442</v>
      </c>
      <c r="T760" s="150" t="s">
        <v>5443</v>
      </c>
      <c r="U760" s="202" t="s">
        <v>8262</v>
      </c>
      <c r="V760" s="204">
        <v>4</v>
      </c>
      <c r="W760" s="203" t="s">
        <v>253</v>
      </c>
      <c r="X760" s="204" t="s">
        <v>213</v>
      </c>
      <c r="Y760" s="206">
        <v>15000</v>
      </c>
      <c r="Z760" s="207">
        <v>10000</v>
      </c>
      <c r="AA760" s="207">
        <f t="shared" si="179"/>
        <v>42000000</v>
      </c>
      <c r="AB760" s="157">
        <v>10000</v>
      </c>
      <c r="AC760" s="158">
        <f t="shared" si="193"/>
        <v>10000</v>
      </c>
      <c r="AD760" s="159">
        <f t="shared" si="180"/>
        <v>0</v>
      </c>
      <c r="AE760" s="160"/>
      <c r="AF760" s="160">
        <f t="shared" si="181"/>
        <v>0</v>
      </c>
      <c r="AG760" s="161"/>
      <c r="AH760" s="161">
        <f t="shared" si="182"/>
        <v>0</v>
      </c>
      <c r="AI760" s="162"/>
      <c r="AJ760" s="162">
        <f t="shared" si="183"/>
        <v>0</v>
      </c>
      <c r="AK760" s="164"/>
      <c r="AL760" s="164">
        <f t="shared" si="184"/>
        <v>0</v>
      </c>
      <c r="AM760" s="165"/>
      <c r="AN760" s="165">
        <f t="shared" si="185"/>
        <v>0</v>
      </c>
      <c r="AO760" s="166">
        <v>0</v>
      </c>
      <c r="AP760" s="166">
        <f t="shared" si="186"/>
        <v>0</v>
      </c>
      <c r="AQ760" s="162"/>
      <c r="AR760" s="162">
        <f t="shared" si="187"/>
        <v>0</v>
      </c>
      <c r="AS760" s="167"/>
      <c r="AT760" s="167">
        <f t="shared" si="188"/>
        <v>0</v>
      </c>
      <c r="AU760" s="163"/>
      <c r="AV760" s="163">
        <f t="shared" si="189"/>
        <v>0</v>
      </c>
      <c r="AW760" s="168"/>
      <c r="AX760" s="168">
        <f t="shared" si="190"/>
        <v>0</v>
      </c>
      <c r="AY760" s="170"/>
      <c r="AZ760" s="170">
        <f t="shared" si="191"/>
        <v>0</v>
      </c>
      <c r="BA760" s="166"/>
      <c r="BB760" s="166">
        <f t="shared" si="192"/>
        <v>0</v>
      </c>
    </row>
    <row r="761" spans="1:54" s="239" customFormat="1" ht="31.5">
      <c r="A761" s="148" t="s">
        <v>8263</v>
      </c>
      <c r="B761" s="203" t="s">
        <v>433</v>
      </c>
      <c r="C761" s="203"/>
      <c r="D761" s="203"/>
      <c r="E761" s="203" t="s">
        <v>1463</v>
      </c>
      <c r="F761" s="205" t="s">
        <v>1465</v>
      </c>
      <c r="G761" s="205" t="s">
        <v>1449</v>
      </c>
      <c r="H761" s="204" t="s">
        <v>1200</v>
      </c>
      <c r="I761" s="204" t="s">
        <v>12</v>
      </c>
      <c r="J761" s="205" t="s">
        <v>7322</v>
      </c>
      <c r="K761" s="206">
        <v>1323</v>
      </c>
      <c r="L761" s="206"/>
      <c r="M761" s="159">
        <f t="shared" si="178"/>
        <v>0</v>
      </c>
      <c r="N761" s="159"/>
      <c r="O761" s="159"/>
      <c r="P761" s="159"/>
      <c r="Q761" s="159"/>
      <c r="R761" s="159"/>
      <c r="S761" s="149" t="s">
        <v>7241</v>
      </c>
      <c r="T761" s="149" t="s">
        <v>7242</v>
      </c>
      <c r="U761" s="202" t="s">
        <v>8264</v>
      </c>
      <c r="V761" s="204">
        <v>4</v>
      </c>
      <c r="W761" s="203" t="s">
        <v>253</v>
      </c>
      <c r="X761" s="204" t="s">
        <v>213</v>
      </c>
      <c r="Y761" s="206">
        <v>2500</v>
      </c>
      <c r="Z761" s="207">
        <v>30000</v>
      </c>
      <c r="AA761" s="207">
        <f t="shared" si="179"/>
        <v>39690000</v>
      </c>
      <c r="AB761" s="157">
        <v>30000</v>
      </c>
      <c r="AC761" s="158">
        <f t="shared" si="193"/>
        <v>30000</v>
      </c>
      <c r="AD761" s="159">
        <f t="shared" si="180"/>
        <v>0</v>
      </c>
      <c r="AE761" s="160"/>
      <c r="AF761" s="160">
        <f t="shared" si="181"/>
        <v>0</v>
      </c>
      <c r="AG761" s="165"/>
      <c r="AH761" s="161">
        <f t="shared" si="182"/>
        <v>0</v>
      </c>
      <c r="AI761" s="162"/>
      <c r="AJ761" s="162">
        <f t="shared" si="183"/>
        <v>0</v>
      </c>
      <c r="AK761" s="164"/>
      <c r="AL761" s="164">
        <f t="shared" si="184"/>
        <v>0</v>
      </c>
      <c r="AM761" s="165"/>
      <c r="AN761" s="165">
        <f t="shared" si="185"/>
        <v>0</v>
      </c>
      <c r="AO761" s="166">
        <v>0</v>
      </c>
      <c r="AP761" s="166">
        <f t="shared" si="186"/>
        <v>0</v>
      </c>
      <c r="AQ761" s="162"/>
      <c r="AR761" s="162">
        <f t="shared" si="187"/>
        <v>0</v>
      </c>
      <c r="AS761" s="173"/>
      <c r="AT761" s="167">
        <f t="shared" si="188"/>
        <v>0</v>
      </c>
      <c r="AU761" s="163"/>
      <c r="AV761" s="163">
        <f t="shared" si="189"/>
        <v>0</v>
      </c>
      <c r="AW761" s="168"/>
      <c r="AX761" s="168">
        <f t="shared" si="190"/>
        <v>0</v>
      </c>
      <c r="AY761" s="170"/>
      <c r="AZ761" s="170">
        <f t="shared" si="191"/>
        <v>0</v>
      </c>
      <c r="BA761" s="166"/>
      <c r="BB761" s="166">
        <f t="shared" si="192"/>
        <v>0</v>
      </c>
    </row>
    <row r="762" spans="1:54" s="239" customFormat="1" ht="31.5">
      <c r="A762" s="172" t="s">
        <v>8265</v>
      </c>
      <c r="B762" s="203" t="s">
        <v>337</v>
      </c>
      <c r="C762" s="203"/>
      <c r="D762" s="203"/>
      <c r="E762" s="203" t="s">
        <v>1947</v>
      </c>
      <c r="F762" s="205" t="s">
        <v>1949</v>
      </c>
      <c r="G762" s="205" t="s">
        <v>1946</v>
      </c>
      <c r="H762" s="204" t="s">
        <v>1200</v>
      </c>
      <c r="I762" s="204" t="s">
        <v>13</v>
      </c>
      <c r="J762" s="205" t="s">
        <v>8266</v>
      </c>
      <c r="K762" s="206">
        <v>2499</v>
      </c>
      <c r="L762" s="206"/>
      <c r="M762" s="159">
        <f t="shared" si="178"/>
        <v>4200</v>
      </c>
      <c r="N762" s="159"/>
      <c r="O762" s="159"/>
      <c r="P762" s="159"/>
      <c r="Q762" s="159"/>
      <c r="R762" s="159"/>
      <c r="S762" s="150" t="s">
        <v>5340</v>
      </c>
      <c r="T762" s="150" t="s">
        <v>5341</v>
      </c>
      <c r="U762" s="202" t="s">
        <v>4582</v>
      </c>
      <c r="V762" s="204">
        <v>4</v>
      </c>
      <c r="W762" s="203" t="s">
        <v>5104</v>
      </c>
      <c r="X762" s="204" t="s">
        <v>213</v>
      </c>
      <c r="Y762" s="206">
        <v>2700</v>
      </c>
      <c r="Z762" s="207">
        <v>20000</v>
      </c>
      <c r="AA762" s="207">
        <f t="shared" si="179"/>
        <v>49980000</v>
      </c>
      <c r="AB762" s="157">
        <v>20000</v>
      </c>
      <c r="AC762" s="158">
        <f t="shared" si="193"/>
        <v>15800</v>
      </c>
      <c r="AD762" s="159">
        <f t="shared" si="180"/>
        <v>10495800</v>
      </c>
      <c r="AE762" s="160"/>
      <c r="AF762" s="160">
        <f t="shared" si="181"/>
        <v>0</v>
      </c>
      <c r="AG762" s="161"/>
      <c r="AH762" s="161">
        <f t="shared" si="182"/>
        <v>0</v>
      </c>
      <c r="AI762" s="162"/>
      <c r="AJ762" s="162">
        <f t="shared" si="183"/>
        <v>0</v>
      </c>
      <c r="AK762" s="164"/>
      <c r="AL762" s="164">
        <f t="shared" si="184"/>
        <v>0</v>
      </c>
      <c r="AM762" s="165">
        <v>1200</v>
      </c>
      <c r="AN762" s="165">
        <f t="shared" si="185"/>
        <v>2998800</v>
      </c>
      <c r="AO762" s="166">
        <v>0</v>
      </c>
      <c r="AP762" s="166">
        <f t="shared" si="186"/>
        <v>0</v>
      </c>
      <c r="AQ762" s="162"/>
      <c r="AR762" s="162">
        <f t="shared" si="187"/>
        <v>0</v>
      </c>
      <c r="AS762" s="167">
        <v>3000</v>
      </c>
      <c r="AT762" s="167">
        <f t="shared" si="188"/>
        <v>7497000</v>
      </c>
      <c r="AU762" s="163"/>
      <c r="AV762" s="163">
        <f t="shared" si="189"/>
        <v>0</v>
      </c>
      <c r="AW762" s="168"/>
      <c r="AX762" s="168">
        <f t="shared" si="190"/>
        <v>0</v>
      </c>
      <c r="AY762" s="170"/>
      <c r="AZ762" s="170">
        <f t="shared" si="191"/>
        <v>0</v>
      </c>
      <c r="BA762" s="166"/>
      <c r="BB762" s="166">
        <f t="shared" si="192"/>
        <v>0</v>
      </c>
    </row>
    <row r="763" spans="1:54" s="239" customFormat="1" ht="31.5">
      <c r="A763" s="148" t="s">
        <v>8267</v>
      </c>
      <c r="B763" s="203" t="s">
        <v>337</v>
      </c>
      <c r="C763" s="203"/>
      <c r="D763" s="203"/>
      <c r="E763" s="203" t="s">
        <v>8269</v>
      </c>
      <c r="F763" s="205" t="s">
        <v>8271</v>
      </c>
      <c r="G763" s="205" t="s">
        <v>6536</v>
      </c>
      <c r="H763" s="204" t="s">
        <v>299</v>
      </c>
      <c r="I763" s="204" t="s">
        <v>13</v>
      </c>
      <c r="J763" s="205" t="s">
        <v>8270</v>
      </c>
      <c r="K763" s="206">
        <v>1800</v>
      </c>
      <c r="L763" s="206"/>
      <c r="M763" s="159">
        <f t="shared" si="178"/>
        <v>0</v>
      </c>
      <c r="N763" s="159"/>
      <c r="O763" s="159"/>
      <c r="P763" s="159"/>
      <c r="Q763" s="159"/>
      <c r="R763" s="159"/>
      <c r="S763" s="149" t="s">
        <v>5530</v>
      </c>
      <c r="T763" s="149" t="s">
        <v>5531</v>
      </c>
      <c r="U763" s="202" t="s">
        <v>8268</v>
      </c>
      <c r="V763" s="204">
        <v>4</v>
      </c>
      <c r="W763" s="203" t="s">
        <v>5535</v>
      </c>
      <c r="X763" s="204" t="s">
        <v>213</v>
      </c>
      <c r="Y763" s="206">
        <v>3780</v>
      </c>
      <c r="Z763" s="207">
        <v>20000</v>
      </c>
      <c r="AA763" s="207">
        <f t="shared" si="179"/>
        <v>36000000</v>
      </c>
      <c r="AB763" s="157">
        <v>20000</v>
      </c>
      <c r="AC763" s="158">
        <f t="shared" si="193"/>
        <v>20000</v>
      </c>
      <c r="AD763" s="159">
        <f t="shared" si="180"/>
        <v>0</v>
      </c>
      <c r="AE763" s="160"/>
      <c r="AF763" s="160">
        <f t="shared" si="181"/>
        <v>0</v>
      </c>
      <c r="AG763" s="165"/>
      <c r="AH763" s="161">
        <f t="shared" si="182"/>
        <v>0</v>
      </c>
      <c r="AI763" s="162"/>
      <c r="AJ763" s="162">
        <f t="shared" si="183"/>
        <v>0</v>
      </c>
      <c r="AK763" s="164"/>
      <c r="AL763" s="164">
        <f t="shared" si="184"/>
        <v>0</v>
      </c>
      <c r="AM763" s="165"/>
      <c r="AN763" s="165">
        <f t="shared" si="185"/>
        <v>0</v>
      </c>
      <c r="AO763" s="166">
        <v>0</v>
      </c>
      <c r="AP763" s="166">
        <f t="shared" si="186"/>
        <v>0</v>
      </c>
      <c r="AQ763" s="162"/>
      <c r="AR763" s="162">
        <f t="shared" si="187"/>
        <v>0</v>
      </c>
      <c r="AS763" s="173"/>
      <c r="AT763" s="167">
        <f t="shared" si="188"/>
        <v>0</v>
      </c>
      <c r="AU763" s="163"/>
      <c r="AV763" s="163">
        <f t="shared" si="189"/>
        <v>0</v>
      </c>
      <c r="AW763" s="168"/>
      <c r="AX763" s="168">
        <f t="shared" si="190"/>
        <v>0</v>
      </c>
      <c r="AY763" s="170"/>
      <c r="AZ763" s="170">
        <f t="shared" si="191"/>
        <v>0</v>
      </c>
      <c r="BA763" s="166"/>
      <c r="BB763" s="166">
        <f t="shared" si="192"/>
        <v>0</v>
      </c>
    </row>
    <row r="764" spans="1:54" s="239" customFormat="1">
      <c r="A764" s="148" t="s">
        <v>8272</v>
      </c>
      <c r="B764" s="203" t="s">
        <v>347</v>
      </c>
      <c r="C764" s="203"/>
      <c r="D764" s="203"/>
      <c r="E764" s="203" t="s">
        <v>858</v>
      </c>
      <c r="F764" s="205" t="s">
        <v>860</v>
      </c>
      <c r="G764" s="205" t="s">
        <v>7635</v>
      </c>
      <c r="H764" s="204" t="s">
        <v>238</v>
      </c>
      <c r="I764" s="204" t="s">
        <v>11</v>
      </c>
      <c r="J764" s="205" t="s">
        <v>7634</v>
      </c>
      <c r="K764" s="206">
        <v>355</v>
      </c>
      <c r="L764" s="206"/>
      <c r="M764" s="159">
        <f t="shared" si="178"/>
        <v>0</v>
      </c>
      <c r="N764" s="159"/>
      <c r="O764" s="159"/>
      <c r="P764" s="159"/>
      <c r="Q764" s="159"/>
      <c r="R764" s="159"/>
      <c r="S764" s="149" t="s">
        <v>5993</v>
      </c>
      <c r="T764" s="149" t="s">
        <v>5994</v>
      </c>
      <c r="U764" s="202" t="s">
        <v>8273</v>
      </c>
      <c r="V764" s="204">
        <v>4</v>
      </c>
      <c r="W764" s="203" t="s">
        <v>5104</v>
      </c>
      <c r="X764" s="204" t="s">
        <v>213</v>
      </c>
      <c r="Y764" s="206">
        <v>800</v>
      </c>
      <c r="Z764" s="207">
        <v>60000</v>
      </c>
      <c r="AA764" s="207">
        <f t="shared" si="179"/>
        <v>21300000</v>
      </c>
      <c r="AB764" s="157">
        <v>60000</v>
      </c>
      <c r="AC764" s="158">
        <f t="shared" si="193"/>
        <v>60000</v>
      </c>
      <c r="AD764" s="159">
        <f t="shared" si="180"/>
        <v>0</v>
      </c>
      <c r="AE764" s="160"/>
      <c r="AF764" s="160">
        <f t="shared" si="181"/>
        <v>0</v>
      </c>
      <c r="AG764" s="165"/>
      <c r="AH764" s="161">
        <f t="shared" si="182"/>
        <v>0</v>
      </c>
      <c r="AI764" s="162"/>
      <c r="AJ764" s="162">
        <f t="shared" si="183"/>
        <v>0</v>
      </c>
      <c r="AK764" s="164"/>
      <c r="AL764" s="164">
        <f t="shared" si="184"/>
        <v>0</v>
      </c>
      <c r="AM764" s="165"/>
      <c r="AN764" s="165">
        <f t="shared" si="185"/>
        <v>0</v>
      </c>
      <c r="AO764" s="166">
        <v>0</v>
      </c>
      <c r="AP764" s="166">
        <f t="shared" si="186"/>
        <v>0</v>
      </c>
      <c r="AQ764" s="162"/>
      <c r="AR764" s="162">
        <f t="shared" si="187"/>
        <v>0</v>
      </c>
      <c r="AS764" s="173"/>
      <c r="AT764" s="167">
        <f t="shared" si="188"/>
        <v>0</v>
      </c>
      <c r="AU764" s="163"/>
      <c r="AV764" s="163">
        <f t="shared" si="189"/>
        <v>0</v>
      </c>
      <c r="AW764" s="168"/>
      <c r="AX764" s="168">
        <f t="shared" si="190"/>
        <v>0</v>
      </c>
      <c r="AY764" s="170"/>
      <c r="AZ764" s="170">
        <f t="shared" si="191"/>
        <v>0</v>
      </c>
      <c r="BA764" s="166"/>
      <c r="BB764" s="166">
        <f t="shared" si="192"/>
        <v>0</v>
      </c>
    </row>
    <row r="765" spans="1:54" s="239" customFormat="1">
      <c r="A765" s="172" t="s">
        <v>8274</v>
      </c>
      <c r="B765" s="203" t="s">
        <v>624</v>
      </c>
      <c r="C765" s="203"/>
      <c r="D765" s="203"/>
      <c r="E765" s="203" t="s">
        <v>3825</v>
      </c>
      <c r="F765" s="205" t="s">
        <v>8276</v>
      </c>
      <c r="G765" s="205" t="s">
        <v>463</v>
      </c>
      <c r="H765" s="204" t="s">
        <v>625</v>
      </c>
      <c r="I765" s="204" t="s">
        <v>11</v>
      </c>
      <c r="J765" s="205" t="s">
        <v>8275</v>
      </c>
      <c r="K765" s="206">
        <v>380</v>
      </c>
      <c r="L765" s="206"/>
      <c r="M765" s="159">
        <f t="shared" si="178"/>
        <v>10024</v>
      </c>
      <c r="N765" s="159"/>
      <c r="O765" s="159"/>
      <c r="P765" s="159"/>
      <c r="Q765" s="159"/>
      <c r="R765" s="159"/>
      <c r="S765" s="149" t="s">
        <v>5275</v>
      </c>
      <c r="T765" s="150" t="s">
        <v>463</v>
      </c>
      <c r="U765" s="202" t="s">
        <v>3824</v>
      </c>
      <c r="V765" s="204">
        <v>4</v>
      </c>
      <c r="W765" s="203" t="s">
        <v>5104</v>
      </c>
      <c r="X765" s="204" t="s">
        <v>213</v>
      </c>
      <c r="Y765" s="206">
        <v>1000</v>
      </c>
      <c r="Z765" s="207">
        <v>60000</v>
      </c>
      <c r="AA765" s="207">
        <f t="shared" si="179"/>
        <v>22800000</v>
      </c>
      <c r="AB765" s="157">
        <v>60000</v>
      </c>
      <c r="AC765" s="158">
        <f t="shared" si="193"/>
        <v>49976</v>
      </c>
      <c r="AD765" s="159">
        <f t="shared" si="180"/>
        <v>3809120</v>
      </c>
      <c r="AE765" s="160"/>
      <c r="AF765" s="160">
        <f t="shared" si="181"/>
        <v>0</v>
      </c>
      <c r="AG765" s="161"/>
      <c r="AH765" s="161">
        <f t="shared" si="182"/>
        <v>0</v>
      </c>
      <c r="AI765" s="162"/>
      <c r="AJ765" s="162">
        <f t="shared" si="183"/>
        <v>0</v>
      </c>
      <c r="AK765" s="164"/>
      <c r="AL765" s="164">
        <f t="shared" si="184"/>
        <v>0</v>
      </c>
      <c r="AM765" s="165">
        <v>10024</v>
      </c>
      <c r="AN765" s="165">
        <f t="shared" si="185"/>
        <v>3809120</v>
      </c>
      <c r="AO765" s="166">
        <v>0</v>
      </c>
      <c r="AP765" s="166">
        <f t="shared" si="186"/>
        <v>0</v>
      </c>
      <c r="AQ765" s="162"/>
      <c r="AR765" s="162">
        <f t="shared" si="187"/>
        <v>0</v>
      </c>
      <c r="AS765" s="167"/>
      <c r="AT765" s="167">
        <f t="shared" si="188"/>
        <v>0</v>
      </c>
      <c r="AU765" s="163"/>
      <c r="AV765" s="163">
        <f t="shared" si="189"/>
        <v>0</v>
      </c>
      <c r="AW765" s="168"/>
      <c r="AX765" s="168">
        <f t="shared" si="190"/>
        <v>0</v>
      </c>
      <c r="AY765" s="170"/>
      <c r="AZ765" s="170">
        <f t="shared" si="191"/>
        <v>0</v>
      </c>
      <c r="BA765" s="166"/>
      <c r="BB765" s="166">
        <f t="shared" si="192"/>
        <v>0</v>
      </c>
    </row>
    <row r="766" spans="1:54" s="239" customFormat="1">
      <c r="A766" s="148" t="s">
        <v>8277</v>
      </c>
      <c r="B766" s="203" t="s">
        <v>624</v>
      </c>
      <c r="C766" s="203"/>
      <c r="D766" s="203"/>
      <c r="E766" s="203" t="s">
        <v>3827</v>
      </c>
      <c r="F766" s="205" t="s">
        <v>8279</v>
      </c>
      <c r="G766" s="205" t="s">
        <v>463</v>
      </c>
      <c r="H766" s="204" t="s">
        <v>327</v>
      </c>
      <c r="I766" s="204" t="s">
        <v>11</v>
      </c>
      <c r="J766" s="205" t="s">
        <v>8278</v>
      </c>
      <c r="K766" s="206">
        <v>480</v>
      </c>
      <c r="L766" s="206"/>
      <c r="M766" s="159">
        <f t="shared" si="178"/>
        <v>9000</v>
      </c>
      <c r="N766" s="159"/>
      <c r="O766" s="159"/>
      <c r="P766" s="159"/>
      <c r="Q766" s="159"/>
      <c r="R766" s="159"/>
      <c r="S766" s="149" t="s">
        <v>5275</v>
      </c>
      <c r="T766" s="150" t="s">
        <v>463</v>
      </c>
      <c r="U766" s="202" t="s">
        <v>3812</v>
      </c>
      <c r="V766" s="204">
        <v>4</v>
      </c>
      <c r="W766" s="203" t="s">
        <v>5104</v>
      </c>
      <c r="X766" s="204" t="s">
        <v>213</v>
      </c>
      <c r="Y766" s="206">
        <v>1800</v>
      </c>
      <c r="Z766" s="207">
        <v>40000</v>
      </c>
      <c r="AA766" s="207">
        <f t="shared" si="179"/>
        <v>19200000</v>
      </c>
      <c r="AB766" s="157">
        <v>40000</v>
      </c>
      <c r="AC766" s="158">
        <f t="shared" si="193"/>
        <v>31000</v>
      </c>
      <c r="AD766" s="159">
        <f t="shared" si="180"/>
        <v>4320000</v>
      </c>
      <c r="AE766" s="160"/>
      <c r="AF766" s="160">
        <f t="shared" si="181"/>
        <v>0</v>
      </c>
      <c r="AG766" s="161"/>
      <c r="AH766" s="161">
        <f t="shared" si="182"/>
        <v>0</v>
      </c>
      <c r="AI766" s="162"/>
      <c r="AJ766" s="162">
        <f t="shared" si="183"/>
        <v>0</v>
      </c>
      <c r="AK766" s="164"/>
      <c r="AL766" s="164">
        <f t="shared" si="184"/>
        <v>0</v>
      </c>
      <c r="AM766" s="165"/>
      <c r="AN766" s="165">
        <f t="shared" si="185"/>
        <v>0</v>
      </c>
      <c r="AO766" s="166">
        <v>0</v>
      </c>
      <c r="AP766" s="166">
        <f t="shared" si="186"/>
        <v>0</v>
      </c>
      <c r="AQ766" s="162"/>
      <c r="AR766" s="162">
        <f t="shared" si="187"/>
        <v>0</v>
      </c>
      <c r="AS766" s="167">
        <v>9000</v>
      </c>
      <c r="AT766" s="167">
        <f t="shared" si="188"/>
        <v>4320000</v>
      </c>
      <c r="AU766" s="163"/>
      <c r="AV766" s="163">
        <f t="shared" si="189"/>
        <v>0</v>
      </c>
      <c r="AW766" s="168"/>
      <c r="AX766" s="168">
        <f t="shared" si="190"/>
        <v>0</v>
      </c>
      <c r="AY766" s="170"/>
      <c r="AZ766" s="170">
        <f t="shared" si="191"/>
        <v>0</v>
      </c>
      <c r="BA766" s="166"/>
      <c r="BB766" s="166">
        <f t="shared" si="192"/>
        <v>0</v>
      </c>
    </row>
    <row r="767" spans="1:54" s="239" customFormat="1" ht="31.5">
      <c r="A767" s="148" t="s">
        <v>8280</v>
      </c>
      <c r="B767" s="203" t="s">
        <v>4017</v>
      </c>
      <c r="C767" s="203"/>
      <c r="D767" s="203"/>
      <c r="E767" s="203" t="s">
        <v>8282</v>
      </c>
      <c r="F767" s="205" t="s">
        <v>8284</v>
      </c>
      <c r="G767" s="205" t="s">
        <v>1953</v>
      </c>
      <c r="H767" s="204" t="s">
        <v>327</v>
      </c>
      <c r="I767" s="204" t="s">
        <v>11</v>
      </c>
      <c r="J767" s="205" t="s">
        <v>8283</v>
      </c>
      <c r="K767" s="206">
        <v>2184</v>
      </c>
      <c r="L767" s="206"/>
      <c r="M767" s="159">
        <f t="shared" si="178"/>
        <v>0</v>
      </c>
      <c r="N767" s="159"/>
      <c r="O767" s="159"/>
      <c r="P767" s="159"/>
      <c r="Q767" s="159"/>
      <c r="R767" s="159"/>
      <c r="S767" s="150" t="s">
        <v>5340</v>
      </c>
      <c r="T767" s="150" t="s">
        <v>5341</v>
      </c>
      <c r="U767" s="202" t="s">
        <v>8281</v>
      </c>
      <c r="V767" s="204">
        <v>4</v>
      </c>
      <c r="W767" s="203" t="s">
        <v>5104</v>
      </c>
      <c r="X767" s="204" t="s">
        <v>213</v>
      </c>
      <c r="Y767" s="206">
        <v>3500</v>
      </c>
      <c r="Z767" s="207">
        <v>40000</v>
      </c>
      <c r="AA767" s="207">
        <f t="shared" si="179"/>
        <v>87360000</v>
      </c>
      <c r="AB767" s="157">
        <v>40000</v>
      </c>
      <c r="AC767" s="158">
        <f t="shared" si="193"/>
        <v>40000</v>
      </c>
      <c r="AD767" s="159">
        <f t="shared" si="180"/>
        <v>0</v>
      </c>
      <c r="AE767" s="160"/>
      <c r="AF767" s="160">
        <f t="shared" si="181"/>
        <v>0</v>
      </c>
      <c r="AG767" s="165"/>
      <c r="AH767" s="161">
        <f t="shared" si="182"/>
        <v>0</v>
      </c>
      <c r="AI767" s="162"/>
      <c r="AJ767" s="162">
        <f t="shared" si="183"/>
        <v>0</v>
      </c>
      <c r="AK767" s="164"/>
      <c r="AL767" s="164">
        <f t="shared" si="184"/>
        <v>0</v>
      </c>
      <c r="AM767" s="165"/>
      <c r="AN767" s="165">
        <f t="shared" si="185"/>
        <v>0</v>
      </c>
      <c r="AO767" s="166">
        <v>0</v>
      </c>
      <c r="AP767" s="166">
        <f t="shared" si="186"/>
        <v>0</v>
      </c>
      <c r="AQ767" s="162"/>
      <c r="AR767" s="162">
        <f t="shared" si="187"/>
        <v>0</v>
      </c>
      <c r="AS767" s="173"/>
      <c r="AT767" s="167">
        <f t="shared" si="188"/>
        <v>0</v>
      </c>
      <c r="AU767" s="163"/>
      <c r="AV767" s="163">
        <f t="shared" si="189"/>
        <v>0</v>
      </c>
      <c r="AW767" s="168"/>
      <c r="AX767" s="168">
        <f t="shared" si="190"/>
        <v>0</v>
      </c>
      <c r="AY767" s="170"/>
      <c r="AZ767" s="170">
        <f t="shared" si="191"/>
        <v>0</v>
      </c>
      <c r="BA767" s="166"/>
      <c r="BB767" s="166">
        <f t="shared" si="192"/>
        <v>0</v>
      </c>
    </row>
    <row r="768" spans="1:54" s="239" customFormat="1" ht="31.5">
      <c r="A768" s="172" t="s">
        <v>8285</v>
      </c>
      <c r="B768" s="203" t="s">
        <v>2503</v>
      </c>
      <c r="C768" s="203"/>
      <c r="D768" s="203"/>
      <c r="E768" s="203" t="s">
        <v>2504</v>
      </c>
      <c r="F768" s="205" t="s">
        <v>3072</v>
      </c>
      <c r="G768" s="205" t="s">
        <v>7783</v>
      </c>
      <c r="H768" s="204" t="s">
        <v>327</v>
      </c>
      <c r="I768" s="204" t="s">
        <v>11</v>
      </c>
      <c r="J768" s="205" t="s">
        <v>5690</v>
      </c>
      <c r="K768" s="206">
        <v>3500</v>
      </c>
      <c r="L768" s="206"/>
      <c r="M768" s="159">
        <f t="shared" si="178"/>
        <v>3000</v>
      </c>
      <c r="N768" s="159"/>
      <c r="O768" s="159"/>
      <c r="P768" s="159"/>
      <c r="Q768" s="159"/>
      <c r="R768" s="159"/>
      <c r="S768" s="149" t="s">
        <v>5206</v>
      </c>
      <c r="T768" s="149" t="s">
        <v>5207</v>
      </c>
      <c r="U768" s="202" t="s">
        <v>4115</v>
      </c>
      <c r="V768" s="204">
        <v>4</v>
      </c>
      <c r="W768" s="203" t="s">
        <v>5104</v>
      </c>
      <c r="X768" s="204" t="s">
        <v>213</v>
      </c>
      <c r="Y768" s="206">
        <v>4300</v>
      </c>
      <c r="Z768" s="207">
        <v>20000</v>
      </c>
      <c r="AA768" s="207">
        <f t="shared" si="179"/>
        <v>70000000</v>
      </c>
      <c r="AB768" s="157">
        <v>20000</v>
      </c>
      <c r="AC768" s="158">
        <f t="shared" si="193"/>
        <v>17000</v>
      </c>
      <c r="AD768" s="159">
        <f t="shared" si="180"/>
        <v>10500000</v>
      </c>
      <c r="AE768" s="160"/>
      <c r="AF768" s="160">
        <f t="shared" si="181"/>
        <v>0</v>
      </c>
      <c r="AG768" s="165"/>
      <c r="AH768" s="161">
        <f t="shared" si="182"/>
        <v>0</v>
      </c>
      <c r="AI768" s="162"/>
      <c r="AJ768" s="162">
        <f t="shared" si="183"/>
        <v>0</v>
      </c>
      <c r="AK768" s="164"/>
      <c r="AL768" s="164">
        <f t="shared" si="184"/>
        <v>0</v>
      </c>
      <c r="AM768" s="165"/>
      <c r="AN768" s="165">
        <f t="shared" si="185"/>
        <v>0</v>
      </c>
      <c r="AO768" s="166">
        <v>0</v>
      </c>
      <c r="AP768" s="166">
        <f t="shared" si="186"/>
        <v>0</v>
      </c>
      <c r="AQ768" s="162"/>
      <c r="AR768" s="162">
        <f t="shared" si="187"/>
        <v>0</v>
      </c>
      <c r="AS768" s="173">
        <v>3000</v>
      </c>
      <c r="AT768" s="167">
        <f t="shared" si="188"/>
        <v>10500000</v>
      </c>
      <c r="AU768" s="163"/>
      <c r="AV768" s="163">
        <f t="shared" si="189"/>
        <v>0</v>
      </c>
      <c r="AW768" s="168"/>
      <c r="AX768" s="168">
        <f t="shared" si="190"/>
        <v>0</v>
      </c>
      <c r="AY768" s="170"/>
      <c r="AZ768" s="170">
        <f t="shared" si="191"/>
        <v>0</v>
      </c>
      <c r="BA768" s="166"/>
      <c r="BB768" s="166">
        <f t="shared" si="192"/>
        <v>0</v>
      </c>
    </row>
    <row r="769" spans="1:54" s="239" customFormat="1" ht="31.5">
      <c r="A769" s="148" t="s">
        <v>8286</v>
      </c>
      <c r="B769" s="203" t="s">
        <v>555</v>
      </c>
      <c r="C769" s="203"/>
      <c r="D769" s="203"/>
      <c r="E769" s="203" t="s">
        <v>8288</v>
      </c>
      <c r="F769" s="205" t="s">
        <v>8289</v>
      </c>
      <c r="G769" s="205" t="s">
        <v>8290</v>
      </c>
      <c r="H769" s="204" t="s">
        <v>232</v>
      </c>
      <c r="I769" s="204" t="s">
        <v>11</v>
      </c>
      <c r="J769" s="205" t="s">
        <v>5690</v>
      </c>
      <c r="K769" s="206">
        <v>3490</v>
      </c>
      <c r="L769" s="206"/>
      <c r="M769" s="159">
        <f t="shared" si="178"/>
        <v>0</v>
      </c>
      <c r="N769" s="159"/>
      <c r="O769" s="159"/>
      <c r="P769" s="159"/>
      <c r="Q769" s="159"/>
      <c r="R769" s="159"/>
      <c r="S769" s="150" t="s">
        <v>5283</v>
      </c>
      <c r="T769" s="150" t="s">
        <v>5284</v>
      </c>
      <c r="U769" s="202" t="s">
        <v>8287</v>
      </c>
      <c r="V769" s="204">
        <v>4</v>
      </c>
      <c r="W769" s="203" t="s">
        <v>5104</v>
      </c>
      <c r="X769" s="204" t="s">
        <v>213</v>
      </c>
      <c r="Y769" s="206">
        <v>4800</v>
      </c>
      <c r="Z769" s="207">
        <v>50000</v>
      </c>
      <c r="AA769" s="207">
        <f t="shared" si="179"/>
        <v>174500000</v>
      </c>
      <c r="AB769" s="157">
        <v>50000</v>
      </c>
      <c r="AC769" s="158">
        <f t="shared" si="193"/>
        <v>50000</v>
      </c>
      <c r="AD769" s="159">
        <f t="shared" si="180"/>
        <v>0</v>
      </c>
      <c r="AE769" s="160"/>
      <c r="AF769" s="160">
        <f t="shared" si="181"/>
        <v>0</v>
      </c>
      <c r="AG769" s="165"/>
      <c r="AH769" s="161">
        <f t="shared" si="182"/>
        <v>0</v>
      </c>
      <c r="AI769" s="162"/>
      <c r="AJ769" s="162">
        <f t="shared" si="183"/>
        <v>0</v>
      </c>
      <c r="AK769" s="164"/>
      <c r="AL769" s="164">
        <f t="shared" si="184"/>
        <v>0</v>
      </c>
      <c r="AM769" s="165"/>
      <c r="AN769" s="165">
        <f t="shared" si="185"/>
        <v>0</v>
      </c>
      <c r="AO769" s="166">
        <v>0</v>
      </c>
      <c r="AP769" s="166">
        <f t="shared" si="186"/>
        <v>0</v>
      </c>
      <c r="AQ769" s="162"/>
      <c r="AR769" s="162">
        <f t="shared" si="187"/>
        <v>0</v>
      </c>
      <c r="AS769" s="173"/>
      <c r="AT769" s="167">
        <f t="shared" si="188"/>
        <v>0</v>
      </c>
      <c r="AU769" s="163"/>
      <c r="AV769" s="163">
        <f t="shared" si="189"/>
        <v>0</v>
      </c>
      <c r="AW769" s="168"/>
      <c r="AX769" s="168">
        <f t="shared" si="190"/>
        <v>0</v>
      </c>
      <c r="AY769" s="170"/>
      <c r="AZ769" s="170">
        <f t="shared" si="191"/>
        <v>0</v>
      </c>
      <c r="BA769" s="166"/>
      <c r="BB769" s="166">
        <f t="shared" si="192"/>
        <v>0</v>
      </c>
    </row>
    <row r="770" spans="1:54" s="239" customFormat="1" ht="31.5">
      <c r="A770" s="148" t="s">
        <v>8291</v>
      </c>
      <c r="B770" s="203" t="s">
        <v>555</v>
      </c>
      <c r="C770" s="203"/>
      <c r="D770" s="203"/>
      <c r="E770" s="203" t="s">
        <v>4119</v>
      </c>
      <c r="F770" s="205" t="s">
        <v>8293</v>
      </c>
      <c r="G770" s="205" t="s">
        <v>8294</v>
      </c>
      <c r="H770" s="204" t="s">
        <v>262</v>
      </c>
      <c r="I770" s="204" t="s">
        <v>11</v>
      </c>
      <c r="J770" s="205" t="s">
        <v>8292</v>
      </c>
      <c r="K770" s="206">
        <v>6800</v>
      </c>
      <c r="L770" s="206"/>
      <c r="M770" s="159">
        <f t="shared" si="178"/>
        <v>9996</v>
      </c>
      <c r="N770" s="159"/>
      <c r="O770" s="159"/>
      <c r="P770" s="159"/>
      <c r="Q770" s="159"/>
      <c r="R770" s="159"/>
      <c r="S770" s="149" t="s">
        <v>5669</v>
      </c>
      <c r="T770" s="149" t="s">
        <v>5670</v>
      </c>
      <c r="U770" s="202" t="s">
        <v>4118</v>
      </c>
      <c r="V770" s="204">
        <v>4</v>
      </c>
      <c r="W770" s="203" t="s">
        <v>5104</v>
      </c>
      <c r="X770" s="204" t="s">
        <v>213</v>
      </c>
      <c r="Y770" s="206">
        <v>6800</v>
      </c>
      <c r="Z770" s="207">
        <v>10000</v>
      </c>
      <c r="AA770" s="207">
        <f t="shared" si="179"/>
        <v>68000000</v>
      </c>
      <c r="AB770" s="157">
        <v>10000</v>
      </c>
      <c r="AC770" s="158">
        <f t="shared" si="193"/>
        <v>4</v>
      </c>
      <c r="AD770" s="159">
        <f t="shared" si="180"/>
        <v>67972800</v>
      </c>
      <c r="AE770" s="160"/>
      <c r="AF770" s="160">
        <f t="shared" si="181"/>
        <v>0</v>
      </c>
      <c r="AG770" s="165"/>
      <c r="AH770" s="161">
        <f t="shared" si="182"/>
        <v>0</v>
      </c>
      <c r="AI770" s="162"/>
      <c r="AJ770" s="162">
        <f t="shared" si="183"/>
        <v>0</v>
      </c>
      <c r="AK770" s="164"/>
      <c r="AL770" s="164">
        <f t="shared" si="184"/>
        <v>0</v>
      </c>
      <c r="AM770" s="165">
        <v>1400</v>
      </c>
      <c r="AN770" s="165">
        <f t="shared" si="185"/>
        <v>9520000</v>
      </c>
      <c r="AO770" s="166">
        <v>8596</v>
      </c>
      <c r="AP770" s="166">
        <f t="shared" si="186"/>
        <v>58452800</v>
      </c>
      <c r="AQ770" s="162"/>
      <c r="AR770" s="162">
        <f t="shared" si="187"/>
        <v>0</v>
      </c>
      <c r="AS770" s="173"/>
      <c r="AT770" s="167">
        <f t="shared" si="188"/>
        <v>0</v>
      </c>
      <c r="AU770" s="163"/>
      <c r="AV770" s="163">
        <f t="shared" si="189"/>
        <v>0</v>
      </c>
      <c r="AW770" s="168"/>
      <c r="AX770" s="168">
        <f t="shared" si="190"/>
        <v>0</v>
      </c>
      <c r="AY770" s="170"/>
      <c r="AZ770" s="170">
        <f t="shared" si="191"/>
        <v>0</v>
      </c>
      <c r="BA770" s="166"/>
      <c r="BB770" s="166">
        <f t="shared" si="192"/>
        <v>0</v>
      </c>
    </row>
    <row r="771" spans="1:54" s="239" customFormat="1">
      <c r="A771" s="172" t="s">
        <v>8295</v>
      </c>
      <c r="B771" s="203" t="s">
        <v>645</v>
      </c>
      <c r="C771" s="203"/>
      <c r="D771" s="203"/>
      <c r="E771" s="203" t="s">
        <v>4282</v>
      </c>
      <c r="F771" s="205" t="s">
        <v>8297</v>
      </c>
      <c r="G771" s="205" t="s">
        <v>463</v>
      </c>
      <c r="H771" s="204" t="s">
        <v>248</v>
      </c>
      <c r="I771" s="204" t="s">
        <v>11</v>
      </c>
      <c r="J771" s="205" t="s">
        <v>8296</v>
      </c>
      <c r="K771" s="206">
        <v>2090</v>
      </c>
      <c r="L771" s="206"/>
      <c r="M771" s="159">
        <f t="shared" si="178"/>
        <v>9000</v>
      </c>
      <c r="N771" s="159"/>
      <c r="O771" s="159"/>
      <c r="P771" s="159"/>
      <c r="Q771" s="159"/>
      <c r="R771" s="159"/>
      <c r="S771" s="149" t="s">
        <v>5275</v>
      </c>
      <c r="T771" s="150" t="s">
        <v>463</v>
      </c>
      <c r="U771" s="202" t="s">
        <v>4281</v>
      </c>
      <c r="V771" s="204">
        <v>4</v>
      </c>
      <c r="W771" s="203" t="s">
        <v>5104</v>
      </c>
      <c r="X771" s="204" t="s">
        <v>213</v>
      </c>
      <c r="Y771" s="206">
        <v>2100</v>
      </c>
      <c r="Z771" s="207">
        <v>100000</v>
      </c>
      <c r="AA771" s="207">
        <f t="shared" si="179"/>
        <v>209000000</v>
      </c>
      <c r="AB771" s="157">
        <v>100000</v>
      </c>
      <c r="AC771" s="158">
        <f t="shared" si="193"/>
        <v>91000</v>
      </c>
      <c r="AD771" s="159">
        <f t="shared" si="180"/>
        <v>18810000</v>
      </c>
      <c r="AE771" s="160"/>
      <c r="AF771" s="160">
        <f t="shared" si="181"/>
        <v>0</v>
      </c>
      <c r="AG771" s="165"/>
      <c r="AH771" s="161">
        <f t="shared" si="182"/>
        <v>0</v>
      </c>
      <c r="AI771" s="162"/>
      <c r="AJ771" s="162">
        <f t="shared" si="183"/>
        <v>0</v>
      </c>
      <c r="AK771" s="164"/>
      <c r="AL771" s="164">
        <f t="shared" si="184"/>
        <v>0</v>
      </c>
      <c r="AM771" s="165"/>
      <c r="AN771" s="165">
        <f t="shared" si="185"/>
        <v>0</v>
      </c>
      <c r="AO771" s="166">
        <v>0</v>
      </c>
      <c r="AP771" s="166">
        <f t="shared" si="186"/>
        <v>0</v>
      </c>
      <c r="AQ771" s="162"/>
      <c r="AR771" s="162">
        <f t="shared" si="187"/>
        <v>0</v>
      </c>
      <c r="AS771" s="173">
        <v>9000</v>
      </c>
      <c r="AT771" s="167">
        <f t="shared" si="188"/>
        <v>18810000</v>
      </c>
      <c r="AU771" s="163"/>
      <c r="AV771" s="163">
        <f t="shared" si="189"/>
        <v>0</v>
      </c>
      <c r="AW771" s="168"/>
      <c r="AX771" s="168">
        <f t="shared" si="190"/>
        <v>0</v>
      </c>
      <c r="AY771" s="170"/>
      <c r="AZ771" s="170">
        <f t="shared" si="191"/>
        <v>0</v>
      </c>
      <c r="BA771" s="166"/>
      <c r="BB771" s="166">
        <f t="shared" si="192"/>
        <v>0</v>
      </c>
    </row>
    <row r="772" spans="1:54" s="239" customFormat="1" ht="31.5">
      <c r="A772" s="148" t="s">
        <v>8298</v>
      </c>
      <c r="B772" s="203" t="s">
        <v>645</v>
      </c>
      <c r="C772" s="203"/>
      <c r="D772" s="203"/>
      <c r="E772" s="203" t="s">
        <v>4306</v>
      </c>
      <c r="F772" s="205" t="s">
        <v>8299</v>
      </c>
      <c r="G772" s="205" t="s">
        <v>6552</v>
      </c>
      <c r="H772" s="204" t="s">
        <v>291</v>
      </c>
      <c r="I772" s="204" t="s">
        <v>11</v>
      </c>
      <c r="J772" s="205" t="s">
        <v>6550</v>
      </c>
      <c r="K772" s="206">
        <v>990</v>
      </c>
      <c r="L772" s="206"/>
      <c r="M772" s="159">
        <f t="shared" ref="M772:M835" si="194">AE772+AG772+AI772+AK772+AM772+AO772+AQ772+AS772+AU772+AW772+AY772+BA772</f>
        <v>9990</v>
      </c>
      <c r="N772" s="159"/>
      <c r="O772" s="159"/>
      <c r="P772" s="159"/>
      <c r="Q772" s="159"/>
      <c r="R772" s="159"/>
      <c r="S772" s="150" t="s">
        <v>5301</v>
      </c>
      <c r="T772" s="150" t="s">
        <v>5302</v>
      </c>
      <c r="U772" s="202" t="s">
        <v>4279</v>
      </c>
      <c r="V772" s="204">
        <v>4</v>
      </c>
      <c r="W772" s="203" t="s">
        <v>5104</v>
      </c>
      <c r="X772" s="204" t="s">
        <v>213</v>
      </c>
      <c r="Y772" s="206">
        <v>2480</v>
      </c>
      <c r="Z772" s="207">
        <v>100000</v>
      </c>
      <c r="AA772" s="207">
        <f t="shared" ref="AA772:AA835" si="195">Z772*K772</f>
        <v>99000000</v>
      </c>
      <c r="AB772" s="157">
        <v>100000</v>
      </c>
      <c r="AC772" s="158">
        <f t="shared" si="193"/>
        <v>90010</v>
      </c>
      <c r="AD772" s="159">
        <f t="shared" ref="AD772:AD835" si="196">M772*K772</f>
        <v>9890100</v>
      </c>
      <c r="AE772" s="160"/>
      <c r="AF772" s="160">
        <f t="shared" ref="AF772:AF835" si="197">AE772*K772</f>
        <v>0</v>
      </c>
      <c r="AG772" s="165"/>
      <c r="AH772" s="161">
        <f t="shared" ref="AH772:AH835" si="198">AG772*K772</f>
        <v>0</v>
      </c>
      <c r="AI772" s="162"/>
      <c r="AJ772" s="162">
        <f t="shared" ref="AJ772:AJ832" si="199">AI772*K772</f>
        <v>0</v>
      </c>
      <c r="AK772" s="164"/>
      <c r="AL772" s="164">
        <f t="shared" ref="AL772:AL832" si="200">AK772*K772</f>
        <v>0</v>
      </c>
      <c r="AM772" s="165"/>
      <c r="AN772" s="165">
        <f t="shared" ref="AN772:AN832" si="201">AM772*K772</f>
        <v>0</v>
      </c>
      <c r="AO772" s="166">
        <v>0</v>
      </c>
      <c r="AP772" s="166">
        <f t="shared" ref="AP772:AP832" si="202">AO772*K772</f>
        <v>0</v>
      </c>
      <c r="AQ772" s="162"/>
      <c r="AR772" s="162">
        <f t="shared" ref="AR772:AR835" si="203">AQ772*K772</f>
        <v>0</v>
      </c>
      <c r="AS772" s="173">
        <v>9990</v>
      </c>
      <c r="AT772" s="167">
        <f t="shared" ref="AT772:AT835" si="204">AS772*K772</f>
        <v>9890100</v>
      </c>
      <c r="AU772" s="163"/>
      <c r="AV772" s="163">
        <f t="shared" ref="AV772:AV835" si="205">AU772*K772</f>
        <v>0</v>
      </c>
      <c r="AW772" s="168"/>
      <c r="AX772" s="168">
        <f t="shared" ref="AX772:AX835" si="206">AW772*K772</f>
        <v>0</v>
      </c>
      <c r="AY772" s="170"/>
      <c r="AZ772" s="170">
        <f t="shared" ref="AZ772:AZ835" si="207">AY772*K772</f>
        <v>0</v>
      </c>
      <c r="BA772" s="166"/>
      <c r="BB772" s="166">
        <f t="shared" ref="BB772:BB835" si="208">BA772*K772</f>
        <v>0</v>
      </c>
    </row>
    <row r="773" spans="1:54" s="239" customFormat="1" ht="31.5">
      <c r="A773" s="148" t="s">
        <v>8300</v>
      </c>
      <c r="B773" s="203" t="s">
        <v>1800</v>
      </c>
      <c r="C773" s="203"/>
      <c r="D773" s="203"/>
      <c r="E773" s="203" t="s">
        <v>8302</v>
      </c>
      <c r="F773" s="205" t="s">
        <v>8304</v>
      </c>
      <c r="G773" s="205" t="s">
        <v>8305</v>
      </c>
      <c r="H773" s="204" t="s">
        <v>550</v>
      </c>
      <c r="I773" s="204" t="s">
        <v>11</v>
      </c>
      <c r="J773" s="205" t="s">
        <v>8303</v>
      </c>
      <c r="K773" s="206">
        <v>6500</v>
      </c>
      <c r="L773" s="206"/>
      <c r="M773" s="159">
        <f t="shared" si="194"/>
        <v>0</v>
      </c>
      <c r="N773" s="159"/>
      <c r="O773" s="159"/>
      <c r="P773" s="159"/>
      <c r="Q773" s="159"/>
      <c r="R773" s="159"/>
      <c r="S773" s="149" t="s">
        <v>5993</v>
      </c>
      <c r="T773" s="149" t="s">
        <v>5994</v>
      </c>
      <c r="U773" s="202" t="s">
        <v>8301</v>
      </c>
      <c r="V773" s="204">
        <v>4</v>
      </c>
      <c r="W773" s="203" t="s">
        <v>253</v>
      </c>
      <c r="X773" s="204" t="s">
        <v>213</v>
      </c>
      <c r="Y773" s="206">
        <v>8737</v>
      </c>
      <c r="Z773" s="207">
        <v>30000</v>
      </c>
      <c r="AA773" s="207">
        <f t="shared" si="195"/>
        <v>195000000</v>
      </c>
      <c r="AB773" s="157">
        <v>30000</v>
      </c>
      <c r="AC773" s="158">
        <f t="shared" si="193"/>
        <v>30000</v>
      </c>
      <c r="AD773" s="159">
        <f t="shared" si="196"/>
        <v>0</v>
      </c>
      <c r="AE773" s="160"/>
      <c r="AF773" s="160">
        <f t="shared" si="197"/>
        <v>0</v>
      </c>
      <c r="AG773" s="165"/>
      <c r="AH773" s="161">
        <f t="shared" si="198"/>
        <v>0</v>
      </c>
      <c r="AI773" s="162"/>
      <c r="AJ773" s="162">
        <f t="shared" si="199"/>
        <v>0</v>
      </c>
      <c r="AK773" s="164"/>
      <c r="AL773" s="164">
        <f t="shared" si="200"/>
        <v>0</v>
      </c>
      <c r="AM773" s="165"/>
      <c r="AN773" s="165">
        <f t="shared" si="201"/>
        <v>0</v>
      </c>
      <c r="AO773" s="166">
        <v>0</v>
      </c>
      <c r="AP773" s="166">
        <f t="shared" si="202"/>
        <v>0</v>
      </c>
      <c r="AQ773" s="162"/>
      <c r="AR773" s="162">
        <f t="shared" si="203"/>
        <v>0</v>
      </c>
      <c r="AS773" s="173"/>
      <c r="AT773" s="167">
        <f t="shared" si="204"/>
        <v>0</v>
      </c>
      <c r="AU773" s="163"/>
      <c r="AV773" s="163">
        <f t="shared" si="205"/>
        <v>0</v>
      </c>
      <c r="AW773" s="168"/>
      <c r="AX773" s="168">
        <f t="shared" si="206"/>
        <v>0</v>
      </c>
      <c r="AY773" s="170"/>
      <c r="AZ773" s="170">
        <f t="shared" si="207"/>
        <v>0</v>
      </c>
      <c r="BA773" s="166"/>
      <c r="BB773" s="166">
        <f t="shared" si="208"/>
        <v>0</v>
      </c>
    </row>
    <row r="774" spans="1:54" s="239" customFormat="1" ht="112.5">
      <c r="A774" s="172" t="s">
        <v>8306</v>
      </c>
      <c r="B774" s="203" t="s">
        <v>1800</v>
      </c>
      <c r="C774" s="203"/>
      <c r="D774" s="203"/>
      <c r="E774" s="203" t="s">
        <v>4237</v>
      </c>
      <c r="F774" s="205" t="s">
        <v>8307</v>
      </c>
      <c r="G774" s="205" t="s">
        <v>6102</v>
      </c>
      <c r="H774" s="204" t="s">
        <v>229</v>
      </c>
      <c r="I774" s="204" t="s">
        <v>11</v>
      </c>
      <c r="J774" s="205" t="s">
        <v>6009</v>
      </c>
      <c r="K774" s="206">
        <v>2500</v>
      </c>
      <c r="L774" s="206"/>
      <c r="M774" s="159">
        <f t="shared" si="194"/>
        <v>3000</v>
      </c>
      <c r="N774" s="159"/>
      <c r="O774" s="159"/>
      <c r="P774" s="159"/>
      <c r="Q774" s="159"/>
      <c r="R774" s="159"/>
      <c r="S774" s="209" t="s">
        <v>5848</v>
      </c>
      <c r="T774" s="203" t="s">
        <v>5849</v>
      </c>
      <c r="U774" s="202" t="s">
        <v>4236</v>
      </c>
      <c r="V774" s="204">
        <v>4</v>
      </c>
      <c r="W774" s="203" t="s">
        <v>253</v>
      </c>
      <c r="X774" s="204" t="s">
        <v>213</v>
      </c>
      <c r="Y774" s="206">
        <v>5600</v>
      </c>
      <c r="Z774" s="207">
        <v>60000</v>
      </c>
      <c r="AA774" s="207">
        <f t="shared" si="195"/>
        <v>150000000</v>
      </c>
      <c r="AB774" s="157">
        <v>60000</v>
      </c>
      <c r="AC774" s="158">
        <f t="shared" si="193"/>
        <v>57000</v>
      </c>
      <c r="AD774" s="159">
        <f t="shared" si="196"/>
        <v>7500000</v>
      </c>
      <c r="AE774" s="160"/>
      <c r="AF774" s="160">
        <f t="shared" si="197"/>
        <v>0</v>
      </c>
      <c r="AG774" s="165"/>
      <c r="AH774" s="161">
        <f t="shared" si="198"/>
        <v>0</v>
      </c>
      <c r="AI774" s="162"/>
      <c r="AJ774" s="162">
        <f t="shared" si="199"/>
        <v>0</v>
      </c>
      <c r="AK774" s="164"/>
      <c r="AL774" s="164">
        <f t="shared" si="200"/>
        <v>0</v>
      </c>
      <c r="AM774" s="165"/>
      <c r="AN774" s="165">
        <f t="shared" si="201"/>
        <v>0</v>
      </c>
      <c r="AO774" s="166">
        <v>0</v>
      </c>
      <c r="AP774" s="166">
        <f t="shared" si="202"/>
        <v>0</v>
      </c>
      <c r="AQ774" s="162"/>
      <c r="AR774" s="162">
        <f t="shared" si="203"/>
        <v>0</v>
      </c>
      <c r="AS774" s="173">
        <v>3000</v>
      </c>
      <c r="AT774" s="167">
        <f t="shared" si="204"/>
        <v>7500000</v>
      </c>
      <c r="AU774" s="163"/>
      <c r="AV774" s="163">
        <f t="shared" si="205"/>
        <v>0</v>
      </c>
      <c r="AW774" s="168"/>
      <c r="AX774" s="168">
        <f t="shared" si="206"/>
        <v>0</v>
      </c>
      <c r="AY774" s="170"/>
      <c r="AZ774" s="170">
        <f t="shared" si="207"/>
        <v>0</v>
      </c>
      <c r="BA774" s="166"/>
      <c r="BB774" s="166">
        <f t="shared" si="208"/>
        <v>0</v>
      </c>
    </row>
    <row r="775" spans="1:54" s="239" customFormat="1" ht="31.5">
      <c r="A775" s="148" t="s">
        <v>8308</v>
      </c>
      <c r="B775" s="203" t="s">
        <v>634</v>
      </c>
      <c r="C775" s="203"/>
      <c r="D775" s="203"/>
      <c r="E775" s="203" t="s">
        <v>8310</v>
      </c>
      <c r="F775" s="205" t="s">
        <v>8312</v>
      </c>
      <c r="G775" s="205" t="s">
        <v>8294</v>
      </c>
      <c r="H775" s="204" t="s">
        <v>267</v>
      </c>
      <c r="I775" s="204" t="s">
        <v>11</v>
      </c>
      <c r="J775" s="205" t="s">
        <v>8311</v>
      </c>
      <c r="K775" s="206">
        <v>7500</v>
      </c>
      <c r="L775" s="206"/>
      <c r="M775" s="159">
        <f t="shared" si="194"/>
        <v>0</v>
      </c>
      <c r="N775" s="159"/>
      <c r="O775" s="159"/>
      <c r="P775" s="159"/>
      <c r="Q775" s="159"/>
      <c r="R775" s="159"/>
      <c r="S775" s="149" t="s">
        <v>5669</v>
      </c>
      <c r="T775" s="149" t="s">
        <v>5670</v>
      </c>
      <c r="U775" s="202" t="s">
        <v>8309</v>
      </c>
      <c r="V775" s="204">
        <v>4</v>
      </c>
      <c r="W775" s="203" t="s">
        <v>253</v>
      </c>
      <c r="X775" s="204" t="s">
        <v>213</v>
      </c>
      <c r="Y775" s="206">
        <v>7500</v>
      </c>
      <c r="Z775" s="207">
        <v>40000</v>
      </c>
      <c r="AA775" s="207">
        <f t="shared" si="195"/>
        <v>300000000</v>
      </c>
      <c r="AB775" s="157">
        <v>40000</v>
      </c>
      <c r="AC775" s="158">
        <f t="shared" si="193"/>
        <v>40000</v>
      </c>
      <c r="AD775" s="159">
        <f t="shared" si="196"/>
        <v>0</v>
      </c>
      <c r="AE775" s="160"/>
      <c r="AF775" s="160">
        <f t="shared" si="197"/>
        <v>0</v>
      </c>
      <c r="AG775" s="165"/>
      <c r="AH775" s="161">
        <f t="shared" si="198"/>
        <v>0</v>
      </c>
      <c r="AI775" s="162"/>
      <c r="AJ775" s="162">
        <f t="shared" si="199"/>
        <v>0</v>
      </c>
      <c r="AK775" s="164"/>
      <c r="AL775" s="164">
        <f t="shared" si="200"/>
        <v>0</v>
      </c>
      <c r="AM775" s="165"/>
      <c r="AN775" s="165">
        <f t="shared" si="201"/>
        <v>0</v>
      </c>
      <c r="AO775" s="166">
        <v>0</v>
      </c>
      <c r="AP775" s="166">
        <f t="shared" si="202"/>
        <v>0</v>
      </c>
      <c r="AQ775" s="162"/>
      <c r="AR775" s="162">
        <f t="shared" si="203"/>
        <v>0</v>
      </c>
      <c r="AS775" s="173"/>
      <c r="AT775" s="167">
        <f t="shared" si="204"/>
        <v>0</v>
      </c>
      <c r="AU775" s="163"/>
      <c r="AV775" s="163">
        <f t="shared" si="205"/>
        <v>0</v>
      </c>
      <c r="AW775" s="168"/>
      <c r="AX775" s="168">
        <f t="shared" si="206"/>
        <v>0</v>
      </c>
      <c r="AY775" s="170"/>
      <c r="AZ775" s="170">
        <f t="shared" si="207"/>
        <v>0</v>
      </c>
      <c r="BA775" s="166"/>
      <c r="BB775" s="166">
        <f t="shared" si="208"/>
        <v>0</v>
      </c>
    </row>
    <row r="776" spans="1:54" s="239" customFormat="1" ht="31.5">
      <c r="A776" s="148" t="s">
        <v>8313</v>
      </c>
      <c r="B776" s="203" t="s">
        <v>6790</v>
      </c>
      <c r="C776" s="203"/>
      <c r="D776" s="203"/>
      <c r="E776" s="203" t="s">
        <v>8315</v>
      </c>
      <c r="F776" s="205" t="s">
        <v>8317</v>
      </c>
      <c r="G776" s="205" t="s">
        <v>7674</v>
      </c>
      <c r="H776" s="204" t="s">
        <v>258</v>
      </c>
      <c r="I776" s="204" t="s">
        <v>11</v>
      </c>
      <c r="J776" s="205" t="s">
        <v>8316</v>
      </c>
      <c r="K776" s="206">
        <v>3000</v>
      </c>
      <c r="L776" s="206"/>
      <c r="M776" s="159">
        <f t="shared" si="194"/>
        <v>0</v>
      </c>
      <c r="N776" s="159"/>
      <c r="O776" s="159"/>
      <c r="P776" s="159"/>
      <c r="Q776" s="159"/>
      <c r="R776" s="159"/>
      <c r="S776" s="149" t="s">
        <v>5669</v>
      </c>
      <c r="T776" s="149" t="s">
        <v>5670</v>
      </c>
      <c r="U776" s="202" t="s">
        <v>8314</v>
      </c>
      <c r="V776" s="204">
        <v>4</v>
      </c>
      <c r="W776" s="203" t="s">
        <v>5104</v>
      </c>
      <c r="X776" s="204" t="s">
        <v>213</v>
      </c>
      <c r="Y776" s="206">
        <v>4000</v>
      </c>
      <c r="Z776" s="207">
        <v>30000</v>
      </c>
      <c r="AA776" s="207">
        <f t="shared" si="195"/>
        <v>90000000</v>
      </c>
      <c r="AB776" s="157">
        <v>30000</v>
      </c>
      <c r="AC776" s="158">
        <f t="shared" si="193"/>
        <v>30000</v>
      </c>
      <c r="AD776" s="159">
        <f t="shared" si="196"/>
        <v>0</v>
      </c>
      <c r="AE776" s="160"/>
      <c r="AF776" s="160">
        <f t="shared" si="197"/>
        <v>0</v>
      </c>
      <c r="AG776" s="165"/>
      <c r="AH776" s="161">
        <f t="shared" si="198"/>
        <v>0</v>
      </c>
      <c r="AI776" s="162"/>
      <c r="AJ776" s="162">
        <f t="shared" si="199"/>
        <v>0</v>
      </c>
      <c r="AK776" s="164"/>
      <c r="AL776" s="164">
        <f t="shared" si="200"/>
        <v>0</v>
      </c>
      <c r="AM776" s="165"/>
      <c r="AN776" s="165">
        <f t="shared" si="201"/>
        <v>0</v>
      </c>
      <c r="AO776" s="166">
        <v>0</v>
      </c>
      <c r="AP776" s="166">
        <f t="shared" si="202"/>
        <v>0</v>
      </c>
      <c r="AQ776" s="162"/>
      <c r="AR776" s="162">
        <f t="shared" si="203"/>
        <v>0</v>
      </c>
      <c r="AS776" s="173"/>
      <c r="AT776" s="167">
        <f t="shared" si="204"/>
        <v>0</v>
      </c>
      <c r="AU776" s="163"/>
      <c r="AV776" s="163">
        <f t="shared" si="205"/>
        <v>0</v>
      </c>
      <c r="AW776" s="168"/>
      <c r="AX776" s="168">
        <f t="shared" si="206"/>
        <v>0</v>
      </c>
      <c r="AY776" s="170"/>
      <c r="AZ776" s="170">
        <f t="shared" si="207"/>
        <v>0</v>
      </c>
      <c r="BA776" s="166"/>
      <c r="BB776" s="166">
        <f t="shared" si="208"/>
        <v>0</v>
      </c>
    </row>
    <row r="777" spans="1:54" s="239" customFormat="1" ht="31.5">
      <c r="A777" s="172" t="s">
        <v>8318</v>
      </c>
      <c r="B777" s="203" t="s">
        <v>3974</v>
      </c>
      <c r="C777" s="203"/>
      <c r="D777" s="203"/>
      <c r="E777" s="203" t="s">
        <v>3973</v>
      </c>
      <c r="F777" s="205" t="s">
        <v>8320</v>
      </c>
      <c r="G777" s="205" t="s">
        <v>7649</v>
      </c>
      <c r="H777" s="204" t="s">
        <v>229</v>
      </c>
      <c r="I777" s="204" t="s">
        <v>11</v>
      </c>
      <c r="J777" s="205" t="s">
        <v>8319</v>
      </c>
      <c r="K777" s="206">
        <v>1050</v>
      </c>
      <c r="L777" s="206"/>
      <c r="M777" s="159">
        <f t="shared" si="194"/>
        <v>5000</v>
      </c>
      <c r="N777" s="159"/>
      <c r="O777" s="159"/>
      <c r="P777" s="159"/>
      <c r="Q777" s="159"/>
      <c r="R777" s="159"/>
      <c r="S777" s="150" t="s">
        <v>5368</v>
      </c>
      <c r="T777" s="150" t="s">
        <v>5369</v>
      </c>
      <c r="U777" s="202" t="s">
        <v>3972</v>
      </c>
      <c r="V777" s="204">
        <v>4</v>
      </c>
      <c r="W777" s="203" t="s">
        <v>5104</v>
      </c>
      <c r="X777" s="204" t="s">
        <v>213</v>
      </c>
      <c r="Y777" s="206">
        <v>1050</v>
      </c>
      <c r="Z777" s="207">
        <v>100000</v>
      </c>
      <c r="AA777" s="207">
        <f t="shared" si="195"/>
        <v>105000000</v>
      </c>
      <c r="AB777" s="157">
        <v>100000</v>
      </c>
      <c r="AC777" s="158">
        <f t="shared" si="193"/>
        <v>95000</v>
      </c>
      <c r="AD777" s="159">
        <f t="shared" si="196"/>
        <v>5250000</v>
      </c>
      <c r="AE777" s="160"/>
      <c r="AF777" s="160">
        <f t="shared" si="197"/>
        <v>0</v>
      </c>
      <c r="AG777" s="165"/>
      <c r="AH777" s="161">
        <f t="shared" si="198"/>
        <v>0</v>
      </c>
      <c r="AI777" s="162"/>
      <c r="AJ777" s="162">
        <f t="shared" si="199"/>
        <v>0</v>
      </c>
      <c r="AK777" s="163"/>
      <c r="AL777" s="164">
        <f t="shared" si="200"/>
        <v>0</v>
      </c>
      <c r="AM777" s="161"/>
      <c r="AN777" s="165">
        <f t="shared" si="201"/>
        <v>0</v>
      </c>
      <c r="AO777" s="160">
        <v>0</v>
      </c>
      <c r="AP777" s="166">
        <f t="shared" si="202"/>
        <v>0</v>
      </c>
      <c r="AQ777" s="162"/>
      <c r="AR777" s="162">
        <f t="shared" si="203"/>
        <v>0</v>
      </c>
      <c r="AS777" s="173">
        <v>5000</v>
      </c>
      <c r="AT777" s="167">
        <f t="shared" si="204"/>
        <v>5250000</v>
      </c>
      <c r="AU777" s="163"/>
      <c r="AV777" s="163">
        <f t="shared" si="205"/>
        <v>0</v>
      </c>
      <c r="AW777" s="162"/>
      <c r="AX777" s="168">
        <f t="shared" si="206"/>
        <v>0</v>
      </c>
      <c r="AY777" s="169"/>
      <c r="AZ777" s="170">
        <f t="shared" si="207"/>
        <v>0</v>
      </c>
      <c r="BA777" s="160"/>
      <c r="BB777" s="166">
        <f t="shared" si="208"/>
        <v>0</v>
      </c>
    </row>
    <row r="778" spans="1:54" s="239" customFormat="1" ht="31.5">
      <c r="A778" s="148" t="s">
        <v>8321</v>
      </c>
      <c r="B778" s="203" t="s">
        <v>309</v>
      </c>
      <c r="C778" s="203"/>
      <c r="D778" s="203"/>
      <c r="E778" s="203" t="s">
        <v>4091</v>
      </c>
      <c r="F778" s="205" t="s">
        <v>8323</v>
      </c>
      <c r="G778" s="205" t="s">
        <v>8324</v>
      </c>
      <c r="H778" s="204" t="s">
        <v>229</v>
      </c>
      <c r="I778" s="204" t="s">
        <v>11</v>
      </c>
      <c r="J778" s="205" t="s">
        <v>8322</v>
      </c>
      <c r="K778" s="206">
        <v>2880</v>
      </c>
      <c r="L778" s="206"/>
      <c r="M778" s="159">
        <f t="shared" si="194"/>
        <v>30000</v>
      </c>
      <c r="N778" s="159"/>
      <c r="O778" s="159"/>
      <c r="P778" s="159"/>
      <c r="Q778" s="159"/>
      <c r="R778" s="159"/>
      <c r="S778" s="149" t="s">
        <v>6702</v>
      </c>
      <c r="T778" s="149" t="s">
        <v>6703</v>
      </c>
      <c r="U778" s="202" t="s">
        <v>4090</v>
      </c>
      <c r="V778" s="204">
        <v>4</v>
      </c>
      <c r="W778" s="203" t="s">
        <v>5104</v>
      </c>
      <c r="X778" s="204" t="s">
        <v>5605</v>
      </c>
      <c r="Y778" s="206">
        <v>3000</v>
      </c>
      <c r="Z778" s="207">
        <v>80000</v>
      </c>
      <c r="AA778" s="207">
        <f t="shared" si="195"/>
        <v>230400000</v>
      </c>
      <c r="AB778" s="157">
        <v>80000</v>
      </c>
      <c r="AC778" s="158">
        <f t="shared" si="193"/>
        <v>50000</v>
      </c>
      <c r="AD778" s="159">
        <f t="shared" si="196"/>
        <v>86400000</v>
      </c>
      <c r="AE778" s="160"/>
      <c r="AF778" s="160">
        <f t="shared" si="197"/>
        <v>0</v>
      </c>
      <c r="AG778" s="165">
        <v>30000</v>
      </c>
      <c r="AH778" s="161">
        <f t="shared" si="198"/>
        <v>86400000</v>
      </c>
      <c r="AI778" s="162"/>
      <c r="AJ778" s="162">
        <f t="shared" si="199"/>
        <v>0</v>
      </c>
      <c r="AK778" s="164"/>
      <c r="AL778" s="164">
        <f t="shared" si="200"/>
        <v>0</v>
      </c>
      <c r="AM778" s="165"/>
      <c r="AN778" s="165">
        <f t="shared" si="201"/>
        <v>0</v>
      </c>
      <c r="AO778" s="166">
        <v>0</v>
      </c>
      <c r="AP778" s="166">
        <f t="shared" si="202"/>
        <v>0</v>
      </c>
      <c r="AQ778" s="162"/>
      <c r="AR778" s="162">
        <f t="shared" si="203"/>
        <v>0</v>
      </c>
      <c r="AS778" s="173"/>
      <c r="AT778" s="167">
        <f t="shared" si="204"/>
        <v>0</v>
      </c>
      <c r="AU778" s="163"/>
      <c r="AV778" s="163">
        <f t="shared" si="205"/>
        <v>0</v>
      </c>
      <c r="AW778" s="168"/>
      <c r="AX778" s="168">
        <f t="shared" si="206"/>
        <v>0</v>
      </c>
      <c r="AY778" s="170"/>
      <c r="AZ778" s="170">
        <f t="shared" si="207"/>
        <v>0</v>
      </c>
      <c r="BA778" s="166"/>
      <c r="BB778" s="166">
        <f t="shared" si="208"/>
        <v>0</v>
      </c>
    </row>
    <row r="779" spans="1:54" s="239" customFormat="1" ht="31.5">
      <c r="A779" s="148" t="s">
        <v>8325</v>
      </c>
      <c r="B779" s="203" t="s">
        <v>1678</v>
      </c>
      <c r="C779" s="203"/>
      <c r="D779" s="203"/>
      <c r="E779" s="203" t="s">
        <v>8327</v>
      </c>
      <c r="F779" s="205" t="s">
        <v>8328</v>
      </c>
      <c r="G779" s="205" t="s">
        <v>8329</v>
      </c>
      <c r="H779" s="204" t="s">
        <v>1680</v>
      </c>
      <c r="I779" s="204" t="s">
        <v>11</v>
      </c>
      <c r="J779" s="205" t="s">
        <v>6478</v>
      </c>
      <c r="K779" s="206">
        <v>3800</v>
      </c>
      <c r="L779" s="206"/>
      <c r="M779" s="159">
        <f t="shared" si="194"/>
        <v>0</v>
      </c>
      <c r="N779" s="159"/>
      <c r="O779" s="159"/>
      <c r="P779" s="159"/>
      <c r="Q779" s="159"/>
      <c r="R779" s="159"/>
      <c r="S779" s="149" t="s">
        <v>6702</v>
      </c>
      <c r="T779" s="149" t="s">
        <v>6703</v>
      </c>
      <c r="U779" s="202" t="s">
        <v>8326</v>
      </c>
      <c r="V779" s="204">
        <v>4</v>
      </c>
      <c r="W779" s="203" t="s">
        <v>5535</v>
      </c>
      <c r="X779" s="204" t="s">
        <v>5605</v>
      </c>
      <c r="Y779" s="206">
        <v>3800</v>
      </c>
      <c r="Z779" s="207">
        <v>50000</v>
      </c>
      <c r="AA779" s="207">
        <f t="shared" si="195"/>
        <v>190000000</v>
      </c>
      <c r="AB779" s="157">
        <v>50000</v>
      </c>
      <c r="AC779" s="158">
        <f t="shared" si="193"/>
        <v>50000</v>
      </c>
      <c r="AD779" s="159">
        <f t="shared" si="196"/>
        <v>0</v>
      </c>
      <c r="AE779" s="160"/>
      <c r="AF779" s="160">
        <f t="shared" si="197"/>
        <v>0</v>
      </c>
      <c r="AG779" s="165"/>
      <c r="AH779" s="161">
        <f t="shared" si="198"/>
        <v>0</v>
      </c>
      <c r="AI779" s="162"/>
      <c r="AJ779" s="162">
        <f t="shared" si="199"/>
        <v>0</v>
      </c>
      <c r="AK779" s="164"/>
      <c r="AL779" s="164">
        <f t="shared" si="200"/>
        <v>0</v>
      </c>
      <c r="AM779" s="165"/>
      <c r="AN779" s="165">
        <f t="shared" si="201"/>
        <v>0</v>
      </c>
      <c r="AO779" s="166">
        <v>0</v>
      </c>
      <c r="AP779" s="166">
        <f t="shared" si="202"/>
        <v>0</v>
      </c>
      <c r="AQ779" s="162"/>
      <c r="AR779" s="162">
        <f t="shared" si="203"/>
        <v>0</v>
      </c>
      <c r="AS779" s="173"/>
      <c r="AT779" s="167">
        <f t="shared" si="204"/>
        <v>0</v>
      </c>
      <c r="AU779" s="163"/>
      <c r="AV779" s="163">
        <f t="shared" si="205"/>
        <v>0</v>
      </c>
      <c r="AW779" s="168"/>
      <c r="AX779" s="168">
        <f t="shared" si="206"/>
        <v>0</v>
      </c>
      <c r="AY779" s="170"/>
      <c r="AZ779" s="170">
        <f t="shared" si="207"/>
        <v>0</v>
      </c>
      <c r="BA779" s="166"/>
      <c r="BB779" s="166">
        <f t="shared" si="208"/>
        <v>0</v>
      </c>
    </row>
    <row r="780" spans="1:54" s="239" customFormat="1" ht="31.5">
      <c r="A780" s="172" t="s">
        <v>8330</v>
      </c>
      <c r="B780" s="223" t="s">
        <v>583</v>
      </c>
      <c r="C780" s="223"/>
      <c r="D780" s="223"/>
      <c r="E780" s="223" t="s">
        <v>1100</v>
      </c>
      <c r="F780" s="225" t="s">
        <v>1101</v>
      </c>
      <c r="G780" s="225" t="s">
        <v>8332</v>
      </c>
      <c r="H780" s="224" t="s">
        <v>222</v>
      </c>
      <c r="I780" s="224" t="s">
        <v>11</v>
      </c>
      <c r="J780" s="225" t="s">
        <v>8331</v>
      </c>
      <c r="K780" s="226">
        <v>1670</v>
      </c>
      <c r="L780" s="226"/>
      <c r="M780" s="159">
        <f t="shared" si="194"/>
        <v>19980</v>
      </c>
      <c r="N780" s="159"/>
      <c r="O780" s="159"/>
      <c r="P780" s="159"/>
      <c r="Q780" s="159"/>
      <c r="R780" s="159"/>
      <c r="S780" s="149" t="s">
        <v>6224</v>
      </c>
      <c r="T780" s="149" t="s">
        <v>6225</v>
      </c>
      <c r="U780" s="222" t="s">
        <v>4080</v>
      </c>
      <c r="V780" s="204">
        <v>4</v>
      </c>
      <c r="W780" s="223" t="s">
        <v>5104</v>
      </c>
      <c r="X780" s="224" t="s">
        <v>213</v>
      </c>
      <c r="Y780" s="226">
        <v>1670</v>
      </c>
      <c r="Z780" s="207">
        <v>80000</v>
      </c>
      <c r="AA780" s="207">
        <f t="shared" si="195"/>
        <v>133600000</v>
      </c>
      <c r="AB780" s="157">
        <v>80000</v>
      </c>
      <c r="AC780" s="158">
        <f t="shared" si="193"/>
        <v>60020</v>
      </c>
      <c r="AD780" s="159">
        <f t="shared" si="196"/>
        <v>33366600</v>
      </c>
      <c r="AE780" s="160"/>
      <c r="AF780" s="160">
        <f t="shared" si="197"/>
        <v>0</v>
      </c>
      <c r="AG780" s="165">
        <v>19980</v>
      </c>
      <c r="AH780" s="161">
        <f t="shared" si="198"/>
        <v>33366600</v>
      </c>
      <c r="AI780" s="162"/>
      <c r="AJ780" s="162">
        <f t="shared" si="199"/>
        <v>0</v>
      </c>
      <c r="AK780" s="164"/>
      <c r="AL780" s="164">
        <f t="shared" si="200"/>
        <v>0</v>
      </c>
      <c r="AM780" s="165"/>
      <c r="AN780" s="165">
        <f t="shared" si="201"/>
        <v>0</v>
      </c>
      <c r="AO780" s="166">
        <v>0</v>
      </c>
      <c r="AP780" s="166">
        <f t="shared" si="202"/>
        <v>0</v>
      </c>
      <c r="AQ780" s="162"/>
      <c r="AR780" s="162">
        <f t="shared" si="203"/>
        <v>0</v>
      </c>
      <c r="AS780" s="173"/>
      <c r="AT780" s="167">
        <f t="shared" si="204"/>
        <v>0</v>
      </c>
      <c r="AU780" s="163"/>
      <c r="AV780" s="163">
        <f t="shared" si="205"/>
        <v>0</v>
      </c>
      <c r="AW780" s="168"/>
      <c r="AX780" s="168">
        <f t="shared" si="206"/>
        <v>0</v>
      </c>
      <c r="AY780" s="170"/>
      <c r="AZ780" s="170">
        <f t="shared" si="207"/>
        <v>0</v>
      </c>
      <c r="BA780" s="166"/>
      <c r="BB780" s="166">
        <f t="shared" si="208"/>
        <v>0</v>
      </c>
    </row>
    <row r="781" spans="1:54" s="239" customFormat="1">
      <c r="A781" s="148" t="s">
        <v>8333</v>
      </c>
      <c r="B781" s="203" t="s">
        <v>583</v>
      </c>
      <c r="C781" s="203"/>
      <c r="D781" s="203"/>
      <c r="E781" s="203" t="s">
        <v>3920</v>
      </c>
      <c r="F781" s="205" t="s">
        <v>8335</v>
      </c>
      <c r="G781" s="205" t="s">
        <v>463</v>
      </c>
      <c r="H781" s="204" t="s">
        <v>390</v>
      </c>
      <c r="I781" s="204" t="s">
        <v>11</v>
      </c>
      <c r="J781" s="205" t="s">
        <v>8334</v>
      </c>
      <c r="K781" s="206">
        <v>1575</v>
      </c>
      <c r="L781" s="206"/>
      <c r="M781" s="159">
        <f t="shared" si="194"/>
        <v>30000</v>
      </c>
      <c r="N781" s="159"/>
      <c r="O781" s="159"/>
      <c r="P781" s="159"/>
      <c r="Q781" s="159"/>
      <c r="R781" s="159"/>
      <c r="S781" s="149" t="s">
        <v>5275</v>
      </c>
      <c r="T781" s="150" t="s">
        <v>463</v>
      </c>
      <c r="U781" s="202" t="s">
        <v>3919</v>
      </c>
      <c r="V781" s="204">
        <v>4</v>
      </c>
      <c r="W781" s="203" t="s">
        <v>5104</v>
      </c>
      <c r="X781" s="204" t="s">
        <v>213</v>
      </c>
      <c r="Y781" s="206">
        <v>3990</v>
      </c>
      <c r="Z781" s="207">
        <v>80000</v>
      </c>
      <c r="AA781" s="207">
        <f t="shared" si="195"/>
        <v>126000000</v>
      </c>
      <c r="AB781" s="157">
        <v>80000</v>
      </c>
      <c r="AC781" s="158">
        <f t="shared" si="193"/>
        <v>50000</v>
      </c>
      <c r="AD781" s="159">
        <f t="shared" si="196"/>
        <v>47250000</v>
      </c>
      <c r="AE781" s="160"/>
      <c r="AF781" s="160">
        <f t="shared" si="197"/>
        <v>0</v>
      </c>
      <c r="AG781" s="165"/>
      <c r="AH781" s="161">
        <f t="shared" si="198"/>
        <v>0</v>
      </c>
      <c r="AI781" s="162"/>
      <c r="AJ781" s="162">
        <f t="shared" si="199"/>
        <v>0</v>
      </c>
      <c r="AK781" s="164"/>
      <c r="AL781" s="164">
        <f t="shared" si="200"/>
        <v>0</v>
      </c>
      <c r="AM781" s="165">
        <f>11490+18510</f>
        <v>30000</v>
      </c>
      <c r="AN781" s="165">
        <f t="shared" si="201"/>
        <v>47250000</v>
      </c>
      <c r="AO781" s="166">
        <v>0</v>
      </c>
      <c r="AP781" s="166">
        <f t="shared" si="202"/>
        <v>0</v>
      </c>
      <c r="AQ781" s="162"/>
      <c r="AR781" s="162">
        <f t="shared" si="203"/>
        <v>0</v>
      </c>
      <c r="AS781" s="173"/>
      <c r="AT781" s="167">
        <f t="shared" si="204"/>
        <v>0</v>
      </c>
      <c r="AU781" s="163"/>
      <c r="AV781" s="163">
        <f t="shared" si="205"/>
        <v>0</v>
      </c>
      <c r="AW781" s="168"/>
      <c r="AX781" s="168">
        <f t="shared" si="206"/>
        <v>0</v>
      </c>
      <c r="AY781" s="170"/>
      <c r="AZ781" s="170">
        <f t="shared" si="207"/>
        <v>0</v>
      </c>
      <c r="BA781" s="166"/>
      <c r="BB781" s="166">
        <f t="shared" si="208"/>
        <v>0</v>
      </c>
    </row>
    <row r="782" spans="1:54" s="239" customFormat="1" ht="47.25">
      <c r="A782" s="148" t="s">
        <v>8336</v>
      </c>
      <c r="B782" s="203" t="s">
        <v>1240</v>
      </c>
      <c r="C782" s="203"/>
      <c r="D782" s="203"/>
      <c r="E782" s="203" t="s">
        <v>8340</v>
      </c>
      <c r="F782" s="205" t="s">
        <v>8342</v>
      </c>
      <c r="G782" s="205" t="s">
        <v>8343</v>
      </c>
      <c r="H782" s="204" t="s">
        <v>1988</v>
      </c>
      <c r="I782" s="204" t="s">
        <v>11</v>
      </c>
      <c r="J782" s="205" t="s">
        <v>8341</v>
      </c>
      <c r="K782" s="206">
        <v>2500</v>
      </c>
      <c r="L782" s="206"/>
      <c r="M782" s="159">
        <f t="shared" si="194"/>
        <v>0</v>
      </c>
      <c r="N782" s="159"/>
      <c r="O782" s="159"/>
      <c r="P782" s="159"/>
      <c r="Q782" s="159"/>
      <c r="R782" s="159"/>
      <c r="S782" s="149" t="s">
        <v>8337</v>
      </c>
      <c r="T782" s="149" t="s">
        <v>8338</v>
      </c>
      <c r="U782" s="202" t="s">
        <v>8339</v>
      </c>
      <c r="V782" s="204">
        <v>4</v>
      </c>
      <c r="W782" s="203" t="s">
        <v>5104</v>
      </c>
      <c r="X782" s="204" t="s">
        <v>213</v>
      </c>
      <c r="Y782" s="206">
        <v>2520</v>
      </c>
      <c r="Z782" s="207">
        <v>120000</v>
      </c>
      <c r="AA782" s="207">
        <f t="shared" si="195"/>
        <v>300000000</v>
      </c>
      <c r="AB782" s="157">
        <v>120000</v>
      </c>
      <c r="AC782" s="158">
        <f t="shared" si="193"/>
        <v>120000</v>
      </c>
      <c r="AD782" s="159">
        <f t="shared" si="196"/>
        <v>0</v>
      </c>
      <c r="AE782" s="160"/>
      <c r="AF782" s="160">
        <f t="shared" si="197"/>
        <v>0</v>
      </c>
      <c r="AG782" s="165"/>
      <c r="AH782" s="161">
        <f t="shared" si="198"/>
        <v>0</v>
      </c>
      <c r="AI782" s="162"/>
      <c r="AJ782" s="162">
        <f t="shared" si="199"/>
        <v>0</v>
      </c>
      <c r="AK782" s="164"/>
      <c r="AL782" s="164">
        <f t="shared" si="200"/>
        <v>0</v>
      </c>
      <c r="AM782" s="165"/>
      <c r="AN782" s="165">
        <f t="shared" si="201"/>
        <v>0</v>
      </c>
      <c r="AO782" s="166">
        <v>0</v>
      </c>
      <c r="AP782" s="166">
        <f t="shared" si="202"/>
        <v>0</v>
      </c>
      <c r="AQ782" s="162"/>
      <c r="AR782" s="162">
        <f t="shared" si="203"/>
        <v>0</v>
      </c>
      <c r="AS782" s="173"/>
      <c r="AT782" s="167">
        <f t="shared" si="204"/>
        <v>0</v>
      </c>
      <c r="AU782" s="163"/>
      <c r="AV782" s="163">
        <f t="shared" si="205"/>
        <v>0</v>
      </c>
      <c r="AW782" s="168"/>
      <c r="AX782" s="168">
        <f t="shared" si="206"/>
        <v>0</v>
      </c>
      <c r="AY782" s="170"/>
      <c r="AZ782" s="170">
        <f t="shared" si="207"/>
        <v>0</v>
      </c>
      <c r="BA782" s="166"/>
      <c r="BB782" s="166">
        <f t="shared" si="208"/>
        <v>0</v>
      </c>
    </row>
    <row r="783" spans="1:54" s="239" customFormat="1" ht="47.25">
      <c r="A783" s="172" t="s">
        <v>8344</v>
      </c>
      <c r="B783" s="203" t="s">
        <v>1240</v>
      </c>
      <c r="C783" s="203"/>
      <c r="D783" s="203"/>
      <c r="E783" s="203" t="s">
        <v>4067</v>
      </c>
      <c r="F783" s="205" t="s">
        <v>8345</v>
      </c>
      <c r="G783" s="205" t="s">
        <v>8346</v>
      </c>
      <c r="H783" s="204" t="s">
        <v>4068</v>
      </c>
      <c r="I783" s="204" t="s">
        <v>11</v>
      </c>
      <c r="J783" s="205" t="s">
        <v>6009</v>
      </c>
      <c r="K783" s="206">
        <v>2690</v>
      </c>
      <c r="L783" s="206"/>
      <c r="M783" s="159">
        <f t="shared" si="194"/>
        <v>59940</v>
      </c>
      <c r="N783" s="159"/>
      <c r="O783" s="159"/>
      <c r="P783" s="159"/>
      <c r="Q783" s="159"/>
      <c r="R783" s="159"/>
      <c r="S783" s="149" t="s">
        <v>2385</v>
      </c>
      <c r="T783" s="150" t="s">
        <v>2380</v>
      </c>
      <c r="U783" s="202" t="s">
        <v>4066</v>
      </c>
      <c r="V783" s="204">
        <v>4</v>
      </c>
      <c r="W783" s="203" t="s">
        <v>5104</v>
      </c>
      <c r="X783" s="204" t="s">
        <v>213</v>
      </c>
      <c r="Y783" s="206">
        <v>2730</v>
      </c>
      <c r="Z783" s="207">
        <v>120000</v>
      </c>
      <c r="AA783" s="207">
        <f t="shared" si="195"/>
        <v>322800000</v>
      </c>
      <c r="AB783" s="157">
        <v>120000</v>
      </c>
      <c r="AC783" s="158">
        <f t="shared" si="193"/>
        <v>60060</v>
      </c>
      <c r="AD783" s="159">
        <f t="shared" si="196"/>
        <v>161238600</v>
      </c>
      <c r="AE783" s="160"/>
      <c r="AF783" s="160">
        <f t="shared" si="197"/>
        <v>0</v>
      </c>
      <c r="AG783" s="165">
        <v>19980</v>
      </c>
      <c r="AH783" s="161">
        <f t="shared" si="198"/>
        <v>53746200</v>
      </c>
      <c r="AI783" s="162"/>
      <c r="AJ783" s="162">
        <f t="shared" si="199"/>
        <v>0</v>
      </c>
      <c r="AK783" s="164"/>
      <c r="AL783" s="164">
        <f t="shared" si="200"/>
        <v>0</v>
      </c>
      <c r="AM783" s="165">
        <v>19980</v>
      </c>
      <c r="AN783" s="165">
        <f t="shared" si="201"/>
        <v>53746200</v>
      </c>
      <c r="AO783" s="166">
        <v>19980</v>
      </c>
      <c r="AP783" s="166">
        <f t="shared" si="202"/>
        <v>53746200</v>
      </c>
      <c r="AQ783" s="162"/>
      <c r="AR783" s="162">
        <f t="shared" si="203"/>
        <v>0</v>
      </c>
      <c r="AS783" s="173"/>
      <c r="AT783" s="167">
        <f t="shared" si="204"/>
        <v>0</v>
      </c>
      <c r="AU783" s="163"/>
      <c r="AV783" s="163">
        <f t="shared" si="205"/>
        <v>0</v>
      </c>
      <c r="AW783" s="168"/>
      <c r="AX783" s="168">
        <f t="shared" si="206"/>
        <v>0</v>
      </c>
      <c r="AY783" s="170"/>
      <c r="AZ783" s="170">
        <f t="shared" si="207"/>
        <v>0</v>
      </c>
      <c r="BA783" s="166"/>
      <c r="BB783" s="166">
        <f t="shared" si="208"/>
        <v>0</v>
      </c>
    </row>
    <row r="784" spans="1:54" s="239" customFormat="1" ht="31.5">
      <c r="A784" s="148" t="s">
        <v>8347</v>
      </c>
      <c r="B784" s="203" t="s">
        <v>868</v>
      </c>
      <c r="C784" s="203"/>
      <c r="D784" s="203"/>
      <c r="E784" s="203" t="s">
        <v>8349</v>
      </c>
      <c r="F784" s="205" t="s">
        <v>8351</v>
      </c>
      <c r="G784" s="205" t="s">
        <v>867</v>
      </c>
      <c r="H784" s="204" t="s">
        <v>869</v>
      </c>
      <c r="I784" s="204" t="s">
        <v>11</v>
      </c>
      <c r="J784" s="205" t="s">
        <v>8350</v>
      </c>
      <c r="K784" s="206">
        <v>1890</v>
      </c>
      <c r="L784" s="206"/>
      <c r="M784" s="159">
        <f t="shared" si="194"/>
        <v>0</v>
      </c>
      <c r="N784" s="159"/>
      <c r="O784" s="159"/>
      <c r="P784" s="159"/>
      <c r="Q784" s="159"/>
      <c r="R784" s="159"/>
      <c r="S784" s="150" t="s">
        <v>7727</v>
      </c>
      <c r="T784" s="149" t="s">
        <v>863</v>
      </c>
      <c r="U784" s="202" t="s">
        <v>8348</v>
      </c>
      <c r="V784" s="204">
        <v>4</v>
      </c>
      <c r="W784" s="203" t="s">
        <v>5104</v>
      </c>
      <c r="X784" s="204" t="s">
        <v>213</v>
      </c>
      <c r="Y784" s="206">
        <v>1890</v>
      </c>
      <c r="Z784" s="207">
        <v>40000</v>
      </c>
      <c r="AA784" s="207">
        <f t="shared" si="195"/>
        <v>75600000</v>
      </c>
      <c r="AB784" s="157">
        <v>40000</v>
      </c>
      <c r="AC784" s="158">
        <f t="shared" si="193"/>
        <v>40000</v>
      </c>
      <c r="AD784" s="159">
        <f t="shared" si="196"/>
        <v>0</v>
      </c>
      <c r="AE784" s="160"/>
      <c r="AF784" s="160">
        <f t="shared" si="197"/>
        <v>0</v>
      </c>
      <c r="AG784" s="165"/>
      <c r="AH784" s="161">
        <f t="shared" si="198"/>
        <v>0</v>
      </c>
      <c r="AI784" s="162"/>
      <c r="AJ784" s="162">
        <f t="shared" si="199"/>
        <v>0</v>
      </c>
      <c r="AK784" s="164"/>
      <c r="AL784" s="164">
        <f t="shared" si="200"/>
        <v>0</v>
      </c>
      <c r="AM784" s="165"/>
      <c r="AN784" s="165">
        <f t="shared" si="201"/>
        <v>0</v>
      </c>
      <c r="AO784" s="166">
        <v>0</v>
      </c>
      <c r="AP784" s="166">
        <f t="shared" si="202"/>
        <v>0</v>
      </c>
      <c r="AQ784" s="162"/>
      <c r="AR784" s="162">
        <f t="shared" si="203"/>
        <v>0</v>
      </c>
      <c r="AS784" s="173"/>
      <c r="AT784" s="167">
        <f t="shared" si="204"/>
        <v>0</v>
      </c>
      <c r="AU784" s="163"/>
      <c r="AV784" s="163">
        <f t="shared" si="205"/>
        <v>0</v>
      </c>
      <c r="AW784" s="168"/>
      <c r="AX784" s="168">
        <f t="shared" si="206"/>
        <v>0</v>
      </c>
      <c r="AY784" s="170"/>
      <c r="AZ784" s="170">
        <f t="shared" si="207"/>
        <v>0</v>
      </c>
      <c r="BA784" s="166"/>
      <c r="BB784" s="166">
        <f t="shared" si="208"/>
        <v>0</v>
      </c>
    </row>
    <row r="785" spans="1:54" s="239" customFormat="1">
      <c r="A785" s="148" t="s">
        <v>8352</v>
      </c>
      <c r="B785" s="203" t="s">
        <v>868</v>
      </c>
      <c r="C785" s="203"/>
      <c r="D785" s="203"/>
      <c r="E785" s="203" t="s">
        <v>8354</v>
      </c>
      <c r="F785" s="205" t="s">
        <v>8356</v>
      </c>
      <c r="G785" s="205" t="s">
        <v>463</v>
      </c>
      <c r="H785" s="204" t="s">
        <v>1343</v>
      </c>
      <c r="I785" s="204" t="s">
        <v>11</v>
      </c>
      <c r="J785" s="205" t="s">
        <v>8355</v>
      </c>
      <c r="K785" s="206">
        <v>4900</v>
      </c>
      <c r="L785" s="206"/>
      <c r="M785" s="159">
        <f t="shared" si="194"/>
        <v>0</v>
      </c>
      <c r="N785" s="159"/>
      <c r="O785" s="159"/>
      <c r="P785" s="159"/>
      <c r="Q785" s="159"/>
      <c r="R785" s="159"/>
      <c r="S785" s="149" t="s">
        <v>5275</v>
      </c>
      <c r="T785" s="150" t="s">
        <v>463</v>
      </c>
      <c r="U785" s="202" t="s">
        <v>8353</v>
      </c>
      <c r="V785" s="204">
        <v>4</v>
      </c>
      <c r="W785" s="203" t="s">
        <v>5104</v>
      </c>
      <c r="X785" s="204" t="s">
        <v>213</v>
      </c>
      <c r="Y785" s="206">
        <v>5200</v>
      </c>
      <c r="Z785" s="207">
        <v>40000</v>
      </c>
      <c r="AA785" s="207">
        <f t="shared" si="195"/>
        <v>196000000</v>
      </c>
      <c r="AB785" s="157">
        <v>40000</v>
      </c>
      <c r="AC785" s="158">
        <f t="shared" si="193"/>
        <v>40000</v>
      </c>
      <c r="AD785" s="159">
        <f t="shared" si="196"/>
        <v>0</v>
      </c>
      <c r="AE785" s="160"/>
      <c r="AF785" s="160">
        <f t="shared" si="197"/>
        <v>0</v>
      </c>
      <c r="AG785" s="165"/>
      <c r="AH785" s="161">
        <f t="shared" si="198"/>
        <v>0</v>
      </c>
      <c r="AI785" s="162"/>
      <c r="AJ785" s="162">
        <f t="shared" si="199"/>
        <v>0</v>
      </c>
      <c r="AK785" s="164"/>
      <c r="AL785" s="164">
        <f t="shared" si="200"/>
        <v>0</v>
      </c>
      <c r="AM785" s="165"/>
      <c r="AN785" s="165">
        <f t="shared" si="201"/>
        <v>0</v>
      </c>
      <c r="AO785" s="166">
        <v>0</v>
      </c>
      <c r="AP785" s="166">
        <f t="shared" si="202"/>
        <v>0</v>
      </c>
      <c r="AQ785" s="162"/>
      <c r="AR785" s="162">
        <f t="shared" si="203"/>
        <v>0</v>
      </c>
      <c r="AS785" s="173"/>
      <c r="AT785" s="167">
        <f t="shared" si="204"/>
        <v>0</v>
      </c>
      <c r="AU785" s="163"/>
      <c r="AV785" s="163">
        <f t="shared" si="205"/>
        <v>0</v>
      </c>
      <c r="AW785" s="168"/>
      <c r="AX785" s="168">
        <f t="shared" si="206"/>
        <v>0</v>
      </c>
      <c r="AY785" s="170"/>
      <c r="AZ785" s="170">
        <f t="shared" si="207"/>
        <v>0</v>
      </c>
      <c r="BA785" s="166"/>
      <c r="BB785" s="166">
        <f t="shared" si="208"/>
        <v>0</v>
      </c>
    </row>
    <row r="786" spans="1:54" s="239" customFormat="1" ht="31.5">
      <c r="A786" s="172" t="s">
        <v>8357</v>
      </c>
      <c r="B786" s="203" t="s">
        <v>4993</v>
      </c>
      <c r="C786" s="203"/>
      <c r="D786" s="203"/>
      <c r="E786" s="203" t="s">
        <v>1471</v>
      </c>
      <c r="F786" s="205" t="s">
        <v>6484</v>
      </c>
      <c r="G786" s="205" t="s">
        <v>357</v>
      </c>
      <c r="H786" s="204" t="s">
        <v>1472</v>
      </c>
      <c r="I786" s="204" t="s">
        <v>520</v>
      </c>
      <c r="J786" s="205" t="s">
        <v>6483</v>
      </c>
      <c r="K786" s="206">
        <v>13300</v>
      </c>
      <c r="L786" s="206"/>
      <c r="M786" s="159">
        <f t="shared" si="194"/>
        <v>0</v>
      </c>
      <c r="N786" s="159"/>
      <c r="O786" s="159"/>
      <c r="P786" s="159"/>
      <c r="Q786" s="159"/>
      <c r="R786" s="159"/>
      <c r="S786" s="149" t="s">
        <v>6351</v>
      </c>
      <c r="T786" s="149" t="s">
        <v>6352</v>
      </c>
      <c r="U786" s="202" t="s">
        <v>8358</v>
      </c>
      <c r="V786" s="204">
        <v>5</v>
      </c>
      <c r="W786" s="203" t="s">
        <v>5104</v>
      </c>
      <c r="X786" s="204" t="s">
        <v>5296</v>
      </c>
      <c r="Y786" s="206">
        <v>14900</v>
      </c>
      <c r="Z786" s="207">
        <v>1000</v>
      </c>
      <c r="AA786" s="207">
        <f t="shared" si="195"/>
        <v>13300000</v>
      </c>
      <c r="AB786" s="157">
        <v>1000</v>
      </c>
      <c r="AC786" s="158">
        <f t="shared" si="193"/>
        <v>1000</v>
      </c>
      <c r="AD786" s="159">
        <f t="shared" si="196"/>
        <v>0</v>
      </c>
      <c r="AE786" s="160"/>
      <c r="AF786" s="160">
        <f t="shared" si="197"/>
        <v>0</v>
      </c>
      <c r="AG786" s="165"/>
      <c r="AH786" s="161">
        <f t="shared" si="198"/>
        <v>0</v>
      </c>
      <c r="AI786" s="162"/>
      <c r="AJ786" s="162">
        <f t="shared" si="199"/>
        <v>0</v>
      </c>
      <c r="AK786" s="163"/>
      <c r="AL786" s="164">
        <f t="shared" si="200"/>
        <v>0</v>
      </c>
      <c r="AM786" s="161"/>
      <c r="AN786" s="165">
        <f t="shared" si="201"/>
        <v>0</v>
      </c>
      <c r="AO786" s="160">
        <v>0</v>
      </c>
      <c r="AP786" s="166">
        <f t="shared" si="202"/>
        <v>0</v>
      </c>
      <c r="AQ786" s="162"/>
      <c r="AR786" s="162">
        <f t="shared" si="203"/>
        <v>0</v>
      </c>
      <c r="AS786" s="173"/>
      <c r="AT786" s="167">
        <f t="shared" si="204"/>
        <v>0</v>
      </c>
      <c r="AU786" s="163"/>
      <c r="AV786" s="163">
        <f t="shared" si="205"/>
        <v>0</v>
      </c>
      <c r="AW786" s="162"/>
      <c r="AX786" s="168">
        <f t="shared" si="206"/>
        <v>0</v>
      </c>
      <c r="AY786" s="169"/>
      <c r="AZ786" s="170">
        <f t="shared" si="207"/>
        <v>0</v>
      </c>
      <c r="BA786" s="160"/>
      <c r="BB786" s="166">
        <f t="shared" si="208"/>
        <v>0</v>
      </c>
    </row>
    <row r="787" spans="1:54" s="239" customFormat="1" ht="31.5">
      <c r="A787" s="148" t="s">
        <v>8359</v>
      </c>
      <c r="B787" s="203" t="s">
        <v>2454</v>
      </c>
      <c r="C787" s="203"/>
      <c r="D787" s="203"/>
      <c r="E787" s="203" t="s">
        <v>8362</v>
      </c>
      <c r="F787" s="205" t="s">
        <v>8364</v>
      </c>
      <c r="G787" s="205" t="s">
        <v>8365</v>
      </c>
      <c r="H787" s="204" t="s">
        <v>8361</v>
      </c>
      <c r="I787" s="204" t="s">
        <v>658</v>
      </c>
      <c r="J787" s="205" t="s">
        <v>8363</v>
      </c>
      <c r="K787" s="206">
        <v>96870</v>
      </c>
      <c r="L787" s="206"/>
      <c r="M787" s="159">
        <f t="shared" si="194"/>
        <v>0</v>
      </c>
      <c r="N787" s="159"/>
      <c r="O787" s="159"/>
      <c r="P787" s="159"/>
      <c r="Q787" s="159"/>
      <c r="R787" s="159"/>
      <c r="S787" s="150" t="s">
        <v>5118</v>
      </c>
      <c r="T787" s="150" t="s">
        <v>5119</v>
      </c>
      <c r="U787" s="202" t="s">
        <v>8360</v>
      </c>
      <c r="V787" s="204">
        <v>5</v>
      </c>
      <c r="W787" s="203" t="s">
        <v>5108</v>
      </c>
      <c r="X787" s="204" t="s">
        <v>8366</v>
      </c>
      <c r="Y787" s="206">
        <v>96871</v>
      </c>
      <c r="Z787" s="207">
        <v>1000</v>
      </c>
      <c r="AA787" s="207">
        <f t="shared" si="195"/>
        <v>96870000</v>
      </c>
      <c r="AB787" s="157">
        <v>1000</v>
      </c>
      <c r="AC787" s="158">
        <f t="shared" si="193"/>
        <v>1000</v>
      </c>
      <c r="AD787" s="159">
        <f t="shared" si="196"/>
        <v>0</v>
      </c>
      <c r="AE787" s="160"/>
      <c r="AF787" s="160">
        <f t="shared" si="197"/>
        <v>0</v>
      </c>
      <c r="AG787" s="165"/>
      <c r="AH787" s="161">
        <f t="shared" si="198"/>
        <v>0</v>
      </c>
      <c r="AI787" s="162"/>
      <c r="AJ787" s="162">
        <f t="shared" si="199"/>
        <v>0</v>
      </c>
      <c r="AK787" s="164"/>
      <c r="AL787" s="164">
        <f t="shared" si="200"/>
        <v>0</v>
      </c>
      <c r="AM787" s="165"/>
      <c r="AN787" s="165">
        <f t="shared" si="201"/>
        <v>0</v>
      </c>
      <c r="AO787" s="166">
        <v>0</v>
      </c>
      <c r="AP787" s="166">
        <f t="shared" si="202"/>
        <v>0</v>
      </c>
      <c r="AQ787" s="162"/>
      <c r="AR787" s="162">
        <f t="shared" si="203"/>
        <v>0</v>
      </c>
      <c r="AS787" s="173"/>
      <c r="AT787" s="167">
        <f t="shared" si="204"/>
        <v>0</v>
      </c>
      <c r="AU787" s="163"/>
      <c r="AV787" s="163">
        <f t="shared" si="205"/>
        <v>0</v>
      </c>
      <c r="AW787" s="168"/>
      <c r="AX787" s="168">
        <f t="shared" si="206"/>
        <v>0</v>
      </c>
      <c r="AY787" s="170"/>
      <c r="AZ787" s="170">
        <f t="shared" si="207"/>
        <v>0</v>
      </c>
      <c r="BA787" s="166"/>
      <c r="BB787" s="166">
        <f t="shared" si="208"/>
        <v>0</v>
      </c>
    </row>
    <row r="788" spans="1:54" s="239" customFormat="1" ht="112.5">
      <c r="A788" s="148" t="s">
        <v>8367</v>
      </c>
      <c r="B788" s="203" t="s">
        <v>2516</v>
      </c>
      <c r="C788" s="203"/>
      <c r="D788" s="203"/>
      <c r="E788" s="203" t="s">
        <v>2515</v>
      </c>
      <c r="F788" s="205" t="s">
        <v>3132</v>
      </c>
      <c r="G788" s="205" t="s">
        <v>6510</v>
      </c>
      <c r="H788" s="204" t="s">
        <v>4447</v>
      </c>
      <c r="I788" s="204" t="s">
        <v>15</v>
      </c>
      <c r="J788" s="205" t="s">
        <v>7051</v>
      </c>
      <c r="K788" s="206">
        <v>18900</v>
      </c>
      <c r="L788" s="206"/>
      <c r="M788" s="159">
        <f t="shared" si="194"/>
        <v>0</v>
      </c>
      <c r="N788" s="159"/>
      <c r="O788" s="159"/>
      <c r="P788" s="159"/>
      <c r="Q788" s="159"/>
      <c r="R788" s="159"/>
      <c r="S788" s="209" t="s">
        <v>5848</v>
      </c>
      <c r="T788" s="203" t="s">
        <v>5849</v>
      </c>
      <c r="U788" s="202" t="s">
        <v>8368</v>
      </c>
      <c r="V788" s="204">
        <v>5</v>
      </c>
      <c r="W788" s="203" t="s">
        <v>5104</v>
      </c>
      <c r="X788" s="204" t="s">
        <v>213</v>
      </c>
      <c r="Y788" s="206">
        <v>21000</v>
      </c>
      <c r="Z788" s="207">
        <v>1000</v>
      </c>
      <c r="AA788" s="207">
        <f t="shared" si="195"/>
        <v>18900000</v>
      </c>
      <c r="AB788" s="157">
        <v>1000</v>
      </c>
      <c r="AC788" s="158">
        <f t="shared" si="193"/>
        <v>1000</v>
      </c>
      <c r="AD788" s="159">
        <f t="shared" si="196"/>
        <v>0</v>
      </c>
      <c r="AE788" s="160"/>
      <c r="AF788" s="160">
        <f t="shared" si="197"/>
        <v>0</v>
      </c>
      <c r="AG788" s="165"/>
      <c r="AH788" s="161">
        <f t="shared" si="198"/>
        <v>0</v>
      </c>
      <c r="AI788" s="162"/>
      <c r="AJ788" s="162">
        <f t="shared" si="199"/>
        <v>0</v>
      </c>
      <c r="AK788" s="164"/>
      <c r="AL788" s="164">
        <f t="shared" si="200"/>
        <v>0</v>
      </c>
      <c r="AM788" s="165"/>
      <c r="AN788" s="165">
        <f t="shared" si="201"/>
        <v>0</v>
      </c>
      <c r="AO788" s="166">
        <v>0</v>
      </c>
      <c r="AP788" s="166">
        <f t="shared" si="202"/>
        <v>0</v>
      </c>
      <c r="AQ788" s="162"/>
      <c r="AR788" s="162">
        <f t="shared" si="203"/>
        <v>0</v>
      </c>
      <c r="AS788" s="173"/>
      <c r="AT788" s="167">
        <f t="shared" si="204"/>
        <v>0</v>
      </c>
      <c r="AU788" s="163"/>
      <c r="AV788" s="163">
        <f t="shared" si="205"/>
        <v>0</v>
      </c>
      <c r="AW788" s="168"/>
      <c r="AX788" s="168">
        <f t="shared" si="206"/>
        <v>0</v>
      </c>
      <c r="AY788" s="170"/>
      <c r="AZ788" s="170">
        <f t="shared" si="207"/>
        <v>0</v>
      </c>
      <c r="BA788" s="166"/>
      <c r="BB788" s="166">
        <f t="shared" si="208"/>
        <v>0</v>
      </c>
    </row>
    <row r="789" spans="1:54" s="239" customFormat="1">
      <c r="A789" s="172" t="s">
        <v>8369</v>
      </c>
      <c r="B789" s="203" t="s">
        <v>2485</v>
      </c>
      <c r="C789" s="203"/>
      <c r="D789" s="203"/>
      <c r="E789" s="203" t="s">
        <v>8371</v>
      </c>
      <c r="F789" s="205" t="s">
        <v>8373</v>
      </c>
      <c r="G789" s="205" t="s">
        <v>8374</v>
      </c>
      <c r="H789" s="204" t="s">
        <v>2486</v>
      </c>
      <c r="I789" s="204" t="s">
        <v>11</v>
      </c>
      <c r="J789" s="205" t="s">
        <v>8372</v>
      </c>
      <c r="K789" s="206">
        <v>1400</v>
      </c>
      <c r="L789" s="206"/>
      <c r="M789" s="159">
        <f t="shared" si="194"/>
        <v>0</v>
      </c>
      <c r="N789" s="159"/>
      <c r="O789" s="159"/>
      <c r="P789" s="159"/>
      <c r="Q789" s="159"/>
      <c r="R789" s="159"/>
      <c r="S789" s="149" t="s">
        <v>7898</v>
      </c>
      <c r="T789" s="149" t="s">
        <v>7899</v>
      </c>
      <c r="U789" s="202" t="s">
        <v>8370</v>
      </c>
      <c r="V789" s="204">
        <v>5</v>
      </c>
      <c r="W789" s="203" t="s">
        <v>5104</v>
      </c>
      <c r="X789" s="204" t="s">
        <v>213</v>
      </c>
      <c r="Y789" s="206">
        <v>1400</v>
      </c>
      <c r="Z789" s="207">
        <v>50000</v>
      </c>
      <c r="AA789" s="207">
        <f t="shared" si="195"/>
        <v>70000000</v>
      </c>
      <c r="AB789" s="157">
        <v>50000</v>
      </c>
      <c r="AC789" s="158">
        <f t="shared" si="193"/>
        <v>50000</v>
      </c>
      <c r="AD789" s="159">
        <f t="shared" si="196"/>
        <v>0</v>
      </c>
      <c r="AE789" s="160"/>
      <c r="AF789" s="160">
        <f t="shared" si="197"/>
        <v>0</v>
      </c>
      <c r="AG789" s="165"/>
      <c r="AH789" s="161">
        <f t="shared" si="198"/>
        <v>0</v>
      </c>
      <c r="AI789" s="162"/>
      <c r="AJ789" s="162">
        <f t="shared" si="199"/>
        <v>0</v>
      </c>
      <c r="AK789" s="163"/>
      <c r="AL789" s="164">
        <f t="shared" si="200"/>
        <v>0</v>
      </c>
      <c r="AM789" s="161"/>
      <c r="AN789" s="165">
        <f t="shared" si="201"/>
        <v>0</v>
      </c>
      <c r="AO789" s="160">
        <v>0</v>
      </c>
      <c r="AP789" s="166">
        <f t="shared" si="202"/>
        <v>0</v>
      </c>
      <c r="AQ789" s="162"/>
      <c r="AR789" s="162">
        <f t="shared" si="203"/>
        <v>0</v>
      </c>
      <c r="AS789" s="173"/>
      <c r="AT789" s="167">
        <f t="shared" si="204"/>
        <v>0</v>
      </c>
      <c r="AU789" s="163"/>
      <c r="AV789" s="163">
        <f t="shared" si="205"/>
        <v>0</v>
      </c>
      <c r="AW789" s="162"/>
      <c r="AX789" s="168">
        <f t="shared" si="206"/>
        <v>0</v>
      </c>
      <c r="AY789" s="169"/>
      <c r="AZ789" s="170">
        <f t="shared" si="207"/>
        <v>0</v>
      </c>
      <c r="BA789" s="160"/>
      <c r="BB789" s="166">
        <f t="shared" si="208"/>
        <v>0</v>
      </c>
    </row>
    <row r="790" spans="1:54" s="239" customFormat="1" ht="31.5">
      <c r="A790" s="148" t="s">
        <v>8375</v>
      </c>
      <c r="B790" s="203" t="s">
        <v>1289</v>
      </c>
      <c r="C790" s="203"/>
      <c r="D790" s="203"/>
      <c r="E790" s="203" t="s">
        <v>8377</v>
      </c>
      <c r="F790" s="205" t="s">
        <v>8378</v>
      </c>
      <c r="G790" s="205" t="s">
        <v>8379</v>
      </c>
      <c r="H790" s="204" t="s">
        <v>8376</v>
      </c>
      <c r="I790" s="204" t="s">
        <v>11</v>
      </c>
      <c r="J790" s="205" t="s">
        <v>8341</v>
      </c>
      <c r="K790" s="206">
        <v>3400</v>
      </c>
      <c r="L790" s="206"/>
      <c r="M790" s="159">
        <f t="shared" si="194"/>
        <v>0</v>
      </c>
      <c r="N790" s="159"/>
      <c r="O790" s="159"/>
      <c r="P790" s="159"/>
      <c r="Q790" s="159"/>
      <c r="R790" s="159"/>
      <c r="S790" s="149" t="s">
        <v>5600</v>
      </c>
      <c r="T790" s="149" t="s">
        <v>5601</v>
      </c>
      <c r="U790" s="202" t="s">
        <v>5010</v>
      </c>
      <c r="V790" s="204">
        <v>5</v>
      </c>
      <c r="W790" s="203" t="s">
        <v>6049</v>
      </c>
      <c r="X790" s="204" t="s">
        <v>5273</v>
      </c>
      <c r="Y790" s="206">
        <v>3450</v>
      </c>
      <c r="Z790" s="207">
        <v>20000</v>
      </c>
      <c r="AA790" s="207">
        <f t="shared" si="195"/>
        <v>68000000</v>
      </c>
      <c r="AB790" s="157">
        <v>20000</v>
      </c>
      <c r="AC790" s="158">
        <f t="shared" si="193"/>
        <v>20000</v>
      </c>
      <c r="AD790" s="159">
        <f t="shared" si="196"/>
        <v>0</v>
      </c>
      <c r="AE790" s="160"/>
      <c r="AF790" s="160">
        <f t="shared" si="197"/>
        <v>0</v>
      </c>
      <c r="AG790" s="165"/>
      <c r="AH790" s="161">
        <f t="shared" si="198"/>
        <v>0</v>
      </c>
      <c r="AI790" s="162"/>
      <c r="AJ790" s="162">
        <f t="shared" si="199"/>
        <v>0</v>
      </c>
      <c r="AK790" s="164"/>
      <c r="AL790" s="164">
        <f t="shared" si="200"/>
        <v>0</v>
      </c>
      <c r="AM790" s="165"/>
      <c r="AN790" s="165">
        <f t="shared" si="201"/>
        <v>0</v>
      </c>
      <c r="AO790" s="166">
        <v>0</v>
      </c>
      <c r="AP790" s="166">
        <f t="shared" si="202"/>
        <v>0</v>
      </c>
      <c r="AQ790" s="162"/>
      <c r="AR790" s="162">
        <f t="shared" si="203"/>
        <v>0</v>
      </c>
      <c r="AS790" s="173"/>
      <c r="AT790" s="167">
        <f t="shared" si="204"/>
        <v>0</v>
      </c>
      <c r="AU790" s="163"/>
      <c r="AV790" s="163">
        <f t="shared" si="205"/>
        <v>0</v>
      </c>
      <c r="AW790" s="168"/>
      <c r="AX790" s="168">
        <f t="shared" si="206"/>
        <v>0</v>
      </c>
      <c r="AY790" s="170"/>
      <c r="AZ790" s="170">
        <f t="shared" si="207"/>
        <v>0</v>
      </c>
      <c r="BA790" s="166"/>
      <c r="BB790" s="166">
        <f t="shared" si="208"/>
        <v>0</v>
      </c>
    </row>
    <row r="791" spans="1:54" s="239" customFormat="1" ht="31.5">
      <c r="A791" s="148" t="s">
        <v>8380</v>
      </c>
      <c r="B791" s="203" t="s">
        <v>742</v>
      </c>
      <c r="C791" s="203"/>
      <c r="D791" s="203"/>
      <c r="E791" s="203" t="s">
        <v>8382</v>
      </c>
      <c r="F791" s="205" t="s">
        <v>8383</v>
      </c>
      <c r="G791" s="205" t="s">
        <v>6907</v>
      </c>
      <c r="H791" s="204" t="s">
        <v>4187</v>
      </c>
      <c r="I791" s="204" t="s">
        <v>520</v>
      </c>
      <c r="J791" s="205" t="s">
        <v>7543</v>
      </c>
      <c r="K791" s="206">
        <v>29400</v>
      </c>
      <c r="L791" s="206"/>
      <c r="M791" s="159">
        <f t="shared" si="194"/>
        <v>0</v>
      </c>
      <c r="N791" s="159"/>
      <c r="O791" s="159"/>
      <c r="P791" s="159"/>
      <c r="Q791" s="159"/>
      <c r="R791" s="159"/>
      <c r="S791" s="149" t="s">
        <v>5830</v>
      </c>
      <c r="T791" s="149" t="s">
        <v>5831</v>
      </c>
      <c r="U791" s="202" t="s">
        <v>8381</v>
      </c>
      <c r="V791" s="204">
        <v>5</v>
      </c>
      <c r="W791" s="203" t="s">
        <v>5104</v>
      </c>
      <c r="X791" s="204" t="s">
        <v>213</v>
      </c>
      <c r="Y791" s="206">
        <v>32000</v>
      </c>
      <c r="Z791" s="207">
        <v>100</v>
      </c>
      <c r="AA791" s="207">
        <f t="shared" si="195"/>
        <v>2940000</v>
      </c>
      <c r="AB791" s="157">
        <v>100</v>
      </c>
      <c r="AC791" s="158">
        <f t="shared" si="193"/>
        <v>100</v>
      </c>
      <c r="AD791" s="159">
        <f t="shared" si="196"/>
        <v>0</v>
      </c>
      <c r="AE791" s="160"/>
      <c r="AF791" s="160">
        <f t="shared" si="197"/>
        <v>0</v>
      </c>
      <c r="AG791" s="165"/>
      <c r="AH791" s="161">
        <f t="shared" si="198"/>
        <v>0</v>
      </c>
      <c r="AI791" s="162"/>
      <c r="AJ791" s="162">
        <f t="shared" si="199"/>
        <v>0</v>
      </c>
      <c r="AK791" s="164"/>
      <c r="AL791" s="164">
        <f t="shared" si="200"/>
        <v>0</v>
      </c>
      <c r="AM791" s="165"/>
      <c r="AN791" s="165">
        <f t="shared" si="201"/>
        <v>0</v>
      </c>
      <c r="AO791" s="166">
        <v>0</v>
      </c>
      <c r="AP791" s="166">
        <f t="shared" si="202"/>
        <v>0</v>
      </c>
      <c r="AQ791" s="162"/>
      <c r="AR791" s="162">
        <f t="shared" si="203"/>
        <v>0</v>
      </c>
      <c r="AS791" s="173"/>
      <c r="AT791" s="167">
        <f t="shared" si="204"/>
        <v>0</v>
      </c>
      <c r="AU791" s="163"/>
      <c r="AV791" s="163">
        <f t="shared" si="205"/>
        <v>0</v>
      </c>
      <c r="AW791" s="168"/>
      <c r="AX791" s="168">
        <f t="shared" si="206"/>
        <v>0</v>
      </c>
      <c r="AY791" s="170"/>
      <c r="AZ791" s="170">
        <f t="shared" si="207"/>
        <v>0</v>
      </c>
      <c r="BA791" s="166"/>
      <c r="BB791" s="166">
        <f t="shared" si="208"/>
        <v>0</v>
      </c>
    </row>
    <row r="792" spans="1:54" s="239" customFormat="1" ht="47.25">
      <c r="A792" s="172" t="s">
        <v>8384</v>
      </c>
      <c r="B792" s="203" t="s">
        <v>8388</v>
      </c>
      <c r="C792" s="203"/>
      <c r="D792" s="203"/>
      <c r="E792" s="203" t="s">
        <v>8389</v>
      </c>
      <c r="F792" s="205" t="s">
        <v>8391</v>
      </c>
      <c r="G792" s="205" t="s">
        <v>8392</v>
      </c>
      <c r="H792" s="204" t="s">
        <v>225</v>
      </c>
      <c r="I792" s="204" t="s">
        <v>658</v>
      </c>
      <c r="J792" s="205" t="s">
        <v>8390</v>
      </c>
      <c r="K792" s="206">
        <v>55000</v>
      </c>
      <c r="L792" s="206"/>
      <c r="M792" s="159">
        <f t="shared" si="194"/>
        <v>0</v>
      </c>
      <c r="N792" s="159"/>
      <c r="O792" s="159"/>
      <c r="P792" s="159"/>
      <c r="Q792" s="159"/>
      <c r="R792" s="159"/>
      <c r="S792" s="149" t="s">
        <v>8385</v>
      </c>
      <c r="T792" s="149" t="s">
        <v>8386</v>
      </c>
      <c r="U792" s="202" t="s">
        <v>8387</v>
      </c>
      <c r="V792" s="204">
        <v>5</v>
      </c>
      <c r="W792" s="203" t="s">
        <v>5104</v>
      </c>
      <c r="X792" s="204" t="s">
        <v>5551</v>
      </c>
      <c r="Y792" s="206">
        <v>55462</v>
      </c>
      <c r="Z792" s="207">
        <v>500</v>
      </c>
      <c r="AA792" s="207">
        <f t="shared" si="195"/>
        <v>27500000</v>
      </c>
      <c r="AB792" s="157">
        <v>500</v>
      </c>
      <c r="AC792" s="158">
        <f t="shared" si="193"/>
        <v>500</v>
      </c>
      <c r="AD792" s="159">
        <f t="shared" si="196"/>
        <v>0</v>
      </c>
      <c r="AE792" s="160"/>
      <c r="AF792" s="160">
        <f t="shared" si="197"/>
        <v>0</v>
      </c>
      <c r="AG792" s="165"/>
      <c r="AH792" s="161">
        <f t="shared" si="198"/>
        <v>0</v>
      </c>
      <c r="AI792" s="162"/>
      <c r="AJ792" s="162">
        <f t="shared" si="199"/>
        <v>0</v>
      </c>
      <c r="AK792" s="164"/>
      <c r="AL792" s="164">
        <f t="shared" si="200"/>
        <v>0</v>
      </c>
      <c r="AM792" s="165"/>
      <c r="AN792" s="165">
        <f t="shared" si="201"/>
        <v>0</v>
      </c>
      <c r="AO792" s="166">
        <v>0</v>
      </c>
      <c r="AP792" s="166">
        <f t="shared" si="202"/>
        <v>0</v>
      </c>
      <c r="AQ792" s="162"/>
      <c r="AR792" s="162">
        <f t="shared" si="203"/>
        <v>0</v>
      </c>
      <c r="AS792" s="173"/>
      <c r="AT792" s="167">
        <f t="shared" si="204"/>
        <v>0</v>
      </c>
      <c r="AU792" s="163"/>
      <c r="AV792" s="163">
        <f t="shared" si="205"/>
        <v>0</v>
      </c>
      <c r="AW792" s="168"/>
      <c r="AX792" s="168">
        <f t="shared" si="206"/>
        <v>0</v>
      </c>
      <c r="AY792" s="170"/>
      <c r="AZ792" s="170">
        <f t="shared" si="207"/>
        <v>0</v>
      </c>
      <c r="BA792" s="166"/>
      <c r="BB792" s="166">
        <f t="shared" si="208"/>
        <v>0</v>
      </c>
    </row>
    <row r="793" spans="1:54" s="239" customFormat="1" ht="31.5">
      <c r="A793" s="148" t="s">
        <v>8393</v>
      </c>
      <c r="B793" s="203" t="s">
        <v>2618</v>
      </c>
      <c r="C793" s="203"/>
      <c r="D793" s="203"/>
      <c r="E793" s="203" t="s">
        <v>8395</v>
      </c>
      <c r="F793" s="205" t="s">
        <v>8397</v>
      </c>
      <c r="G793" s="205" t="s">
        <v>867</v>
      </c>
      <c r="H793" s="204" t="s">
        <v>2619</v>
      </c>
      <c r="I793" s="204" t="s">
        <v>520</v>
      </c>
      <c r="J793" s="205" t="s">
        <v>8396</v>
      </c>
      <c r="K793" s="206">
        <v>14700</v>
      </c>
      <c r="L793" s="206"/>
      <c r="M793" s="159">
        <f t="shared" si="194"/>
        <v>0</v>
      </c>
      <c r="N793" s="159"/>
      <c r="O793" s="159"/>
      <c r="P793" s="159"/>
      <c r="Q793" s="159"/>
      <c r="R793" s="159"/>
      <c r="S793" s="150" t="s">
        <v>7727</v>
      </c>
      <c r="T793" s="149" t="s">
        <v>863</v>
      </c>
      <c r="U793" s="202" t="s">
        <v>8394</v>
      </c>
      <c r="V793" s="204">
        <v>5</v>
      </c>
      <c r="W793" s="203" t="s">
        <v>5104</v>
      </c>
      <c r="X793" s="204" t="s">
        <v>213</v>
      </c>
      <c r="Y793" s="206">
        <v>14700</v>
      </c>
      <c r="Z793" s="207">
        <v>200</v>
      </c>
      <c r="AA793" s="207">
        <f t="shared" si="195"/>
        <v>2940000</v>
      </c>
      <c r="AB793" s="157">
        <v>200</v>
      </c>
      <c r="AC793" s="158">
        <f t="shared" si="193"/>
        <v>200</v>
      </c>
      <c r="AD793" s="159">
        <f t="shared" si="196"/>
        <v>0</v>
      </c>
      <c r="AE793" s="160"/>
      <c r="AF793" s="160">
        <f t="shared" si="197"/>
        <v>0</v>
      </c>
      <c r="AG793" s="165"/>
      <c r="AH793" s="161">
        <f t="shared" si="198"/>
        <v>0</v>
      </c>
      <c r="AI793" s="162"/>
      <c r="AJ793" s="162">
        <f t="shared" si="199"/>
        <v>0</v>
      </c>
      <c r="AK793" s="164"/>
      <c r="AL793" s="164">
        <f t="shared" si="200"/>
        <v>0</v>
      </c>
      <c r="AM793" s="165"/>
      <c r="AN793" s="165">
        <f t="shared" si="201"/>
        <v>0</v>
      </c>
      <c r="AO793" s="166">
        <v>0</v>
      </c>
      <c r="AP793" s="166">
        <f t="shared" si="202"/>
        <v>0</v>
      </c>
      <c r="AQ793" s="162"/>
      <c r="AR793" s="162">
        <f t="shared" si="203"/>
        <v>0</v>
      </c>
      <c r="AS793" s="173"/>
      <c r="AT793" s="167">
        <f t="shared" si="204"/>
        <v>0</v>
      </c>
      <c r="AU793" s="163"/>
      <c r="AV793" s="163">
        <f t="shared" si="205"/>
        <v>0</v>
      </c>
      <c r="AW793" s="168"/>
      <c r="AX793" s="168">
        <f t="shared" si="206"/>
        <v>0</v>
      </c>
      <c r="AY793" s="170"/>
      <c r="AZ793" s="170">
        <f t="shared" si="207"/>
        <v>0</v>
      </c>
      <c r="BA793" s="166"/>
      <c r="BB793" s="166">
        <f t="shared" si="208"/>
        <v>0</v>
      </c>
    </row>
    <row r="794" spans="1:54" s="239" customFormat="1" ht="31.5">
      <c r="A794" s="148" t="s">
        <v>8398</v>
      </c>
      <c r="B794" s="203" t="s">
        <v>802</v>
      </c>
      <c r="C794" s="203"/>
      <c r="D794" s="203"/>
      <c r="E794" s="203" t="s">
        <v>1455</v>
      </c>
      <c r="F794" s="205" t="s">
        <v>1457</v>
      </c>
      <c r="G794" s="205" t="s">
        <v>1449</v>
      </c>
      <c r="H794" s="204" t="s">
        <v>1200</v>
      </c>
      <c r="I794" s="204" t="s">
        <v>12</v>
      </c>
      <c r="J794" s="205" t="s">
        <v>7250</v>
      </c>
      <c r="K794" s="206">
        <v>1186</v>
      </c>
      <c r="L794" s="206"/>
      <c r="M794" s="159">
        <f t="shared" si="194"/>
        <v>0</v>
      </c>
      <c r="N794" s="159"/>
      <c r="O794" s="159"/>
      <c r="P794" s="159"/>
      <c r="Q794" s="159"/>
      <c r="R794" s="159"/>
      <c r="S794" s="149" t="s">
        <v>7241</v>
      </c>
      <c r="T794" s="149" t="s">
        <v>7242</v>
      </c>
      <c r="U794" s="202" t="s">
        <v>4474</v>
      </c>
      <c r="V794" s="204">
        <v>5</v>
      </c>
      <c r="W794" s="203" t="s">
        <v>253</v>
      </c>
      <c r="X794" s="204" t="s">
        <v>213</v>
      </c>
      <c r="Y794" s="206">
        <v>2520</v>
      </c>
      <c r="Z794" s="207">
        <v>40000</v>
      </c>
      <c r="AA794" s="207">
        <f t="shared" si="195"/>
        <v>47440000</v>
      </c>
      <c r="AB794" s="157">
        <v>40000</v>
      </c>
      <c r="AC794" s="158">
        <f t="shared" si="193"/>
        <v>40000</v>
      </c>
      <c r="AD794" s="159">
        <f t="shared" si="196"/>
        <v>0</v>
      </c>
      <c r="AE794" s="160"/>
      <c r="AF794" s="160">
        <f t="shared" si="197"/>
        <v>0</v>
      </c>
      <c r="AG794" s="165"/>
      <c r="AH794" s="161">
        <f t="shared" si="198"/>
        <v>0</v>
      </c>
      <c r="AI794" s="162"/>
      <c r="AJ794" s="162">
        <f t="shared" si="199"/>
        <v>0</v>
      </c>
      <c r="AK794" s="164"/>
      <c r="AL794" s="164">
        <f t="shared" si="200"/>
        <v>0</v>
      </c>
      <c r="AM794" s="165"/>
      <c r="AN794" s="165">
        <f t="shared" si="201"/>
        <v>0</v>
      </c>
      <c r="AO794" s="166">
        <v>0</v>
      </c>
      <c r="AP794" s="166">
        <f t="shared" si="202"/>
        <v>0</v>
      </c>
      <c r="AQ794" s="162"/>
      <c r="AR794" s="162">
        <f t="shared" si="203"/>
        <v>0</v>
      </c>
      <c r="AS794" s="173"/>
      <c r="AT794" s="167">
        <f t="shared" si="204"/>
        <v>0</v>
      </c>
      <c r="AU794" s="163"/>
      <c r="AV794" s="163">
        <f t="shared" si="205"/>
        <v>0</v>
      </c>
      <c r="AW794" s="168"/>
      <c r="AX794" s="168">
        <f t="shared" si="206"/>
        <v>0</v>
      </c>
      <c r="AY794" s="170"/>
      <c r="AZ794" s="170">
        <f t="shared" si="207"/>
        <v>0</v>
      </c>
      <c r="BA794" s="166"/>
      <c r="BB794" s="166">
        <f t="shared" si="208"/>
        <v>0</v>
      </c>
    </row>
    <row r="795" spans="1:54" s="239" customFormat="1" ht="31.5">
      <c r="A795" s="172" t="s">
        <v>8399</v>
      </c>
      <c r="B795" s="203" t="s">
        <v>847</v>
      </c>
      <c r="C795" s="203"/>
      <c r="D795" s="203"/>
      <c r="E795" s="203" t="s">
        <v>4478</v>
      </c>
      <c r="F795" s="205" t="s">
        <v>7256</v>
      </c>
      <c r="G795" s="205" t="s">
        <v>1449</v>
      </c>
      <c r="H795" s="204" t="s">
        <v>272</v>
      </c>
      <c r="I795" s="204" t="s">
        <v>12</v>
      </c>
      <c r="J795" s="205" t="s">
        <v>7255</v>
      </c>
      <c r="K795" s="206">
        <v>796</v>
      </c>
      <c r="L795" s="206"/>
      <c r="M795" s="159">
        <f t="shared" si="194"/>
        <v>0</v>
      </c>
      <c r="N795" s="159"/>
      <c r="O795" s="159"/>
      <c r="P795" s="159"/>
      <c r="Q795" s="159"/>
      <c r="R795" s="159"/>
      <c r="S795" s="149" t="s">
        <v>7241</v>
      </c>
      <c r="T795" s="149" t="s">
        <v>7242</v>
      </c>
      <c r="U795" s="202" t="s">
        <v>8400</v>
      </c>
      <c r="V795" s="204">
        <v>5</v>
      </c>
      <c r="W795" s="203" t="s">
        <v>253</v>
      </c>
      <c r="X795" s="204" t="s">
        <v>213</v>
      </c>
      <c r="Y795" s="206">
        <v>1440</v>
      </c>
      <c r="Z795" s="207">
        <v>20000</v>
      </c>
      <c r="AA795" s="207">
        <f t="shared" si="195"/>
        <v>15920000</v>
      </c>
      <c r="AB795" s="157">
        <v>20000</v>
      </c>
      <c r="AC795" s="158">
        <f t="shared" si="193"/>
        <v>20000</v>
      </c>
      <c r="AD795" s="159">
        <f t="shared" si="196"/>
        <v>0</v>
      </c>
      <c r="AE795" s="160"/>
      <c r="AF795" s="160">
        <f t="shared" si="197"/>
        <v>0</v>
      </c>
      <c r="AG795" s="165"/>
      <c r="AH795" s="161">
        <f t="shared" si="198"/>
        <v>0</v>
      </c>
      <c r="AI795" s="162"/>
      <c r="AJ795" s="162">
        <f t="shared" si="199"/>
        <v>0</v>
      </c>
      <c r="AK795" s="164"/>
      <c r="AL795" s="164">
        <f t="shared" si="200"/>
        <v>0</v>
      </c>
      <c r="AM795" s="165"/>
      <c r="AN795" s="165">
        <f t="shared" si="201"/>
        <v>0</v>
      </c>
      <c r="AO795" s="166">
        <v>0</v>
      </c>
      <c r="AP795" s="166">
        <f t="shared" si="202"/>
        <v>0</v>
      </c>
      <c r="AQ795" s="162"/>
      <c r="AR795" s="162">
        <f t="shared" si="203"/>
        <v>0</v>
      </c>
      <c r="AS795" s="173"/>
      <c r="AT795" s="167">
        <f t="shared" si="204"/>
        <v>0</v>
      </c>
      <c r="AU795" s="163"/>
      <c r="AV795" s="163">
        <f t="shared" si="205"/>
        <v>0</v>
      </c>
      <c r="AW795" s="168"/>
      <c r="AX795" s="168">
        <f t="shared" si="206"/>
        <v>0</v>
      </c>
      <c r="AY795" s="170"/>
      <c r="AZ795" s="170">
        <f t="shared" si="207"/>
        <v>0</v>
      </c>
      <c r="BA795" s="166"/>
      <c r="BB795" s="166">
        <f t="shared" si="208"/>
        <v>0</v>
      </c>
    </row>
    <row r="796" spans="1:54" s="239" customFormat="1">
      <c r="A796" s="148" t="s">
        <v>8401</v>
      </c>
      <c r="B796" s="203" t="s">
        <v>2477</v>
      </c>
      <c r="C796" s="203"/>
      <c r="D796" s="203"/>
      <c r="E796" s="203" t="s">
        <v>5897</v>
      </c>
      <c r="F796" s="205" t="s">
        <v>5899</v>
      </c>
      <c r="G796" s="205" t="s">
        <v>5833</v>
      </c>
      <c r="H796" s="204" t="s">
        <v>799</v>
      </c>
      <c r="I796" s="204" t="s">
        <v>520</v>
      </c>
      <c r="J796" s="205" t="s">
        <v>5898</v>
      </c>
      <c r="K796" s="206">
        <v>17850</v>
      </c>
      <c r="L796" s="206"/>
      <c r="M796" s="159">
        <f t="shared" si="194"/>
        <v>0</v>
      </c>
      <c r="N796" s="159"/>
      <c r="O796" s="159"/>
      <c r="P796" s="159"/>
      <c r="Q796" s="159"/>
      <c r="R796" s="159"/>
      <c r="S796" s="149" t="s">
        <v>5830</v>
      </c>
      <c r="T796" s="149" t="s">
        <v>5831</v>
      </c>
      <c r="U796" s="202" t="s">
        <v>8402</v>
      </c>
      <c r="V796" s="204">
        <v>5</v>
      </c>
      <c r="W796" s="203" t="s">
        <v>5104</v>
      </c>
      <c r="X796" s="204" t="s">
        <v>5185</v>
      </c>
      <c r="Y796" s="206">
        <v>18000</v>
      </c>
      <c r="Z796" s="207">
        <v>200</v>
      </c>
      <c r="AA796" s="207">
        <f t="shared" si="195"/>
        <v>3570000</v>
      </c>
      <c r="AB796" s="157">
        <v>200</v>
      </c>
      <c r="AC796" s="158">
        <f t="shared" si="193"/>
        <v>200</v>
      </c>
      <c r="AD796" s="159">
        <f t="shared" si="196"/>
        <v>0</v>
      </c>
      <c r="AE796" s="160"/>
      <c r="AF796" s="160">
        <f t="shared" si="197"/>
        <v>0</v>
      </c>
      <c r="AG796" s="165"/>
      <c r="AH796" s="161">
        <f t="shared" si="198"/>
        <v>0</v>
      </c>
      <c r="AI796" s="162"/>
      <c r="AJ796" s="162">
        <f t="shared" si="199"/>
        <v>0</v>
      </c>
      <c r="AK796" s="164"/>
      <c r="AL796" s="164">
        <f t="shared" si="200"/>
        <v>0</v>
      </c>
      <c r="AM796" s="165"/>
      <c r="AN796" s="165">
        <f t="shared" si="201"/>
        <v>0</v>
      </c>
      <c r="AO796" s="166">
        <v>0</v>
      </c>
      <c r="AP796" s="166">
        <f t="shared" si="202"/>
        <v>0</v>
      </c>
      <c r="AQ796" s="162"/>
      <c r="AR796" s="162">
        <f t="shared" si="203"/>
        <v>0</v>
      </c>
      <c r="AS796" s="173"/>
      <c r="AT796" s="167">
        <f t="shared" si="204"/>
        <v>0</v>
      </c>
      <c r="AU796" s="163"/>
      <c r="AV796" s="163">
        <f t="shared" si="205"/>
        <v>0</v>
      </c>
      <c r="AW796" s="168"/>
      <c r="AX796" s="168">
        <f t="shared" si="206"/>
        <v>0</v>
      </c>
      <c r="AY796" s="170"/>
      <c r="AZ796" s="170">
        <f t="shared" si="207"/>
        <v>0</v>
      </c>
      <c r="BA796" s="166"/>
      <c r="BB796" s="166">
        <f t="shared" si="208"/>
        <v>0</v>
      </c>
    </row>
    <row r="797" spans="1:54" s="239" customFormat="1" ht="112.5">
      <c r="A797" s="148" t="s">
        <v>8403</v>
      </c>
      <c r="B797" s="203" t="s">
        <v>1235</v>
      </c>
      <c r="C797" s="203"/>
      <c r="D797" s="203"/>
      <c r="E797" s="203" t="s">
        <v>7276</v>
      </c>
      <c r="F797" s="205" t="s">
        <v>7278</v>
      </c>
      <c r="G797" s="205" t="s">
        <v>8406</v>
      </c>
      <c r="H797" s="204" t="s">
        <v>272</v>
      </c>
      <c r="I797" s="204" t="s">
        <v>13</v>
      </c>
      <c r="J797" s="205" t="s">
        <v>8405</v>
      </c>
      <c r="K797" s="206">
        <v>6510</v>
      </c>
      <c r="L797" s="206"/>
      <c r="M797" s="159">
        <f t="shared" si="194"/>
        <v>0</v>
      </c>
      <c r="N797" s="159"/>
      <c r="O797" s="159"/>
      <c r="P797" s="159"/>
      <c r="Q797" s="159"/>
      <c r="R797" s="159"/>
      <c r="S797" s="209" t="s">
        <v>5848</v>
      </c>
      <c r="T797" s="203" t="s">
        <v>5849</v>
      </c>
      <c r="U797" s="202" t="s">
        <v>8404</v>
      </c>
      <c r="V797" s="204">
        <v>5</v>
      </c>
      <c r="W797" s="203" t="s">
        <v>253</v>
      </c>
      <c r="X797" s="204" t="s">
        <v>213</v>
      </c>
      <c r="Y797" s="206">
        <v>11000</v>
      </c>
      <c r="Z797" s="207">
        <v>10000</v>
      </c>
      <c r="AA797" s="207">
        <f t="shared" si="195"/>
        <v>65100000</v>
      </c>
      <c r="AB797" s="157">
        <v>10000</v>
      </c>
      <c r="AC797" s="158">
        <f t="shared" si="193"/>
        <v>10000</v>
      </c>
      <c r="AD797" s="159">
        <f t="shared" si="196"/>
        <v>0</v>
      </c>
      <c r="AE797" s="160"/>
      <c r="AF797" s="160">
        <f t="shared" si="197"/>
        <v>0</v>
      </c>
      <c r="AG797" s="165"/>
      <c r="AH797" s="161">
        <f t="shared" si="198"/>
        <v>0</v>
      </c>
      <c r="AI797" s="162"/>
      <c r="AJ797" s="162">
        <f t="shared" si="199"/>
        <v>0</v>
      </c>
      <c r="AK797" s="164"/>
      <c r="AL797" s="164">
        <f t="shared" si="200"/>
        <v>0</v>
      </c>
      <c r="AM797" s="165"/>
      <c r="AN797" s="165">
        <f t="shared" si="201"/>
        <v>0</v>
      </c>
      <c r="AO797" s="166">
        <v>0</v>
      </c>
      <c r="AP797" s="166">
        <f t="shared" si="202"/>
        <v>0</v>
      </c>
      <c r="AQ797" s="162"/>
      <c r="AR797" s="162">
        <f t="shared" si="203"/>
        <v>0</v>
      </c>
      <c r="AS797" s="173"/>
      <c r="AT797" s="167">
        <f t="shared" si="204"/>
        <v>0</v>
      </c>
      <c r="AU797" s="163"/>
      <c r="AV797" s="163">
        <f t="shared" si="205"/>
        <v>0</v>
      </c>
      <c r="AW797" s="168"/>
      <c r="AX797" s="168">
        <f t="shared" si="206"/>
        <v>0</v>
      </c>
      <c r="AY797" s="170"/>
      <c r="AZ797" s="170">
        <f t="shared" si="207"/>
        <v>0</v>
      </c>
      <c r="BA797" s="166"/>
      <c r="BB797" s="166">
        <f t="shared" si="208"/>
        <v>0</v>
      </c>
    </row>
    <row r="798" spans="1:54" s="239" customFormat="1" ht="31.5">
      <c r="A798" s="172" t="s">
        <v>8407</v>
      </c>
      <c r="B798" s="203" t="s">
        <v>256</v>
      </c>
      <c r="C798" s="203"/>
      <c r="D798" s="203"/>
      <c r="E798" s="203" t="s">
        <v>7291</v>
      </c>
      <c r="F798" s="205" t="s">
        <v>7293</v>
      </c>
      <c r="G798" s="205" t="s">
        <v>1449</v>
      </c>
      <c r="H798" s="204" t="s">
        <v>258</v>
      </c>
      <c r="I798" s="204" t="s">
        <v>12</v>
      </c>
      <c r="J798" s="205" t="s">
        <v>7292</v>
      </c>
      <c r="K798" s="206">
        <v>1008</v>
      </c>
      <c r="L798" s="206"/>
      <c r="M798" s="159">
        <f t="shared" si="194"/>
        <v>0</v>
      </c>
      <c r="N798" s="159"/>
      <c r="O798" s="159"/>
      <c r="P798" s="159"/>
      <c r="Q798" s="159"/>
      <c r="R798" s="159"/>
      <c r="S798" s="149" t="s">
        <v>7241</v>
      </c>
      <c r="T798" s="149" t="s">
        <v>7242</v>
      </c>
      <c r="U798" s="202" t="s">
        <v>8408</v>
      </c>
      <c r="V798" s="204">
        <v>5</v>
      </c>
      <c r="W798" s="203" t="s">
        <v>253</v>
      </c>
      <c r="X798" s="204" t="s">
        <v>213</v>
      </c>
      <c r="Y798" s="206">
        <v>4700</v>
      </c>
      <c r="Z798" s="207">
        <v>10000</v>
      </c>
      <c r="AA798" s="207">
        <f t="shared" si="195"/>
        <v>10080000</v>
      </c>
      <c r="AB798" s="157">
        <v>10000</v>
      </c>
      <c r="AC798" s="158">
        <f t="shared" si="193"/>
        <v>10000</v>
      </c>
      <c r="AD798" s="159">
        <f t="shared" si="196"/>
        <v>0</v>
      </c>
      <c r="AE798" s="160"/>
      <c r="AF798" s="160">
        <f t="shared" si="197"/>
        <v>0</v>
      </c>
      <c r="AG798" s="165"/>
      <c r="AH798" s="161">
        <f t="shared" si="198"/>
        <v>0</v>
      </c>
      <c r="AI798" s="162"/>
      <c r="AJ798" s="162">
        <f t="shared" si="199"/>
        <v>0</v>
      </c>
      <c r="AK798" s="164"/>
      <c r="AL798" s="164">
        <f t="shared" si="200"/>
        <v>0</v>
      </c>
      <c r="AM798" s="165"/>
      <c r="AN798" s="165">
        <f t="shared" si="201"/>
        <v>0</v>
      </c>
      <c r="AO798" s="166">
        <v>0</v>
      </c>
      <c r="AP798" s="166">
        <f t="shared" si="202"/>
        <v>0</v>
      </c>
      <c r="AQ798" s="162"/>
      <c r="AR798" s="162">
        <f t="shared" si="203"/>
        <v>0</v>
      </c>
      <c r="AS798" s="173"/>
      <c r="AT798" s="167">
        <f t="shared" si="204"/>
        <v>0</v>
      </c>
      <c r="AU798" s="163"/>
      <c r="AV798" s="163">
        <f t="shared" si="205"/>
        <v>0</v>
      </c>
      <c r="AW798" s="168"/>
      <c r="AX798" s="168">
        <f t="shared" si="206"/>
        <v>0</v>
      </c>
      <c r="AY798" s="170"/>
      <c r="AZ798" s="170">
        <f t="shared" si="207"/>
        <v>0</v>
      </c>
      <c r="BA798" s="166"/>
      <c r="BB798" s="166">
        <f t="shared" si="208"/>
        <v>0</v>
      </c>
    </row>
    <row r="799" spans="1:54" s="239" customFormat="1" ht="31.5">
      <c r="A799" s="148" t="s">
        <v>8409</v>
      </c>
      <c r="B799" s="203" t="s">
        <v>256</v>
      </c>
      <c r="C799" s="203"/>
      <c r="D799" s="203"/>
      <c r="E799" s="203" t="s">
        <v>7296</v>
      </c>
      <c r="F799" s="205" t="s">
        <v>7297</v>
      </c>
      <c r="G799" s="205" t="s">
        <v>1449</v>
      </c>
      <c r="H799" s="204" t="s">
        <v>291</v>
      </c>
      <c r="I799" s="204" t="s">
        <v>12</v>
      </c>
      <c r="J799" s="205" t="s">
        <v>7292</v>
      </c>
      <c r="K799" s="206">
        <v>917</v>
      </c>
      <c r="L799" s="206"/>
      <c r="M799" s="159">
        <f t="shared" si="194"/>
        <v>0</v>
      </c>
      <c r="N799" s="159"/>
      <c r="O799" s="159"/>
      <c r="P799" s="159"/>
      <c r="Q799" s="159"/>
      <c r="R799" s="159"/>
      <c r="S799" s="149" t="s">
        <v>7241</v>
      </c>
      <c r="T799" s="149" t="s">
        <v>7242</v>
      </c>
      <c r="U799" s="202" t="s">
        <v>8410</v>
      </c>
      <c r="V799" s="204">
        <v>5</v>
      </c>
      <c r="W799" s="203" t="s">
        <v>253</v>
      </c>
      <c r="X799" s="204" t="s">
        <v>213</v>
      </c>
      <c r="Y799" s="206">
        <v>3600</v>
      </c>
      <c r="Z799" s="207">
        <v>5000</v>
      </c>
      <c r="AA799" s="207">
        <f t="shared" si="195"/>
        <v>4585000</v>
      </c>
      <c r="AB799" s="157">
        <v>5000</v>
      </c>
      <c r="AC799" s="158">
        <f t="shared" si="193"/>
        <v>5000</v>
      </c>
      <c r="AD799" s="159">
        <f t="shared" si="196"/>
        <v>0</v>
      </c>
      <c r="AE799" s="160"/>
      <c r="AF799" s="160">
        <f t="shared" si="197"/>
        <v>0</v>
      </c>
      <c r="AG799" s="165"/>
      <c r="AH799" s="161">
        <f t="shared" si="198"/>
        <v>0</v>
      </c>
      <c r="AI799" s="162"/>
      <c r="AJ799" s="162">
        <f t="shared" si="199"/>
        <v>0</v>
      </c>
      <c r="AK799" s="164"/>
      <c r="AL799" s="164">
        <f t="shared" si="200"/>
        <v>0</v>
      </c>
      <c r="AM799" s="165"/>
      <c r="AN799" s="165">
        <f t="shared" si="201"/>
        <v>0</v>
      </c>
      <c r="AO799" s="166">
        <v>0</v>
      </c>
      <c r="AP799" s="166">
        <f t="shared" si="202"/>
        <v>0</v>
      </c>
      <c r="AQ799" s="162"/>
      <c r="AR799" s="162">
        <f t="shared" si="203"/>
        <v>0</v>
      </c>
      <c r="AS799" s="173"/>
      <c r="AT799" s="167">
        <f t="shared" si="204"/>
        <v>0</v>
      </c>
      <c r="AU799" s="163"/>
      <c r="AV799" s="163">
        <f t="shared" si="205"/>
        <v>0</v>
      </c>
      <c r="AW799" s="168"/>
      <c r="AX799" s="168">
        <f t="shared" si="206"/>
        <v>0</v>
      </c>
      <c r="AY799" s="170"/>
      <c r="AZ799" s="170">
        <f t="shared" si="207"/>
        <v>0</v>
      </c>
      <c r="BA799" s="166"/>
      <c r="BB799" s="166">
        <f t="shared" si="208"/>
        <v>0</v>
      </c>
    </row>
    <row r="800" spans="1:54" s="239" customFormat="1" ht="31.5">
      <c r="A800" s="148" t="s">
        <v>8411</v>
      </c>
      <c r="B800" s="203" t="s">
        <v>7356</v>
      </c>
      <c r="C800" s="203"/>
      <c r="D800" s="203"/>
      <c r="E800" s="203" t="s">
        <v>7356</v>
      </c>
      <c r="F800" s="205" t="s">
        <v>7357</v>
      </c>
      <c r="G800" s="205" t="s">
        <v>7001</v>
      </c>
      <c r="H800" s="204" t="s">
        <v>225</v>
      </c>
      <c r="I800" s="204" t="s">
        <v>11</v>
      </c>
      <c r="J800" s="205" t="s">
        <v>6767</v>
      </c>
      <c r="K800" s="206">
        <v>316</v>
      </c>
      <c r="L800" s="206"/>
      <c r="M800" s="159">
        <f t="shared" si="194"/>
        <v>0</v>
      </c>
      <c r="N800" s="159"/>
      <c r="O800" s="159"/>
      <c r="P800" s="159"/>
      <c r="Q800" s="159"/>
      <c r="R800" s="159"/>
      <c r="S800" s="150" t="s">
        <v>360</v>
      </c>
      <c r="T800" s="150" t="s">
        <v>358</v>
      </c>
      <c r="U800" s="202" t="s">
        <v>8412</v>
      </c>
      <c r="V800" s="204">
        <v>5</v>
      </c>
      <c r="W800" s="203" t="s">
        <v>5104</v>
      </c>
      <c r="X800" s="204" t="s">
        <v>213</v>
      </c>
      <c r="Y800" s="206">
        <v>600</v>
      </c>
      <c r="Z800" s="207">
        <v>5000</v>
      </c>
      <c r="AA800" s="207">
        <f t="shared" si="195"/>
        <v>1580000</v>
      </c>
      <c r="AB800" s="157">
        <v>5000</v>
      </c>
      <c r="AC800" s="158">
        <f t="shared" si="193"/>
        <v>5000</v>
      </c>
      <c r="AD800" s="159">
        <f t="shared" si="196"/>
        <v>0</v>
      </c>
      <c r="AE800" s="160"/>
      <c r="AF800" s="160">
        <f t="shared" si="197"/>
        <v>0</v>
      </c>
      <c r="AG800" s="165"/>
      <c r="AH800" s="161">
        <f t="shared" si="198"/>
        <v>0</v>
      </c>
      <c r="AI800" s="162"/>
      <c r="AJ800" s="162">
        <f t="shared" si="199"/>
        <v>0</v>
      </c>
      <c r="AK800" s="164"/>
      <c r="AL800" s="164">
        <f t="shared" si="200"/>
        <v>0</v>
      </c>
      <c r="AM800" s="165"/>
      <c r="AN800" s="165">
        <f t="shared" si="201"/>
        <v>0</v>
      </c>
      <c r="AO800" s="166">
        <v>0</v>
      </c>
      <c r="AP800" s="166">
        <f t="shared" si="202"/>
        <v>0</v>
      </c>
      <c r="AQ800" s="162"/>
      <c r="AR800" s="162">
        <f t="shared" si="203"/>
        <v>0</v>
      </c>
      <c r="AS800" s="173"/>
      <c r="AT800" s="167">
        <f t="shared" si="204"/>
        <v>0</v>
      </c>
      <c r="AU800" s="163"/>
      <c r="AV800" s="163">
        <f t="shared" si="205"/>
        <v>0</v>
      </c>
      <c r="AW800" s="168"/>
      <c r="AX800" s="168">
        <f t="shared" si="206"/>
        <v>0</v>
      </c>
      <c r="AY800" s="170"/>
      <c r="AZ800" s="170">
        <f t="shared" si="207"/>
        <v>0</v>
      </c>
      <c r="BA800" s="166"/>
      <c r="BB800" s="166">
        <f t="shared" si="208"/>
        <v>0</v>
      </c>
    </row>
    <row r="801" spans="1:54" s="239" customFormat="1" ht="31.5">
      <c r="A801" s="172" t="s">
        <v>8413</v>
      </c>
      <c r="B801" s="203" t="s">
        <v>7370</v>
      </c>
      <c r="C801" s="203"/>
      <c r="D801" s="203"/>
      <c r="E801" s="203" t="s">
        <v>7371</v>
      </c>
      <c r="F801" s="205" t="s">
        <v>7373</v>
      </c>
      <c r="G801" s="205" t="s">
        <v>7211</v>
      </c>
      <c r="H801" s="204" t="s">
        <v>232</v>
      </c>
      <c r="I801" s="204" t="s">
        <v>11</v>
      </c>
      <c r="J801" s="205" t="s">
        <v>7372</v>
      </c>
      <c r="K801" s="206">
        <v>465</v>
      </c>
      <c r="L801" s="206"/>
      <c r="M801" s="159">
        <f t="shared" si="194"/>
        <v>0</v>
      </c>
      <c r="N801" s="159"/>
      <c r="O801" s="159"/>
      <c r="P801" s="159"/>
      <c r="Q801" s="159"/>
      <c r="R801" s="159"/>
      <c r="S801" s="150" t="s">
        <v>5328</v>
      </c>
      <c r="T801" s="150" t="s">
        <v>215</v>
      </c>
      <c r="U801" s="202" t="s">
        <v>8414</v>
      </c>
      <c r="V801" s="204">
        <v>5</v>
      </c>
      <c r="W801" s="203" t="s">
        <v>5104</v>
      </c>
      <c r="X801" s="204" t="s">
        <v>213</v>
      </c>
      <c r="Y801" s="206">
        <v>1820</v>
      </c>
      <c r="Z801" s="207">
        <v>20000</v>
      </c>
      <c r="AA801" s="207">
        <f t="shared" si="195"/>
        <v>9300000</v>
      </c>
      <c r="AB801" s="157">
        <v>20000</v>
      </c>
      <c r="AC801" s="158">
        <f t="shared" si="193"/>
        <v>20000</v>
      </c>
      <c r="AD801" s="159">
        <f t="shared" si="196"/>
        <v>0</v>
      </c>
      <c r="AE801" s="160"/>
      <c r="AF801" s="160">
        <f t="shared" si="197"/>
        <v>0</v>
      </c>
      <c r="AG801" s="165"/>
      <c r="AH801" s="161">
        <f t="shared" si="198"/>
        <v>0</v>
      </c>
      <c r="AI801" s="162"/>
      <c r="AJ801" s="162">
        <f t="shared" si="199"/>
        <v>0</v>
      </c>
      <c r="AK801" s="164"/>
      <c r="AL801" s="164">
        <f t="shared" si="200"/>
        <v>0</v>
      </c>
      <c r="AM801" s="165"/>
      <c r="AN801" s="165">
        <f t="shared" si="201"/>
        <v>0</v>
      </c>
      <c r="AO801" s="166">
        <v>0</v>
      </c>
      <c r="AP801" s="166">
        <f t="shared" si="202"/>
        <v>0</v>
      </c>
      <c r="AQ801" s="162"/>
      <c r="AR801" s="162">
        <f t="shared" si="203"/>
        <v>0</v>
      </c>
      <c r="AS801" s="173"/>
      <c r="AT801" s="167">
        <f t="shared" si="204"/>
        <v>0</v>
      </c>
      <c r="AU801" s="163"/>
      <c r="AV801" s="163">
        <f t="shared" si="205"/>
        <v>0</v>
      </c>
      <c r="AW801" s="168"/>
      <c r="AX801" s="168">
        <f t="shared" si="206"/>
        <v>0</v>
      </c>
      <c r="AY801" s="170"/>
      <c r="AZ801" s="170">
        <f t="shared" si="207"/>
        <v>0</v>
      </c>
      <c r="BA801" s="166"/>
      <c r="BB801" s="166">
        <f t="shared" si="208"/>
        <v>0</v>
      </c>
    </row>
    <row r="802" spans="1:54" s="239" customFormat="1" ht="31.5">
      <c r="A802" s="148" t="s">
        <v>8415</v>
      </c>
      <c r="B802" s="203" t="s">
        <v>1029</v>
      </c>
      <c r="C802" s="203"/>
      <c r="D802" s="203"/>
      <c r="E802" s="203" t="s">
        <v>4564</v>
      </c>
      <c r="F802" s="205" t="s">
        <v>7382</v>
      </c>
      <c r="G802" s="205" t="s">
        <v>7001</v>
      </c>
      <c r="H802" s="204" t="s">
        <v>4565</v>
      </c>
      <c r="I802" s="204" t="s">
        <v>11</v>
      </c>
      <c r="J802" s="205" t="s">
        <v>7381</v>
      </c>
      <c r="K802" s="206">
        <v>2337</v>
      </c>
      <c r="L802" s="206"/>
      <c r="M802" s="159">
        <f t="shared" si="194"/>
        <v>0</v>
      </c>
      <c r="N802" s="159"/>
      <c r="O802" s="159"/>
      <c r="P802" s="159"/>
      <c r="Q802" s="159"/>
      <c r="R802" s="159"/>
      <c r="S802" s="150" t="s">
        <v>360</v>
      </c>
      <c r="T802" s="150" t="s">
        <v>358</v>
      </c>
      <c r="U802" s="202" t="s">
        <v>8416</v>
      </c>
      <c r="V802" s="204">
        <v>5</v>
      </c>
      <c r="W802" s="203" t="s">
        <v>5104</v>
      </c>
      <c r="X802" s="204" t="s">
        <v>213</v>
      </c>
      <c r="Y802" s="206">
        <v>5100</v>
      </c>
      <c r="Z802" s="207">
        <v>30000</v>
      </c>
      <c r="AA802" s="207">
        <f t="shared" si="195"/>
        <v>70110000</v>
      </c>
      <c r="AB802" s="157">
        <v>30000</v>
      </c>
      <c r="AC802" s="158">
        <f t="shared" si="193"/>
        <v>30000</v>
      </c>
      <c r="AD802" s="159">
        <f t="shared" si="196"/>
        <v>0</v>
      </c>
      <c r="AE802" s="160"/>
      <c r="AF802" s="160">
        <f t="shared" si="197"/>
        <v>0</v>
      </c>
      <c r="AG802" s="165"/>
      <c r="AH802" s="161">
        <f t="shared" si="198"/>
        <v>0</v>
      </c>
      <c r="AI802" s="162"/>
      <c r="AJ802" s="162">
        <f t="shared" si="199"/>
        <v>0</v>
      </c>
      <c r="AK802" s="164"/>
      <c r="AL802" s="164">
        <f t="shared" si="200"/>
        <v>0</v>
      </c>
      <c r="AM802" s="165"/>
      <c r="AN802" s="165">
        <f t="shared" si="201"/>
        <v>0</v>
      </c>
      <c r="AO802" s="166">
        <v>0</v>
      </c>
      <c r="AP802" s="166">
        <f t="shared" si="202"/>
        <v>0</v>
      </c>
      <c r="AQ802" s="162"/>
      <c r="AR802" s="162">
        <f t="shared" si="203"/>
        <v>0</v>
      </c>
      <c r="AS802" s="173"/>
      <c r="AT802" s="167">
        <f t="shared" si="204"/>
        <v>0</v>
      </c>
      <c r="AU802" s="163"/>
      <c r="AV802" s="163">
        <f t="shared" si="205"/>
        <v>0</v>
      </c>
      <c r="AW802" s="168"/>
      <c r="AX802" s="168">
        <f t="shared" si="206"/>
        <v>0</v>
      </c>
      <c r="AY802" s="170"/>
      <c r="AZ802" s="170">
        <f t="shared" si="207"/>
        <v>0</v>
      </c>
      <c r="BA802" s="166"/>
      <c r="BB802" s="166">
        <f t="shared" si="208"/>
        <v>0</v>
      </c>
    </row>
    <row r="803" spans="1:54" s="239" customFormat="1" ht="31.5">
      <c r="A803" s="148" t="s">
        <v>8417</v>
      </c>
      <c r="B803" s="203" t="s">
        <v>1368</v>
      </c>
      <c r="C803" s="203"/>
      <c r="D803" s="203"/>
      <c r="E803" s="203" t="s">
        <v>2725</v>
      </c>
      <c r="F803" s="205" t="s">
        <v>8418</v>
      </c>
      <c r="G803" s="205" t="s">
        <v>7011</v>
      </c>
      <c r="H803" s="204" t="s">
        <v>1941</v>
      </c>
      <c r="I803" s="204" t="s">
        <v>658</v>
      </c>
      <c r="J803" s="205" t="s">
        <v>7340</v>
      </c>
      <c r="K803" s="206">
        <v>2394</v>
      </c>
      <c r="L803" s="206"/>
      <c r="M803" s="159">
        <f t="shared" si="194"/>
        <v>50</v>
      </c>
      <c r="N803" s="159"/>
      <c r="O803" s="159"/>
      <c r="P803" s="159"/>
      <c r="Q803" s="159"/>
      <c r="R803" s="159"/>
      <c r="S803" s="150" t="s">
        <v>5323</v>
      </c>
      <c r="T803" s="150" t="s">
        <v>5324</v>
      </c>
      <c r="U803" s="202" t="s">
        <v>4470</v>
      </c>
      <c r="V803" s="204">
        <v>5</v>
      </c>
      <c r="W803" s="203" t="s">
        <v>253</v>
      </c>
      <c r="X803" s="204" t="s">
        <v>213</v>
      </c>
      <c r="Y803" s="206">
        <v>11025</v>
      </c>
      <c r="Z803" s="207">
        <v>1500</v>
      </c>
      <c r="AA803" s="207">
        <f t="shared" si="195"/>
        <v>3591000</v>
      </c>
      <c r="AB803" s="157">
        <v>1500</v>
      </c>
      <c r="AC803" s="158">
        <f t="shared" si="193"/>
        <v>1450</v>
      </c>
      <c r="AD803" s="159">
        <f t="shared" si="196"/>
        <v>119700</v>
      </c>
      <c r="AE803" s="160"/>
      <c r="AF803" s="160">
        <f t="shared" si="197"/>
        <v>0</v>
      </c>
      <c r="AG803" s="165">
        <v>50</v>
      </c>
      <c r="AH803" s="161">
        <f t="shared" si="198"/>
        <v>119700</v>
      </c>
      <c r="AI803" s="162"/>
      <c r="AJ803" s="162">
        <f t="shared" si="199"/>
        <v>0</v>
      </c>
      <c r="AK803" s="164"/>
      <c r="AL803" s="164">
        <f t="shared" si="200"/>
        <v>0</v>
      </c>
      <c r="AM803" s="165"/>
      <c r="AN803" s="165">
        <f t="shared" si="201"/>
        <v>0</v>
      </c>
      <c r="AO803" s="166">
        <v>0</v>
      </c>
      <c r="AP803" s="166">
        <f t="shared" si="202"/>
        <v>0</v>
      </c>
      <c r="AQ803" s="162"/>
      <c r="AR803" s="162">
        <f t="shared" si="203"/>
        <v>0</v>
      </c>
      <c r="AS803" s="173"/>
      <c r="AT803" s="167">
        <f t="shared" si="204"/>
        <v>0</v>
      </c>
      <c r="AU803" s="163"/>
      <c r="AV803" s="163">
        <f t="shared" si="205"/>
        <v>0</v>
      </c>
      <c r="AW803" s="168"/>
      <c r="AX803" s="168">
        <f t="shared" si="206"/>
        <v>0</v>
      </c>
      <c r="AY803" s="170"/>
      <c r="AZ803" s="170">
        <f t="shared" si="207"/>
        <v>0</v>
      </c>
      <c r="BA803" s="166"/>
      <c r="BB803" s="166">
        <f t="shared" si="208"/>
        <v>0</v>
      </c>
    </row>
    <row r="804" spans="1:54" s="239" customFormat="1" ht="31.5">
      <c r="A804" s="172" t="s">
        <v>8419</v>
      </c>
      <c r="B804" s="203" t="s">
        <v>1970</v>
      </c>
      <c r="C804" s="203"/>
      <c r="D804" s="203"/>
      <c r="E804" s="203" t="s">
        <v>1971</v>
      </c>
      <c r="F804" s="205" t="s">
        <v>1973</v>
      </c>
      <c r="G804" s="205" t="s">
        <v>1953</v>
      </c>
      <c r="H804" s="204" t="s">
        <v>1972</v>
      </c>
      <c r="I804" s="204" t="s">
        <v>11</v>
      </c>
      <c r="J804" s="205" t="s">
        <v>7498</v>
      </c>
      <c r="K804" s="206">
        <v>1785</v>
      </c>
      <c r="L804" s="206"/>
      <c r="M804" s="159">
        <f t="shared" si="194"/>
        <v>0</v>
      </c>
      <c r="N804" s="159"/>
      <c r="O804" s="159"/>
      <c r="P804" s="159"/>
      <c r="Q804" s="159"/>
      <c r="R804" s="159"/>
      <c r="S804" s="150" t="s">
        <v>5340</v>
      </c>
      <c r="T804" s="150" t="s">
        <v>5341</v>
      </c>
      <c r="U804" s="202" t="s">
        <v>8420</v>
      </c>
      <c r="V804" s="204">
        <v>5</v>
      </c>
      <c r="W804" s="203" t="s">
        <v>5104</v>
      </c>
      <c r="X804" s="204" t="s">
        <v>213</v>
      </c>
      <c r="Y804" s="206">
        <v>1950</v>
      </c>
      <c r="Z804" s="207">
        <v>5000</v>
      </c>
      <c r="AA804" s="207">
        <f t="shared" si="195"/>
        <v>8925000</v>
      </c>
      <c r="AB804" s="157">
        <v>5000</v>
      </c>
      <c r="AC804" s="158">
        <f t="shared" si="193"/>
        <v>5000</v>
      </c>
      <c r="AD804" s="159">
        <f t="shared" si="196"/>
        <v>0</v>
      </c>
      <c r="AE804" s="160"/>
      <c r="AF804" s="160">
        <f t="shared" si="197"/>
        <v>0</v>
      </c>
      <c r="AG804" s="165"/>
      <c r="AH804" s="161">
        <f t="shared" si="198"/>
        <v>0</v>
      </c>
      <c r="AI804" s="162"/>
      <c r="AJ804" s="162">
        <f t="shared" si="199"/>
        <v>0</v>
      </c>
      <c r="AK804" s="164"/>
      <c r="AL804" s="164">
        <f t="shared" si="200"/>
        <v>0</v>
      </c>
      <c r="AM804" s="165"/>
      <c r="AN804" s="165">
        <f t="shared" si="201"/>
        <v>0</v>
      </c>
      <c r="AO804" s="166">
        <v>0</v>
      </c>
      <c r="AP804" s="166">
        <f t="shared" si="202"/>
        <v>0</v>
      </c>
      <c r="AQ804" s="162"/>
      <c r="AR804" s="162">
        <f t="shared" si="203"/>
        <v>0</v>
      </c>
      <c r="AS804" s="173"/>
      <c r="AT804" s="167">
        <f t="shared" si="204"/>
        <v>0</v>
      </c>
      <c r="AU804" s="163"/>
      <c r="AV804" s="163">
        <f t="shared" si="205"/>
        <v>0</v>
      </c>
      <c r="AW804" s="168"/>
      <c r="AX804" s="168">
        <f t="shared" si="206"/>
        <v>0</v>
      </c>
      <c r="AY804" s="170"/>
      <c r="AZ804" s="170">
        <f t="shared" si="207"/>
        <v>0</v>
      </c>
      <c r="BA804" s="166"/>
      <c r="BB804" s="166">
        <f t="shared" si="208"/>
        <v>0</v>
      </c>
    </row>
    <row r="805" spans="1:54" s="239" customFormat="1" ht="31.5">
      <c r="A805" s="148" t="s">
        <v>8421</v>
      </c>
      <c r="B805" s="203" t="s">
        <v>1702</v>
      </c>
      <c r="C805" s="203"/>
      <c r="D805" s="203"/>
      <c r="E805" s="203" t="s">
        <v>4328</v>
      </c>
      <c r="F805" s="205" t="s">
        <v>7500</v>
      </c>
      <c r="G805" s="205" t="s">
        <v>7501</v>
      </c>
      <c r="H805" s="204" t="s">
        <v>238</v>
      </c>
      <c r="I805" s="204" t="s">
        <v>11</v>
      </c>
      <c r="J805" s="205" t="s">
        <v>6709</v>
      </c>
      <c r="K805" s="206">
        <v>475</v>
      </c>
      <c r="L805" s="206"/>
      <c r="M805" s="159">
        <f t="shared" si="194"/>
        <v>0</v>
      </c>
      <c r="N805" s="159"/>
      <c r="O805" s="159"/>
      <c r="P805" s="159"/>
      <c r="Q805" s="159"/>
      <c r="R805" s="159"/>
      <c r="S805" s="149" t="s">
        <v>5830</v>
      </c>
      <c r="T805" s="149" t="s">
        <v>5831</v>
      </c>
      <c r="U805" s="202" t="s">
        <v>8422</v>
      </c>
      <c r="V805" s="204">
        <v>5</v>
      </c>
      <c r="W805" s="203" t="s">
        <v>5104</v>
      </c>
      <c r="X805" s="204" t="s">
        <v>213</v>
      </c>
      <c r="Y805" s="206">
        <v>1000</v>
      </c>
      <c r="Z805" s="207">
        <v>45000</v>
      </c>
      <c r="AA805" s="207">
        <f t="shared" si="195"/>
        <v>21375000</v>
      </c>
      <c r="AB805" s="157">
        <v>45000</v>
      </c>
      <c r="AC805" s="158">
        <f t="shared" si="193"/>
        <v>45000</v>
      </c>
      <c r="AD805" s="159">
        <f t="shared" si="196"/>
        <v>0</v>
      </c>
      <c r="AE805" s="160"/>
      <c r="AF805" s="160">
        <f t="shared" si="197"/>
        <v>0</v>
      </c>
      <c r="AG805" s="165"/>
      <c r="AH805" s="161">
        <f t="shared" si="198"/>
        <v>0</v>
      </c>
      <c r="AI805" s="162"/>
      <c r="AJ805" s="162">
        <f t="shared" si="199"/>
        <v>0</v>
      </c>
      <c r="AK805" s="164"/>
      <c r="AL805" s="164">
        <f t="shared" si="200"/>
        <v>0</v>
      </c>
      <c r="AM805" s="165"/>
      <c r="AN805" s="165">
        <f t="shared" si="201"/>
        <v>0</v>
      </c>
      <c r="AO805" s="166">
        <v>0</v>
      </c>
      <c r="AP805" s="166">
        <f t="shared" si="202"/>
        <v>0</v>
      </c>
      <c r="AQ805" s="162"/>
      <c r="AR805" s="162">
        <f t="shared" si="203"/>
        <v>0</v>
      </c>
      <c r="AS805" s="173"/>
      <c r="AT805" s="167">
        <f t="shared" si="204"/>
        <v>0</v>
      </c>
      <c r="AU805" s="163"/>
      <c r="AV805" s="163">
        <f t="shared" si="205"/>
        <v>0</v>
      </c>
      <c r="AW805" s="168"/>
      <c r="AX805" s="168">
        <f t="shared" si="206"/>
        <v>0</v>
      </c>
      <c r="AY805" s="170"/>
      <c r="AZ805" s="170">
        <f t="shared" si="207"/>
        <v>0</v>
      </c>
      <c r="BA805" s="166"/>
      <c r="BB805" s="166">
        <f t="shared" si="208"/>
        <v>0</v>
      </c>
    </row>
    <row r="806" spans="1:54" s="239" customFormat="1" ht="31.5">
      <c r="A806" s="148" t="s">
        <v>8423</v>
      </c>
      <c r="B806" s="203" t="s">
        <v>1702</v>
      </c>
      <c r="C806" s="203"/>
      <c r="D806" s="203"/>
      <c r="E806" s="203" t="s">
        <v>7504</v>
      </c>
      <c r="F806" s="205" t="s">
        <v>7505</v>
      </c>
      <c r="G806" s="205" t="s">
        <v>6979</v>
      </c>
      <c r="H806" s="204" t="s">
        <v>327</v>
      </c>
      <c r="I806" s="204" t="s">
        <v>16</v>
      </c>
      <c r="J806" s="205" t="s">
        <v>6321</v>
      </c>
      <c r="K806" s="206">
        <v>248</v>
      </c>
      <c r="L806" s="206"/>
      <c r="M806" s="159">
        <f t="shared" si="194"/>
        <v>0</v>
      </c>
      <c r="N806" s="159"/>
      <c r="O806" s="159"/>
      <c r="P806" s="159"/>
      <c r="Q806" s="159"/>
      <c r="R806" s="159"/>
      <c r="S806" s="149" t="s">
        <v>5360</v>
      </c>
      <c r="T806" s="150" t="s">
        <v>489</v>
      </c>
      <c r="U806" s="202" t="s">
        <v>8424</v>
      </c>
      <c r="V806" s="204">
        <v>5</v>
      </c>
      <c r="W806" s="203" t="s">
        <v>5104</v>
      </c>
      <c r="X806" s="204" t="s">
        <v>213</v>
      </c>
      <c r="Y806" s="206">
        <v>1200</v>
      </c>
      <c r="Z806" s="207">
        <v>30000</v>
      </c>
      <c r="AA806" s="207">
        <f t="shared" si="195"/>
        <v>7440000</v>
      </c>
      <c r="AB806" s="157">
        <v>30000</v>
      </c>
      <c r="AC806" s="158">
        <f t="shared" si="193"/>
        <v>30000</v>
      </c>
      <c r="AD806" s="159">
        <f t="shared" si="196"/>
        <v>0</v>
      </c>
      <c r="AE806" s="160"/>
      <c r="AF806" s="160">
        <f t="shared" si="197"/>
        <v>0</v>
      </c>
      <c r="AG806" s="165"/>
      <c r="AH806" s="161">
        <f t="shared" si="198"/>
        <v>0</v>
      </c>
      <c r="AI806" s="162"/>
      <c r="AJ806" s="162">
        <f t="shared" si="199"/>
        <v>0</v>
      </c>
      <c r="AK806" s="164"/>
      <c r="AL806" s="164">
        <f t="shared" si="200"/>
        <v>0</v>
      </c>
      <c r="AM806" s="165"/>
      <c r="AN806" s="165">
        <f t="shared" si="201"/>
        <v>0</v>
      </c>
      <c r="AO806" s="166">
        <v>0</v>
      </c>
      <c r="AP806" s="166">
        <f t="shared" si="202"/>
        <v>0</v>
      </c>
      <c r="AQ806" s="162"/>
      <c r="AR806" s="162">
        <f t="shared" si="203"/>
        <v>0</v>
      </c>
      <c r="AS806" s="173"/>
      <c r="AT806" s="167">
        <f t="shared" si="204"/>
        <v>0</v>
      </c>
      <c r="AU806" s="163"/>
      <c r="AV806" s="163">
        <f t="shared" si="205"/>
        <v>0</v>
      </c>
      <c r="AW806" s="168"/>
      <c r="AX806" s="168">
        <f t="shared" si="206"/>
        <v>0</v>
      </c>
      <c r="AY806" s="170"/>
      <c r="AZ806" s="170">
        <f t="shared" si="207"/>
        <v>0</v>
      </c>
      <c r="BA806" s="166"/>
      <c r="BB806" s="166">
        <f t="shared" si="208"/>
        <v>0</v>
      </c>
    </row>
    <row r="807" spans="1:54" s="239" customFormat="1">
      <c r="A807" s="172" t="s">
        <v>8425</v>
      </c>
      <c r="B807" s="203" t="s">
        <v>1668</v>
      </c>
      <c r="C807" s="203"/>
      <c r="D807" s="203"/>
      <c r="E807" s="203" t="s">
        <v>4151</v>
      </c>
      <c r="F807" s="205" t="s">
        <v>7516</v>
      </c>
      <c r="G807" s="205" t="s">
        <v>1449</v>
      </c>
      <c r="H807" s="204" t="s">
        <v>869</v>
      </c>
      <c r="I807" s="204" t="s">
        <v>11</v>
      </c>
      <c r="J807" s="205" t="s">
        <v>7515</v>
      </c>
      <c r="K807" s="206">
        <v>542</v>
      </c>
      <c r="L807" s="206"/>
      <c r="M807" s="159">
        <f t="shared" si="194"/>
        <v>0</v>
      </c>
      <c r="N807" s="159"/>
      <c r="O807" s="159"/>
      <c r="P807" s="159"/>
      <c r="Q807" s="159"/>
      <c r="R807" s="159"/>
      <c r="S807" s="149" t="s">
        <v>7241</v>
      </c>
      <c r="T807" s="149" t="s">
        <v>7242</v>
      </c>
      <c r="U807" s="202" t="s">
        <v>8426</v>
      </c>
      <c r="V807" s="204">
        <v>5</v>
      </c>
      <c r="W807" s="203" t="s">
        <v>5104</v>
      </c>
      <c r="X807" s="204" t="s">
        <v>213</v>
      </c>
      <c r="Y807" s="206">
        <v>1900</v>
      </c>
      <c r="Z807" s="207">
        <v>30000</v>
      </c>
      <c r="AA807" s="207">
        <f t="shared" si="195"/>
        <v>16260000</v>
      </c>
      <c r="AB807" s="157">
        <v>30000</v>
      </c>
      <c r="AC807" s="158">
        <f t="shared" si="193"/>
        <v>30000</v>
      </c>
      <c r="AD807" s="159">
        <f t="shared" si="196"/>
        <v>0</v>
      </c>
      <c r="AE807" s="160"/>
      <c r="AF807" s="160">
        <f t="shared" si="197"/>
        <v>0</v>
      </c>
      <c r="AG807" s="165"/>
      <c r="AH807" s="161">
        <f t="shared" si="198"/>
        <v>0</v>
      </c>
      <c r="AI807" s="162"/>
      <c r="AJ807" s="162">
        <f t="shared" si="199"/>
        <v>0</v>
      </c>
      <c r="AK807" s="163"/>
      <c r="AL807" s="164">
        <f t="shared" si="200"/>
        <v>0</v>
      </c>
      <c r="AM807" s="161"/>
      <c r="AN807" s="165">
        <f t="shared" si="201"/>
        <v>0</v>
      </c>
      <c r="AO807" s="160">
        <v>0</v>
      </c>
      <c r="AP807" s="166">
        <f t="shared" si="202"/>
        <v>0</v>
      </c>
      <c r="AQ807" s="162"/>
      <c r="AR807" s="162">
        <f t="shared" si="203"/>
        <v>0</v>
      </c>
      <c r="AS807" s="173"/>
      <c r="AT807" s="167">
        <f t="shared" si="204"/>
        <v>0</v>
      </c>
      <c r="AU807" s="163"/>
      <c r="AV807" s="163">
        <f t="shared" si="205"/>
        <v>0</v>
      </c>
      <c r="AW807" s="162"/>
      <c r="AX807" s="168">
        <f t="shared" si="206"/>
        <v>0</v>
      </c>
      <c r="AY807" s="169"/>
      <c r="AZ807" s="170">
        <f t="shared" si="207"/>
        <v>0</v>
      </c>
      <c r="BA807" s="160"/>
      <c r="BB807" s="166">
        <f t="shared" si="208"/>
        <v>0</v>
      </c>
    </row>
    <row r="808" spans="1:54" s="239" customFormat="1" ht="31.5">
      <c r="A808" s="148" t="s">
        <v>8427</v>
      </c>
      <c r="B808" s="203" t="s">
        <v>8429</v>
      </c>
      <c r="C808" s="203"/>
      <c r="D808" s="203"/>
      <c r="E808" s="203" t="s">
        <v>8431</v>
      </c>
      <c r="F808" s="205" t="s">
        <v>8433</v>
      </c>
      <c r="G808" s="205" t="s">
        <v>8434</v>
      </c>
      <c r="H808" s="204" t="s">
        <v>8430</v>
      </c>
      <c r="I808" s="204" t="s">
        <v>11</v>
      </c>
      <c r="J808" s="205" t="s">
        <v>8432</v>
      </c>
      <c r="K808" s="206">
        <v>5300</v>
      </c>
      <c r="L808" s="206"/>
      <c r="M808" s="159">
        <f t="shared" si="194"/>
        <v>0</v>
      </c>
      <c r="N808" s="159"/>
      <c r="O808" s="159"/>
      <c r="P808" s="159"/>
      <c r="Q808" s="159"/>
      <c r="R808" s="159"/>
      <c r="S808" s="149" t="s">
        <v>6259</v>
      </c>
      <c r="T808" s="150" t="s">
        <v>6260</v>
      </c>
      <c r="U808" s="202" t="s">
        <v>8428</v>
      </c>
      <c r="V808" s="204">
        <v>5</v>
      </c>
      <c r="W808" s="203" t="s">
        <v>253</v>
      </c>
      <c r="X808" s="204" t="s">
        <v>5605</v>
      </c>
      <c r="Y808" s="206">
        <v>5300</v>
      </c>
      <c r="Z808" s="207">
        <v>30000</v>
      </c>
      <c r="AA808" s="207">
        <f t="shared" si="195"/>
        <v>159000000</v>
      </c>
      <c r="AB808" s="157">
        <v>30000</v>
      </c>
      <c r="AC808" s="158">
        <f t="shared" si="193"/>
        <v>30000</v>
      </c>
      <c r="AD808" s="159">
        <f t="shared" si="196"/>
        <v>0</v>
      </c>
      <c r="AE808" s="160"/>
      <c r="AF808" s="160">
        <f t="shared" si="197"/>
        <v>0</v>
      </c>
      <c r="AG808" s="165"/>
      <c r="AH808" s="161">
        <f t="shared" si="198"/>
        <v>0</v>
      </c>
      <c r="AI808" s="162"/>
      <c r="AJ808" s="162">
        <f t="shared" si="199"/>
        <v>0</v>
      </c>
      <c r="AK808" s="164"/>
      <c r="AL808" s="164">
        <f t="shared" si="200"/>
        <v>0</v>
      </c>
      <c r="AM808" s="165"/>
      <c r="AN808" s="165">
        <f t="shared" si="201"/>
        <v>0</v>
      </c>
      <c r="AO808" s="166">
        <v>0</v>
      </c>
      <c r="AP808" s="166">
        <f t="shared" si="202"/>
        <v>0</v>
      </c>
      <c r="AQ808" s="162"/>
      <c r="AR808" s="162">
        <f t="shared" si="203"/>
        <v>0</v>
      </c>
      <c r="AS808" s="173"/>
      <c r="AT808" s="167">
        <f t="shared" si="204"/>
        <v>0</v>
      </c>
      <c r="AU808" s="163"/>
      <c r="AV808" s="163">
        <f t="shared" si="205"/>
        <v>0</v>
      </c>
      <c r="AW808" s="168"/>
      <c r="AX808" s="168">
        <f t="shared" si="206"/>
        <v>0</v>
      </c>
      <c r="AY808" s="170"/>
      <c r="AZ808" s="170">
        <f t="shared" si="207"/>
        <v>0</v>
      </c>
      <c r="BA808" s="166"/>
      <c r="BB808" s="166">
        <f t="shared" si="208"/>
        <v>0</v>
      </c>
    </row>
    <row r="809" spans="1:54" s="239" customFormat="1" ht="31.5">
      <c r="A809" s="148" t="s">
        <v>8435</v>
      </c>
      <c r="B809" s="203" t="s">
        <v>765</v>
      </c>
      <c r="C809" s="203"/>
      <c r="D809" s="203"/>
      <c r="E809" s="203" t="s">
        <v>7558</v>
      </c>
      <c r="F809" s="205" t="s">
        <v>7570</v>
      </c>
      <c r="G809" s="205" t="s">
        <v>7015</v>
      </c>
      <c r="H809" s="204" t="s">
        <v>225</v>
      </c>
      <c r="I809" s="204" t="s">
        <v>11</v>
      </c>
      <c r="J809" s="205" t="s">
        <v>7569</v>
      </c>
      <c r="K809" s="206">
        <v>1596</v>
      </c>
      <c r="L809" s="206"/>
      <c r="M809" s="159">
        <f t="shared" si="194"/>
        <v>0</v>
      </c>
      <c r="N809" s="159"/>
      <c r="O809" s="159"/>
      <c r="P809" s="159"/>
      <c r="Q809" s="159"/>
      <c r="R809" s="159"/>
      <c r="S809" s="149" t="s">
        <v>5417</v>
      </c>
      <c r="T809" s="150" t="s">
        <v>5418</v>
      </c>
      <c r="U809" s="202" t="s">
        <v>8436</v>
      </c>
      <c r="V809" s="204">
        <v>5</v>
      </c>
      <c r="W809" s="203" t="s">
        <v>5104</v>
      </c>
      <c r="X809" s="204" t="s">
        <v>213</v>
      </c>
      <c r="Y809" s="206">
        <v>2000</v>
      </c>
      <c r="Z809" s="207">
        <v>10000</v>
      </c>
      <c r="AA809" s="207">
        <f t="shared" si="195"/>
        <v>15960000</v>
      </c>
      <c r="AB809" s="157">
        <v>10000</v>
      </c>
      <c r="AC809" s="158">
        <f t="shared" si="193"/>
        <v>10000</v>
      </c>
      <c r="AD809" s="159">
        <f t="shared" si="196"/>
        <v>0</v>
      </c>
      <c r="AE809" s="160"/>
      <c r="AF809" s="160">
        <f t="shared" si="197"/>
        <v>0</v>
      </c>
      <c r="AG809" s="165"/>
      <c r="AH809" s="161">
        <f t="shared" si="198"/>
        <v>0</v>
      </c>
      <c r="AI809" s="162"/>
      <c r="AJ809" s="162">
        <f t="shared" si="199"/>
        <v>0</v>
      </c>
      <c r="AK809" s="164"/>
      <c r="AL809" s="164">
        <f t="shared" si="200"/>
        <v>0</v>
      </c>
      <c r="AM809" s="165"/>
      <c r="AN809" s="165">
        <f t="shared" si="201"/>
        <v>0</v>
      </c>
      <c r="AO809" s="166">
        <v>0</v>
      </c>
      <c r="AP809" s="166">
        <f t="shared" si="202"/>
        <v>0</v>
      </c>
      <c r="AQ809" s="162"/>
      <c r="AR809" s="162">
        <f t="shared" si="203"/>
        <v>0</v>
      </c>
      <c r="AS809" s="173"/>
      <c r="AT809" s="167">
        <f t="shared" si="204"/>
        <v>0</v>
      </c>
      <c r="AU809" s="163"/>
      <c r="AV809" s="163">
        <f t="shared" si="205"/>
        <v>0</v>
      </c>
      <c r="AW809" s="168"/>
      <c r="AX809" s="168">
        <f t="shared" si="206"/>
        <v>0</v>
      </c>
      <c r="AY809" s="170"/>
      <c r="AZ809" s="170">
        <f t="shared" si="207"/>
        <v>0</v>
      </c>
      <c r="BA809" s="166"/>
      <c r="BB809" s="166">
        <f t="shared" si="208"/>
        <v>0</v>
      </c>
    </row>
    <row r="810" spans="1:54" s="239" customFormat="1" ht="31.5">
      <c r="A810" s="172" t="s">
        <v>8437</v>
      </c>
      <c r="B810" s="203" t="s">
        <v>4248</v>
      </c>
      <c r="C810" s="203"/>
      <c r="D810" s="203"/>
      <c r="E810" s="203" t="s">
        <v>4247</v>
      </c>
      <c r="F810" s="205" t="s">
        <v>7624</v>
      </c>
      <c r="G810" s="205" t="s">
        <v>7625</v>
      </c>
      <c r="H810" s="204" t="s">
        <v>4249</v>
      </c>
      <c r="I810" s="204" t="s">
        <v>11</v>
      </c>
      <c r="J810" s="205" t="s">
        <v>7623</v>
      </c>
      <c r="K810" s="206">
        <v>1974</v>
      </c>
      <c r="L810" s="206"/>
      <c r="M810" s="159">
        <f t="shared" si="194"/>
        <v>20000</v>
      </c>
      <c r="N810" s="159"/>
      <c r="O810" s="159"/>
      <c r="P810" s="159"/>
      <c r="Q810" s="159"/>
      <c r="R810" s="159"/>
      <c r="S810" s="149" t="s">
        <v>6248</v>
      </c>
      <c r="T810" s="149" t="s">
        <v>6249</v>
      </c>
      <c r="U810" s="202" t="s">
        <v>4250</v>
      </c>
      <c r="V810" s="204">
        <v>5</v>
      </c>
      <c r="W810" s="203" t="s">
        <v>5104</v>
      </c>
      <c r="X810" s="204" t="s">
        <v>6694</v>
      </c>
      <c r="Y810" s="206">
        <v>2300</v>
      </c>
      <c r="Z810" s="207">
        <v>50000</v>
      </c>
      <c r="AA810" s="207">
        <f t="shared" si="195"/>
        <v>98700000</v>
      </c>
      <c r="AB810" s="157">
        <v>50000</v>
      </c>
      <c r="AC810" s="158">
        <f t="shared" si="193"/>
        <v>30000</v>
      </c>
      <c r="AD810" s="159">
        <f t="shared" si="196"/>
        <v>39480000</v>
      </c>
      <c r="AE810" s="160"/>
      <c r="AF810" s="160">
        <f t="shared" si="197"/>
        <v>0</v>
      </c>
      <c r="AG810" s="165"/>
      <c r="AH810" s="161">
        <f t="shared" si="198"/>
        <v>0</v>
      </c>
      <c r="AI810" s="162"/>
      <c r="AJ810" s="162">
        <f t="shared" si="199"/>
        <v>0</v>
      </c>
      <c r="AK810" s="164"/>
      <c r="AL810" s="164">
        <f t="shared" si="200"/>
        <v>0</v>
      </c>
      <c r="AM810" s="165">
        <v>20000</v>
      </c>
      <c r="AN810" s="165">
        <f t="shared" si="201"/>
        <v>39480000</v>
      </c>
      <c r="AO810" s="166">
        <v>0</v>
      </c>
      <c r="AP810" s="166">
        <f t="shared" si="202"/>
        <v>0</v>
      </c>
      <c r="AQ810" s="162"/>
      <c r="AR810" s="162">
        <f t="shared" si="203"/>
        <v>0</v>
      </c>
      <c r="AS810" s="173"/>
      <c r="AT810" s="167">
        <f t="shared" si="204"/>
        <v>0</v>
      </c>
      <c r="AU810" s="163"/>
      <c r="AV810" s="163">
        <f t="shared" si="205"/>
        <v>0</v>
      </c>
      <c r="AW810" s="168"/>
      <c r="AX810" s="168">
        <f t="shared" si="206"/>
        <v>0</v>
      </c>
      <c r="AY810" s="170"/>
      <c r="AZ810" s="170">
        <f t="shared" si="207"/>
        <v>0</v>
      </c>
      <c r="BA810" s="166"/>
      <c r="BB810" s="166">
        <f t="shared" si="208"/>
        <v>0</v>
      </c>
    </row>
    <row r="811" spans="1:54" s="239" customFormat="1" ht="47.25">
      <c r="A811" s="148" t="s">
        <v>8438</v>
      </c>
      <c r="B811" s="203" t="s">
        <v>8439</v>
      </c>
      <c r="C811" s="203"/>
      <c r="D811" s="203"/>
      <c r="E811" s="203" t="s">
        <v>4398</v>
      </c>
      <c r="F811" s="205" t="s">
        <v>8441</v>
      </c>
      <c r="G811" s="205" t="s">
        <v>2114</v>
      </c>
      <c r="H811" s="204" t="s">
        <v>4400</v>
      </c>
      <c r="I811" s="204" t="s">
        <v>11</v>
      </c>
      <c r="J811" s="205" t="s">
        <v>8440</v>
      </c>
      <c r="K811" s="206">
        <v>12482</v>
      </c>
      <c r="L811" s="206"/>
      <c r="M811" s="159">
        <f t="shared" si="194"/>
        <v>2940</v>
      </c>
      <c r="N811" s="159"/>
      <c r="O811" s="159"/>
      <c r="P811" s="159"/>
      <c r="Q811" s="159"/>
      <c r="R811" s="159"/>
      <c r="S811" s="150" t="s">
        <v>5118</v>
      </c>
      <c r="T811" s="150" t="s">
        <v>5119</v>
      </c>
      <c r="U811" s="202" t="s">
        <v>4397</v>
      </c>
      <c r="V811" s="204">
        <v>5</v>
      </c>
      <c r="W811" s="203" t="s">
        <v>5104</v>
      </c>
      <c r="X811" s="204" t="s">
        <v>5605</v>
      </c>
      <c r="Y811" s="206">
        <v>12482</v>
      </c>
      <c r="Z811" s="207">
        <v>30000</v>
      </c>
      <c r="AA811" s="207">
        <f t="shared" si="195"/>
        <v>374460000</v>
      </c>
      <c r="AB811" s="157">
        <v>30000</v>
      </c>
      <c r="AC811" s="158">
        <f t="shared" si="193"/>
        <v>27060</v>
      </c>
      <c r="AD811" s="159">
        <f t="shared" si="196"/>
        <v>36697080</v>
      </c>
      <c r="AE811" s="160"/>
      <c r="AF811" s="160">
        <f t="shared" si="197"/>
        <v>0</v>
      </c>
      <c r="AG811" s="161"/>
      <c r="AH811" s="161">
        <f t="shared" si="198"/>
        <v>0</v>
      </c>
      <c r="AI811" s="162"/>
      <c r="AJ811" s="162">
        <f t="shared" si="199"/>
        <v>0</v>
      </c>
      <c r="AK811" s="164"/>
      <c r="AL811" s="164">
        <f t="shared" si="200"/>
        <v>0</v>
      </c>
      <c r="AM811" s="165">
        <v>2940</v>
      </c>
      <c r="AN811" s="165">
        <f t="shared" si="201"/>
        <v>36697080</v>
      </c>
      <c r="AO811" s="166">
        <v>0</v>
      </c>
      <c r="AP811" s="166">
        <f t="shared" si="202"/>
        <v>0</v>
      </c>
      <c r="AQ811" s="162"/>
      <c r="AR811" s="162">
        <f t="shared" si="203"/>
        <v>0</v>
      </c>
      <c r="AS811" s="167"/>
      <c r="AT811" s="167">
        <f t="shared" si="204"/>
        <v>0</v>
      </c>
      <c r="AU811" s="163"/>
      <c r="AV811" s="163">
        <f t="shared" si="205"/>
        <v>0</v>
      </c>
      <c r="AW811" s="168"/>
      <c r="AX811" s="168">
        <f t="shared" si="206"/>
        <v>0</v>
      </c>
      <c r="AY811" s="170"/>
      <c r="AZ811" s="170">
        <f t="shared" si="207"/>
        <v>0</v>
      </c>
      <c r="BA811" s="166"/>
      <c r="BB811" s="166">
        <f t="shared" si="208"/>
        <v>0</v>
      </c>
    </row>
    <row r="812" spans="1:54" s="239" customFormat="1" ht="47.25">
      <c r="A812" s="148" t="s">
        <v>8442</v>
      </c>
      <c r="B812" s="203" t="s">
        <v>8439</v>
      </c>
      <c r="C812" s="203"/>
      <c r="D812" s="203"/>
      <c r="E812" s="203" t="s">
        <v>8445</v>
      </c>
      <c r="F812" s="205" t="s">
        <v>8446</v>
      </c>
      <c r="G812" s="205" t="s">
        <v>2114</v>
      </c>
      <c r="H812" s="204" t="s">
        <v>8444</v>
      </c>
      <c r="I812" s="204" t="s">
        <v>11</v>
      </c>
      <c r="J812" s="205" t="s">
        <v>8440</v>
      </c>
      <c r="K812" s="206">
        <v>13122</v>
      </c>
      <c r="L812" s="206"/>
      <c r="M812" s="159">
        <f t="shared" si="194"/>
        <v>0</v>
      </c>
      <c r="N812" s="159"/>
      <c r="O812" s="159"/>
      <c r="P812" s="159"/>
      <c r="Q812" s="159"/>
      <c r="R812" s="159"/>
      <c r="S812" s="150" t="s">
        <v>5118</v>
      </c>
      <c r="T812" s="150" t="s">
        <v>5119</v>
      </c>
      <c r="U812" s="202" t="s">
        <v>8443</v>
      </c>
      <c r="V812" s="204">
        <v>5</v>
      </c>
      <c r="W812" s="203" t="s">
        <v>5104</v>
      </c>
      <c r="X812" s="204" t="s">
        <v>5605</v>
      </c>
      <c r="Y812" s="206">
        <v>13122</v>
      </c>
      <c r="Z812" s="207">
        <v>30000</v>
      </c>
      <c r="AA812" s="207">
        <f t="shared" si="195"/>
        <v>393660000</v>
      </c>
      <c r="AB812" s="157">
        <v>30000</v>
      </c>
      <c r="AC812" s="158">
        <f t="shared" ref="AC812:AC832" si="209">AB812-M812</f>
        <v>30000</v>
      </c>
      <c r="AD812" s="159">
        <f t="shared" si="196"/>
        <v>0</v>
      </c>
      <c r="AE812" s="160"/>
      <c r="AF812" s="160">
        <f t="shared" si="197"/>
        <v>0</v>
      </c>
      <c r="AG812" s="161"/>
      <c r="AH812" s="161">
        <f t="shared" si="198"/>
        <v>0</v>
      </c>
      <c r="AI812" s="162"/>
      <c r="AJ812" s="162">
        <f t="shared" si="199"/>
        <v>0</v>
      </c>
      <c r="AK812" s="164"/>
      <c r="AL812" s="164">
        <f t="shared" si="200"/>
        <v>0</v>
      </c>
      <c r="AM812" s="165"/>
      <c r="AN812" s="165">
        <f t="shared" si="201"/>
        <v>0</v>
      </c>
      <c r="AO812" s="166">
        <v>0</v>
      </c>
      <c r="AP812" s="166">
        <f t="shared" si="202"/>
        <v>0</v>
      </c>
      <c r="AQ812" s="162"/>
      <c r="AR812" s="162">
        <f t="shared" si="203"/>
        <v>0</v>
      </c>
      <c r="AS812" s="167"/>
      <c r="AT812" s="167">
        <f t="shared" si="204"/>
        <v>0</v>
      </c>
      <c r="AU812" s="163"/>
      <c r="AV812" s="163">
        <f t="shared" si="205"/>
        <v>0</v>
      </c>
      <c r="AW812" s="168"/>
      <c r="AX812" s="168">
        <f t="shared" si="206"/>
        <v>0</v>
      </c>
      <c r="AY812" s="170"/>
      <c r="AZ812" s="170">
        <f t="shared" si="207"/>
        <v>0</v>
      </c>
      <c r="BA812" s="166"/>
      <c r="BB812" s="166">
        <f t="shared" si="208"/>
        <v>0</v>
      </c>
    </row>
    <row r="813" spans="1:54" s="239" customFormat="1" ht="31.5">
      <c r="A813" s="172" t="s">
        <v>8447</v>
      </c>
      <c r="B813" s="203" t="s">
        <v>3980</v>
      </c>
      <c r="C813" s="203"/>
      <c r="D813" s="203"/>
      <c r="E813" s="203" t="s">
        <v>1278</v>
      </c>
      <c r="F813" s="205" t="s">
        <v>1280</v>
      </c>
      <c r="G813" s="205" t="s">
        <v>357</v>
      </c>
      <c r="H813" s="204" t="s">
        <v>3981</v>
      </c>
      <c r="I813" s="204" t="s">
        <v>11</v>
      </c>
      <c r="J813" s="205" t="s">
        <v>6704</v>
      </c>
      <c r="K813" s="206">
        <v>3485</v>
      </c>
      <c r="L813" s="206"/>
      <c r="M813" s="159">
        <f t="shared" si="194"/>
        <v>0</v>
      </c>
      <c r="N813" s="159"/>
      <c r="O813" s="159"/>
      <c r="P813" s="159"/>
      <c r="Q813" s="159"/>
      <c r="R813" s="159"/>
      <c r="S813" s="149" t="s">
        <v>6702</v>
      </c>
      <c r="T813" s="149" t="s">
        <v>6703</v>
      </c>
      <c r="U813" s="202" t="s">
        <v>3979</v>
      </c>
      <c r="V813" s="204">
        <v>5</v>
      </c>
      <c r="W813" s="203" t="s">
        <v>6705</v>
      </c>
      <c r="X813" s="204" t="s">
        <v>5296</v>
      </c>
      <c r="Y813" s="206">
        <v>3550</v>
      </c>
      <c r="Z813" s="207">
        <v>20000</v>
      </c>
      <c r="AA813" s="207">
        <f t="shared" si="195"/>
        <v>69700000</v>
      </c>
      <c r="AB813" s="157">
        <v>20000</v>
      </c>
      <c r="AC813" s="158">
        <f t="shared" si="209"/>
        <v>20000</v>
      </c>
      <c r="AD813" s="159">
        <f t="shared" si="196"/>
        <v>0</v>
      </c>
      <c r="AE813" s="160"/>
      <c r="AF813" s="160">
        <f t="shared" si="197"/>
        <v>0</v>
      </c>
      <c r="AG813" s="165"/>
      <c r="AH813" s="161">
        <f t="shared" si="198"/>
        <v>0</v>
      </c>
      <c r="AI813" s="162"/>
      <c r="AJ813" s="162">
        <f t="shared" si="199"/>
        <v>0</v>
      </c>
      <c r="AK813" s="163"/>
      <c r="AL813" s="164">
        <f t="shared" si="200"/>
        <v>0</v>
      </c>
      <c r="AM813" s="161"/>
      <c r="AN813" s="165">
        <f t="shared" si="201"/>
        <v>0</v>
      </c>
      <c r="AO813" s="160">
        <v>0</v>
      </c>
      <c r="AP813" s="166">
        <f t="shared" si="202"/>
        <v>0</v>
      </c>
      <c r="AQ813" s="162"/>
      <c r="AR813" s="162">
        <f t="shared" si="203"/>
        <v>0</v>
      </c>
      <c r="AS813" s="173"/>
      <c r="AT813" s="167">
        <f t="shared" si="204"/>
        <v>0</v>
      </c>
      <c r="AU813" s="163"/>
      <c r="AV813" s="163">
        <f t="shared" si="205"/>
        <v>0</v>
      </c>
      <c r="AW813" s="162"/>
      <c r="AX813" s="168">
        <f t="shared" si="206"/>
        <v>0</v>
      </c>
      <c r="AY813" s="169"/>
      <c r="AZ813" s="170">
        <f t="shared" si="207"/>
        <v>0</v>
      </c>
      <c r="BA813" s="160"/>
      <c r="BB813" s="166">
        <f t="shared" si="208"/>
        <v>0</v>
      </c>
    </row>
    <row r="814" spans="1:54" s="239" customFormat="1" ht="31.5">
      <c r="A814" s="148" t="s">
        <v>8448</v>
      </c>
      <c r="B814" s="203" t="s">
        <v>645</v>
      </c>
      <c r="C814" s="203"/>
      <c r="D814" s="203"/>
      <c r="E814" s="203" t="s">
        <v>646</v>
      </c>
      <c r="F814" s="205" t="s">
        <v>8451</v>
      </c>
      <c r="G814" s="205" t="s">
        <v>806</v>
      </c>
      <c r="H814" s="204" t="s">
        <v>248</v>
      </c>
      <c r="I814" s="204" t="s">
        <v>11</v>
      </c>
      <c r="J814" s="205" t="s">
        <v>8450</v>
      </c>
      <c r="K814" s="206">
        <v>190</v>
      </c>
      <c r="L814" s="206"/>
      <c r="M814" s="159">
        <f t="shared" si="194"/>
        <v>0</v>
      </c>
      <c r="N814" s="159"/>
      <c r="O814" s="159"/>
      <c r="P814" s="159"/>
      <c r="Q814" s="159"/>
      <c r="R814" s="159"/>
      <c r="S814" s="149" t="s">
        <v>6986</v>
      </c>
      <c r="T814" s="149" t="s">
        <v>6987</v>
      </c>
      <c r="U814" s="202" t="s">
        <v>8449</v>
      </c>
      <c r="V814" s="204">
        <v>5</v>
      </c>
      <c r="W814" s="203" t="s">
        <v>5104</v>
      </c>
      <c r="X814" s="204" t="s">
        <v>213</v>
      </c>
      <c r="Y814" s="206">
        <v>1000</v>
      </c>
      <c r="Z814" s="207">
        <v>5000</v>
      </c>
      <c r="AA814" s="207">
        <f t="shared" si="195"/>
        <v>950000</v>
      </c>
      <c r="AB814" s="157">
        <v>5000</v>
      </c>
      <c r="AC814" s="158">
        <f t="shared" si="209"/>
        <v>5000</v>
      </c>
      <c r="AD814" s="159">
        <f t="shared" si="196"/>
        <v>0</v>
      </c>
      <c r="AE814" s="160"/>
      <c r="AF814" s="160">
        <f t="shared" si="197"/>
        <v>0</v>
      </c>
      <c r="AG814" s="165"/>
      <c r="AH814" s="161">
        <f t="shared" si="198"/>
        <v>0</v>
      </c>
      <c r="AI814" s="162"/>
      <c r="AJ814" s="162">
        <f t="shared" si="199"/>
        <v>0</v>
      </c>
      <c r="AK814" s="164"/>
      <c r="AL814" s="164">
        <f t="shared" si="200"/>
        <v>0</v>
      </c>
      <c r="AM814" s="165"/>
      <c r="AN814" s="165">
        <f t="shared" si="201"/>
        <v>0</v>
      </c>
      <c r="AO814" s="166">
        <v>0</v>
      </c>
      <c r="AP814" s="166">
        <f t="shared" si="202"/>
        <v>0</v>
      </c>
      <c r="AQ814" s="162"/>
      <c r="AR814" s="162">
        <f t="shared" si="203"/>
        <v>0</v>
      </c>
      <c r="AS814" s="173"/>
      <c r="AT814" s="167">
        <f t="shared" si="204"/>
        <v>0</v>
      </c>
      <c r="AU814" s="163"/>
      <c r="AV814" s="163">
        <f t="shared" si="205"/>
        <v>0</v>
      </c>
      <c r="AW814" s="168"/>
      <c r="AX814" s="168">
        <f t="shared" si="206"/>
        <v>0</v>
      </c>
      <c r="AY814" s="170"/>
      <c r="AZ814" s="170">
        <f t="shared" si="207"/>
        <v>0</v>
      </c>
      <c r="BA814" s="166"/>
      <c r="BB814" s="166">
        <f t="shared" si="208"/>
        <v>0</v>
      </c>
    </row>
    <row r="815" spans="1:54" s="239" customFormat="1" ht="31.5">
      <c r="A815" s="148" t="s">
        <v>8452</v>
      </c>
      <c r="B815" s="203" t="s">
        <v>7869</v>
      </c>
      <c r="C815" s="203"/>
      <c r="D815" s="203"/>
      <c r="E815" s="203" t="s">
        <v>8454</v>
      </c>
      <c r="F815" s="205" t="s">
        <v>8456</v>
      </c>
      <c r="G815" s="205" t="s">
        <v>8457</v>
      </c>
      <c r="H815" s="204" t="s">
        <v>1340</v>
      </c>
      <c r="I815" s="204" t="s">
        <v>11</v>
      </c>
      <c r="J815" s="205" t="s">
        <v>8455</v>
      </c>
      <c r="K815" s="206">
        <v>2100</v>
      </c>
      <c r="L815" s="206"/>
      <c r="M815" s="159">
        <f t="shared" si="194"/>
        <v>0</v>
      </c>
      <c r="N815" s="159"/>
      <c r="O815" s="159"/>
      <c r="P815" s="159"/>
      <c r="Q815" s="159"/>
      <c r="R815" s="159"/>
      <c r="S815" s="150" t="s">
        <v>5153</v>
      </c>
      <c r="T815" s="150" t="s">
        <v>5154</v>
      </c>
      <c r="U815" s="202" t="s">
        <v>8453</v>
      </c>
      <c r="V815" s="204">
        <v>5</v>
      </c>
      <c r="W815" s="203" t="s">
        <v>5104</v>
      </c>
      <c r="X815" s="204" t="s">
        <v>8458</v>
      </c>
      <c r="Y815" s="206">
        <v>2396</v>
      </c>
      <c r="Z815" s="207">
        <v>30000</v>
      </c>
      <c r="AA815" s="207">
        <f t="shared" si="195"/>
        <v>63000000</v>
      </c>
      <c r="AB815" s="157">
        <v>30000</v>
      </c>
      <c r="AC815" s="158">
        <f t="shared" si="209"/>
        <v>30000</v>
      </c>
      <c r="AD815" s="159">
        <f t="shared" si="196"/>
        <v>0</v>
      </c>
      <c r="AE815" s="160"/>
      <c r="AF815" s="160">
        <f t="shared" si="197"/>
        <v>0</v>
      </c>
      <c r="AG815" s="161"/>
      <c r="AH815" s="161">
        <f t="shared" si="198"/>
        <v>0</v>
      </c>
      <c r="AI815" s="162"/>
      <c r="AJ815" s="162">
        <f t="shared" si="199"/>
        <v>0</v>
      </c>
      <c r="AK815" s="164"/>
      <c r="AL815" s="164">
        <f t="shared" si="200"/>
        <v>0</v>
      </c>
      <c r="AM815" s="165"/>
      <c r="AN815" s="165">
        <f t="shared" si="201"/>
        <v>0</v>
      </c>
      <c r="AO815" s="166">
        <v>0</v>
      </c>
      <c r="AP815" s="166">
        <f t="shared" si="202"/>
        <v>0</v>
      </c>
      <c r="AQ815" s="162"/>
      <c r="AR815" s="162">
        <f t="shared" si="203"/>
        <v>0</v>
      </c>
      <c r="AS815" s="167"/>
      <c r="AT815" s="167">
        <f t="shared" si="204"/>
        <v>0</v>
      </c>
      <c r="AU815" s="163"/>
      <c r="AV815" s="163">
        <f t="shared" si="205"/>
        <v>0</v>
      </c>
      <c r="AW815" s="168"/>
      <c r="AX815" s="168">
        <f t="shared" si="206"/>
        <v>0</v>
      </c>
      <c r="AY815" s="170"/>
      <c r="AZ815" s="170">
        <f t="shared" si="207"/>
        <v>0</v>
      </c>
      <c r="BA815" s="166"/>
      <c r="BB815" s="166">
        <f t="shared" si="208"/>
        <v>0</v>
      </c>
    </row>
    <row r="816" spans="1:54" s="239" customFormat="1" ht="31.5">
      <c r="A816" s="172" t="s">
        <v>8459</v>
      </c>
      <c r="B816" s="203" t="s">
        <v>1109</v>
      </c>
      <c r="C816" s="203"/>
      <c r="D816" s="203"/>
      <c r="E816" s="203" t="s">
        <v>1349</v>
      </c>
      <c r="F816" s="205" t="s">
        <v>7876</v>
      </c>
      <c r="G816" s="205" t="s">
        <v>7001</v>
      </c>
      <c r="H816" s="204" t="s">
        <v>4040</v>
      </c>
      <c r="I816" s="204" t="s">
        <v>11</v>
      </c>
      <c r="J816" s="205" t="s">
        <v>7875</v>
      </c>
      <c r="K816" s="206">
        <v>296</v>
      </c>
      <c r="L816" s="206"/>
      <c r="M816" s="159">
        <f t="shared" si="194"/>
        <v>0</v>
      </c>
      <c r="N816" s="159"/>
      <c r="O816" s="159"/>
      <c r="P816" s="159"/>
      <c r="Q816" s="159"/>
      <c r="R816" s="159"/>
      <c r="S816" s="150" t="s">
        <v>360</v>
      </c>
      <c r="T816" s="150" t="s">
        <v>358</v>
      </c>
      <c r="U816" s="202" t="s">
        <v>8460</v>
      </c>
      <c r="V816" s="204">
        <v>5</v>
      </c>
      <c r="W816" s="203" t="s">
        <v>5104</v>
      </c>
      <c r="X816" s="204" t="s">
        <v>213</v>
      </c>
      <c r="Y816" s="206">
        <v>1000</v>
      </c>
      <c r="Z816" s="207">
        <v>20000</v>
      </c>
      <c r="AA816" s="207">
        <f t="shared" si="195"/>
        <v>5920000</v>
      </c>
      <c r="AB816" s="157">
        <v>20000</v>
      </c>
      <c r="AC816" s="158">
        <f t="shared" si="209"/>
        <v>20000</v>
      </c>
      <c r="AD816" s="159">
        <f t="shared" si="196"/>
        <v>0</v>
      </c>
      <c r="AE816" s="160"/>
      <c r="AF816" s="160">
        <f t="shared" si="197"/>
        <v>0</v>
      </c>
      <c r="AG816" s="161"/>
      <c r="AH816" s="161">
        <f t="shared" si="198"/>
        <v>0</v>
      </c>
      <c r="AI816" s="162"/>
      <c r="AJ816" s="162">
        <f t="shared" si="199"/>
        <v>0</v>
      </c>
      <c r="AK816" s="164"/>
      <c r="AL816" s="164">
        <f t="shared" si="200"/>
        <v>0</v>
      </c>
      <c r="AM816" s="165"/>
      <c r="AN816" s="165">
        <f t="shared" si="201"/>
        <v>0</v>
      </c>
      <c r="AO816" s="166">
        <v>0</v>
      </c>
      <c r="AP816" s="166">
        <f t="shared" si="202"/>
        <v>0</v>
      </c>
      <c r="AQ816" s="162"/>
      <c r="AR816" s="162">
        <f t="shared" si="203"/>
        <v>0</v>
      </c>
      <c r="AS816" s="167"/>
      <c r="AT816" s="167">
        <f t="shared" si="204"/>
        <v>0</v>
      </c>
      <c r="AU816" s="163"/>
      <c r="AV816" s="163">
        <f t="shared" si="205"/>
        <v>0</v>
      </c>
      <c r="AW816" s="168"/>
      <c r="AX816" s="168">
        <f t="shared" si="206"/>
        <v>0</v>
      </c>
      <c r="AY816" s="170"/>
      <c r="AZ816" s="170">
        <f t="shared" si="207"/>
        <v>0</v>
      </c>
      <c r="BA816" s="166"/>
      <c r="BB816" s="166">
        <f t="shared" si="208"/>
        <v>0</v>
      </c>
    </row>
    <row r="817" spans="1:54" s="239" customFormat="1" ht="31.5">
      <c r="A817" s="148" t="s">
        <v>8461</v>
      </c>
      <c r="B817" s="203" t="s">
        <v>1333</v>
      </c>
      <c r="C817" s="203"/>
      <c r="D817" s="203"/>
      <c r="E817" s="203" t="s">
        <v>630</v>
      </c>
      <c r="F817" s="205" t="s">
        <v>633</v>
      </c>
      <c r="G817" s="205" t="s">
        <v>621</v>
      </c>
      <c r="H817" s="204" t="s">
        <v>3716</v>
      </c>
      <c r="I817" s="204" t="s">
        <v>5639</v>
      </c>
      <c r="J817" s="205" t="s">
        <v>7958</v>
      </c>
      <c r="K817" s="206">
        <v>6132</v>
      </c>
      <c r="L817" s="206"/>
      <c r="M817" s="159">
        <f t="shared" si="194"/>
        <v>0</v>
      </c>
      <c r="N817" s="159"/>
      <c r="O817" s="159"/>
      <c r="P817" s="159"/>
      <c r="Q817" s="159"/>
      <c r="R817" s="159"/>
      <c r="S817" s="149" t="s">
        <v>6938</v>
      </c>
      <c r="T817" s="149" t="s">
        <v>6939</v>
      </c>
      <c r="U817" s="202" t="s">
        <v>8462</v>
      </c>
      <c r="V817" s="204">
        <v>5</v>
      </c>
      <c r="W817" s="203" t="s">
        <v>6941</v>
      </c>
      <c r="X817" s="204" t="s">
        <v>213</v>
      </c>
      <c r="Y817" s="206">
        <v>14000</v>
      </c>
      <c r="Z817" s="207">
        <v>5000</v>
      </c>
      <c r="AA817" s="207">
        <f t="shared" si="195"/>
        <v>30660000</v>
      </c>
      <c r="AB817" s="157">
        <v>5000</v>
      </c>
      <c r="AC817" s="158">
        <f t="shared" si="209"/>
        <v>5000</v>
      </c>
      <c r="AD817" s="159">
        <f t="shared" si="196"/>
        <v>0</v>
      </c>
      <c r="AE817" s="160"/>
      <c r="AF817" s="160">
        <f t="shared" si="197"/>
        <v>0</v>
      </c>
      <c r="AG817" s="165"/>
      <c r="AH817" s="161">
        <f t="shared" si="198"/>
        <v>0</v>
      </c>
      <c r="AI817" s="162"/>
      <c r="AJ817" s="162">
        <f t="shared" si="199"/>
        <v>0</v>
      </c>
      <c r="AK817" s="163"/>
      <c r="AL817" s="164">
        <f t="shared" si="200"/>
        <v>0</v>
      </c>
      <c r="AM817" s="161"/>
      <c r="AN817" s="165">
        <f t="shared" si="201"/>
        <v>0</v>
      </c>
      <c r="AO817" s="160">
        <v>0</v>
      </c>
      <c r="AP817" s="166">
        <f t="shared" si="202"/>
        <v>0</v>
      </c>
      <c r="AQ817" s="162"/>
      <c r="AR817" s="162">
        <f t="shared" si="203"/>
        <v>0</v>
      </c>
      <c r="AS817" s="173"/>
      <c r="AT817" s="167">
        <f t="shared" si="204"/>
        <v>0</v>
      </c>
      <c r="AU817" s="163"/>
      <c r="AV817" s="163">
        <f t="shared" si="205"/>
        <v>0</v>
      </c>
      <c r="AW817" s="162"/>
      <c r="AX817" s="168">
        <f t="shared" si="206"/>
        <v>0</v>
      </c>
      <c r="AY817" s="169"/>
      <c r="AZ817" s="170">
        <f t="shared" si="207"/>
        <v>0</v>
      </c>
      <c r="BA817" s="160"/>
      <c r="BB817" s="166">
        <f t="shared" si="208"/>
        <v>0</v>
      </c>
    </row>
    <row r="818" spans="1:54" s="239" customFormat="1">
      <c r="A818" s="148" t="s">
        <v>8463</v>
      </c>
      <c r="B818" s="203" t="s">
        <v>1333</v>
      </c>
      <c r="C818" s="203"/>
      <c r="D818" s="203"/>
      <c r="E818" s="203" t="s">
        <v>3945</v>
      </c>
      <c r="F818" s="205" t="s">
        <v>7961</v>
      </c>
      <c r="G818" s="205" t="s">
        <v>2385</v>
      </c>
      <c r="H818" s="204" t="s">
        <v>238</v>
      </c>
      <c r="I818" s="204" t="s">
        <v>11</v>
      </c>
      <c r="J818" s="205" t="s">
        <v>7960</v>
      </c>
      <c r="K818" s="206">
        <v>53</v>
      </c>
      <c r="L818" s="206"/>
      <c r="M818" s="159">
        <f t="shared" si="194"/>
        <v>9500</v>
      </c>
      <c r="N818" s="159"/>
      <c r="O818" s="159"/>
      <c r="P818" s="159"/>
      <c r="Q818" s="159"/>
      <c r="R818" s="159"/>
      <c r="S818" s="149" t="s">
        <v>2385</v>
      </c>
      <c r="T818" s="150" t="s">
        <v>2380</v>
      </c>
      <c r="U818" s="202" t="s">
        <v>3944</v>
      </c>
      <c r="V818" s="204">
        <v>5</v>
      </c>
      <c r="W818" s="203" t="s">
        <v>5104</v>
      </c>
      <c r="X818" s="204" t="s">
        <v>213</v>
      </c>
      <c r="Y818" s="206">
        <v>260</v>
      </c>
      <c r="Z818" s="207">
        <v>10000</v>
      </c>
      <c r="AA818" s="207">
        <f t="shared" si="195"/>
        <v>530000</v>
      </c>
      <c r="AB818" s="157">
        <v>10000</v>
      </c>
      <c r="AC818" s="158">
        <f t="shared" si="209"/>
        <v>500</v>
      </c>
      <c r="AD818" s="159">
        <f t="shared" si="196"/>
        <v>503500</v>
      </c>
      <c r="AE818" s="160"/>
      <c r="AF818" s="160">
        <f t="shared" si="197"/>
        <v>0</v>
      </c>
      <c r="AG818" s="165">
        <v>5000</v>
      </c>
      <c r="AH818" s="161">
        <f t="shared" si="198"/>
        <v>265000</v>
      </c>
      <c r="AI818" s="162"/>
      <c r="AJ818" s="162">
        <f t="shared" si="199"/>
        <v>0</v>
      </c>
      <c r="AK818" s="163"/>
      <c r="AL818" s="164">
        <f t="shared" si="200"/>
        <v>0</v>
      </c>
      <c r="AM818" s="161">
        <v>4500</v>
      </c>
      <c r="AN818" s="165">
        <f t="shared" si="201"/>
        <v>238500</v>
      </c>
      <c r="AO818" s="160">
        <v>0</v>
      </c>
      <c r="AP818" s="166">
        <f t="shared" si="202"/>
        <v>0</v>
      </c>
      <c r="AQ818" s="162"/>
      <c r="AR818" s="162">
        <f t="shared" si="203"/>
        <v>0</v>
      </c>
      <c r="AS818" s="173"/>
      <c r="AT818" s="167">
        <f t="shared" si="204"/>
        <v>0</v>
      </c>
      <c r="AU818" s="163"/>
      <c r="AV818" s="163">
        <f t="shared" si="205"/>
        <v>0</v>
      </c>
      <c r="AW818" s="162"/>
      <c r="AX818" s="168">
        <f t="shared" si="206"/>
        <v>0</v>
      </c>
      <c r="AY818" s="169"/>
      <c r="AZ818" s="170">
        <f t="shared" si="207"/>
        <v>0</v>
      </c>
      <c r="BA818" s="160"/>
      <c r="BB818" s="166">
        <f t="shared" si="208"/>
        <v>0</v>
      </c>
    </row>
    <row r="819" spans="1:54" s="239" customFormat="1" ht="31.5">
      <c r="A819" s="172" t="s">
        <v>8464</v>
      </c>
      <c r="B819" s="203" t="s">
        <v>629</v>
      </c>
      <c r="C819" s="203"/>
      <c r="D819" s="203"/>
      <c r="E819" s="203" t="s">
        <v>3751</v>
      </c>
      <c r="F819" s="205" t="s">
        <v>7964</v>
      </c>
      <c r="G819" s="205" t="s">
        <v>7575</v>
      </c>
      <c r="H819" s="204" t="s">
        <v>631</v>
      </c>
      <c r="I819" s="204" t="s">
        <v>5639</v>
      </c>
      <c r="J819" s="205" t="s">
        <v>7963</v>
      </c>
      <c r="K819" s="206">
        <v>11270</v>
      </c>
      <c r="L819" s="206"/>
      <c r="M819" s="159">
        <f t="shared" si="194"/>
        <v>0</v>
      </c>
      <c r="N819" s="159"/>
      <c r="O819" s="159"/>
      <c r="P819" s="159"/>
      <c r="Q819" s="159"/>
      <c r="R819" s="159"/>
      <c r="S819" s="150" t="s">
        <v>5328</v>
      </c>
      <c r="T819" s="150" t="s">
        <v>215</v>
      </c>
      <c r="U819" s="202" t="s">
        <v>8465</v>
      </c>
      <c r="V819" s="204">
        <v>5</v>
      </c>
      <c r="W819" s="203" t="s">
        <v>253</v>
      </c>
      <c r="X819" s="204" t="s">
        <v>213</v>
      </c>
      <c r="Y819" s="206">
        <v>45000</v>
      </c>
      <c r="Z819" s="207">
        <v>6000</v>
      </c>
      <c r="AA819" s="207">
        <f t="shared" si="195"/>
        <v>67620000</v>
      </c>
      <c r="AB819" s="157">
        <v>6000</v>
      </c>
      <c r="AC819" s="158">
        <f t="shared" si="209"/>
        <v>6000</v>
      </c>
      <c r="AD819" s="159">
        <f t="shared" si="196"/>
        <v>0</v>
      </c>
      <c r="AE819" s="160"/>
      <c r="AF819" s="160">
        <f t="shared" si="197"/>
        <v>0</v>
      </c>
      <c r="AG819" s="161"/>
      <c r="AH819" s="161">
        <f t="shared" si="198"/>
        <v>0</v>
      </c>
      <c r="AI819" s="162"/>
      <c r="AJ819" s="162">
        <f t="shared" si="199"/>
        <v>0</v>
      </c>
      <c r="AK819" s="163"/>
      <c r="AL819" s="164">
        <f t="shared" si="200"/>
        <v>0</v>
      </c>
      <c r="AM819" s="161"/>
      <c r="AN819" s="165">
        <f t="shared" si="201"/>
        <v>0</v>
      </c>
      <c r="AO819" s="160">
        <v>0</v>
      </c>
      <c r="AP819" s="166">
        <f t="shared" si="202"/>
        <v>0</v>
      </c>
      <c r="AQ819" s="162"/>
      <c r="AR819" s="162">
        <f t="shared" si="203"/>
        <v>0</v>
      </c>
      <c r="AS819" s="167"/>
      <c r="AT819" s="167">
        <f t="shared" si="204"/>
        <v>0</v>
      </c>
      <c r="AU819" s="163"/>
      <c r="AV819" s="163">
        <f t="shared" si="205"/>
        <v>0</v>
      </c>
      <c r="AW819" s="162"/>
      <c r="AX819" s="168">
        <f t="shared" si="206"/>
        <v>0</v>
      </c>
      <c r="AY819" s="169"/>
      <c r="AZ819" s="170">
        <f t="shared" si="207"/>
        <v>0</v>
      </c>
      <c r="BA819" s="160"/>
      <c r="BB819" s="166">
        <f t="shared" si="208"/>
        <v>0</v>
      </c>
    </row>
    <row r="820" spans="1:54" s="239" customFormat="1" ht="31.5">
      <c r="A820" s="148" t="s">
        <v>8466</v>
      </c>
      <c r="B820" s="203" t="s">
        <v>1356</v>
      </c>
      <c r="C820" s="203"/>
      <c r="D820" s="203"/>
      <c r="E820" s="203" t="s">
        <v>7967</v>
      </c>
      <c r="F820" s="205" t="s">
        <v>7969</v>
      </c>
      <c r="G820" s="205" t="s">
        <v>7015</v>
      </c>
      <c r="H820" s="204" t="s">
        <v>1767</v>
      </c>
      <c r="I820" s="204" t="s">
        <v>520</v>
      </c>
      <c r="J820" s="205" t="s">
        <v>7968</v>
      </c>
      <c r="K820" s="206">
        <v>1260</v>
      </c>
      <c r="L820" s="206"/>
      <c r="M820" s="159">
        <f t="shared" si="194"/>
        <v>0</v>
      </c>
      <c r="N820" s="159"/>
      <c r="O820" s="159"/>
      <c r="P820" s="159"/>
      <c r="Q820" s="159"/>
      <c r="R820" s="159"/>
      <c r="S820" s="149" t="s">
        <v>5417</v>
      </c>
      <c r="T820" s="150" t="s">
        <v>5418</v>
      </c>
      <c r="U820" s="202" t="s">
        <v>8467</v>
      </c>
      <c r="V820" s="204">
        <v>5</v>
      </c>
      <c r="W820" s="203" t="s">
        <v>5104</v>
      </c>
      <c r="X820" s="204" t="s">
        <v>213</v>
      </c>
      <c r="Y820" s="206">
        <v>2100</v>
      </c>
      <c r="Z820" s="207">
        <v>2000</v>
      </c>
      <c r="AA820" s="207">
        <f t="shared" si="195"/>
        <v>2520000</v>
      </c>
      <c r="AB820" s="157">
        <v>2000</v>
      </c>
      <c r="AC820" s="158">
        <f t="shared" si="209"/>
        <v>2000</v>
      </c>
      <c r="AD820" s="159">
        <f t="shared" si="196"/>
        <v>0</v>
      </c>
      <c r="AE820" s="160"/>
      <c r="AF820" s="160">
        <f t="shared" si="197"/>
        <v>0</v>
      </c>
      <c r="AG820" s="165"/>
      <c r="AH820" s="161">
        <f t="shared" si="198"/>
        <v>0</v>
      </c>
      <c r="AI820" s="162"/>
      <c r="AJ820" s="162">
        <f t="shared" si="199"/>
        <v>0</v>
      </c>
      <c r="AK820" s="164"/>
      <c r="AL820" s="164">
        <f t="shared" si="200"/>
        <v>0</v>
      </c>
      <c r="AM820" s="165"/>
      <c r="AN820" s="165">
        <f t="shared" si="201"/>
        <v>0</v>
      </c>
      <c r="AO820" s="166">
        <v>0</v>
      </c>
      <c r="AP820" s="166">
        <f t="shared" si="202"/>
        <v>0</v>
      </c>
      <c r="AQ820" s="162"/>
      <c r="AR820" s="162">
        <f t="shared" si="203"/>
        <v>0</v>
      </c>
      <c r="AS820" s="173"/>
      <c r="AT820" s="167">
        <f t="shared" si="204"/>
        <v>0</v>
      </c>
      <c r="AU820" s="163"/>
      <c r="AV820" s="163">
        <f t="shared" si="205"/>
        <v>0</v>
      </c>
      <c r="AW820" s="168"/>
      <c r="AX820" s="168">
        <f t="shared" si="206"/>
        <v>0</v>
      </c>
      <c r="AY820" s="170"/>
      <c r="AZ820" s="170">
        <f t="shared" si="207"/>
        <v>0</v>
      </c>
      <c r="BA820" s="166"/>
      <c r="BB820" s="166">
        <f t="shared" si="208"/>
        <v>0</v>
      </c>
    </row>
    <row r="821" spans="1:54" s="239" customFormat="1" ht="31.5">
      <c r="A821" s="148" t="s">
        <v>8468</v>
      </c>
      <c r="B821" s="203" t="s">
        <v>1631</v>
      </c>
      <c r="C821" s="203"/>
      <c r="D821" s="203"/>
      <c r="E821" s="203" t="s">
        <v>3667</v>
      </c>
      <c r="F821" s="205" t="s">
        <v>8004</v>
      </c>
      <c r="G821" s="205" t="s">
        <v>867</v>
      </c>
      <c r="H821" s="204" t="s">
        <v>1632</v>
      </c>
      <c r="I821" s="204" t="s">
        <v>12</v>
      </c>
      <c r="J821" s="205" t="s">
        <v>8003</v>
      </c>
      <c r="K821" s="206">
        <v>390</v>
      </c>
      <c r="L821" s="206"/>
      <c r="M821" s="159">
        <f t="shared" si="194"/>
        <v>11880</v>
      </c>
      <c r="N821" s="159"/>
      <c r="O821" s="159"/>
      <c r="P821" s="159"/>
      <c r="Q821" s="159"/>
      <c r="R821" s="159"/>
      <c r="S821" s="150" t="s">
        <v>7727</v>
      </c>
      <c r="T821" s="149" t="s">
        <v>863</v>
      </c>
      <c r="U821" s="202" t="s">
        <v>8469</v>
      </c>
      <c r="V821" s="204">
        <v>5</v>
      </c>
      <c r="W821" s="203" t="s">
        <v>253</v>
      </c>
      <c r="X821" s="204" t="s">
        <v>213</v>
      </c>
      <c r="Y821" s="206">
        <v>735</v>
      </c>
      <c r="Z821" s="207">
        <v>50000</v>
      </c>
      <c r="AA821" s="207">
        <f t="shared" si="195"/>
        <v>19500000</v>
      </c>
      <c r="AB821" s="157">
        <v>50000</v>
      </c>
      <c r="AC821" s="158">
        <f t="shared" si="209"/>
        <v>38120</v>
      </c>
      <c r="AD821" s="159">
        <f t="shared" si="196"/>
        <v>4633200</v>
      </c>
      <c r="AE821" s="160"/>
      <c r="AF821" s="160">
        <f t="shared" si="197"/>
        <v>0</v>
      </c>
      <c r="AG821" s="165"/>
      <c r="AH821" s="161">
        <f t="shared" si="198"/>
        <v>0</v>
      </c>
      <c r="AI821" s="162">
        <v>11880</v>
      </c>
      <c r="AJ821" s="162">
        <f t="shared" si="199"/>
        <v>4633200</v>
      </c>
      <c r="AK821" s="164"/>
      <c r="AL821" s="164">
        <f t="shared" si="200"/>
        <v>0</v>
      </c>
      <c r="AM821" s="165"/>
      <c r="AN821" s="165">
        <f t="shared" si="201"/>
        <v>0</v>
      </c>
      <c r="AO821" s="166">
        <v>0</v>
      </c>
      <c r="AP821" s="166">
        <f t="shared" si="202"/>
        <v>0</v>
      </c>
      <c r="AQ821" s="162"/>
      <c r="AR821" s="162">
        <f t="shared" si="203"/>
        <v>0</v>
      </c>
      <c r="AS821" s="173"/>
      <c r="AT821" s="167">
        <f t="shared" si="204"/>
        <v>0</v>
      </c>
      <c r="AU821" s="163"/>
      <c r="AV821" s="163">
        <f t="shared" si="205"/>
        <v>0</v>
      </c>
      <c r="AW821" s="168"/>
      <c r="AX821" s="168">
        <f t="shared" si="206"/>
        <v>0</v>
      </c>
      <c r="AY821" s="170"/>
      <c r="AZ821" s="170">
        <f t="shared" si="207"/>
        <v>0</v>
      </c>
      <c r="BA821" s="166"/>
      <c r="BB821" s="166">
        <f t="shared" si="208"/>
        <v>0</v>
      </c>
    </row>
    <row r="822" spans="1:54" s="239" customFormat="1" ht="31.5">
      <c r="A822" s="172" t="s">
        <v>8470</v>
      </c>
      <c r="B822" s="203" t="s">
        <v>3513</v>
      </c>
      <c r="C822" s="203"/>
      <c r="D822" s="203"/>
      <c r="E822" s="203" t="s">
        <v>4979</v>
      </c>
      <c r="F822" s="205" t="s">
        <v>8025</v>
      </c>
      <c r="G822" s="205" t="s">
        <v>621</v>
      </c>
      <c r="H822" s="204" t="s">
        <v>4980</v>
      </c>
      <c r="I822" s="204" t="s">
        <v>5639</v>
      </c>
      <c r="J822" s="205" t="s">
        <v>6940</v>
      </c>
      <c r="K822" s="206">
        <v>16590</v>
      </c>
      <c r="L822" s="206"/>
      <c r="M822" s="159">
        <f t="shared" si="194"/>
        <v>240</v>
      </c>
      <c r="N822" s="159"/>
      <c r="O822" s="159"/>
      <c r="P822" s="159"/>
      <c r="Q822" s="159"/>
      <c r="R822" s="159"/>
      <c r="S822" s="149" t="s">
        <v>6938</v>
      </c>
      <c r="T822" s="149" t="s">
        <v>6939</v>
      </c>
      <c r="U822" s="202" t="s">
        <v>8471</v>
      </c>
      <c r="V822" s="204">
        <v>5</v>
      </c>
      <c r="W822" s="203" t="s">
        <v>6941</v>
      </c>
      <c r="X822" s="204" t="s">
        <v>213</v>
      </c>
      <c r="Y822" s="206">
        <v>32000</v>
      </c>
      <c r="Z822" s="207">
        <v>3000</v>
      </c>
      <c r="AA822" s="207">
        <f t="shared" si="195"/>
        <v>49770000</v>
      </c>
      <c r="AB822" s="157">
        <v>3000</v>
      </c>
      <c r="AC822" s="158">
        <f t="shared" si="209"/>
        <v>2760</v>
      </c>
      <c r="AD822" s="159">
        <f t="shared" si="196"/>
        <v>3981600</v>
      </c>
      <c r="AE822" s="160"/>
      <c r="AF822" s="160">
        <f t="shared" si="197"/>
        <v>0</v>
      </c>
      <c r="AG822" s="165"/>
      <c r="AH822" s="161">
        <f t="shared" si="198"/>
        <v>0</v>
      </c>
      <c r="AI822" s="162"/>
      <c r="AJ822" s="162">
        <f t="shared" si="199"/>
        <v>0</v>
      </c>
      <c r="AK822" s="164"/>
      <c r="AL822" s="164">
        <f t="shared" si="200"/>
        <v>0</v>
      </c>
      <c r="AM822" s="165">
        <v>240</v>
      </c>
      <c r="AN822" s="165">
        <f t="shared" si="201"/>
        <v>3981600</v>
      </c>
      <c r="AO822" s="166">
        <v>0</v>
      </c>
      <c r="AP822" s="166">
        <f t="shared" si="202"/>
        <v>0</v>
      </c>
      <c r="AQ822" s="162"/>
      <c r="AR822" s="162">
        <f t="shared" si="203"/>
        <v>0</v>
      </c>
      <c r="AS822" s="173"/>
      <c r="AT822" s="167">
        <f t="shared" si="204"/>
        <v>0</v>
      </c>
      <c r="AU822" s="163"/>
      <c r="AV822" s="163">
        <f t="shared" si="205"/>
        <v>0</v>
      </c>
      <c r="AW822" s="168"/>
      <c r="AX822" s="168">
        <f t="shared" si="206"/>
        <v>0</v>
      </c>
      <c r="AY822" s="170"/>
      <c r="AZ822" s="170">
        <f t="shared" si="207"/>
        <v>0</v>
      </c>
      <c r="BA822" s="166"/>
      <c r="BB822" s="166">
        <f t="shared" si="208"/>
        <v>0</v>
      </c>
    </row>
    <row r="823" spans="1:54" s="239" customFormat="1" ht="31.5">
      <c r="A823" s="148" t="s">
        <v>8472</v>
      </c>
      <c r="B823" s="203" t="s">
        <v>6320</v>
      </c>
      <c r="C823" s="203"/>
      <c r="D823" s="203"/>
      <c r="E823" s="203" t="s">
        <v>3960</v>
      </c>
      <c r="F823" s="205" t="s">
        <v>8052</v>
      </c>
      <c r="G823" s="205" t="s">
        <v>8053</v>
      </c>
      <c r="H823" s="204" t="s">
        <v>3962</v>
      </c>
      <c r="I823" s="204" t="s">
        <v>11</v>
      </c>
      <c r="J823" s="205" t="s">
        <v>8051</v>
      </c>
      <c r="K823" s="206">
        <v>3129</v>
      </c>
      <c r="L823" s="206"/>
      <c r="M823" s="159">
        <f t="shared" si="194"/>
        <v>0</v>
      </c>
      <c r="N823" s="159"/>
      <c r="O823" s="159"/>
      <c r="P823" s="159"/>
      <c r="Q823" s="159"/>
      <c r="R823" s="159"/>
      <c r="S823" s="149" t="s">
        <v>5830</v>
      </c>
      <c r="T823" s="149" t="s">
        <v>5831</v>
      </c>
      <c r="U823" s="202" t="s">
        <v>8473</v>
      </c>
      <c r="V823" s="204">
        <v>5</v>
      </c>
      <c r="W823" s="203" t="s">
        <v>5104</v>
      </c>
      <c r="X823" s="204" t="s">
        <v>213</v>
      </c>
      <c r="Y823" s="206">
        <v>3320</v>
      </c>
      <c r="Z823" s="207">
        <v>5000</v>
      </c>
      <c r="AA823" s="207">
        <f t="shared" si="195"/>
        <v>15645000</v>
      </c>
      <c r="AB823" s="157">
        <v>5000</v>
      </c>
      <c r="AC823" s="158">
        <f t="shared" si="209"/>
        <v>5000</v>
      </c>
      <c r="AD823" s="159">
        <f t="shared" si="196"/>
        <v>0</v>
      </c>
      <c r="AE823" s="160"/>
      <c r="AF823" s="160">
        <f t="shared" si="197"/>
        <v>0</v>
      </c>
      <c r="AG823" s="165"/>
      <c r="AH823" s="161">
        <f t="shared" si="198"/>
        <v>0</v>
      </c>
      <c r="AI823" s="162"/>
      <c r="AJ823" s="162">
        <f t="shared" si="199"/>
        <v>0</v>
      </c>
      <c r="AK823" s="164"/>
      <c r="AL823" s="164">
        <f t="shared" si="200"/>
        <v>0</v>
      </c>
      <c r="AM823" s="165"/>
      <c r="AN823" s="165">
        <f t="shared" si="201"/>
        <v>0</v>
      </c>
      <c r="AO823" s="166">
        <v>0</v>
      </c>
      <c r="AP823" s="166">
        <f t="shared" si="202"/>
        <v>0</v>
      </c>
      <c r="AQ823" s="162"/>
      <c r="AR823" s="162">
        <f t="shared" si="203"/>
        <v>0</v>
      </c>
      <c r="AS823" s="173"/>
      <c r="AT823" s="167">
        <f t="shared" si="204"/>
        <v>0</v>
      </c>
      <c r="AU823" s="163"/>
      <c r="AV823" s="163">
        <f t="shared" si="205"/>
        <v>0</v>
      </c>
      <c r="AW823" s="168"/>
      <c r="AX823" s="168">
        <f t="shared" si="206"/>
        <v>0</v>
      </c>
      <c r="AY823" s="170"/>
      <c r="AZ823" s="170">
        <f t="shared" si="207"/>
        <v>0</v>
      </c>
      <c r="BA823" s="166"/>
      <c r="BB823" s="166">
        <f t="shared" si="208"/>
        <v>0</v>
      </c>
    </row>
    <row r="824" spans="1:54" s="239" customFormat="1" ht="47.25">
      <c r="A824" s="148" t="s">
        <v>8474</v>
      </c>
      <c r="B824" s="203" t="s">
        <v>1780</v>
      </c>
      <c r="C824" s="203"/>
      <c r="D824" s="203"/>
      <c r="E824" s="203" t="s">
        <v>4027</v>
      </c>
      <c r="F824" s="205" t="s">
        <v>8478</v>
      </c>
      <c r="G824" s="205" t="s">
        <v>8479</v>
      </c>
      <c r="H824" s="204" t="s">
        <v>1782</v>
      </c>
      <c r="I824" s="204" t="s">
        <v>15</v>
      </c>
      <c r="J824" s="205" t="s">
        <v>8477</v>
      </c>
      <c r="K824" s="206">
        <v>13650</v>
      </c>
      <c r="L824" s="206"/>
      <c r="M824" s="159">
        <f t="shared" si="194"/>
        <v>100</v>
      </c>
      <c r="N824" s="159"/>
      <c r="O824" s="159"/>
      <c r="P824" s="159"/>
      <c r="Q824" s="159"/>
      <c r="R824" s="159"/>
      <c r="S824" s="149" t="s">
        <v>8475</v>
      </c>
      <c r="T824" s="149" t="s">
        <v>8476</v>
      </c>
      <c r="U824" s="202" t="s">
        <v>4026</v>
      </c>
      <c r="V824" s="204">
        <v>5</v>
      </c>
      <c r="W824" s="203" t="s">
        <v>5104</v>
      </c>
      <c r="X824" s="204" t="s">
        <v>213</v>
      </c>
      <c r="Y824" s="206">
        <v>16000</v>
      </c>
      <c r="Z824" s="207">
        <v>10000</v>
      </c>
      <c r="AA824" s="207">
        <f t="shared" si="195"/>
        <v>136500000</v>
      </c>
      <c r="AB824" s="157">
        <v>10000</v>
      </c>
      <c r="AC824" s="158">
        <f t="shared" si="209"/>
        <v>9900</v>
      </c>
      <c r="AD824" s="159">
        <f t="shared" si="196"/>
        <v>1365000</v>
      </c>
      <c r="AE824" s="160"/>
      <c r="AF824" s="160">
        <f t="shared" si="197"/>
        <v>0</v>
      </c>
      <c r="AG824" s="165"/>
      <c r="AH824" s="161">
        <f t="shared" si="198"/>
        <v>0</v>
      </c>
      <c r="AI824" s="162">
        <v>100</v>
      </c>
      <c r="AJ824" s="162">
        <f t="shared" si="199"/>
        <v>1365000</v>
      </c>
      <c r="AK824" s="164"/>
      <c r="AL824" s="164">
        <f t="shared" si="200"/>
        <v>0</v>
      </c>
      <c r="AM824" s="165"/>
      <c r="AN824" s="165">
        <f t="shared" si="201"/>
        <v>0</v>
      </c>
      <c r="AO824" s="166">
        <v>0</v>
      </c>
      <c r="AP824" s="166">
        <f t="shared" si="202"/>
        <v>0</v>
      </c>
      <c r="AQ824" s="162"/>
      <c r="AR824" s="162">
        <f t="shared" si="203"/>
        <v>0</v>
      </c>
      <c r="AS824" s="173"/>
      <c r="AT824" s="167">
        <f t="shared" si="204"/>
        <v>0</v>
      </c>
      <c r="AU824" s="163"/>
      <c r="AV824" s="163">
        <f t="shared" si="205"/>
        <v>0</v>
      </c>
      <c r="AW824" s="168"/>
      <c r="AX824" s="168">
        <f t="shared" si="206"/>
        <v>0</v>
      </c>
      <c r="AY824" s="170"/>
      <c r="AZ824" s="170">
        <f t="shared" si="207"/>
        <v>0</v>
      </c>
      <c r="BA824" s="166"/>
      <c r="BB824" s="166">
        <f t="shared" si="208"/>
        <v>0</v>
      </c>
    </row>
    <row r="825" spans="1:54" s="239" customFormat="1" ht="31.5">
      <c r="A825" s="172" t="s">
        <v>8480</v>
      </c>
      <c r="B825" s="203" t="s">
        <v>1780</v>
      </c>
      <c r="C825" s="203"/>
      <c r="D825" s="203"/>
      <c r="E825" s="203" t="s">
        <v>1856</v>
      </c>
      <c r="F825" s="205" t="s">
        <v>1858</v>
      </c>
      <c r="G825" s="205" t="s">
        <v>1859</v>
      </c>
      <c r="H825" s="204" t="s">
        <v>1340</v>
      </c>
      <c r="I825" s="204" t="s">
        <v>11</v>
      </c>
      <c r="J825" s="205" t="s">
        <v>8481</v>
      </c>
      <c r="K825" s="206">
        <v>1365</v>
      </c>
      <c r="L825" s="206"/>
      <c r="M825" s="159">
        <f t="shared" si="194"/>
        <v>41500</v>
      </c>
      <c r="N825" s="159"/>
      <c r="O825" s="159"/>
      <c r="P825" s="159"/>
      <c r="Q825" s="159"/>
      <c r="R825" s="159"/>
      <c r="S825" s="149" t="s">
        <v>6819</v>
      </c>
      <c r="T825" s="149" t="s">
        <v>6820</v>
      </c>
      <c r="U825" s="202" t="s">
        <v>3754</v>
      </c>
      <c r="V825" s="204">
        <v>5</v>
      </c>
      <c r="W825" s="203" t="s">
        <v>253</v>
      </c>
      <c r="X825" s="204" t="s">
        <v>6618</v>
      </c>
      <c r="Y825" s="206">
        <v>1365</v>
      </c>
      <c r="Z825" s="207">
        <v>150000</v>
      </c>
      <c r="AA825" s="207">
        <f t="shared" si="195"/>
        <v>204750000</v>
      </c>
      <c r="AB825" s="157">
        <v>150000</v>
      </c>
      <c r="AC825" s="158">
        <f t="shared" si="209"/>
        <v>108500</v>
      </c>
      <c r="AD825" s="159">
        <f t="shared" si="196"/>
        <v>56647500</v>
      </c>
      <c r="AE825" s="160"/>
      <c r="AF825" s="160">
        <f t="shared" si="197"/>
        <v>0</v>
      </c>
      <c r="AG825" s="165">
        <v>14000</v>
      </c>
      <c r="AH825" s="161">
        <f t="shared" si="198"/>
        <v>19110000</v>
      </c>
      <c r="AI825" s="162"/>
      <c r="AJ825" s="162">
        <f t="shared" si="199"/>
        <v>0</v>
      </c>
      <c r="AK825" s="164"/>
      <c r="AL825" s="164">
        <f t="shared" si="200"/>
        <v>0</v>
      </c>
      <c r="AM825" s="165">
        <v>27500</v>
      </c>
      <c r="AN825" s="165">
        <f t="shared" si="201"/>
        <v>37537500</v>
      </c>
      <c r="AO825" s="166">
        <v>0</v>
      </c>
      <c r="AP825" s="166">
        <f t="shared" si="202"/>
        <v>0</v>
      </c>
      <c r="AQ825" s="162"/>
      <c r="AR825" s="162">
        <f t="shared" si="203"/>
        <v>0</v>
      </c>
      <c r="AS825" s="173"/>
      <c r="AT825" s="167">
        <f t="shared" si="204"/>
        <v>0</v>
      </c>
      <c r="AU825" s="163"/>
      <c r="AV825" s="163">
        <f t="shared" si="205"/>
        <v>0</v>
      </c>
      <c r="AW825" s="168"/>
      <c r="AX825" s="168">
        <f t="shared" si="206"/>
        <v>0</v>
      </c>
      <c r="AY825" s="170"/>
      <c r="AZ825" s="170">
        <f t="shared" si="207"/>
        <v>0</v>
      </c>
      <c r="BA825" s="166"/>
      <c r="BB825" s="166">
        <f t="shared" si="208"/>
        <v>0</v>
      </c>
    </row>
    <row r="826" spans="1:54" s="239" customFormat="1" ht="31.5">
      <c r="A826" s="148" t="s">
        <v>8482</v>
      </c>
      <c r="B826" s="203" t="s">
        <v>1321</v>
      </c>
      <c r="C826" s="203"/>
      <c r="D826" s="203"/>
      <c r="E826" s="203" t="s">
        <v>4436</v>
      </c>
      <c r="F826" s="205" t="s">
        <v>8103</v>
      </c>
      <c r="G826" s="205" t="s">
        <v>7015</v>
      </c>
      <c r="H826" s="204" t="s">
        <v>248</v>
      </c>
      <c r="I826" s="204" t="s">
        <v>11</v>
      </c>
      <c r="J826" s="205" t="s">
        <v>8102</v>
      </c>
      <c r="K826" s="206">
        <v>45</v>
      </c>
      <c r="L826" s="206"/>
      <c r="M826" s="159">
        <f t="shared" si="194"/>
        <v>0</v>
      </c>
      <c r="N826" s="159"/>
      <c r="O826" s="159"/>
      <c r="P826" s="159"/>
      <c r="Q826" s="159"/>
      <c r="R826" s="159"/>
      <c r="S826" s="149" t="s">
        <v>5417</v>
      </c>
      <c r="T826" s="150" t="s">
        <v>5418</v>
      </c>
      <c r="U826" s="202" t="s">
        <v>3872</v>
      </c>
      <c r="V826" s="204">
        <v>5</v>
      </c>
      <c r="W826" s="203" t="s">
        <v>5104</v>
      </c>
      <c r="X826" s="204" t="s">
        <v>213</v>
      </c>
      <c r="Y826" s="206">
        <v>150</v>
      </c>
      <c r="Z826" s="207">
        <v>100000</v>
      </c>
      <c r="AA826" s="207">
        <f t="shared" si="195"/>
        <v>4500000</v>
      </c>
      <c r="AB826" s="157">
        <v>100000</v>
      </c>
      <c r="AC826" s="158">
        <f t="shared" si="209"/>
        <v>100000</v>
      </c>
      <c r="AD826" s="159">
        <f t="shared" si="196"/>
        <v>0</v>
      </c>
      <c r="AE826" s="160"/>
      <c r="AF826" s="160">
        <f t="shared" si="197"/>
        <v>0</v>
      </c>
      <c r="AG826" s="161"/>
      <c r="AH826" s="161">
        <f t="shared" si="198"/>
        <v>0</v>
      </c>
      <c r="AI826" s="162"/>
      <c r="AJ826" s="162">
        <f t="shared" si="199"/>
        <v>0</v>
      </c>
      <c r="AK826" s="164"/>
      <c r="AL826" s="164">
        <f t="shared" si="200"/>
        <v>0</v>
      </c>
      <c r="AM826" s="165"/>
      <c r="AN826" s="165">
        <f t="shared" si="201"/>
        <v>0</v>
      </c>
      <c r="AO826" s="166">
        <v>0</v>
      </c>
      <c r="AP826" s="166">
        <f t="shared" si="202"/>
        <v>0</v>
      </c>
      <c r="AQ826" s="162"/>
      <c r="AR826" s="162">
        <f t="shared" si="203"/>
        <v>0</v>
      </c>
      <c r="AS826" s="167"/>
      <c r="AT826" s="167">
        <f t="shared" si="204"/>
        <v>0</v>
      </c>
      <c r="AU826" s="163"/>
      <c r="AV826" s="163">
        <f t="shared" si="205"/>
        <v>0</v>
      </c>
      <c r="AW826" s="168"/>
      <c r="AX826" s="168">
        <f t="shared" si="206"/>
        <v>0</v>
      </c>
      <c r="AY826" s="170"/>
      <c r="AZ826" s="170">
        <f t="shared" si="207"/>
        <v>0</v>
      </c>
      <c r="BA826" s="166"/>
      <c r="BB826" s="166">
        <f t="shared" si="208"/>
        <v>0</v>
      </c>
    </row>
    <row r="827" spans="1:54" s="239" customFormat="1" ht="31.5">
      <c r="A827" s="148" t="s">
        <v>8483</v>
      </c>
      <c r="B827" s="203" t="s">
        <v>1618</v>
      </c>
      <c r="C827" s="203"/>
      <c r="D827" s="203"/>
      <c r="E827" s="203" t="s">
        <v>4073</v>
      </c>
      <c r="F827" s="205" t="s">
        <v>8484</v>
      </c>
      <c r="G827" s="205" t="s">
        <v>7783</v>
      </c>
      <c r="H827" s="204" t="s">
        <v>994</v>
      </c>
      <c r="I827" s="204" t="s">
        <v>11</v>
      </c>
      <c r="J827" s="205" t="s">
        <v>8129</v>
      </c>
      <c r="K827" s="206">
        <v>204</v>
      </c>
      <c r="L827" s="206"/>
      <c r="M827" s="159">
        <f t="shared" si="194"/>
        <v>30000</v>
      </c>
      <c r="N827" s="159"/>
      <c r="O827" s="159"/>
      <c r="P827" s="159"/>
      <c r="Q827" s="159"/>
      <c r="R827" s="159"/>
      <c r="S827" s="149" t="s">
        <v>5206</v>
      </c>
      <c r="T827" s="149" t="s">
        <v>5207</v>
      </c>
      <c r="U827" s="202" t="s">
        <v>4072</v>
      </c>
      <c r="V827" s="204">
        <v>5</v>
      </c>
      <c r="W827" s="203" t="s">
        <v>5104</v>
      </c>
      <c r="X827" s="204" t="s">
        <v>213</v>
      </c>
      <c r="Y827" s="206">
        <v>950</v>
      </c>
      <c r="Z827" s="207">
        <v>100000</v>
      </c>
      <c r="AA827" s="207">
        <f t="shared" si="195"/>
        <v>20400000</v>
      </c>
      <c r="AB827" s="157">
        <v>100000</v>
      </c>
      <c r="AC827" s="158">
        <f t="shared" si="209"/>
        <v>70000</v>
      </c>
      <c r="AD827" s="159">
        <f t="shared" si="196"/>
        <v>6120000</v>
      </c>
      <c r="AE827" s="160"/>
      <c r="AF827" s="160">
        <f t="shared" si="197"/>
        <v>0</v>
      </c>
      <c r="AG827" s="165"/>
      <c r="AH827" s="161">
        <f t="shared" si="198"/>
        <v>0</v>
      </c>
      <c r="AI827" s="162"/>
      <c r="AJ827" s="162">
        <f t="shared" si="199"/>
        <v>0</v>
      </c>
      <c r="AK827" s="164"/>
      <c r="AL827" s="164">
        <f t="shared" si="200"/>
        <v>0</v>
      </c>
      <c r="AM827" s="165">
        <v>30000</v>
      </c>
      <c r="AN827" s="165">
        <f t="shared" si="201"/>
        <v>6120000</v>
      </c>
      <c r="AO827" s="166">
        <v>0</v>
      </c>
      <c r="AP827" s="166">
        <f t="shared" si="202"/>
        <v>0</v>
      </c>
      <c r="AQ827" s="162"/>
      <c r="AR827" s="162">
        <f t="shared" si="203"/>
        <v>0</v>
      </c>
      <c r="AS827" s="173"/>
      <c r="AT827" s="167">
        <f t="shared" si="204"/>
        <v>0</v>
      </c>
      <c r="AU827" s="163"/>
      <c r="AV827" s="163">
        <f t="shared" si="205"/>
        <v>0</v>
      </c>
      <c r="AW827" s="168"/>
      <c r="AX827" s="168">
        <f t="shared" si="206"/>
        <v>0</v>
      </c>
      <c r="AY827" s="170"/>
      <c r="AZ827" s="170">
        <f t="shared" si="207"/>
        <v>0</v>
      </c>
      <c r="BA827" s="166"/>
      <c r="BB827" s="166">
        <f t="shared" si="208"/>
        <v>0</v>
      </c>
    </row>
    <row r="828" spans="1:54" s="239" customFormat="1" ht="31.5">
      <c r="A828" s="172" t="s">
        <v>8485</v>
      </c>
      <c r="B828" s="203" t="s">
        <v>1618</v>
      </c>
      <c r="C828" s="203"/>
      <c r="D828" s="203"/>
      <c r="E828" s="203" t="s">
        <v>4070</v>
      </c>
      <c r="F828" s="205" t="s">
        <v>8130</v>
      </c>
      <c r="G828" s="205" t="s">
        <v>7783</v>
      </c>
      <c r="H828" s="204" t="s">
        <v>225</v>
      </c>
      <c r="I828" s="204" t="s">
        <v>11</v>
      </c>
      <c r="J828" s="205" t="s">
        <v>8129</v>
      </c>
      <c r="K828" s="206">
        <v>154</v>
      </c>
      <c r="L828" s="206"/>
      <c r="M828" s="159">
        <f t="shared" si="194"/>
        <v>0</v>
      </c>
      <c r="N828" s="159"/>
      <c r="O828" s="159"/>
      <c r="P828" s="159"/>
      <c r="Q828" s="159"/>
      <c r="R828" s="159"/>
      <c r="S828" s="149" t="s">
        <v>5206</v>
      </c>
      <c r="T828" s="149" t="s">
        <v>5207</v>
      </c>
      <c r="U828" s="202" t="s">
        <v>8486</v>
      </c>
      <c r="V828" s="204">
        <v>5</v>
      </c>
      <c r="W828" s="203" t="s">
        <v>5104</v>
      </c>
      <c r="X828" s="204" t="s">
        <v>213</v>
      </c>
      <c r="Y828" s="206">
        <v>680</v>
      </c>
      <c r="Z828" s="207">
        <v>100000</v>
      </c>
      <c r="AA828" s="207">
        <f t="shared" si="195"/>
        <v>15400000</v>
      </c>
      <c r="AB828" s="157">
        <v>100000</v>
      </c>
      <c r="AC828" s="158">
        <f t="shared" si="209"/>
        <v>100000</v>
      </c>
      <c r="AD828" s="159">
        <f t="shared" si="196"/>
        <v>0</v>
      </c>
      <c r="AE828" s="160"/>
      <c r="AF828" s="160">
        <f t="shared" si="197"/>
        <v>0</v>
      </c>
      <c r="AG828" s="165"/>
      <c r="AH828" s="161">
        <f t="shared" si="198"/>
        <v>0</v>
      </c>
      <c r="AI828" s="162"/>
      <c r="AJ828" s="162">
        <f t="shared" si="199"/>
        <v>0</v>
      </c>
      <c r="AK828" s="164"/>
      <c r="AL828" s="164">
        <f t="shared" si="200"/>
        <v>0</v>
      </c>
      <c r="AM828" s="165"/>
      <c r="AN828" s="165">
        <f t="shared" si="201"/>
        <v>0</v>
      </c>
      <c r="AO828" s="166">
        <v>0</v>
      </c>
      <c r="AP828" s="166">
        <f t="shared" si="202"/>
        <v>0</v>
      </c>
      <c r="AQ828" s="162"/>
      <c r="AR828" s="162">
        <f t="shared" si="203"/>
        <v>0</v>
      </c>
      <c r="AS828" s="173"/>
      <c r="AT828" s="167">
        <f t="shared" si="204"/>
        <v>0</v>
      </c>
      <c r="AU828" s="163"/>
      <c r="AV828" s="163">
        <f t="shared" si="205"/>
        <v>0</v>
      </c>
      <c r="AW828" s="168"/>
      <c r="AX828" s="168">
        <f t="shared" si="206"/>
        <v>0</v>
      </c>
      <c r="AY828" s="170"/>
      <c r="AZ828" s="170">
        <f t="shared" si="207"/>
        <v>0</v>
      </c>
      <c r="BA828" s="166"/>
      <c r="BB828" s="166">
        <f t="shared" si="208"/>
        <v>0</v>
      </c>
    </row>
    <row r="829" spans="1:54" s="239" customFormat="1" ht="31.5">
      <c r="A829" s="148" t="s">
        <v>8487</v>
      </c>
      <c r="B829" s="203" t="s">
        <v>6453</v>
      </c>
      <c r="C829" s="203"/>
      <c r="D829" s="203"/>
      <c r="E829" s="203" t="s">
        <v>8489</v>
      </c>
      <c r="F829" s="205" t="s">
        <v>8491</v>
      </c>
      <c r="G829" s="205" t="s">
        <v>621</v>
      </c>
      <c r="H829" s="204" t="s">
        <v>238</v>
      </c>
      <c r="I829" s="204" t="s">
        <v>11</v>
      </c>
      <c r="J829" s="205" t="s">
        <v>8490</v>
      </c>
      <c r="K829" s="206">
        <v>1029</v>
      </c>
      <c r="L829" s="206"/>
      <c r="M829" s="159">
        <f t="shared" si="194"/>
        <v>0</v>
      </c>
      <c r="N829" s="159"/>
      <c r="O829" s="159"/>
      <c r="P829" s="159"/>
      <c r="Q829" s="159"/>
      <c r="R829" s="159"/>
      <c r="S829" s="149" t="s">
        <v>6938</v>
      </c>
      <c r="T829" s="149" t="s">
        <v>6939</v>
      </c>
      <c r="U829" s="202" t="s">
        <v>8488</v>
      </c>
      <c r="V829" s="204">
        <v>5</v>
      </c>
      <c r="W829" s="203" t="s">
        <v>253</v>
      </c>
      <c r="X829" s="204" t="s">
        <v>213</v>
      </c>
      <c r="Y829" s="206">
        <v>4600</v>
      </c>
      <c r="Z829" s="207">
        <v>10000</v>
      </c>
      <c r="AA829" s="207">
        <f t="shared" si="195"/>
        <v>10290000</v>
      </c>
      <c r="AB829" s="157">
        <v>10000</v>
      </c>
      <c r="AC829" s="158">
        <f t="shared" si="209"/>
        <v>10000</v>
      </c>
      <c r="AD829" s="159">
        <f t="shared" si="196"/>
        <v>0</v>
      </c>
      <c r="AE829" s="160"/>
      <c r="AF829" s="160">
        <f t="shared" si="197"/>
        <v>0</v>
      </c>
      <c r="AG829" s="165"/>
      <c r="AH829" s="161">
        <f t="shared" si="198"/>
        <v>0</v>
      </c>
      <c r="AI829" s="162"/>
      <c r="AJ829" s="162">
        <f t="shared" si="199"/>
        <v>0</v>
      </c>
      <c r="AK829" s="163"/>
      <c r="AL829" s="164">
        <f t="shared" si="200"/>
        <v>0</v>
      </c>
      <c r="AM829" s="161"/>
      <c r="AN829" s="165">
        <f t="shared" si="201"/>
        <v>0</v>
      </c>
      <c r="AO829" s="160">
        <v>0</v>
      </c>
      <c r="AP829" s="166">
        <f t="shared" si="202"/>
        <v>0</v>
      </c>
      <c r="AQ829" s="162"/>
      <c r="AR829" s="162">
        <f t="shared" si="203"/>
        <v>0</v>
      </c>
      <c r="AS829" s="173"/>
      <c r="AT829" s="167">
        <f t="shared" si="204"/>
        <v>0</v>
      </c>
      <c r="AU829" s="163"/>
      <c r="AV829" s="163">
        <f t="shared" si="205"/>
        <v>0</v>
      </c>
      <c r="AW829" s="162"/>
      <c r="AX829" s="168">
        <f t="shared" si="206"/>
        <v>0</v>
      </c>
      <c r="AY829" s="169"/>
      <c r="AZ829" s="170">
        <f t="shared" si="207"/>
        <v>0</v>
      </c>
      <c r="BA829" s="160"/>
      <c r="BB829" s="166">
        <f t="shared" si="208"/>
        <v>0</v>
      </c>
    </row>
    <row r="830" spans="1:54" s="239" customFormat="1" ht="31.5">
      <c r="A830" s="148" t="s">
        <v>8492</v>
      </c>
      <c r="B830" s="203" t="s">
        <v>4007</v>
      </c>
      <c r="C830" s="203"/>
      <c r="D830" s="203"/>
      <c r="E830" s="203" t="s">
        <v>4006</v>
      </c>
      <c r="F830" s="205" t="s">
        <v>8495</v>
      </c>
      <c r="G830" s="205" t="s">
        <v>6594</v>
      </c>
      <c r="H830" s="204" t="s">
        <v>4008</v>
      </c>
      <c r="I830" s="204" t="s">
        <v>658</v>
      </c>
      <c r="J830" s="205" t="s">
        <v>8493</v>
      </c>
      <c r="K830" s="206">
        <v>29715</v>
      </c>
      <c r="L830" s="206"/>
      <c r="M830" s="159">
        <f t="shared" si="194"/>
        <v>300</v>
      </c>
      <c r="N830" s="159"/>
      <c r="O830" s="159"/>
      <c r="P830" s="159"/>
      <c r="Q830" s="159"/>
      <c r="R830" s="159"/>
      <c r="S830" s="150" t="s">
        <v>5442</v>
      </c>
      <c r="T830" s="150" t="s">
        <v>5443</v>
      </c>
      <c r="U830" s="202" t="s">
        <v>4005</v>
      </c>
      <c r="V830" s="204">
        <v>5</v>
      </c>
      <c r="W830" s="203" t="s">
        <v>8494</v>
      </c>
      <c r="X830" s="204" t="s">
        <v>5551</v>
      </c>
      <c r="Y830" s="206">
        <v>35000</v>
      </c>
      <c r="Z830" s="207">
        <v>6000</v>
      </c>
      <c r="AA830" s="207">
        <f t="shared" si="195"/>
        <v>178290000</v>
      </c>
      <c r="AB830" s="157">
        <v>6000</v>
      </c>
      <c r="AC830" s="158">
        <f t="shared" si="209"/>
        <v>5700</v>
      </c>
      <c r="AD830" s="159">
        <f t="shared" si="196"/>
        <v>8914500</v>
      </c>
      <c r="AE830" s="160"/>
      <c r="AF830" s="160">
        <f t="shared" si="197"/>
        <v>0</v>
      </c>
      <c r="AG830" s="165"/>
      <c r="AH830" s="161">
        <f t="shared" si="198"/>
        <v>0</v>
      </c>
      <c r="AI830" s="162"/>
      <c r="AJ830" s="162">
        <f t="shared" si="199"/>
        <v>0</v>
      </c>
      <c r="AK830" s="164"/>
      <c r="AL830" s="164">
        <f t="shared" si="200"/>
        <v>0</v>
      </c>
      <c r="AM830" s="165">
        <v>300</v>
      </c>
      <c r="AN830" s="165">
        <f t="shared" si="201"/>
        <v>8914500</v>
      </c>
      <c r="AO830" s="166">
        <v>0</v>
      </c>
      <c r="AP830" s="166">
        <f t="shared" si="202"/>
        <v>0</v>
      </c>
      <c r="AQ830" s="162"/>
      <c r="AR830" s="162">
        <f t="shared" si="203"/>
        <v>0</v>
      </c>
      <c r="AS830" s="173"/>
      <c r="AT830" s="167">
        <f t="shared" si="204"/>
        <v>0</v>
      </c>
      <c r="AU830" s="163"/>
      <c r="AV830" s="163">
        <f t="shared" si="205"/>
        <v>0</v>
      </c>
      <c r="AW830" s="168"/>
      <c r="AX830" s="168">
        <f t="shared" si="206"/>
        <v>0</v>
      </c>
      <c r="AY830" s="170"/>
      <c r="AZ830" s="170">
        <f t="shared" si="207"/>
        <v>0</v>
      </c>
      <c r="BA830" s="166"/>
      <c r="BB830" s="166">
        <f t="shared" si="208"/>
        <v>0</v>
      </c>
    </row>
    <row r="831" spans="1:54" s="239" customFormat="1" ht="31.5">
      <c r="A831" s="172" t="s">
        <v>8496</v>
      </c>
      <c r="B831" s="203" t="s">
        <v>1352</v>
      </c>
      <c r="C831" s="203"/>
      <c r="D831" s="203"/>
      <c r="E831" s="203" t="s">
        <v>8197</v>
      </c>
      <c r="F831" s="205" t="s">
        <v>8198</v>
      </c>
      <c r="G831" s="205" t="s">
        <v>7674</v>
      </c>
      <c r="H831" s="204" t="s">
        <v>238</v>
      </c>
      <c r="I831" s="204" t="s">
        <v>11</v>
      </c>
      <c r="J831" s="205" t="s">
        <v>7871</v>
      </c>
      <c r="K831" s="206">
        <v>3100</v>
      </c>
      <c r="L831" s="206"/>
      <c r="M831" s="159">
        <f t="shared" si="194"/>
        <v>0</v>
      </c>
      <c r="N831" s="159"/>
      <c r="O831" s="159"/>
      <c r="P831" s="159"/>
      <c r="Q831" s="159"/>
      <c r="R831" s="159"/>
      <c r="S831" s="149" t="s">
        <v>7100</v>
      </c>
      <c r="T831" s="149" t="s">
        <v>7101</v>
      </c>
      <c r="U831" s="202" t="s">
        <v>8497</v>
      </c>
      <c r="V831" s="204">
        <v>5</v>
      </c>
      <c r="W831" s="203" t="s">
        <v>5104</v>
      </c>
      <c r="X831" s="204" t="s">
        <v>213</v>
      </c>
      <c r="Y831" s="206">
        <v>4950</v>
      </c>
      <c r="Z831" s="207">
        <v>20000</v>
      </c>
      <c r="AA831" s="207">
        <f t="shared" si="195"/>
        <v>62000000</v>
      </c>
      <c r="AB831" s="157">
        <v>20000</v>
      </c>
      <c r="AC831" s="158">
        <f t="shared" si="209"/>
        <v>20000</v>
      </c>
      <c r="AD831" s="159">
        <f t="shared" si="196"/>
        <v>0</v>
      </c>
      <c r="AE831" s="160"/>
      <c r="AF831" s="160">
        <f t="shared" si="197"/>
        <v>0</v>
      </c>
      <c r="AG831" s="165"/>
      <c r="AH831" s="161">
        <f t="shared" si="198"/>
        <v>0</v>
      </c>
      <c r="AI831" s="162"/>
      <c r="AJ831" s="162">
        <f t="shared" si="199"/>
        <v>0</v>
      </c>
      <c r="AK831" s="164"/>
      <c r="AL831" s="164">
        <f t="shared" si="200"/>
        <v>0</v>
      </c>
      <c r="AM831" s="165"/>
      <c r="AN831" s="165">
        <f t="shared" si="201"/>
        <v>0</v>
      </c>
      <c r="AO831" s="166">
        <v>0</v>
      </c>
      <c r="AP831" s="166">
        <f t="shared" si="202"/>
        <v>0</v>
      </c>
      <c r="AQ831" s="162"/>
      <c r="AR831" s="162">
        <f t="shared" si="203"/>
        <v>0</v>
      </c>
      <c r="AS831" s="173"/>
      <c r="AT831" s="167">
        <f t="shared" si="204"/>
        <v>0</v>
      </c>
      <c r="AU831" s="163"/>
      <c r="AV831" s="163">
        <f t="shared" si="205"/>
        <v>0</v>
      </c>
      <c r="AW831" s="168"/>
      <c r="AX831" s="168">
        <f t="shared" si="206"/>
        <v>0</v>
      </c>
      <c r="AY831" s="170"/>
      <c r="AZ831" s="170">
        <f t="shared" si="207"/>
        <v>0</v>
      </c>
      <c r="BA831" s="166"/>
      <c r="BB831" s="166">
        <f t="shared" si="208"/>
        <v>0</v>
      </c>
    </row>
    <row r="832" spans="1:54" s="239" customFormat="1" ht="31.5">
      <c r="A832" s="221" t="s">
        <v>8498</v>
      </c>
      <c r="B832" s="203" t="s">
        <v>8224</v>
      </c>
      <c r="C832" s="203"/>
      <c r="D832" s="203"/>
      <c r="E832" s="203" t="s">
        <v>8224</v>
      </c>
      <c r="F832" s="205" t="s">
        <v>8227</v>
      </c>
      <c r="G832" s="205" t="s">
        <v>8228</v>
      </c>
      <c r="H832" s="204" t="s">
        <v>8225</v>
      </c>
      <c r="I832" s="204" t="s">
        <v>11</v>
      </c>
      <c r="J832" s="205" t="s">
        <v>8226</v>
      </c>
      <c r="K832" s="206">
        <v>3420</v>
      </c>
      <c r="L832" s="206"/>
      <c r="M832" s="159">
        <f t="shared" si="194"/>
        <v>0</v>
      </c>
      <c r="N832" s="159"/>
      <c r="O832" s="159"/>
      <c r="P832" s="159"/>
      <c r="Q832" s="159"/>
      <c r="R832" s="159"/>
      <c r="S832" s="149" t="s">
        <v>6925</v>
      </c>
      <c r="T832" s="149" t="s">
        <v>6926</v>
      </c>
      <c r="U832" s="202" t="s">
        <v>8499</v>
      </c>
      <c r="V832" s="204">
        <v>5</v>
      </c>
      <c r="W832" s="203" t="s">
        <v>5104</v>
      </c>
      <c r="X832" s="204" t="s">
        <v>213</v>
      </c>
      <c r="Y832" s="206">
        <v>4500</v>
      </c>
      <c r="Z832" s="207">
        <v>1000</v>
      </c>
      <c r="AA832" s="207">
        <f t="shared" si="195"/>
        <v>3420000</v>
      </c>
      <c r="AB832" s="157">
        <v>1000</v>
      </c>
      <c r="AC832" s="158">
        <f t="shared" si="209"/>
        <v>1000</v>
      </c>
      <c r="AD832" s="159">
        <f t="shared" si="196"/>
        <v>0</v>
      </c>
      <c r="AE832" s="160"/>
      <c r="AF832" s="160">
        <f t="shared" si="197"/>
        <v>0</v>
      </c>
      <c r="AG832" s="165"/>
      <c r="AH832" s="161">
        <f t="shared" si="198"/>
        <v>0</v>
      </c>
      <c r="AI832" s="162"/>
      <c r="AJ832" s="162">
        <f t="shared" si="199"/>
        <v>0</v>
      </c>
      <c r="AK832" s="164"/>
      <c r="AL832" s="164">
        <f t="shared" si="200"/>
        <v>0</v>
      </c>
      <c r="AM832" s="165"/>
      <c r="AN832" s="165">
        <f t="shared" si="201"/>
        <v>0</v>
      </c>
      <c r="AO832" s="166">
        <v>0</v>
      </c>
      <c r="AP832" s="166">
        <f t="shared" si="202"/>
        <v>0</v>
      </c>
      <c r="AQ832" s="162"/>
      <c r="AR832" s="162">
        <f t="shared" si="203"/>
        <v>0</v>
      </c>
      <c r="AS832" s="173"/>
      <c r="AT832" s="167">
        <f t="shared" si="204"/>
        <v>0</v>
      </c>
      <c r="AU832" s="163"/>
      <c r="AV832" s="163">
        <f t="shared" si="205"/>
        <v>0</v>
      </c>
      <c r="AW832" s="168"/>
      <c r="AX832" s="168">
        <f t="shared" si="206"/>
        <v>0</v>
      </c>
      <c r="AY832" s="170"/>
      <c r="AZ832" s="170">
        <f t="shared" si="207"/>
        <v>0</v>
      </c>
      <c r="BA832" s="166"/>
      <c r="BB832" s="166">
        <f t="shared" si="208"/>
        <v>0</v>
      </c>
    </row>
    <row r="833" spans="1:54" s="131" customFormat="1" ht="63">
      <c r="A833" s="148">
        <v>1</v>
      </c>
      <c r="B833" s="242" t="s">
        <v>8501</v>
      </c>
      <c r="C833" s="242"/>
      <c r="D833" s="242"/>
      <c r="E833" s="244" t="s">
        <v>2838</v>
      </c>
      <c r="F833" s="241" t="s">
        <v>8504</v>
      </c>
      <c r="G833" s="244" t="s">
        <v>2182</v>
      </c>
      <c r="H833" s="243" t="s">
        <v>8502</v>
      </c>
      <c r="I833" s="241" t="s">
        <v>11</v>
      </c>
      <c r="J833" s="244" t="s">
        <v>8503</v>
      </c>
      <c r="K833" s="245">
        <v>2500</v>
      </c>
      <c r="L833" s="245"/>
      <c r="M833" s="159">
        <f t="shared" si="194"/>
        <v>0</v>
      </c>
      <c r="N833" s="159"/>
      <c r="O833" s="159"/>
      <c r="P833" s="159"/>
      <c r="Q833" s="159"/>
      <c r="R833" s="159"/>
      <c r="S833" s="150" t="s">
        <v>7727</v>
      </c>
      <c r="T833" s="149" t="s">
        <v>863</v>
      </c>
      <c r="U833" s="241" t="s">
        <v>8500</v>
      </c>
      <c r="V833" s="244" t="s">
        <v>211</v>
      </c>
      <c r="W833" s="244" t="s">
        <v>5104</v>
      </c>
      <c r="X833" s="241" t="s">
        <v>213</v>
      </c>
      <c r="Y833" s="245">
        <v>3000</v>
      </c>
      <c r="Z833" s="246">
        <v>20000</v>
      </c>
      <c r="AA833" s="245">
        <f t="shared" si="195"/>
        <v>50000000</v>
      </c>
      <c r="AB833" s="244"/>
      <c r="AC833" s="247">
        <f t="shared" ref="AC833:AC896" si="210">Z833-M833</f>
        <v>20000</v>
      </c>
      <c r="AD833" s="159">
        <f t="shared" si="196"/>
        <v>0</v>
      </c>
      <c r="AE833" s="248"/>
      <c r="AF833" s="160">
        <f t="shared" si="197"/>
        <v>0</v>
      </c>
      <c r="AG833" s="248"/>
      <c r="AH833" s="161">
        <f t="shared" si="198"/>
        <v>0</v>
      </c>
      <c r="AI833" s="249"/>
      <c r="AJ833" s="249"/>
      <c r="AK833" s="249"/>
      <c r="AL833" s="249"/>
      <c r="AM833" s="249"/>
      <c r="AN833" s="249"/>
      <c r="AO833" s="249"/>
      <c r="AP833" s="249"/>
      <c r="AQ833" s="249"/>
      <c r="AR833" s="162">
        <f t="shared" si="203"/>
        <v>0</v>
      </c>
      <c r="AS833" s="249"/>
      <c r="AT833" s="167">
        <f t="shared" si="204"/>
        <v>0</v>
      </c>
      <c r="AU833" s="249"/>
      <c r="AV833" s="163">
        <f t="shared" si="205"/>
        <v>0</v>
      </c>
      <c r="AW833" s="249"/>
      <c r="AX833" s="168">
        <f t="shared" si="206"/>
        <v>0</v>
      </c>
      <c r="AY833" s="249"/>
      <c r="AZ833" s="170">
        <f t="shared" si="207"/>
        <v>0</v>
      </c>
      <c r="BA833" s="249"/>
      <c r="BB833" s="166">
        <f t="shared" si="208"/>
        <v>0</v>
      </c>
    </row>
    <row r="834" spans="1:54" s="131" customFormat="1" ht="47.25">
      <c r="A834" s="250">
        <v>2</v>
      </c>
      <c r="B834" s="242" t="s">
        <v>8507</v>
      </c>
      <c r="C834" s="242"/>
      <c r="D834" s="242"/>
      <c r="E834" s="244" t="s">
        <v>4775</v>
      </c>
      <c r="F834" s="241" t="s">
        <v>8510</v>
      </c>
      <c r="G834" s="244" t="s">
        <v>8505</v>
      </c>
      <c r="H834" s="244" t="s">
        <v>8508</v>
      </c>
      <c r="I834" s="241" t="s">
        <v>11</v>
      </c>
      <c r="J834" s="244" t="s">
        <v>8509</v>
      </c>
      <c r="K834" s="245">
        <v>850</v>
      </c>
      <c r="L834" s="245"/>
      <c r="M834" s="159">
        <f t="shared" si="194"/>
        <v>5580</v>
      </c>
      <c r="N834" s="159"/>
      <c r="O834" s="159"/>
      <c r="P834" s="159"/>
      <c r="Q834" s="159"/>
      <c r="R834" s="159"/>
      <c r="S834" s="244" t="s">
        <v>8505</v>
      </c>
      <c r="T834" s="244" t="s">
        <v>8506</v>
      </c>
      <c r="U834" s="241" t="s">
        <v>4774</v>
      </c>
      <c r="V834" s="244" t="s">
        <v>211</v>
      </c>
      <c r="W834" s="244" t="s">
        <v>5104</v>
      </c>
      <c r="X834" s="241" t="s">
        <v>213</v>
      </c>
      <c r="Y834" s="245">
        <v>2340</v>
      </c>
      <c r="Z834" s="246">
        <v>50000</v>
      </c>
      <c r="AA834" s="245">
        <f t="shared" si="195"/>
        <v>42500000</v>
      </c>
      <c r="AB834" s="244"/>
      <c r="AC834" s="247">
        <f t="shared" si="210"/>
        <v>44420</v>
      </c>
      <c r="AD834" s="159">
        <f t="shared" si="196"/>
        <v>4743000</v>
      </c>
      <c r="AE834" s="248"/>
      <c r="AF834" s="160">
        <f t="shared" si="197"/>
        <v>0</v>
      </c>
      <c r="AG834" s="248"/>
      <c r="AH834" s="161">
        <f t="shared" si="198"/>
        <v>0</v>
      </c>
      <c r="AI834" s="249"/>
      <c r="AJ834" s="249"/>
      <c r="AK834" s="249"/>
      <c r="AL834" s="249"/>
      <c r="AM834" s="249"/>
      <c r="AN834" s="249"/>
      <c r="AO834" s="249"/>
      <c r="AP834" s="249"/>
      <c r="AQ834" s="249"/>
      <c r="AR834" s="162">
        <f t="shared" si="203"/>
        <v>0</v>
      </c>
      <c r="AS834" s="249">
        <v>5580</v>
      </c>
      <c r="AT834" s="167">
        <f t="shared" si="204"/>
        <v>4743000</v>
      </c>
      <c r="AU834" s="249"/>
      <c r="AV834" s="163">
        <f t="shared" si="205"/>
        <v>0</v>
      </c>
      <c r="AW834" s="249"/>
      <c r="AX834" s="168">
        <f t="shared" si="206"/>
        <v>0</v>
      </c>
      <c r="AY834" s="249"/>
      <c r="AZ834" s="170">
        <f t="shared" si="207"/>
        <v>0</v>
      </c>
      <c r="BA834" s="249"/>
      <c r="BB834" s="166">
        <f t="shared" si="208"/>
        <v>0</v>
      </c>
    </row>
    <row r="835" spans="1:54" s="131" customFormat="1" ht="47.25">
      <c r="A835" s="148">
        <v>3</v>
      </c>
      <c r="B835" s="242" t="s">
        <v>4659</v>
      </c>
      <c r="C835" s="242"/>
      <c r="D835" s="242"/>
      <c r="E835" s="244" t="s">
        <v>4658</v>
      </c>
      <c r="F835" s="241" t="s">
        <v>8513</v>
      </c>
      <c r="G835" s="244" t="s">
        <v>2253</v>
      </c>
      <c r="H835" s="244" t="s">
        <v>4660</v>
      </c>
      <c r="I835" s="241" t="s">
        <v>15</v>
      </c>
      <c r="J835" s="244" t="s">
        <v>8512</v>
      </c>
      <c r="K835" s="245">
        <v>34000</v>
      </c>
      <c r="L835" s="245"/>
      <c r="M835" s="159">
        <f t="shared" si="194"/>
        <v>150</v>
      </c>
      <c r="N835" s="159"/>
      <c r="O835" s="159"/>
      <c r="P835" s="159"/>
      <c r="Q835" s="159"/>
      <c r="R835" s="159"/>
      <c r="S835" s="244" t="s">
        <v>2253</v>
      </c>
      <c r="T835" s="244" t="s">
        <v>8511</v>
      </c>
      <c r="U835" s="241" t="s">
        <v>4657</v>
      </c>
      <c r="V835" s="244" t="s">
        <v>211</v>
      </c>
      <c r="W835" s="244" t="s">
        <v>5104</v>
      </c>
      <c r="X835" s="241" t="s">
        <v>213</v>
      </c>
      <c r="Y835" s="245">
        <v>48263</v>
      </c>
      <c r="Z835" s="246">
        <v>1500</v>
      </c>
      <c r="AA835" s="245">
        <f t="shared" si="195"/>
        <v>51000000</v>
      </c>
      <c r="AB835" s="244"/>
      <c r="AC835" s="247">
        <f t="shared" si="210"/>
        <v>1350</v>
      </c>
      <c r="AD835" s="159">
        <f t="shared" si="196"/>
        <v>5100000</v>
      </c>
      <c r="AE835" s="248"/>
      <c r="AF835" s="160">
        <f t="shared" si="197"/>
        <v>0</v>
      </c>
      <c r="AG835" s="248"/>
      <c r="AH835" s="161">
        <f t="shared" si="198"/>
        <v>0</v>
      </c>
      <c r="AI835" s="249"/>
      <c r="AJ835" s="249"/>
      <c r="AK835" s="249"/>
      <c r="AL835" s="249"/>
      <c r="AM835" s="249"/>
      <c r="AN835" s="249"/>
      <c r="AO835" s="249"/>
      <c r="AP835" s="249"/>
      <c r="AQ835" s="249">
        <v>150</v>
      </c>
      <c r="AR835" s="162">
        <f t="shared" si="203"/>
        <v>5100000</v>
      </c>
      <c r="AS835" s="249"/>
      <c r="AT835" s="167">
        <f t="shared" si="204"/>
        <v>0</v>
      </c>
      <c r="AU835" s="249"/>
      <c r="AV835" s="163">
        <f t="shared" si="205"/>
        <v>0</v>
      </c>
      <c r="AW835" s="249"/>
      <c r="AX835" s="168">
        <f t="shared" si="206"/>
        <v>0</v>
      </c>
      <c r="AY835" s="249"/>
      <c r="AZ835" s="170">
        <f t="shared" si="207"/>
        <v>0</v>
      </c>
      <c r="BA835" s="249"/>
      <c r="BB835" s="166">
        <f t="shared" si="208"/>
        <v>0</v>
      </c>
    </row>
    <row r="836" spans="1:54" s="131" customFormat="1" ht="78.75">
      <c r="A836" s="148">
        <v>4</v>
      </c>
      <c r="B836" s="242" t="s">
        <v>4659</v>
      </c>
      <c r="C836" s="242"/>
      <c r="D836" s="242"/>
      <c r="E836" s="244" t="s">
        <v>8516</v>
      </c>
      <c r="F836" s="241" t="s">
        <v>8518</v>
      </c>
      <c r="G836" s="244" t="s">
        <v>8519</v>
      </c>
      <c r="H836" s="244" t="s">
        <v>8515</v>
      </c>
      <c r="I836" s="241" t="s">
        <v>520</v>
      </c>
      <c r="J836" s="244" t="s">
        <v>8517</v>
      </c>
      <c r="K836" s="245">
        <v>5500</v>
      </c>
      <c r="L836" s="245"/>
      <c r="M836" s="159">
        <f t="shared" ref="M836:M899" si="211">AE836+AG836+AI836+AK836+AM836+AO836+AQ836+AS836+AU836+AW836+AY836+BA836</f>
        <v>0</v>
      </c>
      <c r="N836" s="159"/>
      <c r="O836" s="159"/>
      <c r="P836" s="159"/>
      <c r="Q836" s="159"/>
      <c r="R836" s="159"/>
      <c r="S836" s="149" t="s">
        <v>6259</v>
      </c>
      <c r="T836" s="150" t="s">
        <v>6260</v>
      </c>
      <c r="U836" s="241" t="s">
        <v>8514</v>
      </c>
      <c r="V836" s="244" t="s">
        <v>211</v>
      </c>
      <c r="W836" s="244" t="s">
        <v>5535</v>
      </c>
      <c r="X836" s="241" t="s">
        <v>6694</v>
      </c>
      <c r="Y836" s="245">
        <v>5500</v>
      </c>
      <c r="Z836" s="246">
        <v>10000</v>
      </c>
      <c r="AA836" s="245">
        <f t="shared" ref="AA836:AA899" si="212">Z836*K836</f>
        <v>55000000</v>
      </c>
      <c r="AB836" s="244"/>
      <c r="AC836" s="247">
        <f t="shared" si="210"/>
        <v>10000</v>
      </c>
      <c r="AD836" s="159">
        <f t="shared" ref="AD836:AD899" si="213">M836*K836</f>
        <v>0</v>
      </c>
      <c r="AE836" s="248"/>
      <c r="AF836" s="160">
        <f t="shared" ref="AF836:AF899" si="214">AE836*K836</f>
        <v>0</v>
      </c>
      <c r="AG836" s="248"/>
      <c r="AH836" s="161">
        <f t="shared" ref="AH836:AH899" si="215">AG836*K836</f>
        <v>0</v>
      </c>
      <c r="AI836" s="249"/>
      <c r="AJ836" s="249"/>
      <c r="AK836" s="249"/>
      <c r="AL836" s="249"/>
      <c r="AM836" s="249"/>
      <c r="AN836" s="249"/>
      <c r="AO836" s="249"/>
      <c r="AP836" s="249"/>
      <c r="AQ836" s="249"/>
      <c r="AR836" s="162">
        <f t="shared" ref="AR836:AR899" si="216">AQ836*K836</f>
        <v>0</v>
      </c>
      <c r="AS836" s="249"/>
      <c r="AT836" s="167">
        <f t="shared" ref="AT836:AT899" si="217">AS836*K836</f>
        <v>0</v>
      </c>
      <c r="AU836" s="249"/>
      <c r="AV836" s="163">
        <f t="shared" ref="AV836:AV899" si="218">AU836*K836</f>
        <v>0</v>
      </c>
      <c r="AW836" s="249"/>
      <c r="AX836" s="168">
        <f t="shared" ref="AX836:AX899" si="219">AW836*K836</f>
        <v>0</v>
      </c>
      <c r="AY836" s="249"/>
      <c r="AZ836" s="170">
        <f t="shared" ref="AZ836:AZ899" si="220">AY836*K836</f>
        <v>0</v>
      </c>
      <c r="BA836" s="249"/>
      <c r="BB836" s="166">
        <f t="shared" ref="BB836:BB899" si="221">BA836*K836</f>
        <v>0</v>
      </c>
    </row>
    <row r="837" spans="1:54" s="131" customFormat="1" ht="31.5">
      <c r="A837" s="250">
        <v>5</v>
      </c>
      <c r="B837" s="242" t="s">
        <v>8522</v>
      </c>
      <c r="C837" s="242"/>
      <c r="D837" s="242"/>
      <c r="E837" s="244" t="s">
        <v>4630</v>
      </c>
      <c r="F837" s="241" t="s">
        <v>8524</v>
      </c>
      <c r="G837" s="244" t="s">
        <v>8525</v>
      </c>
      <c r="H837" s="244" t="s">
        <v>272</v>
      </c>
      <c r="I837" s="241" t="s">
        <v>11</v>
      </c>
      <c r="J837" s="244" t="s">
        <v>8523</v>
      </c>
      <c r="K837" s="245">
        <v>3600</v>
      </c>
      <c r="L837" s="245"/>
      <c r="M837" s="159">
        <f t="shared" si="211"/>
        <v>9000</v>
      </c>
      <c r="N837" s="159"/>
      <c r="O837" s="159"/>
      <c r="P837" s="159"/>
      <c r="Q837" s="159"/>
      <c r="R837" s="159"/>
      <c r="S837" s="244" t="s">
        <v>8520</v>
      </c>
      <c r="T837" s="244" t="s">
        <v>8521</v>
      </c>
      <c r="U837" s="241" t="s">
        <v>4629</v>
      </c>
      <c r="V837" s="244" t="s">
        <v>211</v>
      </c>
      <c r="W837" s="244" t="s">
        <v>5104</v>
      </c>
      <c r="X837" s="241" t="s">
        <v>213</v>
      </c>
      <c r="Y837" s="245">
        <v>4000</v>
      </c>
      <c r="Z837" s="246">
        <v>20000</v>
      </c>
      <c r="AA837" s="245">
        <f t="shared" si="212"/>
        <v>72000000</v>
      </c>
      <c r="AB837" s="244"/>
      <c r="AC837" s="247">
        <f t="shared" si="210"/>
        <v>11000</v>
      </c>
      <c r="AD837" s="159">
        <f t="shared" si="213"/>
        <v>32400000</v>
      </c>
      <c r="AE837" s="248"/>
      <c r="AF837" s="160">
        <f t="shared" si="214"/>
        <v>0</v>
      </c>
      <c r="AG837" s="248"/>
      <c r="AH837" s="161">
        <f t="shared" si="215"/>
        <v>0</v>
      </c>
      <c r="AI837" s="249"/>
      <c r="AJ837" s="249"/>
      <c r="AK837" s="249"/>
      <c r="AL837" s="249"/>
      <c r="AM837" s="249"/>
      <c r="AN837" s="249"/>
      <c r="AO837" s="249"/>
      <c r="AP837" s="249"/>
      <c r="AQ837" s="249"/>
      <c r="AR837" s="162">
        <f t="shared" si="216"/>
        <v>0</v>
      </c>
      <c r="AS837" s="249">
        <v>9000</v>
      </c>
      <c r="AT837" s="167">
        <f t="shared" si="217"/>
        <v>32400000</v>
      </c>
      <c r="AU837" s="249"/>
      <c r="AV837" s="163">
        <f t="shared" si="218"/>
        <v>0</v>
      </c>
      <c r="AW837" s="249"/>
      <c r="AX837" s="168">
        <f t="shared" si="219"/>
        <v>0</v>
      </c>
      <c r="AY837" s="249"/>
      <c r="AZ837" s="170">
        <f t="shared" si="220"/>
        <v>0</v>
      </c>
      <c r="BA837" s="249"/>
      <c r="BB837" s="166">
        <f t="shared" si="221"/>
        <v>0</v>
      </c>
    </row>
    <row r="838" spans="1:54" s="131" customFormat="1" ht="47.25">
      <c r="A838" s="148">
        <v>6</v>
      </c>
      <c r="B838" s="242" t="s">
        <v>2323</v>
      </c>
      <c r="C838" s="242"/>
      <c r="D838" s="242"/>
      <c r="E838" s="244" t="s">
        <v>169</v>
      </c>
      <c r="F838" s="241" t="s">
        <v>2324</v>
      </c>
      <c r="G838" s="244" t="s">
        <v>2325</v>
      </c>
      <c r="H838" s="244" t="s">
        <v>171</v>
      </c>
      <c r="I838" s="241" t="s">
        <v>11</v>
      </c>
      <c r="J838" s="244" t="s">
        <v>8526</v>
      </c>
      <c r="K838" s="245">
        <v>3450</v>
      </c>
      <c r="L838" s="245"/>
      <c r="M838" s="159">
        <f t="shared" si="211"/>
        <v>15120</v>
      </c>
      <c r="N838" s="159"/>
      <c r="O838" s="159"/>
      <c r="P838" s="159"/>
      <c r="Q838" s="159"/>
      <c r="R838" s="159"/>
      <c r="S838" s="149" t="s">
        <v>2326</v>
      </c>
      <c r="T838" s="149" t="s">
        <v>6277</v>
      </c>
      <c r="U838" s="241" t="s">
        <v>4738</v>
      </c>
      <c r="V838" s="244" t="s">
        <v>211</v>
      </c>
      <c r="W838" s="244" t="s">
        <v>5104</v>
      </c>
      <c r="X838" s="241" t="s">
        <v>213</v>
      </c>
      <c r="Y838" s="245">
        <v>4000</v>
      </c>
      <c r="Z838" s="246">
        <v>80000</v>
      </c>
      <c r="AA838" s="245">
        <f t="shared" si="212"/>
        <v>276000000</v>
      </c>
      <c r="AB838" s="244"/>
      <c r="AC838" s="247">
        <f t="shared" si="210"/>
        <v>64880</v>
      </c>
      <c r="AD838" s="159">
        <f t="shared" si="213"/>
        <v>52164000</v>
      </c>
      <c r="AE838" s="248"/>
      <c r="AF838" s="160">
        <f t="shared" si="214"/>
        <v>0</v>
      </c>
      <c r="AG838" s="248"/>
      <c r="AH838" s="161">
        <f t="shared" si="215"/>
        <v>0</v>
      </c>
      <c r="AI838" s="249"/>
      <c r="AJ838" s="249"/>
      <c r="AK838" s="249"/>
      <c r="AL838" s="249"/>
      <c r="AM838" s="249"/>
      <c r="AN838" s="249"/>
      <c r="AO838" s="249"/>
      <c r="AP838" s="249"/>
      <c r="AQ838" s="249">
        <v>15120</v>
      </c>
      <c r="AR838" s="162">
        <f t="shared" si="216"/>
        <v>52164000</v>
      </c>
      <c r="AS838" s="249"/>
      <c r="AT838" s="167">
        <f t="shared" si="217"/>
        <v>0</v>
      </c>
      <c r="AU838" s="249"/>
      <c r="AV838" s="163">
        <f t="shared" si="218"/>
        <v>0</v>
      </c>
      <c r="AW838" s="249"/>
      <c r="AX838" s="168">
        <f t="shared" si="219"/>
        <v>0</v>
      </c>
      <c r="AY838" s="249"/>
      <c r="AZ838" s="170">
        <f t="shared" si="220"/>
        <v>0</v>
      </c>
      <c r="BA838" s="249"/>
      <c r="BB838" s="166">
        <f t="shared" si="221"/>
        <v>0</v>
      </c>
    </row>
    <row r="839" spans="1:54" s="131" customFormat="1" ht="47.25">
      <c r="A839" s="148">
        <v>7</v>
      </c>
      <c r="B839" s="242" t="s">
        <v>8530</v>
      </c>
      <c r="C839" s="242"/>
      <c r="D839" s="242"/>
      <c r="E839" s="244" t="s">
        <v>8532</v>
      </c>
      <c r="F839" s="241" t="s">
        <v>8534</v>
      </c>
      <c r="G839" s="244" t="s">
        <v>8535</v>
      </c>
      <c r="H839" s="244" t="s">
        <v>8531</v>
      </c>
      <c r="I839" s="241" t="s">
        <v>13</v>
      </c>
      <c r="J839" s="244" t="s">
        <v>8533</v>
      </c>
      <c r="K839" s="245">
        <v>1800</v>
      </c>
      <c r="L839" s="245"/>
      <c r="M839" s="159">
        <f t="shared" si="211"/>
        <v>0</v>
      </c>
      <c r="N839" s="159"/>
      <c r="O839" s="159"/>
      <c r="P839" s="159"/>
      <c r="Q839" s="159"/>
      <c r="R839" s="159"/>
      <c r="S839" s="150" t="s">
        <v>8527</v>
      </c>
      <c r="T839" s="150" t="s">
        <v>8528</v>
      </c>
      <c r="U839" s="241" t="s">
        <v>8529</v>
      </c>
      <c r="V839" s="244" t="s">
        <v>211</v>
      </c>
      <c r="W839" s="244" t="s">
        <v>5784</v>
      </c>
      <c r="X839" s="241" t="s">
        <v>8536</v>
      </c>
      <c r="Y839" s="245">
        <v>2200</v>
      </c>
      <c r="Z839" s="246">
        <v>20000</v>
      </c>
      <c r="AA839" s="245">
        <f t="shared" si="212"/>
        <v>36000000</v>
      </c>
      <c r="AB839" s="244"/>
      <c r="AC839" s="247">
        <f t="shared" si="210"/>
        <v>20000</v>
      </c>
      <c r="AD839" s="159">
        <f t="shared" si="213"/>
        <v>0</v>
      </c>
      <c r="AE839" s="248"/>
      <c r="AF839" s="160">
        <f t="shared" si="214"/>
        <v>0</v>
      </c>
      <c r="AG839" s="248"/>
      <c r="AH839" s="161">
        <f t="shared" si="215"/>
        <v>0</v>
      </c>
      <c r="AI839" s="249"/>
      <c r="AJ839" s="249"/>
      <c r="AK839" s="249"/>
      <c r="AL839" s="249"/>
      <c r="AM839" s="249"/>
      <c r="AN839" s="249"/>
      <c r="AO839" s="249"/>
      <c r="AP839" s="249"/>
      <c r="AQ839" s="249"/>
      <c r="AR839" s="162">
        <f t="shared" si="216"/>
        <v>0</v>
      </c>
      <c r="AS839" s="249"/>
      <c r="AT839" s="167">
        <f t="shared" si="217"/>
        <v>0</v>
      </c>
      <c r="AU839" s="249"/>
      <c r="AV839" s="163">
        <f t="shared" si="218"/>
        <v>0</v>
      </c>
      <c r="AW839" s="249"/>
      <c r="AX839" s="168">
        <f t="shared" si="219"/>
        <v>0</v>
      </c>
      <c r="AY839" s="249"/>
      <c r="AZ839" s="170">
        <f t="shared" si="220"/>
        <v>0</v>
      </c>
      <c r="BA839" s="249"/>
      <c r="BB839" s="166">
        <f t="shared" si="221"/>
        <v>0</v>
      </c>
    </row>
    <row r="840" spans="1:54" s="131" customFormat="1" ht="63">
      <c r="A840" s="250">
        <v>8</v>
      </c>
      <c r="B840" s="242" t="s">
        <v>8537</v>
      </c>
      <c r="C840" s="242"/>
      <c r="D840" s="242"/>
      <c r="E840" s="244" t="s">
        <v>4688</v>
      </c>
      <c r="F840" s="241" t="s">
        <v>8540</v>
      </c>
      <c r="G840" s="244" t="s">
        <v>8541</v>
      </c>
      <c r="H840" s="244" t="s">
        <v>8538</v>
      </c>
      <c r="I840" s="241" t="s">
        <v>11</v>
      </c>
      <c r="J840" s="244" t="s">
        <v>8539</v>
      </c>
      <c r="K840" s="245">
        <v>315</v>
      </c>
      <c r="L840" s="245"/>
      <c r="M840" s="159">
        <f t="shared" si="211"/>
        <v>12000</v>
      </c>
      <c r="N840" s="159"/>
      <c r="O840" s="159"/>
      <c r="P840" s="159"/>
      <c r="Q840" s="159"/>
      <c r="R840" s="159"/>
      <c r="S840" s="149" t="s">
        <v>7157</v>
      </c>
      <c r="T840" s="149" t="s">
        <v>7158</v>
      </c>
      <c r="U840" s="241" t="s">
        <v>4687</v>
      </c>
      <c r="V840" s="244" t="s">
        <v>211</v>
      </c>
      <c r="W840" s="244" t="s">
        <v>6592</v>
      </c>
      <c r="X840" s="241" t="s">
        <v>8542</v>
      </c>
      <c r="Y840" s="245">
        <v>525</v>
      </c>
      <c r="Z840" s="246">
        <v>100000</v>
      </c>
      <c r="AA840" s="245">
        <f t="shared" si="212"/>
        <v>31500000</v>
      </c>
      <c r="AB840" s="244"/>
      <c r="AC840" s="247">
        <f t="shared" si="210"/>
        <v>88000</v>
      </c>
      <c r="AD840" s="159">
        <f t="shared" si="213"/>
        <v>3780000</v>
      </c>
      <c r="AE840" s="248"/>
      <c r="AF840" s="160">
        <f t="shared" si="214"/>
        <v>0</v>
      </c>
      <c r="AG840" s="248"/>
      <c r="AH840" s="161">
        <f t="shared" si="215"/>
        <v>0</v>
      </c>
      <c r="AI840" s="249"/>
      <c r="AJ840" s="249"/>
      <c r="AK840" s="249"/>
      <c r="AL840" s="249"/>
      <c r="AM840" s="249"/>
      <c r="AN840" s="249"/>
      <c r="AO840" s="249"/>
      <c r="AP840" s="249"/>
      <c r="AQ840" s="249"/>
      <c r="AR840" s="162">
        <f t="shared" si="216"/>
        <v>0</v>
      </c>
      <c r="AS840" s="249">
        <v>12000</v>
      </c>
      <c r="AT840" s="167">
        <f t="shared" si="217"/>
        <v>3780000</v>
      </c>
      <c r="AU840" s="249"/>
      <c r="AV840" s="163">
        <f t="shared" si="218"/>
        <v>0</v>
      </c>
      <c r="AW840" s="249"/>
      <c r="AX840" s="168">
        <f t="shared" si="219"/>
        <v>0</v>
      </c>
      <c r="AY840" s="249"/>
      <c r="AZ840" s="170">
        <f t="shared" si="220"/>
        <v>0</v>
      </c>
      <c r="BA840" s="249"/>
      <c r="BB840" s="166">
        <f t="shared" si="221"/>
        <v>0</v>
      </c>
    </row>
    <row r="841" spans="1:54" s="131" customFormat="1" ht="31.5">
      <c r="A841" s="148">
        <v>9</v>
      </c>
      <c r="B841" s="242" t="s">
        <v>8543</v>
      </c>
      <c r="C841" s="242"/>
      <c r="D841" s="242"/>
      <c r="E841" s="244" t="s">
        <v>8545</v>
      </c>
      <c r="F841" s="241" t="s">
        <v>8547</v>
      </c>
      <c r="G841" s="244" t="s">
        <v>2253</v>
      </c>
      <c r="H841" s="244" t="s">
        <v>8544</v>
      </c>
      <c r="I841" s="241" t="s">
        <v>11</v>
      </c>
      <c r="J841" s="244" t="s">
        <v>8546</v>
      </c>
      <c r="K841" s="245">
        <v>580</v>
      </c>
      <c r="L841" s="245"/>
      <c r="M841" s="159">
        <f t="shared" si="211"/>
        <v>56000</v>
      </c>
      <c r="N841" s="159"/>
      <c r="O841" s="159"/>
      <c r="P841" s="159"/>
      <c r="Q841" s="159"/>
      <c r="R841" s="159"/>
      <c r="S841" s="244" t="s">
        <v>2253</v>
      </c>
      <c r="T841" s="244" t="s">
        <v>8511</v>
      </c>
      <c r="U841" s="241" t="s">
        <v>4684</v>
      </c>
      <c r="V841" s="244" t="s">
        <v>211</v>
      </c>
      <c r="W841" s="244" t="s">
        <v>5104</v>
      </c>
      <c r="X841" s="241" t="s">
        <v>213</v>
      </c>
      <c r="Y841" s="245">
        <v>1202</v>
      </c>
      <c r="Z841" s="246">
        <v>100000</v>
      </c>
      <c r="AA841" s="245">
        <f t="shared" si="212"/>
        <v>58000000</v>
      </c>
      <c r="AB841" s="244"/>
      <c r="AC841" s="247">
        <f t="shared" si="210"/>
        <v>44000</v>
      </c>
      <c r="AD841" s="159">
        <f t="shared" si="213"/>
        <v>32480000</v>
      </c>
      <c r="AE841" s="248"/>
      <c r="AF841" s="160">
        <f t="shared" si="214"/>
        <v>0</v>
      </c>
      <c r="AG841" s="248"/>
      <c r="AH841" s="161">
        <f t="shared" si="215"/>
        <v>0</v>
      </c>
      <c r="AI841" s="249"/>
      <c r="AJ841" s="249"/>
      <c r="AK841" s="249"/>
      <c r="AL841" s="249"/>
      <c r="AM841" s="249"/>
      <c r="AN841" s="249"/>
      <c r="AO841" s="249"/>
      <c r="AP841" s="249"/>
      <c r="AQ841" s="249">
        <v>56000</v>
      </c>
      <c r="AR841" s="162">
        <f t="shared" si="216"/>
        <v>32480000</v>
      </c>
      <c r="AS841" s="249"/>
      <c r="AT841" s="167">
        <f t="shared" si="217"/>
        <v>0</v>
      </c>
      <c r="AU841" s="249"/>
      <c r="AV841" s="163">
        <f t="shared" si="218"/>
        <v>0</v>
      </c>
      <c r="AW841" s="249"/>
      <c r="AX841" s="168">
        <f t="shared" si="219"/>
        <v>0</v>
      </c>
      <c r="AY841" s="249"/>
      <c r="AZ841" s="170">
        <f t="shared" si="220"/>
        <v>0</v>
      </c>
      <c r="BA841" s="249"/>
      <c r="BB841" s="166">
        <f t="shared" si="221"/>
        <v>0</v>
      </c>
    </row>
    <row r="842" spans="1:54" s="131" customFormat="1" ht="63">
      <c r="A842" s="148">
        <v>10</v>
      </c>
      <c r="B842" s="242" t="s">
        <v>8549</v>
      </c>
      <c r="C842" s="242"/>
      <c r="D842" s="242"/>
      <c r="E842" s="244" t="s">
        <v>8551</v>
      </c>
      <c r="F842" s="241" t="s">
        <v>8553</v>
      </c>
      <c r="G842" s="244" t="s">
        <v>2168</v>
      </c>
      <c r="H842" s="244" t="s">
        <v>8550</v>
      </c>
      <c r="I842" s="241" t="s">
        <v>11</v>
      </c>
      <c r="J842" s="244" t="s">
        <v>8552</v>
      </c>
      <c r="K842" s="245">
        <v>720</v>
      </c>
      <c r="L842" s="245"/>
      <c r="M842" s="159">
        <f t="shared" si="211"/>
        <v>0</v>
      </c>
      <c r="N842" s="159"/>
      <c r="O842" s="159"/>
      <c r="P842" s="159"/>
      <c r="Q842" s="159"/>
      <c r="R842" s="159"/>
      <c r="S842" s="150" t="s">
        <v>5293</v>
      </c>
      <c r="T842" s="150" t="s">
        <v>5294</v>
      </c>
      <c r="U842" s="241" t="s">
        <v>8548</v>
      </c>
      <c r="V842" s="244" t="s">
        <v>211</v>
      </c>
      <c r="W842" s="244" t="s">
        <v>5104</v>
      </c>
      <c r="X842" s="241" t="s">
        <v>213</v>
      </c>
      <c r="Y842" s="245">
        <v>1050</v>
      </c>
      <c r="Z842" s="246">
        <v>50000</v>
      </c>
      <c r="AA842" s="245">
        <f t="shared" si="212"/>
        <v>36000000</v>
      </c>
      <c r="AB842" s="244"/>
      <c r="AC842" s="247">
        <f t="shared" si="210"/>
        <v>50000</v>
      </c>
      <c r="AD842" s="159">
        <f t="shared" si="213"/>
        <v>0</v>
      </c>
      <c r="AE842" s="248"/>
      <c r="AF842" s="160">
        <f t="shared" si="214"/>
        <v>0</v>
      </c>
      <c r="AG842" s="248"/>
      <c r="AH842" s="161">
        <f t="shared" si="215"/>
        <v>0</v>
      </c>
      <c r="AI842" s="249"/>
      <c r="AJ842" s="249"/>
      <c r="AK842" s="249"/>
      <c r="AL842" s="249"/>
      <c r="AM842" s="249"/>
      <c r="AN842" s="249"/>
      <c r="AO842" s="249"/>
      <c r="AP842" s="249"/>
      <c r="AQ842" s="249"/>
      <c r="AR842" s="162">
        <f t="shared" si="216"/>
        <v>0</v>
      </c>
      <c r="AS842" s="249"/>
      <c r="AT842" s="167">
        <f t="shared" si="217"/>
        <v>0</v>
      </c>
      <c r="AU842" s="249"/>
      <c r="AV842" s="163">
        <f t="shared" si="218"/>
        <v>0</v>
      </c>
      <c r="AW842" s="249"/>
      <c r="AX842" s="168">
        <f t="shared" si="219"/>
        <v>0</v>
      </c>
      <c r="AY842" s="249"/>
      <c r="AZ842" s="170">
        <f t="shared" si="220"/>
        <v>0</v>
      </c>
      <c r="BA842" s="249"/>
      <c r="BB842" s="166">
        <f t="shared" si="221"/>
        <v>0</v>
      </c>
    </row>
    <row r="843" spans="1:54" s="131" customFormat="1" ht="47.25">
      <c r="A843" s="250">
        <v>11</v>
      </c>
      <c r="B843" s="242" t="s">
        <v>8555</v>
      </c>
      <c r="C843" s="242"/>
      <c r="D843" s="242"/>
      <c r="E843" s="244" t="s">
        <v>8557</v>
      </c>
      <c r="F843" s="241" t="s">
        <v>8558</v>
      </c>
      <c r="G843" s="244" t="s">
        <v>8559</v>
      </c>
      <c r="H843" s="244" t="s">
        <v>8556</v>
      </c>
      <c r="I843" s="241" t="s">
        <v>11</v>
      </c>
      <c r="J843" s="244" t="s">
        <v>8523</v>
      </c>
      <c r="K843" s="245">
        <v>6000</v>
      </c>
      <c r="L843" s="245"/>
      <c r="M843" s="159">
        <f t="shared" si="211"/>
        <v>0</v>
      </c>
      <c r="N843" s="159"/>
      <c r="O843" s="159"/>
      <c r="P843" s="159"/>
      <c r="Q843" s="159"/>
      <c r="R843" s="159"/>
      <c r="S843" s="150" t="s">
        <v>5298</v>
      </c>
      <c r="T843" s="150" t="s">
        <v>5299</v>
      </c>
      <c r="U843" s="241" t="s">
        <v>8554</v>
      </c>
      <c r="V843" s="244" t="s">
        <v>211</v>
      </c>
      <c r="W843" s="244" t="s">
        <v>253</v>
      </c>
      <c r="X843" s="241" t="s">
        <v>213</v>
      </c>
      <c r="Y843" s="245">
        <v>8000</v>
      </c>
      <c r="Z843" s="246">
        <v>40000</v>
      </c>
      <c r="AA843" s="245">
        <f t="shared" si="212"/>
        <v>240000000</v>
      </c>
      <c r="AB843" s="244"/>
      <c r="AC843" s="247">
        <f t="shared" si="210"/>
        <v>40000</v>
      </c>
      <c r="AD843" s="159">
        <f t="shared" si="213"/>
        <v>0</v>
      </c>
      <c r="AE843" s="248"/>
      <c r="AF843" s="160">
        <f t="shared" si="214"/>
        <v>0</v>
      </c>
      <c r="AG843" s="248"/>
      <c r="AH843" s="161">
        <f t="shared" si="215"/>
        <v>0</v>
      </c>
      <c r="AI843" s="249"/>
      <c r="AJ843" s="249"/>
      <c r="AK843" s="249"/>
      <c r="AL843" s="249"/>
      <c r="AM843" s="249"/>
      <c r="AN843" s="249"/>
      <c r="AO843" s="249"/>
      <c r="AP843" s="249"/>
      <c r="AQ843" s="249"/>
      <c r="AR843" s="162">
        <f t="shared" si="216"/>
        <v>0</v>
      </c>
      <c r="AS843" s="249"/>
      <c r="AT843" s="167">
        <f t="shared" si="217"/>
        <v>0</v>
      </c>
      <c r="AU843" s="249"/>
      <c r="AV843" s="163">
        <f t="shared" si="218"/>
        <v>0</v>
      </c>
      <c r="AW843" s="249"/>
      <c r="AX843" s="168">
        <f t="shared" si="219"/>
        <v>0</v>
      </c>
      <c r="AY843" s="249"/>
      <c r="AZ843" s="170">
        <f t="shared" si="220"/>
        <v>0</v>
      </c>
      <c r="BA843" s="249"/>
      <c r="BB843" s="166">
        <f t="shared" si="221"/>
        <v>0</v>
      </c>
    </row>
    <row r="844" spans="1:54" s="131" customFormat="1" ht="31.5">
      <c r="A844" s="148">
        <v>12</v>
      </c>
      <c r="B844" s="242" t="s">
        <v>31</v>
      </c>
      <c r="C844" s="242"/>
      <c r="D844" s="242"/>
      <c r="E844" s="244" t="s">
        <v>30</v>
      </c>
      <c r="F844" s="241" t="s">
        <v>8562</v>
      </c>
      <c r="G844" s="244" t="s">
        <v>8563</v>
      </c>
      <c r="H844" s="244" t="s">
        <v>8560</v>
      </c>
      <c r="I844" s="241" t="s">
        <v>11</v>
      </c>
      <c r="J844" s="244" t="s">
        <v>8561</v>
      </c>
      <c r="K844" s="245">
        <v>1600</v>
      </c>
      <c r="L844" s="245"/>
      <c r="M844" s="159">
        <f t="shared" si="211"/>
        <v>10500</v>
      </c>
      <c r="N844" s="159"/>
      <c r="O844" s="159"/>
      <c r="P844" s="159"/>
      <c r="Q844" s="159"/>
      <c r="R844" s="159"/>
      <c r="S844" s="150" t="s">
        <v>5306</v>
      </c>
      <c r="T844" s="150" t="s">
        <v>5307</v>
      </c>
      <c r="U844" s="241" t="s">
        <v>4612</v>
      </c>
      <c r="V844" s="244" t="s">
        <v>211</v>
      </c>
      <c r="W844" s="244" t="s">
        <v>5104</v>
      </c>
      <c r="X844" s="241" t="s">
        <v>213</v>
      </c>
      <c r="Y844" s="245">
        <v>1600</v>
      </c>
      <c r="Z844" s="246">
        <v>80000</v>
      </c>
      <c r="AA844" s="245">
        <f t="shared" si="212"/>
        <v>128000000</v>
      </c>
      <c r="AB844" s="244"/>
      <c r="AC844" s="247">
        <f t="shared" si="210"/>
        <v>69500</v>
      </c>
      <c r="AD844" s="159">
        <f t="shared" si="213"/>
        <v>16800000</v>
      </c>
      <c r="AE844" s="248"/>
      <c r="AF844" s="160">
        <f t="shared" si="214"/>
        <v>0</v>
      </c>
      <c r="AG844" s="248"/>
      <c r="AH844" s="161">
        <f t="shared" si="215"/>
        <v>0</v>
      </c>
      <c r="AI844" s="249"/>
      <c r="AJ844" s="249"/>
      <c r="AK844" s="249"/>
      <c r="AL844" s="249"/>
      <c r="AM844" s="249"/>
      <c r="AN844" s="249"/>
      <c r="AO844" s="249"/>
      <c r="AP844" s="249"/>
      <c r="AQ844" s="249">
        <v>10500</v>
      </c>
      <c r="AR844" s="162">
        <f t="shared" si="216"/>
        <v>16800000</v>
      </c>
      <c r="AS844" s="249"/>
      <c r="AT844" s="167">
        <f t="shared" si="217"/>
        <v>0</v>
      </c>
      <c r="AU844" s="249"/>
      <c r="AV844" s="163">
        <f t="shared" si="218"/>
        <v>0</v>
      </c>
      <c r="AW844" s="249"/>
      <c r="AX844" s="168">
        <f t="shared" si="219"/>
        <v>0</v>
      </c>
      <c r="AY844" s="249"/>
      <c r="AZ844" s="170">
        <f t="shared" si="220"/>
        <v>0</v>
      </c>
      <c r="BA844" s="249"/>
      <c r="BB844" s="166">
        <f t="shared" si="221"/>
        <v>0</v>
      </c>
    </row>
    <row r="845" spans="1:54" s="131" customFormat="1" ht="78.75">
      <c r="A845" s="148">
        <v>13</v>
      </c>
      <c r="B845" s="242" t="s">
        <v>8565</v>
      </c>
      <c r="C845" s="242"/>
      <c r="D845" s="242"/>
      <c r="E845" s="244" t="s">
        <v>8567</v>
      </c>
      <c r="F845" s="241" t="s">
        <v>8569</v>
      </c>
      <c r="G845" s="244" t="s">
        <v>8570</v>
      </c>
      <c r="H845" s="244" t="s">
        <v>8566</v>
      </c>
      <c r="I845" s="241" t="s">
        <v>15</v>
      </c>
      <c r="J845" s="244" t="s">
        <v>8568</v>
      </c>
      <c r="K845" s="245">
        <v>26500</v>
      </c>
      <c r="L845" s="245"/>
      <c r="M845" s="159">
        <f t="shared" si="211"/>
        <v>0</v>
      </c>
      <c r="N845" s="159"/>
      <c r="O845" s="159"/>
      <c r="P845" s="159"/>
      <c r="Q845" s="159"/>
      <c r="R845" s="159"/>
      <c r="S845" s="150" t="s">
        <v>5306</v>
      </c>
      <c r="T845" s="150" t="s">
        <v>5307</v>
      </c>
      <c r="U845" s="241" t="s">
        <v>8564</v>
      </c>
      <c r="V845" s="244" t="s">
        <v>211</v>
      </c>
      <c r="W845" s="244" t="s">
        <v>253</v>
      </c>
      <c r="X845" s="241" t="s">
        <v>213</v>
      </c>
      <c r="Y845" s="245">
        <v>26580</v>
      </c>
      <c r="Z845" s="246">
        <v>1000</v>
      </c>
      <c r="AA845" s="245">
        <f t="shared" si="212"/>
        <v>26500000</v>
      </c>
      <c r="AB845" s="244"/>
      <c r="AC845" s="247">
        <f t="shared" si="210"/>
        <v>1000</v>
      </c>
      <c r="AD845" s="159">
        <f t="shared" si="213"/>
        <v>0</v>
      </c>
      <c r="AE845" s="248"/>
      <c r="AF845" s="160">
        <f t="shared" si="214"/>
        <v>0</v>
      </c>
      <c r="AG845" s="248"/>
      <c r="AH845" s="161">
        <f t="shared" si="215"/>
        <v>0</v>
      </c>
      <c r="AI845" s="249"/>
      <c r="AJ845" s="249"/>
      <c r="AK845" s="249"/>
      <c r="AL845" s="249"/>
      <c r="AM845" s="249"/>
      <c r="AN845" s="249"/>
      <c r="AO845" s="249"/>
      <c r="AP845" s="249"/>
      <c r="AQ845" s="249"/>
      <c r="AR845" s="162">
        <f t="shared" si="216"/>
        <v>0</v>
      </c>
      <c r="AS845" s="249"/>
      <c r="AT845" s="167">
        <f t="shared" si="217"/>
        <v>0</v>
      </c>
      <c r="AU845" s="249"/>
      <c r="AV845" s="163">
        <f t="shared" si="218"/>
        <v>0</v>
      </c>
      <c r="AW845" s="249"/>
      <c r="AX845" s="168">
        <f t="shared" si="219"/>
        <v>0</v>
      </c>
      <c r="AY845" s="249"/>
      <c r="AZ845" s="170">
        <f t="shared" si="220"/>
        <v>0</v>
      </c>
      <c r="BA845" s="249"/>
      <c r="BB845" s="166">
        <f t="shared" si="221"/>
        <v>0</v>
      </c>
    </row>
    <row r="846" spans="1:54" s="131" customFormat="1" ht="135.75">
      <c r="A846" s="250">
        <v>14</v>
      </c>
      <c r="B846" s="242" t="s">
        <v>4655</v>
      </c>
      <c r="C846" s="242"/>
      <c r="D846" s="242"/>
      <c r="E846" s="244" t="s">
        <v>85</v>
      </c>
      <c r="F846" s="241" t="s">
        <v>8572</v>
      </c>
      <c r="G846" s="244" t="s">
        <v>2182</v>
      </c>
      <c r="H846" s="243" t="s">
        <v>8571</v>
      </c>
      <c r="I846" s="241" t="s">
        <v>11</v>
      </c>
      <c r="J846" s="244" t="s">
        <v>6644</v>
      </c>
      <c r="K846" s="245">
        <v>1260</v>
      </c>
      <c r="L846" s="245"/>
      <c r="M846" s="159">
        <f t="shared" si="211"/>
        <v>9300</v>
      </c>
      <c r="N846" s="159"/>
      <c r="O846" s="159"/>
      <c r="P846" s="159"/>
      <c r="Q846" s="159"/>
      <c r="R846" s="159"/>
      <c r="S846" s="150" t="s">
        <v>7727</v>
      </c>
      <c r="T846" s="149" t="s">
        <v>863</v>
      </c>
      <c r="U846" s="241" t="s">
        <v>4654</v>
      </c>
      <c r="V846" s="244" t="s">
        <v>211</v>
      </c>
      <c r="W846" s="244" t="s">
        <v>5104</v>
      </c>
      <c r="X846" s="241" t="s">
        <v>213</v>
      </c>
      <c r="Y846" s="245">
        <v>1365</v>
      </c>
      <c r="Z846" s="246">
        <v>70000</v>
      </c>
      <c r="AA846" s="245">
        <f t="shared" si="212"/>
        <v>88200000</v>
      </c>
      <c r="AB846" s="244"/>
      <c r="AC846" s="247">
        <f t="shared" si="210"/>
        <v>60700</v>
      </c>
      <c r="AD846" s="159">
        <f t="shared" si="213"/>
        <v>11718000</v>
      </c>
      <c r="AE846" s="248"/>
      <c r="AF846" s="160">
        <f t="shared" si="214"/>
        <v>0</v>
      </c>
      <c r="AG846" s="248"/>
      <c r="AH846" s="161">
        <f t="shared" si="215"/>
        <v>0</v>
      </c>
      <c r="AI846" s="249"/>
      <c r="AJ846" s="249"/>
      <c r="AK846" s="249"/>
      <c r="AL846" s="249"/>
      <c r="AM846" s="249"/>
      <c r="AN846" s="249"/>
      <c r="AO846" s="249"/>
      <c r="AP846" s="249"/>
      <c r="AQ846" s="249">
        <v>9300</v>
      </c>
      <c r="AR846" s="162">
        <f t="shared" si="216"/>
        <v>11718000</v>
      </c>
      <c r="AS846" s="249"/>
      <c r="AT846" s="167">
        <f t="shared" si="217"/>
        <v>0</v>
      </c>
      <c r="AU846" s="249"/>
      <c r="AV846" s="163">
        <f t="shared" si="218"/>
        <v>0</v>
      </c>
      <c r="AW846" s="249"/>
      <c r="AX846" s="168">
        <f t="shared" si="219"/>
        <v>0</v>
      </c>
      <c r="AY846" s="249"/>
      <c r="AZ846" s="170">
        <f t="shared" si="220"/>
        <v>0</v>
      </c>
      <c r="BA846" s="249"/>
      <c r="BB846" s="166">
        <f t="shared" si="221"/>
        <v>0</v>
      </c>
    </row>
    <row r="847" spans="1:54" ht="78.75">
      <c r="A847" s="148">
        <v>15</v>
      </c>
      <c r="B847" s="242" t="s">
        <v>8576</v>
      </c>
      <c r="C847" s="242"/>
      <c r="D847" s="242"/>
      <c r="E847" s="244" t="s">
        <v>8578</v>
      </c>
      <c r="F847" s="241" t="s">
        <v>8580</v>
      </c>
      <c r="G847" s="244" t="s">
        <v>8581</v>
      </c>
      <c r="H847" s="244" t="s">
        <v>8577</v>
      </c>
      <c r="I847" s="241" t="s">
        <v>11</v>
      </c>
      <c r="J847" s="244" t="s">
        <v>8579</v>
      </c>
      <c r="K847" s="245">
        <v>2750</v>
      </c>
      <c r="L847" s="245"/>
      <c r="M847" s="159">
        <f t="shared" si="211"/>
        <v>0</v>
      </c>
      <c r="N847" s="159"/>
      <c r="O847" s="159"/>
      <c r="P847" s="159"/>
      <c r="Q847" s="159"/>
      <c r="R847" s="159"/>
      <c r="S847" s="244" t="s">
        <v>8573</v>
      </c>
      <c r="T847" s="244" t="s">
        <v>8574</v>
      </c>
      <c r="U847" s="241" t="s">
        <v>8575</v>
      </c>
      <c r="V847" s="244" t="s">
        <v>211</v>
      </c>
      <c r="W847" s="244" t="s">
        <v>5104</v>
      </c>
      <c r="X847" s="241" t="s">
        <v>6628</v>
      </c>
      <c r="Y847" s="245">
        <v>3100</v>
      </c>
      <c r="Z847" s="246">
        <v>50000</v>
      </c>
      <c r="AA847" s="245">
        <f t="shared" si="212"/>
        <v>137500000</v>
      </c>
      <c r="AB847" s="244"/>
      <c r="AC847" s="247">
        <f t="shared" si="210"/>
        <v>50000</v>
      </c>
      <c r="AD847" s="159">
        <f t="shared" si="213"/>
        <v>0</v>
      </c>
      <c r="AE847" s="248"/>
      <c r="AF847" s="160">
        <f t="shared" si="214"/>
        <v>0</v>
      </c>
      <c r="AG847" s="248"/>
      <c r="AH847" s="161">
        <f t="shared" si="215"/>
        <v>0</v>
      </c>
      <c r="AI847" s="249"/>
      <c r="AJ847" s="249"/>
      <c r="AK847" s="249"/>
      <c r="AL847" s="249"/>
      <c r="AM847" s="249"/>
      <c r="AN847" s="249"/>
      <c r="AO847" s="249"/>
      <c r="AP847" s="249"/>
      <c r="AQ847" s="249"/>
      <c r="AR847" s="162">
        <f t="shared" si="216"/>
        <v>0</v>
      </c>
      <c r="AS847" s="249"/>
      <c r="AT847" s="167">
        <f t="shared" si="217"/>
        <v>0</v>
      </c>
      <c r="AU847" s="249"/>
      <c r="AV847" s="163">
        <f t="shared" si="218"/>
        <v>0</v>
      </c>
      <c r="AW847" s="249"/>
      <c r="AX847" s="168">
        <f t="shared" si="219"/>
        <v>0</v>
      </c>
      <c r="AY847" s="249"/>
      <c r="AZ847" s="170">
        <f t="shared" si="220"/>
        <v>0</v>
      </c>
      <c r="BA847" s="249"/>
      <c r="BB847" s="166">
        <f t="shared" si="221"/>
        <v>0</v>
      </c>
    </row>
    <row r="848" spans="1:54" ht="78.75">
      <c r="A848" s="148">
        <v>16</v>
      </c>
      <c r="B848" s="242" t="s">
        <v>8584</v>
      </c>
      <c r="C848" s="242"/>
      <c r="D848" s="242"/>
      <c r="E848" s="244" t="s">
        <v>8586</v>
      </c>
      <c r="F848" s="241" t="s">
        <v>8588</v>
      </c>
      <c r="G848" s="244" t="s">
        <v>8589</v>
      </c>
      <c r="H848" s="244" t="s">
        <v>8585</v>
      </c>
      <c r="I848" s="241" t="s">
        <v>11</v>
      </c>
      <c r="J848" s="244" t="s">
        <v>8587</v>
      </c>
      <c r="K848" s="245">
        <v>1600</v>
      </c>
      <c r="L848" s="245"/>
      <c r="M848" s="159">
        <f t="shared" si="211"/>
        <v>10600</v>
      </c>
      <c r="N848" s="159"/>
      <c r="O848" s="159"/>
      <c r="P848" s="159"/>
      <c r="Q848" s="159"/>
      <c r="R848" s="159"/>
      <c r="S848" s="150" t="s">
        <v>8582</v>
      </c>
      <c r="T848" s="150" t="s">
        <v>8583</v>
      </c>
      <c r="U848" s="241" t="s">
        <v>4592</v>
      </c>
      <c r="V848" s="244" t="s">
        <v>211</v>
      </c>
      <c r="W848" s="244" t="s">
        <v>5104</v>
      </c>
      <c r="X848" s="241" t="s">
        <v>213</v>
      </c>
      <c r="Y848" s="245">
        <v>1600</v>
      </c>
      <c r="Z848" s="246">
        <v>50000</v>
      </c>
      <c r="AA848" s="245">
        <f t="shared" si="212"/>
        <v>80000000</v>
      </c>
      <c r="AB848" s="244"/>
      <c r="AC848" s="247">
        <f t="shared" si="210"/>
        <v>39400</v>
      </c>
      <c r="AD848" s="159">
        <f t="shared" si="213"/>
        <v>16960000</v>
      </c>
      <c r="AE848" s="248"/>
      <c r="AF848" s="160">
        <f t="shared" si="214"/>
        <v>0</v>
      </c>
      <c r="AG848" s="248"/>
      <c r="AH848" s="161">
        <f t="shared" si="215"/>
        <v>0</v>
      </c>
      <c r="AI848" s="249"/>
      <c r="AJ848" s="249"/>
      <c r="AK848" s="249"/>
      <c r="AL848" s="249"/>
      <c r="AM848" s="249"/>
      <c r="AN848" s="249"/>
      <c r="AO848" s="249"/>
      <c r="AP848" s="249"/>
      <c r="AQ848" s="249">
        <v>10600</v>
      </c>
      <c r="AR848" s="162">
        <f t="shared" si="216"/>
        <v>16960000</v>
      </c>
      <c r="AS848" s="249"/>
      <c r="AT848" s="167">
        <f t="shared" si="217"/>
        <v>0</v>
      </c>
      <c r="AU848" s="249"/>
      <c r="AV848" s="163">
        <f t="shared" si="218"/>
        <v>0</v>
      </c>
      <c r="AW848" s="249"/>
      <c r="AX848" s="168">
        <f t="shared" si="219"/>
        <v>0</v>
      </c>
      <c r="AY848" s="249"/>
      <c r="AZ848" s="170">
        <f t="shared" si="220"/>
        <v>0</v>
      </c>
      <c r="BA848" s="249"/>
      <c r="BB848" s="166">
        <f t="shared" si="221"/>
        <v>0</v>
      </c>
    </row>
    <row r="849" spans="1:54" ht="63">
      <c r="A849" s="250">
        <v>17</v>
      </c>
      <c r="B849" s="242" t="s">
        <v>8591</v>
      </c>
      <c r="C849" s="242"/>
      <c r="D849" s="242"/>
      <c r="E849" s="244" t="s">
        <v>8593</v>
      </c>
      <c r="F849" s="241" t="s">
        <v>8594</v>
      </c>
      <c r="G849" s="244" t="s">
        <v>8595</v>
      </c>
      <c r="H849" s="244" t="s">
        <v>8592</v>
      </c>
      <c r="I849" s="241" t="s">
        <v>11</v>
      </c>
      <c r="J849" s="244" t="s">
        <v>6644</v>
      </c>
      <c r="K849" s="245">
        <v>3500</v>
      </c>
      <c r="L849" s="245"/>
      <c r="M849" s="159">
        <f t="shared" si="211"/>
        <v>0</v>
      </c>
      <c r="N849" s="159"/>
      <c r="O849" s="159"/>
      <c r="P849" s="159"/>
      <c r="Q849" s="159"/>
      <c r="R849" s="159"/>
      <c r="S849" s="149" t="s">
        <v>2385</v>
      </c>
      <c r="T849" s="150" t="s">
        <v>2380</v>
      </c>
      <c r="U849" s="241" t="s">
        <v>8590</v>
      </c>
      <c r="V849" s="244" t="s">
        <v>211</v>
      </c>
      <c r="W849" s="244" t="s">
        <v>5104</v>
      </c>
      <c r="X849" s="241" t="s">
        <v>213</v>
      </c>
      <c r="Y849" s="245">
        <v>4000</v>
      </c>
      <c r="Z849" s="246">
        <v>20000</v>
      </c>
      <c r="AA849" s="245">
        <f t="shared" si="212"/>
        <v>70000000</v>
      </c>
      <c r="AB849" s="244"/>
      <c r="AC849" s="247">
        <f t="shared" si="210"/>
        <v>20000</v>
      </c>
      <c r="AD849" s="159">
        <f t="shared" si="213"/>
        <v>0</v>
      </c>
      <c r="AE849" s="248"/>
      <c r="AF849" s="160">
        <f t="shared" si="214"/>
        <v>0</v>
      </c>
      <c r="AG849" s="248"/>
      <c r="AH849" s="161">
        <f t="shared" si="215"/>
        <v>0</v>
      </c>
      <c r="AI849" s="249"/>
      <c r="AJ849" s="249"/>
      <c r="AK849" s="249"/>
      <c r="AL849" s="249"/>
      <c r="AM849" s="249"/>
      <c r="AN849" s="249"/>
      <c r="AO849" s="249"/>
      <c r="AP849" s="249"/>
      <c r="AQ849" s="249"/>
      <c r="AR849" s="162">
        <f t="shared" si="216"/>
        <v>0</v>
      </c>
      <c r="AS849" s="249"/>
      <c r="AT849" s="167">
        <f t="shared" si="217"/>
        <v>0</v>
      </c>
      <c r="AU849" s="249"/>
      <c r="AV849" s="163">
        <f t="shared" si="218"/>
        <v>0</v>
      </c>
      <c r="AW849" s="249"/>
      <c r="AX849" s="168">
        <f t="shared" si="219"/>
        <v>0</v>
      </c>
      <c r="AY849" s="249"/>
      <c r="AZ849" s="170">
        <f t="shared" si="220"/>
        <v>0</v>
      </c>
      <c r="BA849" s="249"/>
      <c r="BB849" s="166">
        <f t="shared" si="221"/>
        <v>0</v>
      </c>
    </row>
    <row r="850" spans="1:54" s="115" customFormat="1" ht="47.25">
      <c r="A850" s="148">
        <v>18</v>
      </c>
      <c r="B850" s="242" t="s">
        <v>124</v>
      </c>
      <c r="C850" s="242"/>
      <c r="D850" s="242"/>
      <c r="E850" s="244" t="s">
        <v>4681</v>
      </c>
      <c r="F850" s="241" t="s">
        <v>2354</v>
      </c>
      <c r="G850" s="244" t="s">
        <v>8598</v>
      </c>
      <c r="H850" s="244" t="s">
        <v>8596</v>
      </c>
      <c r="I850" s="241" t="s">
        <v>15</v>
      </c>
      <c r="J850" s="244" t="s">
        <v>8597</v>
      </c>
      <c r="K850" s="245">
        <v>33075</v>
      </c>
      <c r="L850" s="245"/>
      <c r="M850" s="159">
        <f t="shared" si="211"/>
        <v>1420</v>
      </c>
      <c r="N850" s="159"/>
      <c r="O850" s="159"/>
      <c r="P850" s="159"/>
      <c r="Q850" s="159"/>
      <c r="R850" s="159"/>
      <c r="S850" s="149" t="s">
        <v>2337</v>
      </c>
      <c r="T850" s="149" t="s">
        <v>7815</v>
      </c>
      <c r="U850" s="241" t="s">
        <v>4680</v>
      </c>
      <c r="V850" s="244" t="s">
        <v>211</v>
      </c>
      <c r="W850" s="244" t="s">
        <v>5104</v>
      </c>
      <c r="X850" s="241" t="s">
        <v>213</v>
      </c>
      <c r="Y850" s="245">
        <v>38627</v>
      </c>
      <c r="Z850" s="246">
        <v>7000</v>
      </c>
      <c r="AA850" s="245">
        <f t="shared" si="212"/>
        <v>231525000</v>
      </c>
      <c r="AB850" s="244"/>
      <c r="AC850" s="247">
        <f t="shared" si="210"/>
        <v>5580</v>
      </c>
      <c r="AD850" s="159">
        <f t="shared" si="213"/>
        <v>46966500</v>
      </c>
      <c r="AE850" s="248"/>
      <c r="AF850" s="160">
        <f t="shared" si="214"/>
        <v>0</v>
      </c>
      <c r="AG850" s="248"/>
      <c r="AH850" s="161">
        <f t="shared" si="215"/>
        <v>0</v>
      </c>
      <c r="AI850" s="249"/>
      <c r="AJ850" s="249"/>
      <c r="AK850" s="249"/>
      <c r="AL850" s="249"/>
      <c r="AM850" s="249"/>
      <c r="AN850" s="249"/>
      <c r="AO850" s="249"/>
      <c r="AP850" s="249"/>
      <c r="AQ850" s="249">
        <v>1420</v>
      </c>
      <c r="AR850" s="162">
        <f t="shared" si="216"/>
        <v>46966500</v>
      </c>
      <c r="AS850" s="249"/>
      <c r="AT850" s="167">
        <f t="shared" si="217"/>
        <v>0</v>
      </c>
      <c r="AU850" s="249"/>
      <c r="AV850" s="163">
        <f t="shared" si="218"/>
        <v>0</v>
      </c>
      <c r="AW850" s="249"/>
      <c r="AX850" s="168">
        <f t="shared" si="219"/>
        <v>0</v>
      </c>
      <c r="AY850" s="249"/>
      <c r="AZ850" s="170">
        <f t="shared" si="220"/>
        <v>0</v>
      </c>
      <c r="BA850" s="249"/>
      <c r="BB850" s="166">
        <f t="shared" si="221"/>
        <v>0</v>
      </c>
    </row>
    <row r="851" spans="1:54" ht="47.25">
      <c r="A851" s="148">
        <v>19</v>
      </c>
      <c r="B851" s="242" t="s">
        <v>4711</v>
      </c>
      <c r="C851" s="242"/>
      <c r="D851" s="242"/>
      <c r="E851" s="244" t="s">
        <v>4710</v>
      </c>
      <c r="F851" s="241" t="s">
        <v>8602</v>
      </c>
      <c r="G851" s="244" t="s">
        <v>8603</v>
      </c>
      <c r="H851" s="244" t="s">
        <v>8600</v>
      </c>
      <c r="I851" s="241" t="s">
        <v>658</v>
      </c>
      <c r="J851" s="244" t="s">
        <v>8601</v>
      </c>
      <c r="K851" s="245">
        <v>25850</v>
      </c>
      <c r="L851" s="245"/>
      <c r="M851" s="159">
        <f t="shared" si="211"/>
        <v>300</v>
      </c>
      <c r="N851" s="159"/>
      <c r="O851" s="159"/>
      <c r="P851" s="159"/>
      <c r="Q851" s="159"/>
      <c r="R851" s="159"/>
      <c r="S851" s="149" t="s">
        <v>8599</v>
      </c>
      <c r="T851" s="149" t="s">
        <v>7563</v>
      </c>
      <c r="U851" s="241" t="s">
        <v>4709</v>
      </c>
      <c r="V851" s="244" t="s">
        <v>211</v>
      </c>
      <c r="W851" s="244" t="s">
        <v>5104</v>
      </c>
      <c r="X851" s="241" t="s">
        <v>213</v>
      </c>
      <c r="Y851" s="245">
        <v>62000</v>
      </c>
      <c r="Z851" s="246">
        <v>2000</v>
      </c>
      <c r="AA851" s="245">
        <f t="shared" si="212"/>
        <v>51700000</v>
      </c>
      <c r="AB851" s="244"/>
      <c r="AC851" s="247">
        <f t="shared" si="210"/>
        <v>1700</v>
      </c>
      <c r="AD851" s="159">
        <f t="shared" si="213"/>
        <v>7755000</v>
      </c>
      <c r="AE851" s="248"/>
      <c r="AF851" s="160">
        <f t="shared" si="214"/>
        <v>0</v>
      </c>
      <c r="AG851" s="248"/>
      <c r="AH851" s="161">
        <f t="shared" si="215"/>
        <v>0</v>
      </c>
      <c r="AI851" s="249"/>
      <c r="AJ851" s="249"/>
      <c r="AK851" s="249"/>
      <c r="AL851" s="249"/>
      <c r="AM851" s="249"/>
      <c r="AN851" s="249"/>
      <c r="AO851" s="249"/>
      <c r="AP851" s="249"/>
      <c r="AQ851" s="249">
        <v>300</v>
      </c>
      <c r="AR851" s="162">
        <f t="shared" si="216"/>
        <v>7755000</v>
      </c>
      <c r="AS851" s="249"/>
      <c r="AT851" s="167">
        <f t="shared" si="217"/>
        <v>0</v>
      </c>
      <c r="AU851" s="249"/>
      <c r="AV851" s="163">
        <f t="shared" si="218"/>
        <v>0</v>
      </c>
      <c r="AW851" s="249"/>
      <c r="AX851" s="168">
        <f t="shared" si="219"/>
        <v>0</v>
      </c>
      <c r="AY851" s="249"/>
      <c r="AZ851" s="170">
        <f t="shared" si="220"/>
        <v>0</v>
      </c>
      <c r="BA851" s="249"/>
      <c r="BB851" s="166">
        <f t="shared" si="221"/>
        <v>0</v>
      </c>
    </row>
    <row r="852" spans="1:54" ht="63">
      <c r="A852" s="250">
        <v>20</v>
      </c>
      <c r="B852" s="242" t="s">
        <v>8605</v>
      </c>
      <c r="C852" s="242"/>
      <c r="D852" s="242"/>
      <c r="E852" s="244" t="s">
        <v>187</v>
      </c>
      <c r="F852" s="241" t="s">
        <v>8608</v>
      </c>
      <c r="G852" s="244" t="s">
        <v>8598</v>
      </c>
      <c r="H852" s="244" t="s">
        <v>8606</v>
      </c>
      <c r="I852" s="241" t="s">
        <v>15</v>
      </c>
      <c r="J852" s="244" t="s">
        <v>8607</v>
      </c>
      <c r="K852" s="245">
        <v>23100</v>
      </c>
      <c r="L852" s="245"/>
      <c r="M852" s="159">
        <f t="shared" si="211"/>
        <v>0</v>
      </c>
      <c r="N852" s="159"/>
      <c r="O852" s="159"/>
      <c r="P852" s="159"/>
      <c r="Q852" s="159"/>
      <c r="R852" s="159"/>
      <c r="S852" s="149" t="s">
        <v>2337</v>
      </c>
      <c r="T852" s="149" t="s">
        <v>7815</v>
      </c>
      <c r="U852" s="241" t="s">
        <v>8604</v>
      </c>
      <c r="V852" s="244" t="s">
        <v>211</v>
      </c>
      <c r="W852" s="244" t="s">
        <v>5104</v>
      </c>
      <c r="X852" s="241" t="s">
        <v>213</v>
      </c>
      <c r="Y852" s="245">
        <v>29696</v>
      </c>
      <c r="Z852" s="246">
        <v>6000</v>
      </c>
      <c r="AA852" s="245">
        <f t="shared" si="212"/>
        <v>138600000</v>
      </c>
      <c r="AB852" s="244"/>
      <c r="AC852" s="247">
        <f t="shared" si="210"/>
        <v>6000</v>
      </c>
      <c r="AD852" s="159">
        <f t="shared" si="213"/>
        <v>0</v>
      </c>
      <c r="AE852" s="248"/>
      <c r="AF852" s="160">
        <f t="shared" si="214"/>
        <v>0</v>
      </c>
      <c r="AG852" s="248"/>
      <c r="AH852" s="161">
        <f t="shared" si="215"/>
        <v>0</v>
      </c>
      <c r="AI852" s="249"/>
      <c r="AJ852" s="249"/>
      <c r="AK852" s="249"/>
      <c r="AL852" s="249"/>
      <c r="AM852" s="249"/>
      <c r="AN852" s="249"/>
      <c r="AO852" s="249"/>
      <c r="AP852" s="249"/>
      <c r="AQ852" s="249"/>
      <c r="AR852" s="162">
        <f t="shared" si="216"/>
        <v>0</v>
      </c>
      <c r="AS852" s="249"/>
      <c r="AT852" s="167">
        <f t="shared" si="217"/>
        <v>0</v>
      </c>
      <c r="AU852" s="249"/>
      <c r="AV852" s="163">
        <f t="shared" si="218"/>
        <v>0</v>
      </c>
      <c r="AW852" s="249"/>
      <c r="AX852" s="168">
        <f t="shared" si="219"/>
        <v>0</v>
      </c>
      <c r="AY852" s="249"/>
      <c r="AZ852" s="170">
        <f t="shared" si="220"/>
        <v>0</v>
      </c>
      <c r="BA852" s="249"/>
      <c r="BB852" s="166">
        <f t="shared" si="221"/>
        <v>0</v>
      </c>
    </row>
    <row r="853" spans="1:54" ht="63">
      <c r="A853" s="148">
        <v>21</v>
      </c>
      <c r="B853" s="242" t="s">
        <v>4758</v>
      </c>
      <c r="C853" s="242"/>
      <c r="D853" s="242"/>
      <c r="E853" s="244" t="s">
        <v>4757</v>
      </c>
      <c r="F853" s="241" t="s">
        <v>8610</v>
      </c>
      <c r="G853" s="244" t="s">
        <v>8598</v>
      </c>
      <c r="H853" s="244" t="s">
        <v>8609</v>
      </c>
      <c r="I853" s="241" t="s">
        <v>15</v>
      </c>
      <c r="J853" s="244" t="s">
        <v>8607</v>
      </c>
      <c r="K853" s="245">
        <v>23100</v>
      </c>
      <c r="L853" s="245"/>
      <c r="M853" s="159">
        <f t="shared" si="211"/>
        <v>960</v>
      </c>
      <c r="N853" s="159"/>
      <c r="O853" s="159"/>
      <c r="P853" s="159"/>
      <c r="Q853" s="159"/>
      <c r="R853" s="159"/>
      <c r="S853" s="149" t="s">
        <v>2337</v>
      </c>
      <c r="T853" s="149" t="s">
        <v>7815</v>
      </c>
      <c r="U853" s="241" t="s">
        <v>4756</v>
      </c>
      <c r="V853" s="244" t="s">
        <v>211</v>
      </c>
      <c r="W853" s="244" t="s">
        <v>5104</v>
      </c>
      <c r="X853" s="241" t="s">
        <v>213</v>
      </c>
      <c r="Y853" s="245">
        <v>27720</v>
      </c>
      <c r="Z853" s="246">
        <v>6000</v>
      </c>
      <c r="AA853" s="245">
        <f t="shared" si="212"/>
        <v>138600000</v>
      </c>
      <c r="AB853" s="244"/>
      <c r="AC853" s="247">
        <f t="shared" si="210"/>
        <v>5040</v>
      </c>
      <c r="AD853" s="159">
        <f t="shared" si="213"/>
        <v>22176000</v>
      </c>
      <c r="AE853" s="248"/>
      <c r="AF853" s="160">
        <f t="shared" si="214"/>
        <v>0</v>
      </c>
      <c r="AG853" s="248"/>
      <c r="AH853" s="161">
        <f t="shared" si="215"/>
        <v>0</v>
      </c>
      <c r="AI853" s="249"/>
      <c r="AJ853" s="249"/>
      <c r="AK853" s="249"/>
      <c r="AL853" s="249"/>
      <c r="AM853" s="249"/>
      <c r="AN853" s="249"/>
      <c r="AO853" s="249"/>
      <c r="AP853" s="249"/>
      <c r="AQ853" s="249">
        <v>960</v>
      </c>
      <c r="AR853" s="162">
        <f t="shared" si="216"/>
        <v>22176000</v>
      </c>
      <c r="AS853" s="249"/>
      <c r="AT853" s="167">
        <f t="shared" si="217"/>
        <v>0</v>
      </c>
      <c r="AU853" s="249"/>
      <c r="AV853" s="163">
        <f t="shared" si="218"/>
        <v>0</v>
      </c>
      <c r="AW853" s="249"/>
      <c r="AX853" s="168">
        <f t="shared" si="219"/>
        <v>0</v>
      </c>
      <c r="AY853" s="249"/>
      <c r="AZ853" s="170">
        <f t="shared" si="220"/>
        <v>0</v>
      </c>
      <c r="BA853" s="249"/>
      <c r="BB853" s="166">
        <f t="shared" si="221"/>
        <v>0</v>
      </c>
    </row>
    <row r="854" spans="1:54" ht="63">
      <c r="A854" s="148">
        <v>22</v>
      </c>
      <c r="B854" s="242" t="s">
        <v>8611</v>
      </c>
      <c r="C854" s="242"/>
      <c r="D854" s="242"/>
      <c r="E854" s="244" t="s">
        <v>175</v>
      </c>
      <c r="F854" s="241" t="s">
        <v>8614</v>
      </c>
      <c r="G854" s="244" t="s">
        <v>8598</v>
      </c>
      <c r="H854" s="244" t="s">
        <v>8612</v>
      </c>
      <c r="I854" s="241" t="s">
        <v>13</v>
      </c>
      <c r="J854" s="244" t="s">
        <v>8613</v>
      </c>
      <c r="K854" s="245">
        <v>2750</v>
      </c>
      <c r="L854" s="245"/>
      <c r="M854" s="159">
        <f t="shared" si="211"/>
        <v>960</v>
      </c>
      <c r="N854" s="159"/>
      <c r="O854" s="159"/>
      <c r="P854" s="159"/>
      <c r="Q854" s="159"/>
      <c r="R854" s="159"/>
      <c r="S854" s="149" t="s">
        <v>2337</v>
      </c>
      <c r="T854" s="149" t="s">
        <v>7815</v>
      </c>
      <c r="U854" s="241" t="s">
        <v>4744</v>
      </c>
      <c r="V854" s="244" t="s">
        <v>211</v>
      </c>
      <c r="W854" s="244" t="s">
        <v>5104</v>
      </c>
      <c r="X854" s="241" t="s">
        <v>213</v>
      </c>
      <c r="Y854" s="245">
        <v>4200</v>
      </c>
      <c r="Z854" s="246">
        <v>5000</v>
      </c>
      <c r="AA854" s="245">
        <f t="shared" si="212"/>
        <v>13750000</v>
      </c>
      <c r="AB854" s="244"/>
      <c r="AC854" s="247">
        <f t="shared" si="210"/>
        <v>4040</v>
      </c>
      <c r="AD854" s="159">
        <f t="shared" si="213"/>
        <v>2640000</v>
      </c>
      <c r="AE854" s="248"/>
      <c r="AF854" s="160">
        <f t="shared" si="214"/>
        <v>0</v>
      </c>
      <c r="AG854" s="248"/>
      <c r="AH854" s="161">
        <f t="shared" si="215"/>
        <v>0</v>
      </c>
      <c r="AI854" s="249"/>
      <c r="AJ854" s="249"/>
      <c r="AK854" s="249"/>
      <c r="AL854" s="249"/>
      <c r="AM854" s="249"/>
      <c r="AN854" s="249"/>
      <c r="AO854" s="249"/>
      <c r="AP854" s="249"/>
      <c r="AQ854" s="249">
        <v>960</v>
      </c>
      <c r="AR854" s="162">
        <f t="shared" si="216"/>
        <v>2640000</v>
      </c>
      <c r="AS854" s="249"/>
      <c r="AT854" s="167">
        <f t="shared" si="217"/>
        <v>0</v>
      </c>
      <c r="AU854" s="249"/>
      <c r="AV854" s="163">
        <f t="shared" si="218"/>
        <v>0</v>
      </c>
      <c r="AW854" s="249"/>
      <c r="AX854" s="168">
        <f t="shared" si="219"/>
        <v>0</v>
      </c>
      <c r="AY854" s="249"/>
      <c r="AZ854" s="170">
        <f t="shared" si="220"/>
        <v>0</v>
      </c>
      <c r="BA854" s="249"/>
      <c r="BB854" s="166">
        <f t="shared" si="221"/>
        <v>0</v>
      </c>
    </row>
    <row r="855" spans="1:54" ht="31.5">
      <c r="A855" s="250">
        <v>23</v>
      </c>
      <c r="B855" s="242" t="s">
        <v>94</v>
      </c>
      <c r="C855" s="242"/>
      <c r="D855" s="242"/>
      <c r="E855" s="244" t="s">
        <v>93</v>
      </c>
      <c r="F855" s="241" t="s">
        <v>2293</v>
      </c>
      <c r="G855" s="244" t="s">
        <v>2253</v>
      </c>
      <c r="H855" s="244" t="s">
        <v>2291</v>
      </c>
      <c r="I855" s="241" t="s">
        <v>11</v>
      </c>
      <c r="J855" s="244" t="s">
        <v>8615</v>
      </c>
      <c r="K855" s="245">
        <v>4200</v>
      </c>
      <c r="L855" s="245"/>
      <c r="M855" s="159">
        <f t="shared" si="211"/>
        <v>6000</v>
      </c>
      <c r="N855" s="159"/>
      <c r="O855" s="159"/>
      <c r="P855" s="159"/>
      <c r="Q855" s="159"/>
      <c r="R855" s="159"/>
      <c r="S855" s="244" t="s">
        <v>2253</v>
      </c>
      <c r="T855" s="244" t="s">
        <v>8511</v>
      </c>
      <c r="U855" s="241" t="s">
        <v>4664</v>
      </c>
      <c r="V855" s="244" t="s">
        <v>211</v>
      </c>
      <c r="W855" s="244" t="s">
        <v>5104</v>
      </c>
      <c r="X855" s="241" t="s">
        <v>213</v>
      </c>
      <c r="Y855" s="245">
        <v>6110</v>
      </c>
      <c r="Z855" s="246">
        <v>30000</v>
      </c>
      <c r="AA855" s="245">
        <f t="shared" si="212"/>
        <v>126000000</v>
      </c>
      <c r="AB855" s="244"/>
      <c r="AC855" s="247">
        <f t="shared" si="210"/>
        <v>24000</v>
      </c>
      <c r="AD855" s="159">
        <f t="shared" si="213"/>
        <v>25200000</v>
      </c>
      <c r="AE855" s="248"/>
      <c r="AF855" s="160">
        <f t="shared" si="214"/>
        <v>0</v>
      </c>
      <c r="AG855" s="248"/>
      <c r="AH855" s="161">
        <f t="shared" si="215"/>
        <v>0</v>
      </c>
      <c r="AI855" s="249"/>
      <c r="AJ855" s="249"/>
      <c r="AK855" s="249"/>
      <c r="AL855" s="249"/>
      <c r="AM855" s="249"/>
      <c r="AN855" s="249"/>
      <c r="AO855" s="249"/>
      <c r="AP855" s="249"/>
      <c r="AQ855" s="249">
        <v>6000</v>
      </c>
      <c r="AR855" s="162">
        <f t="shared" si="216"/>
        <v>25200000</v>
      </c>
      <c r="AS855" s="249"/>
      <c r="AT855" s="167">
        <f t="shared" si="217"/>
        <v>0</v>
      </c>
      <c r="AU855" s="249"/>
      <c r="AV855" s="163">
        <f t="shared" si="218"/>
        <v>0</v>
      </c>
      <c r="AW855" s="249"/>
      <c r="AX855" s="168">
        <f t="shared" si="219"/>
        <v>0</v>
      </c>
      <c r="AY855" s="249"/>
      <c r="AZ855" s="170">
        <f t="shared" si="220"/>
        <v>0</v>
      </c>
      <c r="BA855" s="249"/>
      <c r="BB855" s="166">
        <f t="shared" si="221"/>
        <v>0</v>
      </c>
    </row>
    <row r="856" spans="1:54" ht="31.5">
      <c r="A856" s="148">
        <v>24</v>
      </c>
      <c r="B856" s="242" t="s">
        <v>2294</v>
      </c>
      <c r="C856" s="242"/>
      <c r="D856" s="242"/>
      <c r="E856" s="244" t="s">
        <v>145</v>
      </c>
      <c r="F856" s="241" t="s">
        <v>2295</v>
      </c>
      <c r="G856" s="244" t="s">
        <v>2253</v>
      </c>
      <c r="H856" s="244" t="s">
        <v>147</v>
      </c>
      <c r="I856" s="241" t="s">
        <v>11</v>
      </c>
      <c r="J856" s="244" t="s">
        <v>8616</v>
      </c>
      <c r="K856" s="245">
        <v>1200</v>
      </c>
      <c r="L856" s="245"/>
      <c r="M856" s="159">
        <f t="shared" si="211"/>
        <v>9600</v>
      </c>
      <c r="N856" s="159"/>
      <c r="O856" s="159"/>
      <c r="P856" s="159"/>
      <c r="Q856" s="159"/>
      <c r="R856" s="159"/>
      <c r="S856" s="244" t="s">
        <v>2253</v>
      </c>
      <c r="T856" s="244" t="s">
        <v>8511</v>
      </c>
      <c r="U856" s="241" t="s">
        <v>4707</v>
      </c>
      <c r="V856" s="244" t="s">
        <v>211</v>
      </c>
      <c r="W856" s="244" t="s">
        <v>5104</v>
      </c>
      <c r="X856" s="241" t="s">
        <v>213</v>
      </c>
      <c r="Y856" s="245">
        <v>1800</v>
      </c>
      <c r="Z856" s="246">
        <v>20000</v>
      </c>
      <c r="AA856" s="245">
        <f t="shared" si="212"/>
        <v>24000000</v>
      </c>
      <c r="AB856" s="244"/>
      <c r="AC856" s="247">
        <f t="shared" si="210"/>
        <v>10400</v>
      </c>
      <c r="AD856" s="159">
        <f t="shared" si="213"/>
        <v>11520000</v>
      </c>
      <c r="AE856" s="248"/>
      <c r="AF856" s="160">
        <f t="shared" si="214"/>
        <v>0</v>
      </c>
      <c r="AG856" s="248"/>
      <c r="AH856" s="161">
        <f t="shared" si="215"/>
        <v>0</v>
      </c>
      <c r="AI856" s="249"/>
      <c r="AJ856" s="249"/>
      <c r="AK856" s="249"/>
      <c r="AL856" s="249"/>
      <c r="AM856" s="249"/>
      <c r="AN856" s="249"/>
      <c r="AO856" s="249"/>
      <c r="AP856" s="249"/>
      <c r="AQ856" s="249">
        <v>9600</v>
      </c>
      <c r="AR856" s="162">
        <f t="shared" si="216"/>
        <v>11520000</v>
      </c>
      <c r="AS856" s="249"/>
      <c r="AT856" s="167">
        <f t="shared" si="217"/>
        <v>0</v>
      </c>
      <c r="AU856" s="249"/>
      <c r="AV856" s="163">
        <f t="shared" si="218"/>
        <v>0</v>
      </c>
      <c r="AW856" s="249"/>
      <c r="AX856" s="168">
        <f t="shared" si="219"/>
        <v>0</v>
      </c>
      <c r="AY856" s="249"/>
      <c r="AZ856" s="170">
        <f t="shared" si="220"/>
        <v>0</v>
      </c>
      <c r="BA856" s="249"/>
      <c r="BB856" s="166">
        <f t="shared" si="221"/>
        <v>0</v>
      </c>
    </row>
    <row r="857" spans="1:54" ht="63">
      <c r="A857" s="148">
        <v>25</v>
      </c>
      <c r="B857" s="242" t="s">
        <v>8618</v>
      </c>
      <c r="C857" s="242"/>
      <c r="D857" s="242"/>
      <c r="E857" s="244" t="s">
        <v>8620</v>
      </c>
      <c r="F857" s="241" t="s">
        <v>8622</v>
      </c>
      <c r="G857" s="244" t="s">
        <v>8623</v>
      </c>
      <c r="H857" s="244" t="s">
        <v>8619</v>
      </c>
      <c r="I857" s="241" t="s">
        <v>11</v>
      </c>
      <c r="J857" s="244" t="s">
        <v>8621</v>
      </c>
      <c r="K857" s="245">
        <v>1790</v>
      </c>
      <c r="L857" s="245"/>
      <c r="M857" s="159">
        <f t="shared" si="211"/>
        <v>0</v>
      </c>
      <c r="N857" s="159"/>
      <c r="O857" s="159"/>
      <c r="P857" s="159"/>
      <c r="Q857" s="159"/>
      <c r="R857" s="159"/>
      <c r="S857" s="244" t="s">
        <v>8573</v>
      </c>
      <c r="T857" s="244" t="s">
        <v>8574</v>
      </c>
      <c r="U857" s="241" t="s">
        <v>8617</v>
      </c>
      <c r="V857" s="244" t="s">
        <v>211</v>
      </c>
      <c r="W857" s="244" t="s">
        <v>5104</v>
      </c>
      <c r="X857" s="241" t="s">
        <v>6628</v>
      </c>
      <c r="Y857" s="245">
        <v>1800</v>
      </c>
      <c r="Z857" s="246">
        <v>20000</v>
      </c>
      <c r="AA857" s="245">
        <f t="shared" si="212"/>
        <v>35800000</v>
      </c>
      <c r="AB857" s="244"/>
      <c r="AC857" s="247">
        <f t="shared" si="210"/>
        <v>20000</v>
      </c>
      <c r="AD857" s="159">
        <f t="shared" si="213"/>
        <v>0</v>
      </c>
      <c r="AE857" s="248"/>
      <c r="AF857" s="160">
        <f t="shared" si="214"/>
        <v>0</v>
      </c>
      <c r="AG857" s="248"/>
      <c r="AH857" s="161">
        <f t="shared" si="215"/>
        <v>0</v>
      </c>
      <c r="AI857" s="249"/>
      <c r="AJ857" s="249"/>
      <c r="AK857" s="249"/>
      <c r="AL857" s="249"/>
      <c r="AM857" s="249"/>
      <c r="AN857" s="249"/>
      <c r="AO857" s="249"/>
      <c r="AP857" s="249"/>
      <c r="AQ857" s="249"/>
      <c r="AR857" s="162">
        <f t="shared" si="216"/>
        <v>0</v>
      </c>
      <c r="AS857" s="249"/>
      <c r="AT857" s="167">
        <f t="shared" si="217"/>
        <v>0</v>
      </c>
      <c r="AU857" s="249"/>
      <c r="AV857" s="163">
        <f t="shared" si="218"/>
        <v>0</v>
      </c>
      <c r="AW857" s="249"/>
      <c r="AX857" s="168">
        <f t="shared" si="219"/>
        <v>0</v>
      </c>
      <c r="AY857" s="249"/>
      <c r="AZ857" s="170">
        <f t="shared" si="220"/>
        <v>0</v>
      </c>
      <c r="BA857" s="249"/>
      <c r="BB857" s="166">
        <f t="shared" si="221"/>
        <v>0</v>
      </c>
    </row>
    <row r="858" spans="1:54" ht="94.5">
      <c r="A858" s="250">
        <v>26</v>
      </c>
      <c r="B858" s="242" t="s">
        <v>2300</v>
      </c>
      <c r="C858" s="242"/>
      <c r="D858" s="242"/>
      <c r="E858" s="244" t="s">
        <v>166</v>
      </c>
      <c r="F858" s="241" t="s">
        <v>8624</v>
      </c>
      <c r="G858" s="244" t="s">
        <v>2253</v>
      </c>
      <c r="H858" s="244" t="s">
        <v>168</v>
      </c>
      <c r="I858" s="241" t="s">
        <v>11</v>
      </c>
      <c r="J858" s="244" t="s">
        <v>8616</v>
      </c>
      <c r="K858" s="245">
        <v>1200</v>
      </c>
      <c r="L858" s="245"/>
      <c r="M858" s="159">
        <f t="shared" si="211"/>
        <v>9600</v>
      </c>
      <c r="N858" s="159"/>
      <c r="O858" s="159"/>
      <c r="P858" s="159"/>
      <c r="Q858" s="159"/>
      <c r="R858" s="159"/>
      <c r="S858" s="244" t="s">
        <v>2253</v>
      </c>
      <c r="T858" s="244" t="s">
        <v>8511</v>
      </c>
      <c r="U858" s="241" t="s">
        <v>4736</v>
      </c>
      <c r="V858" s="244" t="s">
        <v>211</v>
      </c>
      <c r="W858" s="244" t="s">
        <v>5104</v>
      </c>
      <c r="X858" s="241" t="s">
        <v>213</v>
      </c>
      <c r="Y858" s="245">
        <v>1819</v>
      </c>
      <c r="Z858" s="246">
        <v>20000</v>
      </c>
      <c r="AA858" s="245">
        <f t="shared" si="212"/>
        <v>24000000</v>
      </c>
      <c r="AB858" s="244"/>
      <c r="AC858" s="247">
        <f t="shared" si="210"/>
        <v>10400</v>
      </c>
      <c r="AD858" s="159">
        <f t="shared" si="213"/>
        <v>11520000</v>
      </c>
      <c r="AE858" s="248"/>
      <c r="AF858" s="160">
        <f t="shared" si="214"/>
        <v>0</v>
      </c>
      <c r="AG858" s="248"/>
      <c r="AH858" s="161">
        <f t="shared" si="215"/>
        <v>0</v>
      </c>
      <c r="AI858" s="249"/>
      <c r="AJ858" s="249"/>
      <c r="AK858" s="249"/>
      <c r="AL858" s="249"/>
      <c r="AM858" s="249"/>
      <c r="AN858" s="249"/>
      <c r="AO858" s="249"/>
      <c r="AP858" s="249"/>
      <c r="AQ858" s="249">
        <v>9600</v>
      </c>
      <c r="AR858" s="162">
        <f t="shared" si="216"/>
        <v>11520000</v>
      </c>
      <c r="AS858" s="249"/>
      <c r="AT858" s="167">
        <f t="shared" si="217"/>
        <v>0</v>
      </c>
      <c r="AU858" s="249"/>
      <c r="AV858" s="163">
        <f t="shared" si="218"/>
        <v>0</v>
      </c>
      <c r="AW858" s="249"/>
      <c r="AX858" s="168">
        <f t="shared" si="219"/>
        <v>0</v>
      </c>
      <c r="AY858" s="249"/>
      <c r="AZ858" s="170">
        <f t="shared" si="220"/>
        <v>0</v>
      </c>
      <c r="BA858" s="249"/>
      <c r="BB858" s="166">
        <f t="shared" si="221"/>
        <v>0</v>
      </c>
    </row>
    <row r="859" spans="1:54" ht="63">
      <c r="A859" s="148">
        <v>27</v>
      </c>
      <c r="B859" s="242" t="s">
        <v>2286</v>
      </c>
      <c r="C859" s="242"/>
      <c r="D859" s="242"/>
      <c r="E859" s="244" t="s">
        <v>90</v>
      </c>
      <c r="F859" s="241" t="s">
        <v>2288</v>
      </c>
      <c r="G859" s="244" t="s">
        <v>2253</v>
      </c>
      <c r="H859" s="244" t="s">
        <v>2287</v>
      </c>
      <c r="I859" s="241" t="s">
        <v>11</v>
      </c>
      <c r="J859" s="244" t="s">
        <v>8616</v>
      </c>
      <c r="K859" s="245">
        <v>1200</v>
      </c>
      <c r="L859" s="245"/>
      <c r="M859" s="159">
        <f t="shared" si="211"/>
        <v>200</v>
      </c>
      <c r="N859" s="159"/>
      <c r="O859" s="159"/>
      <c r="P859" s="159"/>
      <c r="Q859" s="159"/>
      <c r="R859" s="159"/>
      <c r="S859" s="244" t="s">
        <v>2253</v>
      </c>
      <c r="T859" s="244" t="s">
        <v>8511</v>
      </c>
      <c r="U859" s="241" t="s">
        <v>4661</v>
      </c>
      <c r="V859" s="244" t="s">
        <v>211</v>
      </c>
      <c r="W859" s="244" t="s">
        <v>5104</v>
      </c>
      <c r="X859" s="241" t="s">
        <v>213</v>
      </c>
      <c r="Y859" s="245">
        <v>1768</v>
      </c>
      <c r="Z859" s="246">
        <v>30000</v>
      </c>
      <c r="AA859" s="245">
        <f t="shared" si="212"/>
        <v>36000000</v>
      </c>
      <c r="AB859" s="244"/>
      <c r="AC859" s="247">
        <f t="shared" si="210"/>
        <v>29800</v>
      </c>
      <c r="AD859" s="159">
        <f t="shared" si="213"/>
        <v>240000</v>
      </c>
      <c r="AE859" s="248"/>
      <c r="AF859" s="160">
        <f t="shared" si="214"/>
        <v>0</v>
      </c>
      <c r="AG859" s="248"/>
      <c r="AH859" s="161">
        <f t="shared" si="215"/>
        <v>0</v>
      </c>
      <c r="AI859" s="249"/>
      <c r="AJ859" s="249"/>
      <c r="AK859" s="249"/>
      <c r="AL859" s="249"/>
      <c r="AM859" s="249"/>
      <c r="AN859" s="249"/>
      <c r="AO859" s="249"/>
      <c r="AP859" s="249"/>
      <c r="AQ859" s="249">
        <v>200</v>
      </c>
      <c r="AR859" s="162">
        <f t="shared" si="216"/>
        <v>240000</v>
      </c>
      <c r="AS859" s="249"/>
      <c r="AT859" s="167">
        <f t="shared" si="217"/>
        <v>0</v>
      </c>
      <c r="AU859" s="249"/>
      <c r="AV859" s="163">
        <f t="shared" si="218"/>
        <v>0</v>
      </c>
      <c r="AW859" s="249"/>
      <c r="AX859" s="168">
        <f t="shared" si="219"/>
        <v>0</v>
      </c>
      <c r="AY859" s="249"/>
      <c r="AZ859" s="170">
        <f t="shared" si="220"/>
        <v>0</v>
      </c>
      <c r="BA859" s="249"/>
      <c r="BB859" s="166">
        <f t="shared" si="221"/>
        <v>0</v>
      </c>
    </row>
    <row r="860" spans="1:54" ht="63">
      <c r="A860" s="148">
        <v>28</v>
      </c>
      <c r="B860" s="242" t="s">
        <v>8626</v>
      </c>
      <c r="C860" s="242"/>
      <c r="D860" s="242"/>
      <c r="E860" s="244" t="s">
        <v>8628</v>
      </c>
      <c r="F860" s="241" t="s">
        <v>8630</v>
      </c>
      <c r="G860" s="244" t="s">
        <v>8290</v>
      </c>
      <c r="H860" s="244" t="s">
        <v>8627</v>
      </c>
      <c r="I860" s="241" t="s">
        <v>11</v>
      </c>
      <c r="J860" s="244" t="s">
        <v>8629</v>
      </c>
      <c r="K860" s="245">
        <v>2700</v>
      </c>
      <c r="L860" s="245"/>
      <c r="M860" s="159">
        <f t="shared" si="211"/>
        <v>0</v>
      </c>
      <c r="N860" s="159"/>
      <c r="O860" s="159"/>
      <c r="P860" s="159"/>
      <c r="Q860" s="159"/>
      <c r="R860" s="159"/>
      <c r="S860" s="149" t="s">
        <v>5669</v>
      </c>
      <c r="T860" s="149" t="s">
        <v>5670</v>
      </c>
      <c r="U860" s="241" t="s">
        <v>8625</v>
      </c>
      <c r="V860" s="244" t="s">
        <v>211</v>
      </c>
      <c r="W860" s="244" t="s">
        <v>5104</v>
      </c>
      <c r="X860" s="241" t="s">
        <v>213</v>
      </c>
      <c r="Y860" s="245">
        <v>2700</v>
      </c>
      <c r="Z860" s="246">
        <v>35000</v>
      </c>
      <c r="AA860" s="245">
        <f t="shared" si="212"/>
        <v>94500000</v>
      </c>
      <c r="AB860" s="244"/>
      <c r="AC860" s="247">
        <f t="shared" si="210"/>
        <v>35000</v>
      </c>
      <c r="AD860" s="159">
        <f t="shared" si="213"/>
        <v>0</v>
      </c>
      <c r="AE860" s="248"/>
      <c r="AF860" s="160">
        <f t="shared" si="214"/>
        <v>0</v>
      </c>
      <c r="AG860" s="248"/>
      <c r="AH860" s="161">
        <f t="shared" si="215"/>
        <v>0</v>
      </c>
      <c r="AI860" s="249"/>
      <c r="AJ860" s="249"/>
      <c r="AK860" s="249"/>
      <c r="AL860" s="249"/>
      <c r="AM860" s="249"/>
      <c r="AN860" s="249"/>
      <c r="AO860" s="249"/>
      <c r="AP860" s="249"/>
      <c r="AQ860" s="249"/>
      <c r="AR860" s="162">
        <f t="shared" si="216"/>
        <v>0</v>
      </c>
      <c r="AS860" s="249"/>
      <c r="AT860" s="167">
        <f t="shared" si="217"/>
        <v>0</v>
      </c>
      <c r="AU860" s="249"/>
      <c r="AV860" s="163">
        <f t="shared" si="218"/>
        <v>0</v>
      </c>
      <c r="AW860" s="249"/>
      <c r="AX860" s="168">
        <f t="shared" si="219"/>
        <v>0</v>
      </c>
      <c r="AY860" s="249"/>
      <c r="AZ860" s="170">
        <f t="shared" si="220"/>
        <v>0</v>
      </c>
      <c r="BA860" s="249"/>
      <c r="BB860" s="166">
        <f t="shared" si="221"/>
        <v>0</v>
      </c>
    </row>
    <row r="861" spans="1:54" ht="47.25">
      <c r="A861" s="250">
        <v>29</v>
      </c>
      <c r="B861" s="242" t="s">
        <v>8632</v>
      </c>
      <c r="C861" s="242"/>
      <c r="D861" s="242"/>
      <c r="E861" s="244" t="s">
        <v>8634</v>
      </c>
      <c r="F861" s="241" t="s">
        <v>8636</v>
      </c>
      <c r="G861" s="244" t="s">
        <v>8603</v>
      </c>
      <c r="H861" s="244" t="s">
        <v>8633</v>
      </c>
      <c r="I861" s="241" t="s">
        <v>11</v>
      </c>
      <c r="J861" s="244" t="s">
        <v>8635</v>
      </c>
      <c r="K861" s="245">
        <v>1900</v>
      </c>
      <c r="L861" s="245"/>
      <c r="M861" s="159">
        <f t="shared" si="211"/>
        <v>0</v>
      </c>
      <c r="N861" s="159"/>
      <c r="O861" s="159"/>
      <c r="P861" s="159"/>
      <c r="Q861" s="159"/>
      <c r="R861" s="159"/>
      <c r="S861" s="149" t="s">
        <v>8599</v>
      </c>
      <c r="T861" s="149" t="s">
        <v>7563</v>
      </c>
      <c r="U861" s="241" t="s">
        <v>8631</v>
      </c>
      <c r="V861" s="244" t="s">
        <v>211</v>
      </c>
      <c r="W861" s="244" t="s">
        <v>5104</v>
      </c>
      <c r="X861" s="241" t="s">
        <v>213</v>
      </c>
      <c r="Y861" s="245">
        <v>2550</v>
      </c>
      <c r="Z861" s="246">
        <v>10000</v>
      </c>
      <c r="AA861" s="245">
        <f t="shared" si="212"/>
        <v>19000000</v>
      </c>
      <c r="AB861" s="244"/>
      <c r="AC861" s="247">
        <f t="shared" si="210"/>
        <v>10000</v>
      </c>
      <c r="AD861" s="159">
        <f t="shared" si="213"/>
        <v>0</v>
      </c>
      <c r="AE861" s="248"/>
      <c r="AF861" s="160">
        <f t="shared" si="214"/>
        <v>0</v>
      </c>
      <c r="AG861" s="248"/>
      <c r="AH861" s="161">
        <f t="shared" si="215"/>
        <v>0</v>
      </c>
      <c r="AI861" s="249"/>
      <c r="AJ861" s="249"/>
      <c r="AK861" s="249"/>
      <c r="AL861" s="249"/>
      <c r="AM861" s="249"/>
      <c r="AN861" s="249"/>
      <c r="AO861" s="249"/>
      <c r="AP861" s="249"/>
      <c r="AQ861" s="249"/>
      <c r="AR861" s="162">
        <f t="shared" si="216"/>
        <v>0</v>
      </c>
      <c r="AS861" s="249"/>
      <c r="AT861" s="167">
        <f t="shared" si="217"/>
        <v>0</v>
      </c>
      <c r="AU861" s="249"/>
      <c r="AV861" s="163">
        <f t="shared" si="218"/>
        <v>0</v>
      </c>
      <c r="AW861" s="249"/>
      <c r="AX861" s="168">
        <f t="shared" si="219"/>
        <v>0</v>
      </c>
      <c r="AY861" s="249"/>
      <c r="AZ861" s="170">
        <f t="shared" si="220"/>
        <v>0</v>
      </c>
      <c r="BA861" s="249"/>
      <c r="BB861" s="166">
        <f t="shared" si="221"/>
        <v>0</v>
      </c>
    </row>
    <row r="862" spans="1:54" ht="47.25">
      <c r="A862" s="148">
        <v>30</v>
      </c>
      <c r="B862" s="242" t="s">
        <v>8637</v>
      </c>
      <c r="C862" s="242"/>
      <c r="D862" s="242"/>
      <c r="E862" s="244" t="s">
        <v>8639</v>
      </c>
      <c r="F862" s="241" t="s">
        <v>8640</v>
      </c>
      <c r="G862" s="244" t="s">
        <v>8559</v>
      </c>
      <c r="H862" s="244" t="s">
        <v>8638</v>
      </c>
      <c r="I862" s="241" t="s">
        <v>11</v>
      </c>
      <c r="J862" s="244" t="s">
        <v>8523</v>
      </c>
      <c r="K862" s="245">
        <v>900</v>
      </c>
      <c r="L862" s="245"/>
      <c r="M862" s="159">
        <f t="shared" si="211"/>
        <v>10200</v>
      </c>
      <c r="N862" s="159"/>
      <c r="O862" s="159"/>
      <c r="P862" s="159"/>
      <c r="Q862" s="159"/>
      <c r="R862" s="159"/>
      <c r="S862" s="150" t="s">
        <v>5298</v>
      </c>
      <c r="T862" s="150" t="s">
        <v>5299</v>
      </c>
      <c r="U862" s="241" t="s">
        <v>4765</v>
      </c>
      <c r="V862" s="244" t="s">
        <v>211</v>
      </c>
      <c r="W862" s="244" t="s">
        <v>253</v>
      </c>
      <c r="X862" s="241" t="s">
        <v>213</v>
      </c>
      <c r="Y862" s="245">
        <v>2100</v>
      </c>
      <c r="Z862" s="246">
        <v>25000</v>
      </c>
      <c r="AA862" s="245">
        <f t="shared" si="212"/>
        <v>22500000</v>
      </c>
      <c r="AB862" s="244"/>
      <c r="AC862" s="247">
        <f t="shared" si="210"/>
        <v>14800</v>
      </c>
      <c r="AD862" s="159">
        <f t="shared" si="213"/>
        <v>9180000</v>
      </c>
      <c r="AE862" s="248"/>
      <c r="AF862" s="160">
        <f t="shared" si="214"/>
        <v>0</v>
      </c>
      <c r="AG862" s="248"/>
      <c r="AH862" s="161">
        <f t="shared" si="215"/>
        <v>0</v>
      </c>
      <c r="AI862" s="249"/>
      <c r="AJ862" s="249"/>
      <c r="AK862" s="249"/>
      <c r="AL862" s="249"/>
      <c r="AM862" s="249"/>
      <c r="AN862" s="249"/>
      <c r="AO862" s="249"/>
      <c r="AP862" s="249"/>
      <c r="AQ862" s="249"/>
      <c r="AR862" s="162">
        <f t="shared" si="216"/>
        <v>0</v>
      </c>
      <c r="AS862" s="249">
        <v>10200</v>
      </c>
      <c r="AT862" s="167">
        <f t="shared" si="217"/>
        <v>9180000</v>
      </c>
      <c r="AU862" s="249"/>
      <c r="AV862" s="163">
        <f t="shared" si="218"/>
        <v>0</v>
      </c>
      <c r="AW862" s="249"/>
      <c r="AX862" s="168">
        <f t="shared" si="219"/>
        <v>0</v>
      </c>
      <c r="AY862" s="249"/>
      <c r="AZ862" s="170">
        <f t="shared" si="220"/>
        <v>0</v>
      </c>
      <c r="BA862" s="249"/>
      <c r="BB862" s="166">
        <f t="shared" si="221"/>
        <v>0</v>
      </c>
    </row>
    <row r="863" spans="1:54" s="131" customFormat="1" ht="78.75">
      <c r="A863" s="148">
        <v>31</v>
      </c>
      <c r="B863" s="242" t="s">
        <v>8643</v>
      </c>
      <c r="C863" s="242"/>
      <c r="D863" s="242"/>
      <c r="E863" s="244" t="s">
        <v>8645</v>
      </c>
      <c r="F863" s="241" t="s">
        <v>8647</v>
      </c>
      <c r="G863" s="244" t="s">
        <v>1268</v>
      </c>
      <c r="H863" s="244" t="s">
        <v>8644</v>
      </c>
      <c r="I863" s="241" t="s">
        <v>11</v>
      </c>
      <c r="J863" s="244" t="s">
        <v>8646</v>
      </c>
      <c r="K863" s="245">
        <v>2250</v>
      </c>
      <c r="L863" s="245"/>
      <c r="M863" s="159">
        <f t="shared" si="211"/>
        <v>0</v>
      </c>
      <c r="N863" s="159"/>
      <c r="O863" s="159"/>
      <c r="P863" s="159"/>
      <c r="Q863" s="159"/>
      <c r="R863" s="159"/>
      <c r="S863" s="244" t="s">
        <v>8641</v>
      </c>
      <c r="T863" s="244" t="s">
        <v>6692</v>
      </c>
      <c r="U863" s="241" t="s">
        <v>8642</v>
      </c>
      <c r="V863" s="244" t="s">
        <v>211</v>
      </c>
      <c r="W863" s="244" t="s">
        <v>253</v>
      </c>
      <c r="X863" s="241" t="s">
        <v>213</v>
      </c>
      <c r="Y863" s="245">
        <v>2390</v>
      </c>
      <c r="Z863" s="246">
        <v>20000</v>
      </c>
      <c r="AA863" s="245">
        <f t="shared" si="212"/>
        <v>45000000</v>
      </c>
      <c r="AB863" s="244"/>
      <c r="AC863" s="247">
        <f t="shared" si="210"/>
        <v>20000</v>
      </c>
      <c r="AD863" s="159">
        <f t="shared" si="213"/>
        <v>0</v>
      </c>
      <c r="AE863" s="248"/>
      <c r="AF863" s="160">
        <f t="shared" si="214"/>
        <v>0</v>
      </c>
      <c r="AG863" s="248"/>
      <c r="AH863" s="161">
        <f t="shared" si="215"/>
        <v>0</v>
      </c>
      <c r="AI863" s="249"/>
      <c r="AJ863" s="249"/>
      <c r="AK863" s="249"/>
      <c r="AL863" s="249"/>
      <c r="AM863" s="249"/>
      <c r="AN863" s="249"/>
      <c r="AO863" s="249"/>
      <c r="AP863" s="249"/>
      <c r="AQ863" s="249"/>
      <c r="AR863" s="162">
        <f t="shared" si="216"/>
        <v>0</v>
      </c>
      <c r="AS863" s="249"/>
      <c r="AT863" s="167">
        <f t="shared" si="217"/>
        <v>0</v>
      </c>
      <c r="AU863" s="249"/>
      <c r="AV863" s="163">
        <f t="shared" si="218"/>
        <v>0</v>
      </c>
      <c r="AW863" s="249"/>
      <c r="AX863" s="168">
        <f t="shared" si="219"/>
        <v>0</v>
      </c>
      <c r="AY863" s="249"/>
      <c r="AZ863" s="170">
        <f t="shared" si="220"/>
        <v>0</v>
      </c>
      <c r="BA863" s="249"/>
      <c r="BB863" s="166">
        <f t="shared" si="221"/>
        <v>0</v>
      </c>
    </row>
    <row r="864" spans="1:54" s="131" customFormat="1" ht="47.25">
      <c r="A864" s="250">
        <v>32</v>
      </c>
      <c r="B864" s="242" t="s">
        <v>130</v>
      </c>
      <c r="C864" s="242"/>
      <c r="D864" s="242"/>
      <c r="E864" s="244" t="s">
        <v>129</v>
      </c>
      <c r="F864" s="241" t="s">
        <v>8650</v>
      </c>
      <c r="G864" s="244" t="s">
        <v>8651</v>
      </c>
      <c r="H864" s="244" t="s">
        <v>8648</v>
      </c>
      <c r="I864" s="241" t="s">
        <v>15</v>
      </c>
      <c r="J864" s="244" t="s">
        <v>8649</v>
      </c>
      <c r="K864" s="245">
        <v>44000</v>
      </c>
      <c r="L864" s="245"/>
      <c r="M864" s="159">
        <f t="shared" si="211"/>
        <v>300</v>
      </c>
      <c r="N864" s="159"/>
      <c r="O864" s="159"/>
      <c r="P864" s="159"/>
      <c r="Q864" s="159"/>
      <c r="R864" s="159"/>
      <c r="S864" s="150" t="s">
        <v>5306</v>
      </c>
      <c r="T864" s="150" t="s">
        <v>5307</v>
      </c>
      <c r="U864" s="241" t="s">
        <v>4690</v>
      </c>
      <c r="V864" s="244" t="s">
        <v>211</v>
      </c>
      <c r="W864" s="244" t="s">
        <v>253</v>
      </c>
      <c r="X864" s="241" t="s">
        <v>213</v>
      </c>
      <c r="Y864" s="245">
        <v>44000</v>
      </c>
      <c r="Z864" s="246">
        <v>3000</v>
      </c>
      <c r="AA864" s="245">
        <f t="shared" si="212"/>
        <v>132000000</v>
      </c>
      <c r="AB864" s="244"/>
      <c r="AC864" s="247">
        <f t="shared" si="210"/>
        <v>2700</v>
      </c>
      <c r="AD864" s="159">
        <f t="shared" si="213"/>
        <v>13200000</v>
      </c>
      <c r="AE864" s="248"/>
      <c r="AF864" s="160">
        <f t="shared" si="214"/>
        <v>0</v>
      </c>
      <c r="AG864" s="248"/>
      <c r="AH864" s="161">
        <f t="shared" si="215"/>
        <v>0</v>
      </c>
      <c r="AI864" s="249"/>
      <c r="AJ864" s="249"/>
      <c r="AK864" s="249"/>
      <c r="AL864" s="249"/>
      <c r="AM864" s="249"/>
      <c r="AN864" s="249"/>
      <c r="AO864" s="249"/>
      <c r="AP864" s="249"/>
      <c r="AQ864" s="249">
        <v>300</v>
      </c>
      <c r="AR864" s="162">
        <f t="shared" si="216"/>
        <v>13200000</v>
      </c>
      <c r="AS864" s="249"/>
      <c r="AT864" s="167">
        <f t="shared" si="217"/>
        <v>0</v>
      </c>
      <c r="AU864" s="249"/>
      <c r="AV864" s="163">
        <f t="shared" si="218"/>
        <v>0</v>
      </c>
      <c r="AW864" s="249"/>
      <c r="AX864" s="168">
        <f t="shared" si="219"/>
        <v>0</v>
      </c>
      <c r="AY864" s="249"/>
      <c r="AZ864" s="170">
        <f t="shared" si="220"/>
        <v>0</v>
      </c>
      <c r="BA864" s="249"/>
      <c r="BB864" s="166">
        <f t="shared" si="221"/>
        <v>0</v>
      </c>
    </row>
    <row r="865" spans="1:54" s="131" customFormat="1" ht="78.75">
      <c r="A865" s="148">
        <v>33</v>
      </c>
      <c r="B865" s="242" t="s">
        <v>8654</v>
      </c>
      <c r="C865" s="242"/>
      <c r="D865" s="242"/>
      <c r="E865" s="244" t="s">
        <v>8656</v>
      </c>
      <c r="F865" s="241" t="s">
        <v>8658</v>
      </c>
      <c r="G865" s="244" t="s">
        <v>2397</v>
      </c>
      <c r="H865" s="244" t="s">
        <v>8655</v>
      </c>
      <c r="I865" s="241" t="s">
        <v>11</v>
      </c>
      <c r="J865" s="244" t="s">
        <v>8657</v>
      </c>
      <c r="K865" s="245">
        <v>1020</v>
      </c>
      <c r="L865" s="245"/>
      <c r="M865" s="159">
        <f t="shared" si="211"/>
        <v>0</v>
      </c>
      <c r="N865" s="159"/>
      <c r="O865" s="159"/>
      <c r="P865" s="159"/>
      <c r="Q865" s="159"/>
      <c r="R865" s="159"/>
      <c r="S865" s="150" t="s">
        <v>2397</v>
      </c>
      <c r="T865" s="150" t="s">
        <v>8652</v>
      </c>
      <c r="U865" s="241" t="s">
        <v>8653</v>
      </c>
      <c r="V865" s="244" t="s">
        <v>211</v>
      </c>
      <c r="W865" s="244" t="s">
        <v>253</v>
      </c>
      <c r="X865" s="241" t="s">
        <v>213</v>
      </c>
      <c r="Y865" s="245">
        <v>1176</v>
      </c>
      <c r="Z865" s="246">
        <v>30000</v>
      </c>
      <c r="AA865" s="245">
        <f t="shared" si="212"/>
        <v>30600000</v>
      </c>
      <c r="AB865" s="244"/>
      <c r="AC865" s="247">
        <f t="shared" si="210"/>
        <v>30000</v>
      </c>
      <c r="AD865" s="159">
        <f t="shared" si="213"/>
        <v>0</v>
      </c>
      <c r="AE865" s="248"/>
      <c r="AF865" s="160">
        <f t="shared" si="214"/>
        <v>0</v>
      </c>
      <c r="AG865" s="248"/>
      <c r="AH865" s="161">
        <f t="shared" si="215"/>
        <v>0</v>
      </c>
      <c r="AI865" s="249"/>
      <c r="AJ865" s="249"/>
      <c r="AK865" s="249"/>
      <c r="AL865" s="249"/>
      <c r="AM865" s="249"/>
      <c r="AN865" s="249"/>
      <c r="AO865" s="249"/>
      <c r="AP865" s="249"/>
      <c r="AQ865" s="249"/>
      <c r="AR865" s="162">
        <f t="shared" si="216"/>
        <v>0</v>
      </c>
      <c r="AS865" s="249"/>
      <c r="AT865" s="167">
        <f t="shared" si="217"/>
        <v>0</v>
      </c>
      <c r="AU865" s="249"/>
      <c r="AV865" s="163">
        <f t="shared" si="218"/>
        <v>0</v>
      </c>
      <c r="AW865" s="249"/>
      <c r="AX865" s="168">
        <f t="shared" si="219"/>
        <v>0</v>
      </c>
      <c r="AY865" s="249"/>
      <c r="AZ865" s="170">
        <f t="shared" si="220"/>
        <v>0</v>
      </c>
      <c r="BA865" s="249"/>
      <c r="BB865" s="166">
        <f t="shared" si="221"/>
        <v>0</v>
      </c>
    </row>
    <row r="866" spans="1:54" s="131" customFormat="1" ht="63">
      <c r="A866" s="148">
        <v>34</v>
      </c>
      <c r="B866" s="242" t="s">
        <v>108</v>
      </c>
      <c r="C866" s="242"/>
      <c r="D866" s="242"/>
      <c r="E866" s="244" t="s">
        <v>107</v>
      </c>
      <c r="F866" s="241" t="s">
        <v>8661</v>
      </c>
      <c r="G866" s="244" t="s">
        <v>2397</v>
      </c>
      <c r="H866" s="244" t="s">
        <v>8659</v>
      </c>
      <c r="I866" s="241" t="s">
        <v>11</v>
      </c>
      <c r="J866" s="244" t="s">
        <v>8660</v>
      </c>
      <c r="K866" s="245">
        <v>830</v>
      </c>
      <c r="L866" s="245"/>
      <c r="M866" s="159">
        <f t="shared" si="211"/>
        <v>10000</v>
      </c>
      <c r="N866" s="159"/>
      <c r="O866" s="159"/>
      <c r="P866" s="159"/>
      <c r="Q866" s="159"/>
      <c r="R866" s="159"/>
      <c r="S866" s="150" t="s">
        <v>2397</v>
      </c>
      <c r="T866" s="150" t="s">
        <v>8652</v>
      </c>
      <c r="U866" s="241" t="s">
        <v>4672</v>
      </c>
      <c r="V866" s="244" t="s">
        <v>211</v>
      </c>
      <c r="W866" s="244" t="s">
        <v>253</v>
      </c>
      <c r="X866" s="241" t="s">
        <v>213</v>
      </c>
      <c r="Y866" s="245">
        <v>903</v>
      </c>
      <c r="Z866" s="246">
        <v>30000</v>
      </c>
      <c r="AA866" s="245">
        <f t="shared" si="212"/>
        <v>24900000</v>
      </c>
      <c r="AB866" s="244"/>
      <c r="AC866" s="247">
        <f t="shared" si="210"/>
        <v>20000</v>
      </c>
      <c r="AD866" s="159">
        <f t="shared" si="213"/>
        <v>8300000</v>
      </c>
      <c r="AE866" s="248"/>
      <c r="AF866" s="160">
        <f t="shared" si="214"/>
        <v>0</v>
      </c>
      <c r="AG866" s="248"/>
      <c r="AH866" s="161">
        <f t="shared" si="215"/>
        <v>0</v>
      </c>
      <c r="AI866" s="249"/>
      <c r="AJ866" s="249"/>
      <c r="AK866" s="249"/>
      <c r="AL866" s="249"/>
      <c r="AM866" s="249"/>
      <c r="AN866" s="249"/>
      <c r="AO866" s="249"/>
      <c r="AP866" s="249"/>
      <c r="AQ866" s="249"/>
      <c r="AR866" s="162">
        <f t="shared" si="216"/>
        <v>0</v>
      </c>
      <c r="AS866" s="249">
        <v>10000</v>
      </c>
      <c r="AT866" s="167">
        <f t="shared" si="217"/>
        <v>8300000</v>
      </c>
      <c r="AU866" s="249"/>
      <c r="AV866" s="163">
        <f t="shared" si="218"/>
        <v>0</v>
      </c>
      <c r="AW866" s="249"/>
      <c r="AX866" s="168">
        <f t="shared" si="219"/>
        <v>0</v>
      </c>
      <c r="AY866" s="249"/>
      <c r="AZ866" s="170">
        <f t="shared" si="220"/>
        <v>0</v>
      </c>
      <c r="BA866" s="249"/>
      <c r="BB866" s="166">
        <f t="shared" si="221"/>
        <v>0</v>
      </c>
    </row>
    <row r="867" spans="1:54" s="131" customFormat="1" ht="47.25">
      <c r="A867" s="250">
        <v>35</v>
      </c>
      <c r="B867" s="242" t="s">
        <v>8663</v>
      </c>
      <c r="C867" s="242"/>
      <c r="D867" s="242"/>
      <c r="E867" s="244" t="s">
        <v>8665</v>
      </c>
      <c r="F867" s="241" t="s">
        <v>8666</v>
      </c>
      <c r="G867" s="244" t="s">
        <v>2397</v>
      </c>
      <c r="H867" s="244" t="s">
        <v>8664</v>
      </c>
      <c r="I867" s="241" t="s">
        <v>11</v>
      </c>
      <c r="J867" s="244" t="s">
        <v>8660</v>
      </c>
      <c r="K867" s="245">
        <v>1260</v>
      </c>
      <c r="L867" s="245"/>
      <c r="M867" s="159">
        <f t="shared" si="211"/>
        <v>0</v>
      </c>
      <c r="N867" s="159"/>
      <c r="O867" s="159"/>
      <c r="P867" s="159"/>
      <c r="Q867" s="159"/>
      <c r="R867" s="159"/>
      <c r="S867" s="150" t="s">
        <v>2397</v>
      </c>
      <c r="T867" s="150" t="s">
        <v>8652</v>
      </c>
      <c r="U867" s="241" t="s">
        <v>8662</v>
      </c>
      <c r="V867" s="244" t="s">
        <v>211</v>
      </c>
      <c r="W867" s="244" t="s">
        <v>253</v>
      </c>
      <c r="X867" s="241" t="s">
        <v>213</v>
      </c>
      <c r="Y867" s="245">
        <v>1386</v>
      </c>
      <c r="Z867" s="246">
        <v>20000</v>
      </c>
      <c r="AA867" s="245">
        <f t="shared" si="212"/>
        <v>25200000</v>
      </c>
      <c r="AB867" s="244"/>
      <c r="AC867" s="247">
        <f t="shared" si="210"/>
        <v>20000</v>
      </c>
      <c r="AD867" s="159">
        <f t="shared" si="213"/>
        <v>0</v>
      </c>
      <c r="AE867" s="248"/>
      <c r="AF867" s="160">
        <f t="shared" si="214"/>
        <v>0</v>
      </c>
      <c r="AG867" s="248"/>
      <c r="AH867" s="161">
        <f t="shared" si="215"/>
        <v>0</v>
      </c>
      <c r="AI867" s="249"/>
      <c r="AJ867" s="249"/>
      <c r="AK867" s="249"/>
      <c r="AL867" s="249"/>
      <c r="AM867" s="249"/>
      <c r="AN867" s="249"/>
      <c r="AO867" s="249"/>
      <c r="AP867" s="249"/>
      <c r="AQ867" s="249"/>
      <c r="AR867" s="162">
        <f t="shared" si="216"/>
        <v>0</v>
      </c>
      <c r="AS867" s="249"/>
      <c r="AT867" s="167">
        <f t="shared" si="217"/>
        <v>0</v>
      </c>
      <c r="AU867" s="249"/>
      <c r="AV867" s="163">
        <f t="shared" si="218"/>
        <v>0</v>
      </c>
      <c r="AW867" s="249"/>
      <c r="AX867" s="168">
        <f t="shared" si="219"/>
        <v>0</v>
      </c>
      <c r="AY867" s="249"/>
      <c r="AZ867" s="170">
        <f t="shared" si="220"/>
        <v>0</v>
      </c>
      <c r="BA867" s="249"/>
      <c r="BB867" s="166">
        <f t="shared" si="221"/>
        <v>0</v>
      </c>
    </row>
    <row r="868" spans="1:54" s="131" customFormat="1" ht="31.5">
      <c r="A868" s="148">
        <v>36</v>
      </c>
      <c r="B868" s="242" t="s">
        <v>8668</v>
      </c>
      <c r="C868" s="242"/>
      <c r="D868" s="242"/>
      <c r="E868" s="244" t="s">
        <v>8670</v>
      </c>
      <c r="F868" s="241" t="s">
        <v>8672</v>
      </c>
      <c r="G868" s="244" t="s">
        <v>8603</v>
      </c>
      <c r="H868" s="244" t="s">
        <v>8669</v>
      </c>
      <c r="I868" s="241" t="s">
        <v>11</v>
      </c>
      <c r="J868" s="244" t="s">
        <v>8671</v>
      </c>
      <c r="K868" s="245">
        <v>2499</v>
      </c>
      <c r="L868" s="245"/>
      <c r="M868" s="159">
        <f t="shared" si="211"/>
        <v>0</v>
      </c>
      <c r="N868" s="159"/>
      <c r="O868" s="159"/>
      <c r="P868" s="159"/>
      <c r="Q868" s="159"/>
      <c r="R868" s="159"/>
      <c r="S868" s="149" t="s">
        <v>6151</v>
      </c>
      <c r="T868" s="150" t="s">
        <v>6152</v>
      </c>
      <c r="U868" s="241" t="s">
        <v>8667</v>
      </c>
      <c r="V868" s="244" t="s">
        <v>211</v>
      </c>
      <c r="W868" s="244" t="s">
        <v>5104</v>
      </c>
      <c r="X868" s="241" t="s">
        <v>213</v>
      </c>
      <c r="Y868" s="245">
        <v>2500</v>
      </c>
      <c r="Z868" s="246">
        <v>10000</v>
      </c>
      <c r="AA868" s="245">
        <f t="shared" si="212"/>
        <v>24990000</v>
      </c>
      <c r="AB868" s="244"/>
      <c r="AC868" s="247">
        <f t="shared" si="210"/>
        <v>10000</v>
      </c>
      <c r="AD868" s="159">
        <f t="shared" si="213"/>
        <v>0</v>
      </c>
      <c r="AE868" s="248"/>
      <c r="AF868" s="160">
        <f t="shared" si="214"/>
        <v>0</v>
      </c>
      <c r="AG868" s="248"/>
      <c r="AH868" s="161">
        <f t="shared" si="215"/>
        <v>0</v>
      </c>
      <c r="AI868" s="249"/>
      <c r="AJ868" s="249"/>
      <c r="AK868" s="249"/>
      <c r="AL868" s="249"/>
      <c r="AM868" s="249"/>
      <c r="AN868" s="249"/>
      <c r="AO868" s="249"/>
      <c r="AP868" s="249"/>
      <c r="AQ868" s="249"/>
      <c r="AR868" s="162">
        <f t="shared" si="216"/>
        <v>0</v>
      </c>
      <c r="AS868" s="249"/>
      <c r="AT868" s="167">
        <f t="shared" si="217"/>
        <v>0</v>
      </c>
      <c r="AU868" s="249"/>
      <c r="AV868" s="163">
        <f t="shared" si="218"/>
        <v>0</v>
      </c>
      <c r="AW868" s="249"/>
      <c r="AX868" s="168">
        <f t="shared" si="219"/>
        <v>0</v>
      </c>
      <c r="AY868" s="249"/>
      <c r="AZ868" s="170">
        <f t="shared" si="220"/>
        <v>0</v>
      </c>
      <c r="BA868" s="249"/>
      <c r="BB868" s="166">
        <f t="shared" si="221"/>
        <v>0</v>
      </c>
    </row>
    <row r="869" spans="1:54" s="131" customFormat="1" ht="63">
      <c r="A869" s="148">
        <v>37</v>
      </c>
      <c r="B869" s="242" t="s">
        <v>8674</v>
      </c>
      <c r="C869" s="242"/>
      <c r="D869" s="242"/>
      <c r="E869" s="244" t="s">
        <v>8676</v>
      </c>
      <c r="F869" s="241" t="s">
        <v>8678</v>
      </c>
      <c r="G869" s="244" t="s">
        <v>2310</v>
      </c>
      <c r="H869" s="244" t="s">
        <v>8675</v>
      </c>
      <c r="I869" s="241" t="s">
        <v>11</v>
      </c>
      <c r="J869" s="244" t="s">
        <v>8677</v>
      </c>
      <c r="K869" s="245">
        <v>3400</v>
      </c>
      <c r="L869" s="245"/>
      <c r="M869" s="159">
        <f t="shared" si="211"/>
        <v>0</v>
      </c>
      <c r="N869" s="159"/>
      <c r="O869" s="159"/>
      <c r="P869" s="159"/>
      <c r="Q869" s="159"/>
      <c r="R869" s="159"/>
      <c r="S869" s="149" t="s">
        <v>5669</v>
      </c>
      <c r="T869" s="149" t="s">
        <v>5670</v>
      </c>
      <c r="U869" s="241" t="s">
        <v>8673</v>
      </c>
      <c r="V869" s="244" t="s">
        <v>211</v>
      </c>
      <c r="W869" s="244" t="s">
        <v>5104</v>
      </c>
      <c r="X869" s="241" t="s">
        <v>213</v>
      </c>
      <c r="Y869" s="245">
        <v>4500</v>
      </c>
      <c r="Z869" s="246">
        <v>15000</v>
      </c>
      <c r="AA869" s="245">
        <f t="shared" si="212"/>
        <v>51000000</v>
      </c>
      <c r="AB869" s="244"/>
      <c r="AC869" s="247">
        <f t="shared" si="210"/>
        <v>15000</v>
      </c>
      <c r="AD869" s="159">
        <f t="shared" si="213"/>
        <v>0</v>
      </c>
      <c r="AE869" s="248"/>
      <c r="AF869" s="160">
        <f t="shared" si="214"/>
        <v>0</v>
      </c>
      <c r="AG869" s="248"/>
      <c r="AH869" s="161">
        <f t="shared" si="215"/>
        <v>0</v>
      </c>
      <c r="AI869" s="249"/>
      <c r="AJ869" s="249"/>
      <c r="AK869" s="249"/>
      <c r="AL869" s="249"/>
      <c r="AM869" s="249"/>
      <c r="AN869" s="249"/>
      <c r="AO869" s="249"/>
      <c r="AP869" s="249"/>
      <c r="AQ869" s="249"/>
      <c r="AR869" s="162">
        <f t="shared" si="216"/>
        <v>0</v>
      </c>
      <c r="AS869" s="249"/>
      <c r="AT869" s="167">
        <f t="shared" si="217"/>
        <v>0</v>
      </c>
      <c r="AU869" s="249"/>
      <c r="AV869" s="163">
        <f t="shared" si="218"/>
        <v>0</v>
      </c>
      <c r="AW869" s="249"/>
      <c r="AX869" s="168">
        <f t="shared" si="219"/>
        <v>0</v>
      </c>
      <c r="AY869" s="249"/>
      <c r="AZ869" s="170">
        <f t="shared" si="220"/>
        <v>0</v>
      </c>
      <c r="BA869" s="249"/>
      <c r="BB869" s="166">
        <f t="shared" si="221"/>
        <v>0</v>
      </c>
    </row>
    <row r="870" spans="1:54" s="131" customFormat="1" ht="63">
      <c r="A870" s="250">
        <v>38</v>
      </c>
      <c r="B870" s="242" t="s">
        <v>8679</v>
      </c>
      <c r="C870" s="242"/>
      <c r="D870" s="242"/>
      <c r="E870" s="244" t="s">
        <v>4678</v>
      </c>
      <c r="F870" s="241" t="s">
        <v>8682</v>
      </c>
      <c r="G870" s="244" t="s">
        <v>8598</v>
      </c>
      <c r="H870" s="244" t="s">
        <v>8680</v>
      </c>
      <c r="I870" s="241" t="s">
        <v>11</v>
      </c>
      <c r="J870" s="244" t="s">
        <v>8681</v>
      </c>
      <c r="K870" s="245">
        <v>175</v>
      </c>
      <c r="L870" s="245"/>
      <c r="M870" s="159">
        <f t="shared" si="211"/>
        <v>12000</v>
      </c>
      <c r="N870" s="159"/>
      <c r="O870" s="159"/>
      <c r="P870" s="159"/>
      <c r="Q870" s="159"/>
      <c r="R870" s="159"/>
      <c r="S870" s="149" t="s">
        <v>2337</v>
      </c>
      <c r="T870" s="149" t="s">
        <v>7815</v>
      </c>
      <c r="U870" s="241" t="s">
        <v>4677</v>
      </c>
      <c r="V870" s="244" t="s">
        <v>211</v>
      </c>
      <c r="W870" s="244" t="s">
        <v>5104</v>
      </c>
      <c r="X870" s="241" t="s">
        <v>213</v>
      </c>
      <c r="Y870" s="245">
        <v>210</v>
      </c>
      <c r="Z870" s="246">
        <v>100000</v>
      </c>
      <c r="AA870" s="245">
        <f t="shared" si="212"/>
        <v>17500000</v>
      </c>
      <c r="AB870" s="244"/>
      <c r="AC870" s="247">
        <f t="shared" si="210"/>
        <v>88000</v>
      </c>
      <c r="AD870" s="159">
        <f t="shared" si="213"/>
        <v>2100000</v>
      </c>
      <c r="AE870" s="248"/>
      <c r="AF870" s="160">
        <f t="shared" si="214"/>
        <v>0</v>
      </c>
      <c r="AG870" s="248"/>
      <c r="AH870" s="161">
        <f t="shared" si="215"/>
        <v>0</v>
      </c>
      <c r="AI870" s="249"/>
      <c r="AJ870" s="249"/>
      <c r="AK870" s="249"/>
      <c r="AL870" s="249"/>
      <c r="AM870" s="249"/>
      <c r="AN870" s="249"/>
      <c r="AO870" s="249"/>
      <c r="AP870" s="249"/>
      <c r="AQ870" s="249">
        <v>12000</v>
      </c>
      <c r="AR870" s="162">
        <f t="shared" si="216"/>
        <v>2100000</v>
      </c>
      <c r="AS870" s="249"/>
      <c r="AT870" s="167">
        <f t="shared" si="217"/>
        <v>0</v>
      </c>
      <c r="AU870" s="249"/>
      <c r="AV870" s="163">
        <f t="shared" si="218"/>
        <v>0</v>
      </c>
      <c r="AW870" s="249"/>
      <c r="AX870" s="168">
        <f t="shared" si="219"/>
        <v>0</v>
      </c>
      <c r="AY870" s="249"/>
      <c r="AZ870" s="170">
        <f t="shared" si="220"/>
        <v>0</v>
      </c>
      <c r="BA870" s="249"/>
      <c r="BB870" s="166">
        <f t="shared" si="221"/>
        <v>0</v>
      </c>
    </row>
    <row r="871" spans="1:54" s="131" customFormat="1" ht="31.5">
      <c r="A871" s="148">
        <v>39</v>
      </c>
      <c r="B871" s="242" t="s">
        <v>8684</v>
      </c>
      <c r="C871" s="242"/>
      <c r="D871" s="242"/>
      <c r="E871" s="244" t="s">
        <v>8686</v>
      </c>
      <c r="F871" s="241" t="s">
        <v>8688</v>
      </c>
      <c r="G871" s="244" t="s">
        <v>8535</v>
      </c>
      <c r="H871" s="244" t="s">
        <v>8685</v>
      </c>
      <c r="I871" s="241" t="s">
        <v>11</v>
      </c>
      <c r="J871" s="244" t="s">
        <v>8687</v>
      </c>
      <c r="K871" s="245">
        <v>4000</v>
      </c>
      <c r="L871" s="245"/>
      <c r="M871" s="159">
        <f t="shared" si="211"/>
        <v>0</v>
      </c>
      <c r="N871" s="159"/>
      <c r="O871" s="159"/>
      <c r="P871" s="159"/>
      <c r="Q871" s="159"/>
      <c r="R871" s="159"/>
      <c r="S871" s="150" t="s">
        <v>8527</v>
      </c>
      <c r="T871" s="150" t="s">
        <v>8528</v>
      </c>
      <c r="U871" s="241" t="s">
        <v>8683</v>
      </c>
      <c r="V871" s="244" t="s">
        <v>211</v>
      </c>
      <c r="W871" s="244" t="s">
        <v>5784</v>
      </c>
      <c r="X871" s="241" t="s">
        <v>8536</v>
      </c>
      <c r="Y871" s="245">
        <v>4800</v>
      </c>
      <c r="Z871" s="246">
        <v>15000</v>
      </c>
      <c r="AA871" s="245">
        <f t="shared" si="212"/>
        <v>60000000</v>
      </c>
      <c r="AB871" s="244"/>
      <c r="AC871" s="247">
        <f t="shared" si="210"/>
        <v>15000</v>
      </c>
      <c r="AD871" s="159">
        <f t="shared" si="213"/>
        <v>0</v>
      </c>
      <c r="AE871" s="248"/>
      <c r="AF871" s="160">
        <f t="shared" si="214"/>
        <v>0</v>
      </c>
      <c r="AG871" s="248"/>
      <c r="AH871" s="161">
        <f t="shared" si="215"/>
        <v>0</v>
      </c>
      <c r="AI871" s="249"/>
      <c r="AJ871" s="249"/>
      <c r="AK871" s="249"/>
      <c r="AL871" s="249"/>
      <c r="AM871" s="249"/>
      <c r="AN871" s="249"/>
      <c r="AO871" s="249"/>
      <c r="AP871" s="249"/>
      <c r="AQ871" s="249"/>
      <c r="AR871" s="162">
        <f t="shared" si="216"/>
        <v>0</v>
      </c>
      <c r="AS871" s="249"/>
      <c r="AT871" s="167">
        <f t="shared" si="217"/>
        <v>0</v>
      </c>
      <c r="AU871" s="249"/>
      <c r="AV871" s="163">
        <f t="shared" si="218"/>
        <v>0</v>
      </c>
      <c r="AW871" s="249"/>
      <c r="AX871" s="168">
        <f t="shared" si="219"/>
        <v>0</v>
      </c>
      <c r="AY871" s="249"/>
      <c r="AZ871" s="170">
        <f t="shared" si="220"/>
        <v>0</v>
      </c>
      <c r="BA871" s="249"/>
      <c r="BB871" s="166">
        <f t="shared" si="221"/>
        <v>0</v>
      </c>
    </row>
    <row r="872" spans="1:54" s="131" customFormat="1" ht="63">
      <c r="A872" s="148">
        <v>40</v>
      </c>
      <c r="B872" s="242" t="s">
        <v>8692</v>
      </c>
      <c r="C872" s="242"/>
      <c r="D872" s="242"/>
      <c r="E872" s="244" t="s">
        <v>8694</v>
      </c>
      <c r="F872" s="241" t="s">
        <v>8696</v>
      </c>
      <c r="G872" s="244" t="s">
        <v>8697</v>
      </c>
      <c r="H872" s="244" t="s">
        <v>8693</v>
      </c>
      <c r="I872" s="241" t="s">
        <v>658</v>
      </c>
      <c r="J872" s="244" t="s">
        <v>8695</v>
      </c>
      <c r="K872" s="245">
        <v>68000</v>
      </c>
      <c r="L872" s="245"/>
      <c r="M872" s="159">
        <f t="shared" si="211"/>
        <v>0</v>
      </c>
      <c r="N872" s="159"/>
      <c r="O872" s="159"/>
      <c r="P872" s="159"/>
      <c r="Q872" s="159"/>
      <c r="R872" s="159"/>
      <c r="S872" s="150" t="s">
        <v>8689</v>
      </c>
      <c r="T872" s="150" t="s">
        <v>8690</v>
      </c>
      <c r="U872" s="241" t="s">
        <v>8691</v>
      </c>
      <c r="V872" s="244" t="s">
        <v>211</v>
      </c>
      <c r="W872" s="244" t="s">
        <v>5104</v>
      </c>
      <c r="X872" s="241" t="s">
        <v>213</v>
      </c>
      <c r="Y872" s="245">
        <v>72000</v>
      </c>
      <c r="Z872" s="246">
        <v>1000</v>
      </c>
      <c r="AA872" s="245">
        <f t="shared" si="212"/>
        <v>68000000</v>
      </c>
      <c r="AB872" s="244"/>
      <c r="AC872" s="247">
        <f t="shared" si="210"/>
        <v>1000</v>
      </c>
      <c r="AD872" s="159">
        <f t="shared" si="213"/>
        <v>0</v>
      </c>
      <c r="AE872" s="248"/>
      <c r="AF872" s="160">
        <f t="shared" si="214"/>
        <v>0</v>
      </c>
      <c r="AG872" s="248"/>
      <c r="AH872" s="161">
        <f t="shared" si="215"/>
        <v>0</v>
      </c>
      <c r="AI872" s="249"/>
      <c r="AJ872" s="249"/>
      <c r="AK872" s="249"/>
      <c r="AL872" s="249"/>
      <c r="AM872" s="249"/>
      <c r="AN872" s="249"/>
      <c r="AO872" s="249"/>
      <c r="AP872" s="249"/>
      <c r="AQ872" s="249"/>
      <c r="AR872" s="162">
        <f t="shared" si="216"/>
        <v>0</v>
      </c>
      <c r="AS872" s="249"/>
      <c r="AT872" s="167">
        <f t="shared" si="217"/>
        <v>0</v>
      </c>
      <c r="AU872" s="249"/>
      <c r="AV872" s="163">
        <f t="shared" si="218"/>
        <v>0</v>
      </c>
      <c r="AW872" s="249"/>
      <c r="AX872" s="168">
        <f t="shared" si="219"/>
        <v>0</v>
      </c>
      <c r="AY872" s="249"/>
      <c r="AZ872" s="170">
        <f t="shared" si="220"/>
        <v>0</v>
      </c>
      <c r="BA872" s="249"/>
      <c r="BB872" s="166">
        <f t="shared" si="221"/>
        <v>0</v>
      </c>
    </row>
    <row r="873" spans="1:54" s="131" customFormat="1" ht="63">
      <c r="A873" s="250">
        <v>41</v>
      </c>
      <c r="B873" s="242" t="s">
        <v>4610</v>
      </c>
      <c r="C873" s="242"/>
      <c r="D873" s="242"/>
      <c r="E873" s="244" t="s">
        <v>4609</v>
      </c>
      <c r="F873" s="241" t="s">
        <v>8700</v>
      </c>
      <c r="G873" s="244" t="s">
        <v>8701</v>
      </c>
      <c r="H873" s="244" t="s">
        <v>8698</v>
      </c>
      <c r="I873" s="241" t="s">
        <v>11</v>
      </c>
      <c r="J873" s="244" t="s">
        <v>8699</v>
      </c>
      <c r="K873" s="245">
        <v>1850</v>
      </c>
      <c r="L873" s="245"/>
      <c r="M873" s="159">
        <f t="shared" si="211"/>
        <v>5000</v>
      </c>
      <c r="N873" s="159"/>
      <c r="O873" s="159"/>
      <c r="P873" s="159"/>
      <c r="Q873" s="159"/>
      <c r="R873" s="159"/>
      <c r="S873" s="150" t="s">
        <v>5153</v>
      </c>
      <c r="T873" s="150" t="s">
        <v>5154</v>
      </c>
      <c r="U873" s="241" t="s">
        <v>4608</v>
      </c>
      <c r="V873" s="244" t="s">
        <v>211</v>
      </c>
      <c r="W873" s="244" t="s">
        <v>253</v>
      </c>
      <c r="X873" s="241" t="s">
        <v>213</v>
      </c>
      <c r="Y873" s="245">
        <v>1850</v>
      </c>
      <c r="Z873" s="246">
        <v>15000</v>
      </c>
      <c r="AA873" s="245">
        <f t="shared" si="212"/>
        <v>27750000</v>
      </c>
      <c r="AB873" s="244"/>
      <c r="AC873" s="247">
        <f t="shared" si="210"/>
        <v>10000</v>
      </c>
      <c r="AD873" s="159">
        <f t="shared" si="213"/>
        <v>9250000</v>
      </c>
      <c r="AE873" s="248"/>
      <c r="AF873" s="160">
        <f t="shared" si="214"/>
        <v>0</v>
      </c>
      <c r="AG873" s="248"/>
      <c r="AH873" s="161">
        <f t="shared" si="215"/>
        <v>0</v>
      </c>
      <c r="AI873" s="249"/>
      <c r="AJ873" s="249"/>
      <c r="AK873" s="249"/>
      <c r="AL873" s="249"/>
      <c r="AM873" s="249"/>
      <c r="AN873" s="249"/>
      <c r="AO873" s="249"/>
      <c r="AP873" s="249"/>
      <c r="AQ873" s="249">
        <v>5000</v>
      </c>
      <c r="AR873" s="162">
        <f t="shared" si="216"/>
        <v>9250000</v>
      </c>
      <c r="AS873" s="249"/>
      <c r="AT873" s="167">
        <f t="shared" si="217"/>
        <v>0</v>
      </c>
      <c r="AU873" s="249"/>
      <c r="AV873" s="163">
        <f t="shared" si="218"/>
        <v>0</v>
      </c>
      <c r="AW873" s="249"/>
      <c r="AX873" s="168">
        <f t="shared" si="219"/>
        <v>0</v>
      </c>
      <c r="AY873" s="249"/>
      <c r="AZ873" s="170">
        <f t="shared" si="220"/>
        <v>0</v>
      </c>
      <c r="BA873" s="249"/>
      <c r="BB873" s="166">
        <f t="shared" si="221"/>
        <v>0</v>
      </c>
    </row>
    <row r="874" spans="1:54" s="131" customFormat="1" ht="31.5">
      <c r="A874" s="148">
        <v>42</v>
      </c>
      <c r="B874" s="242" t="s">
        <v>8703</v>
      </c>
      <c r="C874" s="242"/>
      <c r="D874" s="242"/>
      <c r="E874" s="244" t="s">
        <v>8705</v>
      </c>
      <c r="F874" s="241" t="s">
        <v>8707</v>
      </c>
      <c r="G874" s="244" t="s">
        <v>8525</v>
      </c>
      <c r="H874" s="244" t="s">
        <v>8704</v>
      </c>
      <c r="I874" s="241" t="s">
        <v>15</v>
      </c>
      <c r="J874" s="244" t="s">
        <v>8706</v>
      </c>
      <c r="K874" s="245">
        <v>21000</v>
      </c>
      <c r="L874" s="245"/>
      <c r="M874" s="159">
        <f t="shared" si="211"/>
        <v>0</v>
      </c>
      <c r="N874" s="159"/>
      <c r="O874" s="159"/>
      <c r="P874" s="159"/>
      <c r="Q874" s="159"/>
      <c r="R874" s="159"/>
      <c r="S874" s="244" t="s">
        <v>8520</v>
      </c>
      <c r="T874" s="244" t="s">
        <v>8521</v>
      </c>
      <c r="U874" s="241" t="s">
        <v>8702</v>
      </c>
      <c r="V874" s="244" t="s">
        <v>211</v>
      </c>
      <c r="W874" s="244" t="s">
        <v>5104</v>
      </c>
      <c r="X874" s="241" t="s">
        <v>213</v>
      </c>
      <c r="Y874" s="245">
        <v>25000</v>
      </c>
      <c r="Z874" s="246">
        <v>1000</v>
      </c>
      <c r="AA874" s="245">
        <f t="shared" si="212"/>
        <v>21000000</v>
      </c>
      <c r="AB874" s="244"/>
      <c r="AC874" s="247">
        <f t="shared" si="210"/>
        <v>1000</v>
      </c>
      <c r="AD874" s="159">
        <f t="shared" si="213"/>
        <v>0</v>
      </c>
      <c r="AE874" s="248"/>
      <c r="AF874" s="160">
        <f t="shared" si="214"/>
        <v>0</v>
      </c>
      <c r="AG874" s="248"/>
      <c r="AH874" s="161">
        <f t="shared" si="215"/>
        <v>0</v>
      </c>
      <c r="AI874" s="249"/>
      <c r="AJ874" s="249"/>
      <c r="AK874" s="249"/>
      <c r="AL874" s="249"/>
      <c r="AM874" s="249"/>
      <c r="AN874" s="249"/>
      <c r="AO874" s="249"/>
      <c r="AP874" s="249"/>
      <c r="AQ874" s="249"/>
      <c r="AR874" s="162">
        <f t="shared" si="216"/>
        <v>0</v>
      </c>
      <c r="AS874" s="249"/>
      <c r="AT874" s="167">
        <f t="shared" si="217"/>
        <v>0</v>
      </c>
      <c r="AU874" s="249"/>
      <c r="AV874" s="163">
        <f t="shared" si="218"/>
        <v>0</v>
      </c>
      <c r="AW874" s="249"/>
      <c r="AX874" s="168">
        <f t="shared" si="219"/>
        <v>0</v>
      </c>
      <c r="AY874" s="249"/>
      <c r="AZ874" s="170">
        <f t="shared" si="220"/>
        <v>0</v>
      </c>
      <c r="BA874" s="249"/>
      <c r="BB874" s="166">
        <f t="shared" si="221"/>
        <v>0</v>
      </c>
    </row>
    <row r="875" spans="1:54" s="131" customFormat="1" ht="47.25">
      <c r="A875" s="148">
        <v>43</v>
      </c>
      <c r="B875" s="242" t="s">
        <v>8708</v>
      </c>
      <c r="C875" s="242"/>
      <c r="D875" s="242"/>
      <c r="E875" s="244" t="s">
        <v>8710</v>
      </c>
      <c r="F875" s="241" t="s">
        <v>8712</v>
      </c>
      <c r="G875" s="244" t="s">
        <v>2310</v>
      </c>
      <c r="H875" s="244" t="s">
        <v>8709</v>
      </c>
      <c r="I875" s="241" t="s">
        <v>13</v>
      </c>
      <c r="J875" s="244" t="s">
        <v>8711</v>
      </c>
      <c r="K875" s="245">
        <v>7000</v>
      </c>
      <c r="L875" s="245"/>
      <c r="M875" s="159">
        <f t="shared" si="211"/>
        <v>3000</v>
      </c>
      <c r="N875" s="159"/>
      <c r="O875" s="159"/>
      <c r="P875" s="159"/>
      <c r="Q875" s="159"/>
      <c r="R875" s="159"/>
      <c r="S875" s="149" t="s">
        <v>5669</v>
      </c>
      <c r="T875" s="149" t="s">
        <v>5670</v>
      </c>
      <c r="U875" s="241" t="s">
        <v>4702</v>
      </c>
      <c r="V875" s="244" t="s">
        <v>211</v>
      </c>
      <c r="W875" s="244" t="s">
        <v>5104</v>
      </c>
      <c r="X875" s="241" t="s">
        <v>213</v>
      </c>
      <c r="Y875" s="245">
        <v>7500</v>
      </c>
      <c r="Z875" s="246">
        <v>15000</v>
      </c>
      <c r="AA875" s="245">
        <f t="shared" si="212"/>
        <v>105000000</v>
      </c>
      <c r="AB875" s="244"/>
      <c r="AC875" s="247">
        <f t="shared" si="210"/>
        <v>12000</v>
      </c>
      <c r="AD875" s="159">
        <f t="shared" si="213"/>
        <v>21000000</v>
      </c>
      <c r="AE875" s="248"/>
      <c r="AF875" s="160">
        <f t="shared" si="214"/>
        <v>0</v>
      </c>
      <c r="AG875" s="248"/>
      <c r="AH875" s="161">
        <f t="shared" si="215"/>
        <v>0</v>
      </c>
      <c r="AI875" s="249"/>
      <c r="AJ875" s="249"/>
      <c r="AK875" s="249"/>
      <c r="AL875" s="249"/>
      <c r="AM875" s="249"/>
      <c r="AN875" s="249"/>
      <c r="AO875" s="249"/>
      <c r="AP875" s="249"/>
      <c r="AQ875" s="249">
        <v>3000</v>
      </c>
      <c r="AR875" s="162">
        <f t="shared" si="216"/>
        <v>21000000</v>
      </c>
      <c r="AS875" s="249"/>
      <c r="AT875" s="167">
        <f t="shared" si="217"/>
        <v>0</v>
      </c>
      <c r="AU875" s="249"/>
      <c r="AV875" s="163">
        <f t="shared" si="218"/>
        <v>0</v>
      </c>
      <c r="AW875" s="249"/>
      <c r="AX875" s="168">
        <f t="shared" si="219"/>
        <v>0</v>
      </c>
      <c r="AY875" s="249"/>
      <c r="AZ875" s="170">
        <f t="shared" si="220"/>
        <v>0</v>
      </c>
      <c r="BA875" s="249"/>
      <c r="BB875" s="166">
        <f t="shared" si="221"/>
        <v>0</v>
      </c>
    </row>
    <row r="876" spans="1:54" s="131" customFormat="1" ht="63">
      <c r="A876" s="250">
        <v>44</v>
      </c>
      <c r="B876" s="242" t="s">
        <v>8713</v>
      </c>
      <c r="C876" s="242"/>
      <c r="D876" s="242"/>
      <c r="E876" s="244" t="s">
        <v>4667</v>
      </c>
      <c r="F876" s="241" t="s">
        <v>8714</v>
      </c>
      <c r="G876" s="244" t="s">
        <v>2253</v>
      </c>
      <c r="H876" s="244" t="s">
        <v>4669</v>
      </c>
      <c r="I876" s="241" t="s">
        <v>11</v>
      </c>
      <c r="J876" s="244" t="s">
        <v>8616</v>
      </c>
      <c r="K876" s="245">
        <v>1150</v>
      </c>
      <c r="L876" s="245"/>
      <c r="M876" s="159">
        <f t="shared" si="211"/>
        <v>9600</v>
      </c>
      <c r="N876" s="159"/>
      <c r="O876" s="159"/>
      <c r="P876" s="159"/>
      <c r="Q876" s="159"/>
      <c r="R876" s="159"/>
      <c r="S876" s="244" t="s">
        <v>2253</v>
      </c>
      <c r="T876" s="244" t="s">
        <v>8511</v>
      </c>
      <c r="U876" s="241" t="s">
        <v>4666</v>
      </c>
      <c r="V876" s="244" t="s">
        <v>211</v>
      </c>
      <c r="W876" s="244" t="s">
        <v>5104</v>
      </c>
      <c r="X876" s="241" t="s">
        <v>213</v>
      </c>
      <c r="Y876" s="245">
        <v>1860</v>
      </c>
      <c r="Z876" s="246">
        <v>25000</v>
      </c>
      <c r="AA876" s="245">
        <f t="shared" si="212"/>
        <v>28750000</v>
      </c>
      <c r="AB876" s="244"/>
      <c r="AC876" s="247">
        <f t="shared" si="210"/>
        <v>15400</v>
      </c>
      <c r="AD876" s="159">
        <f t="shared" si="213"/>
        <v>11040000</v>
      </c>
      <c r="AE876" s="248"/>
      <c r="AF876" s="160">
        <f t="shared" si="214"/>
        <v>0</v>
      </c>
      <c r="AG876" s="248"/>
      <c r="AH876" s="161">
        <f t="shared" si="215"/>
        <v>0</v>
      </c>
      <c r="AI876" s="249"/>
      <c r="AJ876" s="249"/>
      <c r="AK876" s="249"/>
      <c r="AL876" s="249"/>
      <c r="AM876" s="249"/>
      <c r="AN876" s="249"/>
      <c r="AO876" s="249"/>
      <c r="AP876" s="249"/>
      <c r="AQ876" s="249">
        <v>9600</v>
      </c>
      <c r="AR876" s="162">
        <f t="shared" si="216"/>
        <v>11040000</v>
      </c>
      <c r="AS876" s="249"/>
      <c r="AT876" s="167">
        <f t="shared" si="217"/>
        <v>0</v>
      </c>
      <c r="AU876" s="249"/>
      <c r="AV876" s="163">
        <f t="shared" si="218"/>
        <v>0</v>
      </c>
      <c r="AW876" s="249"/>
      <c r="AX876" s="168">
        <f t="shared" si="219"/>
        <v>0</v>
      </c>
      <c r="AY876" s="249"/>
      <c r="AZ876" s="170">
        <f t="shared" si="220"/>
        <v>0</v>
      </c>
      <c r="BA876" s="249"/>
      <c r="BB876" s="166">
        <f t="shared" si="221"/>
        <v>0</v>
      </c>
    </row>
    <row r="877" spans="1:54" s="131" customFormat="1" ht="63">
      <c r="A877" s="148">
        <v>45</v>
      </c>
      <c r="B877" s="242" t="s">
        <v>8716</v>
      </c>
      <c r="C877" s="242"/>
      <c r="D877" s="242"/>
      <c r="E877" s="244" t="s">
        <v>8718</v>
      </c>
      <c r="F877" s="241" t="s">
        <v>8720</v>
      </c>
      <c r="G877" s="244" t="s">
        <v>8721</v>
      </c>
      <c r="H877" s="244" t="s">
        <v>8717</v>
      </c>
      <c r="I877" s="241" t="s">
        <v>15</v>
      </c>
      <c r="J877" s="244" t="s">
        <v>8719</v>
      </c>
      <c r="K877" s="245">
        <v>40000</v>
      </c>
      <c r="L877" s="245"/>
      <c r="M877" s="159">
        <f t="shared" si="211"/>
        <v>0</v>
      </c>
      <c r="N877" s="159"/>
      <c r="O877" s="159"/>
      <c r="P877" s="159"/>
      <c r="Q877" s="159"/>
      <c r="R877" s="159"/>
      <c r="S877" s="149" t="s">
        <v>5669</v>
      </c>
      <c r="T877" s="149" t="s">
        <v>5670</v>
      </c>
      <c r="U877" s="241" t="s">
        <v>8715</v>
      </c>
      <c r="V877" s="244" t="s">
        <v>211</v>
      </c>
      <c r="W877" s="244" t="s">
        <v>253</v>
      </c>
      <c r="X877" s="241" t="s">
        <v>213</v>
      </c>
      <c r="Y877" s="245">
        <v>47000</v>
      </c>
      <c r="Z877" s="246">
        <v>500</v>
      </c>
      <c r="AA877" s="245">
        <f t="shared" si="212"/>
        <v>20000000</v>
      </c>
      <c r="AB877" s="244"/>
      <c r="AC877" s="247">
        <f t="shared" si="210"/>
        <v>500</v>
      </c>
      <c r="AD877" s="159">
        <f t="shared" si="213"/>
        <v>0</v>
      </c>
      <c r="AE877" s="248"/>
      <c r="AF877" s="160">
        <f t="shared" si="214"/>
        <v>0</v>
      </c>
      <c r="AG877" s="248"/>
      <c r="AH877" s="161">
        <f t="shared" si="215"/>
        <v>0</v>
      </c>
      <c r="AI877" s="249"/>
      <c r="AJ877" s="249"/>
      <c r="AK877" s="249"/>
      <c r="AL877" s="249"/>
      <c r="AM877" s="249"/>
      <c r="AN877" s="249"/>
      <c r="AO877" s="249"/>
      <c r="AP877" s="249"/>
      <c r="AQ877" s="249"/>
      <c r="AR877" s="162">
        <f t="shared" si="216"/>
        <v>0</v>
      </c>
      <c r="AS877" s="249"/>
      <c r="AT877" s="167">
        <f t="shared" si="217"/>
        <v>0</v>
      </c>
      <c r="AU877" s="249"/>
      <c r="AV877" s="163">
        <f t="shared" si="218"/>
        <v>0</v>
      </c>
      <c r="AW877" s="249"/>
      <c r="AX877" s="168">
        <f t="shared" si="219"/>
        <v>0</v>
      </c>
      <c r="AY877" s="249"/>
      <c r="AZ877" s="170">
        <f t="shared" si="220"/>
        <v>0</v>
      </c>
      <c r="BA877" s="249"/>
      <c r="BB877" s="166">
        <f t="shared" si="221"/>
        <v>0</v>
      </c>
    </row>
    <row r="878" spans="1:54" ht="78.75">
      <c r="A878" s="148">
        <v>46</v>
      </c>
      <c r="B878" s="242" t="s">
        <v>8722</v>
      </c>
      <c r="C878" s="242"/>
      <c r="D878" s="242"/>
      <c r="E878" s="244" t="s">
        <v>4747</v>
      </c>
      <c r="F878" s="241" t="s">
        <v>8724</v>
      </c>
      <c r="G878" s="244" t="s">
        <v>8725</v>
      </c>
      <c r="H878" s="244" t="s">
        <v>4749</v>
      </c>
      <c r="I878" s="241" t="s">
        <v>658</v>
      </c>
      <c r="J878" s="244" t="s">
        <v>8723</v>
      </c>
      <c r="K878" s="245">
        <v>39900</v>
      </c>
      <c r="L878" s="245"/>
      <c r="M878" s="159">
        <f t="shared" si="211"/>
        <v>100</v>
      </c>
      <c r="N878" s="159"/>
      <c r="O878" s="159"/>
      <c r="P878" s="159"/>
      <c r="Q878" s="159"/>
      <c r="R878" s="159"/>
      <c r="S878" s="244" t="s">
        <v>8641</v>
      </c>
      <c r="T878" s="244" t="s">
        <v>6692</v>
      </c>
      <c r="U878" s="241" t="s">
        <v>4746</v>
      </c>
      <c r="V878" s="244" t="s">
        <v>211</v>
      </c>
      <c r="W878" s="244" t="s">
        <v>5104</v>
      </c>
      <c r="X878" s="241" t="s">
        <v>213</v>
      </c>
      <c r="Y878" s="245">
        <v>40000</v>
      </c>
      <c r="Z878" s="246">
        <v>500</v>
      </c>
      <c r="AA878" s="245">
        <f t="shared" si="212"/>
        <v>19950000</v>
      </c>
      <c r="AB878" s="244"/>
      <c r="AC878" s="247">
        <f t="shared" si="210"/>
        <v>400</v>
      </c>
      <c r="AD878" s="159">
        <f t="shared" si="213"/>
        <v>3990000</v>
      </c>
      <c r="AE878" s="248"/>
      <c r="AF878" s="160">
        <f t="shared" si="214"/>
        <v>0</v>
      </c>
      <c r="AG878" s="248"/>
      <c r="AH878" s="161">
        <f t="shared" si="215"/>
        <v>0</v>
      </c>
      <c r="AI878" s="249"/>
      <c r="AJ878" s="249"/>
      <c r="AK878" s="249"/>
      <c r="AL878" s="249"/>
      <c r="AM878" s="249"/>
      <c r="AN878" s="249"/>
      <c r="AO878" s="249"/>
      <c r="AP878" s="249"/>
      <c r="AQ878" s="249"/>
      <c r="AR878" s="162">
        <f t="shared" si="216"/>
        <v>0</v>
      </c>
      <c r="AS878" s="249">
        <v>100</v>
      </c>
      <c r="AT878" s="167">
        <f t="shared" si="217"/>
        <v>3990000</v>
      </c>
      <c r="AU878" s="249"/>
      <c r="AV878" s="163">
        <f t="shared" si="218"/>
        <v>0</v>
      </c>
      <c r="AW878" s="249"/>
      <c r="AX878" s="168">
        <f t="shared" si="219"/>
        <v>0</v>
      </c>
      <c r="AY878" s="249"/>
      <c r="AZ878" s="170">
        <f t="shared" si="220"/>
        <v>0</v>
      </c>
      <c r="BA878" s="249"/>
      <c r="BB878" s="166">
        <f t="shared" si="221"/>
        <v>0</v>
      </c>
    </row>
    <row r="879" spans="1:54" ht="47.25">
      <c r="A879" s="250">
        <v>47</v>
      </c>
      <c r="B879" s="242" t="s">
        <v>8726</v>
      </c>
      <c r="C879" s="242"/>
      <c r="D879" s="242"/>
      <c r="E879" s="244" t="s">
        <v>4752</v>
      </c>
      <c r="F879" s="241" t="s">
        <v>8729</v>
      </c>
      <c r="G879" s="244" t="s">
        <v>8563</v>
      </c>
      <c r="H879" s="244" t="s">
        <v>8727</v>
      </c>
      <c r="I879" s="241" t="s">
        <v>11</v>
      </c>
      <c r="J879" s="244" t="s">
        <v>8728</v>
      </c>
      <c r="K879" s="245">
        <v>1900</v>
      </c>
      <c r="L879" s="245"/>
      <c r="M879" s="159">
        <f t="shared" si="211"/>
        <v>5000</v>
      </c>
      <c r="N879" s="159"/>
      <c r="O879" s="159"/>
      <c r="P879" s="159"/>
      <c r="Q879" s="159"/>
      <c r="R879" s="159"/>
      <c r="S879" s="244" t="s">
        <v>8641</v>
      </c>
      <c r="T879" s="244" t="s">
        <v>6692</v>
      </c>
      <c r="U879" s="241" t="s">
        <v>4751</v>
      </c>
      <c r="V879" s="244" t="s">
        <v>211</v>
      </c>
      <c r="W879" s="244" t="s">
        <v>5104</v>
      </c>
      <c r="X879" s="241" t="s">
        <v>213</v>
      </c>
      <c r="Y879" s="245">
        <v>1900</v>
      </c>
      <c r="Z879" s="246">
        <v>25000</v>
      </c>
      <c r="AA879" s="245">
        <f t="shared" si="212"/>
        <v>47500000</v>
      </c>
      <c r="AB879" s="244"/>
      <c r="AC879" s="247">
        <f t="shared" si="210"/>
        <v>20000</v>
      </c>
      <c r="AD879" s="159">
        <f t="shared" si="213"/>
        <v>9500000</v>
      </c>
      <c r="AE879" s="248"/>
      <c r="AF879" s="160">
        <f t="shared" si="214"/>
        <v>0</v>
      </c>
      <c r="AG879" s="248"/>
      <c r="AH879" s="161">
        <f t="shared" si="215"/>
        <v>0</v>
      </c>
      <c r="AI879" s="249"/>
      <c r="AJ879" s="249"/>
      <c r="AK879" s="249"/>
      <c r="AL879" s="249"/>
      <c r="AM879" s="249"/>
      <c r="AN879" s="249"/>
      <c r="AO879" s="249"/>
      <c r="AP879" s="249"/>
      <c r="AQ879" s="249"/>
      <c r="AR879" s="162">
        <f t="shared" si="216"/>
        <v>0</v>
      </c>
      <c r="AS879" s="249">
        <v>5000</v>
      </c>
      <c r="AT879" s="167">
        <f t="shared" si="217"/>
        <v>9500000</v>
      </c>
      <c r="AU879" s="249"/>
      <c r="AV879" s="163">
        <f t="shared" si="218"/>
        <v>0</v>
      </c>
      <c r="AW879" s="249"/>
      <c r="AX879" s="168">
        <f t="shared" si="219"/>
        <v>0</v>
      </c>
      <c r="AY879" s="249"/>
      <c r="AZ879" s="170">
        <f t="shared" si="220"/>
        <v>0</v>
      </c>
      <c r="BA879" s="249"/>
      <c r="BB879" s="166">
        <f t="shared" si="221"/>
        <v>0</v>
      </c>
    </row>
    <row r="880" spans="1:54" ht="31.5">
      <c r="A880" s="148">
        <v>48</v>
      </c>
      <c r="B880" s="242" t="s">
        <v>2313</v>
      </c>
      <c r="C880" s="242"/>
      <c r="D880" s="242"/>
      <c r="E880" s="244" t="s">
        <v>8731</v>
      </c>
      <c r="F880" s="241" t="s">
        <v>8733</v>
      </c>
      <c r="G880" s="244" t="s">
        <v>2310</v>
      </c>
      <c r="H880" s="244" t="s">
        <v>8730</v>
      </c>
      <c r="I880" s="241" t="s">
        <v>11</v>
      </c>
      <c r="J880" s="244" t="s">
        <v>8732</v>
      </c>
      <c r="K880" s="245">
        <v>2280</v>
      </c>
      <c r="L880" s="245"/>
      <c r="M880" s="159">
        <f t="shared" si="211"/>
        <v>10000</v>
      </c>
      <c r="N880" s="159"/>
      <c r="O880" s="159"/>
      <c r="P880" s="159"/>
      <c r="Q880" s="159"/>
      <c r="R880" s="159"/>
      <c r="S880" s="149" t="s">
        <v>5669</v>
      </c>
      <c r="T880" s="149" t="s">
        <v>5670</v>
      </c>
      <c r="U880" s="241" t="s">
        <v>4697</v>
      </c>
      <c r="V880" s="244" t="s">
        <v>211</v>
      </c>
      <c r="W880" s="244" t="s">
        <v>5104</v>
      </c>
      <c r="X880" s="241" t="s">
        <v>213</v>
      </c>
      <c r="Y880" s="245">
        <v>2280</v>
      </c>
      <c r="Z880" s="246">
        <v>40000</v>
      </c>
      <c r="AA880" s="245">
        <f t="shared" si="212"/>
        <v>91200000</v>
      </c>
      <c r="AB880" s="244"/>
      <c r="AC880" s="247">
        <f t="shared" si="210"/>
        <v>30000</v>
      </c>
      <c r="AD880" s="159">
        <f t="shared" si="213"/>
        <v>22800000</v>
      </c>
      <c r="AE880" s="248"/>
      <c r="AF880" s="160">
        <f t="shared" si="214"/>
        <v>0</v>
      </c>
      <c r="AG880" s="248"/>
      <c r="AH880" s="161">
        <f t="shared" si="215"/>
        <v>0</v>
      </c>
      <c r="AI880" s="249"/>
      <c r="AJ880" s="249"/>
      <c r="AK880" s="249"/>
      <c r="AL880" s="249"/>
      <c r="AM880" s="249"/>
      <c r="AN880" s="249"/>
      <c r="AO880" s="249"/>
      <c r="AP880" s="249"/>
      <c r="AQ880" s="249">
        <v>5000</v>
      </c>
      <c r="AR880" s="162">
        <f t="shared" si="216"/>
        <v>11400000</v>
      </c>
      <c r="AS880" s="249"/>
      <c r="AT880" s="167">
        <f t="shared" si="217"/>
        <v>0</v>
      </c>
      <c r="AU880" s="249">
        <v>5000</v>
      </c>
      <c r="AV880" s="163">
        <f t="shared" si="218"/>
        <v>11400000</v>
      </c>
      <c r="AW880" s="249"/>
      <c r="AX880" s="168">
        <f t="shared" si="219"/>
        <v>0</v>
      </c>
      <c r="AY880" s="249"/>
      <c r="AZ880" s="170">
        <f t="shared" si="220"/>
        <v>0</v>
      </c>
      <c r="BA880" s="249"/>
      <c r="BB880" s="166">
        <f t="shared" si="221"/>
        <v>0</v>
      </c>
    </row>
    <row r="881" spans="1:54" s="115" customFormat="1" ht="31.5">
      <c r="A881" s="148">
        <v>49</v>
      </c>
      <c r="B881" s="242" t="s">
        <v>133</v>
      </c>
      <c r="C881" s="242"/>
      <c r="D881" s="242"/>
      <c r="E881" s="244" t="s">
        <v>132</v>
      </c>
      <c r="F881" s="241" t="s">
        <v>2330</v>
      </c>
      <c r="G881" s="244" t="s">
        <v>8736</v>
      </c>
      <c r="H881" s="244" t="s">
        <v>8734</v>
      </c>
      <c r="I881" s="241" t="s">
        <v>11</v>
      </c>
      <c r="J881" s="244" t="s">
        <v>8735</v>
      </c>
      <c r="K881" s="245">
        <v>1407</v>
      </c>
      <c r="L881" s="245"/>
      <c r="M881" s="159">
        <f t="shared" si="211"/>
        <v>18960</v>
      </c>
      <c r="N881" s="159"/>
      <c r="O881" s="159"/>
      <c r="P881" s="159"/>
      <c r="Q881" s="159"/>
      <c r="R881" s="159"/>
      <c r="S881" s="149" t="s">
        <v>2332</v>
      </c>
      <c r="T881" s="150" t="s">
        <v>5158</v>
      </c>
      <c r="U881" s="241" t="s">
        <v>4692</v>
      </c>
      <c r="V881" s="244" t="s">
        <v>211</v>
      </c>
      <c r="W881" s="244" t="s">
        <v>5104</v>
      </c>
      <c r="X881" s="241" t="s">
        <v>213</v>
      </c>
      <c r="Y881" s="245">
        <v>1890</v>
      </c>
      <c r="Z881" s="246">
        <v>100000</v>
      </c>
      <c r="AA881" s="245">
        <f t="shared" si="212"/>
        <v>140700000</v>
      </c>
      <c r="AB881" s="244"/>
      <c r="AC881" s="247">
        <f t="shared" si="210"/>
        <v>81040</v>
      </c>
      <c r="AD881" s="159">
        <f t="shared" si="213"/>
        <v>26676720</v>
      </c>
      <c r="AE881" s="248"/>
      <c r="AF881" s="160">
        <f t="shared" si="214"/>
        <v>0</v>
      </c>
      <c r="AG881" s="248"/>
      <c r="AH881" s="161">
        <f t="shared" si="215"/>
        <v>0</v>
      </c>
      <c r="AI881" s="249"/>
      <c r="AJ881" s="249"/>
      <c r="AK881" s="249"/>
      <c r="AL881" s="249"/>
      <c r="AM881" s="249"/>
      <c r="AN881" s="249"/>
      <c r="AO881" s="249"/>
      <c r="AP881" s="249"/>
      <c r="AQ881" s="249">
        <v>18960</v>
      </c>
      <c r="AR881" s="162">
        <f t="shared" si="216"/>
        <v>26676720</v>
      </c>
      <c r="AS881" s="249"/>
      <c r="AT881" s="167">
        <f t="shared" si="217"/>
        <v>0</v>
      </c>
      <c r="AU881" s="249"/>
      <c r="AV881" s="163">
        <f t="shared" si="218"/>
        <v>0</v>
      </c>
      <c r="AW881" s="249"/>
      <c r="AX881" s="168">
        <f t="shared" si="219"/>
        <v>0</v>
      </c>
      <c r="AY881" s="249"/>
      <c r="AZ881" s="170">
        <f t="shared" si="220"/>
        <v>0</v>
      </c>
      <c r="BA881" s="249"/>
      <c r="BB881" s="166">
        <f t="shared" si="221"/>
        <v>0</v>
      </c>
    </row>
    <row r="882" spans="1:54" ht="63">
      <c r="A882" s="250">
        <v>50</v>
      </c>
      <c r="B882" s="242" t="s">
        <v>8737</v>
      </c>
      <c r="C882" s="242"/>
      <c r="D882" s="242"/>
      <c r="E882" s="244" t="s">
        <v>2320</v>
      </c>
      <c r="F882" s="241" t="s">
        <v>8738</v>
      </c>
      <c r="G882" s="244" t="s">
        <v>8505</v>
      </c>
      <c r="H882" s="244" t="s">
        <v>4772</v>
      </c>
      <c r="I882" s="241" t="s">
        <v>11</v>
      </c>
      <c r="J882" s="244" t="s">
        <v>8616</v>
      </c>
      <c r="K882" s="245">
        <v>714</v>
      </c>
      <c r="L882" s="245"/>
      <c r="M882" s="159">
        <f t="shared" si="211"/>
        <v>5000</v>
      </c>
      <c r="N882" s="159"/>
      <c r="O882" s="159"/>
      <c r="P882" s="159"/>
      <c r="Q882" s="159"/>
      <c r="R882" s="159"/>
      <c r="S882" s="244" t="s">
        <v>8505</v>
      </c>
      <c r="T882" s="244" t="s">
        <v>8506</v>
      </c>
      <c r="U882" s="241" t="s">
        <v>4770</v>
      </c>
      <c r="V882" s="244" t="s">
        <v>211</v>
      </c>
      <c r="W882" s="244" t="s">
        <v>5104</v>
      </c>
      <c r="X882" s="241" t="s">
        <v>213</v>
      </c>
      <c r="Y882" s="245">
        <v>1800</v>
      </c>
      <c r="Z882" s="246">
        <v>25000</v>
      </c>
      <c r="AA882" s="245">
        <f t="shared" si="212"/>
        <v>17850000</v>
      </c>
      <c r="AB882" s="244"/>
      <c r="AC882" s="247">
        <f t="shared" si="210"/>
        <v>20000</v>
      </c>
      <c r="AD882" s="159">
        <f t="shared" si="213"/>
        <v>3570000</v>
      </c>
      <c r="AE882" s="248"/>
      <c r="AF882" s="160">
        <f t="shared" si="214"/>
        <v>0</v>
      </c>
      <c r="AG882" s="248"/>
      <c r="AH882" s="161">
        <f t="shared" si="215"/>
        <v>0</v>
      </c>
      <c r="AI882" s="249"/>
      <c r="AJ882" s="249"/>
      <c r="AK882" s="249"/>
      <c r="AL882" s="249"/>
      <c r="AM882" s="249"/>
      <c r="AN882" s="249"/>
      <c r="AO882" s="249"/>
      <c r="AP882" s="249"/>
      <c r="AQ882" s="249"/>
      <c r="AR882" s="162">
        <f t="shared" si="216"/>
        <v>0</v>
      </c>
      <c r="AS882" s="249">
        <v>5000</v>
      </c>
      <c r="AT882" s="167">
        <f t="shared" si="217"/>
        <v>3570000</v>
      </c>
      <c r="AU882" s="249"/>
      <c r="AV882" s="163">
        <f t="shared" si="218"/>
        <v>0</v>
      </c>
      <c r="AW882" s="249"/>
      <c r="AX882" s="168">
        <f t="shared" si="219"/>
        <v>0</v>
      </c>
      <c r="AY882" s="249"/>
      <c r="AZ882" s="170">
        <f t="shared" si="220"/>
        <v>0</v>
      </c>
      <c r="BA882" s="249"/>
      <c r="BB882" s="166">
        <f t="shared" si="221"/>
        <v>0</v>
      </c>
    </row>
    <row r="883" spans="1:54" ht="94.5">
      <c r="A883" s="148">
        <v>51</v>
      </c>
      <c r="B883" s="242" t="s">
        <v>8740</v>
      </c>
      <c r="C883" s="242"/>
      <c r="D883" s="242"/>
      <c r="E883" s="244" t="s">
        <v>8742</v>
      </c>
      <c r="F883" s="241" t="s">
        <v>8744</v>
      </c>
      <c r="G883" s="244" t="s">
        <v>8535</v>
      </c>
      <c r="H883" s="244" t="s">
        <v>8741</v>
      </c>
      <c r="I883" s="241" t="s">
        <v>11</v>
      </c>
      <c r="J883" s="244" t="s">
        <v>8743</v>
      </c>
      <c r="K883" s="245">
        <v>650</v>
      </c>
      <c r="L883" s="245"/>
      <c r="M883" s="159">
        <f t="shared" si="211"/>
        <v>0</v>
      </c>
      <c r="N883" s="159"/>
      <c r="O883" s="159"/>
      <c r="P883" s="159"/>
      <c r="Q883" s="159"/>
      <c r="R883" s="159"/>
      <c r="S883" s="150" t="s">
        <v>8527</v>
      </c>
      <c r="T883" s="150" t="s">
        <v>8528</v>
      </c>
      <c r="U883" s="241" t="s">
        <v>8739</v>
      </c>
      <c r="V883" s="244" t="s">
        <v>211</v>
      </c>
      <c r="W883" s="244" t="s">
        <v>5784</v>
      </c>
      <c r="X883" s="241" t="s">
        <v>8536</v>
      </c>
      <c r="Y883" s="245">
        <v>780</v>
      </c>
      <c r="Z883" s="246">
        <v>25000</v>
      </c>
      <c r="AA883" s="245">
        <f t="shared" si="212"/>
        <v>16250000</v>
      </c>
      <c r="AB883" s="244"/>
      <c r="AC883" s="247">
        <f t="shared" si="210"/>
        <v>25000</v>
      </c>
      <c r="AD883" s="159">
        <f t="shared" si="213"/>
        <v>0</v>
      </c>
      <c r="AE883" s="248"/>
      <c r="AF883" s="160">
        <f t="shared" si="214"/>
        <v>0</v>
      </c>
      <c r="AG883" s="248"/>
      <c r="AH883" s="161">
        <f t="shared" si="215"/>
        <v>0</v>
      </c>
      <c r="AI883" s="249"/>
      <c r="AJ883" s="249"/>
      <c r="AK883" s="249"/>
      <c r="AL883" s="249"/>
      <c r="AM883" s="249"/>
      <c r="AN883" s="249"/>
      <c r="AO883" s="249"/>
      <c r="AP883" s="249"/>
      <c r="AQ883" s="249"/>
      <c r="AR883" s="162">
        <f t="shared" si="216"/>
        <v>0</v>
      </c>
      <c r="AS883" s="249"/>
      <c r="AT883" s="167">
        <f t="shared" si="217"/>
        <v>0</v>
      </c>
      <c r="AU883" s="249"/>
      <c r="AV883" s="163">
        <f t="shared" si="218"/>
        <v>0</v>
      </c>
      <c r="AW883" s="249"/>
      <c r="AX883" s="168">
        <f t="shared" si="219"/>
        <v>0</v>
      </c>
      <c r="AY883" s="249"/>
      <c r="AZ883" s="170">
        <f t="shared" si="220"/>
        <v>0</v>
      </c>
      <c r="BA883" s="249"/>
      <c r="BB883" s="166">
        <f t="shared" si="221"/>
        <v>0</v>
      </c>
    </row>
    <row r="884" spans="1:54" ht="63">
      <c r="A884" s="148">
        <v>52</v>
      </c>
      <c r="B884" s="242" t="s">
        <v>8745</v>
      </c>
      <c r="C884" s="242"/>
      <c r="D884" s="242"/>
      <c r="E884" s="244" t="s">
        <v>8742</v>
      </c>
      <c r="F884" s="241" t="s">
        <v>8747</v>
      </c>
      <c r="G884" s="244" t="s">
        <v>8535</v>
      </c>
      <c r="H884" s="244" t="s">
        <v>4730</v>
      </c>
      <c r="I884" s="241" t="s">
        <v>11</v>
      </c>
      <c r="J884" s="244" t="s">
        <v>8746</v>
      </c>
      <c r="K884" s="245">
        <v>2067</v>
      </c>
      <c r="L884" s="245"/>
      <c r="M884" s="159">
        <f t="shared" si="211"/>
        <v>3000</v>
      </c>
      <c r="N884" s="159"/>
      <c r="O884" s="159"/>
      <c r="P884" s="159"/>
      <c r="Q884" s="159"/>
      <c r="R884" s="159"/>
      <c r="S884" s="150" t="s">
        <v>8527</v>
      </c>
      <c r="T884" s="150" t="s">
        <v>8528</v>
      </c>
      <c r="U884" s="241" t="s">
        <v>4727</v>
      </c>
      <c r="V884" s="244" t="s">
        <v>211</v>
      </c>
      <c r="W884" s="244" t="s">
        <v>7151</v>
      </c>
      <c r="X884" s="241" t="s">
        <v>8536</v>
      </c>
      <c r="Y884" s="245">
        <v>2500</v>
      </c>
      <c r="Z884" s="246">
        <v>20000</v>
      </c>
      <c r="AA884" s="245">
        <f t="shared" si="212"/>
        <v>41340000</v>
      </c>
      <c r="AB884" s="244"/>
      <c r="AC884" s="247">
        <f t="shared" si="210"/>
        <v>17000</v>
      </c>
      <c r="AD884" s="159">
        <f t="shared" si="213"/>
        <v>6201000</v>
      </c>
      <c r="AE884" s="248"/>
      <c r="AF884" s="160">
        <f t="shared" si="214"/>
        <v>0</v>
      </c>
      <c r="AG884" s="248"/>
      <c r="AH884" s="161">
        <f t="shared" si="215"/>
        <v>0</v>
      </c>
      <c r="AI884" s="249"/>
      <c r="AJ884" s="249"/>
      <c r="AK884" s="249"/>
      <c r="AL884" s="249"/>
      <c r="AM884" s="249"/>
      <c r="AN884" s="249"/>
      <c r="AO884" s="249"/>
      <c r="AP884" s="249"/>
      <c r="AQ884" s="249">
        <v>3000</v>
      </c>
      <c r="AR884" s="162">
        <f t="shared" si="216"/>
        <v>6201000</v>
      </c>
      <c r="AS884" s="249"/>
      <c r="AT884" s="167">
        <f t="shared" si="217"/>
        <v>0</v>
      </c>
      <c r="AU884" s="249"/>
      <c r="AV884" s="163">
        <f t="shared" si="218"/>
        <v>0</v>
      </c>
      <c r="AW884" s="249"/>
      <c r="AX884" s="168">
        <f t="shared" si="219"/>
        <v>0</v>
      </c>
      <c r="AY884" s="249"/>
      <c r="AZ884" s="170">
        <f t="shared" si="220"/>
        <v>0</v>
      </c>
      <c r="BA884" s="249"/>
      <c r="BB884" s="166">
        <f t="shared" si="221"/>
        <v>0</v>
      </c>
    </row>
    <row r="885" spans="1:54" ht="63">
      <c r="A885" s="250">
        <v>53</v>
      </c>
      <c r="B885" s="242" t="s">
        <v>68</v>
      </c>
      <c r="C885" s="242"/>
      <c r="D885" s="242"/>
      <c r="E885" s="244" t="s">
        <v>68</v>
      </c>
      <c r="F885" s="241" t="s">
        <v>8752</v>
      </c>
      <c r="G885" s="244" t="s">
        <v>2168</v>
      </c>
      <c r="H885" s="244" t="s">
        <v>429</v>
      </c>
      <c r="I885" s="241" t="s">
        <v>11</v>
      </c>
      <c r="J885" s="244" t="s">
        <v>8751</v>
      </c>
      <c r="K885" s="245">
        <v>300</v>
      </c>
      <c r="L885" s="245"/>
      <c r="M885" s="159">
        <f t="shared" si="211"/>
        <v>0</v>
      </c>
      <c r="N885" s="159"/>
      <c r="O885" s="159"/>
      <c r="P885" s="159"/>
      <c r="Q885" s="159"/>
      <c r="R885" s="159"/>
      <c r="S885" s="244" t="s">
        <v>8748</v>
      </c>
      <c r="T885" s="244" t="s">
        <v>8749</v>
      </c>
      <c r="U885" s="241" t="s">
        <v>8750</v>
      </c>
      <c r="V885" s="244" t="s">
        <v>211</v>
      </c>
      <c r="W885" s="244" t="s">
        <v>5104</v>
      </c>
      <c r="X885" s="241" t="s">
        <v>6694</v>
      </c>
      <c r="Y885" s="245">
        <v>400</v>
      </c>
      <c r="Z885" s="246">
        <v>50000</v>
      </c>
      <c r="AA885" s="245">
        <f t="shared" si="212"/>
        <v>15000000</v>
      </c>
      <c r="AB885" s="244"/>
      <c r="AC885" s="247">
        <f t="shared" si="210"/>
        <v>50000</v>
      </c>
      <c r="AD885" s="159">
        <f t="shared" si="213"/>
        <v>0</v>
      </c>
      <c r="AE885" s="248"/>
      <c r="AF885" s="160">
        <f t="shared" si="214"/>
        <v>0</v>
      </c>
      <c r="AG885" s="248"/>
      <c r="AH885" s="161">
        <f t="shared" si="215"/>
        <v>0</v>
      </c>
      <c r="AI885" s="249"/>
      <c r="AJ885" s="249"/>
      <c r="AK885" s="249"/>
      <c r="AL885" s="249"/>
      <c r="AM885" s="249"/>
      <c r="AN885" s="249"/>
      <c r="AO885" s="249"/>
      <c r="AP885" s="249"/>
      <c r="AQ885" s="249"/>
      <c r="AR885" s="162">
        <f t="shared" si="216"/>
        <v>0</v>
      </c>
      <c r="AS885" s="249"/>
      <c r="AT885" s="167">
        <f t="shared" si="217"/>
        <v>0</v>
      </c>
      <c r="AU885" s="249"/>
      <c r="AV885" s="163">
        <f t="shared" si="218"/>
        <v>0</v>
      </c>
      <c r="AW885" s="249"/>
      <c r="AX885" s="168">
        <f t="shared" si="219"/>
        <v>0</v>
      </c>
      <c r="AY885" s="249"/>
      <c r="AZ885" s="170">
        <f t="shared" si="220"/>
        <v>0</v>
      </c>
      <c r="BA885" s="249"/>
      <c r="BB885" s="166">
        <f t="shared" si="221"/>
        <v>0</v>
      </c>
    </row>
    <row r="886" spans="1:54" ht="31.5">
      <c r="A886" s="148">
        <v>54</v>
      </c>
      <c r="B886" s="242" t="s">
        <v>68</v>
      </c>
      <c r="C886" s="242"/>
      <c r="D886" s="242"/>
      <c r="E886" s="244" t="s">
        <v>8755</v>
      </c>
      <c r="F886" s="241" t="s">
        <v>8756</v>
      </c>
      <c r="G886" s="244" t="s">
        <v>2397</v>
      </c>
      <c r="H886" s="244" t="s">
        <v>8754</v>
      </c>
      <c r="I886" s="241" t="s">
        <v>11</v>
      </c>
      <c r="J886" s="244" t="s">
        <v>8660</v>
      </c>
      <c r="K886" s="245">
        <v>370</v>
      </c>
      <c r="L886" s="245"/>
      <c r="M886" s="159">
        <f t="shared" si="211"/>
        <v>0</v>
      </c>
      <c r="N886" s="159"/>
      <c r="O886" s="159"/>
      <c r="P886" s="159"/>
      <c r="Q886" s="159"/>
      <c r="R886" s="159"/>
      <c r="S886" s="150" t="s">
        <v>2397</v>
      </c>
      <c r="T886" s="150" t="s">
        <v>8652</v>
      </c>
      <c r="U886" s="241" t="s">
        <v>8753</v>
      </c>
      <c r="V886" s="244" t="s">
        <v>211</v>
      </c>
      <c r="W886" s="244" t="s">
        <v>253</v>
      </c>
      <c r="X886" s="241" t="s">
        <v>213</v>
      </c>
      <c r="Y886" s="245">
        <v>609</v>
      </c>
      <c r="Z886" s="246">
        <v>50000</v>
      </c>
      <c r="AA886" s="245">
        <f t="shared" si="212"/>
        <v>18500000</v>
      </c>
      <c r="AB886" s="244"/>
      <c r="AC886" s="247">
        <f t="shared" si="210"/>
        <v>50000</v>
      </c>
      <c r="AD886" s="159">
        <f t="shared" si="213"/>
        <v>0</v>
      </c>
      <c r="AE886" s="248"/>
      <c r="AF886" s="160">
        <f t="shared" si="214"/>
        <v>0</v>
      </c>
      <c r="AG886" s="248"/>
      <c r="AH886" s="161">
        <f t="shared" si="215"/>
        <v>0</v>
      </c>
      <c r="AI886" s="249"/>
      <c r="AJ886" s="249"/>
      <c r="AK886" s="249"/>
      <c r="AL886" s="249"/>
      <c r="AM886" s="249"/>
      <c r="AN886" s="249"/>
      <c r="AO886" s="249"/>
      <c r="AP886" s="249"/>
      <c r="AQ886" s="249"/>
      <c r="AR886" s="162">
        <f t="shared" si="216"/>
        <v>0</v>
      </c>
      <c r="AS886" s="249"/>
      <c r="AT886" s="167">
        <f t="shared" si="217"/>
        <v>0</v>
      </c>
      <c r="AU886" s="249"/>
      <c r="AV886" s="163">
        <f t="shared" si="218"/>
        <v>0</v>
      </c>
      <c r="AW886" s="249"/>
      <c r="AX886" s="168">
        <f t="shared" si="219"/>
        <v>0</v>
      </c>
      <c r="AY886" s="249"/>
      <c r="AZ886" s="170">
        <f t="shared" si="220"/>
        <v>0</v>
      </c>
      <c r="BA886" s="249"/>
      <c r="BB886" s="166">
        <f t="shared" si="221"/>
        <v>0</v>
      </c>
    </row>
    <row r="887" spans="1:54" ht="63">
      <c r="A887" s="148">
        <v>55</v>
      </c>
      <c r="B887" s="242" t="s">
        <v>8758</v>
      </c>
      <c r="C887" s="242"/>
      <c r="D887" s="242"/>
      <c r="E887" s="244" t="s">
        <v>8760</v>
      </c>
      <c r="F887" s="241" t="s">
        <v>8762</v>
      </c>
      <c r="G887" s="244" t="s">
        <v>8701</v>
      </c>
      <c r="H887" s="244" t="s">
        <v>8759</v>
      </c>
      <c r="I887" s="241" t="s">
        <v>15</v>
      </c>
      <c r="J887" s="244" t="s">
        <v>8761</v>
      </c>
      <c r="K887" s="245">
        <v>27405</v>
      </c>
      <c r="L887" s="245"/>
      <c r="M887" s="159">
        <f t="shared" si="211"/>
        <v>0</v>
      </c>
      <c r="N887" s="159"/>
      <c r="O887" s="159"/>
      <c r="P887" s="159"/>
      <c r="Q887" s="159"/>
      <c r="R887" s="159"/>
      <c r="S887" s="150" t="s">
        <v>5153</v>
      </c>
      <c r="T887" s="150" t="s">
        <v>5154</v>
      </c>
      <c r="U887" s="241" t="s">
        <v>8757</v>
      </c>
      <c r="V887" s="244" t="s">
        <v>211</v>
      </c>
      <c r="W887" s="244" t="s">
        <v>6705</v>
      </c>
      <c r="X887" s="241" t="s">
        <v>213</v>
      </c>
      <c r="Y887" s="245">
        <v>28000</v>
      </c>
      <c r="Z887" s="246">
        <v>1000</v>
      </c>
      <c r="AA887" s="245">
        <f t="shared" si="212"/>
        <v>27405000</v>
      </c>
      <c r="AB887" s="244"/>
      <c r="AC887" s="247">
        <f t="shared" si="210"/>
        <v>1000</v>
      </c>
      <c r="AD887" s="159">
        <f t="shared" si="213"/>
        <v>0</v>
      </c>
      <c r="AE887" s="248"/>
      <c r="AF887" s="160">
        <f t="shared" si="214"/>
        <v>0</v>
      </c>
      <c r="AG887" s="248"/>
      <c r="AH887" s="161">
        <f t="shared" si="215"/>
        <v>0</v>
      </c>
      <c r="AI887" s="249"/>
      <c r="AJ887" s="249"/>
      <c r="AK887" s="249"/>
      <c r="AL887" s="249"/>
      <c r="AM887" s="249"/>
      <c r="AN887" s="249"/>
      <c r="AO887" s="249"/>
      <c r="AP887" s="249"/>
      <c r="AQ887" s="249"/>
      <c r="AR887" s="162">
        <f t="shared" si="216"/>
        <v>0</v>
      </c>
      <c r="AS887" s="249"/>
      <c r="AT887" s="167">
        <f t="shared" si="217"/>
        <v>0</v>
      </c>
      <c r="AU887" s="249"/>
      <c r="AV887" s="163">
        <f t="shared" si="218"/>
        <v>0</v>
      </c>
      <c r="AW887" s="249"/>
      <c r="AX887" s="168">
        <f t="shared" si="219"/>
        <v>0</v>
      </c>
      <c r="AY887" s="249"/>
      <c r="AZ887" s="170">
        <f t="shared" si="220"/>
        <v>0</v>
      </c>
      <c r="BA887" s="249"/>
      <c r="BB887" s="166">
        <f t="shared" si="221"/>
        <v>0</v>
      </c>
    </row>
    <row r="888" spans="1:54" ht="63">
      <c r="A888" s="250">
        <v>56</v>
      </c>
      <c r="B888" s="242" t="s">
        <v>162</v>
      </c>
      <c r="C888" s="242"/>
      <c r="D888" s="242"/>
      <c r="E888" s="244" t="s">
        <v>161</v>
      </c>
      <c r="F888" s="241" t="s">
        <v>8763</v>
      </c>
      <c r="G888" s="244" t="s">
        <v>2397</v>
      </c>
      <c r="H888" s="244" t="s">
        <v>3297</v>
      </c>
      <c r="I888" s="241" t="s">
        <v>11</v>
      </c>
      <c r="J888" s="244" t="s">
        <v>8660</v>
      </c>
      <c r="K888" s="245">
        <v>1680</v>
      </c>
      <c r="L888" s="245"/>
      <c r="M888" s="159">
        <f t="shared" si="211"/>
        <v>5000</v>
      </c>
      <c r="N888" s="159"/>
      <c r="O888" s="159"/>
      <c r="P888" s="159"/>
      <c r="Q888" s="159"/>
      <c r="R888" s="159"/>
      <c r="S888" s="150" t="s">
        <v>2397</v>
      </c>
      <c r="T888" s="150" t="s">
        <v>8652</v>
      </c>
      <c r="U888" s="241" t="s">
        <v>4723</v>
      </c>
      <c r="V888" s="244" t="s">
        <v>211</v>
      </c>
      <c r="W888" s="244" t="s">
        <v>253</v>
      </c>
      <c r="X888" s="241" t="s">
        <v>213</v>
      </c>
      <c r="Y888" s="245">
        <v>1680</v>
      </c>
      <c r="Z888" s="246">
        <v>30000</v>
      </c>
      <c r="AA888" s="245">
        <f t="shared" si="212"/>
        <v>50400000</v>
      </c>
      <c r="AB888" s="244"/>
      <c r="AC888" s="247">
        <f t="shared" si="210"/>
        <v>25000</v>
      </c>
      <c r="AD888" s="159">
        <f t="shared" si="213"/>
        <v>8400000</v>
      </c>
      <c r="AE888" s="248"/>
      <c r="AF888" s="160">
        <f t="shared" si="214"/>
        <v>0</v>
      </c>
      <c r="AG888" s="248"/>
      <c r="AH888" s="161">
        <f t="shared" si="215"/>
        <v>0</v>
      </c>
      <c r="AI888" s="249"/>
      <c r="AJ888" s="249"/>
      <c r="AK888" s="249"/>
      <c r="AL888" s="249"/>
      <c r="AM888" s="249"/>
      <c r="AN888" s="249"/>
      <c r="AO888" s="249"/>
      <c r="AP888" s="249"/>
      <c r="AQ888" s="251">
        <v>5000</v>
      </c>
      <c r="AR888" s="162">
        <f t="shared" si="216"/>
        <v>8400000</v>
      </c>
      <c r="AS888" s="249"/>
      <c r="AT888" s="167">
        <f t="shared" si="217"/>
        <v>0</v>
      </c>
      <c r="AU888" s="249"/>
      <c r="AV888" s="163">
        <f t="shared" si="218"/>
        <v>0</v>
      </c>
      <c r="AW888" s="249"/>
      <c r="AX888" s="168">
        <f t="shared" si="219"/>
        <v>0</v>
      </c>
      <c r="AY888" s="249"/>
      <c r="AZ888" s="170">
        <f t="shared" si="220"/>
        <v>0</v>
      </c>
      <c r="BA888" s="249"/>
      <c r="BB888" s="166">
        <f t="shared" si="221"/>
        <v>0</v>
      </c>
    </row>
    <row r="889" spans="1:54" ht="31.5">
      <c r="A889" s="148">
        <v>57</v>
      </c>
      <c r="B889" s="242" t="s">
        <v>202</v>
      </c>
      <c r="C889" s="242"/>
      <c r="D889" s="242"/>
      <c r="E889" s="244" t="s">
        <v>201</v>
      </c>
      <c r="F889" s="241" t="s">
        <v>8766</v>
      </c>
      <c r="G889" s="244" t="s">
        <v>2325</v>
      </c>
      <c r="H889" s="244" t="s">
        <v>8764</v>
      </c>
      <c r="I889" s="241" t="s">
        <v>11</v>
      </c>
      <c r="J889" s="244" t="s">
        <v>8765</v>
      </c>
      <c r="K889" s="245">
        <v>965</v>
      </c>
      <c r="L889" s="245"/>
      <c r="M889" s="159">
        <f t="shared" si="211"/>
        <v>0</v>
      </c>
      <c r="N889" s="159"/>
      <c r="O889" s="159"/>
      <c r="P889" s="159"/>
      <c r="Q889" s="159"/>
      <c r="R889" s="159"/>
      <c r="S889" s="149" t="s">
        <v>2326</v>
      </c>
      <c r="T889" s="149" t="s">
        <v>6277</v>
      </c>
      <c r="U889" s="241" t="s">
        <v>4763</v>
      </c>
      <c r="V889" s="244" t="s">
        <v>211</v>
      </c>
      <c r="W889" s="244" t="s">
        <v>5104</v>
      </c>
      <c r="X889" s="241" t="s">
        <v>213</v>
      </c>
      <c r="Y889" s="245">
        <v>1260</v>
      </c>
      <c r="Z889" s="246">
        <v>100000</v>
      </c>
      <c r="AA889" s="245">
        <f t="shared" si="212"/>
        <v>96500000</v>
      </c>
      <c r="AB889" s="244"/>
      <c r="AC889" s="247">
        <f t="shared" si="210"/>
        <v>100000</v>
      </c>
      <c r="AD889" s="159">
        <f t="shared" si="213"/>
        <v>0</v>
      </c>
      <c r="AE889" s="248"/>
      <c r="AF889" s="160">
        <f t="shared" si="214"/>
        <v>0</v>
      </c>
      <c r="AG889" s="248"/>
      <c r="AH889" s="161">
        <f t="shared" si="215"/>
        <v>0</v>
      </c>
      <c r="AI889" s="249"/>
      <c r="AJ889" s="249"/>
      <c r="AK889" s="249"/>
      <c r="AL889" s="249"/>
      <c r="AM889" s="249"/>
      <c r="AN889" s="249"/>
      <c r="AO889" s="249"/>
      <c r="AP889" s="249"/>
      <c r="AQ889" s="249"/>
      <c r="AR889" s="162">
        <f t="shared" si="216"/>
        <v>0</v>
      </c>
      <c r="AS889" s="249"/>
      <c r="AT889" s="167">
        <f t="shared" si="217"/>
        <v>0</v>
      </c>
      <c r="AU889" s="249"/>
      <c r="AV889" s="163">
        <f t="shared" si="218"/>
        <v>0</v>
      </c>
      <c r="AW889" s="249"/>
      <c r="AX889" s="168">
        <f t="shared" si="219"/>
        <v>0</v>
      </c>
      <c r="AY889" s="249"/>
      <c r="AZ889" s="170">
        <f t="shared" si="220"/>
        <v>0</v>
      </c>
      <c r="BA889" s="249"/>
      <c r="BB889" s="166">
        <f t="shared" si="221"/>
        <v>0</v>
      </c>
    </row>
    <row r="890" spans="1:54" ht="31.5">
      <c r="A890" s="148">
        <v>58</v>
      </c>
      <c r="B890" s="242" t="s">
        <v>8767</v>
      </c>
      <c r="C890" s="242"/>
      <c r="D890" s="242"/>
      <c r="E890" s="244" t="s">
        <v>8769</v>
      </c>
      <c r="F890" s="241" t="s">
        <v>8770</v>
      </c>
      <c r="G890" s="244" t="s">
        <v>2310</v>
      </c>
      <c r="H890" s="244" t="s">
        <v>8768</v>
      </c>
      <c r="I890" s="241" t="s">
        <v>11</v>
      </c>
      <c r="J890" s="244" t="s">
        <v>8732</v>
      </c>
      <c r="K890" s="245">
        <v>1945</v>
      </c>
      <c r="L890" s="245"/>
      <c r="M890" s="159">
        <f t="shared" si="211"/>
        <v>1000</v>
      </c>
      <c r="N890" s="159"/>
      <c r="O890" s="159"/>
      <c r="P890" s="159"/>
      <c r="Q890" s="159"/>
      <c r="R890" s="159"/>
      <c r="S890" s="149" t="s">
        <v>5669</v>
      </c>
      <c r="T890" s="149" t="s">
        <v>5670</v>
      </c>
      <c r="U890" s="241" t="s">
        <v>4596</v>
      </c>
      <c r="V890" s="244" t="s">
        <v>211</v>
      </c>
      <c r="W890" s="244" t="s">
        <v>5104</v>
      </c>
      <c r="X890" s="241" t="s">
        <v>213</v>
      </c>
      <c r="Y890" s="245">
        <v>2335</v>
      </c>
      <c r="Z890" s="246">
        <v>30000</v>
      </c>
      <c r="AA890" s="245">
        <f t="shared" si="212"/>
        <v>58350000</v>
      </c>
      <c r="AB890" s="244"/>
      <c r="AC890" s="247">
        <f t="shared" si="210"/>
        <v>29000</v>
      </c>
      <c r="AD890" s="159">
        <f t="shared" si="213"/>
        <v>1945000</v>
      </c>
      <c r="AE890" s="248"/>
      <c r="AF890" s="160">
        <f t="shared" si="214"/>
        <v>0</v>
      </c>
      <c r="AG890" s="248"/>
      <c r="AH890" s="161">
        <f t="shared" si="215"/>
        <v>0</v>
      </c>
      <c r="AI890" s="249"/>
      <c r="AJ890" s="249"/>
      <c r="AK890" s="249"/>
      <c r="AL890" s="249"/>
      <c r="AM890" s="249"/>
      <c r="AN890" s="249"/>
      <c r="AO890" s="249"/>
      <c r="AP890" s="249"/>
      <c r="AQ890" s="249">
        <v>1000</v>
      </c>
      <c r="AR890" s="162">
        <f t="shared" si="216"/>
        <v>1945000</v>
      </c>
      <c r="AS890" s="249"/>
      <c r="AT890" s="167">
        <f t="shared" si="217"/>
        <v>0</v>
      </c>
      <c r="AU890" s="249"/>
      <c r="AV890" s="163">
        <f t="shared" si="218"/>
        <v>0</v>
      </c>
      <c r="AW890" s="249"/>
      <c r="AX890" s="168">
        <f t="shared" si="219"/>
        <v>0</v>
      </c>
      <c r="AY890" s="249"/>
      <c r="AZ890" s="170">
        <f t="shared" si="220"/>
        <v>0</v>
      </c>
      <c r="BA890" s="249"/>
      <c r="BB890" s="166">
        <f t="shared" si="221"/>
        <v>0</v>
      </c>
    </row>
    <row r="891" spans="1:54" ht="31.5">
      <c r="A891" s="250">
        <v>59</v>
      </c>
      <c r="B891" s="242" t="s">
        <v>8772</v>
      </c>
      <c r="C891" s="242"/>
      <c r="D891" s="242"/>
      <c r="E891" s="244" t="s">
        <v>3090</v>
      </c>
      <c r="F891" s="241" t="s">
        <v>2173</v>
      </c>
      <c r="G891" s="244" t="s">
        <v>8697</v>
      </c>
      <c r="H891" s="244" t="s">
        <v>2171</v>
      </c>
      <c r="I891" s="241" t="s">
        <v>11</v>
      </c>
      <c r="J891" s="244" t="s">
        <v>8773</v>
      </c>
      <c r="K891" s="245">
        <v>200</v>
      </c>
      <c r="L891" s="245"/>
      <c r="M891" s="159">
        <f t="shared" si="211"/>
        <v>0</v>
      </c>
      <c r="N891" s="159"/>
      <c r="O891" s="159"/>
      <c r="P891" s="159"/>
      <c r="Q891" s="159"/>
      <c r="R891" s="159"/>
      <c r="S891" s="150" t="s">
        <v>8689</v>
      </c>
      <c r="T891" s="150" t="s">
        <v>8690</v>
      </c>
      <c r="U891" s="241" t="s">
        <v>8771</v>
      </c>
      <c r="V891" s="244" t="s">
        <v>211</v>
      </c>
      <c r="W891" s="244" t="s">
        <v>253</v>
      </c>
      <c r="X891" s="241" t="s">
        <v>213</v>
      </c>
      <c r="Y891" s="245">
        <v>502</v>
      </c>
      <c r="Z891" s="246">
        <v>30000</v>
      </c>
      <c r="AA891" s="245">
        <f t="shared" si="212"/>
        <v>6000000</v>
      </c>
      <c r="AB891" s="244"/>
      <c r="AC891" s="247">
        <f t="shared" si="210"/>
        <v>30000</v>
      </c>
      <c r="AD891" s="159">
        <f t="shared" si="213"/>
        <v>0</v>
      </c>
      <c r="AE891" s="248"/>
      <c r="AF891" s="160">
        <f t="shared" si="214"/>
        <v>0</v>
      </c>
      <c r="AG891" s="248"/>
      <c r="AH891" s="161">
        <f t="shared" si="215"/>
        <v>0</v>
      </c>
      <c r="AI891" s="249"/>
      <c r="AJ891" s="249"/>
      <c r="AK891" s="249"/>
      <c r="AL891" s="249"/>
      <c r="AM891" s="249"/>
      <c r="AN891" s="249"/>
      <c r="AO891" s="249"/>
      <c r="AP891" s="249"/>
      <c r="AQ891" s="249"/>
      <c r="AR891" s="162">
        <f t="shared" si="216"/>
        <v>0</v>
      </c>
      <c r="AS891" s="249"/>
      <c r="AT891" s="167">
        <f t="shared" si="217"/>
        <v>0</v>
      </c>
      <c r="AU891" s="249"/>
      <c r="AV891" s="163">
        <f t="shared" si="218"/>
        <v>0</v>
      </c>
      <c r="AW891" s="249"/>
      <c r="AX891" s="168">
        <f t="shared" si="219"/>
        <v>0</v>
      </c>
      <c r="AY891" s="249"/>
      <c r="AZ891" s="170">
        <f t="shared" si="220"/>
        <v>0</v>
      </c>
      <c r="BA891" s="249"/>
      <c r="BB891" s="166">
        <f t="shared" si="221"/>
        <v>0</v>
      </c>
    </row>
    <row r="892" spans="1:54" ht="63">
      <c r="A892" s="148">
        <v>60</v>
      </c>
      <c r="B892" s="242" t="s">
        <v>8775</v>
      </c>
      <c r="C892" s="242"/>
      <c r="D892" s="242"/>
      <c r="E892" s="244" t="s">
        <v>8776</v>
      </c>
      <c r="F892" s="241" t="s">
        <v>8778</v>
      </c>
      <c r="G892" s="244" t="s">
        <v>1429</v>
      </c>
      <c r="H892" s="244" t="s">
        <v>1340</v>
      </c>
      <c r="I892" s="241" t="s">
        <v>11</v>
      </c>
      <c r="J892" s="244" t="s">
        <v>8777</v>
      </c>
      <c r="K892" s="245">
        <v>370</v>
      </c>
      <c r="L892" s="245"/>
      <c r="M892" s="159">
        <f t="shared" si="211"/>
        <v>0</v>
      </c>
      <c r="N892" s="159"/>
      <c r="O892" s="159"/>
      <c r="P892" s="159"/>
      <c r="Q892" s="159"/>
      <c r="R892" s="159"/>
      <c r="S892" s="150" t="s">
        <v>5504</v>
      </c>
      <c r="T892" s="149" t="s">
        <v>449</v>
      </c>
      <c r="U892" s="241" t="s">
        <v>8774</v>
      </c>
      <c r="V892" s="244" t="s">
        <v>211</v>
      </c>
      <c r="W892" s="244" t="s">
        <v>253</v>
      </c>
      <c r="X892" s="241" t="s">
        <v>213</v>
      </c>
      <c r="Y892" s="245">
        <v>650</v>
      </c>
      <c r="Z892" s="246">
        <v>30000</v>
      </c>
      <c r="AA892" s="245">
        <f t="shared" si="212"/>
        <v>11100000</v>
      </c>
      <c r="AB892" s="244"/>
      <c r="AC892" s="247">
        <f t="shared" si="210"/>
        <v>30000</v>
      </c>
      <c r="AD892" s="159">
        <f t="shared" si="213"/>
        <v>0</v>
      </c>
      <c r="AE892" s="248"/>
      <c r="AF892" s="160">
        <f t="shared" si="214"/>
        <v>0</v>
      </c>
      <c r="AG892" s="248"/>
      <c r="AH892" s="161">
        <f t="shared" si="215"/>
        <v>0</v>
      </c>
      <c r="AI892" s="249"/>
      <c r="AJ892" s="249"/>
      <c r="AK892" s="249"/>
      <c r="AL892" s="249"/>
      <c r="AM892" s="249"/>
      <c r="AN892" s="249"/>
      <c r="AO892" s="249"/>
      <c r="AP892" s="249"/>
      <c r="AQ892" s="249"/>
      <c r="AR892" s="162">
        <f t="shared" si="216"/>
        <v>0</v>
      </c>
      <c r="AS892" s="249"/>
      <c r="AT892" s="167">
        <f t="shared" si="217"/>
        <v>0</v>
      </c>
      <c r="AU892" s="249"/>
      <c r="AV892" s="163">
        <f t="shared" si="218"/>
        <v>0</v>
      </c>
      <c r="AW892" s="249"/>
      <c r="AX892" s="168">
        <f t="shared" si="219"/>
        <v>0</v>
      </c>
      <c r="AY892" s="249"/>
      <c r="AZ892" s="170">
        <f t="shared" si="220"/>
        <v>0</v>
      </c>
      <c r="BA892" s="249"/>
      <c r="BB892" s="166">
        <f t="shared" si="221"/>
        <v>0</v>
      </c>
    </row>
    <row r="893" spans="1:54" ht="31.5">
      <c r="A893" s="148">
        <v>61</v>
      </c>
      <c r="B893" s="242" t="s">
        <v>3090</v>
      </c>
      <c r="C893" s="242"/>
      <c r="D893" s="242"/>
      <c r="E893" s="244" t="s">
        <v>3090</v>
      </c>
      <c r="F893" s="241" t="s">
        <v>8781</v>
      </c>
      <c r="G893" s="244" t="s">
        <v>2397</v>
      </c>
      <c r="H893" s="244" t="s">
        <v>8780</v>
      </c>
      <c r="I893" s="241" t="s">
        <v>11</v>
      </c>
      <c r="J893" s="244" t="s">
        <v>8660</v>
      </c>
      <c r="K893" s="245">
        <v>410</v>
      </c>
      <c r="L893" s="245"/>
      <c r="M893" s="159">
        <f t="shared" si="211"/>
        <v>0</v>
      </c>
      <c r="N893" s="159"/>
      <c r="O893" s="159"/>
      <c r="P893" s="159"/>
      <c r="Q893" s="159"/>
      <c r="R893" s="159"/>
      <c r="S893" s="150" t="s">
        <v>2397</v>
      </c>
      <c r="T893" s="150" t="s">
        <v>8652</v>
      </c>
      <c r="U893" s="241" t="s">
        <v>8779</v>
      </c>
      <c r="V893" s="244" t="s">
        <v>211</v>
      </c>
      <c r="W893" s="244" t="s">
        <v>253</v>
      </c>
      <c r="X893" s="241" t="s">
        <v>213</v>
      </c>
      <c r="Y893" s="245">
        <v>609</v>
      </c>
      <c r="Z893" s="246">
        <v>80000</v>
      </c>
      <c r="AA893" s="245">
        <f t="shared" si="212"/>
        <v>32800000</v>
      </c>
      <c r="AB893" s="244"/>
      <c r="AC893" s="247">
        <f t="shared" si="210"/>
        <v>80000</v>
      </c>
      <c r="AD893" s="159">
        <f t="shared" si="213"/>
        <v>0</v>
      </c>
      <c r="AE893" s="248"/>
      <c r="AF893" s="160">
        <f t="shared" si="214"/>
        <v>0</v>
      </c>
      <c r="AG893" s="248"/>
      <c r="AH893" s="161">
        <f t="shared" si="215"/>
        <v>0</v>
      </c>
      <c r="AI893" s="249"/>
      <c r="AJ893" s="249"/>
      <c r="AK893" s="249"/>
      <c r="AL893" s="249"/>
      <c r="AM893" s="249"/>
      <c r="AN893" s="249"/>
      <c r="AO893" s="249"/>
      <c r="AP893" s="252"/>
      <c r="AQ893" s="249"/>
      <c r="AR893" s="162">
        <f t="shared" si="216"/>
        <v>0</v>
      </c>
      <c r="AS893" s="249"/>
      <c r="AT893" s="167">
        <f t="shared" si="217"/>
        <v>0</v>
      </c>
      <c r="AU893" s="249"/>
      <c r="AV893" s="163">
        <f t="shared" si="218"/>
        <v>0</v>
      </c>
      <c r="AW893" s="249"/>
      <c r="AX893" s="168">
        <f t="shared" si="219"/>
        <v>0</v>
      </c>
      <c r="AY893" s="249"/>
      <c r="AZ893" s="170">
        <f t="shared" si="220"/>
        <v>0</v>
      </c>
      <c r="BA893" s="249"/>
      <c r="BB893" s="166">
        <f t="shared" si="221"/>
        <v>0</v>
      </c>
    </row>
    <row r="894" spans="1:54" s="115" customFormat="1" ht="141.75">
      <c r="A894" s="250">
        <v>62</v>
      </c>
      <c r="B894" s="242" t="s">
        <v>4605</v>
      </c>
      <c r="C894" s="242"/>
      <c r="D894" s="242"/>
      <c r="E894" s="244" t="s">
        <v>21</v>
      </c>
      <c r="F894" s="241" t="s">
        <v>8784</v>
      </c>
      <c r="G894" s="244" t="s">
        <v>2182</v>
      </c>
      <c r="H894" s="244" t="s">
        <v>8782</v>
      </c>
      <c r="I894" s="241" t="s">
        <v>11</v>
      </c>
      <c r="J894" s="244" t="s">
        <v>8783</v>
      </c>
      <c r="K894" s="245">
        <v>1260</v>
      </c>
      <c r="L894" s="245"/>
      <c r="M894" s="159">
        <f t="shared" si="211"/>
        <v>50500</v>
      </c>
      <c r="N894" s="159"/>
      <c r="O894" s="159"/>
      <c r="P894" s="159"/>
      <c r="Q894" s="159"/>
      <c r="R894" s="159"/>
      <c r="S894" s="150" t="s">
        <v>7727</v>
      </c>
      <c r="T894" s="149" t="s">
        <v>863</v>
      </c>
      <c r="U894" s="241" t="s">
        <v>4604</v>
      </c>
      <c r="V894" s="244" t="s">
        <v>211</v>
      </c>
      <c r="W894" s="244" t="s">
        <v>5104</v>
      </c>
      <c r="X894" s="241" t="s">
        <v>213</v>
      </c>
      <c r="Y894" s="245">
        <v>1600</v>
      </c>
      <c r="Z894" s="246">
        <v>150000</v>
      </c>
      <c r="AA894" s="245">
        <f t="shared" si="212"/>
        <v>189000000</v>
      </c>
      <c r="AB894" s="244"/>
      <c r="AC894" s="247">
        <f t="shared" si="210"/>
        <v>99500</v>
      </c>
      <c r="AD894" s="159">
        <f t="shared" si="213"/>
        <v>63630000</v>
      </c>
      <c r="AE894" s="248"/>
      <c r="AF894" s="160">
        <f t="shared" si="214"/>
        <v>0</v>
      </c>
      <c r="AG894" s="248"/>
      <c r="AH894" s="161">
        <f t="shared" si="215"/>
        <v>0</v>
      </c>
      <c r="AI894" s="249"/>
      <c r="AJ894" s="249"/>
      <c r="AK894" s="249"/>
      <c r="AL894" s="249"/>
      <c r="AM894" s="249"/>
      <c r="AN894" s="249"/>
      <c r="AO894" s="249"/>
      <c r="AP894" s="249"/>
      <c r="AQ894" s="249">
        <v>50500</v>
      </c>
      <c r="AR894" s="162">
        <f t="shared" si="216"/>
        <v>63630000</v>
      </c>
      <c r="AS894" s="249"/>
      <c r="AT894" s="167">
        <f t="shared" si="217"/>
        <v>0</v>
      </c>
      <c r="AU894" s="249"/>
      <c r="AV894" s="163">
        <f t="shared" si="218"/>
        <v>0</v>
      </c>
      <c r="AW894" s="249"/>
      <c r="AX894" s="168">
        <f t="shared" si="219"/>
        <v>0</v>
      </c>
      <c r="AY894" s="249"/>
      <c r="AZ894" s="170">
        <f t="shared" si="220"/>
        <v>0</v>
      </c>
      <c r="BA894" s="249"/>
      <c r="BB894" s="166">
        <f t="shared" si="221"/>
        <v>0</v>
      </c>
    </row>
    <row r="895" spans="1:54" s="115" customFormat="1" ht="31.5">
      <c r="A895" s="148">
        <v>63</v>
      </c>
      <c r="B895" s="242" t="s">
        <v>8785</v>
      </c>
      <c r="C895" s="242"/>
      <c r="D895" s="242"/>
      <c r="E895" s="244" t="s">
        <v>3090</v>
      </c>
      <c r="F895" s="241" t="s">
        <v>2395</v>
      </c>
      <c r="G895" s="244" t="s">
        <v>8651</v>
      </c>
      <c r="H895" s="244" t="s">
        <v>8786</v>
      </c>
      <c r="I895" s="241" t="s">
        <v>11</v>
      </c>
      <c r="J895" s="244" t="s">
        <v>8787</v>
      </c>
      <c r="K895" s="245">
        <v>350</v>
      </c>
      <c r="L895" s="245"/>
      <c r="M895" s="159">
        <f t="shared" si="211"/>
        <v>0</v>
      </c>
      <c r="N895" s="159"/>
      <c r="O895" s="159"/>
      <c r="P895" s="159"/>
      <c r="Q895" s="159"/>
      <c r="R895" s="159"/>
      <c r="S895" s="150" t="s">
        <v>5306</v>
      </c>
      <c r="T895" s="150" t="s">
        <v>5307</v>
      </c>
      <c r="U895" s="241" t="s">
        <v>4701</v>
      </c>
      <c r="V895" s="244" t="s">
        <v>211</v>
      </c>
      <c r="W895" s="244" t="s">
        <v>5104</v>
      </c>
      <c r="X895" s="241" t="s">
        <v>213</v>
      </c>
      <c r="Y895" s="245">
        <v>747</v>
      </c>
      <c r="Z895" s="246">
        <v>150000</v>
      </c>
      <c r="AA895" s="245">
        <f t="shared" si="212"/>
        <v>52500000</v>
      </c>
      <c r="AB895" s="244"/>
      <c r="AC895" s="247">
        <f t="shared" si="210"/>
        <v>150000</v>
      </c>
      <c r="AD895" s="159">
        <f t="shared" si="213"/>
        <v>0</v>
      </c>
      <c r="AE895" s="248"/>
      <c r="AF895" s="160">
        <f t="shared" si="214"/>
        <v>0</v>
      </c>
      <c r="AG895" s="248"/>
      <c r="AH895" s="161">
        <f t="shared" si="215"/>
        <v>0</v>
      </c>
      <c r="AI895" s="249"/>
      <c r="AJ895" s="249"/>
      <c r="AK895" s="249"/>
      <c r="AL895" s="249"/>
      <c r="AM895" s="249"/>
      <c r="AN895" s="249"/>
      <c r="AO895" s="249"/>
      <c r="AP895" s="249"/>
      <c r="AQ895" s="249"/>
      <c r="AR895" s="162">
        <f t="shared" si="216"/>
        <v>0</v>
      </c>
      <c r="AS895" s="249"/>
      <c r="AT895" s="167">
        <f t="shared" si="217"/>
        <v>0</v>
      </c>
      <c r="AU895" s="249"/>
      <c r="AV895" s="163">
        <f t="shared" si="218"/>
        <v>0</v>
      </c>
      <c r="AW895" s="249"/>
      <c r="AX895" s="168">
        <f t="shared" si="219"/>
        <v>0</v>
      </c>
      <c r="AY895" s="249"/>
      <c r="AZ895" s="170">
        <f t="shared" si="220"/>
        <v>0</v>
      </c>
      <c r="BA895" s="249"/>
      <c r="BB895" s="166">
        <f t="shared" si="221"/>
        <v>0</v>
      </c>
    </row>
    <row r="896" spans="1:54" ht="31.5">
      <c r="A896" s="148">
        <v>64</v>
      </c>
      <c r="B896" s="242" t="s">
        <v>2311</v>
      </c>
      <c r="C896" s="242"/>
      <c r="D896" s="242"/>
      <c r="E896" s="244" t="s">
        <v>3090</v>
      </c>
      <c r="F896" s="241" t="s">
        <v>2312</v>
      </c>
      <c r="G896" s="244" t="s">
        <v>2310</v>
      </c>
      <c r="H896" s="244" t="s">
        <v>142</v>
      </c>
      <c r="I896" s="241" t="s">
        <v>11</v>
      </c>
      <c r="J896" s="244" t="s">
        <v>8732</v>
      </c>
      <c r="K896" s="245">
        <v>1490</v>
      </c>
      <c r="L896" s="245"/>
      <c r="M896" s="159">
        <f t="shared" si="211"/>
        <v>0</v>
      </c>
      <c r="N896" s="159"/>
      <c r="O896" s="159"/>
      <c r="P896" s="159"/>
      <c r="Q896" s="159"/>
      <c r="R896" s="159"/>
      <c r="S896" s="149" t="s">
        <v>5669</v>
      </c>
      <c r="T896" s="149" t="s">
        <v>5670</v>
      </c>
      <c r="U896" s="241" t="s">
        <v>4700</v>
      </c>
      <c r="V896" s="244" t="s">
        <v>211</v>
      </c>
      <c r="W896" s="244" t="s">
        <v>5104</v>
      </c>
      <c r="X896" s="241" t="s">
        <v>213</v>
      </c>
      <c r="Y896" s="245">
        <v>1780</v>
      </c>
      <c r="Z896" s="246">
        <v>50000</v>
      </c>
      <c r="AA896" s="245">
        <f t="shared" si="212"/>
        <v>74500000</v>
      </c>
      <c r="AB896" s="244"/>
      <c r="AC896" s="247">
        <f t="shared" si="210"/>
        <v>50000</v>
      </c>
      <c r="AD896" s="159">
        <f t="shared" si="213"/>
        <v>0</v>
      </c>
      <c r="AE896" s="248"/>
      <c r="AF896" s="160">
        <f t="shared" si="214"/>
        <v>0</v>
      </c>
      <c r="AG896" s="248"/>
      <c r="AH896" s="161">
        <f t="shared" si="215"/>
        <v>0</v>
      </c>
      <c r="AI896" s="249"/>
      <c r="AJ896" s="249"/>
      <c r="AK896" s="249"/>
      <c r="AL896" s="249"/>
      <c r="AM896" s="249"/>
      <c r="AN896" s="249"/>
      <c r="AO896" s="249"/>
      <c r="AP896" s="249"/>
      <c r="AQ896" s="249"/>
      <c r="AR896" s="162">
        <f t="shared" si="216"/>
        <v>0</v>
      </c>
      <c r="AS896" s="249"/>
      <c r="AT896" s="167">
        <f t="shared" si="217"/>
        <v>0</v>
      </c>
      <c r="AU896" s="249"/>
      <c r="AV896" s="163">
        <f t="shared" si="218"/>
        <v>0</v>
      </c>
      <c r="AW896" s="249"/>
      <c r="AX896" s="168">
        <f t="shared" si="219"/>
        <v>0</v>
      </c>
      <c r="AY896" s="249"/>
      <c r="AZ896" s="170">
        <f t="shared" si="220"/>
        <v>0</v>
      </c>
      <c r="BA896" s="249"/>
      <c r="BB896" s="166">
        <f t="shared" si="221"/>
        <v>0</v>
      </c>
    </row>
    <row r="897" spans="1:54" ht="63">
      <c r="A897" s="250">
        <v>65</v>
      </c>
      <c r="B897" s="242" t="s">
        <v>8791</v>
      </c>
      <c r="C897" s="242"/>
      <c r="D897" s="242"/>
      <c r="E897" s="244" t="s">
        <v>104</v>
      </c>
      <c r="F897" s="241" t="s">
        <v>8793</v>
      </c>
      <c r="G897" s="244" t="s">
        <v>2413</v>
      </c>
      <c r="H897" s="244" t="s">
        <v>106</v>
      </c>
      <c r="I897" s="241" t="s">
        <v>11</v>
      </c>
      <c r="J897" s="244" t="s">
        <v>8792</v>
      </c>
      <c r="K897" s="245">
        <v>2780</v>
      </c>
      <c r="L897" s="245"/>
      <c r="M897" s="159">
        <f t="shared" si="211"/>
        <v>0</v>
      </c>
      <c r="N897" s="159"/>
      <c r="O897" s="159"/>
      <c r="P897" s="159"/>
      <c r="Q897" s="159"/>
      <c r="R897" s="159"/>
      <c r="S897" s="244" t="s">
        <v>8788</v>
      </c>
      <c r="T897" s="244" t="s">
        <v>8789</v>
      </c>
      <c r="U897" s="241" t="s">
        <v>8790</v>
      </c>
      <c r="V897" s="244" t="s">
        <v>211</v>
      </c>
      <c r="W897" s="244" t="s">
        <v>5104</v>
      </c>
      <c r="X897" s="241" t="s">
        <v>213</v>
      </c>
      <c r="Y897" s="245">
        <v>3500</v>
      </c>
      <c r="Z897" s="246">
        <v>80000</v>
      </c>
      <c r="AA897" s="245">
        <f t="shared" si="212"/>
        <v>222400000</v>
      </c>
      <c r="AB897" s="244"/>
      <c r="AC897" s="247">
        <f t="shared" ref="AC897:AC930" si="222">Z897-M897</f>
        <v>80000</v>
      </c>
      <c r="AD897" s="159">
        <f t="shared" si="213"/>
        <v>0</v>
      </c>
      <c r="AE897" s="248"/>
      <c r="AF897" s="160">
        <f t="shared" si="214"/>
        <v>0</v>
      </c>
      <c r="AG897" s="248"/>
      <c r="AH897" s="161">
        <f t="shared" si="215"/>
        <v>0</v>
      </c>
      <c r="AI897" s="249"/>
      <c r="AJ897" s="249"/>
      <c r="AK897" s="249"/>
      <c r="AL897" s="249"/>
      <c r="AM897" s="249"/>
      <c r="AN897" s="249"/>
      <c r="AO897" s="249"/>
      <c r="AP897" s="249"/>
      <c r="AQ897" s="249"/>
      <c r="AR897" s="162">
        <f t="shared" si="216"/>
        <v>0</v>
      </c>
      <c r="AS897" s="249"/>
      <c r="AT897" s="167">
        <f t="shared" si="217"/>
        <v>0</v>
      </c>
      <c r="AU897" s="249"/>
      <c r="AV897" s="163">
        <f t="shared" si="218"/>
        <v>0</v>
      </c>
      <c r="AW897" s="249"/>
      <c r="AX897" s="168">
        <f t="shared" si="219"/>
        <v>0</v>
      </c>
      <c r="AY897" s="249"/>
      <c r="AZ897" s="170">
        <f t="shared" si="220"/>
        <v>0</v>
      </c>
      <c r="BA897" s="249"/>
      <c r="BB897" s="166">
        <f t="shared" si="221"/>
        <v>0</v>
      </c>
    </row>
    <row r="898" spans="1:54" ht="47.25">
      <c r="A898" s="148">
        <v>66</v>
      </c>
      <c r="B898" s="242" t="s">
        <v>39</v>
      </c>
      <c r="C898" s="242"/>
      <c r="D898" s="242"/>
      <c r="E898" s="244" t="s">
        <v>38</v>
      </c>
      <c r="F898" s="241" t="s">
        <v>2265</v>
      </c>
      <c r="G898" s="244" t="s">
        <v>2253</v>
      </c>
      <c r="H898" s="244" t="s">
        <v>2264</v>
      </c>
      <c r="I898" s="241" t="s">
        <v>11</v>
      </c>
      <c r="J898" s="244" t="s">
        <v>8794</v>
      </c>
      <c r="K898" s="245">
        <v>1150</v>
      </c>
      <c r="L898" s="245"/>
      <c r="M898" s="159">
        <f t="shared" si="211"/>
        <v>11200</v>
      </c>
      <c r="N898" s="159"/>
      <c r="O898" s="159"/>
      <c r="P898" s="159"/>
      <c r="Q898" s="159"/>
      <c r="R898" s="159"/>
      <c r="S898" s="244" t="s">
        <v>2253</v>
      </c>
      <c r="T898" s="244" t="s">
        <v>8511</v>
      </c>
      <c r="U898" s="241" t="s">
        <v>4621</v>
      </c>
      <c r="V898" s="244" t="s">
        <v>211</v>
      </c>
      <c r="W898" s="244" t="s">
        <v>5104</v>
      </c>
      <c r="X898" s="241" t="s">
        <v>213</v>
      </c>
      <c r="Y898" s="245">
        <v>1423</v>
      </c>
      <c r="Z898" s="246">
        <v>30000</v>
      </c>
      <c r="AA898" s="245">
        <f t="shared" si="212"/>
        <v>34500000</v>
      </c>
      <c r="AB898" s="244"/>
      <c r="AC898" s="247">
        <f t="shared" si="222"/>
        <v>18800</v>
      </c>
      <c r="AD898" s="159">
        <f t="shared" si="213"/>
        <v>12880000</v>
      </c>
      <c r="AE898" s="248"/>
      <c r="AF898" s="160">
        <f t="shared" si="214"/>
        <v>0</v>
      </c>
      <c r="AG898" s="248"/>
      <c r="AH898" s="161">
        <f t="shared" si="215"/>
        <v>0</v>
      </c>
      <c r="AI898" s="249"/>
      <c r="AJ898" s="249"/>
      <c r="AK898" s="249"/>
      <c r="AL898" s="249"/>
      <c r="AM898" s="249"/>
      <c r="AN898" s="249"/>
      <c r="AO898" s="249"/>
      <c r="AP898" s="249"/>
      <c r="AQ898" s="249">
        <v>11200</v>
      </c>
      <c r="AR898" s="162">
        <f t="shared" si="216"/>
        <v>12880000</v>
      </c>
      <c r="AS898" s="249"/>
      <c r="AT898" s="167">
        <f t="shared" si="217"/>
        <v>0</v>
      </c>
      <c r="AU898" s="249"/>
      <c r="AV898" s="163">
        <f t="shared" si="218"/>
        <v>0</v>
      </c>
      <c r="AW898" s="249"/>
      <c r="AX898" s="168">
        <f t="shared" si="219"/>
        <v>0</v>
      </c>
      <c r="AY898" s="249"/>
      <c r="AZ898" s="170">
        <f t="shared" si="220"/>
        <v>0</v>
      </c>
      <c r="BA898" s="249"/>
      <c r="BB898" s="166">
        <f t="shared" si="221"/>
        <v>0</v>
      </c>
    </row>
    <row r="899" spans="1:54" ht="63">
      <c r="A899" s="148">
        <v>67</v>
      </c>
      <c r="B899" s="242" t="s">
        <v>8795</v>
      </c>
      <c r="C899" s="242"/>
      <c r="D899" s="242"/>
      <c r="E899" s="244" t="s">
        <v>77</v>
      </c>
      <c r="F899" s="241" t="s">
        <v>8797</v>
      </c>
      <c r="G899" s="244" t="s">
        <v>8535</v>
      </c>
      <c r="H899" s="244" t="s">
        <v>79</v>
      </c>
      <c r="I899" s="241" t="s">
        <v>4652</v>
      </c>
      <c r="J899" s="244" t="s">
        <v>8796</v>
      </c>
      <c r="K899" s="245">
        <v>3500</v>
      </c>
      <c r="L899" s="245"/>
      <c r="M899" s="159">
        <f t="shared" si="211"/>
        <v>18860</v>
      </c>
      <c r="N899" s="159"/>
      <c r="O899" s="159"/>
      <c r="P899" s="159"/>
      <c r="Q899" s="159"/>
      <c r="R899" s="159"/>
      <c r="S899" s="150" t="s">
        <v>8527</v>
      </c>
      <c r="T899" s="150" t="s">
        <v>8528</v>
      </c>
      <c r="U899" s="241" t="s">
        <v>4650</v>
      </c>
      <c r="V899" s="244" t="s">
        <v>211</v>
      </c>
      <c r="W899" s="244" t="s">
        <v>5784</v>
      </c>
      <c r="X899" s="241" t="s">
        <v>8536</v>
      </c>
      <c r="Y899" s="245">
        <v>4400</v>
      </c>
      <c r="Z899" s="246">
        <v>50000</v>
      </c>
      <c r="AA899" s="245">
        <f t="shared" si="212"/>
        <v>175000000</v>
      </c>
      <c r="AB899" s="244"/>
      <c r="AC899" s="247">
        <f t="shared" si="222"/>
        <v>31140</v>
      </c>
      <c r="AD899" s="159">
        <f t="shared" si="213"/>
        <v>66010000</v>
      </c>
      <c r="AE899" s="248"/>
      <c r="AF899" s="160">
        <f t="shared" si="214"/>
        <v>0</v>
      </c>
      <c r="AG899" s="248"/>
      <c r="AH899" s="161">
        <f t="shared" si="215"/>
        <v>0</v>
      </c>
      <c r="AI899" s="249"/>
      <c r="AJ899" s="249"/>
      <c r="AK899" s="249"/>
      <c r="AL899" s="249"/>
      <c r="AM899" s="249"/>
      <c r="AN899" s="249"/>
      <c r="AO899" s="249"/>
      <c r="AP899" s="249"/>
      <c r="AQ899" s="249">
        <v>18860</v>
      </c>
      <c r="AR899" s="162">
        <f t="shared" si="216"/>
        <v>66010000</v>
      </c>
      <c r="AS899" s="249"/>
      <c r="AT899" s="167">
        <f t="shared" si="217"/>
        <v>0</v>
      </c>
      <c r="AU899" s="249"/>
      <c r="AV899" s="163">
        <f t="shared" si="218"/>
        <v>0</v>
      </c>
      <c r="AW899" s="249"/>
      <c r="AX899" s="168">
        <f t="shared" si="219"/>
        <v>0</v>
      </c>
      <c r="AY899" s="249"/>
      <c r="AZ899" s="170">
        <f t="shared" si="220"/>
        <v>0</v>
      </c>
      <c r="BA899" s="249"/>
      <c r="BB899" s="166">
        <f t="shared" si="221"/>
        <v>0</v>
      </c>
    </row>
    <row r="900" spans="1:54" ht="78.75">
      <c r="A900" s="250">
        <v>68</v>
      </c>
      <c r="B900" s="242" t="s">
        <v>8799</v>
      </c>
      <c r="C900" s="242"/>
      <c r="D900" s="242"/>
      <c r="E900" s="244" t="s">
        <v>189</v>
      </c>
      <c r="F900" s="241" t="s">
        <v>8801</v>
      </c>
      <c r="G900" s="244" t="s">
        <v>2413</v>
      </c>
      <c r="H900" s="244" t="s">
        <v>8800</v>
      </c>
      <c r="I900" s="241" t="s">
        <v>11</v>
      </c>
      <c r="J900" s="244" t="s">
        <v>8792</v>
      </c>
      <c r="K900" s="245">
        <v>2975</v>
      </c>
      <c r="L900" s="245"/>
      <c r="M900" s="159">
        <f t="shared" ref="M900:M930" si="223">AE900+AG900+AI900+AK900+AM900+AO900+AQ900+AS900+AU900+AW900+AY900+BA900</f>
        <v>0</v>
      </c>
      <c r="N900" s="159"/>
      <c r="O900" s="159"/>
      <c r="P900" s="159"/>
      <c r="Q900" s="159"/>
      <c r="R900" s="159"/>
      <c r="S900" s="244" t="s">
        <v>8788</v>
      </c>
      <c r="T900" s="244" t="s">
        <v>8789</v>
      </c>
      <c r="U900" s="241" t="s">
        <v>8798</v>
      </c>
      <c r="V900" s="244" t="s">
        <v>211</v>
      </c>
      <c r="W900" s="244" t="s">
        <v>5104</v>
      </c>
      <c r="X900" s="241" t="s">
        <v>213</v>
      </c>
      <c r="Y900" s="245">
        <v>5000</v>
      </c>
      <c r="Z900" s="246">
        <v>80000</v>
      </c>
      <c r="AA900" s="245">
        <f t="shared" ref="AA900:AA930" si="224">Z900*K900</f>
        <v>238000000</v>
      </c>
      <c r="AB900" s="244"/>
      <c r="AC900" s="247">
        <f t="shared" si="222"/>
        <v>80000</v>
      </c>
      <c r="AD900" s="159">
        <f t="shared" ref="AD900:AD930" si="225">M900*K900</f>
        <v>0</v>
      </c>
      <c r="AE900" s="248"/>
      <c r="AF900" s="160">
        <f t="shared" ref="AF900:AF930" si="226">AE900*K900</f>
        <v>0</v>
      </c>
      <c r="AG900" s="248"/>
      <c r="AH900" s="161">
        <f t="shared" ref="AH900:AH930" si="227">AG900*K900</f>
        <v>0</v>
      </c>
      <c r="AI900" s="249"/>
      <c r="AJ900" s="249"/>
      <c r="AK900" s="249"/>
      <c r="AL900" s="249"/>
      <c r="AM900" s="249"/>
      <c r="AN900" s="249"/>
      <c r="AO900" s="249"/>
      <c r="AP900" s="249"/>
      <c r="AQ900" s="249"/>
      <c r="AR900" s="162">
        <f t="shared" ref="AR900:AR924" si="228">AQ900*K900</f>
        <v>0</v>
      </c>
      <c r="AS900" s="249"/>
      <c r="AT900" s="167">
        <f t="shared" ref="AT900:AT930" si="229">AS900*K900</f>
        <v>0</v>
      </c>
      <c r="AU900" s="249"/>
      <c r="AV900" s="163">
        <f t="shared" ref="AV900:AV930" si="230">AU900*K900</f>
        <v>0</v>
      </c>
      <c r="AW900" s="249"/>
      <c r="AX900" s="168">
        <f t="shared" ref="AX900:AX930" si="231">AW900*K900</f>
        <v>0</v>
      </c>
      <c r="AY900" s="249"/>
      <c r="AZ900" s="170">
        <f t="shared" ref="AZ900:AZ930" si="232">AY900*K900</f>
        <v>0</v>
      </c>
      <c r="BA900" s="249"/>
      <c r="BB900" s="166">
        <f t="shared" ref="BB900:BB930" si="233">BA900*K900</f>
        <v>0</v>
      </c>
    </row>
    <row r="901" spans="1:54" ht="78.75">
      <c r="A901" s="148">
        <v>69</v>
      </c>
      <c r="B901" s="242" t="s">
        <v>8802</v>
      </c>
      <c r="C901" s="242"/>
      <c r="D901" s="242"/>
      <c r="E901" s="244" t="s">
        <v>199</v>
      </c>
      <c r="F901" s="241" t="s">
        <v>8804</v>
      </c>
      <c r="G901" s="244" t="s">
        <v>2397</v>
      </c>
      <c r="H901" s="253" t="s">
        <v>8803</v>
      </c>
      <c r="I901" s="241" t="s">
        <v>11</v>
      </c>
      <c r="J901" s="244" t="s">
        <v>8657</v>
      </c>
      <c r="K901" s="245">
        <v>720</v>
      </c>
      <c r="L901" s="245"/>
      <c r="M901" s="159">
        <f t="shared" si="223"/>
        <v>12000</v>
      </c>
      <c r="N901" s="159"/>
      <c r="O901" s="159"/>
      <c r="P901" s="159"/>
      <c r="Q901" s="159"/>
      <c r="R901" s="159"/>
      <c r="S901" s="150" t="s">
        <v>2397</v>
      </c>
      <c r="T901" s="150" t="s">
        <v>8652</v>
      </c>
      <c r="U901" s="241" t="s">
        <v>4761</v>
      </c>
      <c r="V901" s="244" t="s">
        <v>211</v>
      </c>
      <c r="W901" s="244" t="s">
        <v>253</v>
      </c>
      <c r="X901" s="241" t="s">
        <v>213</v>
      </c>
      <c r="Y901" s="245">
        <v>830</v>
      </c>
      <c r="Z901" s="246">
        <v>100000</v>
      </c>
      <c r="AA901" s="245">
        <f t="shared" si="224"/>
        <v>72000000</v>
      </c>
      <c r="AB901" s="244"/>
      <c r="AC901" s="247">
        <f t="shared" si="222"/>
        <v>88000</v>
      </c>
      <c r="AD901" s="159">
        <f t="shared" si="225"/>
        <v>8640000</v>
      </c>
      <c r="AE901" s="248"/>
      <c r="AF901" s="160">
        <f t="shared" si="226"/>
        <v>0</v>
      </c>
      <c r="AG901" s="248"/>
      <c r="AH901" s="161">
        <f t="shared" si="227"/>
        <v>0</v>
      </c>
      <c r="AI901" s="249"/>
      <c r="AJ901" s="249"/>
      <c r="AK901" s="249"/>
      <c r="AL901" s="249"/>
      <c r="AM901" s="249"/>
      <c r="AN901" s="249"/>
      <c r="AO901" s="249"/>
      <c r="AP901" s="249"/>
      <c r="AQ901" s="251">
        <v>12000</v>
      </c>
      <c r="AR901" s="162">
        <f t="shared" si="228"/>
        <v>8640000</v>
      </c>
      <c r="AS901" s="249"/>
      <c r="AT901" s="167">
        <f t="shared" si="229"/>
        <v>0</v>
      </c>
      <c r="AU901" s="249"/>
      <c r="AV901" s="163">
        <f t="shared" si="230"/>
        <v>0</v>
      </c>
      <c r="AW901" s="249"/>
      <c r="AX901" s="168">
        <f t="shared" si="231"/>
        <v>0</v>
      </c>
      <c r="AY901" s="249"/>
      <c r="AZ901" s="170">
        <f t="shared" si="232"/>
        <v>0</v>
      </c>
      <c r="BA901" s="249"/>
      <c r="BB901" s="166">
        <f t="shared" si="233"/>
        <v>0</v>
      </c>
    </row>
    <row r="902" spans="1:54" ht="94.5">
      <c r="A902" s="148">
        <v>70</v>
      </c>
      <c r="B902" s="242" t="s">
        <v>8806</v>
      </c>
      <c r="C902" s="242"/>
      <c r="D902" s="242"/>
      <c r="E902" s="244" t="s">
        <v>8808</v>
      </c>
      <c r="F902" s="241" t="s">
        <v>8810</v>
      </c>
      <c r="G902" s="244" t="s">
        <v>8623</v>
      </c>
      <c r="H902" s="244" t="s">
        <v>8807</v>
      </c>
      <c r="I902" s="241" t="s">
        <v>11</v>
      </c>
      <c r="J902" s="244" t="s">
        <v>8809</v>
      </c>
      <c r="K902" s="245">
        <v>1200</v>
      </c>
      <c r="L902" s="245"/>
      <c r="M902" s="159">
        <f t="shared" si="223"/>
        <v>0</v>
      </c>
      <c r="N902" s="159"/>
      <c r="O902" s="159"/>
      <c r="P902" s="159"/>
      <c r="Q902" s="159"/>
      <c r="R902" s="159"/>
      <c r="S902" s="244" t="s">
        <v>8573</v>
      </c>
      <c r="T902" s="244" t="s">
        <v>8574</v>
      </c>
      <c r="U902" s="241" t="s">
        <v>8805</v>
      </c>
      <c r="V902" s="244" t="s">
        <v>211</v>
      </c>
      <c r="W902" s="244" t="s">
        <v>5104</v>
      </c>
      <c r="X902" s="241" t="s">
        <v>213</v>
      </c>
      <c r="Y902" s="245">
        <v>1800</v>
      </c>
      <c r="Z902" s="246">
        <v>80000</v>
      </c>
      <c r="AA902" s="245">
        <f t="shared" si="224"/>
        <v>96000000</v>
      </c>
      <c r="AB902" s="244"/>
      <c r="AC902" s="247">
        <f t="shared" si="222"/>
        <v>80000</v>
      </c>
      <c r="AD902" s="159">
        <f t="shared" si="225"/>
        <v>0</v>
      </c>
      <c r="AE902" s="248"/>
      <c r="AF902" s="160">
        <f t="shared" si="226"/>
        <v>0</v>
      </c>
      <c r="AG902" s="248"/>
      <c r="AH902" s="161">
        <f t="shared" si="227"/>
        <v>0</v>
      </c>
      <c r="AI902" s="249"/>
      <c r="AJ902" s="249"/>
      <c r="AK902" s="249"/>
      <c r="AL902" s="249"/>
      <c r="AM902" s="249"/>
      <c r="AN902" s="249"/>
      <c r="AO902" s="249"/>
      <c r="AP902" s="249"/>
      <c r="AQ902" s="249"/>
      <c r="AR902" s="162">
        <f t="shared" si="228"/>
        <v>0</v>
      </c>
      <c r="AS902" s="249"/>
      <c r="AT902" s="167">
        <f t="shared" si="229"/>
        <v>0</v>
      </c>
      <c r="AU902" s="249"/>
      <c r="AV902" s="163">
        <f t="shared" si="230"/>
        <v>0</v>
      </c>
      <c r="AW902" s="249"/>
      <c r="AX902" s="168">
        <f t="shared" si="231"/>
        <v>0</v>
      </c>
      <c r="AY902" s="249"/>
      <c r="AZ902" s="170">
        <f t="shared" si="232"/>
        <v>0</v>
      </c>
      <c r="BA902" s="249"/>
      <c r="BB902" s="166">
        <f t="shared" si="233"/>
        <v>0</v>
      </c>
    </row>
    <row r="903" spans="1:54" ht="94.5">
      <c r="A903" s="250">
        <v>71</v>
      </c>
      <c r="B903" s="242" t="s">
        <v>2282</v>
      </c>
      <c r="C903" s="242"/>
      <c r="D903" s="242"/>
      <c r="E903" s="244" t="s">
        <v>2283</v>
      </c>
      <c r="F903" s="241" t="s">
        <v>8811</v>
      </c>
      <c r="G903" s="244" t="s">
        <v>2253</v>
      </c>
      <c r="H903" s="244" t="s">
        <v>2284</v>
      </c>
      <c r="I903" s="241" t="s">
        <v>11</v>
      </c>
      <c r="J903" s="244" t="s">
        <v>8616</v>
      </c>
      <c r="K903" s="245">
        <v>750</v>
      </c>
      <c r="L903" s="245"/>
      <c r="M903" s="159">
        <f t="shared" si="223"/>
        <v>52000</v>
      </c>
      <c r="N903" s="159"/>
      <c r="O903" s="159"/>
      <c r="P903" s="159"/>
      <c r="Q903" s="159"/>
      <c r="R903" s="159"/>
      <c r="S903" s="244" t="s">
        <v>2253</v>
      </c>
      <c r="T903" s="244" t="s">
        <v>8511</v>
      </c>
      <c r="U903" s="241" t="s">
        <v>4646</v>
      </c>
      <c r="V903" s="244" t="s">
        <v>211</v>
      </c>
      <c r="W903" s="244" t="s">
        <v>5104</v>
      </c>
      <c r="X903" s="241" t="s">
        <v>213</v>
      </c>
      <c r="Y903" s="245">
        <v>1400</v>
      </c>
      <c r="Z903" s="246">
        <v>180000</v>
      </c>
      <c r="AA903" s="245">
        <f t="shared" si="224"/>
        <v>135000000</v>
      </c>
      <c r="AB903" s="244"/>
      <c r="AC903" s="247">
        <f t="shared" si="222"/>
        <v>128000</v>
      </c>
      <c r="AD903" s="159">
        <f t="shared" si="225"/>
        <v>39000000</v>
      </c>
      <c r="AE903" s="248"/>
      <c r="AF903" s="160">
        <f t="shared" si="226"/>
        <v>0</v>
      </c>
      <c r="AG903" s="248"/>
      <c r="AH903" s="161">
        <f t="shared" si="227"/>
        <v>0</v>
      </c>
      <c r="AI903" s="249"/>
      <c r="AJ903" s="249"/>
      <c r="AK903" s="249"/>
      <c r="AL903" s="249"/>
      <c r="AM903" s="249"/>
      <c r="AN903" s="249"/>
      <c r="AO903" s="249"/>
      <c r="AP903" s="249"/>
      <c r="AQ903" s="249">
        <v>52000</v>
      </c>
      <c r="AR903" s="162">
        <f t="shared" si="228"/>
        <v>39000000</v>
      </c>
      <c r="AS903" s="249"/>
      <c r="AT903" s="167">
        <f t="shared" si="229"/>
        <v>0</v>
      </c>
      <c r="AU903" s="249"/>
      <c r="AV903" s="163">
        <f t="shared" si="230"/>
        <v>0</v>
      </c>
      <c r="AW903" s="249"/>
      <c r="AX903" s="168">
        <f t="shared" si="231"/>
        <v>0</v>
      </c>
      <c r="AY903" s="249"/>
      <c r="AZ903" s="170">
        <f t="shared" si="232"/>
        <v>0</v>
      </c>
      <c r="BA903" s="249"/>
      <c r="BB903" s="166">
        <f t="shared" si="233"/>
        <v>0</v>
      </c>
    </row>
    <row r="904" spans="1:54" ht="47.25">
      <c r="A904" s="148">
        <v>72</v>
      </c>
      <c r="B904" s="242" t="s">
        <v>8812</v>
      </c>
      <c r="C904" s="242"/>
      <c r="D904" s="242"/>
      <c r="E904" s="244" t="s">
        <v>4719</v>
      </c>
      <c r="F904" s="241" t="s">
        <v>8814</v>
      </c>
      <c r="G904" s="244" t="s">
        <v>2253</v>
      </c>
      <c r="H904" s="244" t="s">
        <v>8813</v>
      </c>
      <c r="I904" s="241" t="s">
        <v>15</v>
      </c>
      <c r="J904" s="244" t="s">
        <v>8512</v>
      </c>
      <c r="K904" s="245">
        <v>32000</v>
      </c>
      <c r="L904" s="245"/>
      <c r="M904" s="159">
        <f t="shared" si="223"/>
        <v>600</v>
      </c>
      <c r="N904" s="159"/>
      <c r="O904" s="159"/>
      <c r="P904" s="159"/>
      <c r="Q904" s="159"/>
      <c r="R904" s="159"/>
      <c r="S904" s="244" t="s">
        <v>2253</v>
      </c>
      <c r="T904" s="244" t="s">
        <v>8511</v>
      </c>
      <c r="U904" s="241" t="s">
        <v>4718</v>
      </c>
      <c r="V904" s="244" t="s">
        <v>211</v>
      </c>
      <c r="W904" s="244" t="s">
        <v>5104</v>
      </c>
      <c r="X904" s="241" t="s">
        <v>213</v>
      </c>
      <c r="Y904" s="245">
        <v>40540</v>
      </c>
      <c r="Z904" s="246">
        <v>5000</v>
      </c>
      <c r="AA904" s="245">
        <f t="shared" si="224"/>
        <v>160000000</v>
      </c>
      <c r="AB904" s="244"/>
      <c r="AC904" s="247">
        <f t="shared" si="222"/>
        <v>4400</v>
      </c>
      <c r="AD904" s="159">
        <f t="shared" si="225"/>
        <v>19200000</v>
      </c>
      <c r="AE904" s="248"/>
      <c r="AF904" s="160">
        <f t="shared" si="226"/>
        <v>0</v>
      </c>
      <c r="AG904" s="248"/>
      <c r="AH904" s="161">
        <f t="shared" si="227"/>
        <v>0</v>
      </c>
      <c r="AI904" s="249"/>
      <c r="AJ904" s="249"/>
      <c r="AK904" s="249"/>
      <c r="AL904" s="249"/>
      <c r="AM904" s="249"/>
      <c r="AN904" s="249"/>
      <c r="AO904" s="249"/>
      <c r="AP904" s="249"/>
      <c r="AQ904" s="249">
        <v>300</v>
      </c>
      <c r="AR904" s="162">
        <f t="shared" si="228"/>
        <v>9600000</v>
      </c>
      <c r="AS904" s="249"/>
      <c r="AT904" s="167">
        <f t="shared" si="229"/>
        <v>0</v>
      </c>
      <c r="AU904" s="249">
        <v>300</v>
      </c>
      <c r="AV904" s="163">
        <f t="shared" si="230"/>
        <v>9600000</v>
      </c>
      <c r="AW904" s="249"/>
      <c r="AX904" s="168">
        <f t="shared" si="231"/>
        <v>0</v>
      </c>
      <c r="AY904" s="249"/>
      <c r="AZ904" s="170">
        <f t="shared" si="232"/>
        <v>0</v>
      </c>
      <c r="BA904" s="249"/>
      <c r="BB904" s="166">
        <f t="shared" si="233"/>
        <v>0</v>
      </c>
    </row>
    <row r="905" spans="1:54" ht="63">
      <c r="A905" s="148">
        <v>73</v>
      </c>
      <c r="B905" s="242" t="s">
        <v>2298</v>
      </c>
      <c r="C905" s="242"/>
      <c r="D905" s="242"/>
      <c r="E905" s="244" t="s">
        <v>163</v>
      </c>
      <c r="F905" s="241" t="s">
        <v>8815</v>
      </c>
      <c r="G905" s="244" t="s">
        <v>2253</v>
      </c>
      <c r="H905" s="244" t="s">
        <v>165</v>
      </c>
      <c r="I905" s="241" t="s">
        <v>11</v>
      </c>
      <c r="J905" s="244" t="s">
        <v>8616</v>
      </c>
      <c r="K905" s="245">
        <v>950</v>
      </c>
      <c r="L905" s="245"/>
      <c r="M905" s="159">
        <f t="shared" si="223"/>
        <v>9600</v>
      </c>
      <c r="N905" s="159"/>
      <c r="O905" s="159"/>
      <c r="P905" s="159"/>
      <c r="Q905" s="159"/>
      <c r="R905" s="159"/>
      <c r="S905" s="244" t="s">
        <v>2253</v>
      </c>
      <c r="T905" s="244" t="s">
        <v>8511</v>
      </c>
      <c r="U905" s="241" t="s">
        <v>4725</v>
      </c>
      <c r="V905" s="244" t="s">
        <v>211</v>
      </c>
      <c r="W905" s="244" t="s">
        <v>5104</v>
      </c>
      <c r="X905" s="241" t="s">
        <v>213</v>
      </c>
      <c r="Y905" s="245">
        <v>2714</v>
      </c>
      <c r="Z905" s="246">
        <v>50000</v>
      </c>
      <c r="AA905" s="245">
        <f t="shared" si="224"/>
        <v>47500000</v>
      </c>
      <c r="AB905" s="244"/>
      <c r="AC905" s="247">
        <f t="shared" si="222"/>
        <v>40400</v>
      </c>
      <c r="AD905" s="159">
        <f t="shared" si="225"/>
        <v>9120000</v>
      </c>
      <c r="AE905" s="248"/>
      <c r="AF905" s="160">
        <f t="shared" si="226"/>
        <v>0</v>
      </c>
      <c r="AG905" s="248"/>
      <c r="AH905" s="161">
        <f t="shared" si="227"/>
        <v>0</v>
      </c>
      <c r="AI905" s="249"/>
      <c r="AJ905" s="249"/>
      <c r="AK905" s="249"/>
      <c r="AL905" s="249"/>
      <c r="AM905" s="249"/>
      <c r="AN905" s="249"/>
      <c r="AO905" s="249"/>
      <c r="AP905" s="249"/>
      <c r="AQ905" s="249">
        <v>9600</v>
      </c>
      <c r="AR905" s="162">
        <f t="shared" si="228"/>
        <v>9120000</v>
      </c>
      <c r="AS905" s="249"/>
      <c r="AT905" s="167">
        <f t="shared" si="229"/>
        <v>0</v>
      </c>
      <c r="AU905" s="249"/>
      <c r="AV905" s="163">
        <f t="shared" si="230"/>
        <v>0</v>
      </c>
      <c r="AW905" s="249"/>
      <c r="AX905" s="168">
        <f t="shared" si="231"/>
        <v>0</v>
      </c>
      <c r="AY905" s="249"/>
      <c r="AZ905" s="170">
        <f t="shared" si="232"/>
        <v>0</v>
      </c>
      <c r="BA905" s="249"/>
      <c r="BB905" s="166">
        <f t="shared" si="233"/>
        <v>0</v>
      </c>
    </row>
    <row r="906" spans="1:54" s="115" customFormat="1" ht="31.5">
      <c r="A906" s="250">
        <v>74</v>
      </c>
      <c r="B906" s="242" t="s">
        <v>55</v>
      </c>
      <c r="C906" s="242"/>
      <c r="D906" s="242"/>
      <c r="E906" s="244" t="s">
        <v>54</v>
      </c>
      <c r="F906" s="241" t="s">
        <v>2271</v>
      </c>
      <c r="G906" s="244" t="s">
        <v>2253</v>
      </c>
      <c r="H906" s="244" t="s">
        <v>56</v>
      </c>
      <c r="I906" s="241" t="s">
        <v>15</v>
      </c>
      <c r="J906" s="244" t="s">
        <v>8512</v>
      </c>
      <c r="K906" s="245">
        <v>31000</v>
      </c>
      <c r="L906" s="245"/>
      <c r="M906" s="159">
        <f t="shared" si="223"/>
        <v>300</v>
      </c>
      <c r="N906" s="159"/>
      <c r="O906" s="159"/>
      <c r="P906" s="159"/>
      <c r="Q906" s="159"/>
      <c r="R906" s="159"/>
      <c r="S906" s="244" t="s">
        <v>2253</v>
      </c>
      <c r="T906" s="244" t="s">
        <v>8511</v>
      </c>
      <c r="U906" s="241" t="s">
        <v>4623</v>
      </c>
      <c r="V906" s="244" t="s">
        <v>211</v>
      </c>
      <c r="W906" s="244" t="s">
        <v>5104</v>
      </c>
      <c r="X906" s="241" t="s">
        <v>213</v>
      </c>
      <c r="Y906" s="245">
        <v>34019</v>
      </c>
      <c r="Z906" s="246">
        <v>3000</v>
      </c>
      <c r="AA906" s="245">
        <f t="shared" si="224"/>
        <v>93000000</v>
      </c>
      <c r="AB906" s="244"/>
      <c r="AC906" s="247">
        <f t="shared" si="222"/>
        <v>2700</v>
      </c>
      <c r="AD906" s="159">
        <f t="shared" si="225"/>
        <v>9300000</v>
      </c>
      <c r="AE906" s="248"/>
      <c r="AF906" s="160">
        <f t="shared" si="226"/>
        <v>0</v>
      </c>
      <c r="AG906" s="248"/>
      <c r="AH906" s="161">
        <f t="shared" si="227"/>
        <v>0</v>
      </c>
      <c r="AI906" s="249"/>
      <c r="AJ906" s="249"/>
      <c r="AK906" s="249"/>
      <c r="AL906" s="249"/>
      <c r="AM906" s="249"/>
      <c r="AN906" s="249"/>
      <c r="AO906" s="249"/>
      <c r="AP906" s="249"/>
      <c r="AQ906" s="249">
        <v>300</v>
      </c>
      <c r="AR906" s="162">
        <f t="shared" si="228"/>
        <v>9300000</v>
      </c>
      <c r="AS906" s="249"/>
      <c r="AT906" s="167">
        <f t="shared" si="229"/>
        <v>0</v>
      </c>
      <c r="AU906" s="249"/>
      <c r="AV906" s="163">
        <f t="shared" si="230"/>
        <v>0</v>
      </c>
      <c r="AW906" s="249"/>
      <c r="AX906" s="168">
        <f t="shared" si="231"/>
        <v>0</v>
      </c>
      <c r="AY906" s="249"/>
      <c r="AZ906" s="170">
        <f t="shared" si="232"/>
        <v>0</v>
      </c>
      <c r="BA906" s="249"/>
      <c r="BB906" s="166">
        <f t="shared" si="233"/>
        <v>0</v>
      </c>
    </row>
    <row r="907" spans="1:54" ht="31.5">
      <c r="A907" s="148">
        <v>75</v>
      </c>
      <c r="B907" s="242" t="s">
        <v>2308</v>
      </c>
      <c r="C907" s="242"/>
      <c r="D907" s="242"/>
      <c r="E907" s="244" t="s">
        <v>135</v>
      </c>
      <c r="F907" s="241" t="s">
        <v>2309</v>
      </c>
      <c r="G907" s="244" t="s">
        <v>2310</v>
      </c>
      <c r="H907" s="244" t="s">
        <v>137</v>
      </c>
      <c r="I907" s="241" t="s">
        <v>11</v>
      </c>
      <c r="J907" s="244" t="s">
        <v>8732</v>
      </c>
      <c r="K907" s="245">
        <v>2047</v>
      </c>
      <c r="L907" s="245"/>
      <c r="M907" s="159">
        <f t="shared" si="223"/>
        <v>5000</v>
      </c>
      <c r="N907" s="159"/>
      <c r="O907" s="159"/>
      <c r="P907" s="159"/>
      <c r="Q907" s="159"/>
      <c r="R907" s="159"/>
      <c r="S907" s="149" t="s">
        <v>5669</v>
      </c>
      <c r="T907" s="149" t="s">
        <v>5670</v>
      </c>
      <c r="U907" s="241" t="s">
        <v>4694</v>
      </c>
      <c r="V907" s="244" t="s">
        <v>211</v>
      </c>
      <c r="W907" s="244" t="s">
        <v>5104</v>
      </c>
      <c r="X907" s="241" t="s">
        <v>213</v>
      </c>
      <c r="Y907" s="245">
        <v>2610</v>
      </c>
      <c r="Z907" s="246">
        <v>50000</v>
      </c>
      <c r="AA907" s="245">
        <f t="shared" si="224"/>
        <v>102350000</v>
      </c>
      <c r="AB907" s="244"/>
      <c r="AC907" s="247">
        <f t="shared" si="222"/>
        <v>45000</v>
      </c>
      <c r="AD907" s="159">
        <f t="shared" si="225"/>
        <v>10235000</v>
      </c>
      <c r="AE907" s="248"/>
      <c r="AF907" s="160">
        <f t="shared" si="226"/>
        <v>0</v>
      </c>
      <c r="AG907" s="248"/>
      <c r="AH907" s="161">
        <f t="shared" si="227"/>
        <v>0</v>
      </c>
      <c r="AI907" s="249"/>
      <c r="AJ907" s="249"/>
      <c r="AK907" s="249"/>
      <c r="AL907" s="249"/>
      <c r="AM907" s="249"/>
      <c r="AN907" s="249"/>
      <c r="AO907" s="249"/>
      <c r="AP907" s="249"/>
      <c r="AQ907" s="249">
        <v>5000</v>
      </c>
      <c r="AR907" s="162">
        <f t="shared" si="228"/>
        <v>10235000</v>
      </c>
      <c r="AS907" s="249"/>
      <c r="AT907" s="167">
        <f t="shared" si="229"/>
        <v>0</v>
      </c>
      <c r="AU907" s="249"/>
      <c r="AV907" s="163">
        <f t="shared" si="230"/>
        <v>0</v>
      </c>
      <c r="AW907" s="249"/>
      <c r="AX907" s="168">
        <f t="shared" si="231"/>
        <v>0</v>
      </c>
      <c r="AY907" s="249"/>
      <c r="AZ907" s="170">
        <f t="shared" si="232"/>
        <v>0</v>
      </c>
      <c r="BA907" s="249"/>
      <c r="BB907" s="166">
        <f t="shared" si="233"/>
        <v>0</v>
      </c>
    </row>
    <row r="908" spans="1:54" ht="47.25">
      <c r="A908" s="148">
        <v>76</v>
      </c>
      <c r="B908" s="242" t="s">
        <v>8817</v>
      </c>
      <c r="C908" s="242"/>
      <c r="D908" s="242"/>
      <c r="E908" s="244" t="s">
        <v>8819</v>
      </c>
      <c r="F908" s="241" t="s">
        <v>8820</v>
      </c>
      <c r="G908" s="244" t="s">
        <v>8821</v>
      </c>
      <c r="H908" s="244" t="s">
        <v>8818</v>
      </c>
      <c r="I908" s="241" t="s">
        <v>11</v>
      </c>
      <c r="J908" s="244" t="s">
        <v>8616</v>
      </c>
      <c r="K908" s="245">
        <v>1045</v>
      </c>
      <c r="L908" s="245"/>
      <c r="M908" s="159">
        <f t="shared" si="223"/>
        <v>0</v>
      </c>
      <c r="N908" s="159"/>
      <c r="O908" s="159"/>
      <c r="P908" s="159"/>
      <c r="Q908" s="159"/>
      <c r="R908" s="159"/>
      <c r="S908" s="149" t="s">
        <v>5936</v>
      </c>
      <c r="T908" s="149" t="s">
        <v>5937</v>
      </c>
      <c r="U908" s="241" t="s">
        <v>8816</v>
      </c>
      <c r="V908" s="244" t="s">
        <v>211</v>
      </c>
      <c r="W908" s="244" t="s">
        <v>5104</v>
      </c>
      <c r="X908" s="241" t="s">
        <v>213</v>
      </c>
      <c r="Y908" s="245">
        <v>2090</v>
      </c>
      <c r="Z908" s="246">
        <v>50000</v>
      </c>
      <c r="AA908" s="245">
        <f t="shared" si="224"/>
        <v>52250000</v>
      </c>
      <c r="AB908" s="244"/>
      <c r="AC908" s="247">
        <f t="shared" si="222"/>
        <v>50000</v>
      </c>
      <c r="AD908" s="159">
        <f t="shared" si="225"/>
        <v>0</v>
      </c>
      <c r="AE908" s="248"/>
      <c r="AF908" s="160">
        <f t="shared" si="226"/>
        <v>0</v>
      </c>
      <c r="AG908" s="248"/>
      <c r="AH908" s="161">
        <f t="shared" si="227"/>
        <v>0</v>
      </c>
      <c r="AI908" s="249"/>
      <c r="AJ908" s="249"/>
      <c r="AK908" s="249"/>
      <c r="AL908" s="249"/>
      <c r="AM908" s="249"/>
      <c r="AN908" s="249"/>
      <c r="AO908" s="249"/>
      <c r="AP908" s="249"/>
      <c r="AQ908" s="249"/>
      <c r="AR908" s="162">
        <f t="shared" si="228"/>
        <v>0</v>
      </c>
      <c r="AS908" s="249"/>
      <c r="AT908" s="167">
        <f t="shared" si="229"/>
        <v>0</v>
      </c>
      <c r="AU908" s="249"/>
      <c r="AV908" s="163">
        <f t="shared" si="230"/>
        <v>0</v>
      </c>
      <c r="AW908" s="249"/>
      <c r="AX908" s="168">
        <f t="shared" si="231"/>
        <v>0</v>
      </c>
      <c r="AY908" s="249"/>
      <c r="AZ908" s="170">
        <f t="shared" si="232"/>
        <v>0</v>
      </c>
      <c r="BA908" s="249"/>
      <c r="BB908" s="166">
        <f t="shared" si="233"/>
        <v>0</v>
      </c>
    </row>
    <row r="909" spans="1:54" s="115" customFormat="1" ht="78.75">
      <c r="A909" s="250">
        <v>77</v>
      </c>
      <c r="B909" s="242" t="s">
        <v>8822</v>
      </c>
      <c r="C909" s="242"/>
      <c r="D909" s="242"/>
      <c r="E909" s="244" t="s">
        <v>8823</v>
      </c>
      <c r="F909" s="241" t="s">
        <v>8825</v>
      </c>
      <c r="G909" s="244" t="s">
        <v>8826</v>
      </c>
      <c r="H909" s="244" t="s">
        <v>4743</v>
      </c>
      <c r="I909" s="241" t="s">
        <v>1258</v>
      </c>
      <c r="J909" s="244" t="s">
        <v>8824</v>
      </c>
      <c r="K909" s="245">
        <v>4990</v>
      </c>
      <c r="L909" s="245"/>
      <c r="M909" s="159">
        <f t="shared" si="223"/>
        <v>500</v>
      </c>
      <c r="N909" s="159"/>
      <c r="O909" s="159"/>
      <c r="P909" s="159"/>
      <c r="Q909" s="159"/>
      <c r="R909" s="159"/>
      <c r="S909" s="150" t="s">
        <v>8582</v>
      </c>
      <c r="T909" s="150" t="s">
        <v>8583</v>
      </c>
      <c r="U909" s="241" t="s">
        <v>4740</v>
      </c>
      <c r="V909" s="244" t="s">
        <v>211</v>
      </c>
      <c r="W909" s="244" t="s">
        <v>5104</v>
      </c>
      <c r="X909" s="241" t="s">
        <v>213</v>
      </c>
      <c r="Y909" s="245">
        <v>6200</v>
      </c>
      <c r="Z909" s="246">
        <v>10000</v>
      </c>
      <c r="AA909" s="245">
        <f t="shared" si="224"/>
        <v>49900000</v>
      </c>
      <c r="AB909" s="244"/>
      <c r="AC909" s="247">
        <f t="shared" si="222"/>
        <v>9500</v>
      </c>
      <c r="AD909" s="159">
        <f t="shared" si="225"/>
        <v>2495000</v>
      </c>
      <c r="AE909" s="248"/>
      <c r="AF909" s="160">
        <f t="shared" si="226"/>
        <v>0</v>
      </c>
      <c r="AG909" s="248"/>
      <c r="AH909" s="161">
        <f t="shared" si="227"/>
        <v>0</v>
      </c>
      <c r="AI909" s="249"/>
      <c r="AJ909" s="249"/>
      <c r="AK909" s="249"/>
      <c r="AL909" s="249"/>
      <c r="AM909" s="249"/>
      <c r="AN909" s="249"/>
      <c r="AO909" s="249"/>
      <c r="AP909" s="249"/>
      <c r="AQ909" s="249">
        <v>500</v>
      </c>
      <c r="AR909" s="162">
        <f t="shared" si="228"/>
        <v>2495000</v>
      </c>
      <c r="AS909" s="249"/>
      <c r="AT909" s="167">
        <f t="shared" si="229"/>
        <v>0</v>
      </c>
      <c r="AU909" s="249"/>
      <c r="AV909" s="163">
        <f t="shared" si="230"/>
        <v>0</v>
      </c>
      <c r="AW909" s="249"/>
      <c r="AX909" s="168">
        <f t="shared" si="231"/>
        <v>0</v>
      </c>
      <c r="AY909" s="249"/>
      <c r="AZ909" s="170">
        <f t="shared" si="232"/>
        <v>0</v>
      </c>
      <c r="BA909" s="249"/>
      <c r="BB909" s="166">
        <f t="shared" si="233"/>
        <v>0</v>
      </c>
    </row>
    <row r="910" spans="1:54" s="115" customFormat="1" ht="113.25">
      <c r="A910" s="148">
        <v>78</v>
      </c>
      <c r="B910" s="242" t="s">
        <v>8828</v>
      </c>
      <c r="C910" s="242"/>
      <c r="D910" s="242"/>
      <c r="E910" s="244" t="s">
        <v>8830</v>
      </c>
      <c r="F910" s="241" t="s">
        <v>8831</v>
      </c>
      <c r="G910" s="244" t="s">
        <v>8603</v>
      </c>
      <c r="H910" s="243" t="s">
        <v>8829</v>
      </c>
      <c r="I910" s="241" t="s">
        <v>11</v>
      </c>
      <c r="J910" s="244" t="s">
        <v>8523</v>
      </c>
      <c r="K910" s="245">
        <v>2990</v>
      </c>
      <c r="L910" s="245"/>
      <c r="M910" s="159">
        <f t="shared" si="223"/>
        <v>0</v>
      </c>
      <c r="N910" s="159"/>
      <c r="O910" s="159"/>
      <c r="P910" s="159"/>
      <c r="Q910" s="159"/>
      <c r="R910" s="159"/>
      <c r="S910" s="149" t="s">
        <v>8599</v>
      </c>
      <c r="T910" s="149" t="s">
        <v>7563</v>
      </c>
      <c r="U910" s="241" t="s">
        <v>8827</v>
      </c>
      <c r="V910" s="244" t="s">
        <v>211</v>
      </c>
      <c r="W910" s="244" t="s">
        <v>5104</v>
      </c>
      <c r="X910" s="241" t="s">
        <v>213</v>
      </c>
      <c r="Y910" s="245">
        <v>4000</v>
      </c>
      <c r="Z910" s="246">
        <v>10000</v>
      </c>
      <c r="AA910" s="245">
        <f t="shared" si="224"/>
        <v>29900000</v>
      </c>
      <c r="AB910" s="244"/>
      <c r="AC910" s="247">
        <f t="shared" si="222"/>
        <v>10000</v>
      </c>
      <c r="AD910" s="159">
        <f t="shared" si="225"/>
        <v>0</v>
      </c>
      <c r="AE910" s="248"/>
      <c r="AF910" s="160">
        <f t="shared" si="226"/>
        <v>0</v>
      </c>
      <c r="AG910" s="248"/>
      <c r="AH910" s="161">
        <f t="shared" si="227"/>
        <v>0</v>
      </c>
      <c r="AI910" s="249"/>
      <c r="AJ910" s="249"/>
      <c r="AK910" s="249"/>
      <c r="AL910" s="249"/>
      <c r="AM910" s="249"/>
      <c r="AN910" s="249"/>
      <c r="AO910" s="249"/>
      <c r="AP910" s="249"/>
      <c r="AQ910" s="249"/>
      <c r="AR910" s="162">
        <f t="shared" si="228"/>
        <v>0</v>
      </c>
      <c r="AS910" s="249"/>
      <c r="AT910" s="167">
        <f t="shared" si="229"/>
        <v>0</v>
      </c>
      <c r="AU910" s="249"/>
      <c r="AV910" s="163">
        <f t="shared" si="230"/>
        <v>0</v>
      </c>
      <c r="AW910" s="249"/>
      <c r="AX910" s="168">
        <f t="shared" si="231"/>
        <v>0</v>
      </c>
      <c r="AY910" s="249"/>
      <c r="AZ910" s="170">
        <f t="shared" si="232"/>
        <v>0</v>
      </c>
      <c r="BA910" s="249"/>
      <c r="BB910" s="166">
        <f t="shared" si="233"/>
        <v>0</v>
      </c>
    </row>
    <row r="911" spans="1:54" s="115" customFormat="1" ht="63">
      <c r="A911" s="148">
        <v>79</v>
      </c>
      <c r="B911" s="242" t="s">
        <v>8832</v>
      </c>
      <c r="C911" s="242"/>
      <c r="D911" s="242"/>
      <c r="E911" s="244" t="s">
        <v>8833</v>
      </c>
      <c r="F911" s="241" t="s">
        <v>8835</v>
      </c>
      <c r="G911" s="244" t="s">
        <v>8826</v>
      </c>
      <c r="H911" s="244" t="s">
        <v>4735</v>
      </c>
      <c r="I911" s="241" t="s">
        <v>658</v>
      </c>
      <c r="J911" s="244" t="s">
        <v>8834</v>
      </c>
      <c r="K911" s="245">
        <v>28500</v>
      </c>
      <c r="L911" s="245"/>
      <c r="M911" s="159">
        <f t="shared" si="223"/>
        <v>350</v>
      </c>
      <c r="N911" s="159"/>
      <c r="O911" s="159"/>
      <c r="P911" s="159"/>
      <c r="Q911" s="159"/>
      <c r="R911" s="159"/>
      <c r="S911" s="150" t="s">
        <v>8582</v>
      </c>
      <c r="T911" s="150" t="s">
        <v>8583</v>
      </c>
      <c r="U911" s="241" t="s">
        <v>4732</v>
      </c>
      <c r="V911" s="244" t="s">
        <v>211</v>
      </c>
      <c r="W911" s="244" t="s">
        <v>253</v>
      </c>
      <c r="X911" s="241" t="s">
        <v>213</v>
      </c>
      <c r="Y911" s="245">
        <v>32500</v>
      </c>
      <c r="Z911" s="246">
        <v>1500</v>
      </c>
      <c r="AA911" s="245">
        <f t="shared" si="224"/>
        <v>42750000</v>
      </c>
      <c r="AB911" s="244"/>
      <c r="AC911" s="247">
        <f t="shared" si="222"/>
        <v>1150</v>
      </c>
      <c r="AD911" s="159">
        <f t="shared" si="225"/>
        <v>9975000</v>
      </c>
      <c r="AE911" s="248"/>
      <c r="AF911" s="160">
        <f t="shared" si="226"/>
        <v>0</v>
      </c>
      <c r="AG911" s="248"/>
      <c r="AH911" s="161">
        <f t="shared" si="227"/>
        <v>0</v>
      </c>
      <c r="AI911" s="249"/>
      <c r="AJ911" s="249"/>
      <c r="AK911" s="249"/>
      <c r="AL911" s="249"/>
      <c r="AM911" s="249"/>
      <c r="AN911" s="249"/>
      <c r="AO911" s="249"/>
      <c r="AP911" s="249"/>
      <c r="AQ911" s="249">
        <v>350</v>
      </c>
      <c r="AR911" s="162">
        <f t="shared" si="228"/>
        <v>9975000</v>
      </c>
      <c r="AS911" s="249"/>
      <c r="AT911" s="167">
        <f t="shared" si="229"/>
        <v>0</v>
      </c>
      <c r="AU911" s="249"/>
      <c r="AV911" s="163">
        <f t="shared" si="230"/>
        <v>0</v>
      </c>
      <c r="AW911" s="249"/>
      <c r="AX911" s="168">
        <f t="shared" si="231"/>
        <v>0</v>
      </c>
      <c r="AY911" s="249"/>
      <c r="AZ911" s="170">
        <f t="shared" si="232"/>
        <v>0</v>
      </c>
      <c r="BA911" s="249"/>
      <c r="BB911" s="166">
        <f t="shared" si="233"/>
        <v>0</v>
      </c>
    </row>
    <row r="912" spans="1:54" s="115" customFormat="1" ht="94.5">
      <c r="A912" s="250">
        <v>80</v>
      </c>
      <c r="B912" s="242" t="s">
        <v>8838</v>
      </c>
      <c r="C912" s="242"/>
      <c r="D912" s="242"/>
      <c r="E912" s="244" t="s">
        <v>8840</v>
      </c>
      <c r="F912" s="241" t="s">
        <v>8842</v>
      </c>
      <c r="G912" s="244" t="s">
        <v>8843</v>
      </c>
      <c r="H912" s="244" t="s">
        <v>8839</v>
      </c>
      <c r="I912" s="241" t="s">
        <v>13</v>
      </c>
      <c r="J912" s="244" t="s">
        <v>8841</v>
      </c>
      <c r="K912" s="245">
        <v>7348</v>
      </c>
      <c r="L912" s="245"/>
      <c r="M912" s="159">
        <f t="shared" si="223"/>
        <v>0</v>
      </c>
      <c r="N912" s="159"/>
      <c r="O912" s="159"/>
      <c r="P912" s="159"/>
      <c r="Q912" s="159"/>
      <c r="R912" s="159"/>
      <c r="S912" s="244" t="s">
        <v>8836</v>
      </c>
      <c r="T912" s="244" t="s">
        <v>1713</v>
      </c>
      <c r="U912" s="241" t="s">
        <v>8837</v>
      </c>
      <c r="V912" s="244" t="s">
        <v>211</v>
      </c>
      <c r="W912" s="244" t="s">
        <v>6049</v>
      </c>
      <c r="X912" s="241" t="s">
        <v>213</v>
      </c>
      <c r="Y912" s="245">
        <v>7348</v>
      </c>
      <c r="Z912" s="246">
        <v>5000</v>
      </c>
      <c r="AA912" s="245">
        <f t="shared" si="224"/>
        <v>36740000</v>
      </c>
      <c r="AB912" s="244"/>
      <c r="AC912" s="247">
        <f t="shared" si="222"/>
        <v>5000</v>
      </c>
      <c r="AD912" s="159">
        <f t="shared" si="225"/>
        <v>0</v>
      </c>
      <c r="AE912" s="248"/>
      <c r="AF912" s="160">
        <f t="shared" si="226"/>
        <v>0</v>
      </c>
      <c r="AG912" s="248"/>
      <c r="AH912" s="161">
        <f t="shared" si="227"/>
        <v>0</v>
      </c>
      <c r="AI912" s="249"/>
      <c r="AJ912" s="249"/>
      <c r="AK912" s="249"/>
      <c r="AL912" s="249"/>
      <c r="AM912" s="249"/>
      <c r="AN912" s="249"/>
      <c r="AO912" s="249"/>
      <c r="AP912" s="249"/>
      <c r="AQ912" s="249"/>
      <c r="AR912" s="162">
        <f t="shared" si="228"/>
        <v>0</v>
      </c>
      <c r="AS912" s="249"/>
      <c r="AT912" s="167">
        <f t="shared" si="229"/>
        <v>0</v>
      </c>
      <c r="AU912" s="249"/>
      <c r="AV912" s="163">
        <f t="shared" si="230"/>
        <v>0</v>
      </c>
      <c r="AW912" s="249"/>
      <c r="AX912" s="168">
        <f t="shared" si="231"/>
        <v>0</v>
      </c>
      <c r="AY912" s="249"/>
      <c r="AZ912" s="170">
        <f t="shared" si="232"/>
        <v>0</v>
      </c>
      <c r="BA912" s="249"/>
      <c r="BB912" s="166">
        <f t="shared" si="233"/>
        <v>0</v>
      </c>
    </row>
    <row r="913" spans="1:54" s="115" customFormat="1" ht="63">
      <c r="A913" s="148">
        <v>81</v>
      </c>
      <c r="B913" s="242" t="s">
        <v>8845</v>
      </c>
      <c r="C913" s="242"/>
      <c r="D913" s="242"/>
      <c r="E913" s="244" t="s">
        <v>8847</v>
      </c>
      <c r="F913" s="241" t="s">
        <v>8849</v>
      </c>
      <c r="G913" s="244" t="s">
        <v>8701</v>
      </c>
      <c r="H913" s="244" t="s">
        <v>8846</v>
      </c>
      <c r="I913" s="241" t="s">
        <v>11</v>
      </c>
      <c r="J913" s="244" t="s">
        <v>8848</v>
      </c>
      <c r="K913" s="245">
        <v>1029</v>
      </c>
      <c r="L913" s="245"/>
      <c r="M913" s="159">
        <f t="shared" si="223"/>
        <v>0</v>
      </c>
      <c r="N913" s="159"/>
      <c r="O913" s="159"/>
      <c r="P913" s="159"/>
      <c r="Q913" s="159"/>
      <c r="R913" s="159"/>
      <c r="S913" s="150" t="s">
        <v>5153</v>
      </c>
      <c r="T913" s="150" t="s">
        <v>5154</v>
      </c>
      <c r="U913" s="241" t="s">
        <v>8844</v>
      </c>
      <c r="V913" s="244" t="s">
        <v>211</v>
      </c>
      <c r="W913" s="244" t="s">
        <v>5104</v>
      </c>
      <c r="X913" s="241" t="s">
        <v>213</v>
      </c>
      <c r="Y913" s="245">
        <v>2200</v>
      </c>
      <c r="Z913" s="246">
        <v>20000</v>
      </c>
      <c r="AA913" s="245">
        <f t="shared" si="224"/>
        <v>20580000</v>
      </c>
      <c r="AB913" s="244"/>
      <c r="AC913" s="247">
        <f t="shared" si="222"/>
        <v>20000</v>
      </c>
      <c r="AD913" s="159">
        <f t="shared" si="225"/>
        <v>0</v>
      </c>
      <c r="AE913" s="248"/>
      <c r="AF913" s="160">
        <f t="shared" si="226"/>
        <v>0</v>
      </c>
      <c r="AG913" s="248"/>
      <c r="AH913" s="161">
        <f t="shared" si="227"/>
        <v>0</v>
      </c>
      <c r="AI913" s="249"/>
      <c r="AJ913" s="249"/>
      <c r="AK913" s="249"/>
      <c r="AL913" s="249"/>
      <c r="AM913" s="249"/>
      <c r="AN913" s="249"/>
      <c r="AO913" s="249"/>
      <c r="AP913" s="249"/>
      <c r="AQ913" s="249"/>
      <c r="AR913" s="162">
        <f t="shared" si="228"/>
        <v>0</v>
      </c>
      <c r="AS913" s="249"/>
      <c r="AT913" s="167">
        <f t="shared" si="229"/>
        <v>0</v>
      </c>
      <c r="AU913" s="249"/>
      <c r="AV913" s="163">
        <f t="shared" si="230"/>
        <v>0</v>
      </c>
      <c r="AW913" s="249"/>
      <c r="AX913" s="168">
        <f t="shared" si="231"/>
        <v>0</v>
      </c>
      <c r="AY913" s="249"/>
      <c r="AZ913" s="170">
        <f t="shared" si="232"/>
        <v>0</v>
      </c>
      <c r="BA913" s="249"/>
      <c r="BB913" s="166">
        <f t="shared" si="233"/>
        <v>0</v>
      </c>
    </row>
    <row r="914" spans="1:54" s="115" customFormat="1" ht="94.5">
      <c r="A914" s="148">
        <v>82</v>
      </c>
      <c r="B914" s="242" t="s">
        <v>8851</v>
      </c>
      <c r="C914" s="242"/>
      <c r="D914" s="242"/>
      <c r="E914" s="244" t="s">
        <v>8853</v>
      </c>
      <c r="F914" s="241" t="s">
        <v>8855</v>
      </c>
      <c r="G914" s="244" t="s">
        <v>2426</v>
      </c>
      <c r="H914" s="244" t="s">
        <v>8852</v>
      </c>
      <c r="I914" s="241" t="s">
        <v>11</v>
      </c>
      <c r="J914" s="244" t="s">
        <v>8854</v>
      </c>
      <c r="K914" s="245">
        <v>1640</v>
      </c>
      <c r="L914" s="245"/>
      <c r="M914" s="159">
        <f t="shared" si="223"/>
        <v>0</v>
      </c>
      <c r="N914" s="159"/>
      <c r="O914" s="159"/>
      <c r="P914" s="159"/>
      <c r="Q914" s="159"/>
      <c r="R914" s="159"/>
      <c r="S914" s="150" t="s">
        <v>5293</v>
      </c>
      <c r="T914" s="150" t="s">
        <v>5294</v>
      </c>
      <c r="U914" s="241" t="s">
        <v>8850</v>
      </c>
      <c r="V914" s="244" t="s">
        <v>211</v>
      </c>
      <c r="W914" s="244" t="s">
        <v>5104</v>
      </c>
      <c r="X914" s="241" t="s">
        <v>213</v>
      </c>
      <c r="Y914" s="245">
        <v>1700</v>
      </c>
      <c r="Z914" s="246">
        <v>20000</v>
      </c>
      <c r="AA914" s="245">
        <f t="shared" si="224"/>
        <v>32800000</v>
      </c>
      <c r="AB914" s="244"/>
      <c r="AC914" s="247">
        <f t="shared" si="222"/>
        <v>20000</v>
      </c>
      <c r="AD914" s="159">
        <f t="shared" si="225"/>
        <v>0</v>
      </c>
      <c r="AE914" s="248"/>
      <c r="AF914" s="160">
        <f t="shared" si="226"/>
        <v>0</v>
      </c>
      <c r="AG914" s="248"/>
      <c r="AH914" s="161">
        <f t="shared" si="227"/>
        <v>0</v>
      </c>
      <c r="AI914" s="249"/>
      <c r="AJ914" s="249"/>
      <c r="AK914" s="249"/>
      <c r="AL914" s="249"/>
      <c r="AM914" s="249"/>
      <c r="AN914" s="249"/>
      <c r="AO914" s="249"/>
      <c r="AP914" s="249"/>
      <c r="AQ914" s="249"/>
      <c r="AR914" s="162">
        <f t="shared" si="228"/>
        <v>0</v>
      </c>
      <c r="AS914" s="249"/>
      <c r="AT914" s="167">
        <f t="shared" si="229"/>
        <v>0</v>
      </c>
      <c r="AU914" s="249"/>
      <c r="AV914" s="163">
        <f t="shared" si="230"/>
        <v>0</v>
      </c>
      <c r="AW914" s="249"/>
      <c r="AX914" s="168">
        <f t="shared" si="231"/>
        <v>0</v>
      </c>
      <c r="AY914" s="249"/>
      <c r="AZ914" s="170">
        <f t="shared" si="232"/>
        <v>0</v>
      </c>
      <c r="BA914" s="249"/>
      <c r="BB914" s="166">
        <f t="shared" si="233"/>
        <v>0</v>
      </c>
    </row>
    <row r="915" spans="1:54" s="115" customFormat="1" ht="47.25">
      <c r="A915" s="250">
        <v>83</v>
      </c>
      <c r="B915" s="242" t="s">
        <v>8857</v>
      </c>
      <c r="C915" s="242"/>
      <c r="D915" s="242"/>
      <c r="E915" s="244" t="s">
        <v>8859</v>
      </c>
      <c r="F915" s="241" t="s">
        <v>8861</v>
      </c>
      <c r="G915" s="244" t="s">
        <v>8559</v>
      </c>
      <c r="H915" s="244" t="s">
        <v>8858</v>
      </c>
      <c r="I915" s="241" t="s">
        <v>13</v>
      </c>
      <c r="J915" s="244" t="s">
        <v>8860</v>
      </c>
      <c r="K915" s="245">
        <v>6800</v>
      </c>
      <c r="L915" s="245"/>
      <c r="M915" s="159">
        <f t="shared" si="223"/>
        <v>0</v>
      </c>
      <c r="N915" s="159"/>
      <c r="O915" s="159"/>
      <c r="P915" s="159"/>
      <c r="Q915" s="159"/>
      <c r="R915" s="159"/>
      <c r="S915" s="244" t="s">
        <v>8836</v>
      </c>
      <c r="T915" s="244" t="s">
        <v>1713</v>
      </c>
      <c r="U915" s="241" t="s">
        <v>8856</v>
      </c>
      <c r="V915" s="244" t="s">
        <v>211</v>
      </c>
      <c r="W915" s="244" t="s">
        <v>253</v>
      </c>
      <c r="X915" s="241" t="s">
        <v>213</v>
      </c>
      <c r="Y915" s="245">
        <v>7200</v>
      </c>
      <c r="Z915" s="246">
        <v>20000</v>
      </c>
      <c r="AA915" s="245">
        <f t="shared" si="224"/>
        <v>136000000</v>
      </c>
      <c r="AB915" s="244"/>
      <c r="AC915" s="247">
        <f t="shared" si="222"/>
        <v>20000</v>
      </c>
      <c r="AD915" s="159">
        <f t="shared" si="225"/>
        <v>0</v>
      </c>
      <c r="AE915" s="248"/>
      <c r="AF915" s="160">
        <f t="shared" si="226"/>
        <v>0</v>
      </c>
      <c r="AG915" s="248"/>
      <c r="AH915" s="161">
        <f t="shared" si="227"/>
        <v>0</v>
      </c>
      <c r="AI915" s="249"/>
      <c r="AJ915" s="249"/>
      <c r="AK915" s="249"/>
      <c r="AL915" s="249"/>
      <c r="AM915" s="249"/>
      <c r="AN915" s="249"/>
      <c r="AO915" s="249"/>
      <c r="AP915" s="249"/>
      <c r="AQ915" s="249"/>
      <c r="AR915" s="162">
        <f t="shared" si="228"/>
        <v>0</v>
      </c>
      <c r="AS915" s="249"/>
      <c r="AT915" s="167">
        <f t="shared" si="229"/>
        <v>0</v>
      </c>
      <c r="AU915" s="249"/>
      <c r="AV915" s="163">
        <f t="shared" si="230"/>
        <v>0</v>
      </c>
      <c r="AW915" s="249"/>
      <c r="AX915" s="168">
        <f t="shared" si="231"/>
        <v>0</v>
      </c>
      <c r="AY915" s="249"/>
      <c r="AZ915" s="170">
        <f t="shared" si="232"/>
        <v>0</v>
      </c>
      <c r="BA915" s="249"/>
      <c r="BB915" s="166">
        <f t="shared" si="233"/>
        <v>0</v>
      </c>
    </row>
    <row r="916" spans="1:54" s="115" customFormat="1" ht="31.5">
      <c r="A916" s="148">
        <v>84</v>
      </c>
      <c r="B916" s="242" t="s">
        <v>2276</v>
      </c>
      <c r="C916" s="242"/>
      <c r="D916" s="242"/>
      <c r="E916" s="244" t="s">
        <v>2277</v>
      </c>
      <c r="F916" s="241" t="s">
        <v>2279</v>
      </c>
      <c r="G916" s="244" t="s">
        <v>2253</v>
      </c>
      <c r="H916" s="244" t="s">
        <v>2278</v>
      </c>
      <c r="I916" s="241" t="s">
        <v>11</v>
      </c>
      <c r="J916" s="244" t="s">
        <v>8616</v>
      </c>
      <c r="K916" s="245">
        <v>1150</v>
      </c>
      <c r="L916" s="245"/>
      <c r="M916" s="159">
        <f t="shared" si="223"/>
        <v>14600</v>
      </c>
      <c r="N916" s="159"/>
      <c r="O916" s="159"/>
      <c r="P916" s="159"/>
      <c r="Q916" s="159"/>
      <c r="R916" s="159"/>
      <c r="S916" s="244" t="s">
        <v>2253</v>
      </c>
      <c r="T916" s="244" t="s">
        <v>8511</v>
      </c>
      <c r="U916" s="241" t="s">
        <v>4633</v>
      </c>
      <c r="V916" s="244" t="s">
        <v>211</v>
      </c>
      <c r="W916" s="244" t="s">
        <v>5104</v>
      </c>
      <c r="X916" s="241" t="s">
        <v>213</v>
      </c>
      <c r="Y916" s="245">
        <v>1349</v>
      </c>
      <c r="Z916" s="246">
        <v>20000</v>
      </c>
      <c r="AA916" s="245">
        <f t="shared" si="224"/>
        <v>23000000</v>
      </c>
      <c r="AB916" s="244"/>
      <c r="AC916" s="247">
        <f t="shared" si="222"/>
        <v>5400</v>
      </c>
      <c r="AD916" s="159">
        <f t="shared" si="225"/>
        <v>16790000</v>
      </c>
      <c r="AE916" s="248"/>
      <c r="AF916" s="160">
        <f t="shared" si="226"/>
        <v>0</v>
      </c>
      <c r="AG916" s="248"/>
      <c r="AH916" s="161">
        <f t="shared" si="227"/>
        <v>0</v>
      </c>
      <c r="AI916" s="249"/>
      <c r="AJ916" s="249"/>
      <c r="AK916" s="249"/>
      <c r="AL916" s="249"/>
      <c r="AM916" s="249"/>
      <c r="AN916" s="249"/>
      <c r="AO916" s="249"/>
      <c r="AP916" s="249"/>
      <c r="AQ916" s="249">
        <v>9600</v>
      </c>
      <c r="AR916" s="162">
        <f t="shared" si="228"/>
        <v>11040000</v>
      </c>
      <c r="AS916" s="249"/>
      <c r="AT916" s="167">
        <f t="shared" si="229"/>
        <v>0</v>
      </c>
      <c r="AU916" s="249">
        <v>5000</v>
      </c>
      <c r="AV916" s="163">
        <f t="shared" si="230"/>
        <v>5750000</v>
      </c>
      <c r="AW916" s="249"/>
      <c r="AX916" s="168">
        <f t="shared" si="231"/>
        <v>0</v>
      </c>
      <c r="AY916" s="249"/>
      <c r="AZ916" s="170">
        <f t="shared" si="232"/>
        <v>0</v>
      </c>
      <c r="BA916" s="249"/>
      <c r="BB916" s="166">
        <f t="shared" si="233"/>
        <v>0</v>
      </c>
    </row>
    <row r="917" spans="1:54" s="115" customFormat="1" ht="47.25">
      <c r="A917" s="148">
        <v>85</v>
      </c>
      <c r="B917" s="242" t="s">
        <v>8862</v>
      </c>
      <c r="C917" s="242"/>
      <c r="D917" s="242"/>
      <c r="E917" s="244" t="s">
        <v>4638</v>
      </c>
      <c r="F917" s="241" t="s">
        <v>8865</v>
      </c>
      <c r="G917" s="244" t="s">
        <v>2168</v>
      </c>
      <c r="H917" s="244" t="s">
        <v>8863</v>
      </c>
      <c r="I917" s="241" t="s">
        <v>11</v>
      </c>
      <c r="J917" s="244" t="s">
        <v>8864</v>
      </c>
      <c r="K917" s="245">
        <v>1000</v>
      </c>
      <c r="L917" s="245"/>
      <c r="M917" s="159">
        <f t="shared" si="223"/>
        <v>4800</v>
      </c>
      <c r="N917" s="159"/>
      <c r="O917" s="159"/>
      <c r="P917" s="159"/>
      <c r="Q917" s="159"/>
      <c r="R917" s="159"/>
      <c r="S917" s="244" t="s">
        <v>8748</v>
      </c>
      <c r="T917" s="244" t="s">
        <v>8749</v>
      </c>
      <c r="U917" s="241" t="s">
        <v>4637</v>
      </c>
      <c r="V917" s="244" t="s">
        <v>211</v>
      </c>
      <c r="W917" s="244" t="s">
        <v>5104</v>
      </c>
      <c r="X917" s="241" t="s">
        <v>6694</v>
      </c>
      <c r="Y917" s="245">
        <v>1000</v>
      </c>
      <c r="Z917" s="246">
        <v>20000</v>
      </c>
      <c r="AA917" s="245">
        <f t="shared" si="224"/>
        <v>20000000</v>
      </c>
      <c r="AB917" s="244"/>
      <c r="AC917" s="247">
        <f t="shared" si="222"/>
        <v>15200</v>
      </c>
      <c r="AD917" s="159">
        <f t="shared" si="225"/>
        <v>4800000</v>
      </c>
      <c r="AE917" s="248"/>
      <c r="AF917" s="160">
        <f t="shared" si="226"/>
        <v>0</v>
      </c>
      <c r="AG917" s="248"/>
      <c r="AH917" s="161">
        <f t="shared" si="227"/>
        <v>0</v>
      </c>
      <c r="AI917" s="249"/>
      <c r="AJ917" s="249"/>
      <c r="AK917" s="249"/>
      <c r="AL917" s="249"/>
      <c r="AM917" s="249"/>
      <c r="AN917" s="249"/>
      <c r="AO917" s="249"/>
      <c r="AP917" s="249"/>
      <c r="AQ917" s="249"/>
      <c r="AR917" s="162">
        <f t="shared" si="228"/>
        <v>0</v>
      </c>
      <c r="AS917" s="249">
        <v>4800</v>
      </c>
      <c r="AT917" s="167">
        <f t="shared" si="229"/>
        <v>4800000</v>
      </c>
      <c r="AU917" s="249"/>
      <c r="AV917" s="163">
        <f t="shared" si="230"/>
        <v>0</v>
      </c>
      <c r="AW917" s="249"/>
      <c r="AX917" s="168">
        <f t="shared" si="231"/>
        <v>0</v>
      </c>
      <c r="AY917" s="249"/>
      <c r="AZ917" s="170">
        <f t="shared" si="232"/>
        <v>0</v>
      </c>
      <c r="BA917" s="249"/>
      <c r="BB917" s="166">
        <f t="shared" si="233"/>
        <v>0</v>
      </c>
    </row>
    <row r="918" spans="1:54" s="115" customFormat="1" ht="31.5">
      <c r="A918" s="250">
        <v>86</v>
      </c>
      <c r="B918" s="242" t="s">
        <v>8867</v>
      </c>
      <c r="C918" s="242"/>
      <c r="D918" s="242"/>
      <c r="E918" s="244" t="s">
        <v>8869</v>
      </c>
      <c r="F918" s="241" t="s">
        <v>8871</v>
      </c>
      <c r="G918" s="244" t="s">
        <v>1429</v>
      </c>
      <c r="H918" s="244" t="s">
        <v>8868</v>
      </c>
      <c r="I918" s="241" t="s">
        <v>11</v>
      </c>
      <c r="J918" s="244" t="s">
        <v>8870</v>
      </c>
      <c r="K918" s="245">
        <v>360</v>
      </c>
      <c r="L918" s="245"/>
      <c r="M918" s="159">
        <f t="shared" si="223"/>
        <v>0</v>
      </c>
      <c r="N918" s="159"/>
      <c r="O918" s="159"/>
      <c r="P918" s="159"/>
      <c r="Q918" s="159"/>
      <c r="R918" s="159"/>
      <c r="S918" s="150" t="s">
        <v>5504</v>
      </c>
      <c r="T918" s="149" t="s">
        <v>449</v>
      </c>
      <c r="U918" s="241" t="s">
        <v>8866</v>
      </c>
      <c r="V918" s="244" t="s">
        <v>211</v>
      </c>
      <c r="W918" s="244" t="s">
        <v>253</v>
      </c>
      <c r="X918" s="241" t="s">
        <v>213</v>
      </c>
      <c r="Y918" s="245">
        <v>464</v>
      </c>
      <c r="Z918" s="246">
        <v>30000</v>
      </c>
      <c r="AA918" s="245">
        <f t="shared" si="224"/>
        <v>10800000</v>
      </c>
      <c r="AB918" s="244"/>
      <c r="AC918" s="247">
        <f t="shared" si="222"/>
        <v>30000</v>
      </c>
      <c r="AD918" s="159">
        <f t="shared" si="225"/>
        <v>0</v>
      </c>
      <c r="AE918" s="248"/>
      <c r="AF918" s="160">
        <f t="shared" si="226"/>
        <v>0</v>
      </c>
      <c r="AG918" s="248"/>
      <c r="AH918" s="161">
        <f t="shared" si="227"/>
        <v>0</v>
      </c>
      <c r="AI918" s="249"/>
      <c r="AJ918" s="249"/>
      <c r="AK918" s="249"/>
      <c r="AL918" s="249"/>
      <c r="AM918" s="249"/>
      <c r="AN918" s="249"/>
      <c r="AO918" s="249"/>
      <c r="AP918" s="249"/>
      <c r="AQ918" s="249"/>
      <c r="AR918" s="162">
        <f t="shared" si="228"/>
        <v>0</v>
      </c>
      <c r="AS918" s="249"/>
      <c r="AT918" s="167">
        <f t="shared" si="229"/>
        <v>0</v>
      </c>
      <c r="AU918" s="249"/>
      <c r="AV918" s="163">
        <f t="shared" si="230"/>
        <v>0</v>
      </c>
      <c r="AW918" s="249"/>
      <c r="AX918" s="168">
        <f t="shared" si="231"/>
        <v>0</v>
      </c>
      <c r="AY918" s="249"/>
      <c r="AZ918" s="170">
        <f t="shared" si="232"/>
        <v>0</v>
      </c>
      <c r="BA918" s="249"/>
      <c r="BB918" s="166">
        <f t="shared" si="233"/>
        <v>0</v>
      </c>
    </row>
    <row r="919" spans="1:54" s="115" customFormat="1" ht="31.5">
      <c r="A919" s="148">
        <v>87</v>
      </c>
      <c r="B919" s="242" t="s">
        <v>155</v>
      </c>
      <c r="C919" s="242"/>
      <c r="D919" s="242"/>
      <c r="E919" s="244" t="s">
        <v>8874</v>
      </c>
      <c r="F919" s="241" t="s">
        <v>2199</v>
      </c>
      <c r="G919" s="244" t="s">
        <v>8876</v>
      </c>
      <c r="H919" s="244" t="s">
        <v>8873</v>
      </c>
      <c r="I919" s="241" t="s">
        <v>4717</v>
      </c>
      <c r="J919" s="244" t="s">
        <v>8875</v>
      </c>
      <c r="K919" s="245">
        <v>6000</v>
      </c>
      <c r="L919" s="245"/>
      <c r="M919" s="159">
        <f t="shared" si="223"/>
        <v>2997</v>
      </c>
      <c r="N919" s="159"/>
      <c r="O919" s="159"/>
      <c r="P919" s="159"/>
      <c r="Q919" s="159"/>
      <c r="R919" s="159"/>
      <c r="S919" s="244" t="s">
        <v>2190</v>
      </c>
      <c r="T919" s="244" t="s">
        <v>8872</v>
      </c>
      <c r="U919" s="241" t="s">
        <v>4715</v>
      </c>
      <c r="V919" s="244" t="s">
        <v>210</v>
      </c>
      <c r="W919" s="244" t="s">
        <v>253</v>
      </c>
      <c r="X919" s="241" t="s">
        <v>8877</v>
      </c>
      <c r="Y919" s="245">
        <v>8000</v>
      </c>
      <c r="Z919" s="246">
        <v>20000</v>
      </c>
      <c r="AA919" s="245">
        <f t="shared" si="224"/>
        <v>120000000</v>
      </c>
      <c r="AB919" s="244"/>
      <c r="AC919" s="247">
        <f t="shared" si="222"/>
        <v>17003</v>
      </c>
      <c r="AD919" s="159">
        <f t="shared" si="225"/>
        <v>17982000</v>
      </c>
      <c r="AE919" s="248"/>
      <c r="AF919" s="160">
        <f t="shared" si="226"/>
        <v>0</v>
      </c>
      <c r="AG919" s="248"/>
      <c r="AH919" s="161">
        <f t="shared" si="227"/>
        <v>0</v>
      </c>
      <c r="AI919" s="249"/>
      <c r="AJ919" s="249"/>
      <c r="AK919" s="249"/>
      <c r="AL919" s="249"/>
      <c r="AM919" s="249"/>
      <c r="AN919" s="249"/>
      <c r="AO919" s="249"/>
      <c r="AP919" s="249"/>
      <c r="AQ919" s="249"/>
      <c r="AR919" s="162">
        <f t="shared" si="228"/>
        <v>0</v>
      </c>
      <c r="AS919" s="249">
        <v>2997</v>
      </c>
      <c r="AT919" s="167">
        <f t="shared" si="229"/>
        <v>17982000</v>
      </c>
      <c r="AU919" s="249"/>
      <c r="AV919" s="163">
        <f t="shared" si="230"/>
        <v>0</v>
      </c>
      <c r="AW919" s="249"/>
      <c r="AX919" s="168">
        <f t="shared" si="231"/>
        <v>0</v>
      </c>
      <c r="AY919" s="249"/>
      <c r="AZ919" s="170">
        <f t="shared" si="232"/>
        <v>0</v>
      </c>
      <c r="BA919" s="249"/>
      <c r="BB919" s="166">
        <f t="shared" si="233"/>
        <v>0</v>
      </c>
    </row>
    <row r="920" spans="1:54" s="115" customFormat="1" ht="63">
      <c r="A920" s="148">
        <v>88</v>
      </c>
      <c r="B920" s="242" t="s">
        <v>111</v>
      </c>
      <c r="C920" s="242"/>
      <c r="D920" s="242"/>
      <c r="E920" s="244" t="s">
        <v>8879</v>
      </c>
      <c r="F920" s="241" t="s">
        <v>2193</v>
      </c>
      <c r="G920" s="244" t="s">
        <v>8881</v>
      </c>
      <c r="H920" s="244" t="s">
        <v>8878</v>
      </c>
      <c r="I920" s="241" t="s">
        <v>13</v>
      </c>
      <c r="J920" s="244" t="s">
        <v>8880</v>
      </c>
      <c r="K920" s="245">
        <v>12000</v>
      </c>
      <c r="L920" s="245"/>
      <c r="M920" s="159">
        <f t="shared" si="223"/>
        <v>2000</v>
      </c>
      <c r="N920" s="159"/>
      <c r="O920" s="159"/>
      <c r="P920" s="159"/>
      <c r="Q920" s="159"/>
      <c r="R920" s="159"/>
      <c r="S920" s="244" t="s">
        <v>2190</v>
      </c>
      <c r="T920" s="244" t="s">
        <v>8872</v>
      </c>
      <c r="U920" s="241" t="s">
        <v>4674</v>
      </c>
      <c r="V920" s="244" t="s">
        <v>210</v>
      </c>
      <c r="W920" s="244" t="s">
        <v>5104</v>
      </c>
      <c r="X920" s="241" t="s">
        <v>8877</v>
      </c>
      <c r="Y920" s="245">
        <v>13200</v>
      </c>
      <c r="Z920" s="246">
        <v>20000</v>
      </c>
      <c r="AA920" s="245">
        <f t="shared" si="224"/>
        <v>240000000</v>
      </c>
      <c r="AB920" s="244"/>
      <c r="AC920" s="247">
        <f t="shared" si="222"/>
        <v>18000</v>
      </c>
      <c r="AD920" s="159">
        <f t="shared" si="225"/>
        <v>24000000</v>
      </c>
      <c r="AE920" s="248"/>
      <c r="AF920" s="160">
        <f t="shared" si="226"/>
        <v>0</v>
      </c>
      <c r="AG920" s="248"/>
      <c r="AH920" s="161">
        <f t="shared" si="227"/>
        <v>0</v>
      </c>
      <c r="AI920" s="249"/>
      <c r="AJ920" s="249"/>
      <c r="AK920" s="249"/>
      <c r="AL920" s="249"/>
      <c r="AM920" s="249"/>
      <c r="AN920" s="249"/>
      <c r="AO920" s="249"/>
      <c r="AP920" s="249"/>
      <c r="AQ920" s="249">
        <v>2000</v>
      </c>
      <c r="AR920" s="162">
        <f t="shared" si="228"/>
        <v>24000000</v>
      </c>
      <c r="AS920" s="249"/>
      <c r="AT920" s="167">
        <f t="shared" si="229"/>
        <v>0</v>
      </c>
      <c r="AU920" s="249"/>
      <c r="AV920" s="163">
        <f t="shared" si="230"/>
        <v>0</v>
      </c>
      <c r="AW920" s="249"/>
      <c r="AX920" s="168">
        <f t="shared" si="231"/>
        <v>0</v>
      </c>
      <c r="AY920" s="249"/>
      <c r="AZ920" s="170">
        <f t="shared" si="232"/>
        <v>0</v>
      </c>
      <c r="BA920" s="249"/>
      <c r="BB920" s="166">
        <f t="shared" si="233"/>
        <v>0</v>
      </c>
    </row>
    <row r="921" spans="1:54" s="115" customFormat="1" ht="94.5">
      <c r="A921" s="250">
        <v>89</v>
      </c>
      <c r="B921" s="242" t="s">
        <v>8884</v>
      </c>
      <c r="C921" s="242"/>
      <c r="D921" s="242"/>
      <c r="E921" s="244" t="s">
        <v>8886</v>
      </c>
      <c r="F921" s="241" t="s">
        <v>8888</v>
      </c>
      <c r="G921" s="244" t="s">
        <v>8889</v>
      </c>
      <c r="H921" s="244" t="s">
        <v>8885</v>
      </c>
      <c r="I921" s="241" t="s">
        <v>15</v>
      </c>
      <c r="J921" s="244" t="s">
        <v>8887</v>
      </c>
      <c r="K921" s="245">
        <v>55000</v>
      </c>
      <c r="L921" s="245"/>
      <c r="M921" s="159">
        <f t="shared" si="223"/>
        <v>900</v>
      </c>
      <c r="N921" s="159"/>
      <c r="O921" s="159"/>
      <c r="P921" s="159"/>
      <c r="Q921" s="159"/>
      <c r="R921" s="159"/>
      <c r="S921" s="150" t="s">
        <v>8882</v>
      </c>
      <c r="T921" s="150" t="s">
        <v>8883</v>
      </c>
      <c r="U921" s="241" t="s">
        <v>4600</v>
      </c>
      <c r="V921" s="244" t="s">
        <v>210</v>
      </c>
      <c r="W921" s="244" t="s">
        <v>5104</v>
      </c>
      <c r="X921" s="241" t="s">
        <v>213</v>
      </c>
      <c r="Y921" s="245">
        <v>90000</v>
      </c>
      <c r="Z921" s="246">
        <v>3000</v>
      </c>
      <c r="AA921" s="245">
        <f t="shared" si="224"/>
        <v>165000000</v>
      </c>
      <c r="AB921" s="244"/>
      <c r="AC921" s="247">
        <f t="shared" si="222"/>
        <v>2100</v>
      </c>
      <c r="AD921" s="159">
        <f t="shared" si="225"/>
        <v>49500000</v>
      </c>
      <c r="AE921" s="248"/>
      <c r="AF921" s="160">
        <f t="shared" si="226"/>
        <v>0</v>
      </c>
      <c r="AG921" s="248"/>
      <c r="AH921" s="161">
        <f t="shared" si="227"/>
        <v>0</v>
      </c>
      <c r="AI921" s="249"/>
      <c r="AJ921" s="249"/>
      <c r="AK921" s="249"/>
      <c r="AL921" s="249"/>
      <c r="AM921" s="249"/>
      <c r="AN921" s="249"/>
      <c r="AO921" s="249"/>
      <c r="AP921" s="249"/>
      <c r="AQ921" s="249">
        <v>900</v>
      </c>
      <c r="AR921" s="162">
        <f t="shared" si="228"/>
        <v>49500000</v>
      </c>
      <c r="AS921" s="249"/>
      <c r="AT921" s="167">
        <f t="shared" si="229"/>
        <v>0</v>
      </c>
      <c r="AU921" s="249"/>
      <c r="AV921" s="163">
        <f t="shared" si="230"/>
        <v>0</v>
      </c>
      <c r="AW921" s="249"/>
      <c r="AX921" s="168">
        <f t="shared" si="231"/>
        <v>0</v>
      </c>
      <c r="AY921" s="249"/>
      <c r="AZ921" s="170">
        <f t="shared" si="232"/>
        <v>0</v>
      </c>
      <c r="BA921" s="249"/>
      <c r="BB921" s="166">
        <f t="shared" si="233"/>
        <v>0</v>
      </c>
    </row>
    <row r="922" spans="1:54" s="115" customFormat="1" ht="63">
      <c r="A922" s="148">
        <v>90</v>
      </c>
      <c r="B922" s="242" t="s">
        <v>52</v>
      </c>
      <c r="C922" s="242"/>
      <c r="D922" s="242"/>
      <c r="E922" s="244" t="s">
        <v>3138</v>
      </c>
      <c r="F922" s="241" t="s">
        <v>2238</v>
      </c>
      <c r="G922" s="244" t="s">
        <v>8889</v>
      </c>
      <c r="H922" s="244" t="s">
        <v>8890</v>
      </c>
      <c r="I922" s="241" t="s">
        <v>15</v>
      </c>
      <c r="J922" s="244" t="s">
        <v>8887</v>
      </c>
      <c r="K922" s="245">
        <v>70000</v>
      </c>
      <c r="L922" s="245"/>
      <c r="M922" s="159">
        <f t="shared" si="223"/>
        <v>0</v>
      </c>
      <c r="N922" s="159"/>
      <c r="O922" s="159"/>
      <c r="P922" s="159"/>
      <c r="Q922" s="159"/>
      <c r="R922" s="159"/>
      <c r="S922" s="150" t="s">
        <v>8882</v>
      </c>
      <c r="T922" s="150" t="s">
        <v>8883</v>
      </c>
      <c r="U922" s="241" t="s">
        <v>4622</v>
      </c>
      <c r="V922" s="244" t="s">
        <v>210</v>
      </c>
      <c r="W922" s="244" t="s">
        <v>5104</v>
      </c>
      <c r="X922" s="241" t="s">
        <v>213</v>
      </c>
      <c r="Y922" s="245">
        <v>90000</v>
      </c>
      <c r="Z922" s="246">
        <v>3000</v>
      </c>
      <c r="AA922" s="245">
        <f t="shared" si="224"/>
        <v>210000000</v>
      </c>
      <c r="AB922" s="244"/>
      <c r="AC922" s="247">
        <f t="shared" si="222"/>
        <v>3000</v>
      </c>
      <c r="AD922" s="159">
        <f t="shared" si="225"/>
        <v>0</v>
      </c>
      <c r="AE922" s="248"/>
      <c r="AF922" s="160">
        <f t="shared" si="226"/>
        <v>0</v>
      </c>
      <c r="AG922" s="248"/>
      <c r="AH922" s="161">
        <f t="shared" si="227"/>
        <v>0</v>
      </c>
      <c r="AI922" s="249"/>
      <c r="AJ922" s="249"/>
      <c r="AK922" s="249"/>
      <c r="AL922" s="249"/>
      <c r="AM922" s="249"/>
      <c r="AN922" s="249"/>
      <c r="AO922" s="249"/>
      <c r="AP922" s="249"/>
      <c r="AQ922" s="249"/>
      <c r="AR922" s="162">
        <f t="shared" si="228"/>
        <v>0</v>
      </c>
      <c r="AS922" s="249"/>
      <c r="AT922" s="167">
        <f t="shared" si="229"/>
        <v>0</v>
      </c>
      <c r="AU922" s="249"/>
      <c r="AV922" s="163">
        <f t="shared" si="230"/>
        <v>0</v>
      </c>
      <c r="AW922" s="249"/>
      <c r="AX922" s="168">
        <f t="shared" si="231"/>
        <v>0</v>
      </c>
      <c r="AY922" s="249"/>
      <c r="AZ922" s="170">
        <f t="shared" si="232"/>
        <v>0</v>
      </c>
      <c r="BA922" s="249"/>
      <c r="BB922" s="166">
        <f t="shared" si="233"/>
        <v>0</v>
      </c>
    </row>
    <row r="923" spans="1:54" s="115" customFormat="1" ht="94.5">
      <c r="A923" s="148">
        <v>91</v>
      </c>
      <c r="B923" s="242" t="s">
        <v>8891</v>
      </c>
      <c r="C923" s="242"/>
      <c r="D923" s="242"/>
      <c r="E923" s="244" t="s">
        <v>54</v>
      </c>
      <c r="F923" s="241" t="s">
        <v>8893</v>
      </c>
      <c r="G923" s="244" t="s">
        <v>8889</v>
      </c>
      <c r="H923" s="244" t="s">
        <v>8892</v>
      </c>
      <c r="I923" s="241" t="s">
        <v>15</v>
      </c>
      <c r="J923" s="244" t="s">
        <v>8887</v>
      </c>
      <c r="K923" s="245">
        <v>55000</v>
      </c>
      <c r="L923" s="245"/>
      <c r="M923" s="159">
        <f t="shared" si="223"/>
        <v>300</v>
      </c>
      <c r="N923" s="159"/>
      <c r="O923" s="159"/>
      <c r="P923" s="159"/>
      <c r="Q923" s="159"/>
      <c r="R923" s="159"/>
      <c r="S923" s="150" t="s">
        <v>8882</v>
      </c>
      <c r="T923" s="150" t="s">
        <v>8883</v>
      </c>
      <c r="U923" s="241" t="s">
        <v>4624</v>
      </c>
      <c r="V923" s="244" t="s">
        <v>210</v>
      </c>
      <c r="W923" s="244" t="s">
        <v>5104</v>
      </c>
      <c r="X923" s="241" t="s">
        <v>213</v>
      </c>
      <c r="Y923" s="245">
        <v>90000</v>
      </c>
      <c r="Z923" s="246">
        <v>2500</v>
      </c>
      <c r="AA923" s="245">
        <f t="shared" si="224"/>
        <v>137500000</v>
      </c>
      <c r="AB923" s="244"/>
      <c r="AC923" s="247">
        <f t="shared" si="222"/>
        <v>2200</v>
      </c>
      <c r="AD923" s="159">
        <f t="shared" si="225"/>
        <v>16500000</v>
      </c>
      <c r="AE923" s="248"/>
      <c r="AF923" s="160">
        <f t="shared" si="226"/>
        <v>0</v>
      </c>
      <c r="AG923" s="248"/>
      <c r="AH923" s="161">
        <f t="shared" si="227"/>
        <v>0</v>
      </c>
      <c r="AI923" s="249"/>
      <c r="AJ923" s="249"/>
      <c r="AK923" s="249"/>
      <c r="AL923" s="249"/>
      <c r="AM923" s="249"/>
      <c r="AN923" s="249"/>
      <c r="AO923" s="249"/>
      <c r="AP923" s="249"/>
      <c r="AQ923" s="249"/>
      <c r="AR923" s="162">
        <f t="shared" si="228"/>
        <v>0</v>
      </c>
      <c r="AS923" s="249"/>
      <c r="AT923" s="167">
        <f t="shared" si="229"/>
        <v>0</v>
      </c>
      <c r="AU923" s="249">
        <v>300</v>
      </c>
      <c r="AV923" s="163">
        <f t="shared" si="230"/>
        <v>16500000</v>
      </c>
      <c r="AW923" s="249"/>
      <c r="AX923" s="168">
        <f t="shared" si="231"/>
        <v>0</v>
      </c>
      <c r="AY923" s="249"/>
      <c r="AZ923" s="170">
        <f t="shared" si="232"/>
        <v>0</v>
      </c>
      <c r="BA923" s="249"/>
      <c r="BB923" s="166">
        <f t="shared" si="233"/>
        <v>0</v>
      </c>
    </row>
    <row r="924" spans="1:54" s="115" customFormat="1" ht="63">
      <c r="A924" s="254">
        <v>92</v>
      </c>
      <c r="B924" s="242" t="s">
        <v>8896</v>
      </c>
      <c r="C924" s="242"/>
      <c r="D924" s="242"/>
      <c r="E924" s="244" t="s">
        <v>4617</v>
      </c>
      <c r="F924" s="241" t="s">
        <v>8899</v>
      </c>
      <c r="G924" s="244" t="s">
        <v>8900</v>
      </c>
      <c r="H924" s="244" t="s">
        <v>8897</v>
      </c>
      <c r="I924" s="241" t="s">
        <v>658</v>
      </c>
      <c r="J924" s="244" t="s">
        <v>8898</v>
      </c>
      <c r="K924" s="245">
        <v>56900</v>
      </c>
      <c r="L924" s="245"/>
      <c r="M924" s="159">
        <f t="shared" si="223"/>
        <v>300</v>
      </c>
      <c r="N924" s="159"/>
      <c r="O924" s="159"/>
      <c r="P924" s="159"/>
      <c r="Q924" s="159"/>
      <c r="R924" s="159"/>
      <c r="S924" s="150" t="s">
        <v>8894</v>
      </c>
      <c r="T924" s="150" t="s">
        <v>8895</v>
      </c>
      <c r="U924" s="241" t="s">
        <v>4616</v>
      </c>
      <c r="V924" s="244" t="s">
        <v>210</v>
      </c>
      <c r="W924" s="244" t="s">
        <v>5104</v>
      </c>
      <c r="X924" s="241" t="s">
        <v>213</v>
      </c>
      <c r="Y924" s="245">
        <v>66000</v>
      </c>
      <c r="Z924" s="246">
        <v>1500</v>
      </c>
      <c r="AA924" s="245">
        <f t="shared" si="224"/>
        <v>85350000</v>
      </c>
      <c r="AB924" s="244"/>
      <c r="AC924" s="247">
        <f t="shared" si="222"/>
        <v>1200</v>
      </c>
      <c r="AD924" s="159">
        <f t="shared" si="225"/>
        <v>17070000</v>
      </c>
      <c r="AE924" s="248"/>
      <c r="AF924" s="160">
        <f t="shared" si="226"/>
        <v>0</v>
      </c>
      <c r="AG924" s="248"/>
      <c r="AH924" s="161">
        <f t="shared" si="227"/>
        <v>0</v>
      </c>
      <c r="AI924" s="249"/>
      <c r="AJ924" s="249"/>
      <c r="AK924" s="249"/>
      <c r="AL924" s="249"/>
      <c r="AM924" s="249"/>
      <c r="AN924" s="249"/>
      <c r="AO924" s="249"/>
      <c r="AP924" s="249"/>
      <c r="AQ924" s="249"/>
      <c r="AR924" s="162">
        <f t="shared" si="228"/>
        <v>0</v>
      </c>
      <c r="AS924" s="249">
        <v>300</v>
      </c>
      <c r="AT924" s="167">
        <f t="shared" si="229"/>
        <v>17070000</v>
      </c>
      <c r="AU924" s="249"/>
      <c r="AV924" s="163">
        <f t="shared" si="230"/>
        <v>0</v>
      </c>
      <c r="AW924" s="249"/>
      <c r="AX924" s="168">
        <f t="shared" si="231"/>
        <v>0</v>
      </c>
      <c r="AY924" s="249"/>
      <c r="AZ924" s="170">
        <f t="shared" si="232"/>
        <v>0</v>
      </c>
      <c r="BA924" s="249"/>
      <c r="BB924" s="166">
        <f t="shared" si="233"/>
        <v>0</v>
      </c>
    </row>
    <row r="925" spans="1:54" s="32" customFormat="1" ht="31.5">
      <c r="A925" s="255">
        <v>1</v>
      </c>
      <c r="B925" s="184" t="s">
        <v>8903</v>
      </c>
      <c r="C925" s="184"/>
      <c r="D925" s="184"/>
      <c r="E925" s="256" t="s">
        <v>8905</v>
      </c>
      <c r="F925" s="257" t="str">
        <f>VLOOKUP(U925,'[2]File Vaccin'!$B$9:$X$28,7,0)</f>
        <v>QLVX-883-15</v>
      </c>
      <c r="G925" s="153" t="s">
        <v>8907</v>
      </c>
      <c r="H925" s="151" t="s">
        <v>8904</v>
      </c>
      <c r="I925" s="151" t="s">
        <v>14</v>
      </c>
      <c r="J925" s="151" t="s">
        <v>8906</v>
      </c>
      <c r="K925" s="258">
        <v>1182109</v>
      </c>
      <c r="L925" s="258"/>
      <c r="M925" s="159">
        <f t="shared" si="223"/>
        <v>0</v>
      </c>
      <c r="N925" s="159"/>
      <c r="O925" s="159"/>
      <c r="P925" s="159"/>
      <c r="Q925" s="159"/>
      <c r="R925" s="159"/>
      <c r="S925" s="256" t="s">
        <v>8901</v>
      </c>
      <c r="T925" s="257" t="s">
        <v>5100</v>
      </c>
      <c r="U925" s="256" t="s">
        <v>8902</v>
      </c>
      <c r="V925" s="257" t="s">
        <v>5073</v>
      </c>
      <c r="W925" s="152" t="s">
        <v>5104</v>
      </c>
      <c r="X925" s="151" t="s">
        <v>8908</v>
      </c>
      <c r="Y925" s="257"/>
      <c r="Z925" s="94">
        <v>50</v>
      </c>
      <c r="AA925" s="259">
        <f t="shared" si="224"/>
        <v>59105450</v>
      </c>
      <c r="AB925" s="257"/>
      <c r="AC925" s="247">
        <f t="shared" si="222"/>
        <v>50</v>
      </c>
      <c r="AD925" s="159">
        <f t="shared" si="225"/>
        <v>0</v>
      </c>
      <c r="AE925" s="257"/>
      <c r="AF925" s="160">
        <f t="shared" si="226"/>
        <v>0</v>
      </c>
      <c r="AG925" s="257"/>
      <c r="AH925" s="161">
        <f t="shared" si="227"/>
        <v>0</v>
      </c>
      <c r="AI925" s="257"/>
      <c r="AJ925" s="257"/>
      <c r="AK925" s="257"/>
      <c r="AL925" s="257"/>
      <c r="AM925" s="257"/>
      <c r="AN925" s="257"/>
      <c r="AO925" s="257"/>
      <c r="AP925" s="257"/>
      <c r="AQ925" s="257"/>
      <c r="AR925" s="257"/>
      <c r="AS925" s="257"/>
      <c r="AT925" s="167">
        <f t="shared" si="229"/>
        <v>0</v>
      </c>
      <c r="AU925" s="257"/>
      <c r="AV925" s="163">
        <f t="shared" si="230"/>
        <v>0</v>
      </c>
      <c r="AW925" s="257"/>
      <c r="AX925" s="168">
        <f t="shared" si="231"/>
        <v>0</v>
      </c>
      <c r="AY925" s="257"/>
      <c r="AZ925" s="170">
        <f t="shared" si="232"/>
        <v>0</v>
      </c>
      <c r="BA925" s="257"/>
      <c r="BB925" s="166">
        <f t="shared" si="233"/>
        <v>0</v>
      </c>
    </row>
    <row r="926" spans="1:54" s="32" customFormat="1" ht="31.5">
      <c r="A926" s="255">
        <v>3</v>
      </c>
      <c r="B926" s="260" t="s">
        <v>8912</v>
      </c>
      <c r="C926" s="260"/>
      <c r="D926" s="260"/>
      <c r="E926" s="256" t="s">
        <v>8914</v>
      </c>
      <c r="F926" s="257" t="s">
        <v>8916</v>
      </c>
      <c r="G926" s="151" t="s">
        <v>8917</v>
      </c>
      <c r="H926" s="151" t="s">
        <v>8913</v>
      </c>
      <c r="I926" s="151" t="s">
        <v>14</v>
      </c>
      <c r="J926" s="151" t="s">
        <v>8915</v>
      </c>
      <c r="K926" s="261">
        <v>49815</v>
      </c>
      <c r="L926" s="261"/>
      <c r="M926" s="159">
        <f t="shared" si="223"/>
        <v>0</v>
      </c>
      <c r="N926" s="159"/>
      <c r="O926" s="159"/>
      <c r="P926" s="159"/>
      <c r="Q926" s="159"/>
      <c r="R926" s="159"/>
      <c r="S926" s="256" t="s">
        <v>8909</v>
      </c>
      <c r="T926" s="256" t="s">
        <v>8910</v>
      </c>
      <c r="U926" s="256" t="s">
        <v>8911</v>
      </c>
      <c r="V926" s="257" t="s">
        <v>5073</v>
      </c>
      <c r="W926" s="152" t="s">
        <v>253</v>
      </c>
      <c r="X926" s="151" t="s">
        <v>213</v>
      </c>
      <c r="Y926" s="257"/>
      <c r="Z926" s="94">
        <v>200</v>
      </c>
      <c r="AA926" s="259">
        <f t="shared" si="224"/>
        <v>9963000</v>
      </c>
      <c r="AB926" s="257"/>
      <c r="AC926" s="247">
        <f t="shared" si="222"/>
        <v>200</v>
      </c>
      <c r="AD926" s="159">
        <f t="shared" si="225"/>
        <v>0</v>
      </c>
      <c r="AE926" s="257"/>
      <c r="AF926" s="160">
        <f t="shared" si="226"/>
        <v>0</v>
      </c>
      <c r="AG926" s="257"/>
      <c r="AH926" s="161">
        <f t="shared" si="227"/>
        <v>0</v>
      </c>
      <c r="AI926" s="257"/>
      <c r="AJ926" s="257"/>
      <c r="AK926" s="257"/>
      <c r="AL926" s="257"/>
      <c r="AM926" s="257"/>
      <c r="AN926" s="257"/>
      <c r="AO926" s="257"/>
      <c r="AP926" s="257"/>
      <c r="AQ926" s="257"/>
      <c r="AR926" s="257"/>
      <c r="AS926" s="257"/>
      <c r="AT926" s="167">
        <f t="shared" si="229"/>
        <v>0</v>
      </c>
      <c r="AU926" s="257"/>
      <c r="AV926" s="163">
        <f t="shared" si="230"/>
        <v>0</v>
      </c>
      <c r="AW926" s="257"/>
      <c r="AX926" s="168">
        <f t="shared" si="231"/>
        <v>0</v>
      </c>
      <c r="AY926" s="257"/>
      <c r="AZ926" s="170">
        <f t="shared" si="232"/>
        <v>0</v>
      </c>
      <c r="BA926" s="257"/>
      <c r="BB926" s="166">
        <f t="shared" si="233"/>
        <v>0</v>
      </c>
    </row>
    <row r="927" spans="1:54" s="32" customFormat="1" ht="47.25">
      <c r="A927" s="255">
        <v>2</v>
      </c>
      <c r="B927" s="262" t="s">
        <v>596</v>
      </c>
      <c r="C927" s="262"/>
      <c r="D927" s="262"/>
      <c r="E927" s="256" t="s">
        <v>8922</v>
      </c>
      <c r="F927" s="257" t="s">
        <v>600</v>
      </c>
      <c r="G927" s="151" t="s">
        <v>8924</v>
      </c>
      <c r="H927" s="151" t="s">
        <v>8921</v>
      </c>
      <c r="I927" s="151" t="s">
        <v>14</v>
      </c>
      <c r="J927" s="151" t="s">
        <v>8923</v>
      </c>
      <c r="K927" s="261">
        <v>66800</v>
      </c>
      <c r="L927" s="261"/>
      <c r="M927" s="159">
        <f t="shared" si="223"/>
        <v>0</v>
      </c>
      <c r="N927" s="159"/>
      <c r="O927" s="159"/>
      <c r="P927" s="159"/>
      <c r="Q927" s="159"/>
      <c r="R927" s="159"/>
      <c r="S927" s="256" t="s">
        <v>8918</v>
      </c>
      <c r="T927" s="256" t="s">
        <v>8919</v>
      </c>
      <c r="U927" s="150" t="s">
        <v>8920</v>
      </c>
      <c r="V927" s="257" t="s">
        <v>5073</v>
      </c>
      <c r="W927" s="94" t="s">
        <v>5104</v>
      </c>
      <c r="X927" s="151" t="s">
        <v>8925</v>
      </c>
      <c r="Y927" s="257"/>
      <c r="Z927" s="94">
        <v>500</v>
      </c>
      <c r="AA927" s="259">
        <f t="shared" si="224"/>
        <v>33400000</v>
      </c>
      <c r="AB927" s="257"/>
      <c r="AC927" s="247">
        <f t="shared" si="222"/>
        <v>500</v>
      </c>
      <c r="AD927" s="159">
        <f t="shared" si="225"/>
        <v>0</v>
      </c>
      <c r="AE927" s="257"/>
      <c r="AF927" s="160">
        <f t="shared" si="226"/>
        <v>0</v>
      </c>
      <c r="AG927" s="257"/>
      <c r="AH927" s="161">
        <f t="shared" si="227"/>
        <v>0</v>
      </c>
      <c r="AI927" s="257"/>
      <c r="AJ927" s="257"/>
      <c r="AK927" s="257"/>
      <c r="AL927" s="257"/>
      <c r="AM927" s="257"/>
      <c r="AN927" s="257"/>
      <c r="AO927" s="257"/>
      <c r="AP927" s="257"/>
      <c r="AQ927" s="257"/>
      <c r="AR927" s="257"/>
      <c r="AS927" s="257"/>
      <c r="AT927" s="167">
        <f t="shared" si="229"/>
        <v>0</v>
      </c>
      <c r="AU927" s="257"/>
      <c r="AV927" s="163">
        <f t="shared" si="230"/>
        <v>0</v>
      </c>
      <c r="AW927" s="257"/>
      <c r="AX927" s="168">
        <f t="shared" si="231"/>
        <v>0</v>
      </c>
      <c r="AY927" s="257"/>
      <c r="AZ927" s="170">
        <f t="shared" si="232"/>
        <v>0</v>
      </c>
      <c r="BA927" s="257"/>
      <c r="BB927" s="166">
        <f t="shared" si="233"/>
        <v>0</v>
      </c>
    </row>
    <row r="928" spans="1:54" s="32" customFormat="1" ht="31.5">
      <c r="A928" s="255">
        <v>6</v>
      </c>
      <c r="B928" s="184" t="s">
        <v>8927</v>
      </c>
      <c r="C928" s="184"/>
      <c r="D928" s="184"/>
      <c r="E928" s="94" t="s">
        <v>8929</v>
      </c>
      <c r="F928" s="257" t="s">
        <v>8931</v>
      </c>
      <c r="G928" s="94" t="s">
        <v>8932</v>
      </c>
      <c r="H928" s="94" t="s">
        <v>8928</v>
      </c>
      <c r="I928" s="94" t="s">
        <v>14</v>
      </c>
      <c r="J928" s="94" t="s">
        <v>8930</v>
      </c>
      <c r="K928" s="261">
        <v>151200</v>
      </c>
      <c r="L928" s="261"/>
      <c r="M928" s="159">
        <f t="shared" si="223"/>
        <v>0</v>
      </c>
      <c r="N928" s="159"/>
      <c r="O928" s="159"/>
      <c r="P928" s="159"/>
      <c r="Q928" s="159"/>
      <c r="R928" s="159"/>
      <c r="S928" s="256" t="s">
        <v>8909</v>
      </c>
      <c r="T928" s="256" t="s">
        <v>8910</v>
      </c>
      <c r="U928" s="150" t="s">
        <v>8926</v>
      </c>
      <c r="V928" s="257" t="s">
        <v>5073</v>
      </c>
      <c r="W928" s="94" t="s">
        <v>5104</v>
      </c>
      <c r="X928" s="94" t="s">
        <v>8933</v>
      </c>
      <c r="Y928" s="257"/>
      <c r="Z928" s="94">
        <v>400</v>
      </c>
      <c r="AA928" s="259">
        <f t="shared" si="224"/>
        <v>60480000</v>
      </c>
      <c r="AB928" s="257"/>
      <c r="AC928" s="247">
        <f t="shared" si="222"/>
        <v>400</v>
      </c>
      <c r="AD928" s="159">
        <f t="shared" si="225"/>
        <v>0</v>
      </c>
      <c r="AE928" s="257"/>
      <c r="AF928" s="160">
        <f t="shared" si="226"/>
        <v>0</v>
      </c>
      <c r="AG928" s="257"/>
      <c r="AH928" s="161">
        <f t="shared" si="227"/>
        <v>0</v>
      </c>
      <c r="AI928" s="257"/>
      <c r="AJ928" s="257"/>
      <c r="AK928" s="257"/>
      <c r="AL928" s="257"/>
      <c r="AM928" s="257"/>
      <c r="AN928" s="257"/>
      <c r="AO928" s="257"/>
      <c r="AP928" s="257"/>
      <c r="AQ928" s="257"/>
      <c r="AR928" s="257"/>
      <c r="AS928" s="257"/>
      <c r="AT928" s="167">
        <f t="shared" si="229"/>
        <v>0</v>
      </c>
      <c r="AU928" s="257"/>
      <c r="AV928" s="163">
        <f t="shared" si="230"/>
        <v>0</v>
      </c>
      <c r="AW928" s="257"/>
      <c r="AX928" s="168">
        <f t="shared" si="231"/>
        <v>0</v>
      </c>
      <c r="AY928" s="257"/>
      <c r="AZ928" s="170">
        <f t="shared" si="232"/>
        <v>0</v>
      </c>
      <c r="BA928" s="257"/>
      <c r="BB928" s="166">
        <f t="shared" si="233"/>
        <v>0</v>
      </c>
    </row>
    <row r="929" spans="1:54" s="32" customFormat="1" ht="47.25">
      <c r="A929" s="263">
        <v>4</v>
      </c>
      <c r="B929" s="184" t="s">
        <v>4969</v>
      </c>
      <c r="C929" s="184"/>
      <c r="D929" s="184"/>
      <c r="E929" s="94" t="s">
        <v>4968</v>
      </c>
      <c r="F929" s="257" t="s">
        <v>8936</v>
      </c>
      <c r="G929" s="94" t="s">
        <v>8937</v>
      </c>
      <c r="H929" s="94" t="s">
        <v>8934</v>
      </c>
      <c r="I929" s="94" t="s">
        <v>14</v>
      </c>
      <c r="J929" s="94" t="s">
        <v>8935</v>
      </c>
      <c r="K929" s="261">
        <v>137550</v>
      </c>
      <c r="L929" s="261"/>
      <c r="M929" s="159">
        <f t="shared" si="223"/>
        <v>100</v>
      </c>
      <c r="N929" s="159"/>
      <c r="O929" s="159"/>
      <c r="P929" s="159"/>
      <c r="Q929" s="159"/>
      <c r="R929" s="159"/>
      <c r="S929" s="256" t="s">
        <v>8909</v>
      </c>
      <c r="T929" s="256" t="s">
        <v>8910</v>
      </c>
      <c r="U929" s="150" t="s">
        <v>4967</v>
      </c>
      <c r="V929" s="257" t="s">
        <v>5073</v>
      </c>
      <c r="W929" s="94" t="s">
        <v>253</v>
      </c>
      <c r="X929" s="94" t="s">
        <v>5605</v>
      </c>
      <c r="Y929" s="257"/>
      <c r="Z929" s="94">
        <v>100</v>
      </c>
      <c r="AA929" s="259">
        <f t="shared" si="224"/>
        <v>13755000</v>
      </c>
      <c r="AB929" s="257"/>
      <c r="AC929" s="247">
        <f t="shared" si="222"/>
        <v>0</v>
      </c>
      <c r="AD929" s="159">
        <f t="shared" si="225"/>
        <v>13755000</v>
      </c>
      <c r="AE929" s="257"/>
      <c r="AF929" s="160">
        <f t="shared" si="226"/>
        <v>0</v>
      </c>
      <c r="AG929" s="257"/>
      <c r="AH929" s="161">
        <f t="shared" si="227"/>
        <v>0</v>
      </c>
      <c r="AI929" s="257"/>
      <c r="AJ929" s="257"/>
      <c r="AK929" s="257"/>
      <c r="AL929" s="257"/>
      <c r="AM929" s="257"/>
      <c r="AN929" s="257"/>
      <c r="AO929" s="257"/>
      <c r="AP929" s="257"/>
      <c r="AQ929" s="257"/>
      <c r="AR929" s="257"/>
      <c r="AS929" s="257">
        <v>100</v>
      </c>
      <c r="AT929" s="167">
        <f t="shared" si="229"/>
        <v>13755000</v>
      </c>
      <c r="AU929" s="257"/>
      <c r="AV929" s="163">
        <f t="shared" si="230"/>
        <v>0</v>
      </c>
      <c r="AW929" s="257"/>
      <c r="AX929" s="168">
        <f t="shared" si="231"/>
        <v>0</v>
      </c>
      <c r="AY929" s="257"/>
      <c r="AZ929" s="170">
        <f t="shared" si="232"/>
        <v>0</v>
      </c>
      <c r="BA929" s="257"/>
      <c r="BB929" s="166">
        <f t="shared" si="233"/>
        <v>0</v>
      </c>
    </row>
    <row r="930" spans="1:54" s="32" customFormat="1" ht="47.25">
      <c r="A930" s="263">
        <v>5</v>
      </c>
      <c r="B930" s="184" t="s">
        <v>8939</v>
      </c>
      <c r="C930" s="184"/>
      <c r="D930" s="184"/>
      <c r="E930" s="150" t="s">
        <v>8941</v>
      </c>
      <c r="F930" s="257" t="s">
        <v>8943</v>
      </c>
      <c r="G930" s="94" t="s">
        <v>8944</v>
      </c>
      <c r="H930" s="94" t="s">
        <v>8940</v>
      </c>
      <c r="I930" s="94" t="s">
        <v>14</v>
      </c>
      <c r="J930" s="94" t="s">
        <v>8942</v>
      </c>
      <c r="K930" s="261">
        <v>501000</v>
      </c>
      <c r="L930" s="261"/>
      <c r="M930" s="159">
        <f t="shared" si="223"/>
        <v>0</v>
      </c>
      <c r="N930" s="159"/>
      <c r="O930" s="159"/>
      <c r="P930" s="159"/>
      <c r="Q930" s="159"/>
      <c r="R930" s="159"/>
      <c r="S930" s="256" t="s">
        <v>8909</v>
      </c>
      <c r="T930" s="256" t="s">
        <v>8910</v>
      </c>
      <c r="U930" s="150" t="s">
        <v>8938</v>
      </c>
      <c r="V930" s="257" t="s">
        <v>5073</v>
      </c>
      <c r="W930" s="94" t="s">
        <v>253</v>
      </c>
      <c r="X930" s="94" t="s">
        <v>8945</v>
      </c>
      <c r="Y930" s="257"/>
      <c r="Z930" s="94">
        <v>200</v>
      </c>
      <c r="AA930" s="259">
        <f t="shared" si="224"/>
        <v>100200000</v>
      </c>
      <c r="AB930" s="257"/>
      <c r="AC930" s="247">
        <f t="shared" si="222"/>
        <v>200</v>
      </c>
      <c r="AD930" s="159">
        <f t="shared" si="225"/>
        <v>0</v>
      </c>
      <c r="AE930" s="257"/>
      <c r="AF930" s="160">
        <f t="shared" si="226"/>
        <v>0</v>
      </c>
      <c r="AG930" s="257"/>
      <c r="AH930" s="161">
        <f t="shared" si="227"/>
        <v>0</v>
      </c>
      <c r="AI930" s="257"/>
      <c r="AJ930" s="257"/>
      <c r="AK930" s="257"/>
      <c r="AL930" s="257"/>
      <c r="AM930" s="257"/>
      <c r="AN930" s="257"/>
      <c r="AO930" s="257"/>
      <c r="AP930" s="257"/>
      <c r="AQ930" s="257"/>
      <c r="AR930" s="257"/>
      <c r="AS930" s="257"/>
      <c r="AT930" s="167">
        <f t="shared" si="229"/>
        <v>0</v>
      </c>
      <c r="AU930" s="257"/>
      <c r="AV930" s="163">
        <f t="shared" si="230"/>
        <v>0</v>
      </c>
      <c r="AW930" s="257"/>
      <c r="AX930" s="168">
        <f t="shared" si="231"/>
        <v>0</v>
      </c>
      <c r="AY930" s="257"/>
      <c r="AZ930" s="170">
        <f t="shared" si="232"/>
        <v>0</v>
      </c>
      <c r="BA930" s="257"/>
      <c r="BB930" s="166">
        <f t="shared" si="233"/>
        <v>0</v>
      </c>
    </row>
    <row r="931" spans="1:54" ht="27" customHeight="1">
      <c r="A931" s="264"/>
      <c r="B931" s="267" t="s">
        <v>8946</v>
      </c>
      <c r="C931" s="267"/>
      <c r="D931" s="267"/>
      <c r="E931" s="267"/>
      <c r="F931" s="269"/>
      <c r="G931" s="269"/>
      <c r="H931" s="268"/>
      <c r="I931" s="268"/>
      <c r="J931" s="269"/>
      <c r="K931" s="269"/>
      <c r="L931" s="269"/>
      <c r="M931" s="273"/>
      <c r="N931" s="273"/>
      <c r="O931" s="273"/>
      <c r="P931" s="273"/>
      <c r="Q931" s="273"/>
      <c r="R931" s="273"/>
      <c r="S931" s="265"/>
      <c r="T931" s="265"/>
      <c r="U931" s="266"/>
      <c r="V931" s="268"/>
      <c r="W931" s="269"/>
      <c r="X931" s="268"/>
      <c r="Y931" s="269"/>
      <c r="Z931" s="269"/>
      <c r="AA931" s="270"/>
      <c r="AB931" s="271"/>
      <c r="AC931" s="272"/>
      <c r="AD931" s="273">
        <f>SUM(AD4:AD930)</f>
        <v>6256618490</v>
      </c>
      <c r="AE931" s="274"/>
      <c r="AF931" s="274">
        <f>SUM(AF4:AF930)</f>
        <v>323189640</v>
      </c>
      <c r="AG931" s="274"/>
      <c r="AH931" s="274">
        <f t="shared" ref="AH931:BB931" si="234">SUM(AH4:AH930)</f>
        <v>1290379912</v>
      </c>
      <c r="AI931" s="274">
        <f t="shared" si="234"/>
        <v>232380</v>
      </c>
      <c r="AJ931" s="274">
        <f t="shared" si="234"/>
        <v>120905100</v>
      </c>
      <c r="AK931" s="274">
        <f t="shared" si="234"/>
        <v>117724</v>
      </c>
      <c r="AL931" s="274">
        <f t="shared" si="234"/>
        <v>211123080</v>
      </c>
      <c r="AM931" s="274">
        <f t="shared" si="234"/>
        <v>1095926</v>
      </c>
      <c r="AN931" s="274">
        <f t="shared" si="234"/>
        <v>1529907658</v>
      </c>
      <c r="AO931" s="274">
        <f t="shared" si="234"/>
        <v>222834</v>
      </c>
      <c r="AP931" s="274">
        <f t="shared" si="234"/>
        <v>304337228</v>
      </c>
      <c r="AQ931" s="274">
        <f t="shared" si="234"/>
        <v>418334</v>
      </c>
      <c r="AR931" s="274">
        <f t="shared" si="234"/>
        <v>784083344</v>
      </c>
      <c r="AS931" s="274">
        <f t="shared" si="234"/>
        <v>949717</v>
      </c>
      <c r="AT931" s="274">
        <f t="shared" si="234"/>
        <v>1365201540</v>
      </c>
      <c r="AU931" s="274">
        <f t="shared" si="234"/>
        <v>64974</v>
      </c>
      <c r="AV931" s="274">
        <f t="shared" si="234"/>
        <v>327490988</v>
      </c>
      <c r="AW931" s="274">
        <f t="shared" si="234"/>
        <v>0</v>
      </c>
      <c r="AX931" s="274">
        <f t="shared" si="234"/>
        <v>0</v>
      </c>
      <c r="AY931" s="274">
        <f t="shared" si="234"/>
        <v>0</v>
      </c>
      <c r="AZ931" s="274">
        <f t="shared" si="234"/>
        <v>0</v>
      </c>
      <c r="BA931" s="274">
        <f t="shared" si="234"/>
        <v>0</v>
      </c>
      <c r="BB931" s="274">
        <f t="shared" si="234"/>
        <v>0</v>
      </c>
    </row>
    <row r="932" spans="1:54" ht="33.75" customHeight="1">
      <c r="A932" s="275"/>
      <c r="K932" s="134"/>
      <c r="L932" s="134"/>
      <c r="M932" s="280"/>
      <c r="N932" s="280"/>
      <c r="O932" s="280"/>
      <c r="P932" s="280"/>
      <c r="Q932" s="280"/>
      <c r="R932" s="280"/>
      <c r="Y932" s="134"/>
      <c r="Z932" s="134"/>
      <c r="AA932" s="134"/>
      <c r="AB932" s="278"/>
      <c r="AC932" s="279"/>
      <c r="AD932" s="280">
        <f>AF931+AH931+AJ931+AL931+AN931+AP931+AR931+AT931+AV931+AX931+AZ931+BB931</f>
        <v>6256618490</v>
      </c>
      <c r="AN932" s="282">
        <v>1545307058</v>
      </c>
      <c r="AT932" s="285">
        <v>1365201540</v>
      </c>
    </row>
    <row r="933" spans="1:54" ht="19.5" customHeight="1">
      <c r="A933" s="275"/>
      <c r="K933" s="134"/>
      <c r="L933" s="134"/>
      <c r="M933" s="280"/>
      <c r="N933" s="280"/>
      <c r="O933" s="280"/>
      <c r="P933" s="280"/>
      <c r="Q933" s="280"/>
      <c r="R933" s="280"/>
      <c r="Y933" s="134"/>
      <c r="Z933" s="134"/>
      <c r="AA933" s="134"/>
      <c r="AB933" s="278"/>
      <c r="AC933" s="279"/>
      <c r="AD933" s="280"/>
      <c r="AN933" s="282">
        <f>AN932-AN931</f>
        <v>15399400</v>
      </c>
      <c r="AT933" s="285">
        <f>AT931-AT932</f>
        <v>0</v>
      </c>
    </row>
    <row r="934" spans="1:54" ht="19.5" customHeight="1">
      <c r="A934" s="275"/>
      <c r="K934" s="134"/>
      <c r="L934" s="134"/>
      <c r="M934" s="280"/>
      <c r="N934" s="280"/>
      <c r="O934" s="280"/>
      <c r="P934" s="280"/>
      <c r="Q934" s="280"/>
      <c r="R934" s="280"/>
      <c r="Y934" s="134"/>
      <c r="Z934" s="134"/>
      <c r="AA934" s="134"/>
      <c r="AB934" s="278"/>
      <c r="AC934" s="279"/>
      <c r="AD934" s="280"/>
    </row>
    <row r="935" spans="1:54" ht="19.5" customHeight="1">
      <c r="A935" s="275"/>
      <c r="K935" s="134"/>
      <c r="L935" s="134"/>
      <c r="M935" s="280"/>
      <c r="N935" s="280"/>
      <c r="O935" s="280"/>
      <c r="P935" s="280"/>
      <c r="Q935" s="280"/>
      <c r="R935" s="280"/>
      <c r="Y935" s="134"/>
      <c r="Z935" s="134"/>
      <c r="AA935" s="134"/>
      <c r="AB935" s="278"/>
      <c r="AC935" s="279"/>
      <c r="AD935" s="280"/>
    </row>
    <row r="936" spans="1:54" ht="19.5" customHeight="1">
      <c r="A936" s="275"/>
      <c r="K936" s="134"/>
      <c r="L936" s="134"/>
      <c r="M936" s="280"/>
      <c r="N936" s="280"/>
      <c r="O936" s="280"/>
      <c r="P936" s="280"/>
      <c r="Q936" s="280"/>
      <c r="R936" s="280"/>
      <c r="Y936" s="134"/>
      <c r="Z936" s="134"/>
      <c r="AA936" s="134"/>
      <c r="AB936" s="278"/>
      <c r="AC936" s="279"/>
      <c r="AD936" s="280"/>
    </row>
    <row r="937" spans="1:54" ht="19.5" customHeight="1">
      <c r="A937" s="275"/>
      <c r="K937" s="134"/>
      <c r="L937" s="134"/>
      <c r="M937" s="280"/>
      <c r="N937" s="280"/>
      <c r="O937" s="280"/>
      <c r="P937" s="280"/>
      <c r="Q937" s="280"/>
      <c r="R937" s="280"/>
      <c r="Y937" s="134"/>
      <c r="Z937" s="134"/>
      <c r="AA937" s="134"/>
      <c r="AB937" s="278"/>
      <c r="AC937" s="279"/>
      <c r="AD937" s="280"/>
    </row>
    <row r="938" spans="1:54" ht="19.5" customHeight="1">
      <c r="A938" s="275"/>
      <c r="K938" s="134"/>
      <c r="L938" s="134"/>
      <c r="M938" s="280"/>
      <c r="N938" s="280"/>
      <c r="O938" s="280"/>
      <c r="P938" s="280"/>
      <c r="Q938" s="280"/>
      <c r="R938" s="280"/>
      <c r="Y938" s="134"/>
      <c r="Z938" s="134"/>
      <c r="AA938" s="134"/>
      <c r="AB938" s="278"/>
      <c r="AC938" s="279"/>
      <c r="AD938" s="280"/>
    </row>
    <row r="939" spans="1:54" s="283" customFormat="1" ht="19.5" customHeight="1">
      <c r="A939" s="275"/>
      <c r="B939" s="276"/>
      <c r="C939" s="276"/>
      <c r="D939" s="276"/>
      <c r="E939" s="276"/>
      <c r="F939" s="134"/>
      <c r="G939" s="134"/>
      <c r="H939" s="277"/>
      <c r="I939" s="277"/>
      <c r="J939" s="134"/>
      <c r="K939" s="134"/>
      <c r="L939" s="134"/>
      <c r="M939" s="280"/>
      <c r="N939" s="280"/>
      <c r="O939" s="280"/>
      <c r="P939" s="280"/>
      <c r="Q939" s="280"/>
      <c r="R939" s="280"/>
      <c r="S939" s="276"/>
      <c r="T939" s="276"/>
      <c r="U939" s="277"/>
      <c r="V939" s="134"/>
      <c r="W939" s="134"/>
      <c r="X939" s="277"/>
      <c r="Y939" s="134"/>
      <c r="Z939" s="134"/>
      <c r="AA939" s="134"/>
      <c r="AB939" s="278"/>
      <c r="AC939" s="279"/>
      <c r="AD939" s="280"/>
      <c r="AE939" s="281"/>
      <c r="AF939" s="281"/>
      <c r="AG939" s="282"/>
      <c r="AH939" s="282"/>
      <c r="AK939" s="284"/>
      <c r="AL939" s="284"/>
      <c r="AM939" s="282"/>
      <c r="AN939" s="282"/>
      <c r="AO939" s="281"/>
      <c r="AP939" s="281"/>
      <c r="AS939" s="285"/>
      <c r="AT939" s="285"/>
      <c r="AU939" s="284"/>
      <c r="AV939" s="284"/>
      <c r="AY939" s="286"/>
      <c r="AZ939" s="286"/>
      <c r="BA939" s="281"/>
      <c r="BB939" s="281"/>
    </row>
    <row r="940" spans="1:54" s="283" customFormat="1" ht="19.5" customHeight="1">
      <c r="A940" s="275"/>
      <c r="B940" s="276"/>
      <c r="C940" s="276"/>
      <c r="D940" s="276"/>
      <c r="E940" s="276"/>
      <c r="F940" s="134"/>
      <c r="G940" s="134"/>
      <c r="H940" s="277"/>
      <c r="I940" s="277"/>
      <c r="J940" s="134"/>
      <c r="K940" s="134"/>
      <c r="L940" s="134"/>
      <c r="M940" s="280"/>
      <c r="N940" s="280"/>
      <c r="O940" s="280"/>
      <c r="P940" s="280"/>
      <c r="Q940" s="280"/>
      <c r="R940" s="280"/>
      <c r="S940" s="276"/>
      <c r="T940" s="276"/>
      <c r="U940" s="277"/>
      <c r="V940" s="134"/>
      <c r="W940" s="134"/>
      <c r="X940" s="277"/>
      <c r="Y940" s="134"/>
      <c r="Z940" s="134"/>
      <c r="AA940" s="134"/>
      <c r="AB940" s="278"/>
      <c r="AC940" s="279"/>
      <c r="AD940" s="280"/>
      <c r="AE940" s="281"/>
      <c r="AF940" s="281"/>
      <c r="AG940" s="282"/>
      <c r="AH940" s="282"/>
      <c r="AK940" s="284"/>
      <c r="AL940" s="284"/>
      <c r="AM940" s="282"/>
      <c r="AN940" s="282"/>
      <c r="AO940" s="281"/>
      <c r="AP940" s="281"/>
      <c r="AS940" s="285"/>
      <c r="AT940" s="285"/>
      <c r="AU940" s="284"/>
      <c r="AV940" s="284"/>
      <c r="AY940" s="286"/>
      <c r="AZ940" s="286"/>
      <c r="BA940" s="281"/>
      <c r="BB940" s="281"/>
    </row>
    <row r="941" spans="1:54" s="283" customFormat="1" ht="19.5" customHeight="1">
      <c r="A941" s="275"/>
      <c r="B941" s="276"/>
      <c r="C941" s="276"/>
      <c r="D941" s="276"/>
      <c r="E941" s="276"/>
      <c r="F941" s="134"/>
      <c r="G941" s="134"/>
      <c r="H941" s="277"/>
      <c r="I941" s="277"/>
      <c r="J941" s="134"/>
      <c r="K941" s="134"/>
      <c r="L941" s="134"/>
      <c r="M941" s="280"/>
      <c r="N941" s="280"/>
      <c r="O941" s="280"/>
      <c r="P941" s="280"/>
      <c r="Q941" s="280"/>
      <c r="R941" s="280"/>
      <c r="S941" s="276"/>
      <c r="T941" s="276"/>
      <c r="U941" s="277"/>
      <c r="V941" s="134"/>
      <c r="W941" s="134"/>
      <c r="X941" s="277"/>
      <c r="Y941" s="134"/>
      <c r="Z941" s="134"/>
      <c r="AA941" s="134"/>
      <c r="AB941" s="278"/>
      <c r="AC941" s="279"/>
      <c r="AD941" s="280"/>
      <c r="AE941" s="281"/>
      <c r="AF941" s="281"/>
      <c r="AG941" s="282"/>
      <c r="AH941" s="282"/>
      <c r="AK941" s="284"/>
      <c r="AL941" s="284"/>
      <c r="AM941" s="282"/>
      <c r="AN941" s="282"/>
      <c r="AO941" s="281"/>
      <c r="AP941" s="281"/>
      <c r="AS941" s="285"/>
      <c r="AT941" s="285"/>
      <c r="AU941" s="284"/>
      <c r="AV941" s="284"/>
      <c r="AY941" s="286"/>
      <c r="AZ941" s="286"/>
      <c r="BA941" s="281"/>
      <c r="BB941" s="281"/>
    </row>
    <row r="942" spans="1:54" s="283" customFormat="1" ht="19.5" customHeight="1">
      <c r="A942" s="275"/>
      <c r="B942" s="276"/>
      <c r="C942" s="276"/>
      <c r="D942" s="276"/>
      <c r="E942" s="276"/>
      <c r="F942" s="134"/>
      <c r="G942" s="134"/>
      <c r="H942" s="277"/>
      <c r="I942" s="277"/>
      <c r="J942" s="134"/>
      <c r="K942" s="134"/>
      <c r="L942" s="134"/>
      <c r="M942" s="280"/>
      <c r="N942" s="280"/>
      <c r="O942" s="280"/>
      <c r="P942" s="280"/>
      <c r="Q942" s="280"/>
      <c r="R942" s="280"/>
      <c r="S942" s="276"/>
      <c r="T942" s="276"/>
      <c r="U942" s="277"/>
      <c r="V942" s="134"/>
      <c r="W942" s="134"/>
      <c r="X942" s="277"/>
      <c r="Y942" s="134"/>
      <c r="Z942" s="134"/>
      <c r="AA942" s="134"/>
      <c r="AB942" s="278"/>
      <c r="AC942" s="279"/>
      <c r="AD942" s="280"/>
      <c r="AE942" s="281"/>
      <c r="AF942" s="281"/>
      <c r="AG942" s="282"/>
      <c r="AH942" s="282"/>
      <c r="AK942" s="284"/>
      <c r="AL942" s="284"/>
      <c r="AM942" s="282"/>
      <c r="AN942" s="282"/>
      <c r="AO942" s="281"/>
      <c r="AP942" s="281"/>
      <c r="AS942" s="285"/>
      <c r="AT942" s="285"/>
      <c r="AU942" s="284"/>
      <c r="AV942" s="284"/>
      <c r="AY942" s="286"/>
      <c r="AZ942" s="286"/>
      <c r="BA942" s="281"/>
      <c r="BB942" s="281"/>
    </row>
    <row r="943" spans="1:54" s="283" customFormat="1" ht="19.5" customHeight="1">
      <c r="A943" s="275"/>
      <c r="B943" s="276"/>
      <c r="C943" s="276"/>
      <c r="D943" s="276"/>
      <c r="E943" s="276"/>
      <c r="F943" s="134"/>
      <c r="G943" s="134"/>
      <c r="H943" s="277"/>
      <c r="I943" s="277"/>
      <c r="J943" s="134"/>
      <c r="K943" s="134"/>
      <c r="L943" s="134"/>
      <c r="M943" s="280"/>
      <c r="N943" s="280"/>
      <c r="O943" s="280"/>
      <c r="P943" s="280"/>
      <c r="Q943" s="280"/>
      <c r="R943" s="280"/>
      <c r="S943" s="276"/>
      <c r="T943" s="276"/>
      <c r="U943" s="277"/>
      <c r="V943" s="134"/>
      <c r="W943" s="134"/>
      <c r="X943" s="277"/>
      <c r="Y943" s="134"/>
      <c r="Z943" s="134"/>
      <c r="AA943" s="134"/>
      <c r="AB943" s="278"/>
      <c r="AC943" s="279"/>
      <c r="AD943" s="280"/>
      <c r="AE943" s="281"/>
      <c r="AF943" s="281"/>
      <c r="AG943" s="282"/>
      <c r="AH943" s="282"/>
      <c r="AK943" s="284"/>
      <c r="AL943" s="284"/>
      <c r="AM943" s="282"/>
      <c r="AN943" s="282"/>
      <c r="AO943" s="281"/>
      <c r="AP943" s="281"/>
      <c r="AS943" s="285"/>
      <c r="AT943" s="285"/>
      <c r="AU943" s="284"/>
      <c r="AV943" s="284"/>
      <c r="AY943" s="286"/>
      <c r="AZ943" s="286"/>
      <c r="BA943" s="281"/>
      <c r="BB943" s="281"/>
    </row>
    <row r="944" spans="1:54" s="283" customFormat="1" ht="19.5" customHeight="1">
      <c r="A944" s="275"/>
      <c r="B944" s="276"/>
      <c r="C944" s="276"/>
      <c r="D944" s="276"/>
      <c r="E944" s="276"/>
      <c r="F944" s="134"/>
      <c r="G944" s="134"/>
      <c r="H944" s="277"/>
      <c r="I944" s="277"/>
      <c r="J944" s="134"/>
      <c r="K944" s="134"/>
      <c r="L944" s="134"/>
      <c r="M944" s="280"/>
      <c r="N944" s="280"/>
      <c r="O944" s="280"/>
      <c r="P944" s="280"/>
      <c r="Q944" s="280"/>
      <c r="R944" s="280"/>
      <c r="S944" s="276"/>
      <c r="T944" s="276"/>
      <c r="U944" s="277"/>
      <c r="V944" s="134"/>
      <c r="W944" s="134"/>
      <c r="X944" s="277"/>
      <c r="Y944" s="134"/>
      <c r="Z944" s="134"/>
      <c r="AA944" s="134"/>
      <c r="AB944" s="278"/>
      <c r="AC944" s="279"/>
      <c r="AD944" s="280"/>
      <c r="AE944" s="281"/>
      <c r="AF944" s="281"/>
      <c r="AG944" s="282"/>
      <c r="AH944" s="282"/>
      <c r="AK944" s="284"/>
      <c r="AL944" s="284"/>
      <c r="AM944" s="282"/>
      <c r="AN944" s="282"/>
      <c r="AO944" s="281"/>
      <c r="AP944" s="281"/>
      <c r="AS944" s="285"/>
      <c r="AT944" s="285"/>
      <c r="AU944" s="284"/>
      <c r="AV944" s="284"/>
      <c r="AY944" s="286"/>
      <c r="AZ944" s="286"/>
      <c r="BA944" s="281"/>
      <c r="BB944" s="281"/>
    </row>
    <row r="945" spans="1:54" s="283" customFormat="1" ht="19.5" customHeight="1">
      <c r="A945" s="275"/>
      <c r="B945" s="276"/>
      <c r="C945" s="276"/>
      <c r="D945" s="276"/>
      <c r="E945" s="276"/>
      <c r="F945" s="134"/>
      <c r="G945" s="134"/>
      <c r="H945" s="277"/>
      <c r="I945" s="277"/>
      <c r="J945" s="134"/>
      <c r="K945" s="134"/>
      <c r="L945" s="134"/>
      <c r="M945" s="280"/>
      <c r="N945" s="280"/>
      <c r="O945" s="280"/>
      <c r="P945" s="280"/>
      <c r="Q945" s="280"/>
      <c r="R945" s="280"/>
      <c r="S945" s="276"/>
      <c r="T945" s="276"/>
      <c r="U945" s="277"/>
      <c r="V945" s="134"/>
      <c r="W945" s="134"/>
      <c r="X945" s="277"/>
      <c r="Y945" s="134"/>
      <c r="Z945" s="134"/>
      <c r="AA945" s="134"/>
      <c r="AB945" s="278"/>
      <c r="AC945" s="279"/>
      <c r="AD945" s="280"/>
      <c r="AE945" s="281"/>
      <c r="AF945" s="281"/>
      <c r="AG945" s="282"/>
      <c r="AH945" s="282"/>
      <c r="AK945" s="284"/>
      <c r="AL945" s="284"/>
      <c r="AM945" s="282"/>
      <c r="AN945" s="282"/>
      <c r="AO945" s="281"/>
      <c r="AP945" s="281"/>
      <c r="AS945" s="285"/>
      <c r="AT945" s="285"/>
      <c r="AU945" s="284"/>
      <c r="AV945" s="284"/>
      <c r="AY945" s="286"/>
      <c r="AZ945" s="286"/>
      <c r="BA945" s="281"/>
      <c r="BB945" s="281"/>
    </row>
    <row r="946" spans="1:54" s="283" customFormat="1" ht="19.5" customHeight="1">
      <c r="A946" s="275"/>
      <c r="B946" s="276"/>
      <c r="C946" s="276"/>
      <c r="D946" s="276"/>
      <c r="E946" s="276"/>
      <c r="F946" s="134"/>
      <c r="G946" s="134"/>
      <c r="H946" s="277"/>
      <c r="I946" s="277"/>
      <c r="J946" s="134"/>
      <c r="K946" s="134"/>
      <c r="L946" s="134"/>
      <c r="M946" s="280"/>
      <c r="N946" s="280"/>
      <c r="O946" s="280"/>
      <c r="P946" s="280"/>
      <c r="Q946" s="280"/>
      <c r="R946" s="280"/>
      <c r="S946" s="276"/>
      <c r="T946" s="276"/>
      <c r="U946" s="277"/>
      <c r="V946" s="134"/>
      <c r="W946" s="134"/>
      <c r="X946" s="277"/>
      <c r="Y946" s="134"/>
      <c r="Z946" s="134"/>
      <c r="AA946" s="134"/>
      <c r="AB946" s="278"/>
      <c r="AC946" s="279"/>
      <c r="AD946" s="280"/>
      <c r="AE946" s="281"/>
      <c r="AF946" s="281"/>
      <c r="AG946" s="282"/>
      <c r="AH946" s="282"/>
      <c r="AK946" s="284"/>
      <c r="AL946" s="284"/>
      <c r="AM946" s="282"/>
      <c r="AN946" s="282"/>
      <c r="AO946" s="281"/>
      <c r="AP946" s="281"/>
      <c r="AS946" s="285"/>
      <c r="AT946" s="285"/>
      <c r="AU946" s="284"/>
      <c r="AV946" s="284"/>
      <c r="AY946" s="286"/>
      <c r="AZ946" s="286"/>
      <c r="BA946" s="281"/>
      <c r="BB946" s="281"/>
    </row>
    <row r="947" spans="1:54" s="283" customFormat="1" ht="19.5" customHeight="1">
      <c r="A947" s="275"/>
      <c r="B947" s="276"/>
      <c r="C947" s="276"/>
      <c r="D947" s="276"/>
      <c r="E947" s="276"/>
      <c r="F947" s="134"/>
      <c r="G947" s="134"/>
      <c r="H947" s="277"/>
      <c r="I947" s="277"/>
      <c r="J947" s="134"/>
      <c r="K947" s="134"/>
      <c r="L947" s="134"/>
      <c r="M947" s="280"/>
      <c r="N947" s="280"/>
      <c r="O947" s="280"/>
      <c r="P947" s="280"/>
      <c r="Q947" s="280"/>
      <c r="R947" s="280"/>
      <c r="S947" s="276"/>
      <c r="T947" s="276"/>
      <c r="U947" s="277"/>
      <c r="V947" s="134"/>
      <c r="W947" s="134"/>
      <c r="X947" s="277"/>
      <c r="Y947" s="134"/>
      <c r="Z947" s="134"/>
      <c r="AA947" s="134"/>
      <c r="AB947" s="278"/>
      <c r="AC947" s="279"/>
      <c r="AD947" s="280"/>
      <c r="AE947" s="281"/>
      <c r="AF947" s="281"/>
      <c r="AG947" s="282"/>
      <c r="AH947" s="282"/>
      <c r="AK947" s="284"/>
      <c r="AL947" s="284"/>
      <c r="AM947" s="282"/>
      <c r="AN947" s="282"/>
      <c r="AO947" s="281"/>
      <c r="AP947" s="281"/>
      <c r="AS947" s="285"/>
      <c r="AT947" s="285"/>
      <c r="AU947" s="284"/>
      <c r="AV947" s="284"/>
      <c r="AY947" s="286"/>
      <c r="AZ947" s="286"/>
      <c r="BA947" s="281"/>
      <c r="BB947" s="281"/>
    </row>
    <row r="948" spans="1:54" s="283" customFormat="1" ht="19.5" customHeight="1">
      <c r="A948" s="275"/>
      <c r="B948" s="276"/>
      <c r="C948" s="276"/>
      <c r="D948" s="276"/>
      <c r="E948" s="276"/>
      <c r="F948" s="134"/>
      <c r="G948" s="134"/>
      <c r="H948" s="277"/>
      <c r="I948" s="277"/>
      <c r="J948" s="134"/>
      <c r="K948" s="134"/>
      <c r="L948" s="134"/>
      <c r="M948" s="280"/>
      <c r="N948" s="280"/>
      <c r="O948" s="280"/>
      <c r="P948" s="280"/>
      <c r="Q948" s="280"/>
      <c r="R948" s="280"/>
      <c r="S948" s="276"/>
      <c r="T948" s="276"/>
      <c r="U948" s="277"/>
      <c r="V948" s="134"/>
      <c r="W948" s="134"/>
      <c r="X948" s="277"/>
      <c r="Y948" s="134"/>
      <c r="Z948" s="134"/>
      <c r="AA948" s="134"/>
      <c r="AB948" s="278"/>
      <c r="AC948" s="279"/>
      <c r="AD948" s="280"/>
      <c r="AE948" s="281"/>
      <c r="AF948" s="281"/>
      <c r="AG948" s="282"/>
      <c r="AH948" s="282"/>
      <c r="AK948" s="284"/>
      <c r="AL948" s="284"/>
      <c r="AM948" s="282"/>
      <c r="AN948" s="282"/>
      <c r="AO948" s="281"/>
      <c r="AP948" s="281"/>
      <c r="AS948" s="285"/>
      <c r="AT948" s="285"/>
      <c r="AU948" s="284"/>
      <c r="AV948" s="284"/>
      <c r="AY948" s="286"/>
      <c r="AZ948" s="286"/>
      <c r="BA948" s="281"/>
      <c r="BB948" s="281"/>
    </row>
    <row r="949" spans="1:54" s="283" customFormat="1" ht="19.5" customHeight="1">
      <c r="A949" s="275"/>
      <c r="B949" s="276"/>
      <c r="C949" s="276"/>
      <c r="D949" s="276"/>
      <c r="E949" s="276"/>
      <c r="F949" s="134"/>
      <c r="G949" s="134"/>
      <c r="H949" s="277"/>
      <c r="I949" s="277"/>
      <c r="J949" s="134"/>
      <c r="K949" s="134"/>
      <c r="L949" s="134"/>
      <c r="M949" s="280"/>
      <c r="N949" s="280"/>
      <c r="O949" s="280"/>
      <c r="P949" s="280"/>
      <c r="Q949" s="280"/>
      <c r="R949" s="280"/>
      <c r="S949" s="276"/>
      <c r="T949" s="276"/>
      <c r="U949" s="277"/>
      <c r="V949" s="134"/>
      <c r="W949" s="134"/>
      <c r="X949" s="277"/>
      <c r="Y949" s="134"/>
      <c r="Z949" s="134"/>
      <c r="AA949" s="134"/>
      <c r="AB949" s="278"/>
      <c r="AC949" s="279"/>
      <c r="AD949" s="280"/>
      <c r="AE949" s="281"/>
      <c r="AF949" s="281"/>
      <c r="AG949" s="282"/>
      <c r="AH949" s="282"/>
      <c r="AK949" s="284"/>
      <c r="AL949" s="284"/>
      <c r="AM949" s="282"/>
      <c r="AN949" s="282"/>
      <c r="AO949" s="281"/>
      <c r="AP949" s="281"/>
      <c r="AS949" s="285"/>
      <c r="AT949" s="285"/>
      <c r="AU949" s="284"/>
      <c r="AV949" s="284"/>
      <c r="AY949" s="286"/>
      <c r="AZ949" s="286"/>
      <c r="BA949" s="281"/>
      <c r="BB949" s="281"/>
    </row>
    <row r="950" spans="1:54" s="283" customFormat="1" ht="19.5" customHeight="1">
      <c r="A950" s="275"/>
      <c r="B950" s="276"/>
      <c r="C950" s="276"/>
      <c r="D950" s="276"/>
      <c r="E950" s="276"/>
      <c r="F950" s="134"/>
      <c r="G950" s="134"/>
      <c r="H950" s="277"/>
      <c r="I950" s="277"/>
      <c r="J950" s="134"/>
      <c r="K950" s="134"/>
      <c r="L950" s="134"/>
      <c r="M950" s="280"/>
      <c r="N950" s="280"/>
      <c r="O950" s="280"/>
      <c r="P950" s="280"/>
      <c r="Q950" s="280"/>
      <c r="R950" s="280"/>
      <c r="S950" s="276"/>
      <c r="T950" s="276"/>
      <c r="U950" s="277"/>
      <c r="V950" s="134"/>
      <c r="W950" s="134"/>
      <c r="X950" s="277"/>
      <c r="Y950" s="134"/>
      <c r="Z950" s="134"/>
      <c r="AA950" s="134"/>
      <c r="AB950" s="278"/>
      <c r="AC950" s="279"/>
      <c r="AD950" s="280"/>
      <c r="AE950" s="281"/>
      <c r="AF950" s="281"/>
      <c r="AG950" s="282"/>
      <c r="AH950" s="282"/>
      <c r="AK950" s="284"/>
      <c r="AL950" s="284"/>
      <c r="AM950" s="282"/>
      <c r="AN950" s="282"/>
      <c r="AO950" s="281"/>
      <c r="AP950" s="281"/>
      <c r="AS950" s="285"/>
      <c r="AT950" s="285"/>
      <c r="AU950" s="284"/>
      <c r="AV950" s="284"/>
      <c r="AY950" s="286"/>
      <c r="AZ950" s="286"/>
      <c r="BA950" s="281"/>
      <c r="BB950" s="281"/>
    </row>
    <row r="951" spans="1:54" s="283" customFormat="1" ht="19.5" customHeight="1">
      <c r="A951" s="275"/>
      <c r="B951" s="276"/>
      <c r="C951" s="276"/>
      <c r="D951" s="276"/>
      <c r="E951" s="276"/>
      <c r="F951" s="134"/>
      <c r="G951" s="134"/>
      <c r="H951" s="277"/>
      <c r="I951" s="277"/>
      <c r="J951" s="134"/>
      <c r="K951" s="134"/>
      <c r="L951" s="134"/>
      <c r="M951" s="280"/>
      <c r="N951" s="280"/>
      <c r="O951" s="280"/>
      <c r="P951" s="280"/>
      <c r="Q951" s="280"/>
      <c r="R951" s="280"/>
      <c r="S951" s="276"/>
      <c r="T951" s="276"/>
      <c r="U951" s="277"/>
      <c r="V951" s="134"/>
      <c r="W951" s="134"/>
      <c r="X951" s="277"/>
      <c r="Y951" s="134"/>
      <c r="Z951" s="134"/>
      <c r="AA951" s="134"/>
      <c r="AB951" s="278"/>
      <c r="AC951" s="279"/>
      <c r="AD951" s="280"/>
      <c r="AE951" s="281"/>
      <c r="AF951" s="281"/>
      <c r="AG951" s="282"/>
      <c r="AH951" s="282"/>
      <c r="AK951" s="284"/>
      <c r="AL951" s="284"/>
      <c r="AM951" s="282"/>
      <c r="AN951" s="282"/>
      <c r="AO951" s="281"/>
      <c r="AP951" s="281"/>
      <c r="AS951" s="285"/>
      <c r="AT951" s="285"/>
      <c r="AU951" s="284"/>
      <c r="AV951" s="284"/>
      <c r="AY951" s="286"/>
      <c r="AZ951" s="286"/>
      <c r="BA951" s="281"/>
      <c r="BB951" s="281"/>
    </row>
    <row r="952" spans="1:54" s="283" customFormat="1" ht="19.5" customHeight="1">
      <c r="A952" s="275"/>
      <c r="B952" s="276"/>
      <c r="C952" s="276"/>
      <c r="D952" s="276"/>
      <c r="E952" s="276"/>
      <c r="F952" s="134"/>
      <c r="G952" s="134"/>
      <c r="H952" s="277"/>
      <c r="I952" s="277"/>
      <c r="J952" s="134"/>
      <c r="K952" s="134"/>
      <c r="L952" s="134"/>
      <c r="M952" s="280"/>
      <c r="N952" s="280"/>
      <c r="O952" s="280"/>
      <c r="P952" s="280"/>
      <c r="Q952" s="280"/>
      <c r="R952" s="280"/>
      <c r="S952" s="276"/>
      <c r="T952" s="276"/>
      <c r="U952" s="277"/>
      <c r="V952" s="134"/>
      <c r="W952" s="134"/>
      <c r="X952" s="277"/>
      <c r="Y952" s="134"/>
      <c r="Z952" s="134"/>
      <c r="AA952" s="134"/>
      <c r="AB952" s="278"/>
      <c r="AC952" s="279"/>
      <c r="AD952" s="280"/>
      <c r="AE952" s="281"/>
      <c r="AF952" s="281"/>
      <c r="AG952" s="282"/>
      <c r="AH952" s="282"/>
      <c r="AK952" s="284"/>
      <c r="AL952" s="284"/>
      <c r="AM952" s="282"/>
      <c r="AN952" s="282"/>
      <c r="AO952" s="281"/>
      <c r="AP952" s="281"/>
      <c r="AS952" s="285"/>
      <c r="AT952" s="285"/>
      <c r="AU952" s="284"/>
      <c r="AV952" s="284"/>
      <c r="AY952" s="286"/>
      <c r="AZ952" s="286"/>
      <c r="BA952" s="281"/>
      <c r="BB952" s="281"/>
    </row>
    <row r="953" spans="1:54" s="283" customFormat="1" ht="19.5" customHeight="1">
      <c r="A953" s="275"/>
      <c r="B953" s="276"/>
      <c r="C953" s="276"/>
      <c r="D953" s="276"/>
      <c r="E953" s="276"/>
      <c r="F953" s="134"/>
      <c r="G953" s="134"/>
      <c r="H953" s="277"/>
      <c r="I953" s="277"/>
      <c r="J953" s="134"/>
      <c r="K953" s="134"/>
      <c r="L953" s="134"/>
      <c r="M953" s="280"/>
      <c r="N953" s="280"/>
      <c r="O953" s="280"/>
      <c r="P953" s="280"/>
      <c r="Q953" s="280"/>
      <c r="R953" s="280"/>
      <c r="S953" s="276"/>
      <c r="T953" s="276"/>
      <c r="U953" s="277"/>
      <c r="V953" s="134"/>
      <c r="W953" s="134"/>
      <c r="X953" s="277"/>
      <c r="Y953" s="134"/>
      <c r="Z953" s="134"/>
      <c r="AA953" s="134"/>
      <c r="AB953" s="278"/>
      <c r="AC953" s="279"/>
      <c r="AD953" s="280"/>
      <c r="AE953" s="281"/>
      <c r="AF953" s="281"/>
      <c r="AG953" s="282"/>
      <c r="AH953" s="282"/>
      <c r="AK953" s="284"/>
      <c r="AL953" s="284"/>
      <c r="AM953" s="282"/>
      <c r="AN953" s="282"/>
      <c r="AO953" s="281"/>
      <c r="AP953" s="281"/>
      <c r="AS953" s="285"/>
      <c r="AT953" s="285"/>
      <c r="AU953" s="284"/>
      <c r="AV953" s="284"/>
      <c r="AY953" s="286"/>
      <c r="AZ953" s="286"/>
      <c r="BA953" s="281"/>
      <c r="BB953" s="281"/>
    </row>
    <row r="954" spans="1:54" s="283" customFormat="1" ht="19.5" customHeight="1">
      <c r="A954" s="275"/>
      <c r="B954" s="276"/>
      <c r="C954" s="276"/>
      <c r="D954" s="276"/>
      <c r="E954" s="276"/>
      <c r="F954" s="134"/>
      <c r="G954" s="134"/>
      <c r="H954" s="277"/>
      <c r="I954" s="277"/>
      <c r="J954" s="134"/>
      <c r="K954" s="134"/>
      <c r="L954" s="134"/>
      <c r="M954" s="280"/>
      <c r="N954" s="280"/>
      <c r="O954" s="280"/>
      <c r="P954" s="280"/>
      <c r="Q954" s="280"/>
      <c r="R954" s="280"/>
      <c r="S954" s="276"/>
      <c r="T954" s="276"/>
      <c r="U954" s="277"/>
      <c r="V954" s="134"/>
      <c r="W954" s="134"/>
      <c r="X954" s="277"/>
      <c r="Y954" s="134"/>
      <c r="Z954" s="134"/>
      <c r="AA954" s="134"/>
      <c r="AB954" s="278"/>
      <c r="AC954" s="279"/>
      <c r="AD954" s="280"/>
      <c r="AE954" s="281"/>
      <c r="AF954" s="281"/>
      <c r="AG954" s="282"/>
      <c r="AH954" s="282"/>
      <c r="AK954" s="284"/>
      <c r="AL954" s="284"/>
      <c r="AM954" s="282"/>
      <c r="AN954" s="282"/>
      <c r="AO954" s="281"/>
      <c r="AP954" s="281"/>
      <c r="AS954" s="285"/>
      <c r="AT954" s="285"/>
      <c r="AU954" s="284"/>
      <c r="AV954" s="284"/>
      <c r="AY954" s="286"/>
      <c r="AZ954" s="286"/>
      <c r="BA954" s="281"/>
      <c r="BB954" s="281"/>
    </row>
    <row r="955" spans="1:54" s="283" customFormat="1" ht="19.5" customHeight="1">
      <c r="A955" s="275"/>
      <c r="B955" s="276"/>
      <c r="C955" s="276"/>
      <c r="D955" s="276"/>
      <c r="E955" s="276"/>
      <c r="F955" s="134"/>
      <c r="G955" s="134"/>
      <c r="H955" s="277"/>
      <c r="I955" s="277"/>
      <c r="J955" s="134"/>
      <c r="K955" s="134"/>
      <c r="L955" s="134"/>
      <c r="M955" s="280"/>
      <c r="N955" s="280"/>
      <c r="O955" s="280"/>
      <c r="P955" s="280"/>
      <c r="Q955" s="280"/>
      <c r="R955" s="280"/>
      <c r="S955" s="276"/>
      <c r="T955" s="276"/>
      <c r="U955" s="277"/>
      <c r="V955" s="134"/>
      <c r="W955" s="134"/>
      <c r="X955" s="277"/>
      <c r="Y955" s="134"/>
      <c r="Z955" s="134"/>
      <c r="AA955" s="134"/>
      <c r="AB955" s="278"/>
      <c r="AC955" s="279"/>
      <c r="AD955" s="280"/>
      <c r="AE955" s="281"/>
      <c r="AF955" s="281"/>
      <c r="AG955" s="282"/>
      <c r="AH955" s="282"/>
      <c r="AK955" s="284"/>
      <c r="AL955" s="284"/>
      <c r="AM955" s="282"/>
      <c r="AN955" s="282"/>
      <c r="AO955" s="281"/>
      <c r="AP955" s="281"/>
      <c r="AS955" s="285"/>
      <c r="AT955" s="285"/>
      <c r="AU955" s="284"/>
      <c r="AV955" s="284"/>
      <c r="AY955" s="286"/>
      <c r="AZ955" s="286"/>
      <c r="BA955" s="281"/>
      <c r="BB955" s="281"/>
    </row>
    <row r="956" spans="1:54" s="283" customFormat="1" ht="19.5" customHeight="1">
      <c r="A956" s="275"/>
      <c r="B956" s="276"/>
      <c r="C956" s="276"/>
      <c r="D956" s="276"/>
      <c r="E956" s="276"/>
      <c r="F956" s="134"/>
      <c r="G956" s="134"/>
      <c r="H956" s="277"/>
      <c r="I956" s="277"/>
      <c r="J956" s="134"/>
      <c r="K956" s="134"/>
      <c r="L956" s="134"/>
      <c r="M956" s="280"/>
      <c r="N956" s="280"/>
      <c r="O956" s="280"/>
      <c r="P956" s="280"/>
      <c r="Q956" s="280"/>
      <c r="R956" s="280"/>
      <c r="S956" s="276"/>
      <c r="T956" s="276"/>
      <c r="U956" s="277"/>
      <c r="V956" s="134"/>
      <c r="W956" s="134"/>
      <c r="X956" s="277"/>
      <c r="Y956" s="134"/>
      <c r="Z956" s="134"/>
      <c r="AA956" s="134"/>
      <c r="AB956" s="278"/>
      <c r="AC956" s="279"/>
      <c r="AD956" s="280"/>
      <c r="AE956" s="281"/>
      <c r="AF956" s="281"/>
      <c r="AG956" s="282"/>
      <c r="AH956" s="282"/>
      <c r="AK956" s="284"/>
      <c r="AL956" s="284"/>
      <c r="AM956" s="282"/>
      <c r="AN956" s="282"/>
      <c r="AO956" s="281"/>
      <c r="AP956" s="281"/>
      <c r="AS956" s="285"/>
      <c r="AT956" s="285"/>
      <c r="AU956" s="284"/>
      <c r="AV956" s="284"/>
      <c r="AY956" s="286"/>
      <c r="AZ956" s="286"/>
      <c r="BA956" s="281"/>
      <c r="BB956" s="281"/>
    </row>
    <row r="957" spans="1:54" s="283" customFormat="1" ht="19.5" customHeight="1">
      <c r="A957" s="275"/>
      <c r="B957" s="276"/>
      <c r="C957" s="276"/>
      <c r="D957" s="276"/>
      <c r="E957" s="276"/>
      <c r="F957" s="134"/>
      <c r="G957" s="134"/>
      <c r="H957" s="277"/>
      <c r="I957" s="277"/>
      <c r="J957" s="134"/>
      <c r="K957" s="134"/>
      <c r="L957" s="134"/>
      <c r="M957" s="280"/>
      <c r="N957" s="280"/>
      <c r="O957" s="280"/>
      <c r="P957" s="280"/>
      <c r="Q957" s="280"/>
      <c r="R957" s="280"/>
      <c r="S957" s="276"/>
      <c r="T957" s="276"/>
      <c r="U957" s="277"/>
      <c r="V957" s="134"/>
      <c r="W957" s="134"/>
      <c r="X957" s="277"/>
      <c r="Y957" s="134"/>
      <c r="Z957" s="134"/>
      <c r="AA957" s="134"/>
      <c r="AB957" s="278"/>
      <c r="AC957" s="279"/>
      <c r="AD957" s="280"/>
      <c r="AE957" s="281"/>
      <c r="AF957" s="281"/>
      <c r="AG957" s="282"/>
      <c r="AH957" s="282"/>
      <c r="AK957" s="284"/>
      <c r="AL957" s="284"/>
      <c r="AM957" s="282"/>
      <c r="AN957" s="282"/>
      <c r="AO957" s="281"/>
      <c r="AP957" s="281"/>
      <c r="AS957" s="285"/>
      <c r="AT957" s="285"/>
      <c r="AU957" s="284"/>
      <c r="AV957" s="284"/>
      <c r="AY957" s="286"/>
      <c r="AZ957" s="286"/>
      <c r="BA957" s="281"/>
      <c r="BB957" s="281"/>
    </row>
    <row r="958" spans="1:54" s="283" customFormat="1" ht="19.5" customHeight="1">
      <c r="A958" s="275"/>
      <c r="B958" s="276"/>
      <c r="C958" s="276"/>
      <c r="D958" s="276"/>
      <c r="E958" s="276"/>
      <c r="F958" s="134"/>
      <c r="G958" s="134"/>
      <c r="H958" s="277"/>
      <c r="I958" s="277"/>
      <c r="J958" s="134"/>
      <c r="K958" s="134"/>
      <c r="L958" s="134"/>
      <c r="M958" s="280"/>
      <c r="N958" s="280"/>
      <c r="O958" s="280"/>
      <c r="P958" s="280"/>
      <c r="Q958" s="280"/>
      <c r="R958" s="280"/>
      <c r="S958" s="276"/>
      <c r="T958" s="276"/>
      <c r="U958" s="277"/>
      <c r="V958" s="134"/>
      <c r="W958" s="134"/>
      <c r="X958" s="277"/>
      <c r="Y958" s="134"/>
      <c r="Z958" s="134"/>
      <c r="AA958" s="134"/>
      <c r="AB958" s="278"/>
      <c r="AC958" s="279"/>
      <c r="AD958" s="280"/>
      <c r="AE958" s="281"/>
      <c r="AF958" s="281"/>
      <c r="AG958" s="282"/>
      <c r="AH958" s="282"/>
      <c r="AK958" s="284"/>
      <c r="AL958" s="284"/>
      <c r="AM958" s="282"/>
      <c r="AN958" s="282"/>
      <c r="AO958" s="281"/>
      <c r="AP958" s="281"/>
      <c r="AS958" s="285"/>
      <c r="AT958" s="285"/>
      <c r="AU958" s="284"/>
      <c r="AV958" s="284"/>
      <c r="AY958" s="286"/>
      <c r="AZ958" s="286"/>
      <c r="BA958" s="281"/>
      <c r="BB958" s="281"/>
    </row>
    <row r="959" spans="1:54" s="283" customFormat="1" ht="19.5" customHeight="1">
      <c r="A959" s="275"/>
      <c r="B959" s="276"/>
      <c r="C959" s="276"/>
      <c r="D959" s="276"/>
      <c r="E959" s="276"/>
      <c r="F959" s="134"/>
      <c r="G959" s="134"/>
      <c r="H959" s="277"/>
      <c r="I959" s="277"/>
      <c r="J959" s="134"/>
      <c r="K959" s="134"/>
      <c r="L959" s="134"/>
      <c r="M959" s="280"/>
      <c r="N959" s="280"/>
      <c r="O959" s="280"/>
      <c r="P959" s="280"/>
      <c r="Q959" s="280"/>
      <c r="R959" s="280"/>
      <c r="S959" s="276"/>
      <c r="T959" s="276"/>
      <c r="U959" s="277"/>
      <c r="V959" s="134"/>
      <c r="W959" s="134"/>
      <c r="X959" s="277"/>
      <c r="Y959" s="134"/>
      <c r="Z959" s="134"/>
      <c r="AA959" s="134"/>
      <c r="AB959" s="278"/>
      <c r="AC959" s="279"/>
      <c r="AD959" s="280"/>
      <c r="AE959" s="281"/>
      <c r="AF959" s="281"/>
      <c r="AG959" s="282"/>
      <c r="AH959" s="282"/>
      <c r="AK959" s="284"/>
      <c r="AL959" s="284"/>
      <c r="AM959" s="282"/>
      <c r="AN959" s="282"/>
      <c r="AO959" s="281"/>
      <c r="AP959" s="281"/>
      <c r="AS959" s="285"/>
      <c r="AT959" s="285"/>
      <c r="AU959" s="284"/>
      <c r="AV959" s="284"/>
      <c r="AY959" s="286"/>
      <c r="AZ959" s="286"/>
      <c r="BA959" s="281"/>
      <c r="BB959" s="281"/>
    </row>
    <row r="960" spans="1:54" s="283" customFormat="1" ht="19.5" customHeight="1">
      <c r="A960" s="275"/>
      <c r="B960" s="276"/>
      <c r="C960" s="276"/>
      <c r="D960" s="276"/>
      <c r="E960" s="276"/>
      <c r="F960" s="134"/>
      <c r="G960" s="134"/>
      <c r="H960" s="277"/>
      <c r="I960" s="277"/>
      <c r="J960" s="134"/>
      <c r="K960" s="134"/>
      <c r="L960" s="134"/>
      <c r="M960" s="280"/>
      <c r="N960" s="280"/>
      <c r="O960" s="280"/>
      <c r="P960" s="280"/>
      <c r="Q960" s="280"/>
      <c r="R960" s="280"/>
      <c r="S960" s="276"/>
      <c r="T960" s="276"/>
      <c r="U960" s="277"/>
      <c r="V960" s="134"/>
      <c r="W960" s="134"/>
      <c r="X960" s="277"/>
      <c r="Y960" s="134"/>
      <c r="Z960" s="134"/>
      <c r="AA960" s="134"/>
      <c r="AB960" s="278"/>
      <c r="AC960" s="279"/>
      <c r="AD960" s="280"/>
      <c r="AE960" s="281"/>
      <c r="AF960" s="281"/>
      <c r="AG960" s="282"/>
      <c r="AH960" s="282"/>
      <c r="AK960" s="284"/>
      <c r="AL960" s="284"/>
      <c r="AM960" s="282"/>
      <c r="AN960" s="282"/>
      <c r="AO960" s="281"/>
      <c r="AP960" s="281"/>
      <c r="AS960" s="285"/>
      <c r="AT960" s="285"/>
      <c r="AU960" s="284"/>
      <c r="AV960" s="284"/>
      <c r="AY960" s="286"/>
      <c r="AZ960" s="286"/>
      <c r="BA960" s="281"/>
      <c r="BB960" s="281"/>
    </row>
    <row r="961" spans="1:54" s="283" customFormat="1" ht="19.5" customHeight="1">
      <c r="A961" s="275"/>
      <c r="B961" s="276"/>
      <c r="C961" s="276"/>
      <c r="D961" s="276"/>
      <c r="E961" s="276"/>
      <c r="F961" s="134"/>
      <c r="G961" s="134"/>
      <c r="H961" s="277"/>
      <c r="I961" s="277"/>
      <c r="J961" s="134"/>
      <c r="K961" s="134"/>
      <c r="L961" s="134"/>
      <c r="M961" s="280"/>
      <c r="N961" s="280"/>
      <c r="O961" s="280"/>
      <c r="P961" s="280"/>
      <c r="Q961" s="280"/>
      <c r="R961" s="280"/>
      <c r="S961" s="276"/>
      <c r="T961" s="276"/>
      <c r="U961" s="277"/>
      <c r="V961" s="134"/>
      <c r="W961" s="134"/>
      <c r="X961" s="277"/>
      <c r="Y961" s="134"/>
      <c r="Z961" s="134"/>
      <c r="AA961" s="134"/>
      <c r="AB961" s="278"/>
      <c r="AC961" s="279"/>
      <c r="AD961" s="280"/>
      <c r="AE961" s="281"/>
      <c r="AF961" s="281"/>
      <c r="AG961" s="282"/>
      <c r="AH961" s="282"/>
      <c r="AK961" s="284"/>
      <c r="AL961" s="284"/>
      <c r="AM961" s="282"/>
      <c r="AN961" s="282"/>
      <c r="AO961" s="281"/>
      <c r="AP961" s="281"/>
      <c r="AS961" s="285"/>
      <c r="AT961" s="285"/>
      <c r="AU961" s="284"/>
      <c r="AV961" s="284"/>
      <c r="AY961" s="286"/>
      <c r="AZ961" s="286"/>
      <c r="BA961" s="281"/>
      <c r="BB961" s="281"/>
    </row>
    <row r="962" spans="1:54" s="283" customFormat="1" ht="19.5" customHeight="1">
      <c r="A962" s="275"/>
      <c r="B962" s="276"/>
      <c r="C962" s="276"/>
      <c r="D962" s="276"/>
      <c r="E962" s="276"/>
      <c r="F962" s="134"/>
      <c r="G962" s="134"/>
      <c r="H962" s="277"/>
      <c r="I962" s="277"/>
      <c r="J962" s="134"/>
      <c r="K962" s="134"/>
      <c r="L962" s="134"/>
      <c r="M962" s="280"/>
      <c r="N962" s="280"/>
      <c r="O962" s="280"/>
      <c r="P962" s="280"/>
      <c r="Q962" s="280"/>
      <c r="R962" s="280"/>
      <c r="S962" s="276"/>
      <c r="T962" s="276"/>
      <c r="U962" s="277"/>
      <c r="V962" s="134"/>
      <c r="W962" s="134"/>
      <c r="X962" s="277"/>
      <c r="Y962" s="134"/>
      <c r="Z962" s="134"/>
      <c r="AA962" s="134"/>
      <c r="AB962" s="278"/>
      <c r="AC962" s="279"/>
      <c r="AD962" s="280"/>
      <c r="AE962" s="281"/>
      <c r="AF962" s="281"/>
      <c r="AG962" s="282"/>
      <c r="AH962" s="282"/>
      <c r="AK962" s="284"/>
      <c r="AL962" s="284"/>
      <c r="AM962" s="282"/>
      <c r="AN962" s="282"/>
      <c r="AO962" s="281"/>
      <c r="AP962" s="281"/>
      <c r="AS962" s="285"/>
      <c r="AT962" s="285"/>
      <c r="AU962" s="284"/>
      <c r="AV962" s="284"/>
      <c r="AY962" s="286"/>
      <c r="AZ962" s="286"/>
      <c r="BA962" s="281"/>
      <c r="BB962" s="281"/>
    </row>
    <row r="963" spans="1:54" s="283" customFormat="1" ht="19.5" customHeight="1">
      <c r="A963" s="275"/>
      <c r="B963" s="276"/>
      <c r="C963" s="276"/>
      <c r="D963" s="276"/>
      <c r="E963" s="276"/>
      <c r="F963" s="134"/>
      <c r="G963" s="134"/>
      <c r="H963" s="277"/>
      <c r="I963" s="277"/>
      <c r="J963" s="134"/>
      <c r="K963" s="134"/>
      <c r="L963" s="134"/>
      <c r="M963" s="280"/>
      <c r="N963" s="280"/>
      <c r="O963" s="280"/>
      <c r="P963" s="280"/>
      <c r="Q963" s="280"/>
      <c r="R963" s="280"/>
      <c r="S963" s="276"/>
      <c r="T963" s="276"/>
      <c r="U963" s="277"/>
      <c r="V963" s="134"/>
      <c r="W963" s="134"/>
      <c r="X963" s="277"/>
      <c r="Y963" s="134"/>
      <c r="Z963" s="134"/>
      <c r="AA963" s="134"/>
      <c r="AB963" s="278"/>
      <c r="AC963" s="279"/>
      <c r="AD963" s="280"/>
      <c r="AE963" s="281"/>
      <c r="AF963" s="281"/>
      <c r="AG963" s="282"/>
      <c r="AH963" s="282"/>
      <c r="AK963" s="284"/>
      <c r="AL963" s="284"/>
      <c r="AM963" s="282"/>
      <c r="AN963" s="282"/>
      <c r="AO963" s="281"/>
      <c r="AP963" s="281"/>
      <c r="AS963" s="285"/>
      <c r="AT963" s="285"/>
      <c r="AU963" s="284"/>
      <c r="AV963" s="284"/>
      <c r="AY963" s="286"/>
      <c r="AZ963" s="286"/>
      <c r="BA963" s="281"/>
      <c r="BB963" s="281"/>
    </row>
    <row r="964" spans="1:54" s="283" customFormat="1" ht="19.5" customHeight="1">
      <c r="A964" s="275"/>
      <c r="B964" s="276"/>
      <c r="C964" s="276"/>
      <c r="D964" s="276"/>
      <c r="E964" s="276"/>
      <c r="F964" s="134"/>
      <c r="G964" s="134"/>
      <c r="H964" s="277"/>
      <c r="I964" s="277"/>
      <c r="J964" s="134"/>
      <c r="K964" s="134"/>
      <c r="L964" s="134"/>
      <c r="M964" s="280"/>
      <c r="N964" s="280"/>
      <c r="O964" s="280"/>
      <c r="P964" s="280"/>
      <c r="Q964" s="280"/>
      <c r="R964" s="280"/>
      <c r="S964" s="276"/>
      <c r="T964" s="276"/>
      <c r="U964" s="277"/>
      <c r="V964" s="134"/>
      <c r="W964" s="134"/>
      <c r="X964" s="277"/>
      <c r="Y964" s="134"/>
      <c r="Z964" s="134"/>
      <c r="AA964" s="134"/>
      <c r="AB964" s="278"/>
      <c r="AC964" s="279"/>
      <c r="AD964" s="280"/>
      <c r="AE964" s="281"/>
      <c r="AF964" s="281"/>
      <c r="AG964" s="282"/>
      <c r="AH964" s="282"/>
      <c r="AK964" s="284"/>
      <c r="AL964" s="284"/>
      <c r="AM964" s="282"/>
      <c r="AN964" s="282"/>
      <c r="AO964" s="281"/>
      <c r="AP964" s="281"/>
      <c r="AS964" s="285"/>
      <c r="AT964" s="285"/>
      <c r="AU964" s="284"/>
      <c r="AV964" s="284"/>
      <c r="AY964" s="286"/>
      <c r="AZ964" s="286"/>
      <c r="BA964" s="281"/>
      <c r="BB964" s="281"/>
    </row>
    <row r="965" spans="1:54" s="283" customFormat="1" ht="19.5" customHeight="1">
      <c r="A965" s="275"/>
      <c r="B965" s="276"/>
      <c r="C965" s="276"/>
      <c r="D965" s="276"/>
      <c r="E965" s="276"/>
      <c r="F965" s="134"/>
      <c r="G965" s="134"/>
      <c r="H965" s="277"/>
      <c r="I965" s="277"/>
      <c r="J965" s="134"/>
      <c r="K965" s="134"/>
      <c r="L965" s="134"/>
      <c r="M965" s="280"/>
      <c r="N965" s="280"/>
      <c r="O965" s="280"/>
      <c r="P965" s="280"/>
      <c r="Q965" s="280"/>
      <c r="R965" s="280"/>
      <c r="S965" s="276"/>
      <c r="T965" s="276"/>
      <c r="U965" s="277"/>
      <c r="V965" s="134"/>
      <c r="W965" s="134"/>
      <c r="X965" s="277"/>
      <c r="Y965" s="134"/>
      <c r="Z965" s="134"/>
      <c r="AA965" s="134"/>
      <c r="AB965" s="278"/>
      <c r="AC965" s="279"/>
      <c r="AD965" s="280"/>
      <c r="AE965" s="281"/>
      <c r="AF965" s="281"/>
      <c r="AG965" s="282"/>
      <c r="AH965" s="282"/>
      <c r="AK965" s="284"/>
      <c r="AL965" s="284"/>
      <c r="AM965" s="282"/>
      <c r="AN965" s="282"/>
      <c r="AO965" s="281"/>
      <c r="AP965" s="281"/>
      <c r="AS965" s="285"/>
      <c r="AT965" s="285"/>
      <c r="AU965" s="284"/>
      <c r="AV965" s="284"/>
      <c r="AY965" s="286"/>
      <c r="AZ965" s="286"/>
      <c r="BA965" s="281"/>
      <c r="BB965" s="281"/>
    </row>
    <row r="966" spans="1:54" s="283" customFormat="1" ht="19.5" customHeight="1">
      <c r="A966" s="275"/>
      <c r="B966" s="276"/>
      <c r="C966" s="276"/>
      <c r="D966" s="276"/>
      <c r="E966" s="276"/>
      <c r="F966" s="134"/>
      <c r="G966" s="134"/>
      <c r="H966" s="277"/>
      <c r="I966" s="277"/>
      <c r="J966" s="134"/>
      <c r="K966" s="134"/>
      <c r="L966" s="134"/>
      <c r="M966" s="280"/>
      <c r="N966" s="280"/>
      <c r="O966" s="280"/>
      <c r="P966" s="280"/>
      <c r="Q966" s="280"/>
      <c r="R966" s="280"/>
      <c r="S966" s="276"/>
      <c r="T966" s="276"/>
      <c r="U966" s="277"/>
      <c r="V966" s="134"/>
      <c r="W966" s="134"/>
      <c r="X966" s="277"/>
      <c r="Y966" s="134"/>
      <c r="Z966" s="134"/>
      <c r="AA966" s="134"/>
      <c r="AB966" s="278"/>
      <c r="AC966" s="279"/>
      <c r="AD966" s="280"/>
      <c r="AE966" s="281"/>
      <c r="AF966" s="281"/>
      <c r="AG966" s="282"/>
      <c r="AH966" s="282"/>
      <c r="AK966" s="284"/>
      <c r="AL966" s="284"/>
      <c r="AM966" s="282"/>
      <c r="AN966" s="282"/>
      <c r="AO966" s="281"/>
      <c r="AP966" s="281"/>
      <c r="AS966" s="285"/>
      <c r="AT966" s="285"/>
      <c r="AU966" s="284"/>
      <c r="AV966" s="284"/>
      <c r="AY966" s="286"/>
      <c r="AZ966" s="286"/>
      <c r="BA966" s="281"/>
      <c r="BB966" s="281"/>
    </row>
    <row r="967" spans="1:54" s="283" customFormat="1" ht="19.5" customHeight="1">
      <c r="A967" s="275"/>
      <c r="B967" s="276"/>
      <c r="C967" s="276"/>
      <c r="D967" s="276"/>
      <c r="E967" s="276"/>
      <c r="F967" s="134"/>
      <c r="G967" s="134"/>
      <c r="H967" s="277"/>
      <c r="I967" s="277"/>
      <c r="J967" s="134"/>
      <c r="K967" s="134"/>
      <c r="L967" s="134"/>
      <c r="M967" s="280"/>
      <c r="N967" s="280"/>
      <c r="O967" s="280"/>
      <c r="P967" s="280"/>
      <c r="Q967" s="280"/>
      <c r="R967" s="280"/>
      <c r="S967" s="276"/>
      <c r="T967" s="276"/>
      <c r="U967" s="277"/>
      <c r="V967" s="134"/>
      <c r="W967" s="134"/>
      <c r="X967" s="277"/>
      <c r="Y967" s="134"/>
      <c r="Z967" s="134"/>
      <c r="AA967" s="134"/>
      <c r="AB967" s="278"/>
      <c r="AC967" s="279"/>
      <c r="AD967" s="280"/>
      <c r="AE967" s="281"/>
      <c r="AF967" s="281"/>
      <c r="AG967" s="282"/>
      <c r="AH967" s="282"/>
      <c r="AK967" s="284"/>
      <c r="AL967" s="284"/>
      <c r="AM967" s="282"/>
      <c r="AN967" s="282"/>
      <c r="AO967" s="281"/>
      <c r="AP967" s="281"/>
      <c r="AS967" s="285"/>
      <c r="AT967" s="285"/>
      <c r="AU967" s="284"/>
      <c r="AV967" s="284"/>
      <c r="AY967" s="286"/>
      <c r="AZ967" s="286"/>
      <c r="BA967" s="281"/>
      <c r="BB967" s="281"/>
    </row>
    <row r="968" spans="1:54" s="283" customFormat="1" ht="19.5" customHeight="1">
      <c r="A968" s="275"/>
      <c r="B968" s="276"/>
      <c r="C968" s="276"/>
      <c r="D968" s="276"/>
      <c r="E968" s="276"/>
      <c r="F968" s="134"/>
      <c r="G968" s="134"/>
      <c r="H968" s="277"/>
      <c r="I968" s="277"/>
      <c r="J968" s="134"/>
      <c r="K968" s="134"/>
      <c r="L968" s="134"/>
      <c r="M968" s="280"/>
      <c r="N968" s="280"/>
      <c r="O968" s="280"/>
      <c r="P968" s="280"/>
      <c r="Q968" s="280"/>
      <c r="R968" s="280"/>
      <c r="S968" s="276"/>
      <c r="T968" s="276"/>
      <c r="U968" s="277"/>
      <c r="V968" s="134"/>
      <c r="W968" s="134"/>
      <c r="X968" s="277"/>
      <c r="Y968" s="134"/>
      <c r="Z968" s="134"/>
      <c r="AA968" s="134"/>
      <c r="AB968" s="278"/>
      <c r="AC968" s="279"/>
      <c r="AD968" s="280"/>
      <c r="AE968" s="281"/>
      <c r="AF968" s="281"/>
      <c r="AG968" s="282"/>
      <c r="AH968" s="282"/>
      <c r="AK968" s="284"/>
      <c r="AL968" s="284"/>
      <c r="AM968" s="282"/>
      <c r="AN968" s="282"/>
      <c r="AO968" s="281"/>
      <c r="AP968" s="281"/>
      <c r="AS968" s="285"/>
      <c r="AT968" s="285"/>
      <c r="AU968" s="284"/>
      <c r="AV968" s="284"/>
      <c r="AY968" s="286"/>
      <c r="AZ968" s="286"/>
      <c r="BA968" s="281"/>
      <c r="BB968" s="281"/>
    </row>
    <row r="969" spans="1:54" s="283" customFormat="1" ht="19.5" customHeight="1">
      <c r="A969" s="275"/>
      <c r="B969" s="276"/>
      <c r="C969" s="276"/>
      <c r="D969" s="276"/>
      <c r="E969" s="276"/>
      <c r="F969" s="134"/>
      <c r="G969" s="134"/>
      <c r="H969" s="277"/>
      <c r="I969" s="277"/>
      <c r="J969" s="134"/>
      <c r="K969" s="134"/>
      <c r="L969" s="134"/>
      <c r="M969" s="280"/>
      <c r="N969" s="280"/>
      <c r="O969" s="280"/>
      <c r="P969" s="280"/>
      <c r="Q969" s="280"/>
      <c r="R969" s="280"/>
      <c r="S969" s="276"/>
      <c r="T969" s="276"/>
      <c r="U969" s="277"/>
      <c r="V969" s="134"/>
      <c r="W969" s="134"/>
      <c r="X969" s="277"/>
      <c r="Y969" s="134"/>
      <c r="Z969" s="134"/>
      <c r="AA969" s="134"/>
      <c r="AB969" s="278"/>
      <c r="AC969" s="279"/>
      <c r="AD969" s="280"/>
      <c r="AE969" s="281"/>
      <c r="AF969" s="281"/>
      <c r="AG969" s="282"/>
      <c r="AH969" s="282"/>
      <c r="AK969" s="284"/>
      <c r="AL969" s="284"/>
      <c r="AM969" s="282"/>
      <c r="AN969" s="282"/>
      <c r="AO969" s="281"/>
      <c r="AP969" s="281"/>
      <c r="AS969" s="285"/>
      <c r="AT969" s="285"/>
      <c r="AU969" s="284"/>
      <c r="AV969" s="284"/>
      <c r="AY969" s="286"/>
      <c r="AZ969" s="286"/>
      <c r="BA969" s="281"/>
      <c r="BB969" s="281"/>
    </row>
    <row r="970" spans="1:54" s="283" customFormat="1" ht="19.5" customHeight="1">
      <c r="A970" s="275"/>
      <c r="B970" s="276"/>
      <c r="C970" s="276"/>
      <c r="D970" s="276"/>
      <c r="E970" s="276"/>
      <c r="F970" s="134"/>
      <c r="G970" s="134"/>
      <c r="H970" s="277"/>
      <c r="I970" s="277"/>
      <c r="J970" s="134"/>
      <c r="K970" s="134"/>
      <c r="L970" s="134"/>
      <c r="M970" s="280"/>
      <c r="N970" s="280"/>
      <c r="O970" s="280"/>
      <c r="P970" s="280"/>
      <c r="Q970" s="280"/>
      <c r="R970" s="280"/>
      <c r="S970" s="276"/>
      <c r="T970" s="276"/>
      <c r="U970" s="277"/>
      <c r="V970" s="134"/>
      <c r="W970" s="134"/>
      <c r="X970" s="277"/>
      <c r="Y970" s="134"/>
      <c r="Z970" s="134"/>
      <c r="AA970" s="134"/>
      <c r="AB970" s="278"/>
      <c r="AC970" s="279"/>
      <c r="AD970" s="280"/>
      <c r="AE970" s="281"/>
      <c r="AF970" s="281"/>
      <c r="AG970" s="282"/>
      <c r="AH970" s="282"/>
      <c r="AK970" s="284"/>
      <c r="AL970" s="284"/>
      <c r="AM970" s="282"/>
      <c r="AN970" s="282"/>
      <c r="AO970" s="281"/>
      <c r="AP970" s="281"/>
      <c r="AS970" s="285"/>
      <c r="AT970" s="285"/>
      <c r="AU970" s="284"/>
      <c r="AV970" s="284"/>
      <c r="AY970" s="286"/>
      <c r="AZ970" s="286"/>
      <c r="BA970" s="281"/>
      <c r="BB970" s="281"/>
    </row>
    <row r="971" spans="1:54" s="283" customFormat="1" ht="19.5" customHeight="1">
      <c r="A971" s="275"/>
      <c r="B971" s="276"/>
      <c r="C971" s="276"/>
      <c r="D971" s="276"/>
      <c r="E971" s="276"/>
      <c r="F971" s="134"/>
      <c r="G971" s="134"/>
      <c r="H971" s="277"/>
      <c r="I971" s="277"/>
      <c r="J971" s="134"/>
      <c r="K971" s="134"/>
      <c r="L971" s="134"/>
      <c r="M971" s="280"/>
      <c r="N971" s="280"/>
      <c r="O971" s="280"/>
      <c r="P971" s="280"/>
      <c r="Q971" s="280"/>
      <c r="R971" s="280"/>
      <c r="S971" s="276"/>
      <c r="T971" s="276"/>
      <c r="U971" s="277"/>
      <c r="V971" s="134"/>
      <c r="W971" s="134"/>
      <c r="X971" s="277"/>
      <c r="Y971" s="134"/>
      <c r="Z971" s="134"/>
      <c r="AA971" s="134"/>
      <c r="AB971" s="278"/>
      <c r="AC971" s="279"/>
      <c r="AD971" s="280"/>
      <c r="AE971" s="281"/>
      <c r="AF971" s="281"/>
      <c r="AG971" s="282"/>
      <c r="AH971" s="282"/>
      <c r="AK971" s="284"/>
      <c r="AL971" s="284"/>
      <c r="AM971" s="282"/>
      <c r="AN971" s="282"/>
      <c r="AO971" s="281"/>
      <c r="AP971" s="281"/>
      <c r="AS971" s="285"/>
      <c r="AT971" s="285"/>
      <c r="AU971" s="284"/>
      <c r="AV971" s="284"/>
      <c r="AY971" s="286"/>
      <c r="AZ971" s="286"/>
      <c r="BA971" s="281"/>
      <c r="BB971" s="281"/>
    </row>
    <row r="972" spans="1:54" s="283" customFormat="1" ht="19.5" customHeight="1">
      <c r="A972" s="275"/>
      <c r="B972" s="276"/>
      <c r="C972" s="276"/>
      <c r="D972" s="276"/>
      <c r="E972" s="276"/>
      <c r="F972" s="134"/>
      <c r="G972" s="134"/>
      <c r="H972" s="277"/>
      <c r="I972" s="277"/>
      <c r="J972" s="134"/>
      <c r="K972" s="134"/>
      <c r="L972" s="134"/>
      <c r="M972" s="280"/>
      <c r="N972" s="280"/>
      <c r="O972" s="280"/>
      <c r="P972" s="280"/>
      <c r="Q972" s="280"/>
      <c r="R972" s="280"/>
      <c r="S972" s="276"/>
      <c r="T972" s="276"/>
      <c r="U972" s="277"/>
      <c r="V972" s="134"/>
      <c r="W972" s="134"/>
      <c r="X972" s="277"/>
      <c r="Y972" s="134"/>
      <c r="Z972" s="134"/>
      <c r="AA972" s="134"/>
      <c r="AB972" s="278"/>
      <c r="AC972" s="279"/>
      <c r="AD972" s="280"/>
      <c r="AE972" s="281"/>
      <c r="AF972" s="281"/>
      <c r="AG972" s="282"/>
      <c r="AH972" s="282"/>
      <c r="AK972" s="284"/>
      <c r="AL972" s="284"/>
      <c r="AM972" s="282"/>
      <c r="AN972" s="282"/>
      <c r="AO972" s="281"/>
      <c r="AP972" s="281"/>
      <c r="AS972" s="285"/>
      <c r="AT972" s="285"/>
      <c r="AU972" s="284"/>
      <c r="AV972" s="284"/>
      <c r="AY972" s="286"/>
      <c r="AZ972" s="286"/>
      <c r="BA972" s="281"/>
      <c r="BB972" s="281"/>
    </row>
    <row r="973" spans="1:54" s="283" customFormat="1" ht="19.5" customHeight="1">
      <c r="A973" s="275"/>
      <c r="B973" s="276"/>
      <c r="C973" s="276"/>
      <c r="D973" s="276"/>
      <c r="E973" s="276"/>
      <c r="F973" s="134"/>
      <c r="G973" s="134"/>
      <c r="H973" s="277"/>
      <c r="I973" s="277"/>
      <c r="J973" s="134"/>
      <c r="K973" s="134"/>
      <c r="L973" s="134"/>
      <c r="M973" s="280"/>
      <c r="N973" s="280"/>
      <c r="O973" s="280"/>
      <c r="P973" s="280"/>
      <c r="Q973" s="280"/>
      <c r="R973" s="280"/>
      <c r="S973" s="276"/>
      <c r="T973" s="276"/>
      <c r="U973" s="277"/>
      <c r="V973" s="134"/>
      <c r="W973" s="134"/>
      <c r="X973" s="277"/>
      <c r="Y973" s="134"/>
      <c r="Z973" s="134"/>
      <c r="AA973" s="134"/>
      <c r="AB973" s="278"/>
      <c r="AC973" s="279"/>
      <c r="AD973" s="280"/>
      <c r="AE973" s="281"/>
      <c r="AF973" s="281"/>
      <c r="AG973" s="282"/>
      <c r="AH973" s="282"/>
      <c r="AK973" s="284"/>
      <c r="AL973" s="284"/>
      <c r="AM973" s="282"/>
      <c r="AN973" s="282"/>
      <c r="AO973" s="281"/>
      <c r="AP973" s="281"/>
      <c r="AS973" s="285"/>
      <c r="AT973" s="285"/>
      <c r="AU973" s="284"/>
      <c r="AV973" s="284"/>
      <c r="AY973" s="286"/>
      <c r="AZ973" s="286"/>
      <c r="BA973" s="281"/>
      <c r="BB973" s="281"/>
    </row>
    <row r="974" spans="1:54" s="283" customFormat="1" ht="19.5" customHeight="1">
      <c r="A974" s="275"/>
      <c r="B974" s="276"/>
      <c r="C974" s="276"/>
      <c r="D974" s="276"/>
      <c r="E974" s="276"/>
      <c r="F974" s="134"/>
      <c r="G974" s="134"/>
      <c r="H974" s="277"/>
      <c r="I974" s="277"/>
      <c r="J974" s="134"/>
      <c r="K974" s="134"/>
      <c r="L974" s="134"/>
      <c r="M974" s="280"/>
      <c r="N974" s="280"/>
      <c r="O974" s="280"/>
      <c r="P974" s="280"/>
      <c r="Q974" s="280"/>
      <c r="R974" s="280"/>
      <c r="S974" s="276"/>
      <c r="T974" s="276"/>
      <c r="U974" s="277"/>
      <c r="V974" s="134"/>
      <c r="W974" s="134"/>
      <c r="X974" s="277"/>
      <c r="Y974" s="134"/>
      <c r="Z974" s="134"/>
      <c r="AA974" s="134"/>
      <c r="AB974" s="278"/>
      <c r="AC974" s="279"/>
      <c r="AD974" s="280"/>
      <c r="AE974" s="281"/>
      <c r="AF974" s="281"/>
      <c r="AG974" s="282"/>
      <c r="AH974" s="282"/>
      <c r="AK974" s="284"/>
      <c r="AL974" s="284"/>
      <c r="AM974" s="282"/>
      <c r="AN974" s="282"/>
      <c r="AO974" s="281"/>
      <c r="AP974" s="281"/>
      <c r="AS974" s="285"/>
      <c r="AT974" s="285"/>
      <c r="AU974" s="284"/>
      <c r="AV974" s="284"/>
      <c r="AY974" s="286"/>
      <c r="AZ974" s="286"/>
      <c r="BA974" s="281"/>
      <c r="BB974" s="281"/>
    </row>
    <row r="975" spans="1:54" s="283" customFormat="1" ht="19.5" customHeight="1">
      <c r="A975" s="275"/>
      <c r="B975" s="276"/>
      <c r="C975" s="276"/>
      <c r="D975" s="276"/>
      <c r="E975" s="276"/>
      <c r="F975" s="134"/>
      <c r="G975" s="134"/>
      <c r="H975" s="277"/>
      <c r="I975" s="277"/>
      <c r="J975" s="134"/>
      <c r="K975" s="134"/>
      <c r="L975" s="134"/>
      <c r="M975" s="280"/>
      <c r="N975" s="280"/>
      <c r="O975" s="280"/>
      <c r="P975" s="280"/>
      <c r="Q975" s="280"/>
      <c r="R975" s="280"/>
      <c r="S975" s="276"/>
      <c r="T975" s="276"/>
      <c r="U975" s="277"/>
      <c r="V975" s="134"/>
      <c r="W975" s="134"/>
      <c r="X975" s="277"/>
      <c r="Y975" s="134"/>
      <c r="Z975" s="134"/>
      <c r="AA975" s="134"/>
      <c r="AB975" s="278"/>
      <c r="AC975" s="279"/>
      <c r="AD975" s="280"/>
      <c r="AE975" s="281"/>
      <c r="AF975" s="281"/>
      <c r="AG975" s="282"/>
      <c r="AH975" s="282"/>
      <c r="AK975" s="284"/>
      <c r="AL975" s="284"/>
      <c r="AM975" s="282"/>
      <c r="AN975" s="282"/>
      <c r="AO975" s="281"/>
      <c r="AP975" s="281"/>
      <c r="AS975" s="285"/>
      <c r="AT975" s="285"/>
      <c r="AU975" s="284"/>
      <c r="AV975" s="284"/>
      <c r="AY975" s="286"/>
      <c r="AZ975" s="286"/>
      <c r="BA975" s="281"/>
      <c r="BB975" s="281"/>
    </row>
    <row r="976" spans="1:54" s="283" customFormat="1" ht="19.5" customHeight="1">
      <c r="A976" s="275"/>
      <c r="B976" s="276"/>
      <c r="C976" s="276"/>
      <c r="D976" s="276"/>
      <c r="E976" s="276"/>
      <c r="F976" s="134"/>
      <c r="G976" s="134"/>
      <c r="H976" s="277"/>
      <c r="I976" s="277"/>
      <c r="J976" s="134"/>
      <c r="K976" s="134"/>
      <c r="L976" s="134"/>
      <c r="M976" s="280"/>
      <c r="N976" s="280"/>
      <c r="O976" s="280"/>
      <c r="P976" s="280"/>
      <c r="Q976" s="280"/>
      <c r="R976" s="280"/>
      <c r="S976" s="276"/>
      <c r="T976" s="276"/>
      <c r="U976" s="277"/>
      <c r="V976" s="134"/>
      <c r="W976" s="134"/>
      <c r="X976" s="277"/>
      <c r="Y976" s="134"/>
      <c r="Z976" s="134"/>
      <c r="AA976" s="134"/>
      <c r="AB976" s="278"/>
      <c r="AC976" s="279"/>
      <c r="AD976" s="280"/>
      <c r="AE976" s="281"/>
      <c r="AF976" s="281"/>
      <c r="AG976" s="282"/>
      <c r="AH976" s="282"/>
      <c r="AK976" s="284"/>
      <c r="AL976" s="284"/>
      <c r="AM976" s="282"/>
      <c r="AN976" s="282"/>
      <c r="AO976" s="281"/>
      <c r="AP976" s="281"/>
      <c r="AS976" s="285"/>
      <c r="AT976" s="285"/>
      <c r="AU976" s="284"/>
      <c r="AV976" s="284"/>
      <c r="AY976" s="286"/>
      <c r="AZ976" s="286"/>
      <c r="BA976" s="281"/>
      <c r="BB976" s="281"/>
    </row>
    <row r="977" spans="1:54" s="283" customFormat="1" ht="19.5" customHeight="1">
      <c r="A977" s="275"/>
      <c r="B977" s="276"/>
      <c r="C977" s="276"/>
      <c r="D977" s="276"/>
      <c r="E977" s="276"/>
      <c r="F977" s="134"/>
      <c r="G977" s="134"/>
      <c r="H977" s="277"/>
      <c r="I977" s="277"/>
      <c r="J977" s="134"/>
      <c r="K977" s="134"/>
      <c r="L977" s="134"/>
      <c r="M977" s="280"/>
      <c r="N977" s="280"/>
      <c r="O977" s="280"/>
      <c r="P977" s="280"/>
      <c r="Q977" s="280"/>
      <c r="R977" s="280"/>
      <c r="S977" s="276"/>
      <c r="T977" s="276"/>
      <c r="U977" s="277"/>
      <c r="V977" s="134"/>
      <c r="W977" s="134"/>
      <c r="X977" s="277"/>
      <c r="Y977" s="134"/>
      <c r="Z977" s="134"/>
      <c r="AA977" s="134"/>
      <c r="AB977" s="278"/>
      <c r="AC977" s="279"/>
      <c r="AD977" s="280"/>
      <c r="AE977" s="281"/>
      <c r="AF977" s="281"/>
      <c r="AG977" s="282"/>
      <c r="AH977" s="282"/>
      <c r="AK977" s="284"/>
      <c r="AL977" s="284"/>
      <c r="AM977" s="282"/>
      <c r="AN977" s="282"/>
      <c r="AO977" s="281"/>
      <c r="AP977" s="281"/>
      <c r="AS977" s="285"/>
      <c r="AT977" s="285"/>
      <c r="AU977" s="284"/>
      <c r="AV977" s="284"/>
      <c r="AY977" s="286"/>
      <c r="AZ977" s="286"/>
      <c r="BA977" s="281"/>
      <c r="BB977" s="281"/>
    </row>
    <row r="978" spans="1:54" s="283" customFormat="1" ht="19.5" customHeight="1">
      <c r="A978" s="275"/>
      <c r="B978" s="276"/>
      <c r="C978" s="276"/>
      <c r="D978" s="276"/>
      <c r="E978" s="276"/>
      <c r="F978" s="134"/>
      <c r="G978" s="134"/>
      <c r="H978" s="277"/>
      <c r="I978" s="277"/>
      <c r="J978" s="134"/>
      <c r="K978" s="134"/>
      <c r="L978" s="134"/>
      <c r="M978" s="280"/>
      <c r="N978" s="280"/>
      <c r="O978" s="280"/>
      <c r="P978" s="280"/>
      <c r="Q978" s="280"/>
      <c r="R978" s="280"/>
      <c r="S978" s="276"/>
      <c r="T978" s="276"/>
      <c r="U978" s="277"/>
      <c r="V978" s="134"/>
      <c r="W978" s="134"/>
      <c r="X978" s="277"/>
      <c r="Y978" s="134"/>
      <c r="Z978" s="134"/>
      <c r="AA978" s="134"/>
      <c r="AB978" s="278"/>
      <c r="AC978" s="279"/>
      <c r="AD978" s="280"/>
      <c r="AE978" s="281"/>
      <c r="AF978" s="281"/>
      <c r="AG978" s="282"/>
      <c r="AH978" s="282"/>
      <c r="AK978" s="284"/>
      <c r="AL978" s="284"/>
      <c r="AM978" s="282"/>
      <c r="AN978" s="282"/>
      <c r="AO978" s="281"/>
      <c r="AP978" s="281"/>
      <c r="AS978" s="285"/>
      <c r="AT978" s="285"/>
      <c r="AU978" s="284"/>
      <c r="AV978" s="284"/>
      <c r="AY978" s="286"/>
      <c r="AZ978" s="286"/>
      <c r="BA978" s="281"/>
      <c r="BB978" s="281"/>
    </row>
    <row r="979" spans="1:54" s="283" customFormat="1" ht="19.5" customHeight="1">
      <c r="A979" s="275"/>
      <c r="B979" s="276"/>
      <c r="C979" s="276"/>
      <c r="D979" s="276"/>
      <c r="E979" s="276"/>
      <c r="F979" s="134"/>
      <c r="G979" s="134"/>
      <c r="H979" s="277"/>
      <c r="I979" s="277"/>
      <c r="J979" s="134"/>
      <c r="K979" s="134"/>
      <c r="L979" s="134"/>
      <c r="M979" s="280"/>
      <c r="N979" s="280"/>
      <c r="O979" s="280"/>
      <c r="P979" s="280"/>
      <c r="Q979" s="280"/>
      <c r="R979" s="280"/>
      <c r="S979" s="276"/>
      <c r="T979" s="276"/>
      <c r="U979" s="277"/>
      <c r="V979" s="134"/>
      <c r="W979" s="134"/>
      <c r="X979" s="277"/>
      <c r="Y979" s="134"/>
      <c r="Z979" s="134"/>
      <c r="AA979" s="134"/>
      <c r="AB979" s="278"/>
      <c r="AC979" s="279"/>
      <c r="AD979" s="280"/>
      <c r="AE979" s="281"/>
      <c r="AF979" s="281"/>
      <c r="AG979" s="282"/>
      <c r="AH979" s="282"/>
      <c r="AK979" s="284"/>
      <c r="AL979" s="284"/>
      <c r="AM979" s="282"/>
      <c r="AN979" s="282"/>
      <c r="AO979" s="281"/>
      <c r="AP979" s="281"/>
      <c r="AS979" s="285"/>
      <c r="AT979" s="285"/>
      <c r="AU979" s="284"/>
      <c r="AV979" s="284"/>
      <c r="AY979" s="286"/>
      <c r="AZ979" s="286"/>
      <c r="BA979" s="281"/>
      <c r="BB979" s="281"/>
    </row>
    <row r="980" spans="1:54" s="283" customFormat="1" ht="19.5" customHeight="1">
      <c r="A980" s="275"/>
      <c r="B980" s="276"/>
      <c r="C980" s="276"/>
      <c r="D980" s="276"/>
      <c r="E980" s="276"/>
      <c r="F980" s="134"/>
      <c r="G980" s="134"/>
      <c r="H980" s="277"/>
      <c r="I980" s="277"/>
      <c r="J980" s="134"/>
      <c r="K980" s="134"/>
      <c r="L980" s="134"/>
      <c r="M980" s="280"/>
      <c r="N980" s="280"/>
      <c r="O980" s="280"/>
      <c r="P980" s="280"/>
      <c r="Q980" s="280"/>
      <c r="R980" s="280"/>
      <c r="S980" s="276"/>
      <c r="T980" s="276"/>
      <c r="U980" s="277"/>
      <c r="V980" s="134"/>
      <c r="W980" s="134"/>
      <c r="X980" s="277"/>
      <c r="Y980" s="134"/>
      <c r="Z980" s="134"/>
      <c r="AA980" s="134"/>
      <c r="AB980" s="278"/>
      <c r="AC980" s="279"/>
      <c r="AD980" s="280"/>
      <c r="AE980" s="281"/>
      <c r="AF980" s="281"/>
      <c r="AG980" s="282"/>
      <c r="AH980" s="282"/>
      <c r="AK980" s="284"/>
      <c r="AL980" s="284"/>
      <c r="AM980" s="282"/>
      <c r="AN980" s="282"/>
      <c r="AO980" s="281"/>
      <c r="AP980" s="281"/>
      <c r="AS980" s="285"/>
      <c r="AT980" s="285"/>
      <c r="AU980" s="284"/>
      <c r="AV980" s="284"/>
      <c r="AY980" s="286"/>
      <c r="AZ980" s="286"/>
      <c r="BA980" s="281"/>
      <c r="BB980" s="281"/>
    </row>
    <row r="981" spans="1:54" s="283" customFormat="1" ht="19.5" customHeight="1">
      <c r="A981" s="275"/>
      <c r="B981" s="276"/>
      <c r="C981" s="276"/>
      <c r="D981" s="276"/>
      <c r="E981" s="276"/>
      <c r="F981" s="134"/>
      <c r="G981" s="134"/>
      <c r="H981" s="277"/>
      <c r="I981" s="277"/>
      <c r="J981" s="134"/>
      <c r="K981" s="134"/>
      <c r="L981" s="134"/>
      <c r="M981" s="280"/>
      <c r="N981" s="280"/>
      <c r="O981" s="280"/>
      <c r="P981" s="280"/>
      <c r="Q981" s="280"/>
      <c r="R981" s="280"/>
      <c r="S981" s="276"/>
      <c r="T981" s="276"/>
      <c r="U981" s="277"/>
      <c r="V981" s="134"/>
      <c r="W981" s="134"/>
      <c r="X981" s="277"/>
      <c r="Y981" s="134"/>
      <c r="Z981" s="134"/>
      <c r="AA981" s="134"/>
      <c r="AB981" s="278"/>
      <c r="AC981" s="279"/>
      <c r="AD981" s="280"/>
      <c r="AE981" s="281"/>
      <c r="AF981" s="281"/>
      <c r="AG981" s="282"/>
      <c r="AH981" s="282"/>
      <c r="AK981" s="284"/>
      <c r="AL981" s="284"/>
      <c r="AM981" s="282"/>
      <c r="AN981" s="282"/>
      <c r="AO981" s="281"/>
      <c r="AP981" s="281"/>
      <c r="AS981" s="285"/>
      <c r="AT981" s="285"/>
      <c r="AU981" s="284"/>
      <c r="AV981" s="284"/>
      <c r="AY981" s="286"/>
      <c r="AZ981" s="286"/>
      <c r="BA981" s="281"/>
      <c r="BB981" s="281"/>
    </row>
    <row r="982" spans="1:54" s="283" customFormat="1" ht="19.5" customHeight="1">
      <c r="A982" s="275"/>
      <c r="B982" s="276"/>
      <c r="C982" s="276"/>
      <c r="D982" s="276"/>
      <c r="E982" s="276"/>
      <c r="F982" s="134"/>
      <c r="G982" s="134"/>
      <c r="H982" s="277"/>
      <c r="I982" s="277"/>
      <c r="J982" s="134"/>
      <c r="K982" s="134"/>
      <c r="L982" s="134"/>
      <c r="M982" s="280"/>
      <c r="N982" s="280"/>
      <c r="O982" s="280"/>
      <c r="P982" s="280"/>
      <c r="Q982" s="280"/>
      <c r="R982" s="280"/>
      <c r="S982" s="276"/>
      <c r="T982" s="276"/>
      <c r="U982" s="277"/>
      <c r="V982" s="134"/>
      <c r="W982" s="134"/>
      <c r="X982" s="277"/>
      <c r="Y982" s="134"/>
      <c r="Z982" s="134"/>
      <c r="AA982" s="134"/>
      <c r="AB982" s="278"/>
      <c r="AC982" s="279"/>
      <c r="AD982" s="280"/>
      <c r="AE982" s="281"/>
      <c r="AF982" s="281"/>
      <c r="AG982" s="282"/>
      <c r="AH982" s="282"/>
      <c r="AK982" s="284"/>
      <c r="AL982" s="284"/>
      <c r="AM982" s="282"/>
      <c r="AN982" s="282"/>
      <c r="AO982" s="281"/>
      <c r="AP982" s="281"/>
      <c r="AS982" s="285"/>
      <c r="AT982" s="285"/>
      <c r="AU982" s="284"/>
      <c r="AV982" s="284"/>
      <c r="AY982" s="286"/>
      <c r="AZ982" s="286"/>
      <c r="BA982" s="281"/>
      <c r="BB982" s="281"/>
    </row>
    <row r="983" spans="1:54" s="283" customFormat="1" ht="19.5" customHeight="1">
      <c r="A983" s="275"/>
      <c r="B983" s="276"/>
      <c r="C983" s="276"/>
      <c r="D983" s="276"/>
      <c r="E983" s="276"/>
      <c r="F983" s="134"/>
      <c r="G983" s="134"/>
      <c r="H983" s="277"/>
      <c r="I983" s="277"/>
      <c r="J983" s="134"/>
      <c r="K983" s="134"/>
      <c r="L983" s="134"/>
      <c r="M983" s="280"/>
      <c r="N983" s="280"/>
      <c r="O983" s="280"/>
      <c r="P983" s="280"/>
      <c r="Q983" s="280"/>
      <c r="R983" s="280"/>
      <c r="S983" s="276"/>
      <c r="T983" s="276"/>
      <c r="U983" s="277"/>
      <c r="V983" s="134"/>
      <c r="W983" s="134"/>
      <c r="X983" s="277"/>
      <c r="Y983" s="134"/>
      <c r="Z983" s="134"/>
      <c r="AA983" s="134"/>
      <c r="AB983" s="278"/>
      <c r="AC983" s="279"/>
      <c r="AD983" s="280"/>
      <c r="AE983" s="281"/>
      <c r="AF983" s="281"/>
      <c r="AG983" s="282"/>
      <c r="AH983" s="282"/>
      <c r="AK983" s="284"/>
      <c r="AL983" s="284"/>
      <c r="AM983" s="282"/>
      <c r="AN983" s="282"/>
      <c r="AO983" s="281"/>
      <c r="AP983" s="281"/>
      <c r="AS983" s="285"/>
      <c r="AT983" s="285"/>
      <c r="AU983" s="284"/>
      <c r="AV983" s="284"/>
      <c r="AY983" s="286"/>
      <c r="AZ983" s="286"/>
      <c r="BA983" s="281"/>
      <c r="BB983" s="281"/>
    </row>
    <row r="984" spans="1:54" s="283" customFormat="1" ht="19.5" customHeight="1">
      <c r="A984" s="275"/>
      <c r="B984" s="276"/>
      <c r="C984" s="276"/>
      <c r="D984" s="276"/>
      <c r="E984" s="276"/>
      <c r="F984" s="134"/>
      <c r="G984" s="134"/>
      <c r="H984" s="277"/>
      <c r="I984" s="277"/>
      <c r="J984" s="134"/>
      <c r="K984" s="134"/>
      <c r="L984" s="134"/>
      <c r="M984" s="280"/>
      <c r="N984" s="280"/>
      <c r="O984" s="280"/>
      <c r="P984" s="280"/>
      <c r="Q984" s="280"/>
      <c r="R984" s="280"/>
      <c r="S984" s="276"/>
      <c r="T984" s="276"/>
      <c r="U984" s="277"/>
      <c r="V984" s="134"/>
      <c r="W984" s="134"/>
      <c r="X984" s="277"/>
      <c r="Y984" s="134"/>
      <c r="Z984" s="134"/>
      <c r="AA984" s="134"/>
      <c r="AB984" s="278"/>
      <c r="AC984" s="279"/>
      <c r="AD984" s="280"/>
      <c r="AE984" s="281"/>
      <c r="AF984" s="281"/>
      <c r="AG984" s="282"/>
      <c r="AH984" s="282"/>
      <c r="AK984" s="284"/>
      <c r="AL984" s="284"/>
      <c r="AM984" s="282"/>
      <c r="AN984" s="282"/>
      <c r="AO984" s="281"/>
      <c r="AP984" s="281"/>
      <c r="AS984" s="285"/>
      <c r="AT984" s="285"/>
      <c r="AU984" s="284"/>
      <c r="AV984" s="284"/>
      <c r="AY984" s="286"/>
      <c r="AZ984" s="286"/>
      <c r="BA984" s="281"/>
      <c r="BB984" s="281"/>
    </row>
    <row r="985" spans="1:54" s="283" customFormat="1" ht="19.5" customHeight="1">
      <c r="A985" s="275"/>
      <c r="B985" s="276"/>
      <c r="C985" s="276"/>
      <c r="D985" s="276"/>
      <c r="E985" s="276"/>
      <c r="F985" s="134"/>
      <c r="G985" s="134"/>
      <c r="H985" s="277"/>
      <c r="I985" s="277"/>
      <c r="J985" s="134"/>
      <c r="K985" s="134"/>
      <c r="L985" s="134"/>
      <c r="M985" s="280"/>
      <c r="N985" s="280"/>
      <c r="O985" s="280"/>
      <c r="P985" s="280"/>
      <c r="Q985" s="280"/>
      <c r="R985" s="280"/>
      <c r="S985" s="276"/>
      <c r="T985" s="276"/>
      <c r="U985" s="277"/>
      <c r="V985" s="134"/>
      <c r="W985" s="134"/>
      <c r="X985" s="277"/>
      <c r="Y985" s="134"/>
      <c r="Z985" s="134"/>
      <c r="AA985" s="134"/>
      <c r="AB985" s="278"/>
      <c r="AC985" s="279"/>
      <c r="AD985" s="280"/>
      <c r="AE985" s="281"/>
      <c r="AF985" s="281"/>
      <c r="AG985" s="282"/>
      <c r="AH985" s="282"/>
      <c r="AK985" s="284"/>
      <c r="AL985" s="284"/>
      <c r="AM985" s="282"/>
      <c r="AN985" s="282"/>
      <c r="AO985" s="281"/>
      <c r="AP985" s="281"/>
      <c r="AS985" s="285"/>
      <c r="AT985" s="285"/>
      <c r="AU985" s="284"/>
      <c r="AV985" s="284"/>
      <c r="AY985" s="286"/>
      <c r="AZ985" s="286"/>
      <c r="BA985" s="281"/>
      <c r="BB985" s="281"/>
    </row>
    <row r="986" spans="1:54" s="283" customFormat="1" ht="19.5" customHeight="1">
      <c r="A986" s="275"/>
      <c r="B986" s="276"/>
      <c r="C986" s="276"/>
      <c r="D986" s="276"/>
      <c r="E986" s="276"/>
      <c r="F986" s="134"/>
      <c r="G986" s="134"/>
      <c r="H986" s="277"/>
      <c r="I986" s="277"/>
      <c r="J986" s="134"/>
      <c r="K986" s="134"/>
      <c r="L986" s="134"/>
      <c r="M986" s="280"/>
      <c r="N986" s="280"/>
      <c r="O986" s="280"/>
      <c r="P986" s="280"/>
      <c r="Q986" s="280"/>
      <c r="R986" s="280"/>
      <c r="S986" s="276"/>
      <c r="T986" s="276"/>
      <c r="U986" s="277"/>
      <c r="V986" s="134"/>
      <c r="W986" s="134"/>
      <c r="X986" s="277"/>
      <c r="Y986" s="134"/>
      <c r="Z986" s="134"/>
      <c r="AA986" s="134"/>
      <c r="AB986" s="278"/>
      <c r="AC986" s="279"/>
      <c r="AD986" s="280"/>
      <c r="AE986" s="281"/>
      <c r="AF986" s="281"/>
      <c r="AG986" s="282"/>
      <c r="AH986" s="282"/>
      <c r="AK986" s="284"/>
      <c r="AL986" s="284"/>
      <c r="AM986" s="282"/>
      <c r="AN986" s="282"/>
      <c r="AO986" s="281"/>
      <c r="AP986" s="281"/>
      <c r="AS986" s="285"/>
      <c r="AT986" s="285"/>
      <c r="AU986" s="284"/>
      <c r="AV986" s="284"/>
      <c r="AY986" s="286"/>
      <c r="AZ986" s="286"/>
      <c r="BA986" s="281"/>
      <c r="BB986" s="281"/>
    </row>
    <row r="987" spans="1:54" s="283" customFormat="1" ht="19.5" customHeight="1">
      <c r="A987" s="275"/>
      <c r="B987" s="276"/>
      <c r="C987" s="276"/>
      <c r="D987" s="276"/>
      <c r="E987" s="276"/>
      <c r="F987" s="134"/>
      <c r="G987" s="134"/>
      <c r="H987" s="277"/>
      <c r="I987" s="277"/>
      <c r="J987" s="134"/>
      <c r="K987" s="134"/>
      <c r="L987" s="134"/>
      <c r="M987" s="280"/>
      <c r="N987" s="280"/>
      <c r="O987" s="280"/>
      <c r="P987" s="280"/>
      <c r="Q987" s="280"/>
      <c r="R987" s="280"/>
      <c r="S987" s="276"/>
      <c r="T987" s="276"/>
      <c r="U987" s="277"/>
      <c r="V987" s="134"/>
      <c r="W987" s="134"/>
      <c r="X987" s="277"/>
      <c r="Y987" s="134"/>
      <c r="Z987" s="134"/>
      <c r="AA987" s="134"/>
      <c r="AB987" s="278"/>
      <c r="AC987" s="279"/>
      <c r="AD987" s="280"/>
      <c r="AE987" s="281"/>
      <c r="AF987" s="281"/>
      <c r="AG987" s="282"/>
      <c r="AH987" s="282"/>
      <c r="AK987" s="284"/>
      <c r="AL987" s="284"/>
      <c r="AM987" s="282"/>
      <c r="AN987" s="282"/>
      <c r="AO987" s="281"/>
      <c r="AP987" s="281"/>
      <c r="AS987" s="285"/>
      <c r="AT987" s="285"/>
      <c r="AU987" s="284"/>
      <c r="AV987" s="284"/>
      <c r="AY987" s="286"/>
      <c r="AZ987" s="286"/>
      <c r="BA987" s="281"/>
      <c r="BB987" s="281"/>
    </row>
    <row r="988" spans="1:54" s="283" customFormat="1" ht="19.5" customHeight="1">
      <c r="A988" s="275"/>
      <c r="B988" s="276"/>
      <c r="C988" s="276"/>
      <c r="D988" s="276"/>
      <c r="E988" s="276"/>
      <c r="F988" s="134"/>
      <c r="G988" s="134"/>
      <c r="H988" s="277"/>
      <c r="I988" s="277"/>
      <c r="J988" s="134"/>
      <c r="K988" s="134"/>
      <c r="L988" s="134"/>
      <c r="M988" s="280"/>
      <c r="N988" s="280"/>
      <c r="O988" s="280"/>
      <c r="P988" s="280"/>
      <c r="Q988" s="280"/>
      <c r="R988" s="280"/>
      <c r="S988" s="276"/>
      <c r="T988" s="276"/>
      <c r="U988" s="277"/>
      <c r="V988" s="134"/>
      <c r="W988" s="134"/>
      <c r="X988" s="277"/>
      <c r="Y988" s="134"/>
      <c r="Z988" s="134"/>
      <c r="AA988" s="134"/>
      <c r="AB988" s="278"/>
      <c r="AC988" s="279"/>
      <c r="AD988" s="280"/>
      <c r="AE988" s="281"/>
      <c r="AF988" s="281"/>
      <c r="AG988" s="282"/>
      <c r="AH988" s="282"/>
      <c r="AK988" s="284"/>
      <c r="AL988" s="284"/>
      <c r="AM988" s="282"/>
      <c r="AN988" s="282"/>
      <c r="AO988" s="281"/>
      <c r="AP988" s="281"/>
      <c r="AS988" s="285"/>
      <c r="AT988" s="285"/>
      <c r="AU988" s="284"/>
      <c r="AV988" s="284"/>
      <c r="AY988" s="286"/>
      <c r="AZ988" s="286"/>
      <c r="BA988" s="281"/>
      <c r="BB988" s="281"/>
    </row>
    <row r="989" spans="1:54" s="283" customFormat="1" ht="19.5" customHeight="1">
      <c r="A989" s="275"/>
      <c r="B989" s="276"/>
      <c r="C989" s="276"/>
      <c r="D989" s="276"/>
      <c r="E989" s="276"/>
      <c r="F989" s="134"/>
      <c r="G989" s="134"/>
      <c r="H989" s="277"/>
      <c r="I989" s="277"/>
      <c r="J989" s="134"/>
      <c r="K989" s="134"/>
      <c r="L989" s="134"/>
      <c r="M989" s="280"/>
      <c r="N989" s="280"/>
      <c r="O989" s="280"/>
      <c r="P989" s="280"/>
      <c r="Q989" s="280"/>
      <c r="R989" s="280"/>
      <c r="S989" s="276"/>
      <c r="T989" s="276"/>
      <c r="U989" s="277"/>
      <c r="V989" s="134"/>
      <c r="W989" s="134"/>
      <c r="X989" s="277"/>
      <c r="Y989" s="134"/>
      <c r="Z989" s="134"/>
      <c r="AA989" s="134"/>
      <c r="AB989" s="278"/>
      <c r="AC989" s="279"/>
      <c r="AD989" s="280"/>
      <c r="AE989" s="281"/>
      <c r="AF989" s="281"/>
      <c r="AG989" s="282"/>
      <c r="AH989" s="282"/>
      <c r="AK989" s="284"/>
      <c r="AL989" s="284"/>
      <c r="AM989" s="282"/>
      <c r="AN989" s="282"/>
      <c r="AO989" s="281"/>
      <c r="AP989" s="281"/>
      <c r="AS989" s="285"/>
      <c r="AT989" s="285"/>
      <c r="AU989" s="284"/>
      <c r="AV989" s="284"/>
      <c r="AY989" s="286"/>
      <c r="AZ989" s="286"/>
      <c r="BA989" s="281"/>
      <c r="BB989" s="281"/>
    </row>
    <row r="990" spans="1:54" s="283" customFormat="1" ht="19.5" customHeight="1">
      <c r="A990" s="275"/>
      <c r="B990" s="276"/>
      <c r="C990" s="276"/>
      <c r="D990" s="276"/>
      <c r="E990" s="276"/>
      <c r="F990" s="134"/>
      <c r="G990" s="134"/>
      <c r="H990" s="277"/>
      <c r="I990" s="277"/>
      <c r="J990" s="134"/>
      <c r="K990" s="134"/>
      <c r="L990" s="134"/>
      <c r="M990" s="280"/>
      <c r="N990" s="280"/>
      <c r="O990" s="280"/>
      <c r="P990" s="280"/>
      <c r="Q990" s="280"/>
      <c r="R990" s="280"/>
      <c r="S990" s="276"/>
      <c r="T990" s="276"/>
      <c r="U990" s="277"/>
      <c r="V990" s="134"/>
      <c r="W990" s="134"/>
      <c r="X990" s="277"/>
      <c r="Y990" s="134"/>
      <c r="Z990" s="134"/>
      <c r="AA990" s="134"/>
      <c r="AB990" s="278"/>
      <c r="AC990" s="279"/>
      <c r="AD990" s="280"/>
      <c r="AE990" s="281"/>
      <c r="AF990" s="281"/>
      <c r="AG990" s="282"/>
      <c r="AH990" s="282"/>
      <c r="AK990" s="284"/>
      <c r="AL990" s="284"/>
      <c r="AM990" s="282"/>
      <c r="AN990" s="282"/>
      <c r="AO990" s="281"/>
      <c r="AP990" s="281"/>
      <c r="AS990" s="285"/>
      <c r="AT990" s="285"/>
      <c r="AU990" s="284"/>
      <c r="AV990" s="284"/>
      <c r="AY990" s="286"/>
      <c r="AZ990" s="286"/>
      <c r="BA990" s="281"/>
      <c r="BB990" s="281"/>
    </row>
    <row r="991" spans="1:54" s="283" customFormat="1" ht="19.5" customHeight="1">
      <c r="A991" s="275"/>
      <c r="B991" s="276"/>
      <c r="C991" s="276"/>
      <c r="D991" s="276"/>
      <c r="E991" s="276"/>
      <c r="F991" s="134"/>
      <c r="G991" s="134"/>
      <c r="H991" s="277"/>
      <c r="I991" s="277"/>
      <c r="J991" s="134"/>
      <c r="K991" s="134"/>
      <c r="L991" s="134"/>
      <c r="M991" s="280"/>
      <c r="N991" s="280"/>
      <c r="O991" s="280"/>
      <c r="P991" s="280"/>
      <c r="Q991" s="280"/>
      <c r="R991" s="280"/>
      <c r="S991" s="276"/>
      <c r="T991" s="276"/>
      <c r="U991" s="277"/>
      <c r="V991" s="134"/>
      <c r="W991" s="134"/>
      <c r="X991" s="277"/>
      <c r="Y991" s="134"/>
      <c r="Z991" s="134"/>
      <c r="AA991" s="134"/>
      <c r="AB991" s="278"/>
      <c r="AC991" s="279"/>
      <c r="AD991" s="280"/>
      <c r="AE991" s="281"/>
      <c r="AF991" s="281"/>
      <c r="AG991" s="282"/>
      <c r="AH991" s="282"/>
      <c r="AK991" s="284"/>
      <c r="AL991" s="284"/>
      <c r="AM991" s="282"/>
      <c r="AN991" s="282"/>
      <c r="AO991" s="281"/>
      <c r="AP991" s="281"/>
      <c r="AS991" s="285"/>
      <c r="AT991" s="285"/>
      <c r="AU991" s="284"/>
      <c r="AV991" s="284"/>
      <c r="AY991" s="286"/>
      <c r="AZ991" s="286"/>
      <c r="BA991" s="281"/>
      <c r="BB991" s="281"/>
    </row>
    <row r="992" spans="1:54" s="283" customFormat="1" ht="19.5" customHeight="1">
      <c r="A992" s="275"/>
      <c r="B992" s="276"/>
      <c r="C992" s="276"/>
      <c r="D992" s="276"/>
      <c r="E992" s="276"/>
      <c r="F992" s="134"/>
      <c r="G992" s="134"/>
      <c r="H992" s="277"/>
      <c r="I992" s="277"/>
      <c r="J992" s="134"/>
      <c r="K992" s="134"/>
      <c r="L992" s="134"/>
      <c r="M992" s="280"/>
      <c r="N992" s="280"/>
      <c r="O992" s="280"/>
      <c r="P992" s="280"/>
      <c r="Q992" s="280"/>
      <c r="R992" s="280"/>
      <c r="S992" s="276"/>
      <c r="T992" s="276"/>
      <c r="U992" s="277"/>
      <c r="V992" s="134"/>
      <c r="W992" s="134"/>
      <c r="X992" s="277"/>
      <c r="Y992" s="134"/>
      <c r="Z992" s="134"/>
      <c r="AA992" s="134"/>
      <c r="AB992" s="278"/>
      <c r="AC992" s="279"/>
      <c r="AD992" s="280"/>
      <c r="AE992" s="281"/>
      <c r="AF992" s="281"/>
      <c r="AG992" s="282"/>
      <c r="AH992" s="282"/>
      <c r="AK992" s="284"/>
      <c r="AL992" s="284"/>
      <c r="AM992" s="282"/>
      <c r="AN992" s="282"/>
      <c r="AO992" s="281"/>
      <c r="AP992" s="281"/>
      <c r="AS992" s="285"/>
      <c r="AT992" s="285"/>
      <c r="AU992" s="284"/>
      <c r="AV992" s="284"/>
      <c r="AY992" s="286"/>
      <c r="AZ992" s="286"/>
      <c r="BA992" s="281"/>
      <c r="BB992" s="281"/>
    </row>
    <row r="993" spans="1:54" s="283" customFormat="1" ht="19.5" customHeight="1">
      <c r="A993" s="275"/>
      <c r="B993" s="276"/>
      <c r="C993" s="276"/>
      <c r="D993" s="276"/>
      <c r="E993" s="276"/>
      <c r="F993" s="134"/>
      <c r="G993" s="134"/>
      <c r="H993" s="277"/>
      <c r="I993" s="277"/>
      <c r="J993" s="134"/>
      <c r="K993" s="134"/>
      <c r="L993" s="134"/>
      <c r="M993" s="280"/>
      <c r="N993" s="280"/>
      <c r="O993" s="280"/>
      <c r="P993" s="280"/>
      <c r="Q993" s="280"/>
      <c r="R993" s="280"/>
      <c r="S993" s="276"/>
      <c r="T993" s="276"/>
      <c r="U993" s="277"/>
      <c r="V993" s="134"/>
      <c r="W993" s="134"/>
      <c r="X993" s="277"/>
      <c r="Y993" s="134"/>
      <c r="Z993" s="134"/>
      <c r="AA993" s="134"/>
      <c r="AB993" s="278"/>
      <c r="AC993" s="279"/>
      <c r="AD993" s="280"/>
      <c r="AE993" s="281"/>
      <c r="AF993" s="281"/>
      <c r="AG993" s="282"/>
      <c r="AH993" s="282"/>
      <c r="AK993" s="284"/>
      <c r="AL993" s="284"/>
      <c r="AM993" s="282"/>
      <c r="AN993" s="282"/>
      <c r="AO993" s="281"/>
      <c r="AP993" s="281"/>
      <c r="AS993" s="285"/>
      <c r="AT993" s="285"/>
      <c r="AU993" s="284"/>
      <c r="AV993" s="284"/>
      <c r="AY993" s="286"/>
      <c r="AZ993" s="286"/>
      <c r="BA993" s="281"/>
      <c r="BB993" s="281"/>
    </row>
    <row r="994" spans="1:54" s="283" customFormat="1" ht="19.5" customHeight="1">
      <c r="A994" s="275"/>
      <c r="B994" s="276"/>
      <c r="C994" s="276"/>
      <c r="D994" s="276"/>
      <c r="E994" s="276"/>
      <c r="F994" s="134"/>
      <c r="G994" s="134"/>
      <c r="H994" s="277"/>
      <c r="I994" s="277"/>
      <c r="J994" s="134"/>
      <c r="K994" s="134"/>
      <c r="L994" s="134"/>
      <c r="M994" s="280"/>
      <c r="N994" s="280"/>
      <c r="O994" s="280"/>
      <c r="P994" s="280"/>
      <c r="Q994" s="280"/>
      <c r="R994" s="280"/>
      <c r="S994" s="276"/>
      <c r="T994" s="276"/>
      <c r="U994" s="277"/>
      <c r="V994" s="134"/>
      <c r="W994" s="134"/>
      <c r="X994" s="277"/>
      <c r="Y994" s="134"/>
      <c r="Z994" s="134"/>
      <c r="AA994" s="134"/>
      <c r="AB994" s="278"/>
      <c r="AC994" s="279"/>
      <c r="AD994" s="280"/>
      <c r="AE994" s="281"/>
      <c r="AF994" s="281"/>
      <c r="AG994" s="282"/>
      <c r="AH994" s="282"/>
      <c r="AK994" s="284"/>
      <c r="AL994" s="284"/>
      <c r="AM994" s="282"/>
      <c r="AN994" s="282"/>
      <c r="AO994" s="281"/>
      <c r="AP994" s="281"/>
      <c r="AS994" s="285"/>
      <c r="AT994" s="285"/>
      <c r="AU994" s="284"/>
      <c r="AV994" s="284"/>
      <c r="AY994" s="286"/>
      <c r="AZ994" s="286"/>
      <c r="BA994" s="281"/>
      <c r="BB994" s="281"/>
    </row>
    <row r="995" spans="1:54" s="283" customFormat="1" ht="19.5" customHeight="1">
      <c r="A995" s="275"/>
      <c r="B995" s="276"/>
      <c r="C995" s="276"/>
      <c r="D995" s="276"/>
      <c r="E995" s="276"/>
      <c r="F995" s="134"/>
      <c r="G995" s="134"/>
      <c r="H995" s="277"/>
      <c r="I995" s="277"/>
      <c r="J995" s="134"/>
      <c r="K995" s="134"/>
      <c r="L995" s="134"/>
      <c r="M995" s="280"/>
      <c r="N995" s="280"/>
      <c r="O995" s="280"/>
      <c r="P995" s="280"/>
      <c r="Q995" s="280"/>
      <c r="R995" s="280"/>
      <c r="S995" s="276"/>
      <c r="T995" s="276"/>
      <c r="U995" s="277"/>
      <c r="V995" s="134"/>
      <c r="W995" s="134"/>
      <c r="X995" s="277"/>
      <c r="Y995" s="134"/>
      <c r="Z995" s="134"/>
      <c r="AA995" s="134"/>
      <c r="AB995" s="278"/>
      <c r="AC995" s="279"/>
      <c r="AD995" s="280"/>
      <c r="AE995" s="281"/>
      <c r="AF995" s="281"/>
      <c r="AG995" s="282"/>
      <c r="AH995" s="282"/>
      <c r="AK995" s="284"/>
      <c r="AL995" s="284"/>
      <c r="AM995" s="282"/>
      <c r="AN995" s="282"/>
      <c r="AO995" s="281"/>
      <c r="AP995" s="281"/>
      <c r="AS995" s="285"/>
      <c r="AT995" s="285"/>
      <c r="AU995" s="284"/>
      <c r="AV995" s="284"/>
      <c r="AY995" s="286"/>
      <c r="AZ995" s="286"/>
      <c r="BA995" s="281"/>
      <c r="BB995" s="281"/>
    </row>
    <row r="996" spans="1:54" s="283" customFormat="1" ht="19.5" customHeight="1">
      <c r="A996" s="275"/>
      <c r="B996" s="276"/>
      <c r="C996" s="276"/>
      <c r="D996" s="276"/>
      <c r="E996" s="276"/>
      <c r="F996" s="134"/>
      <c r="G996" s="134"/>
      <c r="H996" s="277"/>
      <c r="I996" s="277"/>
      <c r="J996" s="134"/>
      <c r="K996" s="134"/>
      <c r="L996" s="134"/>
      <c r="M996" s="280"/>
      <c r="N996" s="280"/>
      <c r="O996" s="280"/>
      <c r="P996" s="280"/>
      <c r="Q996" s="280"/>
      <c r="R996" s="280"/>
      <c r="S996" s="276"/>
      <c r="T996" s="276"/>
      <c r="U996" s="277"/>
      <c r="V996" s="134"/>
      <c r="W996" s="134"/>
      <c r="X996" s="277"/>
      <c r="Y996" s="134"/>
      <c r="Z996" s="134"/>
      <c r="AA996" s="134"/>
      <c r="AB996" s="278"/>
      <c r="AC996" s="279"/>
      <c r="AD996" s="280"/>
      <c r="AE996" s="281"/>
      <c r="AF996" s="281"/>
      <c r="AG996" s="282"/>
      <c r="AH996" s="282"/>
      <c r="AK996" s="284"/>
      <c r="AL996" s="284"/>
      <c r="AM996" s="282"/>
      <c r="AN996" s="282"/>
      <c r="AO996" s="281"/>
      <c r="AP996" s="281"/>
      <c r="AS996" s="285"/>
      <c r="AT996" s="285"/>
      <c r="AU996" s="284"/>
      <c r="AV996" s="284"/>
      <c r="AY996" s="286"/>
      <c r="AZ996" s="286"/>
      <c r="BA996" s="281"/>
      <c r="BB996" s="281"/>
    </row>
    <row r="997" spans="1:54" s="283" customFormat="1" ht="19.5" customHeight="1">
      <c r="A997" s="275"/>
      <c r="B997" s="276"/>
      <c r="C997" s="276"/>
      <c r="D997" s="276"/>
      <c r="E997" s="276"/>
      <c r="F997" s="134"/>
      <c r="G997" s="134"/>
      <c r="H997" s="277"/>
      <c r="I997" s="277"/>
      <c r="J997" s="134"/>
      <c r="K997" s="134"/>
      <c r="L997" s="134"/>
      <c r="M997" s="280"/>
      <c r="N997" s="280"/>
      <c r="O997" s="280"/>
      <c r="P997" s="280"/>
      <c r="Q997" s="280"/>
      <c r="R997" s="280"/>
      <c r="S997" s="276"/>
      <c r="T997" s="276"/>
      <c r="U997" s="277"/>
      <c r="V997" s="134"/>
      <c r="W997" s="134"/>
      <c r="X997" s="277"/>
      <c r="Y997" s="134"/>
      <c r="Z997" s="134"/>
      <c r="AA997" s="134"/>
      <c r="AB997" s="278"/>
      <c r="AC997" s="279"/>
      <c r="AD997" s="280"/>
      <c r="AE997" s="281"/>
      <c r="AF997" s="281"/>
      <c r="AG997" s="282"/>
      <c r="AH997" s="282"/>
      <c r="AK997" s="284"/>
      <c r="AL997" s="284"/>
      <c r="AM997" s="282"/>
      <c r="AN997" s="282"/>
      <c r="AO997" s="281"/>
      <c r="AP997" s="281"/>
      <c r="AS997" s="285"/>
      <c r="AT997" s="285"/>
      <c r="AU997" s="284"/>
      <c r="AV997" s="284"/>
      <c r="AY997" s="286"/>
      <c r="AZ997" s="286"/>
      <c r="BA997" s="281"/>
      <c r="BB997" s="281"/>
    </row>
    <row r="998" spans="1:54" s="283" customFormat="1" ht="19.5" customHeight="1">
      <c r="A998" s="275"/>
      <c r="B998" s="276"/>
      <c r="C998" s="276"/>
      <c r="D998" s="276"/>
      <c r="E998" s="276"/>
      <c r="F998" s="134"/>
      <c r="G998" s="134"/>
      <c r="H998" s="277"/>
      <c r="I998" s="277"/>
      <c r="J998" s="134"/>
      <c r="K998" s="134"/>
      <c r="L998" s="134"/>
      <c r="M998" s="280"/>
      <c r="N998" s="280"/>
      <c r="O998" s="280"/>
      <c r="P998" s="280"/>
      <c r="Q998" s="280"/>
      <c r="R998" s="280"/>
      <c r="S998" s="276"/>
      <c r="T998" s="276"/>
      <c r="U998" s="277"/>
      <c r="V998" s="134"/>
      <c r="W998" s="134"/>
      <c r="X998" s="277"/>
      <c r="Y998" s="134"/>
      <c r="Z998" s="134"/>
      <c r="AA998" s="134"/>
      <c r="AB998" s="278"/>
      <c r="AC998" s="279"/>
      <c r="AD998" s="280"/>
      <c r="AE998" s="281"/>
      <c r="AF998" s="281"/>
      <c r="AG998" s="282"/>
      <c r="AH998" s="282"/>
      <c r="AK998" s="284"/>
      <c r="AL998" s="284"/>
      <c r="AM998" s="282"/>
      <c r="AN998" s="282"/>
      <c r="AO998" s="281"/>
      <c r="AP998" s="281"/>
      <c r="AS998" s="285"/>
      <c r="AT998" s="285"/>
      <c r="AU998" s="284"/>
      <c r="AV998" s="284"/>
      <c r="AY998" s="286"/>
      <c r="AZ998" s="286"/>
      <c r="BA998" s="281"/>
      <c r="BB998" s="281"/>
    </row>
    <row r="999" spans="1:54" s="283" customFormat="1" ht="19.5" customHeight="1">
      <c r="A999" s="275"/>
      <c r="B999" s="276"/>
      <c r="C999" s="276"/>
      <c r="D999" s="276"/>
      <c r="E999" s="276"/>
      <c r="F999" s="134"/>
      <c r="G999" s="134"/>
      <c r="H999" s="277"/>
      <c r="I999" s="277"/>
      <c r="J999" s="134"/>
      <c r="K999" s="134"/>
      <c r="L999" s="134"/>
      <c r="M999" s="280"/>
      <c r="N999" s="280"/>
      <c r="O999" s="280"/>
      <c r="P999" s="280"/>
      <c r="Q999" s="280"/>
      <c r="R999" s="280"/>
      <c r="S999" s="276"/>
      <c r="T999" s="276"/>
      <c r="U999" s="277"/>
      <c r="V999" s="134"/>
      <c r="W999" s="134"/>
      <c r="X999" s="277"/>
      <c r="Y999" s="134"/>
      <c r="Z999" s="134"/>
      <c r="AA999" s="134"/>
      <c r="AB999" s="278"/>
      <c r="AC999" s="279"/>
      <c r="AD999" s="280"/>
      <c r="AE999" s="281"/>
      <c r="AF999" s="281"/>
      <c r="AG999" s="282"/>
      <c r="AH999" s="282"/>
      <c r="AK999" s="284"/>
      <c r="AL999" s="284"/>
      <c r="AM999" s="282"/>
      <c r="AN999" s="282"/>
      <c r="AO999" s="281"/>
      <c r="AP999" s="281"/>
      <c r="AS999" s="285"/>
      <c r="AT999" s="285"/>
      <c r="AU999" s="284"/>
      <c r="AV999" s="284"/>
      <c r="AY999" s="286"/>
      <c r="AZ999" s="286"/>
      <c r="BA999" s="281"/>
      <c r="BB999" s="281"/>
    </row>
    <row r="1000" spans="1:54" s="283" customFormat="1" ht="19.5" customHeight="1">
      <c r="A1000" s="275"/>
      <c r="B1000" s="276"/>
      <c r="C1000" s="276"/>
      <c r="D1000" s="276"/>
      <c r="E1000" s="276"/>
      <c r="F1000" s="134"/>
      <c r="G1000" s="134"/>
      <c r="H1000" s="277"/>
      <c r="I1000" s="277"/>
      <c r="J1000" s="134"/>
      <c r="K1000" s="134"/>
      <c r="L1000" s="134"/>
      <c r="M1000" s="280"/>
      <c r="N1000" s="280"/>
      <c r="O1000" s="280"/>
      <c r="P1000" s="280"/>
      <c r="Q1000" s="280"/>
      <c r="R1000" s="280"/>
      <c r="S1000" s="276"/>
      <c r="T1000" s="276"/>
      <c r="U1000" s="277"/>
      <c r="V1000" s="134"/>
      <c r="W1000" s="134"/>
      <c r="X1000" s="277"/>
      <c r="Y1000" s="134"/>
      <c r="Z1000" s="134"/>
      <c r="AA1000" s="134"/>
      <c r="AB1000" s="278"/>
      <c r="AC1000" s="279"/>
      <c r="AD1000" s="280"/>
      <c r="AE1000" s="281"/>
      <c r="AF1000" s="281"/>
      <c r="AG1000" s="282"/>
      <c r="AH1000" s="282"/>
      <c r="AK1000" s="284"/>
      <c r="AL1000" s="284"/>
      <c r="AM1000" s="282"/>
      <c r="AN1000" s="282"/>
      <c r="AO1000" s="281"/>
      <c r="AP1000" s="281"/>
      <c r="AS1000" s="285"/>
      <c r="AT1000" s="285"/>
      <c r="AU1000" s="284"/>
      <c r="AV1000" s="284"/>
      <c r="AY1000" s="286"/>
      <c r="AZ1000" s="286"/>
      <c r="BA1000" s="281"/>
      <c r="BB1000" s="281"/>
    </row>
    <row r="1001" spans="1:54" s="283" customFormat="1" ht="19.5" customHeight="1">
      <c r="A1001" s="275"/>
      <c r="B1001" s="276"/>
      <c r="C1001" s="276"/>
      <c r="D1001" s="276"/>
      <c r="E1001" s="276"/>
      <c r="F1001" s="134"/>
      <c r="G1001" s="134"/>
      <c r="H1001" s="277"/>
      <c r="I1001" s="277"/>
      <c r="J1001" s="134"/>
      <c r="K1001" s="134"/>
      <c r="L1001" s="134"/>
      <c r="M1001" s="280"/>
      <c r="N1001" s="280"/>
      <c r="O1001" s="280"/>
      <c r="P1001" s="280"/>
      <c r="Q1001" s="280"/>
      <c r="R1001" s="280"/>
      <c r="S1001" s="276"/>
      <c r="T1001" s="276"/>
      <c r="U1001" s="277"/>
      <c r="V1001" s="134"/>
      <c r="W1001" s="134"/>
      <c r="X1001" s="277"/>
      <c r="Y1001" s="134"/>
      <c r="Z1001" s="134"/>
      <c r="AA1001" s="134"/>
      <c r="AB1001" s="278"/>
      <c r="AC1001" s="279"/>
      <c r="AD1001" s="280"/>
      <c r="AE1001" s="281"/>
      <c r="AF1001" s="281"/>
      <c r="AG1001" s="282"/>
      <c r="AH1001" s="282"/>
      <c r="AK1001" s="284"/>
      <c r="AL1001" s="284"/>
      <c r="AM1001" s="282"/>
      <c r="AN1001" s="282"/>
      <c r="AO1001" s="281"/>
      <c r="AP1001" s="281"/>
      <c r="AS1001" s="285"/>
      <c r="AT1001" s="285"/>
      <c r="AU1001" s="284"/>
      <c r="AV1001" s="284"/>
      <c r="AY1001" s="286"/>
      <c r="AZ1001" s="286"/>
      <c r="BA1001" s="281"/>
      <c r="BB1001" s="281"/>
    </row>
    <row r="1002" spans="1:54" s="283" customFormat="1" ht="19.5" customHeight="1">
      <c r="A1002" s="275"/>
      <c r="B1002" s="276"/>
      <c r="C1002" s="276"/>
      <c r="D1002" s="276"/>
      <c r="E1002" s="276"/>
      <c r="F1002" s="134"/>
      <c r="G1002" s="134"/>
      <c r="H1002" s="277"/>
      <c r="I1002" s="277"/>
      <c r="J1002" s="134"/>
      <c r="K1002" s="134"/>
      <c r="L1002" s="134"/>
      <c r="M1002" s="280"/>
      <c r="N1002" s="280"/>
      <c r="O1002" s="280"/>
      <c r="P1002" s="280"/>
      <c r="Q1002" s="280"/>
      <c r="R1002" s="280"/>
      <c r="S1002" s="276"/>
      <c r="T1002" s="276"/>
      <c r="U1002" s="277"/>
      <c r="V1002" s="134"/>
      <c r="W1002" s="134"/>
      <c r="X1002" s="277"/>
      <c r="Y1002" s="134"/>
      <c r="Z1002" s="134"/>
      <c r="AA1002" s="134"/>
      <c r="AB1002" s="278"/>
      <c r="AC1002" s="279"/>
      <c r="AD1002" s="280"/>
      <c r="AE1002" s="281"/>
      <c r="AF1002" s="281"/>
      <c r="AG1002" s="282"/>
      <c r="AH1002" s="282"/>
      <c r="AK1002" s="284"/>
      <c r="AL1002" s="284"/>
      <c r="AM1002" s="282"/>
      <c r="AN1002" s="282"/>
      <c r="AO1002" s="281"/>
      <c r="AP1002" s="281"/>
      <c r="AS1002" s="285"/>
      <c r="AT1002" s="285"/>
      <c r="AU1002" s="284"/>
      <c r="AV1002" s="284"/>
      <c r="AY1002" s="286"/>
      <c r="AZ1002" s="286"/>
      <c r="BA1002" s="281"/>
      <c r="BB1002" s="281"/>
    </row>
    <row r="1003" spans="1:54" s="283" customFormat="1" ht="19.5" customHeight="1">
      <c r="A1003" s="275"/>
      <c r="B1003" s="276"/>
      <c r="C1003" s="276"/>
      <c r="D1003" s="276"/>
      <c r="E1003" s="276"/>
      <c r="F1003" s="134"/>
      <c r="G1003" s="134"/>
      <c r="H1003" s="277"/>
      <c r="I1003" s="277"/>
      <c r="J1003" s="134"/>
      <c r="K1003" s="134"/>
      <c r="L1003" s="134"/>
      <c r="M1003" s="280"/>
      <c r="N1003" s="280"/>
      <c r="O1003" s="280"/>
      <c r="P1003" s="280"/>
      <c r="Q1003" s="280"/>
      <c r="R1003" s="280"/>
      <c r="S1003" s="276"/>
      <c r="T1003" s="276"/>
      <c r="U1003" s="277"/>
      <c r="V1003" s="134"/>
      <c r="W1003" s="134"/>
      <c r="X1003" s="277"/>
      <c r="Y1003" s="134"/>
      <c r="Z1003" s="134"/>
      <c r="AA1003" s="134"/>
      <c r="AB1003" s="278"/>
      <c r="AC1003" s="279"/>
      <c r="AD1003" s="280"/>
      <c r="AE1003" s="281"/>
      <c r="AF1003" s="281"/>
      <c r="AG1003" s="282"/>
      <c r="AH1003" s="282"/>
      <c r="AK1003" s="284"/>
      <c r="AL1003" s="284"/>
      <c r="AM1003" s="282"/>
      <c r="AN1003" s="282"/>
      <c r="AO1003" s="281"/>
      <c r="AP1003" s="281"/>
      <c r="AS1003" s="285"/>
      <c r="AT1003" s="285"/>
      <c r="AU1003" s="284"/>
      <c r="AV1003" s="284"/>
      <c r="AY1003" s="286"/>
      <c r="AZ1003" s="286"/>
      <c r="BA1003" s="281"/>
      <c r="BB1003" s="281"/>
    </row>
    <row r="1004" spans="1:54" s="283" customFormat="1" ht="19.5" customHeight="1">
      <c r="A1004" s="275"/>
      <c r="B1004" s="276"/>
      <c r="C1004" s="276"/>
      <c r="D1004" s="276"/>
      <c r="E1004" s="276"/>
      <c r="F1004" s="134"/>
      <c r="G1004" s="134"/>
      <c r="H1004" s="277"/>
      <c r="I1004" s="277"/>
      <c r="J1004" s="134"/>
      <c r="K1004" s="134"/>
      <c r="L1004" s="134"/>
      <c r="M1004" s="280"/>
      <c r="N1004" s="280"/>
      <c r="O1004" s="280"/>
      <c r="P1004" s="280"/>
      <c r="Q1004" s="280"/>
      <c r="R1004" s="280"/>
      <c r="S1004" s="276"/>
      <c r="T1004" s="276"/>
      <c r="U1004" s="277"/>
      <c r="V1004" s="134"/>
      <c r="W1004" s="134"/>
      <c r="X1004" s="277"/>
      <c r="Y1004" s="134"/>
      <c r="Z1004" s="134"/>
      <c r="AA1004" s="134"/>
      <c r="AB1004" s="278"/>
      <c r="AC1004" s="279"/>
      <c r="AD1004" s="280"/>
      <c r="AE1004" s="281"/>
      <c r="AF1004" s="281"/>
      <c r="AG1004" s="282"/>
      <c r="AH1004" s="282"/>
      <c r="AK1004" s="284"/>
      <c r="AL1004" s="284"/>
      <c r="AM1004" s="282"/>
      <c r="AN1004" s="282"/>
      <c r="AO1004" s="281"/>
      <c r="AP1004" s="281"/>
      <c r="AS1004" s="285"/>
      <c r="AT1004" s="285"/>
      <c r="AU1004" s="284"/>
      <c r="AV1004" s="284"/>
      <c r="AY1004" s="286"/>
      <c r="AZ1004" s="286"/>
      <c r="BA1004" s="281"/>
      <c r="BB1004" s="281"/>
    </row>
    <row r="1005" spans="1:54" s="283" customFormat="1" ht="19.5" customHeight="1">
      <c r="A1005" s="275"/>
      <c r="B1005" s="276"/>
      <c r="C1005" s="276"/>
      <c r="D1005" s="276"/>
      <c r="E1005" s="276"/>
      <c r="F1005" s="134"/>
      <c r="G1005" s="134"/>
      <c r="H1005" s="277"/>
      <c r="I1005" s="277"/>
      <c r="J1005" s="134"/>
      <c r="K1005" s="134"/>
      <c r="L1005" s="134"/>
      <c r="M1005" s="280"/>
      <c r="N1005" s="280"/>
      <c r="O1005" s="280"/>
      <c r="P1005" s="280"/>
      <c r="Q1005" s="280"/>
      <c r="R1005" s="280"/>
      <c r="S1005" s="276"/>
      <c r="T1005" s="276"/>
      <c r="U1005" s="277"/>
      <c r="V1005" s="134"/>
      <c r="W1005" s="134"/>
      <c r="X1005" s="277"/>
      <c r="Y1005" s="134"/>
      <c r="Z1005" s="134"/>
      <c r="AA1005" s="134"/>
      <c r="AB1005" s="278"/>
      <c r="AC1005" s="279"/>
      <c r="AD1005" s="280"/>
      <c r="AE1005" s="281"/>
      <c r="AF1005" s="281"/>
      <c r="AG1005" s="282"/>
      <c r="AH1005" s="282"/>
      <c r="AK1005" s="284"/>
      <c r="AL1005" s="284"/>
      <c r="AM1005" s="282"/>
      <c r="AN1005" s="282"/>
      <c r="AO1005" s="281"/>
      <c r="AP1005" s="281"/>
      <c r="AS1005" s="285"/>
      <c r="AT1005" s="285"/>
      <c r="AU1005" s="284"/>
      <c r="AV1005" s="284"/>
      <c r="AY1005" s="286"/>
      <c r="AZ1005" s="286"/>
      <c r="BA1005" s="281"/>
      <c r="BB1005" s="281"/>
    </row>
    <row r="1006" spans="1:54" s="283" customFormat="1" ht="19.5" customHeight="1">
      <c r="A1006" s="275"/>
      <c r="B1006" s="276"/>
      <c r="C1006" s="276"/>
      <c r="D1006" s="276"/>
      <c r="E1006" s="276"/>
      <c r="F1006" s="134"/>
      <c r="G1006" s="134"/>
      <c r="H1006" s="277"/>
      <c r="I1006" s="277"/>
      <c r="J1006" s="134"/>
      <c r="K1006" s="134"/>
      <c r="L1006" s="134"/>
      <c r="M1006" s="280"/>
      <c r="N1006" s="280"/>
      <c r="O1006" s="280"/>
      <c r="P1006" s="280"/>
      <c r="Q1006" s="280"/>
      <c r="R1006" s="280"/>
      <c r="S1006" s="276"/>
      <c r="T1006" s="276"/>
      <c r="U1006" s="277"/>
      <c r="V1006" s="134"/>
      <c r="W1006" s="134"/>
      <c r="X1006" s="277"/>
      <c r="Y1006" s="134"/>
      <c r="Z1006" s="134"/>
      <c r="AA1006" s="134"/>
      <c r="AB1006" s="278"/>
      <c r="AC1006" s="279"/>
      <c r="AD1006" s="280"/>
      <c r="AE1006" s="281"/>
      <c r="AF1006" s="281"/>
      <c r="AG1006" s="282"/>
      <c r="AH1006" s="282"/>
      <c r="AK1006" s="284"/>
      <c r="AL1006" s="284"/>
      <c r="AM1006" s="282"/>
      <c r="AN1006" s="282"/>
      <c r="AO1006" s="281"/>
      <c r="AP1006" s="281"/>
      <c r="AS1006" s="285"/>
      <c r="AT1006" s="285"/>
      <c r="AU1006" s="284"/>
      <c r="AV1006" s="284"/>
      <c r="AY1006" s="286"/>
      <c r="AZ1006" s="286"/>
      <c r="BA1006" s="281"/>
      <c r="BB1006" s="281"/>
    </row>
    <row r="1007" spans="1:54" s="283" customFormat="1" ht="19.5" customHeight="1">
      <c r="A1007" s="275"/>
      <c r="B1007" s="276"/>
      <c r="C1007" s="276"/>
      <c r="D1007" s="276"/>
      <c r="E1007" s="276"/>
      <c r="F1007" s="134"/>
      <c r="G1007" s="134"/>
      <c r="H1007" s="277"/>
      <c r="I1007" s="277"/>
      <c r="J1007" s="134"/>
      <c r="K1007" s="134"/>
      <c r="L1007" s="134"/>
      <c r="M1007" s="280"/>
      <c r="N1007" s="280"/>
      <c r="O1007" s="280"/>
      <c r="P1007" s="280"/>
      <c r="Q1007" s="280"/>
      <c r="R1007" s="280"/>
      <c r="S1007" s="276"/>
      <c r="T1007" s="276"/>
      <c r="U1007" s="277"/>
      <c r="V1007" s="134"/>
      <c r="W1007" s="134"/>
      <c r="X1007" s="277"/>
      <c r="Y1007" s="134"/>
      <c r="Z1007" s="134"/>
      <c r="AA1007" s="134"/>
      <c r="AB1007" s="278"/>
      <c r="AC1007" s="279"/>
      <c r="AD1007" s="280"/>
      <c r="AE1007" s="281"/>
      <c r="AF1007" s="281"/>
      <c r="AG1007" s="282"/>
      <c r="AH1007" s="282"/>
      <c r="AK1007" s="284"/>
      <c r="AL1007" s="284"/>
      <c r="AM1007" s="282"/>
      <c r="AN1007" s="282"/>
      <c r="AO1007" s="281"/>
      <c r="AP1007" s="281"/>
      <c r="AS1007" s="285"/>
      <c r="AT1007" s="285"/>
      <c r="AU1007" s="284"/>
      <c r="AV1007" s="284"/>
      <c r="AY1007" s="286"/>
      <c r="AZ1007" s="286"/>
      <c r="BA1007" s="281"/>
      <c r="BB1007" s="281"/>
    </row>
    <row r="1008" spans="1:54" s="283" customFormat="1" ht="19.5" customHeight="1">
      <c r="A1008" s="275"/>
      <c r="B1008" s="276"/>
      <c r="C1008" s="276"/>
      <c r="D1008" s="276"/>
      <c r="E1008" s="276"/>
      <c r="F1008" s="134"/>
      <c r="G1008" s="134"/>
      <c r="H1008" s="277"/>
      <c r="I1008" s="277"/>
      <c r="J1008" s="134"/>
      <c r="K1008" s="134"/>
      <c r="L1008" s="134"/>
      <c r="M1008" s="280"/>
      <c r="N1008" s="280"/>
      <c r="O1008" s="280"/>
      <c r="P1008" s="280"/>
      <c r="Q1008" s="280"/>
      <c r="R1008" s="280"/>
      <c r="S1008" s="276"/>
      <c r="T1008" s="276"/>
      <c r="U1008" s="277"/>
      <c r="V1008" s="134"/>
      <c r="W1008" s="134"/>
      <c r="X1008" s="277"/>
      <c r="Y1008" s="134"/>
      <c r="Z1008" s="134"/>
      <c r="AA1008" s="134"/>
      <c r="AB1008" s="278"/>
      <c r="AC1008" s="279"/>
      <c r="AD1008" s="280"/>
      <c r="AE1008" s="281"/>
      <c r="AF1008" s="281"/>
      <c r="AG1008" s="282"/>
      <c r="AH1008" s="282"/>
      <c r="AK1008" s="284"/>
      <c r="AL1008" s="284"/>
      <c r="AM1008" s="282"/>
      <c r="AN1008" s="282"/>
      <c r="AO1008" s="281"/>
      <c r="AP1008" s="281"/>
      <c r="AS1008" s="285"/>
      <c r="AT1008" s="285"/>
      <c r="AU1008" s="284"/>
      <c r="AV1008" s="284"/>
      <c r="AY1008" s="286"/>
      <c r="AZ1008" s="286"/>
      <c r="BA1008" s="281"/>
      <c r="BB1008" s="281"/>
    </row>
    <row r="1009" spans="1:54" s="283" customFormat="1" ht="19.5" customHeight="1">
      <c r="A1009" s="275"/>
      <c r="B1009" s="276"/>
      <c r="C1009" s="276"/>
      <c r="D1009" s="276"/>
      <c r="E1009" s="276"/>
      <c r="F1009" s="134"/>
      <c r="G1009" s="134"/>
      <c r="H1009" s="277"/>
      <c r="I1009" s="277"/>
      <c r="J1009" s="134"/>
      <c r="K1009" s="134"/>
      <c r="L1009" s="134"/>
      <c r="M1009" s="280"/>
      <c r="N1009" s="280"/>
      <c r="O1009" s="280"/>
      <c r="P1009" s="280"/>
      <c r="Q1009" s="280"/>
      <c r="R1009" s="280"/>
      <c r="S1009" s="276"/>
      <c r="T1009" s="276"/>
      <c r="U1009" s="277"/>
      <c r="V1009" s="134"/>
      <c r="W1009" s="134"/>
      <c r="X1009" s="277"/>
      <c r="Y1009" s="134"/>
      <c r="Z1009" s="134"/>
      <c r="AA1009" s="134"/>
      <c r="AB1009" s="278"/>
      <c r="AC1009" s="279"/>
      <c r="AD1009" s="280"/>
      <c r="AE1009" s="281"/>
      <c r="AF1009" s="281"/>
      <c r="AG1009" s="282"/>
      <c r="AH1009" s="282"/>
      <c r="AK1009" s="284"/>
      <c r="AL1009" s="284"/>
      <c r="AM1009" s="282"/>
      <c r="AN1009" s="282"/>
      <c r="AO1009" s="281"/>
      <c r="AP1009" s="281"/>
      <c r="AS1009" s="285"/>
      <c r="AT1009" s="285"/>
      <c r="AU1009" s="284"/>
      <c r="AV1009" s="284"/>
      <c r="AY1009" s="286"/>
      <c r="AZ1009" s="286"/>
      <c r="BA1009" s="281"/>
      <c r="BB1009" s="281"/>
    </row>
    <row r="1010" spans="1:54" s="283" customFormat="1" ht="19.5" customHeight="1">
      <c r="A1010" s="275"/>
      <c r="B1010" s="276"/>
      <c r="C1010" s="276"/>
      <c r="D1010" s="276"/>
      <c r="E1010" s="276"/>
      <c r="F1010" s="134"/>
      <c r="G1010" s="134"/>
      <c r="H1010" s="277"/>
      <c r="I1010" s="277"/>
      <c r="J1010" s="134"/>
      <c r="K1010" s="134"/>
      <c r="L1010" s="134"/>
      <c r="M1010" s="280"/>
      <c r="N1010" s="280"/>
      <c r="O1010" s="280"/>
      <c r="P1010" s="280"/>
      <c r="Q1010" s="280"/>
      <c r="R1010" s="280"/>
      <c r="S1010" s="276"/>
      <c r="T1010" s="276"/>
      <c r="U1010" s="277"/>
      <c r="V1010" s="134"/>
      <c r="W1010" s="134"/>
      <c r="X1010" s="277"/>
      <c r="Y1010" s="134"/>
      <c r="Z1010" s="134"/>
      <c r="AA1010" s="134"/>
      <c r="AB1010" s="278"/>
      <c r="AC1010" s="279"/>
      <c r="AD1010" s="280"/>
      <c r="AE1010" s="281"/>
      <c r="AF1010" s="281"/>
      <c r="AG1010" s="282"/>
      <c r="AH1010" s="282"/>
      <c r="AK1010" s="284"/>
      <c r="AL1010" s="284"/>
      <c r="AM1010" s="282"/>
      <c r="AN1010" s="282"/>
      <c r="AO1010" s="281"/>
      <c r="AP1010" s="281"/>
      <c r="AS1010" s="285"/>
      <c r="AT1010" s="285"/>
      <c r="AU1010" s="284"/>
      <c r="AV1010" s="284"/>
      <c r="AY1010" s="286"/>
      <c r="AZ1010" s="286"/>
      <c r="BA1010" s="281"/>
      <c r="BB1010" s="281"/>
    </row>
    <row r="1011" spans="1:54" s="283" customFormat="1" ht="19.5" customHeight="1">
      <c r="A1011" s="275"/>
      <c r="B1011" s="276"/>
      <c r="C1011" s="276"/>
      <c r="D1011" s="276"/>
      <c r="E1011" s="276"/>
      <c r="F1011" s="134"/>
      <c r="G1011" s="134"/>
      <c r="H1011" s="277"/>
      <c r="I1011" s="277"/>
      <c r="J1011" s="134"/>
      <c r="K1011" s="134"/>
      <c r="L1011" s="134"/>
      <c r="M1011" s="280"/>
      <c r="N1011" s="280"/>
      <c r="O1011" s="280"/>
      <c r="P1011" s="280"/>
      <c r="Q1011" s="280"/>
      <c r="R1011" s="280"/>
      <c r="S1011" s="276"/>
      <c r="T1011" s="276"/>
      <c r="U1011" s="277"/>
      <c r="V1011" s="134"/>
      <c r="W1011" s="134"/>
      <c r="X1011" s="277"/>
      <c r="Y1011" s="134"/>
      <c r="Z1011" s="134"/>
      <c r="AA1011" s="134"/>
      <c r="AB1011" s="278"/>
      <c r="AC1011" s="279"/>
      <c r="AD1011" s="280"/>
      <c r="AE1011" s="281"/>
      <c r="AF1011" s="281"/>
      <c r="AG1011" s="282"/>
      <c r="AH1011" s="282"/>
      <c r="AK1011" s="284"/>
      <c r="AL1011" s="284"/>
      <c r="AM1011" s="282"/>
      <c r="AN1011" s="282"/>
      <c r="AO1011" s="281"/>
      <c r="AP1011" s="281"/>
      <c r="AS1011" s="285"/>
      <c r="AT1011" s="285"/>
      <c r="AU1011" s="284"/>
      <c r="AV1011" s="284"/>
      <c r="AY1011" s="286"/>
      <c r="AZ1011" s="286"/>
      <c r="BA1011" s="281"/>
      <c r="BB1011" s="281"/>
    </row>
    <row r="1012" spans="1:54" s="283" customFormat="1" ht="19.5" customHeight="1">
      <c r="A1012" s="275"/>
      <c r="B1012" s="276"/>
      <c r="C1012" s="276"/>
      <c r="D1012" s="276"/>
      <c r="E1012" s="276"/>
      <c r="F1012" s="134"/>
      <c r="G1012" s="134"/>
      <c r="H1012" s="277"/>
      <c r="I1012" s="277"/>
      <c r="J1012" s="134"/>
      <c r="K1012" s="134"/>
      <c r="L1012" s="134"/>
      <c r="M1012" s="280"/>
      <c r="N1012" s="280"/>
      <c r="O1012" s="280"/>
      <c r="P1012" s="280"/>
      <c r="Q1012" s="280"/>
      <c r="R1012" s="280"/>
      <c r="S1012" s="276"/>
      <c r="T1012" s="276"/>
      <c r="U1012" s="277"/>
      <c r="V1012" s="134"/>
      <c r="W1012" s="134"/>
      <c r="X1012" s="277"/>
      <c r="Y1012" s="134"/>
      <c r="Z1012" s="134"/>
      <c r="AA1012" s="134"/>
      <c r="AB1012" s="278"/>
      <c r="AC1012" s="279"/>
      <c r="AD1012" s="280"/>
      <c r="AE1012" s="281"/>
      <c r="AF1012" s="281"/>
      <c r="AG1012" s="282"/>
      <c r="AH1012" s="282"/>
      <c r="AK1012" s="284"/>
      <c r="AL1012" s="284"/>
      <c r="AM1012" s="282"/>
      <c r="AN1012" s="282"/>
      <c r="AO1012" s="281"/>
      <c r="AP1012" s="281"/>
      <c r="AS1012" s="285"/>
      <c r="AT1012" s="285"/>
      <c r="AU1012" s="284"/>
      <c r="AV1012" s="284"/>
      <c r="AY1012" s="286"/>
      <c r="AZ1012" s="286"/>
      <c r="BA1012" s="281"/>
      <c r="BB1012" s="281"/>
    </row>
    <row r="1013" spans="1:54" s="283" customFormat="1" ht="19.5" customHeight="1">
      <c r="A1013" s="275"/>
      <c r="B1013" s="276"/>
      <c r="C1013" s="276"/>
      <c r="D1013" s="276"/>
      <c r="E1013" s="276"/>
      <c r="F1013" s="134"/>
      <c r="G1013" s="134"/>
      <c r="H1013" s="277"/>
      <c r="I1013" s="277"/>
      <c r="J1013" s="134"/>
      <c r="K1013" s="134"/>
      <c r="L1013" s="134"/>
      <c r="M1013" s="280"/>
      <c r="N1013" s="280"/>
      <c r="O1013" s="280"/>
      <c r="P1013" s="280"/>
      <c r="Q1013" s="280"/>
      <c r="R1013" s="280"/>
      <c r="S1013" s="276"/>
      <c r="T1013" s="276"/>
      <c r="U1013" s="277"/>
      <c r="V1013" s="134"/>
      <c r="W1013" s="134"/>
      <c r="X1013" s="277"/>
      <c r="Y1013" s="134"/>
      <c r="Z1013" s="134"/>
      <c r="AA1013" s="134"/>
      <c r="AB1013" s="278"/>
      <c r="AC1013" s="279"/>
      <c r="AD1013" s="280"/>
      <c r="AE1013" s="281"/>
      <c r="AF1013" s="281"/>
      <c r="AG1013" s="282"/>
      <c r="AH1013" s="282"/>
      <c r="AK1013" s="284"/>
      <c r="AL1013" s="284"/>
      <c r="AM1013" s="282"/>
      <c r="AN1013" s="282"/>
      <c r="AO1013" s="281"/>
      <c r="AP1013" s="281"/>
      <c r="AS1013" s="285"/>
      <c r="AT1013" s="285"/>
      <c r="AU1013" s="284"/>
      <c r="AV1013" s="284"/>
      <c r="AY1013" s="286"/>
      <c r="AZ1013" s="286"/>
      <c r="BA1013" s="281"/>
      <c r="BB1013" s="281"/>
    </row>
    <row r="1014" spans="1:54" s="283" customFormat="1" ht="19.5" customHeight="1">
      <c r="A1014" s="275"/>
      <c r="B1014" s="276"/>
      <c r="C1014" s="276"/>
      <c r="D1014" s="276"/>
      <c r="E1014" s="276"/>
      <c r="F1014" s="134"/>
      <c r="G1014" s="134"/>
      <c r="H1014" s="277"/>
      <c r="I1014" s="277"/>
      <c r="J1014" s="134"/>
      <c r="K1014" s="134"/>
      <c r="L1014" s="134"/>
      <c r="M1014" s="280"/>
      <c r="N1014" s="280"/>
      <c r="O1014" s="280"/>
      <c r="P1014" s="280"/>
      <c r="Q1014" s="280"/>
      <c r="R1014" s="280"/>
      <c r="S1014" s="276"/>
      <c r="T1014" s="276"/>
      <c r="U1014" s="277"/>
      <c r="V1014" s="134"/>
      <c r="W1014" s="134"/>
      <c r="X1014" s="277"/>
      <c r="Y1014" s="134"/>
      <c r="Z1014" s="134"/>
      <c r="AA1014" s="134"/>
      <c r="AB1014" s="278"/>
      <c r="AC1014" s="279"/>
      <c r="AD1014" s="280"/>
      <c r="AE1014" s="281"/>
      <c r="AF1014" s="281"/>
      <c r="AG1014" s="282"/>
      <c r="AH1014" s="282"/>
      <c r="AK1014" s="284"/>
      <c r="AL1014" s="284"/>
      <c r="AM1014" s="282"/>
      <c r="AN1014" s="282"/>
      <c r="AO1014" s="281"/>
      <c r="AP1014" s="281"/>
      <c r="AS1014" s="285"/>
      <c r="AT1014" s="285"/>
      <c r="AU1014" s="284"/>
      <c r="AV1014" s="284"/>
      <c r="AY1014" s="286"/>
      <c r="AZ1014" s="286"/>
      <c r="BA1014" s="281"/>
      <c r="BB1014" s="281"/>
    </row>
    <row r="1015" spans="1:54" s="283" customFormat="1" ht="19.5" customHeight="1">
      <c r="A1015" s="275"/>
      <c r="B1015" s="276"/>
      <c r="C1015" s="276"/>
      <c r="D1015" s="276"/>
      <c r="E1015" s="276"/>
      <c r="F1015" s="134"/>
      <c r="G1015" s="134"/>
      <c r="H1015" s="277"/>
      <c r="I1015" s="277"/>
      <c r="J1015" s="134"/>
      <c r="K1015" s="134"/>
      <c r="L1015" s="134"/>
      <c r="M1015" s="280"/>
      <c r="N1015" s="280"/>
      <c r="O1015" s="280"/>
      <c r="P1015" s="280"/>
      <c r="Q1015" s="280"/>
      <c r="R1015" s="280"/>
      <c r="S1015" s="276"/>
      <c r="T1015" s="276"/>
      <c r="U1015" s="277"/>
      <c r="V1015" s="134"/>
      <c r="W1015" s="134"/>
      <c r="X1015" s="277"/>
      <c r="Y1015" s="134"/>
      <c r="Z1015" s="134"/>
      <c r="AA1015" s="134"/>
      <c r="AB1015" s="278"/>
      <c r="AC1015" s="279"/>
      <c r="AD1015" s="280"/>
      <c r="AE1015" s="281"/>
      <c r="AF1015" s="281"/>
      <c r="AG1015" s="282"/>
      <c r="AH1015" s="282"/>
      <c r="AK1015" s="284"/>
      <c r="AL1015" s="284"/>
      <c r="AM1015" s="282"/>
      <c r="AN1015" s="282"/>
      <c r="AO1015" s="281"/>
      <c r="AP1015" s="281"/>
      <c r="AS1015" s="285"/>
      <c r="AT1015" s="285"/>
      <c r="AU1015" s="284"/>
      <c r="AV1015" s="284"/>
      <c r="AY1015" s="286"/>
      <c r="AZ1015" s="286"/>
      <c r="BA1015" s="281"/>
      <c r="BB1015" s="281"/>
    </row>
    <row r="1016" spans="1:54" s="283" customFormat="1" ht="19.5" customHeight="1">
      <c r="A1016" s="275"/>
      <c r="B1016" s="276"/>
      <c r="C1016" s="276"/>
      <c r="D1016" s="276"/>
      <c r="E1016" s="276"/>
      <c r="F1016" s="134"/>
      <c r="G1016" s="134"/>
      <c r="H1016" s="277"/>
      <c r="I1016" s="277"/>
      <c r="J1016" s="134"/>
      <c r="K1016" s="134"/>
      <c r="L1016" s="134"/>
      <c r="M1016" s="280"/>
      <c r="N1016" s="280"/>
      <c r="O1016" s="280"/>
      <c r="P1016" s="280"/>
      <c r="Q1016" s="280"/>
      <c r="R1016" s="280"/>
      <c r="S1016" s="276"/>
      <c r="T1016" s="276"/>
      <c r="U1016" s="277"/>
      <c r="V1016" s="134"/>
      <c r="W1016" s="134"/>
      <c r="X1016" s="277"/>
      <c r="Y1016" s="134"/>
      <c r="Z1016" s="134"/>
      <c r="AA1016" s="134"/>
      <c r="AB1016" s="278"/>
      <c r="AC1016" s="279"/>
      <c r="AD1016" s="280"/>
      <c r="AE1016" s="281"/>
      <c r="AF1016" s="281"/>
      <c r="AG1016" s="282"/>
      <c r="AH1016" s="282"/>
      <c r="AK1016" s="284"/>
      <c r="AL1016" s="284"/>
      <c r="AM1016" s="282"/>
      <c r="AN1016" s="282"/>
      <c r="AO1016" s="281"/>
      <c r="AP1016" s="281"/>
      <c r="AS1016" s="285"/>
      <c r="AT1016" s="285"/>
      <c r="AU1016" s="284"/>
      <c r="AV1016" s="284"/>
      <c r="AY1016" s="286"/>
      <c r="AZ1016" s="286"/>
      <c r="BA1016" s="281"/>
      <c r="BB1016" s="281"/>
    </row>
    <row r="1017" spans="1:54" s="283" customFormat="1" ht="19.5" customHeight="1">
      <c r="A1017" s="275"/>
      <c r="B1017" s="276"/>
      <c r="C1017" s="276"/>
      <c r="D1017" s="276"/>
      <c r="E1017" s="276"/>
      <c r="F1017" s="134"/>
      <c r="G1017" s="134"/>
      <c r="H1017" s="277"/>
      <c r="I1017" s="277"/>
      <c r="J1017" s="134"/>
      <c r="K1017" s="134"/>
      <c r="L1017" s="134"/>
      <c r="M1017" s="280"/>
      <c r="N1017" s="280"/>
      <c r="O1017" s="280"/>
      <c r="P1017" s="280"/>
      <c r="Q1017" s="280"/>
      <c r="R1017" s="280"/>
      <c r="S1017" s="276"/>
      <c r="T1017" s="276"/>
      <c r="U1017" s="277"/>
      <c r="V1017" s="134"/>
      <c r="W1017" s="134"/>
      <c r="X1017" s="277"/>
      <c r="Y1017" s="134"/>
      <c r="Z1017" s="134"/>
      <c r="AA1017" s="134"/>
      <c r="AB1017" s="278"/>
      <c r="AC1017" s="279"/>
      <c r="AD1017" s="280"/>
      <c r="AE1017" s="281"/>
      <c r="AF1017" s="281"/>
      <c r="AG1017" s="282"/>
      <c r="AH1017" s="282"/>
      <c r="AK1017" s="284"/>
      <c r="AL1017" s="284"/>
      <c r="AM1017" s="282"/>
      <c r="AN1017" s="282"/>
      <c r="AO1017" s="281"/>
      <c r="AP1017" s="281"/>
      <c r="AS1017" s="285"/>
      <c r="AT1017" s="285"/>
      <c r="AU1017" s="284"/>
      <c r="AV1017" s="284"/>
      <c r="AY1017" s="286"/>
      <c r="AZ1017" s="286"/>
      <c r="BA1017" s="281"/>
      <c r="BB1017" s="281"/>
    </row>
    <row r="1018" spans="1:54" s="283" customFormat="1" ht="19.5" customHeight="1">
      <c r="A1018" s="275"/>
      <c r="B1018" s="276"/>
      <c r="C1018" s="276"/>
      <c r="D1018" s="276"/>
      <c r="E1018" s="276"/>
      <c r="F1018" s="134"/>
      <c r="G1018" s="134"/>
      <c r="H1018" s="277"/>
      <c r="I1018" s="277"/>
      <c r="J1018" s="134"/>
      <c r="K1018" s="134"/>
      <c r="L1018" s="134"/>
      <c r="M1018" s="280"/>
      <c r="N1018" s="280"/>
      <c r="O1018" s="280"/>
      <c r="P1018" s="280"/>
      <c r="Q1018" s="280"/>
      <c r="R1018" s="280"/>
      <c r="S1018" s="276"/>
      <c r="T1018" s="276"/>
      <c r="U1018" s="277"/>
      <c r="V1018" s="134"/>
      <c r="W1018" s="134"/>
      <c r="X1018" s="277"/>
      <c r="Y1018" s="134"/>
      <c r="Z1018" s="134"/>
      <c r="AA1018" s="134"/>
      <c r="AB1018" s="278"/>
      <c r="AC1018" s="279"/>
      <c r="AD1018" s="280"/>
      <c r="AE1018" s="281"/>
      <c r="AF1018" s="281"/>
      <c r="AG1018" s="282"/>
      <c r="AH1018" s="282"/>
      <c r="AK1018" s="284"/>
      <c r="AL1018" s="284"/>
      <c r="AM1018" s="282"/>
      <c r="AN1018" s="282"/>
      <c r="AO1018" s="281"/>
      <c r="AP1018" s="281"/>
      <c r="AS1018" s="285"/>
      <c r="AT1018" s="285"/>
      <c r="AU1018" s="284"/>
      <c r="AV1018" s="284"/>
      <c r="AY1018" s="286"/>
      <c r="AZ1018" s="286"/>
      <c r="BA1018" s="281"/>
      <c r="BB1018" s="281"/>
    </row>
    <row r="1019" spans="1:54" s="283" customFormat="1" ht="19.5" customHeight="1">
      <c r="A1019" s="275"/>
      <c r="B1019" s="276"/>
      <c r="C1019" s="276"/>
      <c r="D1019" s="276"/>
      <c r="E1019" s="276"/>
      <c r="F1019" s="134"/>
      <c r="G1019" s="134"/>
      <c r="H1019" s="277"/>
      <c r="I1019" s="277"/>
      <c r="J1019" s="134"/>
      <c r="K1019" s="134"/>
      <c r="L1019" s="134"/>
      <c r="M1019" s="280"/>
      <c r="N1019" s="280"/>
      <c r="O1019" s="280"/>
      <c r="P1019" s="280"/>
      <c r="Q1019" s="280"/>
      <c r="R1019" s="280"/>
      <c r="S1019" s="276"/>
      <c r="T1019" s="276"/>
      <c r="U1019" s="277"/>
      <c r="V1019" s="134"/>
      <c r="W1019" s="134"/>
      <c r="X1019" s="277"/>
      <c r="Y1019" s="134"/>
      <c r="Z1019" s="134"/>
      <c r="AA1019" s="134"/>
      <c r="AB1019" s="278"/>
      <c r="AC1019" s="279"/>
      <c r="AD1019" s="280"/>
      <c r="AE1019" s="281"/>
      <c r="AF1019" s="281"/>
      <c r="AG1019" s="282"/>
      <c r="AH1019" s="282"/>
      <c r="AK1019" s="284"/>
      <c r="AL1019" s="284"/>
      <c r="AM1019" s="282"/>
      <c r="AN1019" s="282"/>
      <c r="AO1019" s="281"/>
      <c r="AP1019" s="281"/>
      <c r="AS1019" s="285"/>
      <c r="AT1019" s="285"/>
      <c r="AU1019" s="284"/>
      <c r="AV1019" s="284"/>
      <c r="AY1019" s="286"/>
      <c r="AZ1019" s="286"/>
      <c r="BA1019" s="281"/>
      <c r="BB1019" s="281"/>
    </row>
    <row r="1020" spans="1:54" s="283" customFormat="1" ht="19.5" customHeight="1">
      <c r="A1020" s="275"/>
      <c r="B1020" s="276"/>
      <c r="C1020" s="276"/>
      <c r="D1020" s="276"/>
      <c r="E1020" s="276"/>
      <c r="F1020" s="134"/>
      <c r="G1020" s="134"/>
      <c r="H1020" s="277"/>
      <c r="I1020" s="277"/>
      <c r="J1020" s="134"/>
      <c r="K1020" s="134"/>
      <c r="L1020" s="134"/>
      <c r="M1020" s="280"/>
      <c r="N1020" s="280"/>
      <c r="O1020" s="280"/>
      <c r="P1020" s="280"/>
      <c r="Q1020" s="280"/>
      <c r="R1020" s="280"/>
      <c r="S1020" s="276"/>
      <c r="T1020" s="276"/>
      <c r="U1020" s="277"/>
      <c r="V1020" s="134"/>
      <c r="W1020" s="134"/>
      <c r="X1020" s="277"/>
      <c r="Y1020" s="134"/>
      <c r="Z1020" s="134"/>
      <c r="AA1020" s="134"/>
      <c r="AB1020" s="278"/>
      <c r="AC1020" s="279"/>
      <c r="AD1020" s="280"/>
      <c r="AE1020" s="281"/>
      <c r="AF1020" s="281"/>
      <c r="AG1020" s="282"/>
      <c r="AH1020" s="282"/>
      <c r="AK1020" s="284"/>
      <c r="AL1020" s="284"/>
      <c r="AM1020" s="282"/>
      <c r="AN1020" s="282"/>
      <c r="AO1020" s="281"/>
      <c r="AP1020" s="281"/>
      <c r="AS1020" s="285"/>
      <c r="AT1020" s="285"/>
      <c r="AU1020" s="284"/>
      <c r="AV1020" s="284"/>
      <c r="AY1020" s="286"/>
      <c r="AZ1020" s="286"/>
      <c r="BA1020" s="281"/>
      <c r="BB1020" s="281"/>
    </row>
    <row r="1021" spans="1:54" s="283" customFormat="1" ht="19.5" customHeight="1">
      <c r="A1021" s="275"/>
      <c r="B1021" s="276"/>
      <c r="C1021" s="276"/>
      <c r="D1021" s="276"/>
      <c r="E1021" s="276"/>
      <c r="F1021" s="134"/>
      <c r="G1021" s="134"/>
      <c r="H1021" s="277"/>
      <c r="I1021" s="277"/>
      <c r="J1021" s="134"/>
      <c r="K1021" s="134"/>
      <c r="L1021" s="134"/>
      <c r="M1021" s="280"/>
      <c r="N1021" s="280"/>
      <c r="O1021" s="280"/>
      <c r="P1021" s="280"/>
      <c r="Q1021" s="280"/>
      <c r="R1021" s="280"/>
      <c r="S1021" s="276"/>
      <c r="T1021" s="276"/>
      <c r="U1021" s="277"/>
      <c r="V1021" s="134"/>
      <c r="W1021" s="134"/>
      <c r="X1021" s="277"/>
      <c r="Y1021" s="134"/>
      <c r="Z1021" s="134"/>
      <c r="AA1021" s="134"/>
      <c r="AB1021" s="278"/>
      <c r="AC1021" s="279"/>
      <c r="AD1021" s="280"/>
      <c r="AE1021" s="281"/>
      <c r="AF1021" s="281"/>
      <c r="AG1021" s="282"/>
      <c r="AH1021" s="282"/>
      <c r="AK1021" s="284"/>
      <c r="AL1021" s="284"/>
      <c r="AM1021" s="282"/>
      <c r="AN1021" s="282"/>
      <c r="AO1021" s="281"/>
      <c r="AP1021" s="281"/>
      <c r="AS1021" s="285"/>
      <c r="AT1021" s="285"/>
      <c r="AU1021" s="284"/>
      <c r="AV1021" s="284"/>
      <c r="AY1021" s="286"/>
      <c r="AZ1021" s="286"/>
      <c r="BA1021" s="281"/>
      <c r="BB1021" s="281"/>
    </row>
    <row r="1022" spans="1:54" s="283" customFormat="1" ht="19.5" customHeight="1">
      <c r="A1022" s="275"/>
      <c r="B1022" s="276"/>
      <c r="C1022" s="276"/>
      <c r="D1022" s="276"/>
      <c r="E1022" s="276"/>
      <c r="F1022" s="134"/>
      <c r="G1022" s="134"/>
      <c r="H1022" s="277"/>
      <c r="I1022" s="277"/>
      <c r="J1022" s="134"/>
      <c r="K1022" s="134"/>
      <c r="L1022" s="134"/>
      <c r="M1022" s="280"/>
      <c r="N1022" s="280"/>
      <c r="O1022" s="280"/>
      <c r="P1022" s="280"/>
      <c r="Q1022" s="280"/>
      <c r="R1022" s="280"/>
      <c r="S1022" s="276"/>
      <c r="T1022" s="276"/>
      <c r="U1022" s="277"/>
      <c r="V1022" s="134"/>
      <c r="W1022" s="134"/>
      <c r="X1022" s="277"/>
      <c r="Y1022" s="134"/>
      <c r="Z1022" s="134"/>
      <c r="AA1022" s="134"/>
      <c r="AB1022" s="278"/>
      <c r="AC1022" s="279"/>
      <c r="AD1022" s="280"/>
      <c r="AE1022" s="281"/>
      <c r="AF1022" s="281"/>
      <c r="AG1022" s="282"/>
      <c r="AH1022" s="282"/>
      <c r="AK1022" s="284"/>
      <c r="AL1022" s="284"/>
      <c r="AM1022" s="282"/>
      <c r="AN1022" s="282"/>
      <c r="AO1022" s="281"/>
      <c r="AP1022" s="281"/>
      <c r="AS1022" s="285"/>
      <c r="AT1022" s="285"/>
      <c r="AU1022" s="284"/>
      <c r="AV1022" s="284"/>
      <c r="AY1022" s="286"/>
      <c r="AZ1022" s="286"/>
      <c r="BA1022" s="281"/>
      <c r="BB1022" s="281"/>
    </row>
    <row r="1023" spans="1:54" s="283" customFormat="1" ht="19.5" customHeight="1">
      <c r="A1023" s="275"/>
      <c r="B1023" s="276"/>
      <c r="C1023" s="276"/>
      <c r="D1023" s="276"/>
      <c r="E1023" s="276"/>
      <c r="F1023" s="134"/>
      <c r="G1023" s="134"/>
      <c r="H1023" s="277"/>
      <c r="I1023" s="277"/>
      <c r="J1023" s="134"/>
      <c r="K1023" s="134"/>
      <c r="L1023" s="134"/>
      <c r="M1023" s="280"/>
      <c r="N1023" s="280"/>
      <c r="O1023" s="280"/>
      <c r="P1023" s="280"/>
      <c r="Q1023" s="280"/>
      <c r="R1023" s="280"/>
      <c r="S1023" s="276"/>
      <c r="T1023" s="276"/>
      <c r="U1023" s="277"/>
      <c r="V1023" s="134"/>
      <c r="W1023" s="134"/>
      <c r="X1023" s="277"/>
      <c r="Y1023" s="134"/>
      <c r="Z1023" s="134"/>
      <c r="AA1023" s="134"/>
      <c r="AB1023" s="278"/>
      <c r="AC1023" s="279"/>
      <c r="AD1023" s="280"/>
      <c r="AE1023" s="281"/>
      <c r="AF1023" s="281"/>
      <c r="AG1023" s="282"/>
      <c r="AH1023" s="282"/>
      <c r="AK1023" s="284"/>
      <c r="AL1023" s="284"/>
      <c r="AM1023" s="282"/>
      <c r="AN1023" s="282"/>
      <c r="AO1023" s="281"/>
      <c r="AP1023" s="281"/>
      <c r="AS1023" s="285"/>
      <c r="AT1023" s="285"/>
      <c r="AU1023" s="284"/>
      <c r="AV1023" s="284"/>
      <c r="AY1023" s="286"/>
      <c r="AZ1023" s="286"/>
      <c r="BA1023" s="281"/>
      <c r="BB1023" s="281"/>
    </row>
    <row r="1024" spans="1:54" s="283" customFormat="1" ht="19.5" customHeight="1">
      <c r="A1024" s="275"/>
      <c r="B1024" s="276"/>
      <c r="C1024" s="276"/>
      <c r="D1024" s="276"/>
      <c r="E1024" s="276"/>
      <c r="F1024" s="134"/>
      <c r="G1024" s="134"/>
      <c r="H1024" s="277"/>
      <c r="I1024" s="277"/>
      <c r="J1024" s="134"/>
      <c r="K1024" s="134"/>
      <c r="L1024" s="134"/>
      <c r="M1024" s="280"/>
      <c r="N1024" s="280"/>
      <c r="O1024" s="280"/>
      <c r="P1024" s="280"/>
      <c r="Q1024" s="280"/>
      <c r="R1024" s="280"/>
      <c r="S1024" s="276"/>
      <c r="T1024" s="276"/>
      <c r="U1024" s="277"/>
      <c r="V1024" s="134"/>
      <c r="W1024" s="134"/>
      <c r="X1024" s="277"/>
      <c r="Y1024" s="134"/>
      <c r="Z1024" s="134"/>
      <c r="AA1024" s="134"/>
      <c r="AB1024" s="278"/>
      <c r="AC1024" s="279"/>
      <c r="AD1024" s="280"/>
      <c r="AE1024" s="281"/>
      <c r="AF1024" s="281"/>
      <c r="AG1024" s="282"/>
      <c r="AH1024" s="282"/>
      <c r="AK1024" s="284"/>
      <c r="AL1024" s="284"/>
      <c r="AM1024" s="282"/>
      <c r="AN1024" s="282"/>
      <c r="AO1024" s="281"/>
      <c r="AP1024" s="281"/>
      <c r="AS1024" s="285"/>
      <c r="AT1024" s="285"/>
      <c r="AU1024" s="284"/>
      <c r="AV1024" s="284"/>
      <c r="AY1024" s="286"/>
      <c r="AZ1024" s="286"/>
      <c r="BA1024" s="281"/>
      <c r="BB1024" s="281"/>
    </row>
    <row r="1025" spans="1:54" s="283" customFormat="1" ht="19.5" customHeight="1">
      <c r="A1025" s="275"/>
      <c r="B1025" s="276"/>
      <c r="C1025" s="276"/>
      <c r="D1025" s="276"/>
      <c r="E1025" s="276"/>
      <c r="F1025" s="134"/>
      <c r="G1025" s="134"/>
      <c r="H1025" s="277"/>
      <c r="I1025" s="277"/>
      <c r="J1025" s="134"/>
      <c r="K1025" s="134"/>
      <c r="L1025" s="134"/>
      <c r="M1025" s="280"/>
      <c r="N1025" s="280"/>
      <c r="O1025" s="280"/>
      <c r="P1025" s="280"/>
      <c r="Q1025" s="280"/>
      <c r="R1025" s="280"/>
      <c r="S1025" s="276"/>
      <c r="T1025" s="276"/>
      <c r="U1025" s="277"/>
      <c r="V1025" s="134"/>
      <c r="W1025" s="134"/>
      <c r="X1025" s="277"/>
      <c r="Y1025" s="134"/>
      <c r="Z1025" s="134"/>
      <c r="AA1025" s="134"/>
      <c r="AB1025" s="278"/>
      <c r="AC1025" s="279"/>
      <c r="AD1025" s="280"/>
      <c r="AE1025" s="281"/>
      <c r="AF1025" s="281"/>
      <c r="AG1025" s="282"/>
      <c r="AH1025" s="282"/>
      <c r="AK1025" s="284"/>
      <c r="AL1025" s="284"/>
      <c r="AM1025" s="282"/>
      <c r="AN1025" s="282"/>
      <c r="AO1025" s="281"/>
      <c r="AP1025" s="281"/>
      <c r="AS1025" s="285"/>
      <c r="AT1025" s="285"/>
      <c r="AU1025" s="284"/>
      <c r="AV1025" s="284"/>
      <c r="AY1025" s="286"/>
      <c r="AZ1025" s="286"/>
      <c r="BA1025" s="281"/>
      <c r="BB1025" s="281"/>
    </row>
    <row r="1026" spans="1:54" s="283" customFormat="1" ht="19.5" customHeight="1">
      <c r="A1026" s="275"/>
      <c r="B1026" s="276"/>
      <c r="C1026" s="276"/>
      <c r="D1026" s="276"/>
      <c r="E1026" s="276"/>
      <c r="F1026" s="134"/>
      <c r="G1026" s="134"/>
      <c r="H1026" s="277"/>
      <c r="I1026" s="277"/>
      <c r="J1026" s="134"/>
      <c r="K1026" s="134"/>
      <c r="L1026" s="134"/>
      <c r="M1026" s="280"/>
      <c r="N1026" s="280"/>
      <c r="O1026" s="280"/>
      <c r="P1026" s="280"/>
      <c r="Q1026" s="280"/>
      <c r="R1026" s="280"/>
      <c r="S1026" s="276"/>
      <c r="T1026" s="276"/>
      <c r="U1026" s="277"/>
      <c r="V1026" s="134"/>
      <c r="W1026" s="134"/>
      <c r="X1026" s="277"/>
      <c r="Y1026" s="134"/>
      <c r="Z1026" s="134"/>
      <c r="AA1026" s="134"/>
      <c r="AB1026" s="278"/>
      <c r="AC1026" s="279"/>
      <c r="AD1026" s="280"/>
      <c r="AE1026" s="281"/>
      <c r="AF1026" s="281"/>
      <c r="AG1026" s="282"/>
      <c r="AH1026" s="282"/>
      <c r="AK1026" s="284"/>
      <c r="AL1026" s="284"/>
      <c r="AM1026" s="282"/>
      <c r="AN1026" s="282"/>
      <c r="AO1026" s="281"/>
      <c r="AP1026" s="281"/>
      <c r="AS1026" s="285"/>
      <c r="AT1026" s="285"/>
      <c r="AU1026" s="284"/>
      <c r="AV1026" s="284"/>
      <c r="AY1026" s="286"/>
      <c r="AZ1026" s="286"/>
      <c r="BA1026" s="281"/>
      <c r="BB1026" s="281"/>
    </row>
    <row r="1027" spans="1:54" s="283" customFormat="1" ht="19.5" customHeight="1">
      <c r="A1027" s="275"/>
      <c r="B1027" s="276"/>
      <c r="C1027" s="276"/>
      <c r="D1027" s="276"/>
      <c r="E1027" s="276"/>
      <c r="F1027" s="134"/>
      <c r="G1027" s="134"/>
      <c r="H1027" s="277"/>
      <c r="I1027" s="277"/>
      <c r="J1027" s="134"/>
      <c r="K1027" s="134"/>
      <c r="L1027" s="134"/>
      <c r="M1027" s="280"/>
      <c r="N1027" s="280"/>
      <c r="O1027" s="280"/>
      <c r="P1027" s="280"/>
      <c r="Q1027" s="280"/>
      <c r="R1027" s="280"/>
      <c r="S1027" s="276"/>
      <c r="T1027" s="276"/>
      <c r="U1027" s="277"/>
      <c r="V1027" s="134"/>
      <c r="W1027" s="134"/>
      <c r="X1027" s="277"/>
      <c r="Y1027" s="134"/>
      <c r="Z1027" s="134"/>
      <c r="AA1027" s="134"/>
      <c r="AB1027" s="278"/>
      <c r="AC1027" s="279"/>
      <c r="AD1027" s="280"/>
      <c r="AE1027" s="281"/>
      <c r="AF1027" s="281"/>
      <c r="AG1027" s="282"/>
      <c r="AH1027" s="282"/>
      <c r="AK1027" s="284"/>
      <c r="AL1027" s="284"/>
      <c r="AM1027" s="282"/>
      <c r="AN1027" s="282"/>
      <c r="AO1027" s="281"/>
      <c r="AP1027" s="281"/>
      <c r="AS1027" s="285"/>
      <c r="AT1027" s="285"/>
      <c r="AU1027" s="284"/>
      <c r="AV1027" s="284"/>
      <c r="AY1027" s="286"/>
      <c r="AZ1027" s="286"/>
      <c r="BA1027" s="281"/>
      <c r="BB1027" s="281"/>
    </row>
    <row r="1028" spans="1:54" s="283" customFormat="1" ht="19.5" customHeight="1">
      <c r="A1028" s="275"/>
      <c r="B1028" s="276"/>
      <c r="C1028" s="276"/>
      <c r="D1028" s="276"/>
      <c r="E1028" s="276"/>
      <c r="F1028" s="134"/>
      <c r="G1028" s="134"/>
      <c r="H1028" s="277"/>
      <c r="I1028" s="277"/>
      <c r="J1028" s="134"/>
      <c r="K1028" s="134"/>
      <c r="L1028" s="134"/>
      <c r="M1028" s="280"/>
      <c r="N1028" s="280"/>
      <c r="O1028" s="280"/>
      <c r="P1028" s="280"/>
      <c r="Q1028" s="280"/>
      <c r="R1028" s="280"/>
      <c r="S1028" s="276"/>
      <c r="T1028" s="276"/>
      <c r="U1028" s="277"/>
      <c r="V1028" s="134"/>
      <c r="W1028" s="134"/>
      <c r="X1028" s="277"/>
      <c r="Y1028" s="134"/>
      <c r="Z1028" s="134"/>
      <c r="AA1028" s="134"/>
      <c r="AB1028" s="278"/>
      <c r="AC1028" s="279"/>
      <c r="AD1028" s="280"/>
      <c r="AE1028" s="281"/>
      <c r="AF1028" s="281"/>
      <c r="AG1028" s="282"/>
      <c r="AH1028" s="282"/>
      <c r="AK1028" s="284"/>
      <c r="AL1028" s="284"/>
      <c r="AM1028" s="282"/>
      <c r="AN1028" s="282"/>
      <c r="AO1028" s="281"/>
      <c r="AP1028" s="281"/>
      <c r="AS1028" s="285"/>
      <c r="AT1028" s="285"/>
      <c r="AU1028" s="284"/>
      <c r="AV1028" s="284"/>
      <c r="AY1028" s="286"/>
      <c r="AZ1028" s="286"/>
      <c r="BA1028" s="281"/>
      <c r="BB1028" s="281"/>
    </row>
    <row r="1029" spans="1:54" s="283" customFormat="1" ht="19.5" customHeight="1">
      <c r="A1029" s="275"/>
      <c r="B1029" s="276"/>
      <c r="C1029" s="276"/>
      <c r="D1029" s="276"/>
      <c r="E1029" s="276"/>
      <c r="F1029" s="134"/>
      <c r="G1029" s="134"/>
      <c r="H1029" s="277"/>
      <c r="I1029" s="277"/>
      <c r="J1029" s="134"/>
      <c r="K1029" s="134"/>
      <c r="L1029" s="134"/>
      <c r="M1029" s="280"/>
      <c r="N1029" s="280"/>
      <c r="O1029" s="280"/>
      <c r="P1029" s="280"/>
      <c r="Q1029" s="280"/>
      <c r="R1029" s="280"/>
      <c r="S1029" s="276"/>
      <c r="T1029" s="276"/>
      <c r="U1029" s="277"/>
      <c r="V1029" s="134"/>
      <c r="W1029" s="134"/>
      <c r="X1029" s="277"/>
      <c r="Y1029" s="134"/>
      <c r="Z1029" s="134"/>
      <c r="AA1029" s="134"/>
      <c r="AB1029" s="278"/>
      <c r="AC1029" s="279"/>
      <c r="AD1029" s="280"/>
      <c r="AE1029" s="281"/>
      <c r="AF1029" s="281"/>
      <c r="AG1029" s="282"/>
      <c r="AH1029" s="282"/>
      <c r="AK1029" s="284"/>
      <c r="AL1029" s="284"/>
      <c r="AM1029" s="282"/>
      <c r="AN1029" s="282"/>
      <c r="AO1029" s="281"/>
      <c r="AP1029" s="281"/>
      <c r="AS1029" s="285"/>
      <c r="AT1029" s="285"/>
      <c r="AU1029" s="284"/>
      <c r="AV1029" s="284"/>
      <c r="AY1029" s="286"/>
      <c r="AZ1029" s="286"/>
      <c r="BA1029" s="281"/>
      <c r="BB1029" s="281"/>
    </row>
    <row r="1030" spans="1:54" s="283" customFormat="1" ht="19.5" customHeight="1">
      <c r="A1030" s="275"/>
      <c r="B1030" s="276"/>
      <c r="C1030" s="276"/>
      <c r="D1030" s="276"/>
      <c r="E1030" s="276"/>
      <c r="F1030" s="134"/>
      <c r="G1030" s="134"/>
      <c r="H1030" s="277"/>
      <c r="I1030" s="277"/>
      <c r="J1030" s="134"/>
      <c r="K1030" s="134"/>
      <c r="L1030" s="134"/>
      <c r="M1030" s="280"/>
      <c r="N1030" s="280"/>
      <c r="O1030" s="280"/>
      <c r="P1030" s="280"/>
      <c r="Q1030" s="280"/>
      <c r="R1030" s="280"/>
      <c r="S1030" s="276"/>
      <c r="T1030" s="276"/>
      <c r="U1030" s="277"/>
      <c r="V1030" s="134"/>
      <c r="W1030" s="134"/>
      <c r="X1030" s="277"/>
      <c r="Y1030" s="134"/>
      <c r="Z1030" s="134"/>
      <c r="AA1030" s="134"/>
      <c r="AB1030" s="278"/>
      <c r="AC1030" s="279"/>
      <c r="AD1030" s="280"/>
      <c r="AE1030" s="281"/>
      <c r="AF1030" s="281"/>
      <c r="AG1030" s="282"/>
      <c r="AH1030" s="282"/>
      <c r="AK1030" s="284"/>
      <c r="AL1030" s="284"/>
      <c r="AM1030" s="282"/>
      <c r="AN1030" s="282"/>
      <c r="AO1030" s="281"/>
      <c r="AP1030" s="281"/>
      <c r="AS1030" s="285"/>
      <c r="AT1030" s="285"/>
      <c r="AU1030" s="284"/>
      <c r="AV1030" s="284"/>
      <c r="AY1030" s="286"/>
      <c r="AZ1030" s="286"/>
      <c r="BA1030" s="281"/>
      <c r="BB1030" s="281"/>
    </row>
    <row r="1031" spans="1:54" s="283" customFormat="1" ht="19.5" customHeight="1">
      <c r="A1031" s="275"/>
      <c r="B1031" s="276"/>
      <c r="C1031" s="276"/>
      <c r="D1031" s="276"/>
      <c r="E1031" s="276"/>
      <c r="F1031" s="134"/>
      <c r="G1031" s="134"/>
      <c r="H1031" s="277"/>
      <c r="I1031" s="277"/>
      <c r="J1031" s="134"/>
      <c r="K1031" s="134"/>
      <c r="L1031" s="134"/>
      <c r="M1031" s="280"/>
      <c r="N1031" s="280"/>
      <c r="O1031" s="280"/>
      <c r="P1031" s="280"/>
      <c r="Q1031" s="280"/>
      <c r="R1031" s="280"/>
      <c r="S1031" s="276"/>
      <c r="T1031" s="276"/>
      <c r="U1031" s="277"/>
      <c r="V1031" s="134"/>
      <c r="W1031" s="134"/>
      <c r="X1031" s="277"/>
      <c r="Y1031" s="134"/>
      <c r="Z1031" s="134"/>
      <c r="AA1031" s="134"/>
      <c r="AB1031" s="278"/>
      <c r="AC1031" s="279"/>
      <c r="AD1031" s="280"/>
      <c r="AE1031" s="281"/>
      <c r="AF1031" s="281"/>
      <c r="AG1031" s="282"/>
      <c r="AH1031" s="282"/>
      <c r="AK1031" s="284"/>
      <c r="AL1031" s="284"/>
      <c r="AM1031" s="282"/>
      <c r="AN1031" s="282"/>
      <c r="AO1031" s="281"/>
      <c r="AP1031" s="281"/>
      <c r="AS1031" s="285"/>
      <c r="AT1031" s="285"/>
      <c r="AU1031" s="284"/>
      <c r="AV1031" s="284"/>
      <c r="AY1031" s="286"/>
      <c r="AZ1031" s="286"/>
      <c r="BA1031" s="281"/>
      <c r="BB1031" s="281"/>
    </row>
    <row r="1032" spans="1:54" s="283" customFormat="1" ht="19.5" customHeight="1">
      <c r="A1032" s="275"/>
      <c r="B1032" s="276"/>
      <c r="C1032" s="276"/>
      <c r="D1032" s="276"/>
      <c r="E1032" s="276"/>
      <c r="F1032" s="134"/>
      <c r="G1032" s="134"/>
      <c r="H1032" s="277"/>
      <c r="I1032" s="277"/>
      <c r="J1032" s="134"/>
      <c r="K1032" s="134"/>
      <c r="L1032" s="134"/>
      <c r="M1032" s="280"/>
      <c r="N1032" s="280"/>
      <c r="O1032" s="280"/>
      <c r="P1032" s="280"/>
      <c r="Q1032" s="280"/>
      <c r="R1032" s="280"/>
      <c r="S1032" s="276"/>
      <c r="T1032" s="276"/>
      <c r="U1032" s="277"/>
      <c r="V1032" s="134"/>
      <c r="W1032" s="134"/>
      <c r="X1032" s="277"/>
      <c r="Y1032" s="134"/>
      <c r="Z1032" s="134"/>
      <c r="AA1032" s="134"/>
      <c r="AB1032" s="278"/>
      <c r="AC1032" s="279"/>
      <c r="AD1032" s="280"/>
      <c r="AE1032" s="281"/>
      <c r="AF1032" s="281"/>
      <c r="AG1032" s="282"/>
      <c r="AH1032" s="282"/>
      <c r="AK1032" s="284"/>
      <c r="AL1032" s="284"/>
      <c r="AM1032" s="282"/>
      <c r="AN1032" s="282"/>
      <c r="AO1032" s="281"/>
      <c r="AP1032" s="281"/>
      <c r="AS1032" s="285"/>
      <c r="AT1032" s="285"/>
      <c r="AU1032" s="284"/>
      <c r="AV1032" s="284"/>
      <c r="AY1032" s="286"/>
      <c r="AZ1032" s="286"/>
      <c r="BA1032" s="281"/>
      <c r="BB1032" s="281"/>
    </row>
    <row r="1033" spans="1:54" s="283" customFormat="1" ht="19.5" customHeight="1">
      <c r="A1033" s="275"/>
      <c r="B1033" s="276"/>
      <c r="C1033" s="276"/>
      <c r="D1033" s="276"/>
      <c r="E1033" s="276"/>
      <c r="F1033" s="134"/>
      <c r="G1033" s="134"/>
      <c r="H1033" s="277"/>
      <c r="I1033" s="277"/>
      <c r="J1033" s="134"/>
      <c r="K1033" s="134"/>
      <c r="L1033" s="134"/>
      <c r="M1033" s="280"/>
      <c r="N1033" s="280"/>
      <c r="O1033" s="280"/>
      <c r="P1033" s="280"/>
      <c r="Q1033" s="280"/>
      <c r="R1033" s="280"/>
      <c r="S1033" s="276"/>
      <c r="T1033" s="276"/>
      <c r="U1033" s="277"/>
      <c r="V1033" s="134"/>
      <c r="W1033" s="134"/>
      <c r="X1033" s="277"/>
      <c r="Y1033" s="134"/>
      <c r="Z1033" s="134"/>
      <c r="AA1033" s="134"/>
      <c r="AB1033" s="278"/>
      <c r="AC1033" s="279"/>
      <c r="AD1033" s="280"/>
      <c r="AE1033" s="281"/>
      <c r="AF1033" s="281"/>
      <c r="AG1033" s="282"/>
      <c r="AH1033" s="282"/>
      <c r="AK1033" s="284"/>
      <c r="AL1033" s="284"/>
      <c r="AM1033" s="282"/>
      <c r="AN1033" s="282"/>
      <c r="AO1033" s="281"/>
      <c r="AP1033" s="281"/>
      <c r="AS1033" s="285"/>
      <c r="AT1033" s="285"/>
      <c r="AU1033" s="284"/>
      <c r="AV1033" s="284"/>
      <c r="AY1033" s="286"/>
      <c r="AZ1033" s="286"/>
      <c r="BA1033" s="281"/>
      <c r="BB1033" s="281"/>
    </row>
    <row r="1034" spans="1:54" s="283" customFormat="1" ht="19.5" customHeight="1">
      <c r="A1034" s="275"/>
      <c r="B1034" s="276"/>
      <c r="C1034" s="276"/>
      <c r="D1034" s="276"/>
      <c r="E1034" s="276"/>
      <c r="F1034" s="134"/>
      <c r="G1034" s="134"/>
      <c r="H1034" s="277"/>
      <c r="I1034" s="277"/>
      <c r="J1034" s="134"/>
      <c r="K1034" s="134"/>
      <c r="L1034" s="134"/>
      <c r="M1034" s="280"/>
      <c r="N1034" s="280"/>
      <c r="O1034" s="280"/>
      <c r="P1034" s="280"/>
      <c r="Q1034" s="280"/>
      <c r="R1034" s="280"/>
      <c r="S1034" s="276"/>
      <c r="T1034" s="276"/>
      <c r="U1034" s="277"/>
      <c r="V1034" s="134"/>
      <c r="W1034" s="134"/>
      <c r="X1034" s="277"/>
      <c r="Y1034" s="134"/>
      <c r="Z1034" s="134"/>
      <c r="AA1034" s="134"/>
      <c r="AB1034" s="278"/>
      <c r="AC1034" s="279"/>
      <c r="AD1034" s="280"/>
      <c r="AE1034" s="281"/>
      <c r="AF1034" s="281"/>
      <c r="AG1034" s="282"/>
      <c r="AH1034" s="282"/>
      <c r="AK1034" s="284"/>
      <c r="AL1034" s="284"/>
      <c r="AM1034" s="282"/>
      <c r="AN1034" s="282"/>
      <c r="AO1034" s="281"/>
      <c r="AP1034" s="281"/>
      <c r="AS1034" s="285"/>
      <c r="AT1034" s="285"/>
      <c r="AU1034" s="284"/>
      <c r="AV1034" s="284"/>
      <c r="AY1034" s="286"/>
      <c r="AZ1034" s="286"/>
      <c r="BA1034" s="281"/>
      <c r="BB1034" s="281"/>
    </row>
    <row r="1035" spans="1:54" s="283" customFormat="1" ht="19.5" customHeight="1">
      <c r="A1035" s="275"/>
      <c r="B1035" s="276"/>
      <c r="C1035" s="276"/>
      <c r="D1035" s="276"/>
      <c r="E1035" s="276"/>
      <c r="F1035" s="134"/>
      <c r="G1035" s="134"/>
      <c r="H1035" s="277"/>
      <c r="I1035" s="277"/>
      <c r="J1035" s="134"/>
      <c r="K1035" s="134"/>
      <c r="L1035" s="134"/>
      <c r="M1035" s="280"/>
      <c r="N1035" s="280"/>
      <c r="O1035" s="280"/>
      <c r="P1035" s="280"/>
      <c r="Q1035" s="280"/>
      <c r="R1035" s="280"/>
      <c r="S1035" s="276"/>
      <c r="T1035" s="276"/>
      <c r="U1035" s="277"/>
      <c r="V1035" s="134"/>
      <c r="W1035" s="134"/>
      <c r="X1035" s="277"/>
      <c r="Y1035" s="134"/>
      <c r="Z1035" s="134"/>
      <c r="AA1035" s="134"/>
      <c r="AB1035" s="278"/>
      <c r="AC1035" s="279"/>
      <c r="AD1035" s="280"/>
      <c r="AE1035" s="281"/>
      <c r="AF1035" s="281"/>
      <c r="AG1035" s="282"/>
      <c r="AH1035" s="282"/>
      <c r="AK1035" s="284"/>
      <c r="AL1035" s="284"/>
      <c r="AM1035" s="282"/>
      <c r="AN1035" s="282"/>
      <c r="AO1035" s="281"/>
      <c r="AP1035" s="281"/>
      <c r="AS1035" s="285"/>
      <c r="AT1035" s="285"/>
      <c r="AU1035" s="284"/>
      <c r="AV1035" s="284"/>
      <c r="AY1035" s="286"/>
      <c r="AZ1035" s="286"/>
      <c r="BA1035" s="281"/>
      <c r="BB1035" s="281"/>
    </row>
    <row r="1036" spans="1:54" s="283" customFormat="1" ht="19.5" customHeight="1">
      <c r="A1036" s="275"/>
      <c r="B1036" s="276"/>
      <c r="C1036" s="276"/>
      <c r="D1036" s="276"/>
      <c r="E1036" s="276"/>
      <c r="F1036" s="134"/>
      <c r="G1036" s="134"/>
      <c r="H1036" s="277"/>
      <c r="I1036" s="277"/>
      <c r="J1036" s="134"/>
      <c r="K1036" s="134"/>
      <c r="L1036" s="134"/>
      <c r="M1036" s="280"/>
      <c r="N1036" s="280"/>
      <c r="O1036" s="280"/>
      <c r="P1036" s="280"/>
      <c r="Q1036" s="280"/>
      <c r="R1036" s="280"/>
      <c r="S1036" s="276"/>
      <c r="T1036" s="276"/>
      <c r="U1036" s="277"/>
      <c r="V1036" s="134"/>
      <c r="W1036" s="134"/>
      <c r="X1036" s="277"/>
      <c r="Y1036" s="134"/>
      <c r="Z1036" s="134"/>
      <c r="AA1036" s="134"/>
      <c r="AB1036" s="278"/>
      <c r="AC1036" s="279"/>
      <c r="AD1036" s="280"/>
      <c r="AE1036" s="281"/>
      <c r="AF1036" s="281"/>
      <c r="AG1036" s="282"/>
      <c r="AH1036" s="282"/>
      <c r="AK1036" s="284"/>
      <c r="AL1036" s="284"/>
      <c r="AM1036" s="282"/>
      <c r="AN1036" s="282"/>
      <c r="AO1036" s="281"/>
      <c r="AP1036" s="281"/>
      <c r="AS1036" s="285"/>
      <c r="AT1036" s="285"/>
      <c r="AU1036" s="284"/>
      <c r="AV1036" s="284"/>
      <c r="AY1036" s="286"/>
      <c r="AZ1036" s="286"/>
      <c r="BA1036" s="281"/>
      <c r="BB1036" s="281"/>
    </row>
    <row r="1037" spans="1:54" s="283" customFormat="1" ht="19.5" customHeight="1">
      <c r="A1037" s="275"/>
      <c r="B1037" s="276"/>
      <c r="C1037" s="276"/>
      <c r="D1037" s="276"/>
      <c r="E1037" s="276"/>
      <c r="F1037" s="134"/>
      <c r="G1037" s="134"/>
      <c r="H1037" s="277"/>
      <c r="I1037" s="277"/>
      <c r="J1037" s="134"/>
      <c r="K1037" s="134"/>
      <c r="L1037" s="134"/>
      <c r="M1037" s="280"/>
      <c r="N1037" s="280"/>
      <c r="O1037" s="280"/>
      <c r="P1037" s="280"/>
      <c r="Q1037" s="280"/>
      <c r="R1037" s="280"/>
      <c r="S1037" s="276"/>
      <c r="T1037" s="276"/>
      <c r="U1037" s="277"/>
      <c r="V1037" s="134"/>
      <c r="W1037" s="134"/>
      <c r="X1037" s="277"/>
      <c r="Y1037" s="134"/>
      <c r="Z1037" s="134"/>
      <c r="AA1037" s="134"/>
      <c r="AB1037" s="278"/>
      <c r="AC1037" s="279"/>
      <c r="AD1037" s="280"/>
      <c r="AE1037" s="281"/>
      <c r="AF1037" s="281"/>
      <c r="AG1037" s="282"/>
      <c r="AH1037" s="282"/>
      <c r="AK1037" s="284"/>
      <c r="AL1037" s="284"/>
      <c r="AM1037" s="282"/>
      <c r="AN1037" s="282"/>
      <c r="AO1037" s="281"/>
      <c r="AP1037" s="281"/>
      <c r="AS1037" s="285"/>
      <c r="AT1037" s="285"/>
      <c r="AU1037" s="284"/>
      <c r="AV1037" s="284"/>
      <c r="AY1037" s="286"/>
      <c r="AZ1037" s="286"/>
      <c r="BA1037" s="281"/>
      <c r="BB1037" s="281"/>
    </row>
    <row r="1038" spans="1:54" s="283" customFormat="1" ht="19.5" customHeight="1">
      <c r="A1038" s="275"/>
      <c r="B1038" s="276"/>
      <c r="C1038" s="276"/>
      <c r="D1038" s="276"/>
      <c r="E1038" s="276"/>
      <c r="F1038" s="134"/>
      <c r="G1038" s="134"/>
      <c r="H1038" s="277"/>
      <c r="I1038" s="277"/>
      <c r="J1038" s="134"/>
      <c r="K1038" s="134"/>
      <c r="L1038" s="134"/>
      <c r="M1038" s="280"/>
      <c r="N1038" s="280"/>
      <c r="O1038" s="280"/>
      <c r="P1038" s="280"/>
      <c r="Q1038" s="280"/>
      <c r="R1038" s="280"/>
      <c r="S1038" s="276"/>
      <c r="T1038" s="276"/>
      <c r="U1038" s="277"/>
      <c r="V1038" s="134"/>
      <c r="W1038" s="134"/>
      <c r="X1038" s="277"/>
      <c r="Y1038" s="134"/>
      <c r="Z1038" s="134"/>
      <c r="AA1038" s="134"/>
      <c r="AB1038" s="278"/>
      <c r="AC1038" s="279"/>
      <c r="AD1038" s="280"/>
      <c r="AE1038" s="281"/>
      <c r="AF1038" s="281"/>
      <c r="AG1038" s="282"/>
      <c r="AH1038" s="282"/>
      <c r="AK1038" s="284"/>
      <c r="AL1038" s="284"/>
      <c r="AM1038" s="282"/>
      <c r="AN1038" s="282"/>
      <c r="AO1038" s="281"/>
      <c r="AP1038" s="281"/>
      <c r="AS1038" s="285"/>
      <c r="AT1038" s="285"/>
      <c r="AU1038" s="284"/>
      <c r="AV1038" s="284"/>
      <c r="AY1038" s="286"/>
      <c r="AZ1038" s="286"/>
      <c r="BA1038" s="281"/>
      <c r="BB1038" s="281"/>
    </row>
    <row r="1039" spans="1:54" s="283" customFormat="1" ht="19.5" customHeight="1">
      <c r="A1039" s="275"/>
      <c r="B1039" s="276"/>
      <c r="C1039" s="276"/>
      <c r="D1039" s="276"/>
      <c r="E1039" s="276"/>
      <c r="F1039" s="134"/>
      <c r="G1039" s="134"/>
      <c r="H1039" s="277"/>
      <c r="I1039" s="277"/>
      <c r="J1039" s="134"/>
      <c r="K1039" s="134"/>
      <c r="L1039" s="134"/>
      <c r="M1039" s="280"/>
      <c r="N1039" s="280"/>
      <c r="O1039" s="280"/>
      <c r="P1039" s="280"/>
      <c r="Q1039" s="280"/>
      <c r="R1039" s="280"/>
      <c r="S1039" s="276"/>
      <c r="T1039" s="276"/>
      <c r="U1039" s="277"/>
      <c r="V1039" s="134"/>
      <c r="W1039" s="134"/>
      <c r="X1039" s="277"/>
      <c r="Y1039" s="134"/>
      <c r="Z1039" s="134"/>
      <c r="AA1039" s="134"/>
      <c r="AB1039" s="278"/>
      <c r="AC1039" s="279"/>
      <c r="AD1039" s="280"/>
      <c r="AE1039" s="281"/>
      <c r="AF1039" s="281"/>
      <c r="AG1039" s="282"/>
      <c r="AH1039" s="282"/>
      <c r="AK1039" s="284"/>
      <c r="AL1039" s="284"/>
      <c r="AM1039" s="282"/>
      <c r="AN1039" s="282"/>
      <c r="AO1039" s="281"/>
      <c r="AP1039" s="281"/>
      <c r="AS1039" s="285"/>
      <c r="AT1039" s="285"/>
      <c r="AU1039" s="284"/>
      <c r="AV1039" s="284"/>
      <c r="AY1039" s="286"/>
      <c r="AZ1039" s="286"/>
      <c r="BA1039" s="281"/>
      <c r="BB1039" s="281"/>
    </row>
    <row r="1040" spans="1:54" s="283" customFormat="1" ht="19.5" customHeight="1">
      <c r="A1040" s="275"/>
      <c r="B1040" s="276"/>
      <c r="C1040" s="276"/>
      <c r="D1040" s="276"/>
      <c r="E1040" s="276"/>
      <c r="F1040" s="134"/>
      <c r="G1040" s="134"/>
      <c r="H1040" s="277"/>
      <c r="I1040" s="277"/>
      <c r="J1040" s="134"/>
      <c r="K1040" s="134"/>
      <c r="L1040" s="134"/>
      <c r="M1040" s="280"/>
      <c r="N1040" s="280"/>
      <c r="O1040" s="280"/>
      <c r="P1040" s="280"/>
      <c r="Q1040" s="280"/>
      <c r="R1040" s="280"/>
      <c r="S1040" s="276"/>
      <c r="T1040" s="276"/>
      <c r="U1040" s="277"/>
      <c r="V1040" s="134"/>
      <c r="W1040" s="134"/>
      <c r="X1040" s="277"/>
      <c r="Y1040" s="134"/>
      <c r="Z1040" s="134"/>
      <c r="AA1040" s="134"/>
      <c r="AB1040" s="278"/>
      <c r="AC1040" s="279"/>
      <c r="AD1040" s="280"/>
      <c r="AE1040" s="281"/>
      <c r="AF1040" s="281"/>
      <c r="AG1040" s="282"/>
      <c r="AH1040" s="282"/>
      <c r="AK1040" s="284"/>
      <c r="AL1040" s="284"/>
      <c r="AM1040" s="282"/>
      <c r="AN1040" s="282"/>
      <c r="AO1040" s="281"/>
      <c r="AP1040" s="281"/>
      <c r="AS1040" s="285"/>
      <c r="AT1040" s="285"/>
      <c r="AU1040" s="284"/>
      <c r="AV1040" s="284"/>
      <c r="AY1040" s="286"/>
      <c r="AZ1040" s="286"/>
      <c r="BA1040" s="281"/>
      <c r="BB1040" s="281"/>
    </row>
    <row r="1041" spans="1:54" s="283" customFormat="1" ht="19.5" customHeight="1">
      <c r="A1041" s="275"/>
      <c r="B1041" s="276"/>
      <c r="C1041" s="276"/>
      <c r="D1041" s="276"/>
      <c r="E1041" s="276"/>
      <c r="F1041" s="134"/>
      <c r="G1041" s="134"/>
      <c r="H1041" s="277"/>
      <c r="I1041" s="277"/>
      <c r="J1041" s="134"/>
      <c r="K1041" s="134"/>
      <c r="L1041" s="134"/>
      <c r="M1041" s="280"/>
      <c r="N1041" s="280"/>
      <c r="O1041" s="280"/>
      <c r="P1041" s="280"/>
      <c r="Q1041" s="280"/>
      <c r="R1041" s="280"/>
      <c r="S1041" s="276"/>
      <c r="T1041" s="276"/>
      <c r="U1041" s="277"/>
      <c r="V1041" s="134"/>
      <c r="W1041" s="134"/>
      <c r="X1041" s="277"/>
      <c r="Y1041" s="134"/>
      <c r="Z1041" s="134"/>
      <c r="AA1041" s="134"/>
      <c r="AB1041" s="278"/>
      <c r="AC1041" s="279"/>
      <c r="AD1041" s="280"/>
      <c r="AE1041" s="281"/>
      <c r="AF1041" s="281"/>
      <c r="AG1041" s="282"/>
      <c r="AH1041" s="282"/>
      <c r="AK1041" s="284"/>
      <c r="AL1041" s="284"/>
      <c r="AM1041" s="282"/>
      <c r="AN1041" s="282"/>
      <c r="AO1041" s="281"/>
      <c r="AP1041" s="281"/>
      <c r="AS1041" s="285"/>
      <c r="AT1041" s="285"/>
      <c r="AU1041" s="284"/>
      <c r="AV1041" s="284"/>
      <c r="AY1041" s="286"/>
      <c r="AZ1041" s="286"/>
      <c r="BA1041" s="281"/>
      <c r="BB1041" s="281"/>
    </row>
    <row r="1042" spans="1:54" s="283" customFormat="1" ht="19.5" customHeight="1">
      <c r="A1042" s="275"/>
      <c r="B1042" s="276"/>
      <c r="C1042" s="276"/>
      <c r="D1042" s="276"/>
      <c r="E1042" s="276"/>
      <c r="F1042" s="134"/>
      <c r="G1042" s="134"/>
      <c r="H1042" s="277"/>
      <c r="I1042" s="277"/>
      <c r="J1042" s="134"/>
      <c r="K1042" s="134"/>
      <c r="L1042" s="134"/>
      <c r="M1042" s="280"/>
      <c r="N1042" s="280"/>
      <c r="O1042" s="280"/>
      <c r="P1042" s="280"/>
      <c r="Q1042" s="280"/>
      <c r="R1042" s="280"/>
      <c r="S1042" s="276"/>
      <c r="T1042" s="276"/>
      <c r="U1042" s="277"/>
      <c r="V1042" s="134"/>
      <c r="W1042" s="134"/>
      <c r="X1042" s="277"/>
      <c r="Y1042" s="134"/>
      <c r="Z1042" s="134"/>
      <c r="AA1042" s="134"/>
      <c r="AB1042" s="278"/>
      <c r="AC1042" s="279"/>
      <c r="AD1042" s="280"/>
      <c r="AE1042" s="281"/>
      <c r="AF1042" s="281"/>
      <c r="AG1042" s="282"/>
      <c r="AH1042" s="282"/>
      <c r="AK1042" s="284"/>
      <c r="AL1042" s="284"/>
      <c r="AM1042" s="282"/>
      <c r="AN1042" s="282"/>
      <c r="AO1042" s="281"/>
      <c r="AP1042" s="281"/>
      <c r="AS1042" s="285"/>
      <c r="AT1042" s="285"/>
      <c r="AU1042" s="284"/>
      <c r="AV1042" s="284"/>
      <c r="AY1042" s="286"/>
      <c r="AZ1042" s="286"/>
      <c r="BA1042" s="281"/>
      <c r="BB1042" s="281"/>
    </row>
    <row r="1043" spans="1:54" s="283" customFormat="1" ht="19.5" customHeight="1">
      <c r="A1043" s="275"/>
      <c r="B1043" s="276"/>
      <c r="C1043" s="276"/>
      <c r="D1043" s="276"/>
      <c r="E1043" s="276"/>
      <c r="F1043" s="134"/>
      <c r="G1043" s="134"/>
      <c r="H1043" s="277"/>
      <c r="I1043" s="277"/>
      <c r="J1043" s="134"/>
      <c r="K1043" s="134"/>
      <c r="L1043" s="134"/>
      <c r="M1043" s="280"/>
      <c r="N1043" s="280"/>
      <c r="O1043" s="280"/>
      <c r="P1043" s="280"/>
      <c r="Q1043" s="280"/>
      <c r="R1043" s="280"/>
      <c r="S1043" s="276"/>
      <c r="T1043" s="276"/>
      <c r="U1043" s="277"/>
      <c r="V1043" s="134"/>
      <c r="W1043" s="134"/>
      <c r="X1043" s="277"/>
      <c r="Y1043" s="134"/>
      <c r="Z1043" s="134"/>
      <c r="AA1043" s="134"/>
      <c r="AB1043" s="278"/>
      <c r="AC1043" s="279"/>
      <c r="AD1043" s="280"/>
      <c r="AE1043" s="281"/>
      <c r="AF1043" s="281"/>
      <c r="AG1043" s="282"/>
      <c r="AH1043" s="282"/>
      <c r="AK1043" s="284"/>
      <c r="AL1043" s="284"/>
      <c r="AM1043" s="282"/>
      <c r="AN1043" s="282"/>
      <c r="AO1043" s="281"/>
      <c r="AP1043" s="281"/>
      <c r="AS1043" s="285"/>
      <c r="AT1043" s="285"/>
      <c r="AU1043" s="284"/>
      <c r="AV1043" s="284"/>
      <c r="AY1043" s="286"/>
      <c r="AZ1043" s="286"/>
      <c r="BA1043" s="281"/>
      <c r="BB1043" s="281"/>
    </row>
    <row r="1044" spans="1:54" s="283" customFormat="1" ht="19.5" customHeight="1">
      <c r="A1044" s="275"/>
      <c r="B1044" s="276"/>
      <c r="C1044" s="276"/>
      <c r="D1044" s="276"/>
      <c r="E1044" s="276"/>
      <c r="F1044" s="134"/>
      <c r="G1044" s="134"/>
      <c r="H1044" s="277"/>
      <c r="I1044" s="277"/>
      <c r="J1044" s="134"/>
      <c r="K1044" s="134"/>
      <c r="L1044" s="134"/>
      <c r="M1044" s="280"/>
      <c r="N1044" s="280"/>
      <c r="O1044" s="280"/>
      <c r="P1044" s="280"/>
      <c r="Q1044" s="280"/>
      <c r="R1044" s="280"/>
      <c r="S1044" s="276"/>
      <c r="T1044" s="276"/>
      <c r="U1044" s="277"/>
      <c r="V1044" s="134"/>
      <c r="W1044" s="134"/>
      <c r="X1044" s="277"/>
      <c r="Y1044" s="134"/>
      <c r="Z1044" s="134"/>
      <c r="AA1044" s="134"/>
      <c r="AB1044" s="278"/>
      <c r="AC1044" s="279"/>
      <c r="AD1044" s="280"/>
      <c r="AE1044" s="281"/>
      <c r="AF1044" s="281"/>
      <c r="AG1044" s="282"/>
      <c r="AH1044" s="282"/>
      <c r="AK1044" s="284"/>
      <c r="AL1044" s="284"/>
      <c r="AM1044" s="282"/>
      <c r="AN1044" s="282"/>
      <c r="AO1044" s="281"/>
      <c r="AP1044" s="281"/>
      <c r="AS1044" s="285"/>
      <c r="AT1044" s="285"/>
      <c r="AU1044" s="284"/>
      <c r="AV1044" s="284"/>
      <c r="AY1044" s="286"/>
      <c r="AZ1044" s="286"/>
      <c r="BA1044" s="281"/>
      <c r="BB1044" s="281"/>
    </row>
    <row r="1045" spans="1:54" s="283" customFormat="1" ht="19.5" customHeight="1">
      <c r="A1045" s="275"/>
      <c r="B1045" s="276"/>
      <c r="C1045" s="276"/>
      <c r="D1045" s="276"/>
      <c r="E1045" s="276"/>
      <c r="F1045" s="134"/>
      <c r="G1045" s="134"/>
      <c r="H1045" s="277"/>
      <c r="I1045" s="277"/>
      <c r="J1045" s="134"/>
      <c r="K1045" s="134"/>
      <c r="L1045" s="134"/>
      <c r="M1045" s="280"/>
      <c r="N1045" s="280"/>
      <c r="O1045" s="280"/>
      <c r="P1045" s="280"/>
      <c r="Q1045" s="280"/>
      <c r="R1045" s="280"/>
      <c r="S1045" s="276"/>
      <c r="T1045" s="276"/>
      <c r="U1045" s="277"/>
      <c r="V1045" s="134"/>
      <c r="W1045" s="134"/>
      <c r="X1045" s="277"/>
      <c r="Y1045" s="134"/>
      <c r="Z1045" s="134"/>
      <c r="AA1045" s="134"/>
      <c r="AB1045" s="278"/>
      <c r="AC1045" s="279"/>
      <c r="AD1045" s="280"/>
      <c r="AE1045" s="281"/>
      <c r="AF1045" s="281"/>
      <c r="AG1045" s="282"/>
      <c r="AH1045" s="282"/>
      <c r="AK1045" s="284"/>
      <c r="AL1045" s="284"/>
      <c r="AM1045" s="282"/>
      <c r="AN1045" s="282"/>
      <c r="AO1045" s="281"/>
      <c r="AP1045" s="281"/>
      <c r="AS1045" s="285"/>
      <c r="AT1045" s="285"/>
      <c r="AU1045" s="284"/>
      <c r="AV1045" s="284"/>
      <c r="AY1045" s="286"/>
      <c r="AZ1045" s="286"/>
      <c r="BA1045" s="281"/>
      <c r="BB1045" s="281"/>
    </row>
    <row r="1046" spans="1:54" s="283" customFormat="1" ht="19.5" customHeight="1">
      <c r="A1046" s="275"/>
      <c r="B1046" s="276"/>
      <c r="C1046" s="276"/>
      <c r="D1046" s="276"/>
      <c r="E1046" s="276"/>
      <c r="F1046" s="134"/>
      <c r="G1046" s="134"/>
      <c r="H1046" s="277"/>
      <c r="I1046" s="277"/>
      <c r="J1046" s="134"/>
      <c r="K1046" s="134"/>
      <c r="L1046" s="134"/>
      <c r="M1046" s="280"/>
      <c r="N1046" s="280"/>
      <c r="O1046" s="280"/>
      <c r="P1046" s="280"/>
      <c r="Q1046" s="280"/>
      <c r="R1046" s="280"/>
      <c r="S1046" s="276"/>
      <c r="T1046" s="276"/>
      <c r="U1046" s="277"/>
      <c r="V1046" s="134"/>
      <c r="W1046" s="134"/>
      <c r="X1046" s="277"/>
      <c r="Y1046" s="134"/>
      <c r="Z1046" s="134"/>
      <c r="AA1046" s="134"/>
      <c r="AB1046" s="278"/>
      <c r="AC1046" s="279"/>
      <c r="AD1046" s="280"/>
      <c r="AE1046" s="281"/>
      <c r="AF1046" s="281"/>
      <c r="AG1046" s="282"/>
      <c r="AH1046" s="282"/>
      <c r="AK1046" s="284"/>
      <c r="AL1046" s="284"/>
      <c r="AM1046" s="282"/>
      <c r="AN1046" s="282"/>
      <c r="AO1046" s="281"/>
      <c r="AP1046" s="281"/>
      <c r="AS1046" s="285"/>
      <c r="AT1046" s="285"/>
      <c r="AU1046" s="284"/>
      <c r="AV1046" s="284"/>
      <c r="AY1046" s="286"/>
      <c r="AZ1046" s="286"/>
      <c r="BA1046" s="281"/>
      <c r="BB1046" s="281"/>
    </row>
    <row r="1047" spans="1:54" s="283" customFormat="1" ht="19.5" customHeight="1">
      <c r="A1047" s="275"/>
      <c r="B1047" s="276"/>
      <c r="C1047" s="276"/>
      <c r="D1047" s="276"/>
      <c r="E1047" s="276"/>
      <c r="F1047" s="134"/>
      <c r="G1047" s="134"/>
      <c r="H1047" s="277"/>
      <c r="I1047" s="277"/>
      <c r="J1047" s="134"/>
      <c r="K1047" s="134"/>
      <c r="L1047" s="134"/>
      <c r="M1047" s="280"/>
      <c r="N1047" s="280"/>
      <c r="O1047" s="280"/>
      <c r="P1047" s="280"/>
      <c r="Q1047" s="280"/>
      <c r="R1047" s="280"/>
      <c r="S1047" s="276"/>
      <c r="T1047" s="276"/>
      <c r="U1047" s="277"/>
      <c r="V1047" s="134"/>
      <c r="W1047" s="134"/>
      <c r="X1047" s="277"/>
      <c r="Y1047" s="134"/>
      <c r="Z1047" s="134"/>
      <c r="AA1047" s="134"/>
      <c r="AB1047" s="278"/>
      <c r="AC1047" s="279"/>
      <c r="AD1047" s="280"/>
      <c r="AE1047" s="281"/>
      <c r="AF1047" s="281"/>
      <c r="AG1047" s="282"/>
      <c r="AH1047" s="282"/>
      <c r="AK1047" s="284"/>
      <c r="AL1047" s="284"/>
      <c r="AM1047" s="282"/>
      <c r="AN1047" s="282"/>
      <c r="AO1047" s="281"/>
      <c r="AP1047" s="281"/>
      <c r="AS1047" s="285"/>
      <c r="AT1047" s="285"/>
      <c r="AU1047" s="284"/>
      <c r="AV1047" s="284"/>
      <c r="AY1047" s="286"/>
      <c r="AZ1047" s="286"/>
      <c r="BA1047" s="281"/>
      <c r="BB1047" s="281"/>
    </row>
    <row r="1048" spans="1:54" s="283" customFormat="1" ht="19.5" customHeight="1">
      <c r="A1048" s="275"/>
      <c r="B1048" s="276"/>
      <c r="C1048" s="276"/>
      <c r="D1048" s="276"/>
      <c r="E1048" s="276"/>
      <c r="F1048" s="134"/>
      <c r="G1048" s="134"/>
      <c r="H1048" s="277"/>
      <c r="I1048" s="277"/>
      <c r="J1048" s="134"/>
      <c r="K1048" s="134"/>
      <c r="L1048" s="134"/>
      <c r="M1048" s="280"/>
      <c r="N1048" s="280"/>
      <c r="O1048" s="280"/>
      <c r="P1048" s="280"/>
      <c r="Q1048" s="280"/>
      <c r="R1048" s="280"/>
      <c r="S1048" s="276"/>
      <c r="T1048" s="276"/>
      <c r="U1048" s="277"/>
      <c r="V1048" s="134"/>
      <c r="W1048" s="134"/>
      <c r="X1048" s="277"/>
      <c r="Y1048" s="134"/>
      <c r="Z1048" s="134"/>
      <c r="AA1048" s="134"/>
      <c r="AB1048" s="278"/>
      <c r="AC1048" s="279"/>
      <c r="AD1048" s="280"/>
      <c r="AE1048" s="281"/>
      <c r="AF1048" s="281"/>
      <c r="AG1048" s="282"/>
      <c r="AH1048" s="282"/>
      <c r="AK1048" s="284"/>
      <c r="AL1048" s="284"/>
      <c r="AM1048" s="282"/>
      <c r="AN1048" s="282"/>
      <c r="AO1048" s="281"/>
      <c r="AP1048" s="281"/>
      <c r="AS1048" s="285"/>
      <c r="AT1048" s="285"/>
      <c r="AU1048" s="284"/>
      <c r="AV1048" s="284"/>
      <c r="AY1048" s="286"/>
      <c r="AZ1048" s="286"/>
      <c r="BA1048" s="281"/>
      <c r="BB1048" s="281"/>
    </row>
    <row r="1049" spans="1:54" s="283" customFormat="1" ht="19.5" customHeight="1">
      <c r="A1049" s="275"/>
      <c r="B1049" s="276"/>
      <c r="C1049" s="276"/>
      <c r="D1049" s="276"/>
      <c r="E1049" s="276"/>
      <c r="F1049" s="134"/>
      <c r="G1049" s="134"/>
      <c r="H1049" s="277"/>
      <c r="I1049" s="277"/>
      <c r="J1049" s="134"/>
      <c r="K1049" s="134"/>
      <c r="L1049" s="134"/>
      <c r="M1049" s="280"/>
      <c r="N1049" s="280"/>
      <c r="O1049" s="280"/>
      <c r="P1049" s="280"/>
      <c r="Q1049" s="280"/>
      <c r="R1049" s="280"/>
      <c r="S1049" s="276"/>
      <c r="T1049" s="276"/>
      <c r="U1049" s="277"/>
      <c r="V1049" s="134"/>
      <c r="W1049" s="134"/>
      <c r="X1049" s="277"/>
      <c r="Y1049" s="134"/>
      <c r="Z1049" s="134"/>
      <c r="AA1049" s="134"/>
      <c r="AB1049" s="278"/>
      <c r="AC1049" s="279"/>
      <c r="AD1049" s="280"/>
      <c r="AE1049" s="281"/>
      <c r="AF1049" s="281"/>
      <c r="AG1049" s="282"/>
      <c r="AH1049" s="282"/>
      <c r="AK1049" s="284"/>
      <c r="AL1049" s="284"/>
      <c r="AM1049" s="282"/>
      <c r="AN1049" s="282"/>
      <c r="AO1049" s="281"/>
      <c r="AP1049" s="281"/>
      <c r="AS1049" s="285"/>
      <c r="AT1049" s="285"/>
      <c r="AU1049" s="284"/>
      <c r="AV1049" s="284"/>
      <c r="AY1049" s="286"/>
      <c r="AZ1049" s="286"/>
      <c r="BA1049" s="281"/>
      <c r="BB1049" s="281"/>
    </row>
    <row r="1050" spans="1:54" s="283" customFormat="1">
      <c r="A1050" s="275"/>
      <c r="B1050" s="276"/>
      <c r="C1050" s="276"/>
      <c r="D1050" s="276"/>
      <c r="E1050" s="276"/>
      <c r="F1050" s="134"/>
      <c r="G1050" s="134"/>
      <c r="H1050" s="277"/>
      <c r="I1050" s="277"/>
      <c r="J1050" s="134"/>
      <c r="K1050" s="134"/>
      <c r="L1050" s="134"/>
      <c r="M1050" s="280"/>
      <c r="N1050" s="280"/>
      <c r="O1050" s="280"/>
      <c r="P1050" s="280"/>
      <c r="Q1050" s="280"/>
      <c r="R1050" s="280"/>
      <c r="S1050" s="276"/>
      <c r="T1050" s="276"/>
      <c r="U1050" s="277"/>
      <c r="V1050" s="134"/>
      <c r="W1050" s="134"/>
      <c r="X1050" s="277"/>
      <c r="Y1050" s="134"/>
      <c r="Z1050" s="134"/>
      <c r="AA1050" s="134"/>
      <c r="AB1050" s="278"/>
      <c r="AC1050" s="279"/>
      <c r="AD1050" s="280"/>
      <c r="AE1050" s="281"/>
      <c r="AF1050" s="281"/>
      <c r="AG1050" s="282"/>
      <c r="AH1050" s="282"/>
      <c r="AK1050" s="284"/>
      <c r="AL1050" s="284"/>
      <c r="AM1050" s="282"/>
      <c r="AN1050" s="282"/>
      <c r="AO1050" s="281"/>
      <c r="AP1050" s="281"/>
      <c r="AS1050" s="285"/>
      <c r="AT1050" s="285"/>
      <c r="AU1050" s="284"/>
      <c r="AV1050" s="284"/>
      <c r="AY1050" s="286"/>
      <c r="AZ1050" s="286"/>
      <c r="BA1050" s="281"/>
      <c r="BB1050" s="281"/>
    </row>
    <row r="1051" spans="1:54" s="283" customFormat="1">
      <c r="A1051" s="275"/>
      <c r="B1051" s="276"/>
      <c r="C1051" s="276"/>
      <c r="D1051" s="276"/>
      <c r="E1051" s="276"/>
      <c r="F1051" s="134"/>
      <c r="G1051" s="134"/>
      <c r="H1051" s="277"/>
      <c r="I1051" s="277"/>
      <c r="J1051" s="134"/>
      <c r="K1051" s="134"/>
      <c r="L1051" s="134"/>
      <c r="M1051" s="280"/>
      <c r="N1051" s="280"/>
      <c r="O1051" s="280"/>
      <c r="P1051" s="280"/>
      <c r="Q1051" s="280"/>
      <c r="R1051" s="280"/>
      <c r="S1051" s="276"/>
      <c r="T1051" s="276"/>
      <c r="U1051" s="277"/>
      <c r="V1051" s="134"/>
      <c r="W1051" s="134"/>
      <c r="X1051" s="277"/>
      <c r="Y1051" s="134"/>
      <c r="Z1051" s="134"/>
      <c r="AA1051" s="134"/>
      <c r="AB1051" s="278"/>
      <c r="AC1051" s="279"/>
      <c r="AD1051" s="280"/>
      <c r="AE1051" s="281"/>
      <c r="AF1051" s="281"/>
      <c r="AG1051" s="282"/>
      <c r="AH1051" s="282"/>
      <c r="AK1051" s="284"/>
      <c r="AL1051" s="284"/>
      <c r="AM1051" s="282"/>
      <c r="AN1051" s="282"/>
      <c r="AO1051" s="281"/>
      <c r="AP1051" s="281"/>
      <c r="AS1051" s="285"/>
      <c r="AT1051" s="285"/>
      <c r="AU1051" s="284"/>
      <c r="AV1051" s="284"/>
      <c r="AY1051" s="286"/>
      <c r="AZ1051" s="286"/>
      <c r="BA1051" s="281"/>
      <c r="BB1051" s="281"/>
    </row>
    <row r="1052" spans="1:54" s="283" customFormat="1">
      <c r="A1052" s="275"/>
      <c r="B1052" s="276"/>
      <c r="C1052" s="276"/>
      <c r="D1052" s="276"/>
      <c r="E1052" s="276"/>
      <c r="F1052" s="134"/>
      <c r="G1052" s="134"/>
      <c r="H1052" s="277"/>
      <c r="I1052" s="277"/>
      <c r="J1052" s="134"/>
      <c r="K1052" s="134"/>
      <c r="L1052" s="134"/>
      <c r="M1052" s="280"/>
      <c r="N1052" s="280"/>
      <c r="O1052" s="280"/>
      <c r="P1052" s="280"/>
      <c r="Q1052" s="280"/>
      <c r="R1052" s="280"/>
      <c r="S1052" s="276"/>
      <c r="T1052" s="276"/>
      <c r="U1052" s="277"/>
      <c r="V1052" s="134"/>
      <c r="W1052" s="134"/>
      <c r="X1052" s="277"/>
      <c r="Y1052" s="134"/>
      <c r="Z1052" s="134"/>
      <c r="AA1052" s="134"/>
      <c r="AB1052" s="278"/>
      <c r="AC1052" s="279"/>
      <c r="AD1052" s="280"/>
      <c r="AE1052" s="281"/>
      <c r="AF1052" s="281"/>
      <c r="AG1052" s="282"/>
      <c r="AH1052" s="282"/>
      <c r="AK1052" s="284"/>
      <c r="AL1052" s="284"/>
      <c r="AM1052" s="282"/>
      <c r="AN1052" s="282"/>
      <c r="AO1052" s="281"/>
      <c r="AP1052" s="281"/>
      <c r="AS1052" s="285"/>
      <c r="AT1052" s="285"/>
      <c r="AU1052" s="284"/>
      <c r="AV1052" s="284"/>
      <c r="AY1052" s="286"/>
      <c r="AZ1052" s="286"/>
      <c r="BA1052" s="281"/>
      <c r="BB1052" s="281"/>
    </row>
    <row r="1053" spans="1:54" s="283" customFormat="1">
      <c r="A1053" s="275"/>
      <c r="B1053" s="276"/>
      <c r="C1053" s="276"/>
      <c r="D1053" s="276"/>
      <c r="E1053" s="276"/>
      <c r="F1053" s="134"/>
      <c r="G1053" s="134"/>
      <c r="H1053" s="277"/>
      <c r="I1053" s="277"/>
      <c r="J1053" s="134"/>
      <c r="K1053" s="134"/>
      <c r="L1053" s="134"/>
      <c r="M1053" s="280"/>
      <c r="N1053" s="280"/>
      <c r="O1053" s="280"/>
      <c r="P1053" s="280"/>
      <c r="Q1053" s="280"/>
      <c r="R1053" s="280"/>
      <c r="S1053" s="276"/>
      <c r="T1053" s="276"/>
      <c r="U1053" s="277"/>
      <c r="V1053" s="134"/>
      <c r="W1053" s="134"/>
      <c r="X1053" s="277"/>
      <c r="Y1053" s="134"/>
      <c r="Z1053" s="134"/>
      <c r="AA1053" s="134"/>
      <c r="AB1053" s="278"/>
      <c r="AC1053" s="279"/>
      <c r="AD1053" s="280"/>
      <c r="AE1053" s="281"/>
      <c r="AF1053" s="281"/>
      <c r="AG1053" s="282"/>
      <c r="AH1053" s="282"/>
      <c r="AK1053" s="284"/>
      <c r="AL1053" s="284"/>
      <c r="AM1053" s="282"/>
      <c r="AN1053" s="282"/>
      <c r="AO1053" s="281"/>
      <c r="AP1053" s="281"/>
      <c r="AS1053" s="285"/>
      <c r="AT1053" s="285"/>
      <c r="AU1053" s="284"/>
      <c r="AV1053" s="284"/>
      <c r="AY1053" s="286"/>
      <c r="AZ1053" s="286"/>
      <c r="BA1053" s="281"/>
      <c r="BB1053" s="281"/>
    </row>
    <row r="1054" spans="1:54" s="283" customFormat="1">
      <c r="A1054" s="275"/>
      <c r="B1054" s="276"/>
      <c r="C1054" s="276"/>
      <c r="D1054" s="276"/>
      <c r="E1054" s="276"/>
      <c r="F1054" s="134"/>
      <c r="G1054" s="134"/>
      <c r="H1054" s="277"/>
      <c r="I1054" s="277"/>
      <c r="J1054" s="134"/>
      <c r="K1054" s="134"/>
      <c r="L1054" s="134"/>
      <c r="M1054" s="280"/>
      <c r="N1054" s="280"/>
      <c r="O1054" s="280"/>
      <c r="P1054" s="280"/>
      <c r="Q1054" s="280"/>
      <c r="R1054" s="280"/>
      <c r="S1054" s="276"/>
      <c r="T1054" s="276"/>
      <c r="U1054" s="277"/>
      <c r="V1054" s="134"/>
      <c r="W1054" s="134"/>
      <c r="X1054" s="277"/>
      <c r="Y1054" s="134"/>
      <c r="Z1054" s="134"/>
      <c r="AA1054" s="134"/>
      <c r="AB1054" s="278"/>
      <c r="AC1054" s="279"/>
      <c r="AD1054" s="280"/>
      <c r="AE1054" s="281"/>
      <c r="AF1054" s="281"/>
      <c r="AG1054" s="282"/>
      <c r="AH1054" s="282"/>
      <c r="AK1054" s="284"/>
      <c r="AL1054" s="284"/>
      <c r="AM1054" s="282"/>
      <c r="AN1054" s="282"/>
      <c r="AO1054" s="281"/>
      <c r="AP1054" s="281"/>
      <c r="AS1054" s="285"/>
      <c r="AT1054" s="285"/>
      <c r="AU1054" s="284"/>
      <c r="AV1054" s="284"/>
      <c r="AY1054" s="286"/>
      <c r="AZ1054" s="286"/>
      <c r="BA1054" s="281"/>
      <c r="BB1054" s="281"/>
    </row>
    <row r="1055" spans="1:54" s="283" customFormat="1">
      <c r="A1055" s="275"/>
      <c r="B1055" s="276"/>
      <c r="C1055" s="276"/>
      <c r="D1055" s="276"/>
      <c r="E1055" s="276"/>
      <c r="F1055" s="134"/>
      <c r="G1055" s="134"/>
      <c r="H1055" s="277"/>
      <c r="I1055" s="277"/>
      <c r="J1055" s="134"/>
      <c r="K1055" s="134"/>
      <c r="L1055" s="134"/>
      <c r="M1055" s="280"/>
      <c r="N1055" s="280"/>
      <c r="O1055" s="280"/>
      <c r="P1055" s="280"/>
      <c r="Q1055" s="280"/>
      <c r="R1055" s="280"/>
      <c r="S1055" s="276"/>
      <c r="T1055" s="276"/>
      <c r="U1055" s="277"/>
      <c r="V1055" s="134"/>
      <c r="W1055" s="134"/>
      <c r="X1055" s="277"/>
      <c r="Y1055" s="134"/>
      <c r="Z1055" s="134"/>
      <c r="AA1055" s="134"/>
      <c r="AB1055" s="278"/>
      <c r="AC1055" s="279"/>
      <c r="AD1055" s="280"/>
      <c r="AE1055" s="281"/>
      <c r="AF1055" s="281"/>
      <c r="AG1055" s="282"/>
      <c r="AH1055" s="282"/>
      <c r="AK1055" s="284"/>
      <c r="AL1055" s="284"/>
      <c r="AM1055" s="282"/>
      <c r="AN1055" s="282"/>
      <c r="AO1055" s="281"/>
      <c r="AP1055" s="281"/>
      <c r="AS1055" s="285"/>
      <c r="AT1055" s="285"/>
      <c r="AU1055" s="284"/>
      <c r="AV1055" s="284"/>
      <c r="AY1055" s="286"/>
      <c r="AZ1055" s="286"/>
      <c r="BA1055" s="281"/>
      <c r="BB1055" s="281"/>
    </row>
    <row r="1056" spans="1:54" s="283" customFormat="1">
      <c r="A1056" s="275"/>
      <c r="B1056" s="276"/>
      <c r="C1056" s="276"/>
      <c r="D1056" s="276"/>
      <c r="E1056" s="276"/>
      <c r="F1056" s="134"/>
      <c r="G1056" s="134"/>
      <c r="H1056" s="277"/>
      <c r="I1056" s="277"/>
      <c r="J1056" s="134"/>
      <c r="K1056" s="134"/>
      <c r="L1056" s="134"/>
      <c r="M1056" s="280"/>
      <c r="N1056" s="280"/>
      <c r="O1056" s="280"/>
      <c r="P1056" s="280"/>
      <c r="Q1056" s="280"/>
      <c r="R1056" s="280"/>
      <c r="S1056" s="276"/>
      <c r="T1056" s="276"/>
      <c r="U1056" s="277"/>
      <c r="V1056" s="134"/>
      <c r="W1056" s="134"/>
      <c r="X1056" s="277"/>
      <c r="Y1056" s="134"/>
      <c r="Z1056" s="134"/>
      <c r="AA1056" s="134"/>
      <c r="AB1056" s="278"/>
      <c r="AC1056" s="279"/>
      <c r="AD1056" s="280"/>
      <c r="AE1056" s="281"/>
      <c r="AF1056" s="281"/>
      <c r="AG1056" s="282"/>
      <c r="AH1056" s="282"/>
      <c r="AK1056" s="284"/>
      <c r="AL1056" s="284"/>
      <c r="AM1056" s="282"/>
      <c r="AN1056" s="282"/>
      <c r="AO1056" s="281"/>
      <c r="AP1056" s="281"/>
      <c r="AS1056" s="285"/>
      <c r="AT1056" s="285"/>
      <c r="AU1056" s="284"/>
      <c r="AV1056" s="284"/>
      <c r="AY1056" s="286"/>
      <c r="AZ1056" s="286"/>
      <c r="BA1056" s="281"/>
      <c r="BB1056" s="281"/>
    </row>
    <row r="1057" spans="1:54" s="283" customFormat="1">
      <c r="A1057" s="275"/>
      <c r="B1057" s="276"/>
      <c r="C1057" s="276"/>
      <c r="D1057" s="276"/>
      <c r="E1057" s="276"/>
      <c r="F1057" s="134"/>
      <c r="G1057" s="134"/>
      <c r="H1057" s="277"/>
      <c r="I1057" s="277"/>
      <c r="J1057" s="134"/>
      <c r="K1057" s="134"/>
      <c r="L1057" s="134"/>
      <c r="M1057" s="280"/>
      <c r="N1057" s="280"/>
      <c r="O1057" s="280"/>
      <c r="P1057" s="280"/>
      <c r="Q1057" s="280"/>
      <c r="R1057" s="280"/>
      <c r="S1057" s="276"/>
      <c r="T1057" s="276"/>
      <c r="U1057" s="277"/>
      <c r="V1057" s="134"/>
      <c r="W1057" s="134"/>
      <c r="X1057" s="277"/>
      <c r="Y1057" s="134"/>
      <c r="Z1057" s="134"/>
      <c r="AA1057" s="134"/>
      <c r="AB1057" s="278"/>
      <c r="AC1057" s="279"/>
      <c r="AD1057" s="280"/>
      <c r="AE1057" s="281"/>
      <c r="AF1057" s="281"/>
      <c r="AG1057" s="282"/>
      <c r="AH1057" s="282"/>
      <c r="AK1057" s="284"/>
      <c r="AL1057" s="284"/>
      <c r="AM1057" s="282"/>
      <c r="AN1057" s="282"/>
      <c r="AO1057" s="281"/>
      <c r="AP1057" s="281"/>
      <c r="AS1057" s="285"/>
      <c r="AT1057" s="285"/>
      <c r="AU1057" s="284"/>
      <c r="AV1057" s="284"/>
      <c r="AY1057" s="286"/>
      <c r="AZ1057" s="286"/>
      <c r="BA1057" s="281"/>
      <c r="BB1057" s="281"/>
    </row>
  </sheetData>
  <mergeCells count="12">
    <mergeCell ref="BA3:BB3"/>
    <mergeCell ref="AE3:AF3"/>
    <mergeCell ref="AG3:AH3"/>
    <mergeCell ref="AI3:AJ3"/>
    <mergeCell ref="AK3:AL3"/>
    <mergeCell ref="AM3:AN3"/>
    <mergeCell ref="AO3:AP3"/>
    <mergeCell ref="AQ3:AR3"/>
    <mergeCell ref="AS3:AT3"/>
    <mergeCell ref="AU3:AV3"/>
    <mergeCell ref="AW3:AX3"/>
    <mergeCell ref="AY3:AZ3"/>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W1058"/>
  <sheetViews>
    <sheetView topLeftCell="A924" zoomScale="50" zoomScaleNormal="50" workbookViewId="0">
      <selection activeCell="F946" sqref="F946"/>
    </sheetView>
  </sheetViews>
  <sheetFormatPr defaultRowHeight="15.75"/>
  <cols>
    <col min="1" max="1" width="6.125" style="287" customWidth="1"/>
    <col min="2" max="2" width="32" style="276" customWidth="1"/>
    <col min="3" max="3" width="17.75" style="276" customWidth="1"/>
    <col min="4" max="4" width="13.75" style="275" customWidth="1"/>
    <col min="5" max="5" width="23" style="595" customWidth="1"/>
    <col min="6" max="6" width="27.75" style="276" customWidth="1"/>
    <col min="7" max="7" width="22.625" style="277" customWidth="1"/>
    <col min="8" max="8" width="8" style="134" customWidth="1"/>
    <col min="9" max="9" width="21.25" style="276" customWidth="1"/>
    <col min="10" max="10" width="31.25" style="134" customWidth="1"/>
    <col min="11" max="11" width="9.125" style="134" customWidth="1"/>
    <col min="12" max="12" width="21.125" style="134" customWidth="1"/>
    <col min="13" max="13" width="30.375" style="134" customWidth="1"/>
    <col min="14" max="14" width="10.375" style="277" customWidth="1"/>
    <col min="15" max="15" width="8.875" style="277" customWidth="1"/>
    <col min="16" max="17" width="12.5" style="131" customWidth="1"/>
    <col min="18" max="18" width="13.125" style="131" customWidth="1"/>
    <col min="19" max="19" width="16" style="131" customWidth="1"/>
    <col min="20" max="20" width="9" style="597" customWidth="1"/>
    <col min="21" max="21" width="14.25" style="132" customWidth="1"/>
    <col min="22" max="22" width="14.25" style="288" customWidth="1"/>
    <col min="23" max="23" width="11.125" style="289" customWidth="1"/>
    <col min="24" max="24" width="15.5" style="289" customWidth="1"/>
    <col min="25" max="25" width="11.5" style="281" customWidth="1"/>
    <col min="26" max="26" width="14.75" style="281" customWidth="1"/>
    <col min="27" max="27" width="10.625" style="282" customWidth="1"/>
    <col min="28" max="28" width="13.625" style="282" customWidth="1"/>
    <col min="29" max="29" width="10.125" style="283" customWidth="1"/>
    <col min="30" max="30" width="17.75" style="283" customWidth="1"/>
    <col min="31" max="31" width="10.125" style="284" customWidth="1"/>
    <col min="32" max="32" width="14.625" style="284" customWidth="1"/>
    <col min="33" max="33" width="10.125" style="282" customWidth="1"/>
    <col min="34" max="34" width="14" style="282" customWidth="1"/>
    <col min="35" max="35" width="10.125" style="281" customWidth="1"/>
    <col min="36" max="36" width="17.75" style="281" customWidth="1"/>
    <col min="37" max="37" width="11.5" style="283" customWidth="1"/>
    <col min="38" max="38" width="14.75" style="283" customWidth="1"/>
    <col min="39" max="39" width="10.625" style="285" customWidth="1"/>
    <col min="40" max="40" width="13.625" style="285" customWidth="1"/>
    <col min="41" max="41" width="10.125" style="284" customWidth="1"/>
    <col min="42" max="42" width="17.75" style="284" customWidth="1"/>
    <col min="43" max="43" width="10.125" style="283" customWidth="1"/>
    <col min="44" max="44" width="14.625" style="283" customWidth="1"/>
    <col min="45" max="45" width="10.125" style="286" customWidth="1"/>
    <col min="46" max="46" width="13.25" style="286" customWidth="1"/>
    <col min="47" max="47" width="10.125" style="281" customWidth="1"/>
    <col min="48" max="48" width="17.75" style="281" customWidth="1"/>
    <col min="49" max="49" width="25.25" style="134" customWidth="1"/>
    <col min="50" max="16384" width="9" style="134"/>
  </cols>
  <sheetData>
    <row r="1" spans="1:48" ht="18.75">
      <c r="A1" s="126"/>
      <c r="B1" s="127" t="s">
        <v>5074</v>
      </c>
      <c r="C1" s="127"/>
      <c r="D1" s="600"/>
      <c r="E1" s="576"/>
      <c r="F1" s="129"/>
      <c r="G1" s="128"/>
      <c r="H1" s="130"/>
      <c r="I1" s="129"/>
      <c r="J1" s="130"/>
      <c r="K1" s="130"/>
      <c r="L1" s="130"/>
      <c r="M1" s="130"/>
      <c r="N1" s="128"/>
      <c r="O1" s="128"/>
      <c r="P1" s="130"/>
      <c r="Q1" s="130"/>
      <c r="T1" s="577"/>
      <c r="V1" s="133"/>
      <c r="W1" s="133"/>
      <c r="X1" s="133"/>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row>
    <row r="2" spans="1:48" ht="21.75" customHeight="1">
      <c r="A2" s="135"/>
      <c r="B2" s="136"/>
      <c r="C2" s="136"/>
      <c r="D2" s="601"/>
      <c r="E2" s="578"/>
      <c r="F2" s="136"/>
      <c r="G2" s="137"/>
      <c r="H2" s="138"/>
      <c r="I2" s="136"/>
      <c r="J2" s="138"/>
      <c r="K2" s="138"/>
      <c r="L2" s="138"/>
      <c r="M2" s="138"/>
      <c r="N2" s="137"/>
      <c r="O2" s="137"/>
      <c r="P2" s="139"/>
      <c r="Q2" s="139"/>
      <c r="T2" s="577"/>
      <c r="V2" s="133"/>
      <c r="W2" s="140" t="s">
        <v>5075</v>
      </c>
      <c r="X2" s="140"/>
      <c r="Y2" s="140" t="s">
        <v>5075</v>
      </c>
      <c r="Z2" s="140"/>
      <c r="AA2" s="140" t="s">
        <v>5075</v>
      </c>
      <c r="AB2" s="140"/>
      <c r="AC2" s="140" t="s">
        <v>5075</v>
      </c>
      <c r="AD2" s="140"/>
      <c r="AE2" s="140" t="s">
        <v>5075</v>
      </c>
      <c r="AF2" s="140"/>
      <c r="AG2" s="140" t="s">
        <v>5075</v>
      </c>
      <c r="AH2" s="140"/>
      <c r="AI2" s="140" t="s">
        <v>5075</v>
      </c>
      <c r="AJ2" s="140"/>
      <c r="AK2" s="140" t="s">
        <v>5075</v>
      </c>
      <c r="AL2" s="140"/>
      <c r="AM2" s="140" t="s">
        <v>5075</v>
      </c>
      <c r="AN2" s="140"/>
      <c r="AO2" s="140" t="s">
        <v>5075</v>
      </c>
      <c r="AP2" s="140"/>
      <c r="AQ2" s="140" t="s">
        <v>5075</v>
      </c>
      <c r="AR2" s="140"/>
      <c r="AS2" s="140" t="s">
        <v>5075</v>
      </c>
      <c r="AT2" s="140"/>
      <c r="AU2" s="140" t="s">
        <v>5075</v>
      </c>
      <c r="AV2" s="140"/>
    </row>
    <row r="3" spans="1:48" ht="30" customHeight="1">
      <c r="A3" s="135"/>
      <c r="B3" s="136"/>
      <c r="C3" s="136"/>
      <c r="D3" s="601"/>
      <c r="E3" s="578"/>
      <c r="F3" s="136"/>
      <c r="G3" s="137"/>
      <c r="H3" s="138"/>
      <c r="I3" s="136"/>
      <c r="J3" s="138"/>
      <c r="K3" s="138"/>
      <c r="L3" s="138"/>
      <c r="M3" s="138"/>
      <c r="N3" s="137"/>
      <c r="O3" s="137"/>
      <c r="P3" s="139"/>
      <c r="Q3" s="139"/>
      <c r="T3" s="577"/>
      <c r="V3" s="133"/>
      <c r="W3" s="710" t="s">
        <v>12632</v>
      </c>
      <c r="X3" s="711"/>
      <c r="Y3" s="708" t="s">
        <v>5076</v>
      </c>
      <c r="Z3" s="709"/>
      <c r="AA3" s="708" t="s">
        <v>5077</v>
      </c>
      <c r="AB3" s="709"/>
      <c r="AC3" s="708" t="s">
        <v>5078</v>
      </c>
      <c r="AD3" s="709"/>
      <c r="AE3" s="708" t="s">
        <v>5079</v>
      </c>
      <c r="AF3" s="709"/>
      <c r="AG3" s="708" t="s">
        <v>5080</v>
      </c>
      <c r="AH3" s="709"/>
      <c r="AI3" s="708" t="s">
        <v>5081</v>
      </c>
      <c r="AJ3" s="709"/>
      <c r="AK3" s="708" t="s">
        <v>5082</v>
      </c>
      <c r="AL3" s="709"/>
      <c r="AM3" s="708" t="s">
        <v>5083</v>
      </c>
      <c r="AN3" s="709"/>
      <c r="AO3" s="708" t="s">
        <v>5084</v>
      </c>
      <c r="AP3" s="709"/>
      <c r="AQ3" s="708" t="s">
        <v>5085</v>
      </c>
      <c r="AR3" s="709"/>
      <c r="AS3" s="708" t="s">
        <v>5086</v>
      </c>
      <c r="AT3" s="709"/>
      <c r="AU3" s="708" t="s">
        <v>5087</v>
      </c>
      <c r="AV3" s="709"/>
    </row>
    <row r="4" spans="1:48" s="587" customFormat="1" ht="63">
      <c r="A4" s="579" t="s">
        <v>2628</v>
      </c>
      <c r="B4" s="141" t="s">
        <v>5088</v>
      </c>
      <c r="C4" s="141" t="s">
        <v>5089</v>
      </c>
      <c r="D4" s="602" t="s">
        <v>5090</v>
      </c>
      <c r="E4" s="142" t="s">
        <v>12633</v>
      </c>
      <c r="F4" s="142" t="s">
        <v>214</v>
      </c>
      <c r="G4" s="142" t="s">
        <v>12634</v>
      </c>
      <c r="H4" s="142" t="s">
        <v>5091</v>
      </c>
      <c r="I4" s="142" t="s">
        <v>12635</v>
      </c>
      <c r="J4" s="142" t="s">
        <v>12636</v>
      </c>
      <c r="K4" s="142" t="s">
        <v>5092</v>
      </c>
      <c r="L4" s="142" t="s">
        <v>12637</v>
      </c>
      <c r="M4" s="142" t="s">
        <v>12638</v>
      </c>
      <c r="N4" s="142" t="s">
        <v>5093</v>
      </c>
      <c r="O4" s="142" t="s">
        <v>2635</v>
      </c>
      <c r="P4" s="143" t="s">
        <v>5094</v>
      </c>
      <c r="Q4" s="143" t="s">
        <v>12639</v>
      </c>
      <c r="R4" s="144" t="s">
        <v>5095</v>
      </c>
      <c r="S4" s="144" t="s">
        <v>5096</v>
      </c>
      <c r="T4" s="580" t="s">
        <v>12640</v>
      </c>
      <c r="U4" s="145" t="s">
        <v>12651</v>
      </c>
      <c r="V4" s="146" t="s">
        <v>5097</v>
      </c>
      <c r="W4" s="147" t="s">
        <v>12641</v>
      </c>
      <c r="X4" s="147" t="s">
        <v>8</v>
      </c>
      <c r="Y4" s="581" t="s">
        <v>12641</v>
      </c>
      <c r="Z4" s="581" t="s">
        <v>8</v>
      </c>
      <c r="AA4" s="582" t="s">
        <v>12641</v>
      </c>
      <c r="AB4" s="582" t="s">
        <v>8</v>
      </c>
      <c r="AC4" s="583" t="s">
        <v>12641</v>
      </c>
      <c r="AD4" s="583" t="s">
        <v>8</v>
      </c>
      <c r="AE4" s="584" t="s">
        <v>12641</v>
      </c>
      <c r="AF4" s="584" t="s">
        <v>8</v>
      </c>
      <c r="AG4" s="582" t="s">
        <v>12641</v>
      </c>
      <c r="AH4" s="582" t="s">
        <v>8</v>
      </c>
      <c r="AI4" s="581" t="s">
        <v>12641</v>
      </c>
      <c r="AJ4" s="581" t="s">
        <v>8</v>
      </c>
      <c r="AK4" s="583" t="s">
        <v>12641</v>
      </c>
      <c r="AL4" s="583" t="s">
        <v>8</v>
      </c>
      <c r="AM4" s="585" t="s">
        <v>12641</v>
      </c>
      <c r="AN4" s="585" t="s">
        <v>8</v>
      </c>
      <c r="AO4" s="584" t="s">
        <v>12641</v>
      </c>
      <c r="AP4" s="584" t="s">
        <v>8</v>
      </c>
      <c r="AQ4" s="583" t="s">
        <v>12641</v>
      </c>
      <c r="AR4" s="583" t="s">
        <v>8</v>
      </c>
      <c r="AS4" s="586" t="s">
        <v>12641</v>
      </c>
      <c r="AT4" s="586" t="s">
        <v>8</v>
      </c>
      <c r="AU4" s="581" t="s">
        <v>12641</v>
      </c>
      <c r="AV4" s="581" t="s">
        <v>8</v>
      </c>
    </row>
    <row r="5" spans="1:48" s="171" customFormat="1" ht="63">
      <c r="A5" s="148" t="s">
        <v>5265</v>
      </c>
      <c r="B5" s="150" t="s">
        <v>5266</v>
      </c>
      <c r="C5" s="150" t="s">
        <v>5267</v>
      </c>
      <c r="D5" s="634" t="s">
        <v>5268</v>
      </c>
      <c r="E5" s="631" t="s">
        <v>12642</v>
      </c>
      <c r="F5" s="175" t="s">
        <v>363</v>
      </c>
      <c r="G5" s="151" t="s">
        <v>291</v>
      </c>
      <c r="H5" s="174" t="s">
        <v>210</v>
      </c>
      <c r="I5" s="150" t="s">
        <v>3539</v>
      </c>
      <c r="J5" s="153" t="s">
        <v>5103</v>
      </c>
      <c r="K5" s="151" t="s">
        <v>5108</v>
      </c>
      <c r="L5" s="151" t="s">
        <v>426</v>
      </c>
      <c r="M5" s="151" t="s">
        <v>427</v>
      </c>
      <c r="N5" s="152" t="s">
        <v>213</v>
      </c>
      <c r="O5" s="152" t="s">
        <v>10</v>
      </c>
      <c r="P5" s="176">
        <v>900</v>
      </c>
      <c r="Q5" s="177">
        <v>750</v>
      </c>
      <c r="R5" s="176">
        <v>75000</v>
      </c>
      <c r="S5" s="156">
        <f t="shared" ref="S5:S68" si="0">R5*Q5</f>
        <v>56250000</v>
      </c>
      <c r="T5" s="589"/>
      <c r="U5" s="157">
        <v>73700</v>
      </c>
      <c r="V5" s="158">
        <f t="shared" ref="V5:V68" si="1">U5-W5</f>
        <v>68700</v>
      </c>
      <c r="W5" s="159">
        <f t="shared" ref="W5:W68" si="2">Y5+AA5+AC5+AE5+AG5+AI5+AK5+AM5+AO5+AQ5+AS5+AU5</f>
        <v>5000</v>
      </c>
      <c r="X5" s="159">
        <f t="shared" ref="X5:X68" si="3">W5*Q5</f>
        <v>3750000</v>
      </c>
      <c r="Y5" s="160"/>
      <c r="Z5" s="160">
        <f t="shared" ref="Z5:Z68" si="4">Y5*Q5</f>
        <v>0</v>
      </c>
      <c r="AA5" s="161"/>
      <c r="AB5" s="161">
        <f t="shared" ref="AB5:AB68" si="5">AA5*Q5</f>
        <v>0</v>
      </c>
      <c r="AC5" s="162"/>
      <c r="AD5" s="162">
        <f t="shared" ref="AD5:AD68" si="6">AC5*Q5</f>
        <v>0</v>
      </c>
      <c r="AE5" s="164"/>
      <c r="AF5" s="164">
        <f t="shared" ref="AF5:AF68" si="7">AE5*Q5</f>
        <v>0</v>
      </c>
      <c r="AG5" s="165"/>
      <c r="AH5" s="165">
        <f t="shared" ref="AH5:AH68" si="8">AG5*Q5</f>
        <v>0</v>
      </c>
      <c r="AI5" s="166">
        <v>0</v>
      </c>
      <c r="AJ5" s="166">
        <f t="shared" ref="AJ5:AJ68" si="9">AI5*Q5</f>
        <v>0</v>
      </c>
      <c r="AK5" s="162"/>
      <c r="AL5" s="162">
        <f t="shared" ref="AL5:AL68" si="10">AK5*Q5</f>
        <v>0</v>
      </c>
      <c r="AM5" s="167">
        <v>5000</v>
      </c>
      <c r="AN5" s="167">
        <f t="shared" ref="AN5:AN68" si="11">AM5*Q5</f>
        <v>3750000</v>
      </c>
      <c r="AO5" s="163"/>
      <c r="AP5" s="163">
        <f t="shared" ref="AP5:AP68" si="12">AO5*Q5</f>
        <v>0</v>
      </c>
      <c r="AQ5" s="168"/>
      <c r="AR5" s="168">
        <f t="shared" ref="AR5:AR68" si="13">AQ5*Q5</f>
        <v>0</v>
      </c>
      <c r="AS5" s="170"/>
      <c r="AT5" s="170">
        <f t="shared" ref="AT5:AT68" si="14">AS5*Q5</f>
        <v>0</v>
      </c>
      <c r="AU5" s="166"/>
      <c r="AV5" s="166">
        <f t="shared" ref="AV5:AV68" si="15">AU5*Q5</f>
        <v>0</v>
      </c>
    </row>
    <row r="6" spans="1:48" s="171" customFormat="1" ht="63">
      <c r="A6" s="148" t="s">
        <v>5309</v>
      </c>
      <c r="B6" s="150" t="s">
        <v>5266</v>
      </c>
      <c r="C6" s="150" t="s">
        <v>5267</v>
      </c>
      <c r="D6" s="634" t="s">
        <v>5310</v>
      </c>
      <c r="E6" s="631" t="s">
        <v>12642</v>
      </c>
      <c r="F6" s="175" t="s">
        <v>227</v>
      </c>
      <c r="G6" s="151" t="s">
        <v>225</v>
      </c>
      <c r="H6" s="174" t="s">
        <v>210</v>
      </c>
      <c r="I6" s="150" t="s">
        <v>5311</v>
      </c>
      <c r="J6" s="153" t="s">
        <v>5312</v>
      </c>
      <c r="K6" s="151" t="s">
        <v>253</v>
      </c>
      <c r="L6" s="151" t="s">
        <v>448</v>
      </c>
      <c r="M6" s="151" t="s">
        <v>427</v>
      </c>
      <c r="N6" s="152" t="s">
        <v>213</v>
      </c>
      <c r="O6" s="152" t="s">
        <v>410</v>
      </c>
      <c r="P6" s="176">
        <v>1400</v>
      </c>
      <c r="Q6" s="177">
        <v>1400</v>
      </c>
      <c r="R6" s="176">
        <v>210000</v>
      </c>
      <c r="S6" s="156">
        <f t="shared" si="0"/>
        <v>294000000</v>
      </c>
      <c r="T6" s="589"/>
      <c r="U6" s="157">
        <v>142400</v>
      </c>
      <c r="V6" s="158">
        <f t="shared" si="1"/>
        <v>142400</v>
      </c>
      <c r="W6" s="159">
        <f t="shared" si="2"/>
        <v>0</v>
      </c>
      <c r="X6" s="159">
        <f t="shared" si="3"/>
        <v>0</v>
      </c>
      <c r="Y6" s="160"/>
      <c r="Z6" s="160">
        <f t="shared" si="4"/>
        <v>0</v>
      </c>
      <c r="AA6" s="161"/>
      <c r="AB6" s="161">
        <f t="shared" si="5"/>
        <v>0</v>
      </c>
      <c r="AC6" s="162"/>
      <c r="AD6" s="162">
        <f t="shared" si="6"/>
        <v>0</v>
      </c>
      <c r="AE6" s="163"/>
      <c r="AF6" s="164">
        <f t="shared" si="7"/>
        <v>0</v>
      </c>
      <c r="AG6" s="161"/>
      <c r="AH6" s="165">
        <f t="shared" si="8"/>
        <v>0</v>
      </c>
      <c r="AI6" s="160">
        <v>0</v>
      </c>
      <c r="AJ6" s="166">
        <f t="shared" si="9"/>
        <v>0</v>
      </c>
      <c r="AK6" s="162"/>
      <c r="AL6" s="162">
        <f t="shared" si="10"/>
        <v>0</v>
      </c>
      <c r="AM6" s="167"/>
      <c r="AN6" s="167">
        <f t="shared" si="11"/>
        <v>0</v>
      </c>
      <c r="AO6" s="163"/>
      <c r="AP6" s="163">
        <f t="shared" si="12"/>
        <v>0</v>
      </c>
      <c r="AQ6" s="162"/>
      <c r="AR6" s="168">
        <f t="shared" si="13"/>
        <v>0</v>
      </c>
      <c r="AS6" s="169"/>
      <c r="AT6" s="170">
        <f t="shared" si="14"/>
        <v>0</v>
      </c>
      <c r="AU6" s="160"/>
      <c r="AV6" s="166">
        <f t="shared" si="15"/>
        <v>0</v>
      </c>
    </row>
    <row r="7" spans="1:48" s="171" customFormat="1" ht="63">
      <c r="A7" s="172" t="s">
        <v>5365</v>
      </c>
      <c r="B7" s="150" t="s">
        <v>5266</v>
      </c>
      <c r="C7" s="150" t="s">
        <v>5267</v>
      </c>
      <c r="D7" s="634" t="s">
        <v>4936</v>
      </c>
      <c r="E7" s="631"/>
      <c r="F7" s="175" t="s">
        <v>428</v>
      </c>
      <c r="G7" s="151" t="s">
        <v>429</v>
      </c>
      <c r="H7" s="174" t="s">
        <v>5325</v>
      </c>
      <c r="I7" s="150" t="s">
        <v>4937</v>
      </c>
      <c r="J7" s="153" t="s">
        <v>5366</v>
      </c>
      <c r="K7" s="151" t="s">
        <v>253</v>
      </c>
      <c r="L7" s="151" t="s">
        <v>431</v>
      </c>
      <c r="M7" s="151" t="s">
        <v>432</v>
      </c>
      <c r="N7" s="152" t="s">
        <v>213</v>
      </c>
      <c r="O7" s="152" t="s">
        <v>5141</v>
      </c>
      <c r="P7" s="180">
        <v>50000</v>
      </c>
      <c r="Q7" s="181">
        <v>6845</v>
      </c>
      <c r="R7" s="180">
        <v>4300</v>
      </c>
      <c r="S7" s="156">
        <f t="shared" si="0"/>
        <v>29433500</v>
      </c>
      <c r="T7" s="589"/>
      <c r="U7" s="157">
        <v>3700</v>
      </c>
      <c r="V7" s="158">
        <f t="shared" si="1"/>
        <v>3700</v>
      </c>
      <c r="W7" s="159">
        <f t="shared" si="2"/>
        <v>0</v>
      </c>
      <c r="X7" s="159">
        <f t="shared" si="3"/>
        <v>0</v>
      </c>
      <c r="Y7" s="160"/>
      <c r="Z7" s="160">
        <f t="shared" si="4"/>
        <v>0</v>
      </c>
      <c r="AA7" s="161"/>
      <c r="AB7" s="161">
        <f t="shared" si="5"/>
        <v>0</v>
      </c>
      <c r="AC7" s="162"/>
      <c r="AD7" s="162">
        <f t="shared" si="6"/>
        <v>0</v>
      </c>
      <c r="AE7" s="164"/>
      <c r="AF7" s="164">
        <f t="shared" si="7"/>
        <v>0</v>
      </c>
      <c r="AG7" s="165"/>
      <c r="AH7" s="165">
        <f t="shared" si="8"/>
        <v>0</v>
      </c>
      <c r="AI7" s="166">
        <v>0</v>
      </c>
      <c r="AJ7" s="166">
        <f t="shared" si="9"/>
        <v>0</v>
      </c>
      <c r="AK7" s="162"/>
      <c r="AL7" s="162">
        <f t="shared" si="10"/>
        <v>0</v>
      </c>
      <c r="AM7" s="167"/>
      <c r="AN7" s="167">
        <f t="shared" si="11"/>
        <v>0</v>
      </c>
      <c r="AO7" s="163"/>
      <c r="AP7" s="163">
        <f t="shared" si="12"/>
        <v>0</v>
      </c>
      <c r="AQ7" s="168"/>
      <c r="AR7" s="168">
        <f t="shared" si="13"/>
        <v>0</v>
      </c>
      <c r="AS7" s="170"/>
      <c r="AT7" s="170">
        <f t="shared" si="14"/>
        <v>0</v>
      </c>
      <c r="AU7" s="166"/>
      <c r="AV7" s="166">
        <f t="shared" si="15"/>
        <v>0</v>
      </c>
    </row>
    <row r="8" spans="1:48" s="171" customFormat="1" ht="63">
      <c r="A8" s="148" t="s">
        <v>5380</v>
      </c>
      <c r="B8" s="150" t="s">
        <v>5266</v>
      </c>
      <c r="C8" s="150" t="s">
        <v>5267</v>
      </c>
      <c r="D8" s="634" t="s">
        <v>5381</v>
      </c>
      <c r="E8" s="631"/>
      <c r="F8" s="175" t="s">
        <v>433</v>
      </c>
      <c r="G8" s="151" t="s">
        <v>17</v>
      </c>
      <c r="H8" s="174" t="s">
        <v>5325</v>
      </c>
      <c r="I8" s="150" t="s">
        <v>5382</v>
      </c>
      <c r="J8" s="153" t="s">
        <v>5383</v>
      </c>
      <c r="K8" s="151" t="s">
        <v>253</v>
      </c>
      <c r="L8" s="151" t="s">
        <v>5384</v>
      </c>
      <c r="M8" s="151" t="s">
        <v>432</v>
      </c>
      <c r="N8" s="152" t="s">
        <v>213</v>
      </c>
      <c r="O8" s="152" t="s">
        <v>5141</v>
      </c>
      <c r="P8" s="180">
        <v>45000</v>
      </c>
      <c r="Q8" s="181">
        <v>8045</v>
      </c>
      <c r="R8" s="180">
        <v>1200</v>
      </c>
      <c r="S8" s="156">
        <f t="shared" si="0"/>
        <v>9654000</v>
      </c>
      <c r="T8" s="589"/>
      <c r="U8" s="157">
        <v>1200</v>
      </c>
      <c r="V8" s="158">
        <f t="shared" si="1"/>
        <v>1200</v>
      </c>
      <c r="W8" s="159">
        <f t="shared" si="2"/>
        <v>0</v>
      </c>
      <c r="X8" s="159">
        <f t="shared" si="3"/>
        <v>0</v>
      </c>
      <c r="Y8" s="160"/>
      <c r="Z8" s="160">
        <f t="shared" si="4"/>
        <v>0</v>
      </c>
      <c r="AA8" s="161"/>
      <c r="AB8" s="161">
        <f t="shared" si="5"/>
        <v>0</v>
      </c>
      <c r="AC8" s="162"/>
      <c r="AD8" s="162">
        <f t="shared" si="6"/>
        <v>0</v>
      </c>
      <c r="AE8" s="163"/>
      <c r="AF8" s="164">
        <f t="shared" si="7"/>
        <v>0</v>
      </c>
      <c r="AG8" s="161"/>
      <c r="AH8" s="165">
        <f t="shared" si="8"/>
        <v>0</v>
      </c>
      <c r="AI8" s="160">
        <v>0</v>
      </c>
      <c r="AJ8" s="166">
        <f t="shared" si="9"/>
        <v>0</v>
      </c>
      <c r="AK8" s="162"/>
      <c r="AL8" s="162">
        <f t="shared" si="10"/>
        <v>0</v>
      </c>
      <c r="AM8" s="167"/>
      <c r="AN8" s="167">
        <f t="shared" si="11"/>
        <v>0</v>
      </c>
      <c r="AO8" s="163"/>
      <c r="AP8" s="163">
        <f t="shared" si="12"/>
        <v>0</v>
      </c>
      <c r="AQ8" s="162"/>
      <c r="AR8" s="168">
        <f t="shared" si="13"/>
        <v>0</v>
      </c>
      <c r="AS8" s="169"/>
      <c r="AT8" s="170">
        <f t="shared" si="14"/>
        <v>0</v>
      </c>
      <c r="AU8" s="160"/>
      <c r="AV8" s="166">
        <f t="shared" si="15"/>
        <v>0</v>
      </c>
    </row>
    <row r="9" spans="1:48" s="171" customFormat="1" ht="63">
      <c r="A9" s="172" t="s">
        <v>5426</v>
      </c>
      <c r="B9" s="150" t="s">
        <v>5266</v>
      </c>
      <c r="C9" s="150" t="s">
        <v>5267</v>
      </c>
      <c r="D9" s="634" t="s">
        <v>4784</v>
      </c>
      <c r="E9" s="631" t="s">
        <v>12642</v>
      </c>
      <c r="F9" s="175" t="s">
        <v>438</v>
      </c>
      <c r="G9" s="151" t="s">
        <v>229</v>
      </c>
      <c r="H9" s="174" t="s">
        <v>5325</v>
      </c>
      <c r="I9" s="150" t="s">
        <v>4785</v>
      </c>
      <c r="J9" s="153" t="s">
        <v>5427</v>
      </c>
      <c r="K9" s="151" t="s">
        <v>253</v>
      </c>
      <c r="L9" s="151" t="s">
        <v>440</v>
      </c>
      <c r="M9" s="151" t="s">
        <v>441</v>
      </c>
      <c r="N9" s="152" t="s">
        <v>213</v>
      </c>
      <c r="O9" s="152" t="s">
        <v>5141</v>
      </c>
      <c r="P9" s="176">
        <v>1980</v>
      </c>
      <c r="Q9" s="177">
        <v>1190</v>
      </c>
      <c r="R9" s="176">
        <v>37000</v>
      </c>
      <c r="S9" s="156">
        <f t="shared" si="0"/>
        <v>44030000</v>
      </c>
      <c r="T9" s="589"/>
      <c r="U9" s="157">
        <v>34400</v>
      </c>
      <c r="V9" s="158">
        <f t="shared" si="1"/>
        <v>34400</v>
      </c>
      <c r="W9" s="159">
        <f t="shared" si="2"/>
        <v>0</v>
      </c>
      <c r="X9" s="159">
        <f t="shared" si="3"/>
        <v>0</v>
      </c>
      <c r="Y9" s="160"/>
      <c r="Z9" s="160">
        <f t="shared" si="4"/>
        <v>0</v>
      </c>
      <c r="AA9" s="161"/>
      <c r="AB9" s="161">
        <f t="shared" si="5"/>
        <v>0</v>
      </c>
      <c r="AC9" s="162"/>
      <c r="AD9" s="162">
        <f t="shared" si="6"/>
        <v>0</v>
      </c>
      <c r="AE9" s="164"/>
      <c r="AF9" s="164">
        <f t="shared" si="7"/>
        <v>0</v>
      </c>
      <c r="AG9" s="165"/>
      <c r="AH9" s="165">
        <f t="shared" si="8"/>
        <v>0</v>
      </c>
      <c r="AI9" s="166">
        <v>0</v>
      </c>
      <c r="AJ9" s="166">
        <f t="shared" si="9"/>
        <v>0</v>
      </c>
      <c r="AK9" s="162"/>
      <c r="AL9" s="162">
        <f t="shared" si="10"/>
        <v>0</v>
      </c>
      <c r="AM9" s="167"/>
      <c r="AN9" s="167">
        <f t="shared" si="11"/>
        <v>0</v>
      </c>
      <c r="AO9" s="163"/>
      <c r="AP9" s="163">
        <f t="shared" si="12"/>
        <v>0</v>
      </c>
      <c r="AQ9" s="168"/>
      <c r="AR9" s="168">
        <f t="shared" si="13"/>
        <v>0</v>
      </c>
      <c r="AS9" s="170"/>
      <c r="AT9" s="170">
        <f t="shared" si="14"/>
        <v>0</v>
      </c>
      <c r="AU9" s="166"/>
      <c r="AV9" s="166">
        <f t="shared" si="15"/>
        <v>0</v>
      </c>
    </row>
    <row r="10" spans="1:48" s="171" customFormat="1" ht="63">
      <c r="A10" s="172" t="s">
        <v>5471</v>
      </c>
      <c r="B10" s="150" t="s">
        <v>5266</v>
      </c>
      <c r="C10" s="150" t="s">
        <v>5267</v>
      </c>
      <c r="D10" s="634" t="s">
        <v>4890</v>
      </c>
      <c r="E10" s="631"/>
      <c r="F10" s="175" t="s">
        <v>442</v>
      </c>
      <c r="G10" s="151" t="s">
        <v>444</v>
      </c>
      <c r="H10" s="174" t="s">
        <v>5325</v>
      </c>
      <c r="I10" s="150" t="s">
        <v>4891</v>
      </c>
      <c r="J10" s="153" t="s">
        <v>5472</v>
      </c>
      <c r="K10" s="151" t="s">
        <v>5104</v>
      </c>
      <c r="L10" s="151" t="s">
        <v>446</v>
      </c>
      <c r="M10" s="151" t="s">
        <v>437</v>
      </c>
      <c r="N10" s="152" t="s">
        <v>213</v>
      </c>
      <c r="O10" s="152" t="s">
        <v>5141</v>
      </c>
      <c r="P10" s="176">
        <v>14400</v>
      </c>
      <c r="Q10" s="177">
        <v>8820</v>
      </c>
      <c r="R10" s="176">
        <v>4500</v>
      </c>
      <c r="S10" s="156">
        <f t="shared" si="0"/>
        <v>39690000</v>
      </c>
      <c r="T10" s="589"/>
      <c r="U10" s="157">
        <v>4300</v>
      </c>
      <c r="V10" s="158">
        <f t="shared" si="1"/>
        <v>4250</v>
      </c>
      <c r="W10" s="159">
        <f t="shared" si="2"/>
        <v>50</v>
      </c>
      <c r="X10" s="159">
        <f t="shared" si="3"/>
        <v>441000</v>
      </c>
      <c r="Y10" s="160"/>
      <c r="Z10" s="160">
        <f t="shared" si="4"/>
        <v>0</v>
      </c>
      <c r="AA10" s="161"/>
      <c r="AB10" s="161">
        <f t="shared" si="5"/>
        <v>0</v>
      </c>
      <c r="AC10" s="162"/>
      <c r="AD10" s="162">
        <f t="shared" si="6"/>
        <v>0</v>
      </c>
      <c r="AE10" s="164"/>
      <c r="AF10" s="164">
        <f t="shared" si="7"/>
        <v>0</v>
      </c>
      <c r="AG10" s="165"/>
      <c r="AH10" s="165">
        <f t="shared" si="8"/>
        <v>0</v>
      </c>
      <c r="AI10" s="166">
        <v>0</v>
      </c>
      <c r="AJ10" s="166">
        <f t="shared" si="9"/>
        <v>0</v>
      </c>
      <c r="AK10" s="162"/>
      <c r="AL10" s="162">
        <f t="shared" si="10"/>
        <v>0</v>
      </c>
      <c r="AM10" s="167"/>
      <c r="AN10" s="167">
        <f t="shared" si="11"/>
        <v>0</v>
      </c>
      <c r="AO10" s="163"/>
      <c r="AP10" s="163">
        <f t="shared" si="12"/>
        <v>0</v>
      </c>
      <c r="AQ10" s="168"/>
      <c r="AR10" s="168">
        <f t="shared" si="13"/>
        <v>0</v>
      </c>
      <c r="AS10" s="170"/>
      <c r="AT10" s="170">
        <f t="shared" si="14"/>
        <v>0</v>
      </c>
      <c r="AU10" s="166">
        <v>50</v>
      </c>
      <c r="AV10" s="166">
        <f t="shared" si="15"/>
        <v>441000</v>
      </c>
    </row>
    <row r="11" spans="1:48" s="171" customFormat="1" ht="63">
      <c r="A11" s="148" t="s">
        <v>5562</v>
      </c>
      <c r="B11" s="150" t="s">
        <v>5266</v>
      </c>
      <c r="C11" s="150" t="s">
        <v>5267</v>
      </c>
      <c r="D11" s="634" t="s">
        <v>4832</v>
      </c>
      <c r="E11" s="631"/>
      <c r="F11" s="175" t="s">
        <v>274</v>
      </c>
      <c r="G11" s="151" t="s">
        <v>435</v>
      </c>
      <c r="H11" s="174" t="s">
        <v>5554</v>
      </c>
      <c r="I11" s="150" t="s">
        <v>4833</v>
      </c>
      <c r="J11" s="153" t="s">
        <v>5563</v>
      </c>
      <c r="K11" s="151" t="s">
        <v>5104</v>
      </c>
      <c r="L11" s="151" t="s">
        <v>436</v>
      </c>
      <c r="M11" s="151" t="s">
        <v>437</v>
      </c>
      <c r="N11" s="152" t="s">
        <v>213</v>
      </c>
      <c r="O11" s="152" t="s">
        <v>5141</v>
      </c>
      <c r="P11" s="176">
        <v>21000</v>
      </c>
      <c r="Q11" s="177">
        <v>18480</v>
      </c>
      <c r="R11" s="176">
        <v>1850</v>
      </c>
      <c r="S11" s="156">
        <f t="shared" si="0"/>
        <v>34188000</v>
      </c>
      <c r="T11" s="589"/>
      <c r="U11" s="157">
        <v>1450</v>
      </c>
      <c r="V11" s="158">
        <f t="shared" si="1"/>
        <v>1250</v>
      </c>
      <c r="W11" s="159">
        <f t="shared" si="2"/>
        <v>200</v>
      </c>
      <c r="X11" s="159">
        <f t="shared" si="3"/>
        <v>3696000</v>
      </c>
      <c r="Y11" s="160"/>
      <c r="Z11" s="160">
        <f t="shared" si="4"/>
        <v>0</v>
      </c>
      <c r="AA11" s="161"/>
      <c r="AB11" s="161">
        <f t="shared" si="5"/>
        <v>0</v>
      </c>
      <c r="AC11" s="162"/>
      <c r="AD11" s="162">
        <f t="shared" si="6"/>
        <v>0</v>
      </c>
      <c r="AE11" s="164"/>
      <c r="AF11" s="164">
        <f t="shared" si="7"/>
        <v>0</v>
      </c>
      <c r="AG11" s="165"/>
      <c r="AH11" s="165">
        <f t="shared" si="8"/>
        <v>0</v>
      </c>
      <c r="AI11" s="166">
        <v>0</v>
      </c>
      <c r="AJ11" s="166">
        <f t="shared" si="9"/>
        <v>0</v>
      </c>
      <c r="AK11" s="162"/>
      <c r="AL11" s="162">
        <f t="shared" si="10"/>
        <v>0</v>
      </c>
      <c r="AM11" s="167"/>
      <c r="AN11" s="167">
        <f t="shared" si="11"/>
        <v>0</v>
      </c>
      <c r="AO11" s="163"/>
      <c r="AP11" s="163">
        <f t="shared" si="12"/>
        <v>0</v>
      </c>
      <c r="AQ11" s="168"/>
      <c r="AR11" s="168">
        <f t="shared" si="13"/>
        <v>0</v>
      </c>
      <c r="AS11" s="170">
        <v>200</v>
      </c>
      <c r="AT11" s="170">
        <f t="shared" si="14"/>
        <v>3696000</v>
      </c>
      <c r="AU11" s="166"/>
      <c r="AV11" s="166">
        <f t="shared" si="15"/>
        <v>0</v>
      </c>
    </row>
    <row r="12" spans="1:48" s="171" customFormat="1" ht="31.5">
      <c r="A12" s="148" t="s">
        <v>6223</v>
      </c>
      <c r="B12" s="149" t="s">
        <v>6224</v>
      </c>
      <c r="C12" s="149" t="s">
        <v>6225</v>
      </c>
      <c r="D12" s="240" t="s">
        <v>4316</v>
      </c>
      <c r="E12" s="590"/>
      <c r="F12" s="203" t="s">
        <v>1109</v>
      </c>
      <c r="G12" s="204" t="s">
        <v>384</v>
      </c>
      <c r="H12" s="204">
        <v>1</v>
      </c>
      <c r="I12" s="203" t="s">
        <v>1110</v>
      </c>
      <c r="J12" s="205" t="s">
        <v>6226</v>
      </c>
      <c r="K12" s="203" t="s">
        <v>253</v>
      </c>
      <c r="L12" s="205" t="s">
        <v>6227</v>
      </c>
      <c r="M12" s="205" t="s">
        <v>6228</v>
      </c>
      <c r="N12" s="204" t="s">
        <v>5121</v>
      </c>
      <c r="O12" s="204" t="s">
        <v>11</v>
      </c>
      <c r="P12" s="206">
        <v>5000</v>
      </c>
      <c r="Q12" s="206">
        <v>4990</v>
      </c>
      <c r="R12" s="207">
        <v>30000</v>
      </c>
      <c r="S12" s="207">
        <f t="shared" si="0"/>
        <v>149700000</v>
      </c>
      <c r="T12" s="589"/>
      <c r="U12" s="157">
        <v>30000</v>
      </c>
      <c r="V12" s="158">
        <f t="shared" si="1"/>
        <v>30000</v>
      </c>
      <c r="W12" s="159">
        <f t="shared" si="2"/>
        <v>0</v>
      </c>
      <c r="X12" s="159">
        <f t="shared" si="3"/>
        <v>0</v>
      </c>
      <c r="Y12" s="160"/>
      <c r="Z12" s="160">
        <f t="shared" si="4"/>
        <v>0</v>
      </c>
      <c r="AA12" s="165"/>
      <c r="AB12" s="161">
        <f t="shared" si="5"/>
        <v>0</v>
      </c>
      <c r="AC12" s="162"/>
      <c r="AD12" s="162">
        <f t="shared" si="6"/>
        <v>0</v>
      </c>
      <c r="AE12" s="164"/>
      <c r="AF12" s="164">
        <f t="shared" si="7"/>
        <v>0</v>
      </c>
      <c r="AG12" s="165"/>
      <c r="AH12" s="165">
        <f t="shared" si="8"/>
        <v>0</v>
      </c>
      <c r="AI12" s="166">
        <v>0</v>
      </c>
      <c r="AJ12" s="166">
        <f t="shared" si="9"/>
        <v>0</v>
      </c>
      <c r="AK12" s="162"/>
      <c r="AL12" s="162">
        <f t="shared" si="10"/>
        <v>0</v>
      </c>
      <c r="AM12" s="173"/>
      <c r="AN12" s="167">
        <f t="shared" si="11"/>
        <v>0</v>
      </c>
      <c r="AO12" s="163"/>
      <c r="AP12" s="163">
        <f t="shared" si="12"/>
        <v>0</v>
      </c>
      <c r="AQ12" s="168"/>
      <c r="AR12" s="168">
        <f t="shared" si="13"/>
        <v>0</v>
      </c>
      <c r="AS12" s="170"/>
      <c r="AT12" s="170">
        <f t="shared" si="14"/>
        <v>0</v>
      </c>
      <c r="AU12" s="166"/>
      <c r="AV12" s="166">
        <f t="shared" si="15"/>
        <v>0</v>
      </c>
    </row>
    <row r="13" spans="1:48" s="171" customFormat="1" ht="31.5">
      <c r="A13" s="172" t="s">
        <v>6528</v>
      </c>
      <c r="B13" s="149" t="s">
        <v>6224</v>
      </c>
      <c r="C13" s="149" t="s">
        <v>6225</v>
      </c>
      <c r="D13" s="240" t="s">
        <v>5043</v>
      </c>
      <c r="E13" s="590" t="s">
        <v>12643</v>
      </c>
      <c r="F13" s="203" t="s">
        <v>1127</v>
      </c>
      <c r="G13" s="204" t="s">
        <v>6529</v>
      </c>
      <c r="H13" s="204">
        <v>2</v>
      </c>
      <c r="I13" s="203" t="s">
        <v>1128</v>
      </c>
      <c r="J13" s="205" t="s">
        <v>6530</v>
      </c>
      <c r="K13" s="203" t="s">
        <v>253</v>
      </c>
      <c r="L13" s="205" t="s">
        <v>6531</v>
      </c>
      <c r="M13" s="205" t="s">
        <v>6532</v>
      </c>
      <c r="N13" s="204" t="s">
        <v>213</v>
      </c>
      <c r="O13" s="204" t="s">
        <v>11</v>
      </c>
      <c r="P13" s="206">
        <v>1545</v>
      </c>
      <c r="Q13" s="206">
        <v>1495</v>
      </c>
      <c r="R13" s="207">
        <v>250000</v>
      </c>
      <c r="S13" s="207">
        <f t="shared" si="0"/>
        <v>373750000</v>
      </c>
      <c r="T13" s="589" t="s">
        <v>11</v>
      </c>
      <c r="U13" s="157">
        <v>250000</v>
      </c>
      <c r="V13" s="158">
        <f t="shared" si="1"/>
        <v>250000</v>
      </c>
      <c r="W13" s="159">
        <f t="shared" si="2"/>
        <v>0</v>
      </c>
      <c r="X13" s="159">
        <f t="shared" si="3"/>
        <v>0</v>
      </c>
      <c r="Y13" s="160"/>
      <c r="Z13" s="160">
        <f t="shared" si="4"/>
        <v>0</v>
      </c>
      <c r="AA13" s="165"/>
      <c r="AB13" s="161">
        <f t="shared" si="5"/>
        <v>0</v>
      </c>
      <c r="AC13" s="162"/>
      <c r="AD13" s="162">
        <f t="shared" si="6"/>
        <v>0</v>
      </c>
      <c r="AE13" s="164"/>
      <c r="AF13" s="164">
        <f t="shared" si="7"/>
        <v>0</v>
      </c>
      <c r="AG13" s="165"/>
      <c r="AH13" s="165">
        <f t="shared" si="8"/>
        <v>0</v>
      </c>
      <c r="AI13" s="166">
        <v>0</v>
      </c>
      <c r="AJ13" s="166">
        <f t="shared" si="9"/>
        <v>0</v>
      </c>
      <c r="AK13" s="162"/>
      <c r="AL13" s="162">
        <f t="shared" si="10"/>
        <v>0</v>
      </c>
      <c r="AM13" s="173"/>
      <c r="AN13" s="167">
        <f t="shared" si="11"/>
        <v>0</v>
      </c>
      <c r="AO13" s="163"/>
      <c r="AP13" s="163">
        <f t="shared" si="12"/>
        <v>0</v>
      </c>
      <c r="AQ13" s="168"/>
      <c r="AR13" s="168">
        <f t="shared" si="13"/>
        <v>0</v>
      </c>
      <c r="AS13" s="170"/>
      <c r="AT13" s="170">
        <f t="shared" si="14"/>
        <v>0</v>
      </c>
      <c r="AU13" s="166"/>
      <c r="AV13" s="166">
        <f t="shared" si="15"/>
        <v>0</v>
      </c>
    </row>
    <row r="14" spans="1:48" s="171" customFormat="1" ht="31.5">
      <c r="A14" s="148" t="s">
        <v>6659</v>
      </c>
      <c r="B14" s="149" t="s">
        <v>6224</v>
      </c>
      <c r="C14" s="149" t="s">
        <v>6225</v>
      </c>
      <c r="D14" s="240" t="s">
        <v>6660</v>
      </c>
      <c r="E14" s="590"/>
      <c r="F14" s="203" t="s">
        <v>1119</v>
      </c>
      <c r="G14" s="204" t="s">
        <v>225</v>
      </c>
      <c r="H14" s="204">
        <v>2</v>
      </c>
      <c r="I14" s="203" t="s">
        <v>6661</v>
      </c>
      <c r="J14" s="205" t="s">
        <v>6530</v>
      </c>
      <c r="K14" s="203" t="s">
        <v>5104</v>
      </c>
      <c r="L14" s="205" t="s">
        <v>6662</v>
      </c>
      <c r="M14" s="205" t="s">
        <v>6532</v>
      </c>
      <c r="N14" s="204" t="s">
        <v>213</v>
      </c>
      <c r="O14" s="204" t="s">
        <v>11</v>
      </c>
      <c r="P14" s="206">
        <v>4500</v>
      </c>
      <c r="Q14" s="206">
        <v>4200</v>
      </c>
      <c r="R14" s="207">
        <v>30000</v>
      </c>
      <c r="S14" s="207">
        <f t="shared" si="0"/>
        <v>126000000</v>
      </c>
      <c r="T14" s="589"/>
      <c r="U14" s="157">
        <v>30000</v>
      </c>
      <c r="V14" s="158">
        <f t="shared" si="1"/>
        <v>30000</v>
      </c>
      <c r="W14" s="159">
        <f t="shared" si="2"/>
        <v>0</v>
      </c>
      <c r="X14" s="159">
        <f t="shared" si="3"/>
        <v>0</v>
      </c>
      <c r="Y14" s="160"/>
      <c r="Z14" s="160">
        <f t="shared" si="4"/>
        <v>0</v>
      </c>
      <c r="AA14" s="165"/>
      <c r="AB14" s="161">
        <f t="shared" si="5"/>
        <v>0</v>
      </c>
      <c r="AC14" s="162"/>
      <c r="AD14" s="162">
        <f t="shared" si="6"/>
        <v>0</v>
      </c>
      <c r="AE14" s="164"/>
      <c r="AF14" s="164">
        <f t="shared" si="7"/>
        <v>0</v>
      </c>
      <c r="AG14" s="165"/>
      <c r="AH14" s="165">
        <f t="shared" si="8"/>
        <v>0</v>
      </c>
      <c r="AI14" s="166">
        <v>0</v>
      </c>
      <c r="AJ14" s="166">
        <f t="shared" si="9"/>
        <v>0</v>
      </c>
      <c r="AK14" s="162"/>
      <c r="AL14" s="162">
        <f t="shared" si="10"/>
        <v>0</v>
      </c>
      <c r="AM14" s="173"/>
      <c r="AN14" s="167">
        <f t="shared" si="11"/>
        <v>0</v>
      </c>
      <c r="AO14" s="163"/>
      <c r="AP14" s="163">
        <f t="shared" si="12"/>
        <v>0</v>
      </c>
      <c r="AQ14" s="168"/>
      <c r="AR14" s="168">
        <f t="shared" si="13"/>
        <v>0</v>
      </c>
      <c r="AS14" s="170"/>
      <c r="AT14" s="170">
        <f t="shared" si="14"/>
        <v>0</v>
      </c>
      <c r="AU14" s="166"/>
      <c r="AV14" s="166">
        <f t="shared" si="15"/>
        <v>0</v>
      </c>
    </row>
    <row r="15" spans="1:48" ht="31.5">
      <c r="A15" s="148" t="s">
        <v>6746</v>
      </c>
      <c r="B15" s="149" t="s">
        <v>6224</v>
      </c>
      <c r="C15" s="149" t="s">
        <v>6225</v>
      </c>
      <c r="D15" s="240" t="s">
        <v>6747</v>
      </c>
      <c r="E15" s="590" t="s">
        <v>12642</v>
      </c>
      <c r="F15" s="203" t="s">
        <v>788</v>
      </c>
      <c r="G15" s="204" t="s">
        <v>369</v>
      </c>
      <c r="H15" s="204">
        <v>2</v>
      </c>
      <c r="I15" s="203" t="s">
        <v>6748</v>
      </c>
      <c r="J15" s="205" t="s">
        <v>5608</v>
      </c>
      <c r="K15" s="203" t="s">
        <v>5104</v>
      </c>
      <c r="L15" s="205" t="s">
        <v>6749</v>
      </c>
      <c r="M15" s="205" t="s">
        <v>6532</v>
      </c>
      <c r="N15" s="204" t="s">
        <v>213</v>
      </c>
      <c r="O15" s="204" t="s">
        <v>11</v>
      </c>
      <c r="P15" s="206">
        <v>4054</v>
      </c>
      <c r="Q15" s="206">
        <v>3480</v>
      </c>
      <c r="R15" s="207">
        <v>50000</v>
      </c>
      <c r="S15" s="207">
        <f t="shared" si="0"/>
        <v>174000000</v>
      </c>
      <c r="T15" s="589"/>
      <c r="U15" s="157">
        <v>50000</v>
      </c>
      <c r="V15" s="158">
        <f t="shared" si="1"/>
        <v>50000</v>
      </c>
      <c r="W15" s="159">
        <f t="shared" si="2"/>
        <v>0</v>
      </c>
      <c r="X15" s="159">
        <f t="shared" si="3"/>
        <v>0</v>
      </c>
      <c r="Y15" s="160"/>
      <c r="Z15" s="160">
        <f t="shared" si="4"/>
        <v>0</v>
      </c>
      <c r="AA15" s="165"/>
      <c r="AB15" s="161">
        <f t="shared" si="5"/>
        <v>0</v>
      </c>
      <c r="AC15" s="162"/>
      <c r="AD15" s="162">
        <f t="shared" si="6"/>
        <v>0</v>
      </c>
      <c r="AE15" s="164"/>
      <c r="AF15" s="164">
        <f t="shared" si="7"/>
        <v>0</v>
      </c>
      <c r="AG15" s="165"/>
      <c r="AH15" s="165">
        <f t="shared" si="8"/>
        <v>0</v>
      </c>
      <c r="AI15" s="166">
        <v>0</v>
      </c>
      <c r="AJ15" s="166">
        <f t="shared" si="9"/>
        <v>0</v>
      </c>
      <c r="AK15" s="162"/>
      <c r="AL15" s="162">
        <f t="shared" si="10"/>
        <v>0</v>
      </c>
      <c r="AM15" s="173"/>
      <c r="AN15" s="167">
        <f t="shared" si="11"/>
        <v>0</v>
      </c>
      <c r="AO15" s="163"/>
      <c r="AP15" s="163">
        <f t="shared" si="12"/>
        <v>0</v>
      </c>
      <c r="AQ15" s="168"/>
      <c r="AR15" s="168">
        <f t="shared" si="13"/>
        <v>0</v>
      </c>
      <c r="AS15" s="170"/>
      <c r="AT15" s="170">
        <f t="shared" si="14"/>
        <v>0</v>
      </c>
      <c r="AU15" s="166"/>
      <c r="AV15" s="166">
        <f t="shared" si="15"/>
        <v>0</v>
      </c>
    </row>
    <row r="16" spans="1:48" s="115" customFormat="1" ht="31.5">
      <c r="A16" s="172" t="s">
        <v>6993</v>
      </c>
      <c r="B16" s="149" t="s">
        <v>6224</v>
      </c>
      <c r="C16" s="149" t="s">
        <v>6225</v>
      </c>
      <c r="D16" s="240" t="s">
        <v>4233</v>
      </c>
      <c r="E16" s="590" t="s">
        <v>12642</v>
      </c>
      <c r="F16" s="203" t="s">
        <v>560</v>
      </c>
      <c r="G16" s="204" t="s">
        <v>4235</v>
      </c>
      <c r="H16" s="204">
        <v>3</v>
      </c>
      <c r="I16" s="203" t="s">
        <v>4234</v>
      </c>
      <c r="J16" s="205" t="s">
        <v>6994</v>
      </c>
      <c r="K16" s="203" t="s">
        <v>5535</v>
      </c>
      <c r="L16" s="205" t="s">
        <v>6995</v>
      </c>
      <c r="M16" s="205" t="s">
        <v>6996</v>
      </c>
      <c r="N16" s="204" t="s">
        <v>213</v>
      </c>
      <c r="O16" s="204" t="s">
        <v>520</v>
      </c>
      <c r="P16" s="206">
        <v>3400</v>
      </c>
      <c r="Q16" s="206">
        <v>2200</v>
      </c>
      <c r="R16" s="207">
        <v>100000</v>
      </c>
      <c r="S16" s="207">
        <f t="shared" si="0"/>
        <v>220000000</v>
      </c>
      <c r="T16" s="589"/>
      <c r="U16" s="157">
        <v>100000</v>
      </c>
      <c r="V16" s="158">
        <f t="shared" si="1"/>
        <v>90016</v>
      </c>
      <c r="W16" s="159">
        <f t="shared" si="2"/>
        <v>9984</v>
      </c>
      <c r="X16" s="159">
        <f t="shared" si="3"/>
        <v>21964800</v>
      </c>
      <c r="Y16" s="160"/>
      <c r="Z16" s="160">
        <f t="shared" si="4"/>
        <v>0</v>
      </c>
      <c r="AA16" s="165">
        <v>9984</v>
      </c>
      <c r="AB16" s="161">
        <f t="shared" si="5"/>
        <v>21964800</v>
      </c>
      <c r="AC16" s="162"/>
      <c r="AD16" s="162">
        <f t="shared" si="6"/>
        <v>0</v>
      </c>
      <c r="AE16" s="164"/>
      <c r="AF16" s="164">
        <f t="shared" si="7"/>
        <v>0</v>
      </c>
      <c r="AG16" s="165"/>
      <c r="AH16" s="165">
        <f t="shared" si="8"/>
        <v>0</v>
      </c>
      <c r="AI16" s="166">
        <v>0</v>
      </c>
      <c r="AJ16" s="166">
        <f t="shared" si="9"/>
        <v>0</v>
      </c>
      <c r="AK16" s="162"/>
      <c r="AL16" s="162">
        <f t="shared" si="10"/>
        <v>0</v>
      </c>
      <c r="AM16" s="173"/>
      <c r="AN16" s="167">
        <f t="shared" si="11"/>
        <v>0</v>
      </c>
      <c r="AO16" s="163"/>
      <c r="AP16" s="163">
        <f t="shared" si="12"/>
        <v>0</v>
      </c>
      <c r="AQ16" s="168"/>
      <c r="AR16" s="168">
        <f t="shared" si="13"/>
        <v>0</v>
      </c>
      <c r="AS16" s="170"/>
      <c r="AT16" s="170">
        <f t="shared" si="14"/>
        <v>0</v>
      </c>
      <c r="AU16" s="166"/>
      <c r="AV16" s="166">
        <f t="shared" si="15"/>
        <v>0</v>
      </c>
    </row>
    <row r="17" spans="1:48" s="115" customFormat="1" ht="47.25">
      <c r="A17" s="148" t="s">
        <v>7095</v>
      </c>
      <c r="B17" s="149" t="s">
        <v>6224</v>
      </c>
      <c r="C17" s="149" t="s">
        <v>6225</v>
      </c>
      <c r="D17" s="608" t="s">
        <v>5022</v>
      </c>
      <c r="E17" s="591" t="s">
        <v>12642</v>
      </c>
      <c r="F17" s="223" t="s">
        <v>702</v>
      </c>
      <c r="G17" s="224" t="s">
        <v>232</v>
      </c>
      <c r="H17" s="204">
        <v>3</v>
      </c>
      <c r="I17" s="223" t="s">
        <v>5023</v>
      </c>
      <c r="J17" s="225" t="s">
        <v>7096</v>
      </c>
      <c r="K17" s="223" t="s">
        <v>5104</v>
      </c>
      <c r="L17" s="225" t="s">
        <v>7097</v>
      </c>
      <c r="M17" s="225" t="s">
        <v>7098</v>
      </c>
      <c r="N17" s="224" t="s">
        <v>213</v>
      </c>
      <c r="O17" s="224" t="s">
        <v>11</v>
      </c>
      <c r="P17" s="226">
        <v>650</v>
      </c>
      <c r="Q17" s="226">
        <v>650</v>
      </c>
      <c r="R17" s="207">
        <v>150000</v>
      </c>
      <c r="S17" s="207">
        <f t="shared" si="0"/>
        <v>97500000</v>
      </c>
      <c r="T17" s="589"/>
      <c r="U17" s="157">
        <v>150000</v>
      </c>
      <c r="V17" s="158">
        <f t="shared" si="1"/>
        <v>148500</v>
      </c>
      <c r="W17" s="159">
        <f t="shared" si="2"/>
        <v>1500</v>
      </c>
      <c r="X17" s="159">
        <f t="shared" si="3"/>
        <v>975000</v>
      </c>
      <c r="Y17" s="160"/>
      <c r="Z17" s="160">
        <f t="shared" si="4"/>
        <v>0</v>
      </c>
      <c r="AA17" s="165">
        <v>500</v>
      </c>
      <c r="AB17" s="161">
        <f t="shared" si="5"/>
        <v>325000</v>
      </c>
      <c r="AC17" s="162"/>
      <c r="AD17" s="162">
        <f t="shared" si="6"/>
        <v>0</v>
      </c>
      <c r="AE17" s="164"/>
      <c r="AF17" s="164">
        <f t="shared" si="7"/>
        <v>0</v>
      </c>
      <c r="AG17" s="165"/>
      <c r="AH17" s="165">
        <f t="shared" si="8"/>
        <v>0</v>
      </c>
      <c r="AI17" s="166">
        <v>0</v>
      </c>
      <c r="AJ17" s="166">
        <f t="shared" si="9"/>
        <v>0</v>
      </c>
      <c r="AK17" s="162"/>
      <c r="AL17" s="162">
        <f t="shared" si="10"/>
        <v>0</v>
      </c>
      <c r="AM17" s="173"/>
      <c r="AN17" s="167">
        <f t="shared" si="11"/>
        <v>0</v>
      </c>
      <c r="AO17" s="163"/>
      <c r="AP17" s="163">
        <f t="shared" si="12"/>
        <v>0</v>
      </c>
      <c r="AQ17" s="168"/>
      <c r="AR17" s="168">
        <f t="shared" si="13"/>
        <v>0</v>
      </c>
      <c r="AS17" s="170">
        <v>1000</v>
      </c>
      <c r="AT17" s="170">
        <f t="shared" si="14"/>
        <v>650000</v>
      </c>
      <c r="AU17" s="166"/>
      <c r="AV17" s="166">
        <f t="shared" si="15"/>
        <v>0</v>
      </c>
    </row>
    <row r="18" spans="1:48" s="115" customFormat="1" ht="31.5">
      <c r="A18" s="148" t="s">
        <v>7124</v>
      </c>
      <c r="B18" s="149" t="s">
        <v>6224</v>
      </c>
      <c r="C18" s="149" t="s">
        <v>6225</v>
      </c>
      <c r="D18" s="240" t="s">
        <v>7125</v>
      </c>
      <c r="E18" s="590"/>
      <c r="F18" s="203" t="s">
        <v>1697</v>
      </c>
      <c r="G18" s="204" t="s">
        <v>7126</v>
      </c>
      <c r="H18" s="204">
        <v>3</v>
      </c>
      <c r="I18" s="203" t="s">
        <v>7127</v>
      </c>
      <c r="J18" s="205" t="s">
        <v>7128</v>
      </c>
      <c r="K18" s="203" t="s">
        <v>5104</v>
      </c>
      <c r="L18" s="205" t="s">
        <v>7129</v>
      </c>
      <c r="M18" s="205" t="s">
        <v>485</v>
      </c>
      <c r="N18" s="204" t="s">
        <v>213</v>
      </c>
      <c r="O18" s="204" t="s">
        <v>11</v>
      </c>
      <c r="P18" s="206">
        <v>3000</v>
      </c>
      <c r="Q18" s="206">
        <v>2850</v>
      </c>
      <c r="R18" s="207">
        <v>60000</v>
      </c>
      <c r="S18" s="207">
        <f t="shared" si="0"/>
        <v>171000000</v>
      </c>
      <c r="T18" s="589"/>
      <c r="U18" s="157">
        <v>60000</v>
      </c>
      <c r="V18" s="158">
        <f t="shared" si="1"/>
        <v>60000</v>
      </c>
      <c r="W18" s="159">
        <f t="shared" si="2"/>
        <v>0</v>
      </c>
      <c r="X18" s="159">
        <f t="shared" si="3"/>
        <v>0</v>
      </c>
      <c r="Y18" s="160"/>
      <c r="Z18" s="160">
        <f t="shared" si="4"/>
        <v>0</v>
      </c>
      <c r="AA18" s="165"/>
      <c r="AB18" s="161">
        <f t="shared" si="5"/>
        <v>0</v>
      </c>
      <c r="AC18" s="162"/>
      <c r="AD18" s="162">
        <f t="shared" si="6"/>
        <v>0</v>
      </c>
      <c r="AE18" s="164"/>
      <c r="AF18" s="164">
        <f t="shared" si="7"/>
        <v>0</v>
      </c>
      <c r="AG18" s="165"/>
      <c r="AH18" s="165">
        <f t="shared" si="8"/>
        <v>0</v>
      </c>
      <c r="AI18" s="166">
        <v>0</v>
      </c>
      <c r="AJ18" s="166">
        <f t="shared" si="9"/>
        <v>0</v>
      </c>
      <c r="AK18" s="162"/>
      <c r="AL18" s="162">
        <f t="shared" si="10"/>
        <v>0</v>
      </c>
      <c r="AM18" s="173"/>
      <c r="AN18" s="167">
        <f t="shared" si="11"/>
        <v>0</v>
      </c>
      <c r="AO18" s="163"/>
      <c r="AP18" s="163">
        <f t="shared" si="12"/>
        <v>0</v>
      </c>
      <c r="AQ18" s="168"/>
      <c r="AR18" s="168">
        <f t="shared" si="13"/>
        <v>0</v>
      </c>
      <c r="AS18" s="170"/>
      <c r="AT18" s="170">
        <f t="shared" si="14"/>
        <v>0</v>
      </c>
      <c r="AU18" s="166"/>
      <c r="AV18" s="166">
        <f t="shared" si="15"/>
        <v>0</v>
      </c>
    </row>
    <row r="19" spans="1:48" s="115" customFormat="1" ht="31.5">
      <c r="A19" s="148" t="s">
        <v>7615</v>
      </c>
      <c r="B19" s="149" t="s">
        <v>6224</v>
      </c>
      <c r="C19" s="149" t="s">
        <v>6225</v>
      </c>
      <c r="D19" s="608" t="s">
        <v>7616</v>
      </c>
      <c r="E19" s="591"/>
      <c r="F19" s="223" t="s">
        <v>7617</v>
      </c>
      <c r="G19" s="224" t="s">
        <v>7618</v>
      </c>
      <c r="H19" s="204">
        <v>3</v>
      </c>
      <c r="I19" s="223" t="s">
        <v>7619</v>
      </c>
      <c r="J19" s="225" t="s">
        <v>7620</v>
      </c>
      <c r="K19" s="223" t="s">
        <v>253</v>
      </c>
      <c r="L19" s="225" t="s">
        <v>7621</v>
      </c>
      <c r="M19" s="225" t="s">
        <v>7353</v>
      </c>
      <c r="N19" s="224" t="s">
        <v>213</v>
      </c>
      <c r="O19" s="204" t="s">
        <v>11</v>
      </c>
      <c r="P19" s="226">
        <v>2500</v>
      </c>
      <c r="Q19" s="226">
        <v>2500</v>
      </c>
      <c r="R19" s="207">
        <v>50000</v>
      </c>
      <c r="S19" s="207">
        <f t="shared" si="0"/>
        <v>125000000</v>
      </c>
      <c r="T19" s="589"/>
      <c r="U19" s="157">
        <v>50000</v>
      </c>
      <c r="V19" s="158">
        <f t="shared" si="1"/>
        <v>50000</v>
      </c>
      <c r="W19" s="159">
        <f t="shared" si="2"/>
        <v>0</v>
      </c>
      <c r="X19" s="159">
        <f t="shared" si="3"/>
        <v>0</v>
      </c>
      <c r="Y19" s="160"/>
      <c r="Z19" s="160">
        <f t="shared" si="4"/>
        <v>0</v>
      </c>
      <c r="AA19" s="165"/>
      <c r="AB19" s="161">
        <f t="shared" si="5"/>
        <v>0</v>
      </c>
      <c r="AC19" s="162"/>
      <c r="AD19" s="162">
        <f t="shared" si="6"/>
        <v>0</v>
      </c>
      <c r="AE19" s="164"/>
      <c r="AF19" s="164">
        <f t="shared" si="7"/>
        <v>0</v>
      </c>
      <c r="AG19" s="165"/>
      <c r="AH19" s="165">
        <f t="shared" si="8"/>
        <v>0</v>
      </c>
      <c r="AI19" s="166">
        <v>0</v>
      </c>
      <c r="AJ19" s="166">
        <f t="shared" si="9"/>
        <v>0</v>
      </c>
      <c r="AK19" s="162"/>
      <c r="AL19" s="162">
        <f t="shared" si="10"/>
        <v>0</v>
      </c>
      <c r="AM19" s="173"/>
      <c r="AN19" s="167">
        <f t="shared" si="11"/>
        <v>0</v>
      </c>
      <c r="AO19" s="163"/>
      <c r="AP19" s="163">
        <f t="shared" si="12"/>
        <v>0</v>
      </c>
      <c r="AQ19" s="168"/>
      <c r="AR19" s="168">
        <f t="shared" si="13"/>
        <v>0</v>
      </c>
      <c r="AS19" s="170"/>
      <c r="AT19" s="170">
        <f t="shared" si="14"/>
        <v>0</v>
      </c>
      <c r="AU19" s="166"/>
      <c r="AV19" s="166">
        <f t="shared" si="15"/>
        <v>0</v>
      </c>
    </row>
    <row r="20" spans="1:48" s="115" customFormat="1" ht="31.5">
      <c r="A20" s="148" t="s">
        <v>7730</v>
      </c>
      <c r="B20" s="149" t="s">
        <v>6224</v>
      </c>
      <c r="C20" s="149" t="s">
        <v>6225</v>
      </c>
      <c r="D20" s="240" t="s">
        <v>7731</v>
      </c>
      <c r="E20" s="590" t="s">
        <v>12642</v>
      </c>
      <c r="F20" s="203" t="s">
        <v>1123</v>
      </c>
      <c r="G20" s="204" t="s">
        <v>310</v>
      </c>
      <c r="H20" s="204">
        <v>3</v>
      </c>
      <c r="I20" s="203" t="s">
        <v>1124</v>
      </c>
      <c r="J20" s="205" t="s">
        <v>7732</v>
      </c>
      <c r="K20" s="203" t="s">
        <v>5104</v>
      </c>
      <c r="L20" s="205" t="s">
        <v>7733</v>
      </c>
      <c r="M20" s="205" t="s">
        <v>7734</v>
      </c>
      <c r="N20" s="204" t="s">
        <v>213</v>
      </c>
      <c r="O20" s="204" t="s">
        <v>11</v>
      </c>
      <c r="P20" s="206">
        <v>6600</v>
      </c>
      <c r="Q20" s="215">
        <v>6490</v>
      </c>
      <c r="R20" s="207">
        <v>30000</v>
      </c>
      <c r="S20" s="207">
        <f t="shared" si="0"/>
        <v>194700000</v>
      </c>
      <c r="T20" s="589" t="s">
        <v>11</v>
      </c>
      <c r="U20" s="157">
        <v>30000</v>
      </c>
      <c r="V20" s="158">
        <f t="shared" si="1"/>
        <v>29700</v>
      </c>
      <c r="W20" s="159">
        <f t="shared" si="2"/>
        <v>300</v>
      </c>
      <c r="X20" s="159">
        <f t="shared" si="3"/>
        <v>1947000</v>
      </c>
      <c r="Y20" s="160"/>
      <c r="Z20" s="160">
        <f t="shared" si="4"/>
        <v>0</v>
      </c>
      <c r="AA20" s="165"/>
      <c r="AB20" s="161">
        <f t="shared" si="5"/>
        <v>0</v>
      </c>
      <c r="AC20" s="162"/>
      <c r="AD20" s="162">
        <f t="shared" si="6"/>
        <v>0</v>
      </c>
      <c r="AE20" s="164"/>
      <c r="AF20" s="164">
        <f t="shared" si="7"/>
        <v>0</v>
      </c>
      <c r="AG20" s="165"/>
      <c r="AH20" s="165">
        <f t="shared" si="8"/>
        <v>0</v>
      </c>
      <c r="AI20" s="166">
        <v>0</v>
      </c>
      <c r="AJ20" s="166">
        <f t="shared" si="9"/>
        <v>0</v>
      </c>
      <c r="AK20" s="162"/>
      <c r="AL20" s="162">
        <f t="shared" si="10"/>
        <v>0</v>
      </c>
      <c r="AM20" s="173"/>
      <c r="AN20" s="167">
        <f t="shared" si="11"/>
        <v>0</v>
      </c>
      <c r="AO20" s="163"/>
      <c r="AP20" s="163">
        <f t="shared" si="12"/>
        <v>0</v>
      </c>
      <c r="AQ20" s="168"/>
      <c r="AR20" s="168">
        <f t="shared" si="13"/>
        <v>0</v>
      </c>
      <c r="AS20" s="170">
        <v>300</v>
      </c>
      <c r="AT20" s="170">
        <f t="shared" si="14"/>
        <v>1947000</v>
      </c>
      <c r="AU20" s="166"/>
      <c r="AV20" s="166">
        <f t="shared" si="15"/>
        <v>0</v>
      </c>
    </row>
    <row r="21" spans="1:48" s="115" customFormat="1" ht="31.5">
      <c r="A21" s="148" t="s">
        <v>7801</v>
      </c>
      <c r="B21" s="149" t="s">
        <v>6224</v>
      </c>
      <c r="C21" s="149" t="s">
        <v>6225</v>
      </c>
      <c r="D21" s="240" t="s">
        <v>7802</v>
      </c>
      <c r="E21" s="590" t="s">
        <v>12642</v>
      </c>
      <c r="F21" s="203" t="s">
        <v>855</v>
      </c>
      <c r="G21" s="204" t="s">
        <v>7803</v>
      </c>
      <c r="H21" s="204">
        <v>3</v>
      </c>
      <c r="I21" s="203" t="s">
        <v>7804</v>
      </c>
      <c r="J21" s="205" t="s">
        <v>6994</v>
      </c>
      <c r="K21" s="203" t="s">
        <v>5104</v>
      </c>
      <c r="L21" s="205" t="s">
        <v>7805</v>
      </c>
      <c r="M21" s="205" t="s">
        <v>6996</v>
      </c>
      <c r="N21" s="204" t="s">
        <v>213</v>
      </c>
      <c r="O21" s="204" t="s">
        <v>520</v>
      </c>
      <c r="P21" s="206">
        <v>4500</v>
      </c>
      <c r="Q21" s="206">
        <v>3050</v>
      </c>
      <c r="R21" s="207">
        <v>50000</v>
      </c>
      <c r="S21" s="207">
        <f t="shared" si="0"/>
        <v>152500000</v>
      </c>
      <c r="T21" s="589"/>
      <c r="U21" s="157">
        <v>50000</v>
      </c>
      <c r="V21" s="158">
        <f t="shared" si="1"/>
        <v>50000</v>
      </c>
      <c r="W21" s="159">
        <f t="shared" si="2"/>
        <v>0</v>
      </c>
      <c r="X21" s="159">
        <f t="shared" si="3"/>
        <v>0</v>
      </c>
      <c r="Y21" s="160"/>
      <c r="Z21" s="160">
        <f t="shared" si="4"/>
        <v>0</v>
      </c>
      <c r="AA21" s="165"/>
      <c r="AB21" s="161">
        <f t="shared" si="5"/>
        <v>0</v>
      </c>
      <c r="AC21" s="162"/>
      <c r="AD21" s="162">
        <f t="shared" si="6"/>
        <v>0</v>
      </c>
      <c r="AE21" s="164"/>
      <c r="AF21" s="164">
        <f t="shared" si="7"/>
        <v>0</v>
      </c>
      <c r="AG21" s="165"/>
      <c r="AH21" s="165">
        <f t="shared" si="8"/>
        <v>0</v>
      </c>
      <c r="AI21" s="166">
        <v>0</v>
      </c>
      <c r="AJ21" s="166">
        <f t="shared" si="9"/>
        <v>0</v>
      </c>
      <c r="AK21" s="162"/>
      <c r="AL21" s="162">
        <f t="shared" si="10"/>
        <v>0</v>
      </c>
      <c r="AM21" s="173"/>
      <c r="AN21" s="167">
        <f t="shared" si="11"/>
        <v>0</v>
      </c>
      <c r="AO21" s="163"/>
      <c r="AP21" s="163">
        <f t="shared" si="12"/>
        <v>0</v>
      </c>
      <c r="AQ21" s="168"/>
      <c r="AR21" s="168">
        <f t="shared" si="13"/>
        <v>0</v>
      </c>
      <c r="AS21" s="170"/>
      <c r="AT21" s="170">
        <f t="shared" si="14"/>
        <v>0</v>
      </c>
      <c r="AU21" s="166"/>
      <c r="AV21" s="166">
        <f t="shared" si="15"/>
        <v>0</v>
      </c>
    </row>
    <row r="22" spans="1:48" s="115" customFormat="1" ht="31.5">
      <c r="A22" s="148" t="s">
        <v>7918</v>
      </c>
      <c r="B22" s="149" t="s">
        <v>6224</v>
      </c>
      <c r="C22" s="149" t="s">
        <v>6225</v>
      </c>
      <c r="D22" s="240" t="s">
        <v>7919</v>
      </c>
      <c r="E22" s="590" t="s">
        <v>12642</v>
      </c>
      <c r="F22" s="203" t="s">
        <v>736</v>
      </c>
      <c r="G22" s="204" t="s">
        <v>7920</v>
      </c>
      <c r="H22" s="204">
        <v>3</v>
      </c>
      <c r="I22" s="203" t="s">
        <v>7921</v>
      </c>
      <c r="J22" s="205" t="s">
        <v>7922</v>
      </c>
      <c r="K22" s="203" t="s">
        <v>5104</v>
      </c>
      <c r="L22" s="205" t="s">
        <v>7923</v>
      </c>
      <c r="M22" s="205" t="s">
        <v>7353</v>
      </c>
      <c r="N22" s="204" t="s">
        <v>213</v>
      </c>
      <c r="O22" s="204" t="s">
        <v>13</v>
      </c>
      <c r="P22" s="206">
        <v>2940</v>
      </c>
      <c r="Q22" s="206">
        <v>2870</v>
      </c>
      <c r="R22" s="207">
        <v>60000</v>
      </c>
      <c r="S22" s="207">
        <f t="shared" si="0"/>
        <v>172200000</v>
      </c>
      <c r="T22" s="589"/>
      <c r="U22" s="157">
        <v>60000</v>
      </c>
      <c r="V22" s="158">
        <f t="shared" si="1"/>
        <v>60000</v>
      </c>
      <c r="W22" s="159">
        <f t="shared" si="2"/>
        <v>0</v>
      </c>
      <c r="X22" s="159">
        <f t="shared" si="3"/>
        <v>0</v>
      </c>
      <c r="Y22" s="160"/>
      <c r="Z22" s="160">
        <f t="shared" si="4"/>
        <v>0</v>
      </c>
      <c r="AA22" s="165"/>
      <c r="AB22" s="161">
        <f t="shared" si="5"/>
        <v>0</v>
      </c>
      <c r="AC22" s="162"/>
      <c r="AD22" s="162">
        <f t="shared" si="6"/>
        <v>0</v>
      </c>
      <c r="AE22" s="164"/>
      <c r="AF22" s="164">
        <f t="shared" si="7"/>
        <v>0</v>
      </c>
      <c r="AG22" s="165"/>
      <c r="AH22" s="165">
        <f t="shared" si="8"/>
        <v>0</v>
      </c>
      <c r="AI22" s="166">
        <v>0</v>
      </c>
      <c r="AJ22" s="166">
        <f t="shared" si="9"/>
        <v>0</v>
      </c>
      <c r="AK22" s="162"/>
      <c r="AL22" s="162">
        <f t="shared" si="10"/>
        <v>0</v>
      </c>
      <c r="AM22" s="173"/>
      <c r="AN22" s="167">
        <f t="shared" si="11"/>
        <v>0</v>
      </c>
      <c r="AO22" s="163"/>
      <c r="AP22" s="163">
        <f t="shared" si="12"/>
        <v>0</v>
      </c>
      <c r="AQ22" s="168"/>
      <c r="AR22" s="168">
        <f t="shared" si="13"/>
        <v>0</v>
      </c>
      <c r="AS22" s="170"/>
      <c r="AT22" s="170">
        <f t="shared" si="14"/>
        <v>0</v>
      </c>
      <c r="AU22" s="166"/>
      <c r="AV22" s="166">
        <f t="shared" si="15"/>
        <v>0</v>
      </c>
    </row>
    <row r="23" spans="1:48" s="115" customFormat="1" ht="31.5">
      <c r="A23" s="148" t="s">
        <v>8115</v>
      </c>
      <c r="B23" s="149" t="s">
        <v>6224</v>
      </c>
      <c r="C23" s="149" t="s">
        <v>6225</v>
      </c>
      <c r="D23" s="240" t="s">
        <v>4083</v>
      </c>
      <c r="E23" s="590"/>
      <c r="F23" s="203" t="s">
        <v>8116</v>
      </c>
      <c r="G23" s="204" t="s">
        <v>327</v>
      </c>
      <c r="H23" s="204">
        <v>3</v>
      </c>
      <c r="I23" s="203" t="s">
        <v>8117</v>
      </c>
      <c r="J23" s="205" t="s">
        <v>5690</v>
      </c>
      <c r="K23" s="203" t="s">
        <v>5104</v>
      </c>
      <c r="L23" s="205" t="s">
        <v>8118</v>
      </c>
      <c r="M23" s="205" t="s">
        <v>6532</v>
      </c>
      <c r="N23" s="204" t="s">
        <v>213</v>
      </c>
      <c r="O23" s="204" t="s">
        <v>11</v>
      </c>
      <c r="P23" s="206">
        <v>2950</v>
      </c>
      <c r="Q23" s="206">
        <v>1950</v>
      </c>
      <c r="R23" s="207">
        <v>80000</v>
      </c>
      <c r="S23" s="207">
        <f t="shared" si="0"/>
        <v>156000000</v>
      </c>
      <c r="T23" s="589"/>
      <c r="U23" s="157">
        <v>80000</v>
      </c>
      <c r="V23" s="158">
        <f t="shared" si="1"/>
        <v>80000</v>
      </c>
      <c r="W23" s="159">
        <f t="shared" si="2"/>
        <v>0</v>
      </c>
      <c r="X23" s="159">
        <f t="shared" si="3"/>
        <v>0</v>
      </c>
      <c r="Y23" s="160"/>
      <c r="Z23" s="160">
        <f t="shared" si="4"/>
        <v>0</v>
      </c>
      <c r="AA23" s="165"/>
      <c r="AB23" s="161">
        <f t="shared" si="5"/>
        <v>0</v>
      </c>
      <c r="AC23" s="162"/>
      <c r="AD23" s="162">
        <f t="shared" si="6"/>
        <v>0</v>
      </c>
      <c r="AE23" s="164"/>
      <c r="AF23" s="164">
        <f t="shared" si="7"/>
        <v>0</v>
      </c>
      <c r="AG23" s="165"/>
      <c r="AH23" s="165">
        <f t="shared" si="8"/>
        <v>0</v>
      </c>
      <c r="AI23" s="166">
        <v>0</v>
      </c>
      <c r="AJ23" s="166">
        <f t="shared" si="9"/>
        <v>0</v>
      </c>
      <c r="AK23" s="162"/>
      <c r="AL23" s="162">
        <f t="shared" si="10"/>
        <v>0</v>
      </c>
      <c r="AM23" s="173"/>
      <c r="AN23" s="167">
        <f t="shared" si="11"/>
        <v>0</v>
      </c>
      <c r="AO23" s="163"/>
      <c r="AP23" s="163">
        <f t="shared" si="12"/>
        <v>0</v>
      </c>
      <c r="AQ23" s="168"/>
      <c r="AR23" s="168">
        <f t="shared" si="13"/>
        <v>0</v>
      </c>
      <c r="AS23" s="170"/>
      <c r="AT23" s="170">
        <f t="shared" si="14"/>
        <v>0</v>
      </c>
      <c r="AU23" s="166"/>
      <c r="AV23" s="166">
        <f t="shared" si="15"/>
        <v>0</v>
      </c>
    </row>
    <row r="24" spans="1:48" s="115" customFormat="1" ht="31.5">
      <c r="A24" s="172" t="s">
        <v>8119</v>
      </c>
      <c r="B24" s="149" t="s">
        <v>6224</v>
      </c>
      <c r="C24" s="149" t="s">
        <v>6225</v>
      </c>
      <c r="D24" s="240" t="s">
        <v>8120</v>
      </c>
      <c r="E24" s="590"/>
      <c r="F24" s="203" t="s">
        <v>8116</v>
      </c>
      <c r="G24" s="204" t="s">
        <v>327</v>
      </c>
      <c r="H24" s="204">
        <v>3</v>
      </c>
      <c r="I24" s="203" t="s">
        <v>1892</v>
      </c>
      <c r="J24" s="205" t="s">
        <v>8121</v>
      </c>
      <c r="K24" s="203" t="s">
        <v>5104</v>
      </c>
      <c r="L24" s="205" t="s">
        <v>1893</v>
      </c>
      <c r="M24" s="205" t="s">
        <v>8122</v>
      </c>
      <c r="N24" s="204" t="s">
        <v>213</v>
      </c>
      <c r="O24" s="204" t="s">
        <v>11</v>
      </c>
      <c r="P24" s="206">
        <v>5500</v>
      </c>
      <c r="Q24" s="206">
        <v>5500</v>
      </c>
      <c r="R24" s="207">
        <v>50000</v>
      </c>
      <c r="S24" s="207">
        <f t="shared" si="0"/>
        <v>275000000</v>
      </c>
      <c r="T24" s="589"/>
      <c r="U24" s="157">
        <v>50000</v>
      </c>
      <c r="V24" s="158">
        <f t="shared" si="1"/>
        <v>50000</v>
      </c>
      <c r="W24" s="159">
        <f t="shared" si="2"/>
        <v>0</v>
      </c>
      <c r="X24" s="159">
        <f t="shared" si="3"/>
        <v>0</v>
      </c>
      <c r="Y24" s="160"/>
      <c r="Z24" s="160">
        <f t="shared" si="4"/>
        <v>0</v>
      </c>
      <c r="AA24" s="165"/>
      <c r="AB24" s="161">
        <f t="shared" si="5"/>
        <v>0</v>
      </c>
      <c r="AC24" s="162"/>
      <c r="AD24" s="162">
        <f t="shared" si="6"/>
        <v>0</v>
      </c>
      <c r="AE24" s="164"/>
      <c r="AF24" s="164">
        <f t="shared" si="7"/>
        <v>0</v>
      </c>
      <c r="AG24" s="165"/>
      <c r="AH24" s="165">
        <f t="shared" si="8"/>
        <v>0</v>
      </c>
      <c r="AI24" s="166">
        <v>0</v>
      </c>
      <c r="AJ24" s="166">
        <f t="shared" si="9"/>
        <v>0</v>
      </c>
      <c r="AK24" s="162"/>
      <c r="AL24" s="162">
        <f t="shared" si="10"/>
        <v>0</v>
      </c>
      <c r="AM24" s="173"/>
      <c r="AN24" s="167">
        <f t="shared" si="11"/>
        <v>0</v>
      </c>
      <c r="AO24" s="163"/>
      <c r="AP24" s="163">
        <f t="shared" si="12"/>
        <v>0</v>
      </c>
      <c r="AQ24" s="168"/>
      <c r="AR24" s="168">
        <f t="shared" si="13"/>
        <v>0</v>
      </c>
      <c r="AS24" s="170"/>
      <c r="AT24" s="170">
        <f t="shared" si="14"/>
        <v>0</v>
      </c>
      <c r="AU24" s="166"/>
      <c r="AV24" s="166">
        <f t="shared" si="15"/>
        <v>0</v>
      </c>
    </row>
    <row r="25" spans="1:48" ht="31.5">
      <c r="A25" s="172" t="s">
        <v>8330</v>
      </c>
      <c r="B25" s="149" t="s">
        <v>6224</v>
      </c>
      <c r="C25" s="149" t="s">
        <v>6225</v>
      </c>
      <c r="D25" s="608" t="s">
        <v>4080</v>
      </c>
      <c r="E25" s="591" t="s">
        <v>12642</v>
      </c>
      <c r="F25" s="223" t="s">
        <v>583</v>
      </c>
      <c r="G25" s="224" t="s">
        <v>222</v>
      </c>
      <c r="H25" s="204">
        <v>4</v>
      </c>
      <c r="I25" s="223" t="s">
        <v>1100</v>
      </c>
      <c r="J25" s="225" t="s">
        <v>8331</v>
      </c>
      <c r="K25" s="223" t="s">
        <v>5104</v>
      </c>
      <c r="L25" s="225" t="s">
        <v>1101</v>
      </c>
      <c r="M25" s="225" t="s">
        <v>8332</v>
      </c>
      <c r="N25" s="224" t="s">
        <v>213</v>
      </c>
      <c r="O25" s="224" t="s">
        <v>11</v>
      </c>
      <c r="P25" s="226">
        <v>1670</v>
      </c>
      <c r="Q25" s="226">
        <v>1670</v>
      </c>
      <c r="R25" s="207">
        <v>80000</v>
      </c>
      <c r="S25" s="207">
        <f t="shared" si="0"/>
        <v>133600000</v>
      </c>
      <c r="T25" s="589"/>
      <c r="U25" s="157">
        <v>80000</v>
      </c>
      <c r="V25" s="158">
        <f t="shared" si="1"/>
        <v>60020</v>
      </c>
      <c r="W25" s="159">
        <f t="shared" si="2"/>
        <v>19980</v>
      </c>
      <c r="X25" s="159">
        <f t="shared" si="3"/>
        <v>33366600</v>
      </c>
      <c r="Y25" s="160"/>
      <c r="Z25" s="160">
        <f t="shared" si="4"/>
        <v>0</v>
      </c>
      <c r="AA25" s="165">
        <v>19980</v>
      </c>
      <c r="AB25" s="161">
        <f t="shared" si="5"/>
        <v>33366600</v>
      </c>
      <c r="AC25" s="162"/>
      <c r="AD25" s="162">
        <f t="shared" si="6"/>
        <v>0</v>
      </c>
      <c r="AE25" s="164"/>
      <c r="AF25" s="164">
        <f t="shared" si="7"/>
        <v>0</v>
      </c>
      <c r="AG25" s="165"/>
      <c r="AH25" s="165">
        <f t="shared" si="8"/>
        <v>0</v>
      </c>
      <c r="AI25" s="166">
        <v>0</v>
      </c>
      <c r="AJ25" s="166">
        <f t="shared" si="9"/>
        <v>0</v>
      </c>
      <c r="AK25" s="162"/>
      <c r="AL25" s="162">
        <f t="shared" si="10"/>
        <v>0</v>
      </c>
      <c r="AM25" s="173"/>
      <c r="AN25" s="167">
        <f t="shared" si="11"/>
        <v>0</v>
      </c>
      <c r="AO25" s="163"/>
      <c r="AP25" s="163">
        <f t="shared" si="12"/>
        <v>0</v>
      </c>
      <c r="AQ25" s="168"/>
      <c r="AR25" s="168">
        <f t="shared" si="13"/>
        <v>0</v>
      </c>
      <c r="AS25" s="170"/>
      <c r="AT25" s="170">
        <f t="shared" si="14"/>
        <v>0</v>
      </c>
      <c r="AU25" s="166"/>
      <c r="AV25" s="166">
        <f t="shared" si="15"/>
        <v>0</v>
      </c>
    </row>
    <row r="26" spans="1:48" s="131" customFormat="1" ht="31.5">
      <c r="A26" s="172" t="s">
        <v>7170</v>
      </c>
      <c r="B26" s="149" t="s">
        <v>7171</v>
      </c>
      <c r="C26" s="149" t="s">
        <v>7172</v>
      </c>
      <c r="D26" s="240" t="s">
        <v>5024</v>
      </c>
      <c r="E26" s="590" t="s">
        <v>12643</v>
      </c>
      <c r="F26" s="203" t="s">
        <v>1636</v>
      </c>
      <c r="G26" s="204" t="s">
        <v>5026</v>
      </c>
      <c r="H26" s="204">
        <v>3</v>
      </c>
      <c r="I26" s="203" t="s">
        <v>5025</v>
      </c>
      <c r="J26" s="205" t="s">
        <v>6767</v>
      </c>
      <c r="K26" s="203" t="s">
        <v>5104</v>
      </c>
      <c r="L26" s="205" t="s">
        <v>7173</v>
      </c>
      <c r="M26" s="205" t="s">
        <v>7174</v>
      </c>
      <c r="N26" s="204" t="s">
        <v>213</v>
      </c>
      <c r="O26" s="204" t="s">
        <v>11</v>
      </c>
      <c r="P26" s="206">
        <v>500</v>
      </c>
      <c r="Q26" s="206">
        <v>125</v>
      </c>
      <c r="R26" s="207">
        <v>400000</v>
      </c>
      <c r="S26" s="207">
        <f t="shared" si="0"/>
        <v>50000000</v>
      </c>
      <c r="T26" s="589"/>
      <c r="U26" s="157">
        <v>400000</v>
      </c>
      <c r="V26" s="158">
        <f t="shared" si="1"/>
        <v>311000</v>
      </c>
      <c r="W26" s="159">
        <f t="shared" si="2"/>
        <v>89000</v>
      </c>
      <c r="X26" s="159">
        <f t="shared" si="3"/>
        <v>11125000</v>
      </c>
      <c r="Y26" s="160"/>
      <c r="Z26" s="160">
        <f t="shared" si="4"/>
        <v>0</v>
      </c>
      <c r="AA26" s="165"/>
      <c r="AB26" s="161">
        <f t="shared" si="5"/>
        <v>0</v>
      </c>
      <c r="AC26" s="162">
        <v>80000</v>
      </c>
      <c r="AD26" s="162">
        <f t="shared" si="6"/>
        <v>10000000</v>
      </c>
      <c r="AE26" s="164"/>
      <c r="AF26" s="164">
        <f t="shared" si="7"/>
        <v>0</v>
      </c>
      <c r="AG26" s="165"/>
      <c r="AH26" s="165">
        <f t="shared" si="8"/>
        <v>0</v>
      </c>
      <c r="AI26" s="166">
        <v>0</v>
      </c>
      <c r="AJ26" s="166">
        <f t="shared" si="9"/>
        <v>0</v>
      </c>
      <c r="AK26" s="162"/>
      <c r="AL26" s="162">
        <f t="shared" si="10"/>
        <v>0</v>
      </c>
      <c r="AM26" s="173">
        <v>9000</v>
      </c>
      <c r="AN26" s="167">
        <f t="shared" si="11"/>
        <v>1125000</v>
      </c>
      <c r="AO26" s="163"/>
      <c r="AP26" s="163">
        <f t="shared" si="12"/>
        <v>0</v>
      </c>
      <c r="AQ26" s="168"/>
      <c r="AR26" s="168">
        <f t="shared" si="13"/>
        <v>0</v>
      </c>
      <c r="AS26" s="170"/>
      <c r="AT26" s="170">
        <f t="shared" si="14"/>
        <v>0</v>
      </c>
      <c r="AU26" s="166"/>
      <c r="AV26" s="166">
        <f t="shared" si="15"/>
        <v>0</v>
      </c>
    </row>
    <row r="27" spans="1:48" s="131" customFormat="1" ht="31.5">
      <c r="A27" s="148" t="s">
        <v>7198</v>
      </c>
      <c r="B27" s="149" t="s">
        <v>7171</v>
      </c>
      <c r="C27" s="149" t="s">
        <v>7172</v>
      </c>
      <c r="D27" s="240" t="s">
        <v>7199</v>
      </c>
      <c r="E27" s="590" t="s">
        <v>12643</v>
      </c>
      <c r="F27" s="203" t="s">
        <v>1402</v>
      </c>
      <c r="G27" s="204" t="s">
        <v>291</v>
      </c>
      <c r="H27" s="204">
        <v>3</v>
      </c>
      <c r="I27" s="203" t="s">
        <v>1402</v>
      </c>
      <c r="J27" s="205" t="s">
        <v>7200</v>
      </c>
      <c r="K27" s="203" t="s">
        <v>5104</v>
      </c>
      <c r="L27" s="205" t="s">
        <v>7201</v>
      </c>
      <c r="M27" s="205" t="s">
        <v>7174</v>
      </c>
      <c r="N27" s="204" t="s">
        <v>213</v>
      </c>
      <c r="O27" s="204" t="s">
        <v>11</v>
      </c>
      <c r="P27" s="206">
        <v>190</v>
      </c>
      <c r="Q27" s="206">
        <v>63</v>
      </c>
      <c r="R27" s="207">
        <v>20000</v>
      </c>
      <c r="S27" s="207">
        <f t="shared" si="0"/>
        <v>1260000</v>
      </c>
      <c r="T27" s="589"/>
      <c r="U27" s="157">
        <v>20000</v>
      </c>
      <c r="V27" s="158">
        <f t="shared" si="1"/>
        <v>20000</v>
      </c>
      <c r="W27" s="159">
        <f t="shared" si="2"/>
        <v>0</v>
      </c>
      <c r="X27" s="159">
        <f t="shared" si="3"/>
        <v>0</v>
      </c>
      <c r="Y27" s="160"/>
      <c r="Z27" s="160">
        <f t="shared" si="4"/>
        <v>0</v>
      </c>
      <c r="AA27" s="165"/>
      <c r="AB27" s="161">
        <f t="shared" si="5"/>
        <v>0</v>
      </c>
      <c r="AC27" s="162"/>
      <c r="AD27" s="162">
        <f t="shared" si="6"/>
        <v>0</v>
      </c>
      <c r="AE27" s="164"/>
      <c r="AF27" s="164">
        <f t="shared" si="7"/>
        <v>0</v>
      </c>
      <c r="AG27" s="165"/>
      <c r="AH27" s="165">
        <f t="shared" si="8"/>
        <v>0</v>
      </c>
      <c r="AI27" s="166">
        <v>0</v>
      </c>
      <c r="AJ27" s="166">
        <f t="shared" si="9"/>
        <v>0</v>
      </c>
      <c r="AK27" s="162"/>
      <c r="AL27" s="162">
        <f t="shared" si="10"/>
        <v>0</v>
      </c>
      <c r="AM27" s="173"/>
      <c r="AN27" s="167">
        <f t="shared" si="11"/>
        <v>0</v>
      </c>
      <c r="AO27" s="163"/>
      <c r="AP27" s="163">
        <f t="shared" si="12"/>
        <v>0</v>
      </c>
      <c r="AQ27" s="168"/>
      <c r="AR27" s="168">
        <f t="shared" si="13"/>
        <v>0</v>
      </c>
      <c r="AS27" s="170"/>
      <c r="AT27" s="170">
        <f t="shared" si="14"/>
        <v>0</v>
      </c>
      <c r="AU27" s="166"/>
      <c r="AV27" s="166">
        <f t="shared" si="15"/>
        <v>0</v>
      </c>
    </row>
    <row r="28" spans="1:48" s="131" customFormat="1" ht="47.25">
      <c r="A28" s="148" t="s">
        <v>7561</v>
      </c>
      <c r="B28" s="149" t="s">
        <v>7562</v>
      </c>
      <c r="C28" s="149" t="s">
        <v>7563</v>
      </c>
      <c r="D28" s="240" t="s">
        <v>4164</v>
      </c>
      <c r="E28" s="590" t="s">
        <v>12643</v>
      </c>
      <c r="F28" s="203" t="s">
        <v>765</v>
      </c>
      <c r="G28" s="204" t="s">
        <v>272</v>
      </c>
      <c r="H28" s="204">
        <v>3</v>
      </c>
      <c r="I28" s="203" t="s">
        <v>4165</v>
      </c>
      <c r="J28" s="205" t="s">
        <v>7564</v>
      </c>
      <c r="K28" s="203" t="s">
        <v>5104</v>
      </c>
      <c r="L28" s="205" t="s">
        <v>7565</v>
      </c>
      <c r="M28" s="205" t="s">
        <v>7566</v>
      </c>
      <c r="N28" s="204" t="s">
        <v>213</v>
      </c>
      <c r="O28" s="204" t="s">
        <v>11</v>
      </c>
      <c r="P28" s="206">
        <v>1650</v>
      </c>
      <c r="Q28" s="206">
        <v>1620</v>
      </c>
      <c r="R28" s="207">
        <v>10000</v>
      </c>
      <c r="S28" s="207">
        <f t="shared" si="0"/>
        <v>16200000</v>
      </c>
      <c r="T28" s="589"/>
      <c r="U28" s="157">
        <v>10000</v>
      </c>
      <c r="V28" s="158">
        <f t="shared" si="1"/>
        <v>7000</v>
      </c>
      <c r="W28" s="159">
        <f t="shared" si="2"/>
        <v>3000</v>
      </c>
      <c r="X28" s="159">
        <f t="shared" si="3"/>
        <v>4860000</v>
      </c>
      <c r="Y28" s="160"/>
      <c r="Z28" s="160">
        <f t="shared" si="4"/>
        <v>0</v>
      </c>
      <c r="AA28" s="165">
        <v>1000</v>
      </c>
      <c r="AB28" s="161">
        <f t="shared" si="5"/>
        <v>1620000</v>
      </c>
      <c r="AC28" s="162"/>
      <c r="AD28" s="162">
        <f t="shared" si="6"/>
        <v>0</v>
      </c>
      <c r="AE28" s="164"/>
      <c r="AF28" s="164">
        <f t="shared" si="7"/>
        <v>0</v>
      </c>
      <c r="AG28" s="165"/>
      <c r="AH28" s="165">
        <f t="shared" si="8"/>
        <v>0</v>
      </c>
      <c r="AI28" s="166">
        <v>0</v>
      </c>
      <c r="AJ28" s="166">
        <f t="shared" si="9"/>
        <v>0</v>
      </c>
      <c r="AK28" s="162"/>
      <c r="AL28" s="162">
        <f t="shared" si="10"/>
        <v>0</v>
      </c>
      <c r="AM28" s="173"/>
      <c r="AN28" s="167">
        <f t="shared" si="11"/>
        <v>0</v>
      </c>
      <c r="AO28" s="163"/>
      <c r="AP28" s="163">
        <f t="shared" si="12"/>
        <v>0</v>
      </c>
      <c r="AQ28" s="168"/>
      <c r="AR28" s="168">
        <f t="shared" si="13"/>
        <v>0</v>
      </c>
      <c r="AS28" s="170"/>
      <c r="AT28" s="170">
        <f t="shared" si="14"/>
        <v>0</v>
      </c>
      <c r="AU28" s="166">
        <v>2000</v>
      </c>
      <c r="AV28" s="166">
        <f t="shared" si="15"/>
        <v>3240000</v>
      </c>
    </row>
    <row r="29" spans="1:48" s="131" customFormat="1" ht="112.5">
      <c r="A29" s="172" t="s">
        <v>5847</v>
      </c>
      <c r="B29" s="209" t="s">
        <v>5848</v>
      </c>
      <c r="C29" s="203" t="s">
        <v>5849</v>
      </c>
      <c r="D29" s="240" t="s">
        <v>5850</v>
      </c>
      <c r="E29" s="590"/>
      <c r="F29" s="203" t="s">
        <v>659</v>
      </c>
      <c r="G29" s="204" t="s">
        <v>262</v>
      </c>
      <c r="H29" s="204">
        <v>1</v>
      </c>
      <c r="I29" s="203" t="s">
        <v>5851</v>
      </c>
      <c r="J29" s="205" t="s">
        <v>5852</v>
      </c>
      <c r="K29" s="203" t="s">
        <v>253</v>
      </c>
      <c r="L29" s="205" t="s">
        <v>5853</v>
      </c>
      <c r="M29" s="205" t="s">
        <v>2931</v>
      </c>
      <c r="N29" s="204" t="s">
        <v>5156</v>
      </c>
      <c r="O29" s="204" t="s">
        <v>11</v>
      </c>
      <c r="P29" s="206">
        <v>6000</v>
      </c>
      <c r="Q29" s="206">
        <v>3255</v>
      </c>
      <c r="R29" s="207">
        <v>30000</v>
      </c>
      <c r="S29" s="207">
        <f t="shared" si="0"/>
        <v>97650000</v>
      </c>
      <c r="T29" s="589"/>
      <c r="U29" s="157">
        <v>30000</v>
      </c>
      <c r="V29" s="158">
        <f t="shared" si="1"/>
        <v>30000</v>
      </c>
      <c r="W29" s="159">
        <f t="shared" si="2"/>
        <v>0</v>
      </c>
      <c r="X29" s="159">
        <f t="shared" si="3"/>
        <v>0</v>
      </c>
      <c r="Y29" s="160"/>
      <c r="Z29" s="160">
        <f t="shared" si="4"/>
        <v>0</v>
      </c>
      <c r="AA29" s="165"/>
      <c r="AB29" s="161">
        <f t="shared" si="5"/>
        <v>0</v>
      </c>
      <c r="AC29" s="162"/>
      <c r="AD29" s="162">
        <f t="shared" si="6"/>
        <v>0</v>
      </c>
      <c r="AE29" s="164"/>
      <c r="AF29" s="164">
        <f t="shared" si="7"/>
        <v>0</v>
      </c>
      <c r="AG29" s="165"/>
      <c r="AH29" s="165">
        <f t="shared" si="8"/>
        <v>0</v>
      </c>
      <c r="AI29" s="166">
        <v>0</v>
      </c>
      <c r="AJ29" s="166">
        <f t="shared" si="9"/>
        <v>0</v>
      </c>
      <c r="AK29" s="162"/>
      <c r="AL29" s="162">
        <f t="shared" si="10"/>
        <v>0</v>
      </c>
      <c r="AM29" s="173"/>
      <c r="AN29" s="167">
        <f t="shared" si="11"/>
        <v>0</v>
      </c>
      <c r="AO29" s="163"/>
      <c r="AP29" s="163">
        <f t="shared" si="12"/>
        <v>0</v>
      </c>
      <c r="AQ29" s="168"/>
      <c r="AR29" s="168">
        <f t="shared" si="13"/>
        <v>0</v>
      </c>
      <c r="AS29" s="170"/>
      <c r="AT29" s="170">
        <f t="shared" si="14"/>
        <v>0</v>
      </c>
      <c r="AU29" s="166"/>
      <c r="AV29" s="166">
        <f t="shared" si="15"/>
        <v>0</v>
      </c>
    </row>
    <row r="30" spans="1:48" s="131" customFormat="1" ht="112.5">
      <c r="A30" s="172" t="s">
        <v>6000</v>
      </c>
      <c r="B30" s="209" t="s">
        <v>5848</v>
      </c>
      <c r="C30" s="203" t="s">
        <v>5849</v>
      </c>
      <c r="D30" s="240" t="s">
        <v>3990</v>
      </c>
      <c r="E30" s="590"/>
      <c r="F30" s="203" t="s">
        <v>1330</v>
      </c>
      <c r="G30" s="204" t="s">
        <v>1580</v>
      </c>
      <c r="H30" s="204">
        <v>1</v>
      </c>
      <c r="I30" s="203" t="s">
        <v>2481</v>
      </c>
      <c r="J30" s="205" t="s">
        <v>6001</v>
      </c>
      <c r="K30" s="203" t="s">
        <v>5104</v>
      </c>
      <c r="L30" s="205" t="s">
        <v>6002</v>
      </c>
      <c r="M30" s="205" t="s">
        <v>6003</v>
      </c>
      <c r="N30" s="204" t="s">
        <v>5222</v>
      </c>
      <c r="O30" s="204" t="s">
        <v>520</v>
      </c>
      <c r="P30" s="206">
        <v>9000</v>
      </c>
      <c r="Q30" s="206">
        <v>8900</v>
      </c>
      <c r="R30" s="207">
        <v>5000</v>
      </c>
      <c r="S30" s="207">
        <f t="shared" si="0"/>
        <v>44500000</v>
      </c>
      <c r="T30" s="589"/>
      <c r="U30" s="157">
        <v>5000</v>
      </c>
      <c r="V30" s="158">
        <f t="shared" si="1"/>
        <v>4300</v>
      </c>
      <c r="W30" s="159">
        <f t="shared" si="2"/>
        <v>700</v>
      </c>
      <c r="X30" s="159">
        <f t="shared" si="3"/>
        <v>6230000</v>
      </c>
      <c r="Y30" s="160"/>
      <c r="Z30" s="160">
        <f t="shared" si="4"/>
        <v>0</v>
      </c>
      <c r="AA30" s="165"/>
      <c r="AB30" s="161">
        <f t="shared" si="5"/>
        <v>0</v>
      </c>
      <c r="AC30" s="162"/>
      <c r="AD30" s="162">
        <f t="shared" si="6"/>
        <v>0</v>
      </c>
      <c r="AE30" s="164"/>
      <c r="AF30" s="164">
        <f t="shared" si="7"/>
        <v>0</v>
      </c>
      <c r="AG30" s="165">
        <v>300</v>
      </c>
      <c r="AH30" s="165">
        <f t="shared" si="8"/>
        <v>2670000</v>
      </c>
      <c r="AI30" s="166">
        <v>0</v>
      </c>
      <c r="AJ30" s="166">
        <f t="shared" si="9"/>
        <v>0</v>
      </c>
      <c r="AK30" s="162"/>
      <c r="AL30" s="162">
        <f t="shared" si="10"/>
        <v>0</v>
      </c>
      <c r="AM30" s="173">
        <v>300</v>
      </c>
      <c r="AN30" s="167">
        <f t="shared" si="11"/>
        <v>2670000</v>
      </c>
      <c r="AO30" s="163"/>
      <c r="AP30" s="163">
        <f t="shared" si="12"/>
        <v>0</v>
      </c>
      <c r="AQ30" s="168"/>
      <c r="AR30" s="168">
        <f t="shared" si="13"/>
        <v>0</v>
      </c>
      <c r="AS30" s="170">
        <v>100</v>
      </c>
      <c r="AT30" s="170">
        <f t="shared" si="14"/>
        <v>890000</v>
      </c>
      <c r="AU30" s="166"/>
      <c r="AV30" s="166">
        <f t="shared" si="15"/>
        <v>0</v>
      </c>
    </row>
    <row r="31" spans="1:48" s="131" customFormat="1" ht="112.5">
      <c r="A31" s="148" t="s">
        <v>6100</v>
      </c>
      <c r="B31" s="209" t="s">
        <v>5848</v>
      </c>
      <c r="C31" s="203" t="s">
        <v>5849</v>
      </c>
      <c r="D31" s="240" t="s">
        <v>4015</v>
      </c>
      <c r="E31" s="590"/>
      <c r="F31" s="203" t="s">
        <v>4017</v>
      </c>
      <c r="G31" s="204" t="s">
        <v>327</v>
      </c>
      <c r="H31" s="204">
        <v>1</v>
      </c>
      <c r="I31" s="203" t="s">
        <v>4016</v>
      </c>
      <c r="J31" s="205" t="s">
        <v>6101</v>
      </c>
      <c r="K31" s="203" t="s">
        <v>5104</v>
      </c>
      <c r="L31" s="205" t="s">
        <v>1753</v>
      </c>
      <c r="M31" s="205" t="s">
        <v>6102</v>
      </c>
      <c r="N31" s="204" t="s">
        <v>213</v>
      </c>
      <c r="O31" s="204" t="s">
        <v>11</v>
      </c>
      <c r="P31" s="206">
        <v>1500</v>
      </c>
      <c r="Q31" s="206">
        <v>1400</v>
      </c>
      <c r="R31" s="207">
        <v>20000</v>
      </c>
      <c r="S31" s="207">
        <f t="shared" si="0"/>
        <v>28000000</v>
      </c>
      <c r="T31" s="589"/>
      <c r="U31" s="157">
        <v>20000</v>
      </c>
      <c r="V31" s="158">
        <f t="shared" si="1"/>
        <v>3000</v>
      </c>
      <c r="W31" s="159">
        <f t="shared" si="2"/>
        <v>17000</v>
      </c>
      <c r="X31" s="159">
        <f t="shared" si="3"/>
        <v>23800000</v>
      </c>
      <c r="Y31" s="160"/>
      <c r="Z31" s="160">
        <f t="shared" si="4"/>
        <v>0</v>
      </c>
      <c r="AA31" s="165"/>
      <c r="AB31" s="161">
        <f t="shared" si="5"/>
        <v>0</v>
      </c>
      <c r="AC31" s="162"/>
      <c r="AD31" s="162">
        <f t="shared" si="6"/>
        <v>0</v>
      </c>
      <c r="AE31" s="164"/>
      <c r="AF31" s="164">
        <f t="shared" si="7"/>
        <v>0</v>
      </c>
      <c r="AG31" s="165">
        <v>6000</v>
      </c>
      <c r="AH31" s="165">
        <f t="shared" si="8"/>
        <v>8400000</v>
      </c>
      <c r="AI31" s="166">
        <v>0</v>
      </c>
      <c r="AJ31" s="166">
        <f t="shared" si="9"/>
        <v>0</v>
      </c>
      <c r="AK31" s="162"/>
      <c r="AL31" s="162">
        <f t="shared" si="10"/>
        <v>0</v>
      </c>
      <c r="AM31" s="173">
        <v>6000</v>
      </c>
      <c r="AN31" s="167">
        <f t="shared" si="11"/>
        <v>8400000</v>
      </c>
      <c r="AO31" s="163"/>
      <c r="AP31" s="163">
        <f t="shared" si="12"/>
        <v>0</v>
      </c>
      <c r="AQ31" s="168"/>
      <c r="AR31" s="168">
        <f t="shared" si="13"/>
        <v>0</v>
      </c>
      <c r="AS31" s="170">
        <v>5000</v>
      </c>
      <c r="AT31" s="170">
        <f t="shared" si="14"/>
        <v>7000000</v>
      </c>
      <c r="AU31" s="166"/>
      <c r="AV31" s="166">
        <f t="shared" si="15"/>
        <v>0</v>
      </c>
    </row>
    <row r="32" spans="1:48" s="131" customFormat="1" ht="112.5">
      <c r="A32" s="172" t="s">
        <v>6124</v>
      </c>
      <c r="B32" s="209" t="s">
        <v>5848</v>
      </c>
      <c r="C32" s="203" t="s">
        <v>5849</v>
      </c>
      <c r="D32" s="240" t="s">
        <v>6125</v>
      </c>
      <c r="E32" s="590" t="s">
        <v>12642</v>
      </c>
      <c r="F32" s="203" t="s">
        <v>645</v>
      </c>
      <c r="G32" s="204" t="s">
        <v>291</v>
      </c>
      <c r="H32" s="204">
        <v>1</v>
      </c>
      <c r="I32" s="203" t="s">
        <v>6126</v>
      </c>
      <c r="J32" s="205" t="s">
        <v>6009</v>
      </c>
      <c r="K32" s="203" t="s">
        <v>5104</v>
      </c>
      <c r="L32" s="205" t="s">
        <v>6127</v>
      </c>
      <c r="M32" s="205" t="s">
        <v>6102</v>
      </c>
      <c r="N32" s="204" t="s">
        <v>213</v>
      </c>
      <c r="O32" s="204" t="s">
        <v>11</v>
      </c>
      <c r="P32" s="206">
        <v>2500</v>
      </c>
      <c r="Q32" s="215">
        <v>1300</v>
      </c>
      <c r="R32" s="207">
        <v>10000</v>
      </c>
      <c r="S32" s="207">
        <f t="shared" si="0"/>
        <v>13000000</v>
      </c>
      <c r="T32" s="589" t="s">
        <v>11</v>
      </c>
      <c r="U32" s="157">
        <v>10000</v>
      </c>
      <c r="V32" s="158">
        <f t="shared" si="1"/>
        <v>9130</v>
      </c>
      <c r="W32" s="159">
        <f t="shared" si="2"/>
        <v>870</v>
      </c>
      <c r="X32" s="159">
        <f t="shared" si="3"/>
        <v>1131000</v>
      </c>
      <c r="Y32" s="160"/>
      <c r="Z32" s="160">
        <f t="shared" si="4"/>
        <v>0</v>
      </c>
      <c r="AA32" s="165"/>
      <c r="AB32" s="161">
        <f t="shared" si="5"/>
        <v>0</v>
      </c>
      <c r="AC32" s="162"/>
      <c r="AD32" s="162">
        <f t="shared" si="6"/>
        <v>0</v>
      </c>
      <c r="AE32" s="164"/>
      <c r="AF32" s="164">
        <f t="shared" si="7"/>
        <v>0</v>
      </c>
      <c r="AG32" s="165"/>
      <c r="AH32" s="165">
        <f t="shared" si="8"/>
        <v>0</v>
      </c>
      <c r="AI32" s="166">
        <v>0</v>
      </c>
      <c r="AJ32" s="166">
        <f t="shared" si="9"/>
        <v>0</v>
      </c>
      <c r="AK32" s="162"/>
      <c r="AL32" s="162">
        <f t="shared" si="10"/>
        <v>0</v>
      </c>
      <c r="AM32" s="173"/>
      <c r="AN32" s="167">
        <f t="shared" si="11"/>
        <v>0</v>
      </c>
      <c r="AO32" s="163"/>
      <c r="AP32" s="163">
        <f t="shared" si="12"/>
        <v>0</v>
      </c>
      <c r="AQ32" s="168"/>
      <c r="AR32" s="168">
        <f t="shared" si="13"/>
        <v>0</v>
      </c>
      <c r="AS32" s="170">
        <v>270</v>
      </c>
      <c r="AT32" s="170">
        <f t="shared" si="14"/>
        <v>351000</v>
      </c>
      <c r="AU32" s="166">
        <v>600</v>
      </c>
      <c r="AV32" s="166">
        <f t="shared" si="15"/>
        <v>780000</v>
      </c>
    </row>
    <row r="33" spans="1:48" s="131" customFormat="1" ht="112.5">
      <c r="A33" s="148" t="s">
        <v>6281</v>
      </c>
      <c r="B33" s="209" t="s">
        <v>5848</v>
      </c>
      <c r="C33" s="203" t="s">
        <v>5849</v>
      </c>
      <c r="D33" s="240" t="s">
        <v>6282</v>
      </c>
      <c r="E33" s="590" t="s">
        <v>12642</v>
      </c>
      <c r="F33" s="203" t="s">
        <v>3974</v>
      </c>
      <c r="G33" s="204" t="s">
        <v>267</v>
      </c>
      <c r="H33" s="204">
        <v>1</v>
      </c>
      <c r="I33" s="203" t="s">
        <v>6283</v>
      </c>
      <c r="J33" s="205" t="s">
        <v>6284</v>
      </c>
      <c r="K33" s="203" t="s">
        <v>5104</v>
      </c>
      <c r="L33" s="205" t="s">
        <v>6285</v>
      </c>
      <c r="M33" s="205" t="s">
        <v>6286</v>
      </c>
      <c r="N33" s="204" t="s">
        <v>5156</v>
      </c>
      <c r="O33" s="204" t="s">
        <v>11</v>
      </c>
      <c r="P33" s="206">
        <v>1250</v>
      </c>
      <c r="Q33" s="206">
        <v>1200</v>
      </c>
      <c r="R33" s="207">
        <v>20000</v>
      </c>
      <c r="S33" s="207">
        <f t="shared" si="0"/>
        <v>24000000</v>
      </c>
      <c r="T33" s="589" t="s">
        <v>11</v>
      </c>
      <c r="U33" s="157">
        <v>20000</v>
      </c>
      <c r="V33" s="158">
        <f t="shared" si="1"/>
        <v>20000</v>
      </c>
      <c r="W33" s="159">
        <f t="shared" si="2"/>
        <v>0</v>
      </c>
      <c r="X33" s="159">
        <f t="shared" si="3"/>
        <v>0</v>
      </c>
      <c r="Y33" s="160"/>
      <c r="Z33" s="160">
        <f t="shared" si="4"/>
        <v>0</v>
      </c>
      <c r="AA33" s="165"/>
      <c r="AB33" s="161">
        <f t="shared" si="5"/>
        <v>0</v>
      </c>
      <c r="AC33" s="162"/>
      <c r="AD33" s="162">
        <f t="shared" si="6"/>
        <v>0</v>
      </c>
      <c r="AE33" s="163"/>
      <c r="AF33" s="164">
        <f t="shared" si="7"/>
        <v>0</v>
      </c>
      <c r="AG33" s="161"/>
      <c r="AH33" s="165">
        <f t="shared" si="8"/>
        <v>0</v>
      </c>
      <c r="AI33" s="160">
        <v>0</v>
      </c>
      <c r="AJ33" s="166">
        <f t="shared" si="9"/>
        <v>0</v>
      </c>
      <c r="AK33" s="162"/>
      <c r="AL33" s="162">
        <f t="shared" si="10"/>
        <v>0</v>
      </c>
      <c r="AM33" s="173"/>
      <c r="AN33" s="167">
        <f t="shared" si="11"/>
        <v>0</v>
      </c>
      <c r="AO33" s="163"/>
      <c r="AP33" s="163">
        <f t="shared" si="12"/>
        <v>0</v>
      </c>
      <c r="AQ33" s="162"/>
      <c r="AR33" s="168">
        <f t="shared" si="13"/>
        <v>0</v>
      </c>
      <c r="AS33" s="169"/>
      <c r="AT33" s="170">
        <f t="shared" si="14"/>
        <v>0</v>
      </c>
      <c r="AU33" s="160"/>
      <c r="AV33" s="166">
        <f t="shared" si="15"/>
        <v>0</v>
      </c>
    </row>
    <row r="34" spans="1:48" s="131" customFormat="1" ht="112.5">
      <c r="A34" s="148" t="s">
        <v>6451</v>
      </c>
      <c r="B34" s="209" t="s">
        <v>5848</v>
      </c>
      <c r="C34" s="203" t="s">
        <v>5849</v>
      </c>
      <c r="D34" s="240" t="s">
        <v>6452</v>
      </c>
      <c r="E34" s="590"/>
      <c r="F34" s="203" t="s">
        <v>6453</v>
      </c>
      <c r="G34" s="204" t="s">
        <v>238</v>
      </c>
      <c r="H34" s="204">
        <v>1</v>
      </c>
      <c r="I34" s="203" t="s">
        <v>6454</v>
      </c>
      <c r="J34" s="205" t="s">
        <v>6455</v>
      </c>
      <c r="K34" s="203" t="s">
        <v>253</v>
      </c>
      <c r="L34" s="205" t="s">
        <v>6456</v>
      </c>
      <c r="M34" s="205" t="s">
        <v>6457</v>
      </c>
      <c r="N34" s="204" t="s">
        <v>5717</v>
      </c>
      <c r="O34" s="204" t="s">
        <v>11</v>
      </c>
      <c r="P34" s="206">
        <v>9900</v>
      </c>
      <c r="Q34" s="206">
        <v>9900</v>
      </c>
      <c r="R34" s="207">
        <v>10000</v>
      </c>
      <c r="S34" s="207">
        <f t="shared" si="0"/>
        <v>99000000</v>
      </c>
      <c r="T34" s="589"/>
      <c r="U34" s="157">
        <v>10000</v>
      </c>
      <c r="V34" s="158">
        <f t="shared" si="1"/>
        <v>10000</v>
      </c>
      <c r="W34" s="159">
        <f t="shared" si="2"/>
        <v>0</v>
      </c>
      <c r="X34" s="159">
        <f t="shared" si="3"/>
        <v>0</v>
      </c>
      <c r="Y34" s="160"/>
      <c r="Z34" s="160">
        <f t="shared" si="4"/>
        <v>0</v>
      </c>
      <c r="AA34" s="165"/>
      <c r="AB34" s="161">
        <f t="shared" si="5"/>
        <v>0</v>
      </c>
      <c r="AC34" s="162"/>
      <c r="AD34" s="162">
        <f t="shared" si="6"/>
        <v>0</v>
      </c>
      <c r="AE34" s="163"/>
      <c r="AF34" s="164">
        <f t="shared" si="7"/>
        <v>0</v>
      </c>
      <c r="AG34" s="161"/>
      <c r="AH34" s="165">
        <f t="shared" si="8"/>
        <v>0</v>
      </c>
      <c r="AI34" s="160">
        <v>0</v>
      </c>
      <c r="AJ34" s="166">
        <f t="shared" si="9"/>
        <v>0</v>
      </c>
      <c r="AK34" s="162"/>
      <c r="AL34" s="162">
        <f t="shared" si="10"/>
        <v>0</v>
      </c>
      <c r="AM34" s="173"/>
      <c r="AN34" s="167">
        <f t="shared" si="11"/>
        <v>0</v>
      </c>
      <c r="AO34" s="163"/>
      <c r="AP34" s="163">
        <f t="shared" si="12"/>
        <v>0</v>
      </c>
      <c r="AQ34" s="162"/>
      <c r="AR34" s="168">
        <f t="shared" si="13"/>
        <v>0</v>
      </c>
      <c r="AS34" s="169"/>
      <c r="AT34" s="170">
        <f t="shared" si="14"/>
        <v>0</v>
      </c>
      <c r="AU34" s="160"/>
      <c r="AV34" s="166">
        <f t="shared" si="15"/>
        <v>0</v>
      </c>
    </row>
    <row r="35" spans="1:48" s="131" customFormat="1" ht="112.5">
      <c r="A35" s="148" t="s">
        <v>6485</v>
      </c>
      <c r="B35" s="209" t="s">
        <v>5848</v>
      </c>
      <c r="C35" s="203" t="s">
        <v>5849</v>
      </c>
      <c r="D35" s="240" t="s">
        <v>6486</v>
      </c>
      <c r="E35" s="590"/>
      <c r="F35" s="203" t="s">
        <v>1241</v>
      </c>
      <c r="G35" s="204" t="s">
        <v>390</v>
      </c>
      <c r="H35" s="204">
        <v>2</v>
      </c>
      <c r="I35" s="203" t="s">
        <v>6487</v>
      </c>
      <c r="J35" s="205" t="s">
        <v>6488</v>
      </c>
      <c r="K35" s="203" t="s">
        <v>253</v>
      </c>
      <c r="L35" s="205" t="s">
        <v>6489</v>
      </c>
      <c r="M35" s="205" t="s">
        <v>6102</v>
      </c>
      <c r="N35" s="204" t="s">
        <v>213</v>
      </c>
      <c r="O35" s="204" t="s">
        <v>11</v>
      </c>
      <c r="P35" s="206">
        <v>4000</v>
      </c>
      <c r="Q35" s="206">
        <v>1400</v>
      </c>
      <c r="R35" s="207">
        <v>20000</v>
      </c>
      <c r="S35" s="207">
        <f t="shared" si="0"/>
        <v>28000000</v>
      </c>
      <c r="T35" s="589" t="s">
        <v>11</v>
      </c>
      <c r="U35" s="157">
        <v>20000</v>
      </c>
      <c r="V35" s="158">
        <f t="shared" si="1"/>
        <v>20000</v>
      </c>
      <c r="W35" s="159">
        <f t="shared" si="2"/>
        <v>0</v>
      </c>
      <c r="X35" s="159">
        <f t="shared" si="3"/>
        <v>0</v>
      </c>
      <c r="Y35" s="160"/>
      <c r="Z35" s="160">
        <f t="shared" si="4"/>
        <v>0</v>
      </c>
      <c r="AA35" s="165"/>
      <c r="AB35" s="161">
        <f t="shared" si="5"/>
        <v>0</v>
      </c>
      <c r="AC35" s="162"/>
      <c r="AD35" s="162">
        <f t="shared" si="6"/>
        <v>0</v>
      </c>
      <c r="AE35" s="164"/>
      <c r="AF35" s="164">
        <f t="shared" si="7"/>
        <v>0</v>
      </c>
      <c r="AG35" s="165"/>
      <c r="AH35" s="165">
        <f t="shared" si="8"/>
        <v>0</v>
      </c>
      <c r="AI35" s="166">
        <v>0</v>
      </c>
      <c r="AJ35" s="166">
        <f t="shared" si="9"/>
        <v>0</v>
      </c>
      <c r="AK35" s="162"/>
      <c r="AL35" s="162">
        <f t="shared" si="10"/>
        <v>0</v>
      </c>
      <c r="AM35" s="173"/>
      <c r="AN35" s="167">
        <f t="shared" si="11"/>
        <v>0</v>
      </c>
      <c r="AO35" s="163"/>
      <c r="AP35" s="163">
        <f t="shared" si="12"/>
        <v>0</v>
      </c>
      <c r="AQ35" s="168"/>
      <c r="AR35" s="168">
        <f t="shared" si="13"/>
        <v>0</v>
      </c>
      <c r="AS35" s="170"/>
      <c r="AT35" s="170">
        <f t="shared" si="14"/>
        <v>0</v>
      </c>
      <c r="AU35" s="166"/>
      <c r="AV35" s="166">
        <f t="shared" si="15"/>
        <v>0</v>
      </c>
    </row>
    <row r="36" spans="1:48" s="131" customFormat="1" ht="112.5">
      <c r="A36" s="172" t="s">
        <v>6490</v>
      </c>
      <c r="B36" s="209" t="s">
        <v>5848</v>
      </c>
      <c r="C36" s="203" t="s">
        <v>5849</v>
      </c>
      <c r="D36" s="240" t="s">
        <v>4061</v>
      </c>
      <c r="E36" s="590"/>
      <c r="F36" s="203" t="s">
        <v>1241</v>
      </c>
      <c r="G36" s="204" t="s">
        <v>327</v>
      </c>
      <c r="H36" s="204">
        <v>2</v>
      </c>
      <c r="I36" s="203" t="s">
        <v>6491</v>
      </c>
      <c r="J36" s="205" t="s">
        <v>6488</v>
      </c>
      <c r="K36" s="203" t="s">
        <v>253</v>
      </c>
      <c r="L36" s="205" t="s">
        <v>6492</v>
      </c>
      <c r="M36" s="205" t="s">
        <v>6493</v>
      </c>
      <c r="N36" s="204" t="s">
        <v>5273</v>
      </c>
      <c r="O36" s="204" t="s">
        <v>11</v>
      </c>
      <c r="P36" s="206">
        <v>5500</v>
      </c>
      <c r="Q36" s="206">
        <v>1500</v>
      </c>
      <c r="R36" s="207">
        <v>20000</v>
      </c>
      <c r="S36" s="207">
        <f t="shared" si="0"/>
        <v>30000000</v>
      </c>
      <c r="T36" s="589"/>
      <c r="U36" s="157">
        <v>20000</v>
      </c>
      <c r="V36" s="158">
        <f t="shared" si="1"/>
        <v>20000</v>
      </c>
      <c r="W36" s="159">
        <f t="shared" si="2"/>
        <v>0</v>
      </c>
      <c r="X36" s="159">
        <f t="shared" si="3"/>
        <v>0</v>
      </c>
      <c r="Y36" s="160"/>
      <c r="Z36" s="160">
        <f t="shared" si="4"/>
        <v>0</v>
      </c>
      <c r="AA36" s="165"/>
      <c r="AB36" s="161">
        <f t="shared" si="5"/>
        <v>0</v>
      </c>
      <c r="AC36" s="162"/>
      <c r="AD36" s="162">
        <f t="shared" si="6"/>
        <v>0</v>
      </c>
      <c r="AE36" s="164"/>
      <c r="AF36" s="164">
        <f t="shared" si="7"/>
        <v>0</v>
      </c>
      <c r="AG36" s="165"/>
      <c r="AH36" s="165">
        <f t="shared" si="8"/>
        <v>0</v>
      </c>
      <c r="AI36" s="166">
        <v>0</v>
      </c>
      <c r="AJ36" s="166">
        <f t="shared" si="9"/>
        <v>0</v>
      </c>
      <c r="AK36" s="162"/>
      <c r="AL36" s="162">
        <f t="shared" si="10"/>
        <v>0</v>
      </c>
      <c r="AM36" s="173"/>
      <c r="AN36" s="167">
        <f t="shared" si="11"/>
        <v>0</v>
      </c>
      <c r="AO36" s="163"/>
      <c r="AP36" s="163">
        <f t="shared" si="12"/>
        <v>0</v>
      </c>
      <c r="AQ36" s="168"/>
      <c r="AR36" s="168">
        <f t="shared" si="13"/>
        <v>0</v>
      </c>
      <c r="AS36" s="170"/>
      <c r="AT36" s="170">
        <f t="shared" si="14"/>
        <v>0</v>
      </c>
      <c r="AU36" s="166"/>
      <c r="AV36" s="166">
        <f t="shared" si="15"/>
        <v>0</v>
      </c>
    </row>
    <row r="37" spans="1:48" s="131" customFormat="1" ht="112.5">
      <c r="A37" s="148" t="s">
        <v>6507</v>
      </c>
      <c r="B37" s="209" t="s">
        <v>5848</v>
      </c>
      <c r="C37" s="203" t="s">
        <v>5849</v>
      </c>
      <c r="D37" s="240" t="s">
        <v>4442</v>
      </c>
      <c r="E37" s="590" t="s">
        <v>12642</v>
      </c>
      <c r="F37" s="203" t="s">
        <v>747</v>
      </c>
      <c r="G37" s="204" t="s">
        <v>4449</v>
      </c>
      <c r="H37" s="204">
        <v>2</v>
      </c>
      <c r="I37" s="203" t="s">
        <v>1068</v>
      </c>
      <c r="J37" s="205" t="s">
        <v>6508</v>
      </c>
      <c r="K37" s="203" t="s">
        <v>5104</v>
      </c>
      <c r="L37" s="205" t="s">
        <v>6509</v>
      </c>
      <c r="M37" s="205" t="s">
        <v>6510</v>
      </c>
      <c r="N37" s="204" t="s">
        <v>213</v>
      </c>
      <c r="O37" s="204" t="s">
        <v>15</v>
      </c>
      <c r="P37" s="206">
        <v>10000</v>
      </c>
      <c r="Q37" s="206">
        <v>8820</v>
      </c>
      <c r="R37" s="207">
        <v>10000</v>
      </c>
      <c r="S37" s="207">
        <f t="shared" si="0"/>
        <v>88200000</v>
      </c>
      <c r="T37" s="589"/>
      <c r="U37" s="157">
        <v>10000</v>
      </c>
      <c r="V37" s="158">
        <f t="shared" si="1"/>
        <v>7500</v>
      </c>
      <c r="W37" s="159">
        <f t="shared" si="2"/>
        <v>2500</v>
      </c>
      <c r="X37" s="159">
        <f t="shared" si="3"/>
        <v>22050000</v>
      </c>
      <c r="Y37" s="160"/>
      <c r="Z37" s="160">
        <f t="shared" si="4"/>
        <v>0</v>
      </c>
      <c r="AA37" s="165"/>
      <c r="AB37" s="161">
        <f t="shared" si="5"/>
        <v>0</v>
      </c>
      <c r="AC37" s="162"/>
      <c r="AD37" s="162">
        <f t="shared" si="6"/>
        <v>0</v>
      </c>
      <c r="AE37" s="164">
        <v>500</v>
      </c>
      <c r="AF37" s="164">
        <f t="shared" si="7"/>
        <v>4410000</v>
      </c>
      <c r="AG37" s="165"/>
      <c r="AH37" s="165">
        <f t="shared" si="8"/>
        <v>0</v>
      </c>
      <c r="AI37" s="166">
        <v>0</v>
      </c>
      <c r="AJ37" s="166">
        <f t="shared" si="9"/>
        <v>0</v>
      </c>
      <c r="AK37" s="162"/>
      <c r="AL37" s="162">
        <f t="shared" si="10"/>
        <v>0</v>
      </c>
      <c r="AM37" s="173">
        <v>500</v>
      </c>
      <c r="AN37" s="167">
        <f t="shared" si="11"/>
        <v>4410000</v>
      </c>
      <c r="AO37" s="163"/>
      <c r="AP37" s="163">
        <f t="shared" si="12"/>
        <v>0</v>
      </c>
      <c r="AQ37" s="168">
        <v>500</v>
      </c>
      <c r="AR37" s="168">
        <f t="shared" si="13"/>
        <v>4410000</v>
      </c>
      <c r="AS37" s="170">
        <f>960+40</f>
        <v>1000</v>
      </c>
      <c r="AT37" s="170">
        <f t="shared" si="14"/>
        <v>8820000</v>
      </c>
      <c r="AU37" s="166"/>
      <c r="AV37" s="166">
        <f t="shared" si="15"/>
        <v>0</v>
      </c>
    </row>
    <row r="38" spans="1:48" s="131" customFormat="1" ht="112.5">
      <c r="A38" s="148" t="s">
        <v>6511</v>
      </c>
      <c r="B38" s="209" t="s">
        <v>5848</v>
      </c>
      <c r="C38" s="203" t="s">
        <v>5849</v>
      </c>
      <c r="D38" s="240" t="s">
        <v>4454</v>
      </c>
      <c r="E38" s="590" t="s">
        <v>12642</v>
      </c>
      <c r="F38" s="203" t="s">
        <v>758</v>
      </c>
      <c r="G38" s="204" t="s">
        <v>759</v>
      </c>
      <c r="H38" s="204">
        <v>2</v>
      </c>
      <c r="I38" s="203" t="s">
        <v>2569</v>
      </c>
      <c r="J38" s="205" t="s">
        <v>6508</v>
      </c>
      <c r="K38" s="203" t="s">
        <v>5104</v>
      </c>
      <c r="L38" s="205" t="s">
        <v>3332</v>
      </c>
      <c r="M38" s="205" t="s">
        <v>6510</v>
      </c>
      <c r="N38" s="204" t="s">
        <v>213</v>
      </c>
      <c r="O38" s="204" t="s">
        <v>15</v>
      </c>
      <c r="P38" s="206">
        <v>10500</v>
      </c>
      <c r="Q38" s="206">
        <v>8925</v>
      </c>
      <c r="R38" s="207">
        <v>6000</v>
      </c>
      <c r="S38" s="207">
        <f t="shared" si="0"/>
        <v>53550000</v>
      </c>
      <c r="T38" s="589"/>
      <c r="U38" s="157">
        <v>6000</v>
      </c>
      <c r="V38" s="158">
        <f t="shared" si="1"/>
        <v>5200</v>
      </c>
      <c r="W38" s="159">
        <f t="shared" si="2"/>
        <v>800</v>
      </c>
      <c r="X38" s="159">
        <f t="shared" si="3"/>
        <v>7140000</v>
      </c>
      <c r="Y38" s="160"/>
      <c r="Z38" s="160">
        <f t="shared" si="4"/>
        <v>0</v>
      </c>
      <c r="AA38" s="165"/>
      <c r="AB38" s="161">
        <f t="shared" si="5"/>
        <v>0</v>
      </c>
      <c r="AC38" s="162"/>
      <c r="AD38" s="162">
        <f t="shared" si="6"/>
        <v>0</v>
      </c>
      <c r="AE38" s="164"/>
      <c r="AF38" s="164">
        <f t="shared" si="7"/>
        <v>0</v>
      </c>
      <c r="AG38" s="165"/>
      <c r="AH38" s="165">
        <f t="shared" si="8"/>
        <v>0</v>
      </c>
      <c r="AI38" s="166">
        <v>0</v>
      </c>
      <c r="AJ38" s="166">
        <f t="shared" si="9"/>
        <v>0</v>
      </c>
      <c r="AK38" s="162"/>
      <c r="AL38" s="162">
        <f t="shared" si="10"/>
        <v>0</v>
      </c>
      <c r="AM38" s="173">
        <v>300</v>
      </c>
      <c r="AN38" s="167">
        <f t="shared" si="11"/>
        <v>2677500</v>
      </c>
      <c r="AO38" s="163"/>
      <c r="AP38" s="163">
        <f t="shared" si="12"/>
        <v>0</v>
      </c>
      <c r="AQ38" s="168"/>
      <c r="AR38" s="168">
        <f t="shared" si="13"/>
        <v>0</v>
      </c>
      <c r="AS38" s="170">
        <v>500</v>
      </c>
      <c r="AT38" s="170">
        <f t="shared" si="14"/>
        <v>4462500</v>
      </c>
      <c r="AU38" s="166"/>
      <c r="AV38" s="166">
        <f t="shared" si="15"/>
        <v>0</v>
      </c>
    </row>
    <row r="39" spans="1:48" s="131" customFormat="1" ht="112.5">
      <c r="A39" s="148" t="s">
        <v>6553</v>
      </c>
      <c r="B39" s="209" t="s">
        <v>5848</v>
      </c>
      <c r="C39" s="203" t="s">
        <v>5849</v>
      </c>
      <c r="D39" s="240" t="s">
        <v>6554</v>
      </c>
      <c r="E39" s="590"/>
      <c r="F39" s="203" t="s">
        <v>1179</v>
      </c>
      <c r="G39" s="204" t="s">
        <v>1580</v>
      </c>
      <c r="H39" s="204">
        <v>2</v>
      </c>
      <c r="I39" s="203" t="s">
        <v>6555</v>
      </c>
      <c r="J39" s="205" t="s">
        <v>6556</v>
      </c>
      <c r="K39" s="203" t="s">
        <v>253</v>
      </c>
      <c r="L39" s="205" t="s">
        <v>6557</v>
      </c>
      <c r="M39" s="205" t="s">
        <v>6493</v>
      </c>
      <c r="N39" s="204" t="s">
        <v>5273</v>
      </c>
      <c r="O39" s="204" t="s">
        <v>11</v>
      </c>
      <c r="P39" s="206">
        <v>5300</v>
      </c>
      <c r="Q39" s="206">
        <v>2150</v>
      </c>
      <c r="R39" s="207">
        <v>10000</v>
      </c>
      <c r="S39" s="207">
        <f t="shared" si="0"/>
        <v>21500000</v>
      </c>
      <c r="T39" s="589"/>
      <c r="U39" s="157">
        <v>10000</v>
      </c>
      <c r="V39" s="158">
        <f t="shared" si="1"/>
        <v>10000</v>
      </c>
      <c r="W39" s="159">
        <f t="shared" si="2"/>
        <v>0</v>
      </c>
      <c r="X39" s="159">
        <f t="shared" si="3"/>
        <v>0</v>
      </c>
      <c r="Y39" s="160"/>
      <c r="Z39" s="160">
        <f t="shared" si="4"/>
        <v>0</v>
      </c>
      <c r="AA39" s="165"/>
      <c r="AB39" s="161">
        <f t="shared" si="5"/>
        <v>0</v>
      </c>
      <c r="AC39" s="162"/>
      <c r="AD39" s="162">
        <f t="shared" si="6"/>
        <v>0</v>
      </c>
      <c r="AE39" s="164"/>
      <c r="AF39" s="164">
        <f t="shared" si="7"/>
        <v>0</v>
      </c>
      <c r="AG39" s="165"/>
      <c r="AH39" s="165">
        <f t="shared" si="8"/>
        <v>0</v>
      </c>
      <c r="AI39" s="166">
        <v>0</v>
      </c>
      <c r="AJ39" s="166">
        <f t="shared" si="9"/>
        <v>0</v>
      </c>
      <c r="AK39" s="162"/>
      <c r="AL39" s="162">
        <f t="shared" si="10"/>
        <v>0</v>
      </c>
      <c r="AM39" s="173"/>
      <c r="AN39" s="167">
        <f t="shared" si="11"/>
        <v>0</v>
      </c>
      <c r="AO39" s="163"/>
      <c r="AP39" s="163">
        <f t="shared" si="12"/>
        <v>0</v>
      </c>
      <c r="AQ39" s="168"/>
      <c r="AR39" s="168">
        <f t="shared" si="13"/>
        <v>0</v>
      </c>
      <c r="AS39" s="170"/>
      <c r="AT39" s="170">
        <f t="shared" si="14"/>
        <v>0</v>
      </c>
      <c r="AU39" s="166"/>
      <c r="AV39" s="166">
        <f t="shared" si="15"/>
        <v>0</v>
      </c>
    </row>
    <row r="40" spans="1:48" s="131" customFormat="1" ht="112.5">
      <c r="A40" s="148" t="s">
        <v>6607</v>
      </c>
      <c r="B40" s="209" t="s">
        <v>5848</v>
      </c>
      <c r="C40" s="203" t="s">
        <v>5849</v>
      </c>
      <c r="D40" s="240" t="s">
        <v>4507</v>
      </c>
      <c r="E40" s="590" t="s">
        <v>12642</v>
      </c>
      <c r="F40" s="203" t="s">
        <v>4509</v>
      </c>
      <c r="G40" s="204" t="s">
        <v>232</v>
      </c>
      <c r="H40" s="204">
        <v>2</v>
      </c>
      <c r="I40" s="203" t="s">
        <v>6608</v>
      </c>
      <c r="J40" s="205" t="s">
        <v>6609</v>
      </c>
      <c r="K40" s="203" t="s">
        <v>5104</v>
      </c>
      <c r="L40" s="205" t="s">
        <v>6610</v>
      </c>
      <c r="M40" s="205" t="s">
        <v>6611</v>
      </c>
      <c r="N40" s="204" t="s">
        <v>5296</v>
      </c>
      <c r="O40" s="204" t="s">
        <v>11</v>
      </c>
      <c r="P40" s="206">
        <v>41000</v>
      </c>
      <c r="Q40" s="206">
        <v>36000</v>
      </c>
      <c r="R40" s="207">
        <v>4000</v>
      </c>
      <c r="S40" s="207">
        <f t="shared" si="0"/>
        <v>144000000</v>
      </c>
      <c r="T40" s="589" t="s">
        <v>11</v>
      </c>
      <c r="U40" s="157">
        <v>4000</v>
      </c>
      <c r="V40" s="158">
        <f t="shared" si="1"/>
        <v>4000</v>
      </c>
      <c r="W40" s="159">
        <f t="shared" si="2"/>
        <v>0</v>
      </c>
      <c r="X40" s="159">
        <f t="shared" si="3"/>
        <v>0</v>
      </c>
      <c r="Y40" s="160"/>
      <c r="Z40" s="160">
        <f t="shared" si="4"/>
        <v>0</v>
      </c>
      <c r="AA40" s="165"/>
      <c r="AB40" s="161">
        <f t="shared" si="5"/>
        <v>0</v>
      </c>
      <c r="AC40" s="162"/>
      <c r="AD40" s="162">
        <f t="shared" si="6"/>
        <v>0</v>
      </c>
      <c r="AE40" s="163"/>
      <c r="AF40" s="164">
        <f t="shared" si="7"/>
        <v>0</v>
      </c>
      <c r="AG40" s="161"/>
      <c r="AH40" s="165">
        <f t="shared" si="8"/>
        <v>0</v>
      </c>
      <c r="AI40" s="160">
        <v>0</v>
      </c>
      <c r="AJ40" s="166">
        <f t="shared" si="9"/>
        <v>0</v>
      </c>
      <c r="AK40" s="162"/>
      <c r="AL40" s="162">
        <f t="shared" si="10"/>
        <v>0</v>
      </c>
      <c r="AM40" s="173"/>
      <c r="AN40" s="167">
        <f t="shared" si="11"/>
        <v>0</v>
      </c>
      <c r="AO40" s="163"/>
      <c r="AP40" s="163">
        <f t="shared" si="12"/>
        <v>0</v>
      </c>
      <c r="AQ40" s="162"/>
      <c r="AR40" s="168">
        <f t="shared" si="13"/>
        <v>0</v>
      </c>
      <c r="AS40" s="169"/>
      <c r="AT40" s="170">
        <f t="shared" si="14"/>
        <v>0</v>
      </c>
      <c r="AU40" s="160"/>
      <c r="AV40" s="166">
        <f t="shared" si="15"/>
        <v>0</v>
      </c>
    </row>
    <row r="41" spans="1:48" s="131" customFormat="1" ht="112.5">
      <c r="A41" s="172" t="s">
        <v>6635</v>
      </c>
      <c r="B41" s="209" t="s">
        <v>5848</v>
      </c>
      <c r="C41" s="203" t="s">
        <v>5849</v>
      </c>
      <c r="D41" s="240" t="s">
        <v>4029</v>
      </c>
      <c r="E41" s="590" t="s">
        <v>12642</v>
      </c>
      <c r="F41" s="203" t="s">
        <v>1702</v>
      </c>
      <c r="G41" s="204" t="s">
        <v>327</v>
      </c>
      <c r="H41" s="204">
        <v>2</v>
      </c>
      <c r="I41" s="203" t="s">
        <v>6636</v>
      </c>
      <c r="J41" s="205" t="s">
        <v>6637</v>
      </c>
      <c r="K41" s="203" t="s">
        <v>253</v>
      </c>
      <c r="L41" s="205" t="s">
        <v>1760</v>
      </c>
      <c r="M41" s="205" t="s">
        <v>6102</v>
      </c>
      <c r="N41" s="204" t="s">
        <v>213</v>
      </c>
      <c r="O41" s="204" t="s">
        <v>11</v>
      </c>
      <c r="P41" s="206">
        <v>1800</v>
      </c>
      <c r="Q41" s="206">
        <v>1200</v>
      </c>
      <c r="R41" s="207">
        <v>30000</v>
      </c>
      <c r="S41" s="207">
        <f t="shared" si="0"/>
        <v>36000000</v>
      </c>
      <c r="T41" s="589" t="s">
        <v>11</v>
      </c>
      <c r="U41" s="157">
        <v>30000</v>
      </c>
      <c r="V41" s="158">
        <f t="shared" si="1"/>
        <v>30000</v>
      </c>
      <c r="W41" s="159">
        <f t="shared" si="2"/>
        <v>0</v>
      </c>
      <c r="X41" s="159">
        <f t="shared" si="3"/>
        <v>0</v>
      </c>
      <c r="Y41" s="160"/>
      <c r="Z41" s="160">
        <f t="shared" si="4"/>
        <v>0</v>
      </c>
      <c r="AA41" s="165"/>
      <c r="AB41" s="161">
        <f t="shared" si="5"/>
        <v>0</v>
      </c>
      <c r="AC41" s="162"/>
      <c r="AD41" s="162">
        <f t="shared" si="6"/>
        <v>0</v>
      </c>
      <c r="AE41" s="164"/>
      <c r="AF41" s="164">
        <f t="shared" si="7"/>
        <v>0</v>
      </c>
      <c r="AG41" s="165"/>
      <c r="AH41" s="165">
        <f t="shared" si="8"/>
        <v>0</v>
      </c>
      <c r="AI41" s="166">
        <v>0</v>
      </c>
      <c r="AJ41" s="166">
        <f t="shared" si="9"/>
        <v>0</v>
      </c>
      <c r="AK41" s="162"/>
      <c r="AL41" s="162">
        <f t="shared" si="10"/>
        <v>0</v>
      </c>
      <c r="AM41" s="173"/>
      <c r="AN41" s="167">
        <f t="shared" si="11"/>
        <v>0</v>
      </c>
      <c r="AO41" s="163"/>
      <c r="AP41" s="163">
        <f t="shared" si="12"/>
        <v>0</v>
      </c>
      <c r="AQ41" s="168"/>
      <c r="AR41" s="168">
        <f t="shared" si="13"/>
        <v>0</v>
      </c>
      <c r="AS41" s="170"/>
      <c r="AT41" s="170">
        <f t="shared" si="14"/>
        <v>0</v>
      </c>
      <c r="AU41" s="166"/>
      <c r="AV41" s="166">
        <f t="shared" si="15"/>
        <v>0</v>
      </c>
    </row>
    <row r="42" spans="1:48" ht="112.5">
      <c r="A42" s="148" t="s">
        <v>6663</v>
      </c>
      <c r="B42" s="209" t="s">
        <v>5848</v>
      </c>
      <c r="C42" s="203" t="s">
        <v>5849</v>
      </c>
      <c r="D42" s="240" t="s">
        <v>6664</v>
      </c>
      <c r="E42" s="590"/>
      <c r="F42" s="203" t="s">
        <v>6665</v>
      </c>
      <c r="G42" s="204" t="s">
        <v>869</v>
      </c>
      <c r="H42" s="204">
        <v>2</v>
      </c>
      <c r="I42" s="203" t="s">
        <v>6666</v>
      </c>
      <c r="J42" s="205" t="s">
        <v>6143</v>
      </c>
      <c r="K42" s="203" t="s">
        <v>253</v>
      </c>
      <c r="L42" s="205" t="s">
        <v>6667</v>
      </c>
      <c r="M42" s="205" t="s">
        <v>6102</v>
      </c>
      <c r="N42" s="204" t="s">
        <v>213</v>
      </c>
      <c r="O42" s="204" t="s">
        <v>11</v>
      </c>
      <c r="P42" s="206">
        <v>4185</v>
      </c>
      <c r="Q42" s="206">
        <v>1200</v>
      </c>
      <c r="R42" s="207">
        <v>7500</v>
      </c>
      <c r="S42" s="207">
        <f t="shared" si="0"/>
        <v>9000000</v>
      </c>
      <c r="T42" s="589"/>
      <c r="U42" s="157">
        <v>7500</v>
      </c>
      <c r="V42" s="158">
        <f t="shared" si="1"/>
        <v>7500</v>
      </c>
      <c r="W42" s="159">
        <f t="shared" si="2"/>
        <v>0</v>
      </c>
      <c r="X42" s="159">
        <f t="shared" si="3"/>
        <v>0</v>
      </c>
      <c r="Y42" s="160"/>
      <c r="Z42" s="160">
        <f t="shared" si="4"/>
        <v>0</v>
      </c>
      <c r="AA42" s="165"/>
      <c r="AB42" s="161">
        <f t="shared" si="5"/>
        <v>0</v>
      </c>
      <c r="AC42" s="162"/>
      <c r="AD42" s="162">
        <f t="shared" si="6"/>
        <v>0</v>
      </c>
      <c r="AE42" s="164"/>
      <c r="AF42" s="164">
        <f t="shared" si="7"/>
        <v>0</v>
      </c>
      <c r="AG42" s="165"/>
      <c r="AH42" s="165">
        <f t="shared" si="8"/>
        <v>0</v>
      </c>
      <c r="AI42" s="166">
        <v>0</v>
      </c>
      <c r="AJ42" s="166">
        <f t="shared" si="9"/>
        <v>0</v>
      </c>
      <c r="AK42" s="162"/>
      <c r="AL42" s="162">
        <f t="shared" si="10"/>
        <v>0</v>
      </c>
      <c r="AM42" s="173"/>
      <c r="AN42" s="167">
        <f t="shared" si="11"/>
        <v>0</v>
      </c>
      <c r="AO42" s="163"/>
      <c r="AP42" s="163">
        <f t="shared" si="12"/>
        <v>0</v>
      </c>
      <c r="AQ42" s="168"/>
      <c r="AR42" s="168">
        <f t="shared" si="13"/>
        <v>0</v>
      </c>
      <c r="AS42" s="170"/>
      <c r="AT42" s="170">
        <f t="shared" si="14"/>
        <v>0</v>
      </c>
      <c r="AU42" s="166"/>
      <c r="AV42" s="166">
        <f t="shared" si="15"/>
        <v>0</v>
      </c>
    </row>
    <row r="43" spans="1:48" ht="112.5">
      <c r="A43" s="148" t="s">
        <v>6677</v>
      </c>
      <c r="B43" s="209" t="s">
        <v>5848</v>
      </c>
      <c r="C43" s="203" t="s">
        <v>5849</v>
      </c>
      <c r="D43" s="240" t="s">
        <v>4242</v>
      </c>
      <c r="E43" s="590"/>
      <c r="F43" s="203" t="s">
        <v>750</v>
      </c>
      <c r="G43" s="204" t="s">
        <v>1772</v>
      </c>
      <c r="H43" s="204">
        <v>2</v>
      </c>
      <c r="I43" s="203" t="s">
        <v>1771</v>
      </c>
      <c r="J43" s="205" t="s">
        <v>6678</v>
      </c>
      <c r="K43" s="203" t="s">
        <v>5104</v>
      </c>
      <c r="L43" s="205" t="s">
        <v>1773</v>
      </c>
      <c r="M43" s="205" t="s">
        <v>6510</v>
      </c>
      <c r="N43" s="204" t="s">
        <v>213</v>
      </c>
      <c r="O43" s="204" t="s">
        <v>15</v>
      </c>
      <c r="P43" s="206">
        <v>36000</v>
      </c>
      <c r="Q43" s="206">
        <v>15740</v>
      </c>
      <c r="R43" s="207">
        <v>1000</v>
      </c>
      <c r="S43" s="207">
        <f t="shared" si="0"/>
        <v>15740000</v>
      </c>
      <c r="T43" s="589"/>
      <c r="U43" s="157">
        <v>1000</v>
      </c>
      <c r="V43" s="158">
        <f t="shared" si="1"/>
        <v>0</v>
      </c>
      <c r="W43" s="159">
        <f t="shared" si="2"/>
        <v>1000</v>
      </c>
      <c r="X43" s="159">
        <f t="shared" si="3"/>
        <v>15740000</v>
      </c>
      <c r="Y43" s="160"/>
      <c r="Z43" s="160">
        <f t="shared" si="4"/>
        <v>0</v>
      </c>
      <c r="AA43" s="165"/>
      <c r="AB43" s="161">
        <f t="shared" si="5"/>
        <v>0</v>
      </c>
      <c r="AC43" s="162"/>
      <c r="AD43" s="162">
        <f t="shared" si="6"/>
        <v>0</v>
      </c>
      <c r="AE43" s="163"/>
      <c r="AF43" s="164">
        <f t="shared" si="7"/>
        <v>0</v>
      </c>
      <c r="AG43" s="161">
        <v>480</v>
      </c>
      <c r="AH43" s="165">
        <f t="shared" si="8"/>
        <v>7555200</v>
      </c>
      <c r="AI43" s="160">
        <v>0</v>
      </c>
      <c r="AJ43" s="166">
        <f t="shared" si="9"/>
        <v>0</v>
      </c>
      <c r="AK43" s="162"/>
      <c r="AL43" s="162">
        <f t="shared" si="10"/>
        <v>0</v>
      </c>
      <c r="AM43" s="173">
        <v>40</v>
      </c>
      <c r="AN43" s="167">
        <f t="shared" si="11"/>
        <v>629600</v>
      </c>
      <c r="AO43" s="163"/>
      <c r="AP43" s="163">
        <f t="shared" si="12"/>
        <v>0</v>
      </c>
      <c r="AQ43" s="162"/>
      <c r="AR43" s="168">
        <f t="shared" si="13"/>
        <v>0</v>
      </c>
      <c r="AS43" s="169"/>
      <c r="AT43" s="170">
        <f t="shared" si="14"/>
        <v>0</v>
      </c>
      <c r="AU43" s="160">
        <v>480</v>
      </c>
      <c r="AV43" s="166">
        <f t="shared" si="15"/>
        <v>7555200</v>
      </c>
    </row>
    <row r="44" spans="1:48" ht="112.5">
      <c r="A44" s="172" t="s">
        <v>6711</v>
      </c>
      <c r="B44" s="209" t="s">
        <v>5848</v>
      </c>
      <c r="C44" s="203" t="s">
        <v>5849</v>
      </c>
      <c r="D44" s="240" t="s">
        <v>6712</v>
      </c>
      <c r="E44" s="590"/>
      <c r="F44" s="203" t="s">
        <v>2503</v>
      </c>
      <c r="G44" s="204" t="s">
        <v>327</v>
      </c>
      <c r="H44" s="204">
        <v>2</v>
      </c>
      <c r="I44" s="203" t="s">
        <v>6713</v>
      </c>
      <c r="J44" s="205" t="s">
        <v>6143</v>
      </c>
      <c r="K44" s="203" t="s">
        <v>253</v>
      </c>
      <c r="L44" s="205" t="s">
        <v>6714</v>
      </c>
      <c r="M44" s="205" t="s">
        <v>6102</v>
      </c>
      <c r="N44" s="204" t="s">
        <v>213</v>
      </c>
      <c r="O44" s="204" t="s">
        <v>11</v>
      </c>
      <c r="P44" s="206">
        <v>4000</v>
      </c>
      <c r="Q44" s="206">
        <v>3900</v>
      </c>
      <c r="R44" s="207">
        <v>20000</v>
      </c>
      <c r="S44" s="207">
        <f t="shared" si="0"/>
        <v>78000000</v>
      </c>
      <c r="T44" s="589"/>
      <c r="U44" s="157">
        <v>20000</v>
      </c>
      <c r="V44" s="158">
        <f t="shared" si="1"/>
        <v>20000</v>
      </c>
      <c r="W44" s="159">
        <f t="shared" si="2"/>
        <v>0</v>
      </c>
      <c r="X44" s="159">
        <f t="shared" si="3"/>
        <v>0</v>
      </c>
      <c r="Y44" s="160"/>
      <c r="Z44" s="160">
        <f t="shared" si="4"/>
        <v>0</v>
      </c>
      <c r="AA44" s="165"/>
      <c r="AB44" s="161">
        <f t="shared" si="5"/>
        <v>0</v>
      </c>
      <c r="AC44" s="162"/>
      <c r="AD44" s="162">
        <f t="shared" si="6"/>
        <v>0</v>
      </c>
      <c r="AE44" s="164"/>
      <c r="AF44" s="164">
        <f t="shared" si="7"/>
        <v>0</v>
      </c>
      <c r="AG44" s="165"/>
      <c r="AH44" s="165">
        <f t="shared" si="8"/>
        <v>0</v>
      </c>
      <c r="AI44" s="166">
        <v>0</v>
      </c>
      <c r="AJ44" s="166">
        <f t="shared" si="9"/>
        <v>0</v>
      </c>
      <c r="AK44" s="162"/>
      <c r="AL44" s="162">
        <f t="shared" si="10"/>
        <v>0</v>
      </c>
      <c r="AM44" s="173"/>
      <c r="AN44" s="167">
        <f t="shared" si="11"/>
        <v>0</v>
      </c>
      <c r="AO44" s="163"/>
      <c r="AP44" s="163">
        <f t="shared" si="12"/>
        <v>0</v>
      </c>
      <c r="AQ44" s="168"/>
      <c r="AR44" s="168">
        <f t="shared" si="13"/>
        <v>0</v>
      </c>
      <c r="AS44" s="170"/>
      <c r="AT44" s="170">
        <f t="shared" si="14"/>
        <v>0</v>
      </c>
      <c r="AU44" s="166"/>
      <c r="AV44" s="166">
        <f t="shared" si="15"/>
        <v>0</v>
      </c>
    </row>
    <row r="45" spans="1:48" ht="112.5">
      <c r="A45" s="172" t="s">
        <v>6723</v>
      </c>
      <c r="B45" s="209" t="s">
        <v>5848</v>
      </c>
      <c r="C45" s="203" t="s">
        <v>5849</v>
      </c>
      <c r="D45" s="240" t="s">
        <v>4148</v>
      </c>
      <c r="E45" s="590" t="s">
        <v>12642</v>
      </c>
      <c r="F45" s="203" t="s">
        <v>645</v>
      </c>
      <c r="G45" s="204" t="s">
        <v>248</v>
      </c>
      <c r="H45" s="204">
        <v>2</v>
      </c>
      <c r="I45" s="203" t="s">
        <v>4149</v>
      </c>
      <c r="J45" s="205" t="s">
        <v>6009</v>
      </c>
      <c r="K45" s="203" t="s">
        <v>5104</v>
      </c>
      <c r="L45" s="205" t="s">
        <v>6724</v>
      </c>
      <c r="M45" s="205" t="s">
        <v>6102</v>
      </c>
      <c r="N45" s="204" t="s">
        <v>213</v>
      </c>
      <c r="O45" s="204" t="s">
        <v>11</v>
      </c>
      <c r="P45" s="206">
        <v>1700</v>
      </c>
      <c r="Q45" s="206">
        <v>700</v>
      </c>
      <c r="R45" s="207">
        <v>5000</v>
      </c>
      <c r="S45" s="207">
        <f t="shared" si="0"/>
        <v>3500000</v>
      </c>
      <c r="T45" s="589"/>
      <c r="U45" s="157">
        <v>5000</v>
      </c>
      <c r="V45" s="158">
        <f t="shared" si="1"/>
        <v>20</v>
      </c>
      <c r="W45" s="159">
        <f t="shared" si="2"/>
        <v>4980</v>
      </c>
      <c r="X45" s="159">
        <f t="shared" si="3"/>
        <v>3486000</v>
      </c>
      <c r="Y45" s="160"/>
      <c r="Z45" s="160">
        <f t="shared" si="4"/>
        <v>0</v>
      </c>
      <c r="AA45" s="165"/>
      <c r="AB45" s="161">
        <f t="shared" si="5"/>
        <v>0</v>
      </c>
      <c r="AC45" s="162"/>
      <c r="AD45" s="162">
        <f t="shared" si="6"/>
        <v>0</v>
      </c>
      <c r="AE45" s="164"/>
      <c r="AF45" s="164">
        <f t="shared" si="7"/>
        <v>0</v>
      </c>
      <c r="AG45" s="165">
        <f>1200+3780</f>
        <v>4980</v>
      </c>
      <c r="AH45" s="165">
        <f t="shared" si="8"/>
        <v>3486000</v>
      </c>
      <c r="AI45" s="166">
        <v>0</v>
      </c>
      <c r="AJ45" s="166">
        <f t="shared" si="9"/>
        <v>0</v>
      </c>
      <c r="AK45" s="162"/>
      <c r="AL45" s="162">
        <f t="shared" si="10"/>
        <v>0</v>
      </c>
      <c r="AM45" s="173"/>
      <c r="AN45" s="167">
        <f t="shared" si="11"/>
        <v>0</v>
      </c>
      <c r="AO45" s="163"/>
      <c r="AP45" s="163">
        <f t="shared" si="12"/>
        <v>0</v>
      </c>
      <c r="AQ45" s="168"/>
      <c r="AR45" s="168">
        <f t="shared" si="13"/>
        <v>0</v>
      </c>
      <c r="AS45" s="170"/>
      <c r="AT45" s="170">
        <f t="shared" si="14"/>
        <v>0</v>
      </c>
      <c r="AU45" s="166"/>
      <c r="AV45" s="166">
        <f t="shared" si="15"/>
        <v>0</v>
      </c>
    </row>
    <row r="46" spans="1:48" ht="112.5">
      <c r="A46" s="148" t="s">
        <v>6729</v>
      </c>
      <c r="B46" s="209" t="s">
        <v>5848</v>
      </c>
      <c r="C46" s="203" t="s">
        <v>5849</v>
      </c>
      <c r="D46" s="240" t="s">
        <v>6730</v>
      </c>
      <c r="E46" s="590" t="s">
        <v>12642</v>
      </c>
      <c r="F46" s="203" t="s">
        <v>1488</v>
      </c>
      <c r="G46" s="204" t="s">
        <v>1173</v>
      </c>
      <c r="H46" s="204">
        <v>2</v>
      </c>
      <c r="I46" s="203" t="s">
        <v>6731</v>
      </c>
      <c r="J46" s="205" t="s">
        <v>6009</v>
      </c>
      <c r="K46" s="203" t="s">
        <v>5104</v>
      </c>
      <c r="L46" s="205" t="s">
        <v>6732</v>
      </c>
      <c r="M46" s="205" t="s">
        <v>6102</v>
      </c>
      <c r="N46" s="204" t="s">
        <v>213</v>
      </c>
      <c r="O46" s="204" t="s">
        <v>11</v>
      </c>
      <c r="P46" s="206">
        <v>3200</v>
      </c>
      <c r="Q46" s="215">
        <v>880</v>
      </c>
      <c r="R46" s="207">
        <v>60000</v>
      </c>
      <c r="S46" s="207">
        <f t="shared" si="0"/>
        <v>52800000</v>
      </c>
      <c r="T46" s="589" t="s">
        <v>11</v>
      </c>
      <c r="U46" s="157">
        <v>60000</v>
      </c>
      <c r="V46" s="158">
        <f t="shared" si="1"/>
        <v>57810</v>
      </c>
      <c r="W46" s="159">
        <f t="shared" si="2"/>
        <v>2190</v>
      </c>
      <c r="X46" s="159">
        <f t="shared" si="3"/>
        <v>1927200</v>
      </c>
      <c r="Y46" s="160"/>
      <c r="Z46" s="160">
        <f t="shared" si="4"/>
        <v>0</v>
      </c>
      <c r="AA46" s="165"/>
      <c r="AB46" s="161">
        <f t="shared" si="5"/>
        <v>0</v>
      </c>
      <c r="AC46" s="162"/>
      <c r="AD46" s="162">
        <f t="shared" si="6"/>
        <v>0</v>
      </c>
      <c r="AE46" s="164"/>
      <c r="AF46" s="164">
        <f t="shared" si="7"/>
        <v>0</v>
      </c>
      <c r="AG46" s="165">
        <v>1200</v>
      </c>
      <c r="AH46" s="165">
        <f t="shared" si="8"/>
        <v>1056000</v>
      </c>
      <c r="AI46" s="166">
        <v>0</v>
      </c>
      <c r="AJ46" s="166">
        <f t="shared" si="9"/>
        <v>0</v>
      </c>
      <c r="AK46" s="162"/>
      <c r="AL46" s="162">
        <f t="shared" si="10"/>
        <v>0</v>
      </c>
      <c r="AM46" s="173"/>
      <c r="AN46" s="167">
        <f t="shared" si="11"/>
        <v>0</v>
      </c>
      <c r="AO46" s="163"/>
      <c r="AP46" s="163">
        <f t="shared" si="12"/>
        <v>0</v>
      </c>
      <c r="AQ46" s="168"/>
      <c r="AR46" s="168">
        <f t="shared" si="13"/>
        <v>0</v>
      </c>
      <c r="AS46" s="170">
        <v>990</v>
      </c>
      <c r="AT46" s="170">
        <f t="shared" si="14"/>
        <v>871200</v>
      </c>
      <c r="AU46" s="166"/>
      <c r="AV46" s="166">
        <f t="shared" si="15"/>
        <v>0</v>
      </c>
    </row>
    <row r="47" spans="1:48" ht="112.5">
      <c r="A47" s="148" t="s">
        <v>6759</v>
      </c>
      <c r="B47" s="209" t="s">
        <v>5848</v>
      </c>
      <c r="C47" s="203" t="s">
        <v>5849</v>
      </c>
      <c r="D47" s="240" t="s">
        <v>3878</v>
      </c>
      <c r="E47" s="590"/>
      <c r="F47" s="203" t="s">
        <v>376</v>
      </c>
      <c r="G47" s="204" t="s">
        <v>550</v>
      </c>
      <c r="H47" s="204">
        <v>2</v>
      </c>
      <c r="I47" s="203" t="s">
        <v>6760</v>
      </c>
      <c r="J47" s="205" t="s">
        <v>6009</v>
      </c>
      <c r="K47" s="203" t="s">
        <v>253</v>
      </c>
      <c r="L47" s="205" t="s">
        <v>6761</v>
      </c>
      <c r="M47" s="205" t="s">
        <v>6102</v>
      </c>
      <c r="N47" s="204" t="s">
        <v>213</v>
      </c>
      <c r="O47" s="204" t="s">
        <v>11</v>
      </c>
      <c r="P47" s="206">
        <v>2415</v>
      </c>
      <c r="Q47" s="206">
        <v>2000</v>
      </c>
      <c r="R47" s="207">
        <v>30000</v>
      </c>
      <c r="S47" s="207">
        <f t="shared" si="0"/>
        <v>60000000</v>
      </c>
      <c r="T47" s="589"/>
      <c r="U47" s="157">
        <v>30000</v>
      </c>
      <c r="V47" s="158">
        <f t="shared" si="1"/>
        <v>30000</v>
      </c>
      <c r="W47" s="159">
        <f t="shared" si="2"/>
        <v>0</v>
      </c>
      <c r="X47" s="159">
        <f t="shared" si="3"/>
        <v>0</v>
      </c>
      <c r="Y47" s="160"/>
      <c r="Z47" s="160">
        <f t="shared" si="4"/>
        <v>0</v>
      </c>
      <c r="AA47" s="165"/>
      <c r="AB47" s="161">
        <f t="shared" si="5"/>
        <v>0</v>
      </c>
      <c r="AC47" s="162"/>
      <c r="AD47" s="162">
        <f t="shared" si="6"/>
        <v>0</v>
      </c>
      <c r="AE47" s="164"/>
      <c r="AF47" s="164">
        <f t="shared" si="7"/>
        <v>0</v>
      </c>
      <c r="AG47" s="165"/>
      <c r="AH47" s="165">
        <f t="shared" si="8"/>
        <v>0</v>
      </c>
      <c r="AI47" s="166">
        <v>0</v>
      </c>
      <c r="AJ47" s="166">
        <f t="shared" si="9"/>
        <v>0</v>
      </c>
      <c r="AK47" s="162"/>
      <c r="AL47" s="162">
        <f t="shared" si="10"/>
        <v>0</v>
      </c>
      <c r="AM47" s="173"/>
      <c r="AN47" s="167">
        <f t="shared" si="11"/>
        <v>0</v>
      </c>
      <c r="AO47" s="163"/>
      <c r="AP47" s="163">
        <f t="shared" si="12"/>
        <v>0</v>
      </c>
      <c r="AQ47" s="168"/>
      <c r="AR47" s="168">
        <f t="shared" si="13"/>
        <v>0</v>
      </c>
      <c r="AS47" s="170"/>
      <c r="AT47" s="170">
        <f t="shared" si="14"/>
        <v>0</v>
      </c>
      <c r="AU47" s="166"/>
      <c r="AV47" s="166">
        <f t="shared" si="15"/>
        <v>0</v>
      </c>
    </row>
    <row r="48" spans="1:48" ht="112.5">
      <c r="A48" s="148" t="s">
        <v>6766</v>
      </c>
      <c r="B48" s="209" t="s">
        <v>5848</v>
      </c>
      <c r="C48" s="203" t="s">
        <v>5849</v>
      </c>
      <c r="D48" s="240" t="s">
        <v>4272</v>
      </c>
      <c r="E48" s="590" t="s">
        <v>12642</v>
      </c>
      <c r="F48" s="203" t="s">
        <v>855</v>
      </c>
      <c r="G48" s="204" t="s">
        <v>334</v>
      </c>
      <c r="H48" s="204">
        <v>2</v>
      </c>
      <c r="I48" s="203" t="s">
        <v>4273</v>
      </c>
      <c r="J48" s="205" t="s">
        <v>6767</v>
      </c>
      <c r="K48" s="203" t="s">
        <v>5104</v>
      </c>
      <c r="L48" s="205" t="s">
        <v>6768</v>
      </c>
      <c r="M48" s="205" t="s">
        <v>6102</v>
      </c>
      <c r="N48" s="204" t="s">
        <v>213</v>
      </c>
      <c r="O48" s="204" t="s">
        <v>11</v>
      </c>
      <c r="P48" s="206">
        <v>900</v>
      </c>
      <c r="Q48" s="206">
        <v>900</v>
      </c>
      <c r="R48" s="207">
        <v>100000</v>
      </c>
      <c r="S48" s="207">
        <f t="shared" si="0"/>
        <v>90000000</v>
      </c>
      <c r="T48" s="589"/>
      <c r="U48" s="157">
        <v>100000</v>
      </c>
      <c r="V48" s="158">
        <f t="shared" si="1"/>
        <v>89800</v>
      </c>
      <c r="W48" s="159">
        <f t="shared" si="2"/>
        <v>10200</v>
      </c>
      <c r="X48" s="159">
        <f t="shared" si="3"/>
        <v>9180000</v>
      </c>
      <c r="Y48" s="160"/>
      <c r="Z48" s="160">
        <f t="shared" si="4"/>
        <v>0</v>
      </c>
      <c r="AA48" s="165"/>
      <c r="AB48" s="161">
        <f t="shared" si="5"/>
        <v>0</v>
      </c>
      <c r="AC48" s="162"/>
      <c r="AD48" s="162">
        <f t="shared" si="6"/>
        <v>0</v>
      </c>
      <c r="AE48" s="164"/>
      <c r="AF48" s="164">
        <f t="shared" si="7"/>
        <v>0</v>
      </c>
      <c r="AG48" s="165">
        <f>2000+1200</f>
        <v>3200</v>
      </c>
      <c r="AH48" s="165">
        <f t="shared" si="8"/>
        <v>2880000</v>
      </c>
      <c r="AI48" s="166">
        <v>0</v>
      </c>
      <c r="AJ48" s="166">
        <f t="shared" si="9"/>
        <v>0</v>
      </c>
      <c r="AK48" s="162"/>
      <c r="AL48" s="162">
        <f t="shared" si="10"/>
        <v>0</v>
      </c>
      <c r="AM48" s="173">
        <v>2000</v>
      </c>
      <c r="AN48" s="167">
        <f t="shared" si="11"/>
        <v>1800000</v>
      </c>
      <c r="AO48" s="163"/>
      <c r="AP48" s="163">
        <f t="shared" si="12"/>
        <v>0</v>
      </c>
      <c r="AQ48" s="168"/>
      <c r="AR48" s="168">
        <f t="shared" si="13"/>
        <v>0</v>
      </c>
      <c r="AS48" s="170">
        <v>5000</v>
      </c>
      <c r="AT48" s="170">
        <f t="shared" si="14"/>
        <v>4500000</v>
      </c>
      <c r="AU48" s="166"/>
      <c r="AV48" s="166">
        <f t="shared" si="15"/>
        <v>0</v>
      </c>
    </row>
    <row r="49" spans="1:48" ht="112.5">
      <c r="A49" s="148" t="s">
        <v>6769</v>
      </c>
      <c r="B49" s="209" t="s">
        <v>5848</v>
      </c>
      <c r="C49" s="203" t="s">
        <v>5849</v>
      </c>
      <c r="D49" s="240" t="s">
        <v>6770</v>
      </c>
      <c r="E49" s="590"/>
      <c r="F49" s="203" t="s">
        <v>729</v>
      </c>
      <c r="G49" s="204" t="s">
        <v>225</v>
      </c>
      <c r="H49" s="204">
        <v>2</v>
      </c>
      <c r="I49" s="203" t="s">
        <v>2560</v>
      </c>
      <c r="J49" s="205" t="s">
        <v>6441</v>
      </c>
      <c r="K49" s="203" t="s">
        <v>253</v>
      </c>
      <c r="L49" s="205" t="s">
        <v>6771</v>
      </c>
      <c r="M49" s="205" t="s">
        <v>6102</v>
      </c>
      <c r="N49" s="204" t="s">
        <v>213</v>
      </c>
      <c r="O49" s="204" t="s">
        <v>11</v>
      </c>
      <c r="P49" s="206">
        <v>2000</v>
      </c>
      <c r="Q49" s="206">
        <v>1600</v>
      </c>
      <c r="R49" s="207">
        <v>50000</v>
      </c>
      <c r="S49" s="207">
        <f t="shared" si="0"/>
        <v>80000000</v>
      </c>
      <c r="T49" s="589" t="s">
        <v>11</v>
      </c>
      <c r="U49" s="157">
        <v>50000</v>
      </c>
      <c r="V49" s="158">
        <f t="shared" si="1"/>
        <v>50000</v>
      </c>
      <c r="W49" s="159">
        <f t="shared" si="2"/>
        <v>0</v>
      </c>
      <c r="X49" s="159">
        <f t="shared" si="3"/>
        <v>0</v>
      </c>
      <c r="Y49" s="160"/>
      <c r="Z49" s="160">
        <f t="shared" si="4"/>
        <v>0</v>
      </c>
      <c r="AA49" s="165"/>
      <c r="AB49" s="161">
        <f t="shared" si="5"/>
        <v>0</v>
      </c>
      <c r="AC49" s="162"/>
      <c r="AD49" s="162">
        <f t="shared" si="6"/>
        <v>0</v>
      </c>
      <c r="AE49" s="164"/>
      <c r="AF49" s="164">
        <f t="shared" si="7"/>
        <v>0</v>
      </c>
      <c r="AG49" s="165"/>
      <c r="AH49" s="165">
        <f t="shared" si="8"/>
        <v>0</v>
      </c>
      <c r="AI49" s="166">
        <v>0</v>
      </c>
      <c r="AJ49" s="166">
        <f t="shared" si="9"/>
        <v>0</v>
      </c>
      <c r="AK49" s="162"/>
      <c r="AL49" s="162">
        <f t="shared" si="10"/>
        <v>0</v>
      </c>
      <c r="AM49" s="173"/>
      <c r="AN49" s="167">
        <f t="shared" si="11"/>
        <v>0</v>
      </c>
      <c r="AO49" s="163"/>
      <c r="AP49" s="163">
        <f t="shared" si="12"/>
        <v>0</v>
      </c>
      <c r="AQ49" s="168"/>
      <c r="AR49" s="168">
        <f t="shared" si="13"/>
        <v>0</v>
      </c>
      <c r="AS49" s="170"/>
      <c r="AT49" s="170">
        <f t="shared" si="14"/>
        <v>0</v>
      </c>
      <c r="AU49" s="166"/>
      <c r="AV49" s="166">
        <f t="shared" si="15"/>
        <v>0</v>
      </c>
    </row>
    <row r="50" spans="1:48" ht="112.5">
      <c r="A50" s="148" t="s">
        <v>6776</v>
      </c>
      <c r="B50" s="209" t="s">
        <v>5848</v>
      </c>
      <c r="C50" s="203" t="s">
        <v>5849</v>
      </c>
      <c r="D50" s="240" t="s">
        <v>4349</v>
      </c>
      <c r="E50" s="590" t="s">
        <v>12642</v>
      </c>
      <c r="F50" s="203" t="s">
        <v>1311</v>
      </c>
      <c r="G50" s="204" t="s">
        <v>1313</v>
      </c>
      <c r="H50" s="204">
        <v>2</v>
      </c>
      <c r="I50" s="203" t="s">
        <v>1720</v>
      </c>
      <c r="J50" s="205" t="s">
        <v>6704</v>
      </c>
      <c r="K50" s="203" t="s">
        <v>253</v>
      </c>
      <c r="L50" s="205" t="s">
        <v>1721</v>
      </c>
      <c r="M50" s="205" t="s">
        <v>6102</v>
      </c>
      <c r="N50" s="204" t="s">
        <v>213</v>
      </c>
      <c r="O50" s="204" t="s">
        <v>11</v>
      </c>
      <c r="P50" s="206">
        <v>1400</v>
      </c>
      <c r="Q50" s="206">
        <v>1000</v>
      </c>
      <c r="R50" s="207">
        <v>50000</v>
      </c>
      <c r="S50" s="207">
        <f t="shared" si="0"/>
        <v>50000000</v>
      </c>
      <c r="T50" s="589"/>
      <c r="U50" s="157">
        <v>50000</v>
      </c>
      <c r="V50" s="158">
        <f t="shared" si="1"/>
        <v>27900</v>
      </c>
      <c r="W50" s="159">
        <f t="shared" si="2"/>
        <v>22100</v>
      </c>
      <c r="X50" s="159">
        <f t="shared" si="3"/>
        <v>22100000</v>
      </c>
      <c r="Y50" s="160"/>
      <c r="Z50" s="160">
        <f t="shared" si="4"/>
        <v>0</v>
      </c>
      <c r="AA50" s="165"/>
      <c r="AB50" s="161">
        <f t="shared" si="5"/>
        <v>0</v>
      </c>
      <c r="AC50" s="162"/>
      <c r="AD50" s="162">
        <f t="shared" si="6"/>
        <v>0</v>
      </c>
      <c r="AE50" s="164"/>
      <c r="AF50" s="164">
        <f t="shared" si="7"/>
        <v>0</v>
      </c>
      <c r="AG50" s="165">
        <v>5000</v>
      </c>
      <c r="AH50" s="165">
        <f t="shared" si="8"/>
        <v>5000000</v>
      </c>
      <c r="AI50" s="166">
        <v>0</v>
      </c>
      <c r="AJ50" s="166">
        <f t="shared" si="9"/>
        <v>0</v>
      </c>
      <c r="AK50" s="162"/>
      <c r="AL50" s="162">
        <f t="shared" si="10"/>
        <v>0</v>
      </c>
      <c r="AM50" s="173">
        <v>16400</v>
      </c>
      <c r="AN50" s="167">
        <f t="shared" si="11"/>
        <v>16400000</v>
      </c>
      <c r="AO50" s="163"/>
      <c r="AP50" s="163">
        <f t="shared" si="12"/>
        <v>0</v>
      </c>
      <c r="AQ50" s="168"/>
      <c r="AR50" s="168">
        <f t="shared" si="13"/>
        <v>0</v>
      </c>
      <c r="AS50" s="170">
        <v>700</v>
      </c>
      <c r="AT50" s="170">
        <f t="shared" si="14"/>
        <v>700000</v>
      </c>
      <c r="AU50" s="166"/>
      <c r="AV50" s="166">
        <f t="shared" si="15"/>
        <v>0</v>
      </c>
    </row>
    <row r="51" spans="1:48" s="178" customFormat="1" ht="112.5">
      <c r="A51" s="148" t="s">
        <v>6815</v>
      </c>
      <c r="B51" s="209" t="s">
        <v>5848</v>
      </c>
      <c r="C51" s="203" t="s">
        <v>5849</v>
      </c>
      <c r="D51" s="240" t="s">
        <v>5017</v>
      </c>
      <c r="E51" s="590" t="s">
        <v>12642</v>
      </c>
      <c r="F51" s="203" t="s">
        <v>779</v>
      </c>
      <c r="G51" s="204" t="s">
        <v>435</v>
      </c>
      <c r="H51" s="204">
        <v>2</v>
      </c>
      <c r="I51" s="203" t="s">
        <v>780</v>
      </c>
      <c r="J51" s="205" t="s">
        <v>6816</v>
      </c>
      <c r="K51" s="203" t="s">
        <v>5104</v>
      </c>
      <c r="L51" s="205" t="s">
        <v>782</v>
      </c>
      <c r="M51" s="205" t="s">
        <v>6817</v>
      </c>
      <c r="N51" s="204" t="s">
        <v>5273</v>
      </c>
      <c r="O51" s="204" t="s">
        <v>15</v>
      </c>
      <c r="P51" s="206">
        <v>30000</v>
      </c>
      <c r="Q51" s="206">
        <v>30000</v>
      </c>
      <c r="R51" s="207">
        <v>1000</v>
      </c>
      <c r="S51" s="207">
        <f t="shared" si="0"/>
        <v>30000000</v>
      </c>
      <c r="T51" s="589"/>
      <c r="U51" s="157">
        <v>1000</v>
      </c>
      <c r="V51" s="158">
        <f t="shared" si="1"/>
        <v>1000</v>
      </c>
      <c r="W51" s="159">
        <f t="shared" si="2"/>
        <v>0</v>
      </c>
      <c r="X51" s="159">
        <f t="shared" si="3"/>
        <v>0</v>
      </c>
      <c r="Y51" s="160"/>
      <c r="Z51" s="160">
        <f t="shared" si="4"/>
        <v>0</v>
      </c>
      <c r="AA51" s="165"/>
      <c r="AB51" s="161">
        <f t="shared" si="5"/>
        <v>0</v>
      </c>
      <c r="AC51" s="162"/>
      <c r="AD51" s="162">
        <f t="shared" si="6"/>
        <v>0</v>
      </c>
      <c r="AE51" s="164"/>
      <c r="AF51" s="164">
        <f t="shared" si="7"/>
        <v>0</v>
      </c>
      <c r="AG51" s="165"/>
      <c r="AH51" s="165">
        <f t="shared" si="8"/>
        <v>0</v>
      </c>
      <c r="AI51" s="166">
        <v>0</v>
      </c>
      <c r="AJ51" s="166">
        <f t="shared" si="9"/>
        <v>0</v>
      </c>
      <c r="AK51" s="162"/>
      <c r="AL51" s="162">
        <f t="shared" si="10"/>
        <v>0</v>
      </c>
      <c r="AM51" s="173"/>
      <c r="AN51" s="167">
        <f t="shared" si="11"/>
        <v>0</v>
      </c>
      <c r="AO51" s="163"/>
      <c r="AP51" s="163">
        <f t="shared" si="12"/>
        <v>0</v>
      </c>
      <c r="AQ51" s="168"/>
      <c r="AR51" s="168">
        <f t="shared" si="13"/>
        <v>0</v>
      </c>
      <c r="AS51" s="170"/>
      <c r="AT51" s="170">
        <f t="shared" si="14"/>
        <v>0</v>
      </c>
      <c r="AU51" s="166"/>
      <c r="AV51" s="166">
        <f t="shared" si="15"/>
        <v>0</v>
      </c>
    </row>
    <row r="52" spans="1:48" s="178" customFormat="1" ht="112.5">
      <c r="A52" s="148" t="s">
        <v>6887</v>
      </c>
      <c r="B52" s="209" t="s">
        <v>5848</v>
      </c>
      <c r="C52" s="203" t="s">
        <v>5849</v>
      </c>
      <c r="D52" s="240" t="s">
        <v>4353</v>
      </c>
      <c r="E52" s="590"/>
      <c r="F52" s="203" t="s">
        <v>1397</v>
      </c>
      <c r="G52" s="204" t="s">
        <v>291</v>
      </c>
      <c r="H52" s="204">
        <v>2</v>
      </c>
      <c r="I52" s="203" t="s">
        <v>6888</v>
      </c>
      <c r="J52" s="205" t="s">
        <v>5852</v>
      </c>
      <c r="K52" s="203" t="s">
        <v>253</v>
      </c>
      <c r="L52" s="205" t="s">
        <v>6889</v>
      </c>
      <c r="M52" s="205" t="s">
        <v>6102</v>
      </c>
      <c r="N52" s="204" t="s">
        <v>213</v>
      </c>
      <c r="O52" s="204" t="s">
        <v>11</v>
      </c>
      <c r="P52" s="206">
        <v>560</v>
      </c>
      <c r="Q52" s="206">
        <v>450</v>
      </c>
      <c r="R52" s="207">
        <v>50000</v>
      </c>
      <c r="S52" s="207">
        <f t="shared" si="0"/>
        <v>22500000</v>
      </c>
      <c r="T52" s="589"/>
      <c r="U52" s="157">
        <v>50000</v>
      </c>
      <c r="V52" s="158">
        <f t="shared" si="1"/>
        <v>50000</v>
      </c>
      <c r="W52" s="159">
        <f t="shared" si="2"/>
        <v>0</v>
      </c>
      <c r="X52" s="159">
        <f t="shared" si="3"/>
        <v>0</v>
      </c>
      <c r="Y52" s="160"/>
      <c r="Z52" s="160">
        <f t="shared" si="4"/>
        <v>0</v>
      </c>
      <c r="AA52" s="165"/>
      <c r="AB52" s="161">
        <f t="shared" si="5"/>
        <v>0</v>
      </c>
      <c r="AC52" s="162"/>
      <c r="AD52" s="162">
        <f t="shared" si="6"/>
        <v>0</v>
      </c>
      <c r="AE52" s="164"/>
      <c r="AF52" s="164">
        <f t="shared" si="7"/>
        <v>0</v>
      </c>
      <c r="AG52" s="165"/>
      <c r="AH52" s="165">
        <f t="shared" si="8"/>
        <v>0</v>
      </c>
      <c r="AI52" s="166">
        <v>0</v>
      </c>
      <c r="AJ52" s="166">
        <f t="shared" si="9"/>
        <v>0</v>
      </c>
      <c r="AK52" s="162"/>
      <c r="AL52" s="162">
        <f t="shared" si="10"/>
        <v>0</v>
      </c>
      <c r="AM52" s="173"/>
      <c r="AN52" s="167">
        <f t="shared" si="11"/>
        <v>0</v>
      </c>
      <c r="AO52" s="163"/>
      <c r="AP52" s="163">
        <f t="shared" si="12"/>
        <v>0</v>
      </c>
      <c r="AQ52" s="168"/>
      <c r="AR52" s="168">
        <f t="shared" si="13"/>
        <v>0</v>
      </c>
      <c r="AS52" s="170"/>
      <c r="AT52" s="170">
        <f t="shared" si="14"/>
        <v>0</v>
      </c>
      <c r="AU52" s="166"/>
      <c r="AV52" s="166">
        <f t="shared" si="15"/>
        <v>0</v>
      </c>
    </row>
    <row r="53" spans="1:48" s="178" customFormat="1" ht="112.5">
      <c r="A53" s="172" t="s">
        <v>6961</v>
      </c>
      <c r="B53" s="209" t="s">
        <v>5848</v>
      </c>
      <c r="C53" s="203" t="s">
        <v>5849</v>
      </c>
      <c r="D53" s="240" t="s">
        <v>3835</v>
      </c>
      <c r="E53" s="590" t="s">
        <v>12642</v>
      </c>
      <c r="F53" s="203" t="s">
        <v>695</v>
      </c>
      <c r="G53" s="204" t="s">
        <v>390</v>
      </c>
      <c r="H53" s="204">
        <v>3</v>
      </c>
      <c r="I53" s="203" t="s">
        <v>3552</v>
      </c>
      <c r="J53" s="205" t="s">
        <v>6962</v>
      </c>
      <c r="K53" s="203" t="s">
        <v>5104</v>
      </c>
      <c r="L53" s="205" t="s">
        <v>6963</v>
      </c>
      <c r="M53" s="205" t="s">
        <v>336</v>
      </c>
      <c r="N53" s="204" t="s">
        <v>213</v>
      </c>
      <c r="O53" s="204" t="s">
        <v>11</v>
      </c>
      <c r="P53" s="206">
        <v>84</v>
      </c>
      <c r="Q53" s="206">
        <v>49</v>
      </c>
      <c r="R53" s="207">
        <v>120000</v>
      </c>
      <c r="S53" s="207">
        <f t="shared" si="0"/>
        <v>5880000</v>
      </c>
      <c r="T53" s="589"/>
      <c r="U53" s="157">
        <v>120000</v>
      </c>
      <c r="V53" s="158">
        <f t="shared" si="1"/>
        <v>110400</v>
      </c>
      <c r="W53" s="159">
        <f t="shared" si="2"/>
        <v>9600</v>
      </c>
      <c r="X53" s="159">
        <f t="shared" si="3"/>
        <v>470400</v>
      </c>
      <c r="Y53" s="160"/>
      <c r="Z53" s="160">
        <f t="shared" si="4"/>
        <v>0</v>
      </c>
      <c r="AA53" s="165"/>
      <c r="AB53" s="161">
        <f t="shared" si="5"/>
        <v>0</v>
      </c>
      <c r="AC53" s="162"/>
      <c r="AD53" s="162">
        <f t="shared" si="6"/>
        <v>0</v>
      </c>
      <c r="AE53" s="164"/>
      <c r="AF53" s="164">
        <f t="shared" si="7"/>
        <v>0</v>
      </c>
      <c r="AG53" s="165">
        <v>1000</v>
      </c>
      <c r="AH53" s="165">
        <f t="shared" si="8"/>
        <v>49000</v>
      </c>
      <c r="AI53" s="166">
        <v>0</v>
      </c>
      <c r="AJ53" s="166">
        <f t="shared" si="9"/>
        <v>0</v>
      </c>
      <c r="AK53" s="162"/>
      <c r="AL53" s="162">
        <f t="shared" si="10"/>
        <v>0</v>
      </c>
      <c r="AM53" s="173">
        <v>6600</v>
      </c>
      <c r="AN53" s="167">
        <f t="shared" si="11"/>
        <v>323400</v>
      </c>
      <c r="AO53" s="163"/>
      <c r="AP53" s="163">
        <f t="shared" si="12"/>
        <v>0</v>
      </c>
      <c r="AQ53" s="168"/>
      <c r="AR53" s="168">
        <f t="shared" si="13"/>
        <v>0</v>
      </c>
      <c r="AS53" s="170">
        <v>2000</v>
      </c>
      <c r="AT53" s="170">
        <f t="shared" si="14"/>
        <v>98000</v>
      </c>
      <c r="AU53" s="166"/>
      <c r="AV53" s="166">
        <f t="shared" si="15"/>
        <v>0</v>
      </c>
    </row>
    <row r="54" spans="1:48" s="178" customFormat="1" ht="112.5">
      <c r="A54" s="172" t="s">
        <v>7016</v>
      </c>
      <c r="B54" s="209" t="s">
        <v>5848</v>
      </c>
      <c r="C54" s="203" t="s">
        <v>5849</v>
      </c>
      <c r="D54" s="240" t="s">
        <v>7017</v>
      </c>
      <c r="E54" s="590" t="s">
        <v>12642</v>
      </c>
      <c r="F54" s="203" t="s">
        <v>513</v>
      </c>
      <c r="G54" s="204" t="s">
        <v>7018</v>
      </c>
      <c r="H54" s="204">
        <v>3</v>
      </c>
      <c r="I54" s="203" t="s">
        <v>7019</v>
      </c>
      <c r="J54" s="205" t="s">
        <v>7020</v>
      </c>
      <c r="K54" s="203" t="s">
        <v>253</v>
      </c>
      <c r="L54" s="205" t="s">
        <v>7021</v>
      </c>
      <c r="M54" s="205" t="s">
        <v>6510</v>
      </c>
      <c r="N54" s="204" t="s">
        <v>213</v>
      </c>
      <c r="O54" s="204" t="s">
        <v>15</v>
      </c>
      <c r="P54" s="206">
        <v>12600</v>
      </c>
      <c r="Q54" s="206">
        <v>11130</v>
      </c>
      <c r="R54" s="207">
        <v>1000</v>
      </c>
      <c r="S54" s="207">
        <f t="shared" si="0"/>
        <v>11130000</v>
      </c>
      <c r="T54" s="589"/>
      <c r="U54" s="157">
        <v>1000</v>
      </c>
      <c r="V54" s="158">
        <f t="shared" si="1"/>
        <v>1000</v>
      </c>
      <c r="W54" s="159">
        <f t="shared" si="2"/>
        <v>0</v>
      </c>
      <c r="X54" s="159">
        <f t="shared" si="3"/>
        <v>0</v>
      </c>
      <c r="Y54" s="160"/>
      <c r="Z54" s="160">
        <f t="shared" si="4"/>
        <v>0</v>
      </c>
      <c r="AA54" s="165"/>
      <c r="AB54" s="161">
        <f t="shared" si="5"/>
        <v>0</v>
      </c>
      <c r="AC54" s="162"/>
      <c r="AD54" s="162">
        <f t="shared" si="6"/>
        <v>0</v>
      </c>
      <c r="AE54" s="164"/>
      <c r="AF54" s="164">
        <f t="shared" si="7"/>
        <v>0</v>
      </c>
      <c r="AG54" s="165"/>
      <c r="AH54" s="165">
        <f t="shared" si="8"/>
        <v>0</v>
      </c>
      <c r="AI54" s="166">
        <v>0</v>
      </c>
      <c r="AJ54" s="166">
        <f t="shared" si="9"/>
        <v>0</v>
      </c>
      <c r="AK54" s="162"/>
      <c r="AL54" s="162">
        <f t="shared" si="10"/>
        <v>0</v>
      </c>
      <c r="AM54" s="173"/>
      <c r="AN54" s="167">
        <f t="shared" si="11"/>
        <v>0</v>
      </c>
      <c r="AO54" s="163"/>
      <c r="AP54" s="163">
        <f t="shared" si="12"/>
        <v>0</v>
      </c>
      <c r="AQ54" s="168"/>
      <c r="AR54" s="168">
        <f t="shared" si="13"/>
        <v>0</v>
      </c>
      <c r="AS54" s="170"/>
      <c r="AT54" s="170">
        <f t="shared" si="14"/>
        <v>0</v>
      </c>
      <c r="AU54" s="166"/>
      <c r="AV54" s="166">
        <f t="shared" si="15"/>
        <v>0</v>
      </c>
    </row>
    <row r="55" spans="1:48" s="178" customFormat="1" ht="112.5">
      <c r="A55" s="148" t="s">
        <v>7022</v>
      </c>
      <c r="B55" s="209" t="s">
        <v>5848</v>
      </c>
      <c r="C55" s="203" t="s">
        <v>5849</v>
      </c>
      <c r="D55" s="240" t="s">
        <v>7023</v>
      </c>
      <c r="E55" s="590" t="s">
        <v>12642</v>
      </c>
      <c r="F55" s="203" t="s">
        <v>513</v>
      </c>
      <c r="G55" s="204" t="s">
        <v>7024</v>
      </c>
      <c r="H55" s="204">
        <v>3</v>
      </c>
      <c r="I55" s="203" t="s">
        <v>1761</v>
      </c>
      <c r="J55" s="205" t="s">
        <v>7025</v>
      </c>
      <c r="K55" s="203" t="s">
        <v>253</v>
      </c>
      <c r="L55" s="205" t="s">
        <v>7026</v>
      </c>
      <c r="M55" s="205" t="s">
        <v>6510</v>
      </c>
      <c r="N55" s="204" t="s">
        <v>213</v>
      </c>
      <c r="O55" s="204" t="s">
        <v>15</v>
      </c>
      <c r="P55" s="206">
        <v>13000</v>
      </c>
      <c r="Q55" s="206">
        <v>10710</v>
      </c>
      <c r="R55" s="207">
        <v>1000</v>
      </c>
      <c r="S55" s="207">
        <f t="shared" si="0"/>
        <v>10710000</v>
      </c>
      <c r="T55" s="589"/>
      <c r="U55" s="157">
        <v>1000</v>
      </c>
      <c r="V55" s="158">
        <f t="shared" si="1"/>
        <v>1000</v>
      </c>
      <c r="W55" s="159">
        <f t="shared" si="2"/>
        <v>0</v>
      </c>
      <c r="X55" s="159">
        <f t="shared" si="3"/>
        <v>0</v>
      </c>
      <c r="Y55" s="160"/>
      <c r="Z55" s="160">
        <f t="shared" si="4"/>
        <v>0</v>
      </c>
      <c r="AA55" s="165"/>
      <c r="AB55" s="161">
        <f t="shared" si="5"/>
        <v>0</v>
      </c>
      <c r="AC55" s="162"/>
      <c r="AD55" s="162">
        <f t="shared" si="6"/>
        <v>0</v>
      </c>
      <c r="AE55" s="164"/>
      <c r="AF55" s="164">
        <f t="shared" si="7"/>
        <v>0</v>
      </c>
      <c r="AG55" s="165"/>
      <c r="AH55" s="165">
        <f t="shared" si="8"/>
        <v>0</v>
      </c>
      <c r="AI55" s="166">
        <v>0</v>
      </c>
      <c r="AJ55" s="166">
        <f t="shared" si="9"/>
        <v>0</v>
      </c>
      <c r="AK55" s="162"/>
      <c r="AL55" s="162">
        <f t="shared" si="10"/>
        <v>0</v>
      </c>
      <c r="AM55" s="173"/>
      <c r="AN55" s="167">
        <f t="shared" si="11"/>
        <v>0</v>
      </c>
      <c r="AO55" s="163"/>
      <c r="AP55" s="163">
        <f t="shared" si="12"/>
        <v>0</v>
      </c>
      <c r="AQ55" s="168"/>
      <c r="AR55" s="168">
        <f t="shared" si="13"/>
        <v>0</v>
      </c>
      <c r="AS55" s="170"/>
      <c r="AT55" s="170">
        <f t="shared" si="14"/>
        <v>0</v>
      </c>
      <c r="AU55" s="166"/>
      <c r="AV55" s="166">
        <f t="shared" si="15"/>
        <v>0</v>
      </c>
    </row>
    <row r="56" spans="1:48" s="178" customFormat="1" ht="112.5">
      <c r="A56" s="148" t="s">
        <v>7027</v>
      </c>
      <c r="B56" s="209" t="s">
        <v>5848</v>
      </c>
      <c r="C56" s="203" t="s">
        <v>5849</v>
      </c>
      <c r="D56" s="240" t="s">
        <v>7028</v>
      </c>
      <c r="E56" s="590" t="s">
        <v>12642</v>
      </c>
      <c r="F56" s="203" t="s">
        <v>513</v>
      </c>
      <c r="G56" s="204" t="s">
        <v>7029</v>
      </c>
      <c r="H56" s="204">
        <v>3</v>
      </c>
      <c r="I56" s="203" t="s">
        <v>1761</v>
      </c>
      <c r="J56" s="205" t="s">
        <v>7030</v>
      </c>
      <c r="K56" s="203" t="s">
        <v>253</v>
      </c>
      <c r="L56" s="205" t="s">
        <v>7026</v>
      </c>
      <c r="M56" s="205" t="s">
        <v>6510</v>
      </c>
      <c r="N56" s="204" t="s">
        <v>213</v>
      </c>
      <c r="O56" s="204" t="s">
        <v>15</v>
      </c>
      <c r="P56" s="206">
        <v>15000</v>
      </c>
      <c r="Q56" s="206">
        <v>13650</v>
      </c>
      <c r="R56" s="207">
        <v>1000</v>
      </c>
      <c r="S56" s="207">
        <f t="shared" si="0"/>
        <v>13650000</v>
      </c>
      <c r="T56" s="589"/>
      <c r="U56" s="157">
        <v>1000</v>
      </c>
      <c r="V56" s="158">
        <f t="shared" si="1"/>
        <v>1000</v>
      </c>
      <c r="W56" s="159">
        <f t="shared" si="2"/>
        <v>0</v>
      </c>
      <c r="X56" s="159">
        <f t="shared" si="3"/>
        <v>0</v>
      </c>
      <c r="Y56" s="160"/>
      <c r="Z56" s="160">
        <f t="shared" si="4"/>
        <v>0</v>
      </c>
      <c r="AA56" s="165"/>
      <c r="AB56" s="161">
        <f t="shared" si="5"/>
        <v>0</v>
      </c>
      <c r="AC56" s="162"/>
      <c r="AD56" s="162">
        <f t="shared" si="6"/>
        <v>0</v>
      </c>
      <c r="AE56" s="164"/>
      <c r="AF56" s="164">
        <f t="shared" si="7"/>
        <v>0</v>
      </c>
      <c r="AG56" s="165"/>
      <c r="AH56" s="165">
        <f t="shared" si="8"/>
        <v>0</v>
      </c>
      <c r="AI56" s="166">
        <v>0</v>
      </c>
      <c r="AJ56" s="166">
        <f t="shared" si="9"/>
        <v>0</v>
      </c>
      <c r="AK56" s="162"/>
      <c r="AL56" s="162">
        <f t="shared" si="10"/>
        <v>0</v>
      </c>
      <c r="AM56" s="173"/>
      <c r="AN56" s="167">
        <f t="shared" si="11"/>
        <v>0</v>
      </c>
      <c r="AO56" s="163"/>
      <c r="AP56" s="163">
        <f t="shared" si="12"/>
        <v>0</v>
      </c>
      <c r="AQ56" s="168"/>
      <c r="AR56" s="168">
        <f t="shared" si="13"/>
        <v>0</v>
      </c>
      <c r="AS56" s="170"/>
      <c r="AT56" s="170">
        <f t="shared" si="14"/>
        <v>0</v>
      </c>
      <c r="AU56" s="166"/>
      <c r="AV56" s="166">
        <f t="shared" si="15"/>
        <v>0</v>
      </c>
    </row>
    <row r="57" spans="1:48" s="178" customFormat="1" ht="112.5">
      <c r="A57" s="172" t="s">
        <v>7031</v>
      </c>
      <c r="B57" s="209" t="s">
        <v>5848</v>
      </c>
      <c r="C57" s="203" t="s">
        <v>5849</v>
      </c>
      <c r="D57" s="240" t="s">
        <v>7032</v>
      </c>
      <c r="E57" s="590" t="s">
        <v>12642</v>
      </c>
      <c r="F57" s="203" t="s">
        <v>513</v>
      </c>
      <c r="G57" s="204" t="s">
        <v>7033</v>
      </c>
      <c r="H57" s="204">
        <v>3</v>
      </c>
      <c r="I57" s="203" t="s">
        <v>4077</v>
      </c>
      <c r="J57" s="205" t="s">
        <v>7020</v>
      </c>
      <c r="K57" s="203" t="s">
        <v>253</v>
      </c>
      <c r="L57" s="205" t="s">
        <v>7034</v>
      </c>
      <c r="M57" s="205" t="s">
        <v>6510</v>
      </c>
      <c r="N57" s="204" t="s">
        <v>213</v>
      </c>
      <c r="O57" s="204" t="s">
        <v>15</v>
      </c>
      <c r="P57" s="206">
        <v>17500</v>
      </c>
      <c r="Q57" s="206">
        <v>15225</v>
      </c>
      <c r="R57" s="207">
        <v>500</v>
      </c>
      <c r="S57" s="207">
        <f t="shared" si="0"/>
        <v>7612500</v>
      </c>
      <c r="T57" s="589"/>
      <c r="U57" s="157">
        <v>500</v>
      </c>
      <c r="V57" s="158">
        <f t="shared" si="1"/>
        <v>500</v>
      </c>
      <c r="W57" s="159">
        <f t="shared" si="2"/>
        <v>0</v>
      </c>
      <c r="X57" s="159">
        <f t="shared" si="3"/>
        <v>0</v>
      </c>
      <c r="Y57" s="160"/>
      <c r="Z57" s="160">
        <f t="shared" si="4"/>
        <v>0</v>
      </c>
      <c r="AA57" s="165"/>
      <c r="AB57" s="161">
        <f t="shared" si="5"/>
        <v>0</v>
      </c>
      <c r="AC57" s="162"/>
      <c r="AD57" s="162">
        <f t="shared" si="6"/>
        <v>0</v>
      </c>
      <c r="AE57" s="164"/>
      <c r="AF57" s="164">
        <f t="shared" si="7"/>
        <v>0</v>
      </c>
      <c r="AG57" s="165"/>
      <c r="AH57" s="165">
        <f t="shared" si="8"/>
        <v>0</v>
      </c>
      <c r="AI57" s="166">
        <v>0</v>
      </c>
      <c r="AJ57" s="166">
        <f t="shared" si="9"/>
        <v>0</v>
      </c>
      <c r="AK57" s="162"/>
      <c r="AL57" s="162">
        <f t="shared" si="10"/>
        <v>0</v>
      </c>
      <c r="AM57" s="173"/>
      <c r="AN57" s="167">
        <f t="shared" si="11"/>
        <v>0</v>
      </c>
      <c r="AO57" s="163"/>
      <c r="AP57" s="163">
        <f t="shared" si="12"/>
        <v>0</v>
      </c>
      <c r="AQ57" s="168"/>
      <c r="AR57" s="168">
        <f t="shared" si="13"/>
        <v>0</v>
      </c>
      <c r="AS57" s="170"/>
      <c r="AT57" s="170">
        <f t="shared" si="14"/>
        <v>0</v>
      </c>
      <c r="AU57" s="166"/>
      <c r="AV57" s="166">
        <f t="shared" si="15"/>
        <v>0</v>
      </c>
    </row>
    <row r="58" spans="1:48" s="178" customFormat="1" ht="112.5">
      <c r="A58" s="148" t="s">
        <v>7035</v>
      </c>
      <c r="B58" s="209" t="s">
        <v>5848</v>
      </c>
      <c r="C58" s="203" t="s">
        <v>5849</v>
      </c>
      <c r="D58" s="240" t="s">
        <v>7036</v>
      </c>
      <c r="E58" s="590" t="s">
        <v>12642</v>
      </c>
      <c r="F58" s="203" t="s">
        <v>513</v>
      </c>
      <c r="G58" s="204" t="s">
        <v>7037</v>
      </c>
      <c r="H58" s="204">
        <v>3</v>
      </c>
      <c r="I58" s="203" t="s">
        <v>2565</v>
      </c>
      <c r="J58" s="205" t="s">
        <v>7038</v>
      </c>
      <c r="K58" s="203" t="s">
        <v>5104</v>
      </c>
      <c r="L58" s="205" t="s">
        <v>7039</v>
      </c>
      <c r="M58" s="205" t="s">
        <v>6510</v>
      </c>
      <c r="N58" s="204" t="s">
        <v>213</v>
      </c>
      <c r="O58" s="204" t="s">
        <v>15</v>
      </c>
      <c r="P58" s="206">
        <v>9500</v>
      </c>
      <c r="Q58" s="206">
        <v>8190</v>
      </c>
      <c r="R58" s="207">
        <v>1000</v>
      </c>
      <c r="S58" s="207">
        <f t="shared" si="0"/>
        <v>8190000</v>
      </c>
      <c r="T58" s="589"/>
      <c r="U58" s="157">
        <v>1000</v>
      </c>
      <c r="V58" s="158">
        <f t="shared" si="1"/>
        <v>1000</v>
      </c>
      <c r="W58" s="159">
        <f t="shared" si="2"/>
        <v>0</v>
      </c>
      <c r="X58" s="159">
        <f t="shared" si="3"/>
        <v>0</v>
      </c>
      <c r="Y58" s="160"/>
      <c r="Z58" s="160">
        <f t="shared" si="4"/>
        <v>0</v>
      </c>
      <c r="AA58" s="165"/>
      <c r="AB58" s="161">
        <f t="shared" si="5"/>
        <v>0</v>
      </c>
      <c r="AC58" s="162"/>
      <c r="AD58" s="162">
        <f t="shared" si="6"/>
        <v>0</v>
      </c>
      <c r="AE58" s="164"/>
      <c r="AF58" s="164">
        <f t="shared" si="7"/>
        <v>0</v>
      </c>
      <c r="AG58" s="165"/>
      <c r="AH58" s="165">
        <f t="shared" si="8"/>
        <v>0</v>
      </c>
      <c r="AI58" s="166">
        <v>0</v>
      </c>
      <c r="AJ58" s="166">
        <f t="shared" si="9"/>
        <v>0</v>
      </c>
      <c r="AK58" s="162"/>
      <c r="AL58" s="162">
        <f t="shared" si="10"/>
        <v>0</v>
      </c>
      <c r="AM58" s="173"/>
      <c r="AN58" s="167">
        <f t="shared" si="11"/>
        <v>0</v>
      </c>
      <c r="AO58" s="163"/>
      <c r="AP58" s="163">
        <f t="shared" si="12"/>
        <v>0</v>
      </c>
      <c r="AQ58" s="168"/>
      <c r="AR58" s="168">
        <f t="shared" si="13"/>
        <v>0</v>
      </c>
      <c r="AS58" s="170"/>
      <c r="AT58" s="170">
        <f t="shared" si="14"/>
        <v>0</v>
      </c>
      <c r="AU58" s="166"/>
      <c r="AV58" s="166">
        <f t="shared" si="15"/>
        <v>0</v>
      </c>
    </row>
    <row r="59" spans="1:48" s="178" customFormat="1" ht="112.5">
      <c r="A59" s="148" t="s">
        <v>7040</v>
      </c>
      <c r="B59" s="209" t="s">
        <v>5848</v>
      </c>
      <c r="C59" s="203" t="s">
        <v>5849</v>
      </c>
      <c r="D59" s="606" t="s">
        <v>7041</v>
      </c>
      <c r="E59" s="590"/>
      <c r="F59" s="213" t="s">
        <v>7042</v>
      </c>
      <c r="G59" s="214" t="s">
        <v>7043</v>
      </c>
      <c r="H59" s="214">
        <v>3</v>
      </c>
      <c r="I59" s="213" t="s">
        <v>7044</v>
      </c>
      <c r="J59" s="234" t="s">
        <v>7020</v>
      </c>
      <c r="K59" s="213" t="s">
        <v>5104</v>
      </c>
      <c r="L59" s="234" t="s">
        <v>7045</v>
      </c>
      <c r="M59" s="234" t="s">
        <v>6510</v>
      </c>
      <c r="N59" s="214" t="s">
        <v>213</v>
      </c>
      <c r="O59" s="214" t="s">
        <v>15</v>
      </c>
      <c r="P59" s="206">
        <v>12500</v>
      </c>
      <c r="Q59" s="215">
        <v>11025</v>
      </c>
      <c r="R59" s="216">
        <v>500</v>
      </c>
      <c r="S59" s="216">
        <f t="shared" si="0"/>
        <v>5512500</v>
      </c>
      <c r="T59" s="589"/>
      <c r="U59" s="157">
        <v>500</v>
      </c>
      <c r="V59" s="158">
        <f t="shared" si="1"/>
        <v>500</v>
      </c>
      <c r="W59" s="159">
        <f t="shared" si="2"/>
        <v>0</v>
      </c>
      <c r="X59" s="159">
        <f t="shared" si="3"/>
        <v>0</v>
      </c>
      <c r="Y59" s="160"/>
      <c r="Z59" s="160">
        <f t="shared" si="4"/>
        <v>0</v>
      </c>
      <c r="AA59" s="165"/>
      <c r="AB59" s="161">
        <f t="shared" si="5"/>
        <v>0</v>
      </c>
      <c r="AC59" s="162"/>
      <c r="AD59" s="162">
        <f t="shared" si="6"/>
        <v>0</v>
      </c>
      <c r="AE59" s="164"/>
      <c r="AF59" s="164">
        <f t="shared" si="7"/>
        <v>0</v>
      </c>
      <c r="AG59" s="165"/>
      <c r="AH59" s="165">
        <f t="shared" si="8"/>
        <v>0</v>
      </c>
      <c r="AI59" s="166">
        <v>0</v>
      </c>
      <c r="AJ59" s="166">
        <f t="shared" si="9"/>
        <v>0</v>
      </c>
      <c r="AK59" s="162"/>
      <c r="AL59" s="162">
        <f t="shared" si="10"/>
        <v>0</v>
      </c>
      <c r="AM59" s="173"/>
      <c r="AN59" s="167">
        <f t="shared" si="11"/>
        <v>0</v>
      </c>
      <c r="AO59" s="163"/>
      <c r="AP59" s="163">
        <f t="shared" si="12"/>
        <v>0</v>
      </c>
      <c r="AQ59" s="168"/>
      <c r="AR59" s="168">
        <f t="shared" si="13"/>
        <v>0</v>
      </c>
      <c r="AS59" s="170"/>
      <c r="AT59" s="170">
        <f t="shared" si="14"/>
        <v>0</v>
      </c>
      <c r="AU59" s="166"/>
      <c r="AV59" s="166">
        <f t="shared" si="15"/>
        <v>0</v>
      </c>
    </row>
    <row r="60" spans="1:48" s="178" customFormat="1" ht="112.5">
      <c r="A60" s="172" t="s">
        <v>7046</v>
      </c>
      <c r="B60" s="209" t="s">
        <v>5848</v>
      </c>
      <c r="C60" s="203" t="s">
        <v>5849</v>
      </c>
      <c r="D60" s="240" t="s">
        <v>4153</v>
      </c>
      <c r="E60" s="590" t="s">
        <v>12642</v>
      </c>
      <c r="F60" s="203" t="s">
        <v>7047</v>
      </c>
      <c r="G60" s="204" t="s">
        <v>4156</v>
      </c>
      <c r="H60" s="204">
        <v>3</v>
      </c>
      <c r="I60" s="203" t="s">
        <v>4154</v>
      </c>
      <c r="J60" s="205" t="s">
        <v>7048</v>
      </c>
      <c r="K60" s="203" t="s">
        <v>5104</v>
      </c>
      <c r="L60" s="205" t="s">
        <v>7049</v>
      </c>
      <c r="M60" s="205" t="s">
        <v>6510</v>
      </c>
      <c r="N60" s="204" t="s">
        <v>213</v>
      </c>
      <c r="O60" s="204" t="s">
        <v>520</v>
      </c>
      <c r="P60" s="206">
        <v>2900</v>
      </c>
      <c r="Q60" s="206">
        <v>2415</v>
      </c>
      <c r="R60" s="207">
        <v>2000</v>
      </c>
      <c r="S60" s="207">
        <f t="shared" si="0"/>
        <v>4830000</v>
      </c>
      <c r="T60" s="589"/>
      <c r="U60" s="157">
        <v>2000</v>
      </c>
      <c r="V60" s="158">
        <f t="shared" si="1"/>
        <v>1750</v>
      </c>
      <c r="W60" s="159">
        <f t="shared" si="2"/>
        <v>250</v>
      </c>
      <c r="X60" s="159">
        <f t="shared" si="3"/>
        <v>603750</v>
      </c>
      <c r="Y60" s="160"/>
      <c r="Z60" s="160">
        <f t="shared" si="4"/>
        <v>0</v>
      </c>
      <c r="AA60" s="165"/>
      <c r="AB60" s="161">
        <f t="shared" si="5"/>
        <v>0</v>
      </c>
      <c r="AC60" s="162"/>
      <c r="AD60" s="162">
        <f t="shared" si="6"/>
        <v>0</v>
      </c>
      <c r="AE60" s="164"/>
      <c r="AF60" s="164">
        <f t="shared" si="7"/>
        <v>0</v>
      </c>
      <c r="AG60" s="165"/>
      <c r="AH60" s="165">
        <f t="shared" si="8"/>
        <v>0</v>
      </c>
      <c r="AI60" s="166">
        <v>0</v>
      </c>
      <c r="AJ60" s="166">
        <f t="shared" si="9"/>
        <v>0</v>
      </c>
      <c r="AK60" s="162"/>
      <c r="AL60" s="162">
        <f t="shared" si="10"/>
        <v>0</v>
      </c>
      <c r="AM60" s="173">
        <v>50</v>
      </c>
      <c r="AN60" s="167">
        <f t="shared" si="11"/>
        <v>120750</v>
      </c>
      <c r="AO60" s="163"/>
      <c r="AP60" s="163">
        <f t="shared" si="12"/>
        <v>0</v>
      </c>
      <c r="AQ60" s="168">
        <v>200</v>
      </c>
      <c r="AR60" s="168">
        <f t="shared" si="13"/>
        <v>483000</v>
      </c>
      <c r="AS60" s="170"/>
      <c r="AT60" s="170">
        <f t="shared" si="14"/>
        <v>0</v>
      </c>
      <c r="AU60" s="166"/>
      <c r="AV60" s="166">
        <f t="shared" si="15"/>
        <v>0</v>
      </c>
    </row>
    <row r="61" spans="1:48" s="178" customFormat="1" ht="112.5">
      <c r="A61" s="148" t="s">
        <v>7050</v>
      </c>
      <c r="B61" s="209" t="s">
        <v>5848</v>
      </c>
      <c r="C61" s="203" t="s">
        <v>5849</v>
      </c>
      <c r="D61" s="240" t="s">
        <v>4446</v>
      </c>
      <c r="E61" s="590"/>
      <c r="F61" s="203" t="s">
        <v>2516</v>
      </c>
      <c r="G61" s="204" t="s">
        <v>4447</v>
      </c>
      <c r="H61" s="204">
        <v>3</v>
      </c>
      <c r="I61" s="203" t="s">
        <v>2515</v>
      </c>
      <c r="J61" s="205" t="s">
        <v>7051</v>
      </c>
      <c r="K61" s="203" t="s">
        <v>5104</v>
      </c>
      <c r="L61" s="205" t="s">
        <v>3132</v>
      </c>
      <c r="M61" s="205" t="s">
        <v>6510</v>
      </c>
      <c r="N61" s="204" t="s">
        <v>213</v>
      </c>
      <c r="O61" s="204" t="s">
        <v>15</v>
      </c>
      <c r="P61" s="206">
        <v>21000</v>
      </c>
      <c r="Q61" s="206">
        <v>18900</v>
      </c>
      <c r="R61" s="207">
        <v>1000</v>
      </c>
      <c r="S61" s="207">
        <f t="shared" si="0"/>
        <v>18900000</v>
      </c>
      <c r="T61" s="589"/>
      <c r="U61" s="157">
        <v>1000</v>
      </c>
      <c r="V61" s="158">
        <f t="shared" si="1"/>
        <v>950</v>
      </c>
      <c r="W61" s="159">
        <f t="shared" si="2"/>
        <v>50</v>
      </c>
      <c r="X61" s="159">
        <f t="shared" si="3"/>
        <v>945000</v>
      </c>
      <c r="Y61" s="160"/>
      <c r="Z61" s="160">
        <f t="shared" si="4"/>
        <v>0</v>
      </c>
      <c r="AA61" s="165"/>
      <c r="AB61" s="161">
        <f t="shared" si="5"/>
        <v>0</v>
      </c>
      <c r="AC61" s="162"/>
      <c r="AD61" s="162">
        <f t="shared" si="6"/>
        <v>0</v>
      </c>
      <c r="AE61" s="164"/>
      <c r="AF61" s="164">
        <f t="shared" si="7"/>
        <v>0</v>
      </c>
      <c r="AG61" s="165">
        <v>20</v>
      </c>
      <c r="AH61" s="165">
        <f t="shared" si="8"/>
        <v>378000</v>
      </c>
      <c r="AI61" s="166">
        <v>0</v>
      </c>
      <c r="AJ61" s="166">
        <f t="shared" si="9"/>
        <v>0</v>
      </c>
      <c r="AK61" s="162"/>
      <c r="AL61" s="162">
        <f t="shared" si="10"/>
        <v>0</v>
      </c>
      <c r="AM61" s="173">
        <v>30</v>
      </c>
      <c r="AN61" s="167">
        <f t="shared" si="11"/>
        <v>567000</v>
      </c>
      <c r="AO61" s="163"/>
      <c r="AP61" s="163">
        <f t="shared" si="12"/>
        <v>0</v>
      </c>
      <c r="AQ61" s="168"/>
      <c r="AR61" s="168">
        <f t="shared" si="13"/>
        <v>0</v>
      </c>
      <c r="AS61" s="170"/>
      <c r="AT61" s="170">
        <f t="shared" si="14"/>
        <v>0</v>
      </c>
      <c r="AU61" s="166"/>
      <c r="AV61" s="166">
        <f t="shared" si="15"/>
        <v>0</v>
      </c>
    </row>
    <row r="62" spans="1:48" s="178" customFormat="1" ht="112.5">
      <c r="A62" s="148" t="s">
        <v>7064</v>
      </c>
      <c r="B62" s="209" t="s">
        <v>5848</v>
      </c>
      <c r="C62" s="203" t="s">
        <v>5849</v>
      </c>
      <c r="D62" s="240" t="s">
        <v>7065</v>
      </c>
      <c r="E62" s="590" t="s">
        <v>12642</v>
      </c>
      <c r="F62" s="203" t="s">
        <v>747</v>
      </c>
      <c r="G62" s="204" t="s">
        <v>7066</v>
      </c>
      <c r="H62" s="204">
        <v>3</v>
      </c>
      <c r="I62" s="203" t="s">
        <v>1068</v>
      </c>
      <c r="J62" s="205" t="s">
        <v>7038</v>
      </c>
      <c r="K62" s="203" t="s">
        <v>5104</v>
      </c>
      <c r="L62" s="205" t="s">
        <v>6509</v>
      </c>
      <c r="M62" s="205" t="s">
        <v>6510</v>
      </c>
      <c r="N62" s="204" t="s">
        <v>213</v>
      </c>
      <c r="O62" s="204" t="s">
        <v>15</v>
      </c>
      <c r="P62" s="206">
        <v>8500</v>
      </c>
      <c r="Q62" s="206">
        <v>7560</v>
      </c>
      <c r="R62" s="207">
        <v>2000</v>
      </c>
      <c r="S62" s="207">
        <f t="shared" si="0"/>
        <v>15120000</v>
      </c>
      <c r="T62" s="589"/>
      <c r="U62" s="157">
        <v>2000</v>
      </c>
      <c r="V62" s="158">
        <f t="shared" si="1"/>
        <v>2000</v>
      </c>
      <c r="W62" s="159">
        <f t="shared" si="2"/>
        <v>0</v>
      </c>
      <c r="X62" s="159">
        <f t="shared" si="3"/>
        <v>0</v>
      </c>
      <c r="Y62" s="160"/>
      <c r="Z62" s="160">
        <f t="shared" si="4"/>
        <v>0</v>
      </c>
      <c r="AA62" s="165"/>
      <c r="AB62" s="161">
        <f t="shared" si="5"/>
        <v>0</v>
      </c>
      <c r="AC62" s="162"/>
      <c r="AD62" s="162">
        <f t="shared" si="6"/>
        <v>0</v>
      </c>
      <c r="AE62" s="164"/>
      <c r="AF62" s="164">
        <f t="shared" si="7"/>
        <v>0</v>
      </c>
      <c r="AG62" s="165"/>
      <c r="AH62" s="165">
        <f t="shared" si="8"/>
        <v>0</v>
      </c>
      <c r="AI62" s="166">
        <v>0</v>
      </c>
      <c r="AJ62" s="166">
        <f t="shared" si="9"/>
        <v>0</v>
      </c>
      <c r="AK62" s="162"/>
      <c r="AL62" s="162">
        <f t="shared" si="10"/>
        <v>0</v>
      </c>
      <c r="AM62" s="173"/>
      <c r="AN62" s="167">
        <f t="shared" si="11"/>
        <v>0</v>
      </c>
      <c r="AO62" s="163"/>
      <c r="AP62" s="163">
        <f t="shared" si="12"/>
        <v>0</v>
      </c>
      <c r="AQ62" s="168"/>
      <c r="AR62" s="168">
        <f t="shared" si="13"/>
        <v>0</v>
      </c>
      <c r="AS62" s="170"/>
      <c r="AT62" s="170">
        <f t="shared" si="14"/>
        <v>0</v>
      </c>
      <c r="AU62" s="166"/>
      <c r="AV62" s="166">
        <f t="shared" si="15"/>
        <v>0</v>
      </c>
    </row>
    <row r="63" spans="1:48" s="178" customFormat="1" ht="112.5">
      <c r="A63" s="148" t="s">
        <v>7067</v>
      </c>
      <c r="B63" s="209" t="s">
        <v>5848</v>
      </c>
      <c r="C63" s="203" t="s">
        <v>5849</v>
      </c>
      <c r="D63" s="240" t="s">
        <v>7068</v>
      </c>
      <c r="E63" s="590" t="s">
        <v>12642</v>
      </c>
      <c r="F63" s="203" t="s">
        <v>747</v>
      </c>
      <c r="G63" s="204" t="s">
        <v>4449</v>
      </c>
      <c r="H63" s="204">
        <v>3</v>
      </c>
      <c r="I63" s="203" t="s">
        <v>1068</v>
      </c>
      <c r="J63" s="205" t="s">
        <v>6508</v>
      </c>
      <c r="K63" s="203" t="s">
        <v>5104</v>
      </c>
      <c r="L63" s="205" t="s">
        <v>6509</v>
      </c>
      <c r="M63" s="205" t="s">
        <v>6510</v>
      </c>
      <c r="N63" s="204" t="s">
        <v>213</v>
      </c>
      <c r="O63" s="204" t="s">
        <v>15</v>
      </c>
      <c r="P63" s="206">
        <v>10000</v>
      </c>
      <c r="Q63" s="206">
        <v>8820</v>
      </c>
      <c r="R63" s="207">
        <v>2000</v>
      </c>
      <c r="S63" s="207">
        <f t="shared" si="0"/>
        <v>17640000</v>
      </c>
      <c r="T63" s="589"/>
      <c r="U63" s="157">
        <v>2000</v>
      </c>
      <c r="V63" s="158">
        <f t="shared" si="1"/>
        <v>1500</v>
      </c>
      <c r="W63" s="159">
        <f t="shared" si="2"/>
        <v>500</v>
      </c>
      <c r="X63" s="159">
        <f t="shared" si="3"/>
        <v>4410000</v>
      </c>
      <c r="Y63" s="160"/>
      <c r="Z63" s="160">
        <f t="shared" si="4"/>
        <v>0</v>
      </c>
      <c r="AA63" s="165"/>
      <c r="AB63" s="161">
        <f t="shared" si="5"/>
        <v>0</v>
      </c>
      <c r="AC63" s="162"/>
      <c r="AD63" s="162">
        <f t="shared" si="6"/>
        <v>0</v>
      </c>
      <c r="AE63" s="163"/>
      <c r="AF63" s="164">
        <f t="shared" si="7"/>
        <v>0</v>
      </c>
      <c r="AG63" s="161">
        <v>500</v>
      </c>
      <c r="AH63" s="165">
        <f t="shared" si="8"/>
        <v>4410000</v>
      </c>
      <c r="AI63" s="160">
        <v>0</v>
      </c>
      <c r="AJ63" s="166">
        <f t="shared" si="9"/>
        <v>0</v>
      </c>
      <c r="AK63" s="162"/>
      <c r="AL63" s="162">
        <f t="shared" si="10"/>
        <v>0</v>
      </c>
      <c r="AM63" s="173"/>
      <c r="AN63" s="167">
        <f t="shared" si="11"/>
        <v>0</v>
      </c>
      <c r="AO63" s="163"/>
      <c r="AP63" s="163">
        <f t="shared" si="12"/>
        <v>0</v>
      </c>
      <c r="AQ63" s="162"/>
      <c r="AR63" s="168">
        <f t="shared" si="13"/>
        <v>0</v>
      </c>
      <c r="AS63" s="169"/>
      <c r="AT63" s="170">
        <f t="shared" si="14"/>
        <v>0</v>
      </c>
      <c r="AU63" s="160"/>
      <c r="AV63" s="166">
        <f t="shared" si="15"/>
        <v>0</v>
      </c>
    </row>
    <row r="64" spans="1:48" s="178" customFormat="1" ht="112.5">
      <c r="A64" s="172" t="s">
        <v>7069</v>
      </c>
      <c r="B64" s="209" t="s">
        <v>5848</v>
      </c>
      <c r="C64" s="203" t="s">
        <v>5849</v>
      </c>
      <c r="D64" s="240" t="s">
        <v>7070</v>
      </c>
      <c r="E64" s="590" t="s">
        <v>12642</v>
      </c>
      <c r="F64" s="203" t="s">
        <v>747</v>
      </c>
      <c r="G64" s="204" t="s">
        <v>1769</v>
      </c>
      <c r="H64" s="204">
        <v>3</v>
      </c>
      <c r="I64" s="203" t="s">
        <v>1768</v>
      </c>
      <c r="J64" s="205" t="s">
        <v>7071</v>
      </c>
      <c r="K64" s="203" t="s">
        <v>5104</v>
      </c>
      <c r="L64" s="205" t="s">
        <v>1770</v>
      </c>
      <c r="M64" s="205" t="s">
        <v>6510</v>
      </c>
      <c r="N64" s="204" t="s">
        <v>213</v>
      </c>
      <c r="O64" s="204" t="s">
        <v>15</v>
      </c>
      <c r="P64" s="206">
        <v>8200</v>
      </c>
      <c r="Q64" s="206">
        <v>8190</v>
      </c>
      <c r="R64" s="207">
        <v>500</v>
      </c>
      <c r="S64" s="207">
        <f t="shared" si="0"/>
        <v>4095000</v>
      </c>
      <c r="T64" s="589"/>
      <c r="U64" s="157">
        <v>500</v>
      </c>
      <c r="V64" s="158">
        <f t="shared" si="1"/>
        <v>500</v>
      </c>
      <c r="W64" s="159">
        <f t="shared" si="2"/>
        <v>0</v>
      </c>
      <c r="X64" s="159">
        <f t="shared" si="3"/>
        <v>0</v>
      </c>
      <c r="Y64" s="160"/>
      <c r="Z64" s="160">
        <f t="shared" si="4"/>
        <v>0</v>
      </c>
      <c r="AA64" s="165"/>
      <c r="AB64" s="161">
        <f t="shared" si="5"/>
        <v>0</v>
      </c>
      <c r="AC64" s="162"/>
      <c r="AD64" s="162">
        <f t="shared" si="6"/>
        <v>0</v>
      </c>
      <c r="AE64" s="164"/>
      <c r="AF64" s="164">
        <f t="shared" si="7"/>
        <v>0</v>
      </c>
      <c r="AG64" s="165"/>
      <c r="AH64" s="165">
        <f t="shared" si="8"/>
        <v>0</v>
      </c>
      <c r="AI64" s="166">
        <v>0</v>
      </c>
      <c r="AJ64" s="166">
        <f t="shared" si="9"/>
        <v>0</v>
      </c>
      <c r="AK64" s="162"/>
      <c r="AL64" s="162">
        <f t="shared" si="10"/>
        <v>0</v>
      </c>
      <c r="AM64" s="173"/>
      <c r="AN64" s="167">
        <f t="shared" si="11"/>
        <v>0</v>
      </c>
      <c r="AO64" s="163"/>
      <c r="AP64" s="163">
        <f t="shared" si="12"/>
        <v>0</v>
      </c>
      <c r="AQ64" s="168"/>
      <c r="AR64" s="168">
        <f t="shared" si="13"/>
        <v>0</v>
      </c>
      <c r="AS64" s="170"/>
      <c r="AT64" s="170">
        <f t="shared" si="14"/>
        <v>0</v>
      </c>
      <c r="AU64" s="166"/>
      <c r="AV64" s="166">
        <f t="shared" si="15"/>
        <v>0</v>
      </c>
    </row>
    <row r="65" spans="1:48" s="178" customFormat="1" ht="112.5">
      <c r="A65" s="148" t="s">
        <v>7072</v>
      </c>
      <c r="B65" s="209" t="s">
        <v>5848</v>
      </c>
      <c r="C65" s="203" t="s">
        <v>5849</v>
      </c>
      <c r="D65" s="240" t="s">
        <v>7073</v>
      </c>
      <c r="E65" s="590" t="s">
        <v>12642</v>
      </c>
      <c r="F65" s="203" t="s">
        <v>7074</v>
      </c>
      <c r="G65" s="204" t="s">
        <v>7075</v>
      </c>
      <c r="H65" s="204">
        <v>3</v>
      </c>
      <c r="I65" s="203" t="s">
        <v>7076</v>
      </c>
      <c r="J65" s="205" t="s">
        <v>6508</v>
      </c>
      <c r="K65" s="203" t="s">
        <v>5104</v>
      </c>
      <c r="L65" s="205" t="s">
        <v>7077</v>
      </c>
      <c r="M65" s="205" t="s">
        <v>6510</v>
      </c>
      <c r="N65" s="204" t="s">
        <v>213</v>
      </c>
      <c r="O65" s="204" t="s">
        <v>15</v>
      </c>
      <c r="P65" s="206">
        <v>12000</v>
      </c>
      <c r="Q65" s="206">
        <v>10500</v>
      </c>
      <c r="R65" s="207">
        <v>1000</v>
      </c>
      <c r="S65" s="207">
        <f t="shared" si="0"/>
        <v>10500000</v>
      </c>
      <c r="T65" s="589"/>
      <c r="U65" s="157">
        <v>1000</v>
      </c>
      <c r="V65" s="158">
        <f t="shared" si="1"/>
        <v>1000</v>
      </c>
      <c r="W65" s="159">
        <f t="shared" si="2"/>
        <v>0</v>
      </c>
      <c r="X65" s="159">
        <f t="shared" si="3"/>
        <v>0</v>
      </c>
      <c r="Y65" s="160"/>
      <c r="Z65" s="160">
        <f t="shared" si="4"/>
        <v>0</v>
      </c>
      <c r="AA65" s="165"/>
      <c r="AB65" s="161">
        <f t="shared" si="5"/>
        <v>0</v>
      </c>
      <c r="AC65" s="162"/>
      <c r="AD65" s="162">
        <f t="shared" si="6"/>
        <v>0</v>
      </c>
      <c r="AE65" s="164"/>
      <c r="AF65" s="164">
        <f t="shared" si="7"/>
        <v>0</v>
      </c>
      <c r="AG65" s="165"/>
      <c r="AH65" s="165">
        <f t="shared" si="8"/>
        <v>0</v>
      </c>
      <c r="AI65" s="166">
        <v>0</v>
      </c>
      <c r="AJ65" s="166">
        <f t="shared" si="9"/>
        <v>0</v>
      </c>
      <c r="AK65" s="162"/>
      <c r="AL65" s="162">
        <f t="shared" si="10"/>
        <v>0</v>
      </c>
      <c r="AM65" s="173"/>
      <c r="AN65" s="167">
        <f t="shared" si="11"/>
        <v>0</v>
      </c>
      <c r="AO65" s="163"/>
      <c r="AP65" s="163">
        <f t="shared" si="12"/>
        <v>0</v>
      </c>
      <c r="AQ65" s="168"/>
      <c r="AR65" s="168">
        <f t="shared" si="13"/>
        <v>0</v>
      </c>
      <c r="AS65" s="170"/>
      <c r="AT65" s="170">
        <f t="shared" si="14"/>
        <v>0</v>
      </c>
      <c r="AU65" s="166"/>
      <c r="AV65" s="166">
        <f t="shared" si="15"/>
        <v>0</v>
      </c>
    </row>
    <row r="66" spans="1:48" s="178" customFormat="1" ht="112.5">
      <c r="A66" s="148" t="s">
        <v>7078</v>
      </c>
      <c r="B66" s="209" t="s">
        <v>5848</v>
      </c>
      <c r="C66" s="203" t="s">
        <v>5849</v>
      </c>
      <c r="D66" s="240" t="s">
        <v>4456</v>
      </c>
      <c r="E66" s="590" t="s">
        <v>12642</v>
      </c>
      <c r="F66" s="203" t="s">
        <v>758</v>
      </c>
      <c r="G66" s="204" t="s">
        <v>759</v>
      </c>
      <c r="H66" s="204">
        <v>3</v>
      </c>
      <c r="I66" s="203" t="s">
        <v>2569</v>
      </c>
      <c r="J66" s="205" t="s">
        <v>6508</v>
      </c>
      <c r="K66" s="203" t="s">
        <v>5104</v>
      </c>
      <c r="L66" s="205" t="s">
        <v>3332</v>
      </c>
      <c r="M66" s="205" t="s">
        <v>6510</v>
      </c>
      <c r="N66" s="204" t="s">
        <v>213</v>
      </c>
      <c r="O66" s="204" t="s">
        <v>15</v>
      </c>
      <c r="P66" s="206">
        <v>10500</v>
      </c>
      <c r="Q66" s="206">
        <v>8925</v>
      </c>
      <c r="R66" s="207">
        <v>2000</v>
      </c>
      <c r="S66" s="207">
        <f t="shared" si="0"/>
        <v>17850000</v>
      </c>
      <c r="T66" s="589"/>
      <c r="U66" s="157">
        <v>2000</v>
      </c>
      <c r="V66" s="158">
        <f t="shared" si="1"/>
        <v>1500</v>
      </c>
      <c r="W66" s="159">
        <f t="shared" si="2"/>
        <v>500</v>
      </c>
      <c r="X66" s="159">
        <f t="shared" si="3"/>
        <v>4462500</v>
      </c>
      <c r="Y66" s="160"/>
      <c r="Z66" s="160">
        <f t="shared" si="4"/>
        <v>0</v>
      </c>
      <c r="AA66" s="165"/>
      <c r="AB66" s="161">
        <f t="shared" si="5"/>
        <v>0</v>
      </c>
      <c r="AC66" s="162"/>
      <c r="AD66" s="162">
        <f t="shared" si="6"/>
        <v>0</v>
      </c>
      <c r="AE66" s="164">
        <v>300</v>
      </c>
      <c r="AF66" s="164">
        <f t="shared" si="7"/>
        <v>2677500</v>
      </c>
      <c r="AG66" s="165">
        <v>200</v>
      </c>
      <c r="AH66" s="165">
        <f t="shared" si="8"/>
        <v>1785000</v>
      </c>
      <c r="AI66" s="166">
        <v>0</v>
      </c>
      <c r="AJ66" s="166">
        <f t="shared" si="9"/>
        <v>0</v>
      </c>
      <c r="AK66" s="162"/>
      <c r="AL66" s="162">
        <f t="shared" si="10"/>
        <v>0</v>
      </c>
      <c r="AM66" s="173"/>
      <c r="AN66" s="167">
        <f t="shared" si="11"/>
        <v>0</v>
      </c>
      <c r="AO66" s="163"/>
      <c r="AP66" s="163">
        <f t="shared" si="12"/>
        <v>0</v>
      </c>
      <c r="AQ66" s="168"/>
      <c r="AR66" s="168">
        <f t="shared" si="13"/>
        <v>0</v>
      </c>
      <c r="AS66" s="170"/>
      <c r="AT66" s="170">
        <f t="shared" si="14"/>
        <v>0</v>
      </c>
      <c r="AU66" s="166"/>
      <c r="AV66" s="166">
        <f t="shared" si="15"/>
        <v>0</v>
      </c>
    </row>
    <row r="67" spans="1:48" s="178" customFormat="1" ht="112.5">
      <c r="A67" s="148" t="s">
        <v>7108</v>
      </c>
      <c r="B67" s="209" t="s">
        <v>5848</v>
      </c>
      <c r="C67" s="203" t="s">
        <v>5849</v>
      </c>
      <c r="D67" s="240" t="s">
        <v>7109</v>
      </c>
      <c r="E67" s="590"/>
      <c r="F67" s="203" t="s">
        <v>7110</v>
      </c>
      <c r="G67" s="204" t="s">
        <v>7111</v>
      </c>
      <c r="H67" s="204">
        <v>3</v>
      </c>
      <c r="I67" s="203" t="s">
        <v>7112</v>
      </c>
      <c r="J67" s="205" t="s">
        <v>7113</v>
      </c>
      <c r="K67" s="203" t="s">
        <v>5104</v>
      </c>
      <c r="L67" s="205" t="s">
        <v>7114</v>
      </c>
      <c r="M67" s="205" t="s">
        <v>6510</v>
      </c>
      <c r="N67" s="204" t="s">
        <v>213</v>
      </c>
      <c r="O67" s="204" t="s">
        <v>520</v>
      </c>
      <c r="P67" s="206">
        <v>6075</v>
      </c>
      <c r="Q67" s="206">
        <v>5500</v>
      </c>
      <c r="R67" s="207">
        <v>6000</v>
      </c>
      <c r="S67" s="207">
        <f t="shared" si="0"/>
        <v>33000000</v>
      </c>
      <c r="T67" s="589"/>
      <c r="U67" s="157">
        <v>6000</v>
      </c>
      <c r="V67" s="158">
        <f t="shared" si="1"/>
        <v>6000</v>
      </c>
      <c r="W67" s="159">
        <f t="shared" si="2"/>
        <v>0</v>
      </c>
      <c r="X67" s="159">
        <f t="shared" si="3"/>
        <v>0</v>
      </c>
      <c r="Y67" s="160"/>
      <c r="Z67" s="160">
        <f t="shared" si="4"/>
        <v>0</v>
      </c>
      <c r="AA67" s="165"/>
      <c r="AB67" s="161">
        <f t="shared" si="5"/>
        <v>0</v>
      </c>
      <c r="AC67" s="162"/>
      <c r="AD67" s="162">
        <f t="shared" si="6"/>
        <v>0</v>
      </c>
      <c r="AE67" s="164"/>
      <c r="AF67" s="164">
        <f t="shared" si="7"/>
        <v>0</v>
      </c>
      <c r="AG67" s="165"/>
      <c r="AH67" s="165">
        <f t="shared" si="8"/>
        <v>0</v>
      </c>
      <c r="AI67" s="166">
        <v>0</v>
      </c>
      <c r="AJ67" s="166">
        <f t="shared" si="9"/>
        <v>0</v>
      </c>
      <c r="AK67" s="162"/>
      <c r="AL67" s="162">
        <f t="shared" si="10"/>
        <v>0</v>
      </c>
      <c r="AM67" s="173"/>
      <c r="AN67" s="167">
        <f t="shared" si="11"/>
        <v>0</v>
      </c>
      <c r="AO67" s="163"/>
      <c r="AP67" s="163">
        <f t="shared" si="12"/>
        <v>0</v>
      </c>
      <c r="AQ67" s="168"/>
      <c r="AR67" s="168">
        <f t="shared" si="13"/>
        <v>0</v>
      </c>
      <c r="AS67" s="170"/>
      <c r="AT67" s="170">
        <f t="shared" si="14"/>
        <v>0</v>
      </c>
      <c r="AU67" s="166"/>
      <c r="AV67" s="166">
        <f t="shared" si="15"/>
        <v>0</v>
      </c>
    </row>
    <row r="68" spans="1:48" s="178" customFormat="1" ht="112.5">
      <c r="A68" s="148" t="s">
        <v>7153</v>
      </c>
      <c r="B68" s="209" t="s">
        <v>5848</v>
      </c>
      <c r="C68" s="203" t="s">
        <v>5849</v>
      </c>
      <c r="D68" s="240" t="s">
        <v>5051</v>
      </c>
      <c r="E68" s="590" t="s">
        <v>12643</v>
      </c>
      <c r="F68" s="203" t="s">
        <v>1127</v>
      </c>
      <c r="G68" s="204" t="s">
        <v>5053</v>
      </c>
      <c r="H68" s="204">
        <v>3</v>
      </c>
      <c r="I68" s="203" t="s">
        <v>5052</v>
      </c>
      <c r="J68" s="205" t="s">
        <v>7154</v>
      </c>
      <c r="K68" s="203" t="s">
        <v>5104</v>
      </c>
      <c r="L68" s="205" t="s">
        <v>7155</v>
      </c>
      <c r="M68" s="205" t="s">
        <v>7085</v>
      </c>
      <c r="N68" s="204" t="s">
        <v>213</v>
      </c>
      <c r="O68" s="204" t="s">
        <v>11</v>
      </c>
      <c r="P68" s="206">
        <v>1200</v>
      </c>
      <c r="Q68" s="206">
        <v>714</v>
      </c>
      <c r="R68" s="207">
        <v>250000</v>
      </c>
      <c r="S68" s="207">
        <f t="shared" si="0"/>
        <v>178500000</v>
      </c>
      <c r="T68" s="589"/>
      <c r="U68" s="157">
        <v>250000</v>
      </c>
      <c r="V68" s="158">
        <f t="shared" si="1"/>
        <v>240500</v>
      </c>
      <c r="W68" s="159">
        <f t="shared" si="2"/>
        <v>9500</v>
      </c>
      <c r="X68" s="159">
        <f t="shared" si="3"/>
        <v>6783000</v>
      </c>
      <c r="Y68" s="160"/>
      <c r="Z68" s="160">
        <f t="shared" si="4"/>
        <v>0</v>
      </c>
      <c r="AA68" s="165"/>
      <c r="AB68" s="161">
        <f t="shared" si="5"/>
        <v>0</v>
      </c>
      <c r="AC68" s="162"/>
      <c r="AD68" s="162">
        <f t="shared" si="6"/>
        <v>0</v>
      </c>
      <c r="AE68" s="164"/>
      <c r="AF68" s="164">
        <f t="shared" si="7"/>
        <v>0</v>
      </c>
      <c r="AG68" s="165">
        <f>5000+4500</f>
        <v>9500</v>
      </c>
      <c r="AH68" s="165">
        <f t="shared" si="8"/>
        <v>6783000</v>
      </c>
      <c r="AI68" s="166">
        <v>0</v>
      </c>
      <c r="AJ68" s="166">
        <f t="shared" si="9"/>
        <v>0</v>
      </c>
      <c r="AK68" s="162"/>
      <c r="AL68" s="162">
        <f t="shared" si="10"/>
        <v>0</v>
      </c>
      <c r="AM68" s="173"/>
      <c r="AN68" s="167">
        <f t="shared" si="11"/>
        <v>0</v>
      </c>
      <c r="AO68" s="163"/>
      <c r="AP68" s="163">
        <f t="shared" si="12"/>
        <v>0</v>
      </c>
      <c r="AQ68" s="168"/>
      <c r="AR68" s="168">
        <f t="shared" si="13"/>
        <v>0</v>
      </c>
      <c r="AS68" s="170"/>
      <c r="AT68" s="170">
        <f t="shared" si="14"/>
        <v>0</v>
      </c>
      <c r="AU68" s="166"/>
      <c r="AV68" s="166">
        <f t="shared" si="15"/>
        <v>0</v>
      </c>
    </row>
    <row r="69" spans="1:48" s="178" customFormat="1" ht="112.5">
      <c r="A69" s="148" t="s">
        <v>7391</v>
      </c>
      <c r="B69" s="209" t="s">
        <v>5848</v>
      </c>
      <c r="C69" s="203" t="s">
        <v>5849</v>
      </c>
      <c r="D69" s="240" t="s">
        <v>7392</v>
      </c>
      <c r="E69" s="590"/>
      <c r="F69" s="203" t="s">
        <v>1664</v>
      </c>
      <c r="G69" s="204" t="s">
        <v>715</v>
      </c>
      <c r="H69" s="204">
        <v>3</v>
      </c>
      <c r="I69" s="203" t="s">
        <v>7393</v>
      </c>
      <c r="J69" s="205" t="s">
        <v>7394</v>
      </c>
      <c r="K69" s="203" t="s">
        <v>253</v>
      </c>
      <c r="L69" s="205" t="s">
        <v>7395</v>
      </c>
      <c r="M69" s="205" t="s">
        <v>336</v>
      </c>
      <c r="N69" s="204" t="s">
        <v>213</v>
      </c>
      <c r="O69" s="204" t="s">
        <v>15</v>
      </c>
      <c r="P69" s="206">
        <v>36750</v>
      </c>
      <c r="Q69" s="206">
        <v>17100</v>
      </c>
      <c r="R69" s="207">
        <v>1000</v>
      </c>
      <c r="S69" s="207">
        <f t="shared" ref="S69:S132" si="16">R69*Q69</f>
        <v>17100000</v>
      </c>
      <c r="T69" s="589"/>
      <c r="U69" s="157">
        <v>1000</v>
      </c>
      <c r="V69" s="158">
        <f t="shared" ref="V69:V86" si="17">U69-W69</f>
        <v>1000</v>
      </c>
      <c r="W69" s="159">
        <f t="shared" ref="W69:W132" si="18">Y69+AA69+AC69+AE69+AG69+AI69+AK69+AM69+AO69+AQ69+AS69+AU69</f>
        <v>0</v>
      </c>
      <c r="X69" s="159">
        <f t="shared" ref="X69:X132" si="19">W69*Q69</f>
        <v>0</v>
      </c>
      <c r="Y69" s="160"/>
      <c r="Z69" s="160">
        <f t="shared" ref="Z69:Z132" si="20">Y69*Q69</f>
        <v>0</v>
      </c>
      <c r="AA69" s="165"/>
      <c r="AB69" s="161">
        <f t="shared" ref="AB69:AB132" si="21">AA69*Q69</f>
        <v>0</v>
      </c>
      <c r="AC69" s="162"/>
      <c r="AD69" s="162">
        <f t="shared" ref="AD69:AD86" si="22">AC69*Q69</f>
        <v>0</v>
      </c>
      <c r="AE69" s="164"/>
      <c r="AF69" s="164">
        <f t="shared" ref="AF69:AF86" si="23">AE69*Q69</f>
        <v>0</v>
      </c>
      <c r="AG69" s="165"/>
      <c r="AH69" s="165">
        <f t="shared" ref="AH69:AH86" si="24">AG69*Q69</f>
        <v>0</v>
      </c>
      <c r="AI69" s="166">
        <v>0</v>
      </c>
      <c r="AJ69" s="166">
        <f t="shared" ref="AJ69:AJ86" si="25">AI69*Q69</f>
        <v>0</v>
      </c>
      <c r="AK69" s="162"/>
      <c r="AL69" s="162">
        <f t="shared" ref="AL69:AL132" si="26">AK69*Q69</f>
        <v>0</v>
      </c>
      <c r="AM69" s="173"/>
      <c r="AN69" s="167">
        <f t="shared" ref="AN69:AN132" si="27">AM69*Q69</f>
        <v>0</v>
      </c>
      <c r="AO69" s="163"/>
      <c r="AP69" s="163">
        <f t="shared" ref="AP69:AP132" si="28">AO69*Q69</f>
        <v>0</v>
      </c>
      <c r="AQ69" s="168"/>
      <c r="AR69" s="168">
        <f t="shared" ref="AR69:AR132" si="29">AQ69*Q69</f>
        <v>0</v>
      </c>
      <c r="AS69" s="170"/>
      <c r="AT69" s="170">
        <f t="shared" ref="AT69:AT132" si="30">AS69*Q69</f>
        <v>0</v>
      </c>
      <c r="AU69" s="166"/>
      <c r="AV69" s="166">
        <f t="shared" ref="AV69:AV132" si="31">AU69*Q69</f>
        <v>0</v>
      </c>
    </row>
    <row r="70" spans="1:48" s="178" customFormat="1" ht="112.5">
      <c r="A70" s="148" t="s">
        <v>7427</v>
      </c>
      <c r="B70" s="209" t="s">
        <v>5848</v>
      </c>
      <c r="C70" s="203" t="s">
        <v>5849</v>
      </c>
      <c r="D70" s="240" t="s">
        <v>7428</v>
      </c>
      <c r="E70" s="590" t="s">
        <v>12642</v>
      </c>
      <c r="F70" s="203" t="s">
        <v>543</v>
      </c>
      <c r="G70" s="204" t="s">
        <v>258</v>
      </c>
      <c r="H70" s="204">
        <v>3</v>
      </c>
      <c r="I70" s="203" t="s">
        <v>7429</v>
      </c>
      <c r="J70" s="205" t="s">
        <v>7430</v>
      </c>
      <c r="K70" s="203" t="s">
        <v>5104</v>
      </c>
      <c r="L70" s="205" t="s">
        <v>7431</v>
      </c>
      <c r="M70" s="205" t="s">
        <v>336</v>
      </c>
      <c r="N70" s="204" t="s">
        <v>213</v>
      </c>
      <c r="O70" s="204" t="s">
        <v>11</v>
      </c>
      <c r="P70" s="206">
        <v>2100</v>
      </c>
      <c r="Q70" s="206">
        <v>651</v>
      </c>
      <c r="R70" s="207">
        <v>1000</v>
      </c>
      <c r="S70" s="207">
        <f t="shared" si="16"/>
        <v>651000</v>
      </c>
      <c r="T70" s="589"/>
      <c r="U70" s="157">
        <v>1000</v>
      </c>
      <c r="V70" s="158">
        <f t="shared" si="17"/>
        <v>1000</v>
      </c>
      <c r="W70" s="159">
        <f t="shared" si="18"/>
        <v>0</v>
      </c>
      <c r="X70" s="159">
        <f t="shared" si="19"/>
        <v>0</v>
      </c>
      <c r="Y70" s="160"/>
      <c r="Z70" s="160">
        <f t="shared" si="20"/>
        <v>0</v>
      </c>
      <c r="AA70" s="165"/>
      <c r="AB70" s="161">
        <f t="shared" si="21"/>
        <v>0</v>
      </c>
      <c r="AC70" s="162"/>
      <c r="AD70" s="162">
        <f t="shared" si="22"/>
        <v>0</v>
      </c>
      <c r="AE70" s="164"/>
      <c r="AF70" s="164">
        <f t="shared" si="23"/>
        <v>0</v>
      </c>
      <c r="AG70" s="165"/>
      <c r="AH70" s="165">
        <f t="shared" si="24"/>
        <v>0</v>
      </c>
      <c r="AI70" s="166">
        <v>0</v>
      </c>
      <c r="AJ70" s="166">
        <f t="shared" si="25"/>
        <v>0</v>
      </c>
      <c r="AK70" s="162"/>
      <c r="AL70" s="162">
        <f t="shared" si="26"/>
        <v>0</v>
      </c>
      <c r="AM70" s="173"/>
      <c r="AN70" s="167">
        <f t="shared" si="27"/>
        <v>0</v>
      </c>
      <c r="AO70" s="163"/>
      <c r="AP70" s="163">
        <f t="shared" si="28"/>
        <v>0</v>
      </c>
      <c r="AQ70" s="168"/>
      <c r="AR70" s="168">
        <f t="shared" si="29"/>
        <v>0</v>
      </c>
      <c r="AS70" s="170"/>
      <c r="AT70" s="170">
        <f t="shared" si="30"/>
        <v>0</v>
      </c>
      <c r="AU70" s="166"/>
      <c r="AV70" s="166">
        <f t="shared" si="31"/>
        <v>0</v>
      </c>
    </row>
    <row r="71" spans="1:48" s="178" customFormat="1" ht="112.5">
      <c r="A71" s="148" t="s">
        <v>7457</v>
      </c>
      <c r="B71" s="209" t="s">
        <v>5848</v>
      </c>
      <c r="C71" s="203" t="s">
        <v>5849</v>
      </c>
      <c r="D71" s="240" t="s">
        <v>4549</v>
      </c>
      <c r="E71" s="590" t="s">
        <v>12642</v>
      </c>
      <c r="F71" s="203" t="s">
        <v>564</v>
      </c>
      <c r="G71" s="204" t="s">
        <v>2532</v>
      </c>
      <c r="H71" s="204">
        <v>3</v>
      </c>
      <c r="I71" s="203" t="s">
        <v>4550</v>
      </c>
      <c r="J71" s="205" t="s">
        <v>7458</v>
      </c>
      <c r="K71" s="203" t="s">
        <v>253</v>
      </c>
      <c r="L71" s="205" t="s">
        <v>1078</v>
      </c>
      <c r="M71" s="205" t="s">
        <v>336</v>
      </c>
      <c r="N71" s="204" t="s">
        <v>213</v>
      </c>
      <c r="O71" s="204" t="s">
        <v>13</v>
      </c>
      <c r="P71" s="206">
        <v>1963</v>
      </c>
      <c r="Q71" s="206">
        <v>980</v>
      </c>
      <c r="R71" s="207">
        <v>10000</v>
      </c>
      <c r="S71" s="207">
        <f t="shared" si="16"/>
        <v>9800000</v>
      </c>
      <c r="T71" s="589"/>
      <c r="U71" s="157">
        <v>10000</v>
      </c>
      <c r="V71" s="158">
        <f t="shared" si="17"/>
        <v>9180</v>
      </c>
      <c r="W71" s="159">
        <f t="shared" si="18"/>
        <v>820</v>
      </c>
      <c r="X71" s="159">
        <f t="shared" si="19"/>
        <v>803600</v>
      </c>
      <c r="Y71" s="160"/>
      <c r="Z71" s="160">
        <f t="shared" si="20"/>
        <v>0</v>
      </c>
      <c r="AA71" s="165"/>
      <c r="AB71" s="161">
        <f t="shared" si="21"/>
        <v>0</v>
      </c>
      <c r="AC71" s="162"/>
      <c r="AD71" s="162">
        <f t="shared" si="22"/>
        <v>0</v>
      </c>
      <c r="AE71" s="164"/>
      <c r="AF71" s="164">
        <f t="shared" si="23"/>
        <v>0</v>
      </c>
      <c r="AG71" s="165">
        <v>200</v>
      </c>
      <c r="AH71" s="165">
        <f t="shared" si="24"/>
        <v>196000</v>
      </c>
      <c r="AI71" s="166">
        <v>0</v>
      </c>
      <c r="AJ71" s="166">
        <f t="shared" si="25"/>
        <v>0</v>
      </c>
      <c r="AK71" s="162"/>
      <c r="AL71" s="162">
        <f t="shared" si="26"/>
        <v>0</v>
      </c>
      <c r="AM71" s="173">
        <v>300</v>
      </c>
      <c r="AN71" s="167">
        <f t="shared" si="27"/>
        <v>294000</v>
      </c>
      <c r="AO71" s="163"/>
      <c r="AP71" s="163">
        <f t="shared" si="28"/>
        <v>0</v>
      </c>
      <c r="AQ71" s="168"/>
      <c r="AR71" s="168">
        <f t="shared" si="29"/>
        <v>0</v>
      </c>
      <c r="AS71" s="170">
        <v>320</v>
      </c>
      <c r="AT71" s="170">
        <f t="shared" si="30"/>
        <v>313600</v>
      </c>
      <c r="AU71" s="166"/>
      <c r="AV71" s="166">
        <f t="shared" si="31"/>
        <v>0</v>
      </c>
    </row>
    <row r="72" spans="1:48" s="115" customFormat="1" ht="112.5">
      <c r="A72" s="172" t="s">
        <v>7581</v>
      </c>
      <c r="B72" s="209" t="s">
        <v>5848</v>
      </c>
      <c r="C72" s="203" t="s">
        <v>5849</v>
      </c>
      <c r="D72" s="240" t="s">
        <v>7582</v>
      </c>
      <c r="E72" s="590"/>
      <c r="F72" s="203" t="s">
        <v>6037</v>
      </c>
      <c r="G72" s="204" t="s">
        <v>730</v>
      </c>
      <c r="H72" s="204">
        <v>3</v>
      </c>
      <c r="I72" s="203" t="s">
        <v>7583</v>
      </c>
      <c r="J72" s="205" t="s">
        <v>6530</v>
      </c>
      <c r="K72" s="203" t="s">
        <v>5111</v>
      </c>
      <c r="L72" s="205" t="s">
        <v>7584</v>
      </c>
      <c r="M72" s="205" t="s">
        <v>7585</v>
      </c>
      <c r="N72" s="204" t="s">
        <v>213</v>
      </c>
      <c r="O72" s="204" t="s">
        <v>11</v>
      </c>
      <c r="P72" s="206">
        <v>3500</v>
      </c>
      <c r="Q72" s="206">
        <v>2400</v>
      </c>
      <c r="R72" s="207">
        <v>20000</v>
      </c>
      <c r="S72" s="207">
        <f t="shared" si="16"/>
        <v>48000000</v>
      </c>
      <c r="T72" s="589"/>
      <c r="U72" s="157">
        <v>20000</v>
      </c>
      <c r="V72" s="158">
        <f t="shared" si="17"/>
        <v>20000</v>
      </c>
      <c r="W72" s="159">
        <f t="shared" si="18"/>
        <v>0</v>
      </c>
      <c r="X72" s="159">
        <f t="shared" si="19"/>
        <v>0</v>
      </c>
      <c r="Y72" s="160"/>
      <c r="Z72" s="160">
        <f t="shared" si="20"/>
        <v>0</v>
      </c>
      <c r="AA72" s="165"/>
      <c r="AB72" s="161">
        <f t="shared" si="21"/>
        <v>0</v>
      </c>
      <c r="AC72" s="162"/>
      <c r="AD72" s="162">
        <f t="shared" si="22"/>
        <v>0</v>
      </c>
      <c r="AE72" s="164"/>
      <c r="AF72" s="164">
        <f t="shared" si="23"/>
        <v>0</v>
      </c>
      <c r="AG72" s="165"/>
      <c r="AH72" s="165">
        <f t="shared" si="24"/>
        <v>0</v>
      </c>
      <c r="AI72" s="166">
        <v>0</v>
      </c>
      <c r="AJ72" s="166">
        <f t="shared" si="25"/>
        <v>0</v>
      </c>
      <c r="AK72" s="162"/>
      <c r="AL72" s="162">
        <f t="shared" si="26"/>
        <v>0</v>
      </c>
      <c r="AM72" s="173"/>
      <c r="AN72" s="167">
        <f t="shared" si="27"/>
        <v>0</v>
      </c>
      <c r="AO72" s="163"/>
      <c r="AP72" s="163">
        <f t="shared" si="28"/>
        <v>0</v>
      </c>
      <c r="AQ72" s="168"/>
      <c r="AR72" s="168">
        <f t="shared" si="29"/>
        <v>0</v>
      </c>
      <c r="AS72" s="170"/>
      <c r="AT72" s="170">
        <f t="shared" si="30"/>
        <v>0</v>
      </c>
      <c r="AU72" s="166"/>
      <c r="AV72" s="166">
        <f t="shared" si="31"/>
        <v>0</v>
      </c>
    </row>
    <row r="73" spans="1:48" s="115" customFormat="1" ht="112.5">
      <c r="A73" s="172" t="s">
        <v>7631</v>
      </c>
      <c r="B73" s="209" t="s">
        <v>5848</v>
      </c>
      <c r="C73" s="203" t="s">
        <v>5849</v>
      </c>
      <c r="D73" s="240" t="s">
        <v>4244</v>
      </c>
      <c r="E73" s="590"/>
      <c r="F73" s="203" t="s">
        <v>750</v>
      </c>
      <c r="G73" s="204" t="s">
        <v>1772</v>
      </c>
      <c r="H73" s="204">
        <v>3</v>
      </c>
      <c r="I73" s="203" t="s">
        <v>1771</v>
      </c>
      <c r="J73" s="205" t="s">
        <v>6678</v>
      </c>
      <c r="K73" s="203" t="s">
        <v>5104</v>
      </c>
      <c r="L73" s="205" t="s">
        <v>1773</v>
      </c>
      <c r="M73" s="205" t="s">
        <v>6510</v>
      </c>
      <c r="N73" s="204" t="s">
        <v>213</v>
      </c>
      <c r="O73" s="204" t="s">
        <v>15</v>
      </c>
      <c r="P73" s="206">
        <v>36000</v>
      </c>
      <c r="Q73" s="206">
        <v>15740</v>
      </c>
      <c r="R73" s="207">
        <v>1000</v>
      </c>
      <c r="S73" s="207">
        <f t="shared" si="16"/>
        <v>15740000</v>
      </c>
      <c r="T73" s="589"/>
      <c r="U73" s="157">
        <v>1000</v>
      </c>
      <c r="V73" s="158">
        <f t="shared" si="17"/>
        <v>560</v>
      </c>
      <c r="W73" s="159">
        <f t="shared" si="18"/>
        <v>440</v>
      </c>
      <c r="X73" s="159">
        <f t="shared" si="19"/>
        <v>6925600</v>
      </c>
      <c r="Y73" s="160"/>
      <c r="Z73" s="160">
        <f t="shared" si="20"/>
        <v>0</v>
      </c>
      <c r="AA73" s="165"/>
      <c r="AB73" s="161">
        <f t="shared" si="21"/>
        <v>0</v>
      </c>
      <c r="AC73" s="162"/>
      <c r="AD73" s="162">
        <f t="shared" si="22"/>
        <v>0</v>
      </c>
      <c r="AE73" s="163"/>
      <c r="AF73" s="164">
        <f t="shared" si="23"/>
        <v>0</v>
      </c>
      <c r="AG73" s="161"/>
      <c r="AH73" s="165">
        <f t="shared" si="24"/>
        <v>0</v>
      </c>
      <c r="AI73" s="160">
        <v>0</v>
      </c>
      <c r="AJ73" s="166">
        <f t="shared" si="25"/>
        <v>0</v>
      </c>
      <c r="AK73" s="162"/>
      <c r="AL73" s="162">
        <f t="shared" si="26"/>
        <v>0</v>
      </c>
      <c r="AM73" s="173">
        <v>440</v>
      </c>
      <c r="AN73" s="167">
        <f t="shared" si="27"/>
        <v>6925600</v>
      </c>
      <c r="AO73" s="163"/>
      <c r="AP73" s="163">
        <f t="shared" si="28"/>
        <v>0</v>
      </c>
      <c r="AQ73" s="162"/>
      <c r="AR73" s="168">
        <f t="shared" si="29"/>
        <v>0</v>
      </c>
      <c r="AS73" s="169"/>
      <c r="AT73" s="170">
        <f t="shared" si="30"/>
        <v>0</v>
      </c>
      <c r="AU73" s="160"/>
      <c r="AV73" s="166">
        <f t="shared" si="31"/>
        <v>0</v>
      </c>
    </row>
    <row r="74" spans="1:48" s="178" customFormat="1" ht="112.5">
      <c r="A74" s="172" t="s">
        <v>7808</v>
      </c>
      <c r="B74" s="209" t="s">
        <v>5848</v>
      </c>
      <c r="C74" s="203" t="s">
        <v>5849</v>
      </c>
      <c r="D74" s="240" t="s">
        <v>3887</v>
      </c>
      <c r="E74" s="590" t="s">
        <v>12642</v>
      </c>
      <c r="F74" s="203" t="s">
        <v>3888</v>
      </c>
      <c r="G74" s="204" t="s">
        <v>7809</v>
      </c>
      <c r="H74" s="204">
        <v>3</v>
      </c>
      <c r="I74" s="203" t="s">
        <v>7810</v>
      </c>
      <c r="J74" s="205" t="s">
        <v>7811</v>
      </c>
      <c r="K74" s="203" t="s">
        <v>253</v>
      </c>
      <c r="L74" s="205" t="s">
        <v>1059</v>
      </c>
      <c r="M74" s="205" t="s">
        <v>336</v>
      </c>
      <c r="N74" s="204" t="s">
        <v>213</v>
      </c>
      <c r="O74" s="204" t="s">
        <v>15</v>
      </c>
      <c r="P74" s="206">
        <v>6500</v>
      </c>
      <c r="Q74" s="206">
        <v>6300</v>
      </c>
      <c r="R74" s="207">
        <v>2000</v>
      </c>
      <c r="S74" s="207">
        <f t="shared" si="16"/>
        <v>12600000</v>
      </c>
      <c r="T74" s="589"/>
      <c r="U74" s="157">
        <v>2000</v>
      </c>
      <c r="V74" s="158">
        <f t="shared" si="17"/>
        <v>2000</v>
      </c>
      <c r="W74" s="159">
        <f t="shared" si="18"/>
        <v>0</v>
      </c>
      <c r="X74" s="159">
        <f t="shared" si="19"/>
        <v>0</v>
      </c>
      <c r="Y74" s="160"/>
      <c r="Z74" s="160">
        <f t="shared" si="20"/>
        <v>0</v>
      </c>
      <c r="AA74" s="165"/>
      <c r="AB74" s="161">
        <f t="shared" si="21"/>
        <v>0</v>
      </c>
      <c r="AC74" s="162"/>
      <c r="AD74" s="162">
        <f t="shared" si="22"/>
        <v>0</v>
      </c>
      <c r="AE74" s="164"/>
      <c r="AF74" s="164">
        <f t="shared" si="23"/>
        <v>0</v>
      </c>
      <c r="AG74" s="165"/>
      <c r="AH74" s="165">
        <f t="shared" si="24"/>
        <v>0</v>
      </c>
      <c r="AI74" s="166">
        <v>0</v>
      </c>
      <c r="AJ74" s="166">
        <f t="shared" si="25"/>
        <v>0</v>
      </c>
      <c r="AK74" s="162"/>
      <c r="AL74" s="162">
        <f t="shared" si="26"/>
        <v>0</v>
      </c>
      <c r="AM74" s="173"/>
      <c r="AN74" s="167">
        <f t="shared" si="27"/>
        <v>0</v>
      </c>
      <c r="AO74" s="163"/>
      <c r="AP74" s="163">
        <f t="shared" si="28"/>
        <v>0</v>
      </c>
      <c r="AQ74" s="168"/>
      <c r="AR74" s="168">
        <f t="shared" si="29"/>
        <v>0</v>
      </c>
      <c r="AS74" s="170"/>
      <c r="AT74" s="170">
        <f t="shared" si="30"/>
        <v>0</v>
      </c>
      <c r="AU74" s="166"/>
      <c r="AV74" s="166">
        <f t="shared" si="31"/>
        <v>0</v>
      </c>
    </row>
    <row r="75" spans="1:48" s="178" customFormat="1" ht="112.5">
      <c r="A75" s="148" t="s">
        <v>7854</v>
      </c>
      <c r="B75" s="209" t="s">
        <v>5848</v>
      </c>
      <c r="C75" s="203" t="s">
        <v>5849</v>
      </c>
      <c r="D75" s="240" t="s">
        <v>7855</v>
      </c>
      <c r="E75" s="590" t="s">
        <v>12642</v>
      </c>
      <c r="F75" s="203" t="s">
        <v>870</v>
      </c>
      <c r="G75" s="204" t="s">
        <v>1568</v>
      </c>
      <c r="H75" s="204">
        <v>3</v>
      </c>
      <c r="I75" s="203" t="s">
        <v>7856</v>
      </c>
      <c r="J75" s="205" t="s">
        <v>7857</v>
      </c>
      <c r="K75" s="203" t="s">
        <v>5104</v>
      </c>
      <c r="L75" s="205" t="s">
        <v>7858</v>
      </c>
      <c r="M75" s="205" t="s">
        <v>2168</v>
      </c>
      <c r="N75" s="204" t="s">
        <v>213</v>
      </c>
      <c r="O75" s="204" t="s">
        <v>658</v>
      </c>
      <c r="P75" s="206">
        <v>15000</v>
      </c>
      <c r="Q75" s="206">
        <v>10500</v>
      </c>
      <c r="R75" s="207">
        <v>6000</v>
      </c>
      <c r="S75" s="207">
        <f t="shared" si="16"/>
        <v>63000000</v>
      </c>
      <c r="T75" s="589"/>
      <c r="U75" s="157">
        <v>6000</v>
      </c>
      <c r="V75" s="158">
        <f t="shared" si="17"/>
        <v>5690</v>
      </c>
      <c r="W75" s="159">
        <f t="shared" si="18"/>
        <v>310</v>
      </c>
      <c r="X75" s="159">
        <f t="shared" si="19"/>
        <v>3255000</v>
      </c>
      <c r="Y75" s="160"/>
      <c r="Z75" s="160">
        <f t="shared" si="20"/>
        <v>0</v>
      </c>
      <c r="AA75" s="165"/>
      <c r="AB75" s="161">
        <f t="shared" si="21"/>
        <v>0</v>
      </c>
      <c r="AC75" s="162"/>
      <c r="AD75" s="162">
        <f t="shared" si="22"/>
        <v>0</v>
      </c>
      <c r="AE75" s="164"/>
      <c r="AF75" s="164">
        <f t="shared" si="23"/>
        <v>0</v>
      </c>
      <c r="AG75" s="165">
        <v>110</v>
      </c>
      <c r="AH75" s="165">
        <f t="shared" si="24"/>
        <v>1155000</v>
      </c>
      <c r="AI75" s="166">
        <v>0</v>
      </c>
      <c r="AJ75" s="166">
        <f t="shared" si="25"/>
        <v>0</v>
      </c>
      <c r="AK75" s="162"/>
      <c r="AL75" s="162">
        <f t="shared" si="26"/>
        <v>0</v>
      </c>
      <c r="AM75" s="173"/>
      <c r="AN75" s="167">
        <f t="shared" si="27"/>
        <v>0</v>
      </c>
      <c r="AO75" s="163"/>
      <c r="AP75" s="163">
        <f t="shared" si="28"/>
        <v>0</v>
      </c>
      <c r="AQ75" s="168"/>
      <c r="AR75" s="168">
        <f t="shared" si="29"/>
        <v>0</v>
      </c>
      <c r="AS75" s="170">
        <v>80</v>
      </c>
      <c r="AT75" s="170">
        <f t="shared" si="30"/>
        <v>840000</v>
      </c>
      <c r="AU75" s="166">
        <v>120</v>
      </c>
      <c r="AV75" s="166">
        <f t="shared" si="31"/>
        <v>1260000</v>
      </c>
    </row>
    <row r="76" spans="1:48" s="178" customFormat="1" ht="112.5">
      <c r="A76" s="148" t="s">
        <v>8008</v>
      </c>
      <c r="B76" s="209" t="s">
        <v>5848</v>
      </c>
      <c r="C76" s="203" t="s">
        <v>5849</v>
      </c>
      <c r="D76" s="240" t="s">
        <v>8009</v>
      </c>
      <c r="E76" s="590" t="s">
        <v>12642</v>
      </c>
      <c r="F76" s="203" t="s">
        <v>2482</v>
      </c>
      <c r="G76" s="204" t="s">
        <v>8010</v>
      </c>
      <c r="H76" s="204">
        <v>3</v>
      </c>
      <c r="I76" s="203" t="s">
        <v>2950</v>
      </c>
      <c r="J76" s="205" t="s">
        <v>8011</v>
      </c>
      <c r="K76" s="203" t="s">
        <v>5104</v>
      </c>
      <c r="L76" s="205" t="s">
        <v>2951</v>
      </c>
      <c r="M76" s="205" t="s">
        <v>8012</v>
      </c>
      <c r="N76" s="204" t="s">
        <v>213</v>
      </c>
      <c r="O76" s="204" t="s">
        <v>1258</v>
      </c>
      <c r="P76" s="206">
        <v>5500</v>
      </c>
      <c r="Q76" s="206">
        <v>5500</v>
      </c>
      <c r="R76" s="207">
        <v>50000</v>
      </c>
      <c r="S76" s="207">
        <f t="shared" si="16"/>
        <v>275000000</v>
      </c>
      <c r="T76" s="589" t="s">
        <v>1258</v>
      </c>
      <c r="U76" s="157">
        <v>50000</v>
      </c>
      <c r="V76" s="158">
        <f t="shared" si="17"/>
        <v>50000</v>
      </c>
      <c r="W76" s="159">
        <f t="shared" si="18"/>
        <v>0</v>
      </c>
      <c r="X76" s="159">
        <f t="shared" si="19"/>
        <v>0</v>
      </c>
      <c r="Y76" s="160"/>
      <c r="Z76" s="160">
        <f t="shared" si="20"/>
        <v>0</v>
      </c>
      <c r="AA76" s="165"/>
      <c r="AB76" s="161">
        <f t="shared" si="21"/>
        <v>0</v>
      </c>
      <c r="AC76" s="162"/>
      <c r="AD76" s="162">
        <f t="shared" si="22"/>
        <v>0</v>
      </c>
      <c r="AE76" s="163"/>
      <c r="AF76" s="164">
        <f t="shared" si="23"/>
        <v>0</v>
      </c>
      <c r="AG76" s="161"/>
      <c r="AH76" s="165">
        <f t="shared" si="24"/>
        <v>0</v>
      </c>
      <c r="AI76" s="160">
        <v>0</v>
      </c>
      <c r="AJ76" s="166">
        <f t="shared" si="25"/>
        <v>0</v>
      </c>
      <c r="AK76" s="162"/>
      <c r="AL76" s="162">
        <f t="shared" si="26"/>
        <v>0</v>
      </c>
      <c r="AM76" s="173"/>
      <c r="AN76" s="167">
        <f t="shared" si="27"/>
        <v>0</v>
      </c>
      <c r="AO76" s="163"/>
      <c r="AP76" s="163">
        <f t="shared" si="28"/>
        <v>0</v>
      </c>
      <c r="AQ76" s="162"/>
      <c r="AR76" s="168">
        <f t="shared" si="29"/>
        <v>0</v>
      </c>
      <c r="AS76" s="169"/>
      <c r="AT76" s="170">
        <f t="shared" si="30"/>
        <v>0</v>
      </c>
      <c r="AU76" s="160"/>
      <c r="AV76" s="166">
        <f t="shared" si="31"/>
        <v>0</v>
      </c>
    </row>
    <row r="77" spans="1:48" s="178" customFormat="1" ht="112.5">
      <c r="A77" s="172" t="s">
        <v>8306</v>
      </c>
      <c r="B77" s="209" t="s">
        <v>5848</v>
      </c>
      <c r="C77" s="203" t="s">
        <v>5849</v>
      </c>
      <c r="D77" s="240" t="s">
        <v>4236</v>
      </c>
      <c r="E77" s="590"/>
      <c r="F77" s="203" t="s">
        <v>1800</v>
      </c>
      <c r="G77" s="204" t="s">
        <v>229</v>
      </c>
      <c r="H77" s="204">
        <v>4</v>
      </c>
      <c r="I77" s="203" t="s">
        <v>4237</v>
      </c>
      <c r="J77" s="205" t="s">
        <v>6009</v>
      </c>
      <c r="K77" s="203" t="s">
        <v>253</v>
      </c>
      <c r="L77" s="205" t="s">
        <v>8307</v>
      </c>
      <c r="M77" s="205" t="s">
        <v>6102</v>
      </c>
      <c r="N77" s="204" t="s">
        <v>213</v>
      </c>
      <c r="O77" s="204" t="s">
        <v>11</v>
      </c>
      <c r="P77" s="206">
        <v>5600</v>
      </c>
      <c r="Q77" s="206">
        <v>2500</v>
      </c>
      <c r="R77" s="207">
        <v>60000</v>
      </c>
      <c r="S77" s="207">
        <f t="shared" si="16"/>
        <v>150000000</v>
      </c>
      <c r="T77" s="589"/>
      <c r="U77" s="157">
        <v>60000</v>
      </c>
      <c r="V77" s="158">
        <f t="shared" si="17"/>
        <v>57000</v>
      </c>
      <c r="W77" s="159">
        <f t="shared" si="18"/>
        <v>3000</v>
      </c>
      <c r="X77" s="159">
        <f t="shared" si="19"/>
        <v>7500000</v>
      </c>
      <c r="Y77" s="160"/>
      <c r="Z77" s="160">
        <f t="shared" si="20"/>
        <v>0</v>
      </c>
      <c r="AA77" s="165"/>
      <c r="AB77" s="161">
        <f t="shared" si="21"/>
        <v>0</v>
      </c>
      <c r="AC77" s="162"/>
      <c r="AD77" s="162">
        <f t="shared" si="22"/>
        <v>0</v>
      </c>
      <c r="AE77" s="164"/>
      <c r="AF77" s="164">
        <f t="shared" si="23"/>
        <v>0</v>
      </c>
      <c r="AG77" s="165"/>
      <c r="AH77" s="165">
        <f t="shared" si="24"/>
        <v>0</v>
      </c>
      <c r="AI77" s="166">
        <v>0</v>
      </c>
      <c r="AJ77" s="166">
        <f t="shared" si="25"/>
        <v>0</v>
      </c>
      <c r="AK77" s="162"/>
      <c r="AL77" s="162">
        <f t="shared" si="26"/>
        <v>0</v>
      </c>
      <c r="AM77" s="173">
        <v>3000</v>
      </c>
      <c r="AN77" s="167">
        <f t="shared" si="27"/>
        <v>7500000</v>
      </c>
      <c r="AO77" s="163"/>
      <c r="AP77" s="163">
        <f t="shared" si="28"/>
        <v>0</v>
      </c>
      <c r="AQ77" s="168"/>
      <c r="AR77" s="168">
        <f t="shared" si="29"/>
        <v>0</v>
      </c>
      <c r="AS77" s="170"/>
      <c r="AT77" s="170">
        <f t="shared" si="30"/>
        <v>0</v>
      </c>
      <c r="AU77" s="166"/>
      <c r="AV77" s="166">
        <f t="shared" si="31"/>
        <v>0</v>
      </c>
    </row>
    <row r="78" spans="1:48" s="178" customFormat="1" ht="112.5">
      <c r="A78" s="148" t="s">
        <v>8367</v>
      </c>
      <c r="B78" s="209" t="s">
        <v>5848</v>
      </c>
      <c r="C78" s="203" t="s">
        <v>5849</v>
      </c>
      <c r="D78" s="240" t="s">
        <v>8368</v>
      </c>
      <c r="E78" s="590"/>
      <c r="F78" s="203" t="s">
        <v>2516</v>
      </c>
      <c r="G78" s="204" t="s">
        <v>4447</v>
      </c>
      <c r="H78" s="204">
        <v>5</v>
      </c>
      <c r="I78" s="203" t="s">
        <v>2515</v>
      </c>
      <c r="J78" s="205" t="s">
        <v>7051</v>
      </c>
      <c r="K78" s="203" t="s">
        <v>5104</v>
      </c>
      <c r="L78" s="205" t="s">
        <v>3132</v>
      </c>
      <c r="M78" s="205" t="s">
        <v>6510</v>
      </c>
      <c r="N78" s="204" t="s">
        <v>213</v>
      </c>
      <c r="O78" s="204" t="s">
        <v>15</v>
      </c>
      <c r="P78" s="206">
        <v>21000</v>
      </c>
      <c r="Q78" s="206">
        <v>18900</v>
      </c>
      <c r="R78" s="207">
        <v>1000</v>
      </c>
      <c r="S78" s="207">
        <f t="shared" si="16"/>
        <v>18900000</v>
      </c>
      <c r="T78" s="589"/>
      <c r="U78" s="157">
        <v>1000</v>
      </c>
      <c r="V78" s="158">
        <f t="shared" si="17"/>
        <v>1000</v>
      </c>
      <c r="W78" s="159">
        <f t="shared" si="18"/>
        <v>0</v>
      </c>
      <c r="X78" s="159">
        <f t="shared" si="19"/>
        <v>0</v>
      </c>
      <c r="Y78" s="160"/>
      <c r="Z78" s="160">
        <f t="shared" si="20"/>
        <v>0</v>
      </c>
      <c r="AA78" s="165"/>
      <c r="AB78" s="161">
        <f t="shared" si="21"/>
        <v>0</v>
      </c>
      <c r="AC78" s="162"/>
      <c r="AD78" s="162">
        <f t="shared" si="22"/>
        <v>0</v>
      </c>
      <c r="AE78" s="164"/>
      <c r="AF78" s="164">
        <f t="shared" si="23"/>
        <v>0</v>
      </c>
      <c r="AG78" s="165"/>
      <c r="AH78" s="165">
        <f t="shared" si="24"/>
        <v>0</v>
      </c>
      <c r="AI78" s="166">
        <v>0</v>
      </c>
      <c r="AJ78" s="166">
        <f t="shared" si="25"/>
        <v>0</v>
      </c>
      <c r="AK78" s="162"/>
      <c r="AL78" s="162">
        <f t="shared" si="26"/>
        <v>0</v>
      </c>
      <c r="AM78" s="173"/>
      <c r="AN78" s="167">
        <f t="shared" si="27"/>
        <v>0</v>
      </c>
      <c r="AO78" s="163"/>
      <c r="AP78" s="163">
        <f t="shared" si="28"/>
        <v>0</v>
      </c>
      <c r="AQ78" s="168"/>
      <c r="AR78" s="168">
        <f t="shared" si="29"/>
        <v>0</v>
      </c>
      <c r="AS78" s="170"/>
      <c r="AT78" s="170">
        <f t="shared" si="30"/>
        <v>0</v>
      </c>
      <c r="AU78" s="166"/>
      <c r="AV78" s="166">
        <f t="shared" si="31"/>
        <v>0</v>
      </c>
    </row>
    <row r="79" spans="1:48" s="178" customFormat="1" ht="112.5">
      <c r="A79" s="148" t="s">
        <v>8403</v>
      </c>
      <c r="B79" s="209" t="s">
        <v>5848</v>
      </c>
      <c r="C79" s="203" t="s">
        <v>5849</v>
      </c>
      <c r="D79" s="240" t="s">
        <v>8404</v>
      </c>
      <c r="E79" s="590"/>
      <c r="F79" s="203" t="s">
        <v>1235</v>
      </c>
      <c r="G79" s="204" t="s">
        <v>272</v>
      </c>
      <c r="H79" s="204">
        <v>5</v>
      </c>
      <c r="I79" s="203" t="s">
        <v>7276</v>
      </c>
      <c r="J79" s="205" t="s">
        <v>8405</v>
      </c>
      <c r="K79" s="203" t="s">
        <v>253</v>
      </c>
      <c r="L79" s="205" t="s">
        <v>7278</v>
      </c>
      <c r="M79" s="205" t="s">
        <v>8406</v>
      </c>
      <c r="N79" s="204" t="s">
        <v>213</v>
      </c>
      <c r="O79" s="204" t="s">
        <v>13</v>
      </c>
      <c r="P79" s="206">
        <v>11000</v>
      </c>
      <c r="Q79" s="206">
        <v>6510</v>
      </c>
      <c r="R79" s="207">
        <v>10000</v>
      </c>
      <c r="S79" s="207">
        <f t="shared" si="16"/>
        <v>65100000</v>
      </c>
      <c r="T79" s="589"/>
      <c r="U79" s="157">
        <v>10000</v>
      </c>
      <c r="V79" s="158">
        <f t="shared" si="17"/>
        <v>10000</v>
      </c>
      <c r="W79" s="159">
        <f t="shared" si="18"/>
        <v>0</v>
      </c>
      <c r="X79" s="159">
        <f t="shared" si="19"/>
        <v>0</v>
      </c>
      <c r="Y79" s="160"/>
      <c r="Z79" s="160">
        <f t="shared" si="20"/>
        <v>0</v>
      </c>
      <c r="AA79" s="165"/>
      <c r="AB79" s="161">
        <f t="shared" si="21"/>
        <v>0</v>
      </c>
      <c r="AC79" s="162"/>
      <c r="AD79" s="162">
        <f t="shared" si="22"/>
        <v>0</v>
      </c>
      <c r="AE79" s="164"/>
      <c r="AF79" s="164">
        <f t="shared" si="23"/>
        <v>0</v>
      </c>
      <c r="AG79" s="165"/>
      <c r="AH79" s="165">
        <f t="shared" si="24"/>
        <v>0</v>
      </c>
      <c r="AI79" s="166">
        <v>0</v>
      </c>
      <c r="AJ79" s="166">
        <f t="shared" si="25"/>
        <v>0</v>
      </c>
      <c r="AK79" s="162"/>
      <c r="AL79" s="162">
        <f t="shared" si="26"/>
        <v>0</v>
      </c>
      <c r="AM79" s="173"/>
      <c r="AN79" s="167">
        <f t="shared" si="27"/>
        <v>0</v>
      </c>
      <c r="AO79" s="163"/>
      <c r="AP79" s="163">
        <f t="shared" si="28"/>
        <v>0</v>
      </c>
      <c r="AQ79" s="168"/>
      <c r="AR79" s="168">
        <f t="shared" si="29"/>
        <v>0</v>
      </c>
      <c r="AS79" s="170"/>
      <c r="AT79" s="170">
        <f t="shared" si="30"/>
        <v>0</v>
      </c>
      <c r="AU79" s="166"/>
      <c r="AV79" s="166">
        <f t="shared" si="31"/>
        <v>0</v>
      </c>
    </row>
    <row r="80" spans="1:48" s="178" customFormat="1" ht="31.5">
      <c r="A80" s="148" t="s">
        <v>5346</v>
      </c>
      <c r="B80" s="150" t="s">
        <v>5347</v>
      </c>
      <c r="C80" s="150" t="s">
        <v>5348</v>
      </c>
      <c r="D80" s="634" t="s">
        <v>4793</v>
      </c>
      <c r="E80" s="631" t="s">
        <v>12642</v>
      </c>
      <c r="F80" s="175" t="s">
        <v>411</v>
      </c>
      <c r="G80" s="151" t="s">
        <v>225</v>
      </c>
      <c r="H80" s="174" t="s">
        <v>5325</v>
      </c>
      <c r="I80" s="150" t="s">
        <v>412</v>
      </c>
      <c r="J80" s="153" t="s">
        <v>2251</v>
      </c>
      <c r="K80" s="151" t="s">
        <v>5104</v>
      </c>
      <c r="L80" s="151" t="s">
        <v>413</v>
      </c>
      <c r="M80" s="151" t="s">
        <v>414</v>
      </c>
      <c r="N80" s="152" t="s">
        <v>213</v>
      </c>
      <c r="O80" s="152" t="s">
        <v>10</v>
      </c>
      <c r="P80" s="176">
        <v>856</v>
      </c>
      <c r="Q80" s="177">
        <v>484</v>
      </c>
      <c r="R80" s="176">
        <v>546000</v>
      </c>
      <c r="S80" s="156">
        <f t="shared" si="16"/>
        <v>264264000</v>
      </c>
      <c r="T80" s="589"/>
      <c r="U80" s="157">
        <v>439000</v>
      </c>
      <c r="V80" s="158">
        <f t="shared" si="17"/>
        <v>399000</v>
      </c>
      <c r="W80" s="159">
        <f t="shared" si="18"/>
        <v>40000</v>
      </c>
      <c r="X80" s="159">
        <f t="shared" si="19"/>
        <v>19360000</v>
      </c>
      <c r="Y80" s="160">
        <v>10000</v>
      </c>
      <c r="Z80" s="160">
        <f t="shared" si="20"/>
        <v>4840000</v>
      </c>
      <c r="AA80" s="161"/>
      <c r="AB80" s="161">
        <f t="shared" si="21"/>
        <v>0</v>
      </c>
      <c r="AC80" s="162"/>
      <c r="AD80" s="162">
        <f t="shared" si="22"/>
        <v>0</v>
      </c>
      <c r="AE80" s="164"/>
      <c r="AF80" s="164">
        <f t="shared" si="23"/>
        <v>0</v>
      </c>
      <c r="AG80" s="165"/>
      <c r="AH80" s="165">
        <f t="shared" si="24"/>
        <v>0</v>
      </c>
      <c r="AI80" s="166">
        <v>16000</v>
      </c>
      <c r="AJ80" s="166">
        <f t="shared" si="25"/>
        <v>7744000</v>
      </c>
      <c r="AK80" s="162"/>
      <c r="AL80" s="162">
        <f t="shared" si="26"/>
        <v>0</v>
      </c>
      <c r="AM80" s="167">
        <v>14000</v>
      </c>
      <c r="AN80" s="167">
        <f t="shared" si="27"/>
        <v>6776000</v>
      </c>
      <c r="AO80" s="163"/>
      <c r="AP80" s="163">
        <f t="shared" si="28"/>
        <v>0</v>
      </c>
      <c r="AQ80" s="168"/>
      <c r="AR80" s="168">
        <f t="shared" si="29"/>
        <v>0</v>
      </c>
      <c r="AS80" s="170"/>
      <c r="AT80" s="170">
        <f t="shared" si="30"/>
        <v>0</v>
      </c>
      <c r="AU80" s="166"/>
      <c r="AV80" s="166">
        <f t="shared" si="31"/>
        <v>0</v>
      </c>
    </row>
    <row r="81" spans="1:49" s="115" customFormat="1" ht="31.5">
      <c r="A81" s="172" t="s">
        <v>5349</v>
      </c>
      <c r="B81" s="150" t="s">
        <v>5347</v>
      </c>
      <c r="C81" s="150" t="s">
        <v>5348</v>
      </c>
      <c r="D81" s="634" t="s">
        <v>4792</v>
      </c>
      <c r="E81" s="631" t="s">
        <v>12642</v>
      </c>
      <c r="F81" s="175" t="s">
        <v>411</v>
      </c>
      <c r="G81" s="151" t="s">
        <v>272</v>
      </c>
      <c r="H81" s="174" t="s">
        <v>5325</v>
      </c>
      <c r="I81" s="150" t="s">
        <v>415</v>
      </c>
      <c r="J81" s="153" t="s">
        <v>2251</v>
      </c>
      <c r="K81" s="151" t="s">
        <v>5104</v>
      </c>
      <c r="L81" s="151" t="s">
        <v>416</v>
      </c>
      <c r="M81" s="151" t="s">
        <v>414</v>
      </c>
      <c r="N81" s="152" t="s">
        <v>213</v>
      </c>
      <c r="O81" s="152" t="s">
        <v>10</v>
      </c>
      <c r="P81" s="176">
        <v>490</v>
      </c>
      <c r="Q81" s="177">
        <v>318</v>
      </c>
      <c r="R81" s="176">
        <v>182000</v>
      </c>
      <c r="S81" s="156">
        <f t="shared" si="16"/>
        <v>57876000</v>
      </c>
      <c r="T81" s="589"/>
      <c r="U81" s="157">
        <v>157700</v>
      </c>
      <c r="V81" s="158">
        <f t="shared" si="17"/>
        <v>145600</v>
      </c>
      <c r="W81" s="159">
        <f t="shared" si="18"/>
        <v>12100</v>
      </c>
      <c r="X81" s="159">
        <f t="shared" si="19"/>
        <v>3847800</v>
      </c>
      <c r="Y81" s="160">
        <v>10000</v>
      </c>
      <c r="Z81" s="160">
        <f t="shared" si="20"/>
        <v>3180000</v>
      </c>
      <c r="AA81" s="161"/>
      <c r="AB81" s="161">
        <f t="shared" si="21"/>
        <v>0</v>
      </c>
      <c r="AC81" s="162"/>
      <c r="AD81" s="162">
        <f t="shared" si="22"/>
        <v>0</v>
      </c>
      <c r="AE81" s="164"/>
      <c r="AF81" s="164">
        <f t="shared" si="23"/>
        <v>0</v>
      </c>
      <c r="AG81" s="165"/>
      <c r="AH81" s="165">
        <f t="shared" si="24"/>
        <v>0</v>
      </c>
      <c r="AI81" s="166">
        <v>1000</v>
      </c>
      <c r="AJ81" s="166">
        <f t="shared" si="25"/>
        <v>318000</v>
      </c>
      <c r="AK81" s="162"/>
      <c r="AL81" s="162">
        <f t="shared" si="26"/>
        <v>0</v>
      </c>
      <c r="AM81" s="167">
        <v>1100</v>
      </c>
      <c r="AN81" s="167">
        <f t="shared" si="27"/>
        <v>349800</v>
      </c>
      <c r="AO81" s="163"/>
      <c r="AP81" s="163">
        <f t="shared" si="28"/>
        <v>0</v>
      </c>
      <c r="AQ81" s="168"/>
      <c r="AR81" s="168">
        <f t="shared" si="29"/>
        <v>0</v>
      </c>
      <c r="AS81" s="170"/>
      <c r="AT81" s="170">
        <f t="shared" si="30"/>
        <v>0</v>
      </c>
      <c r="AU81" s="166"/>
      <c r="AV81" s="166">
        <f t="shared" si="31"/>
        <v>0</v>
      </c>
    </row>
    <row r="82" spans="1:49" s="115" customFormat="1" ht="31.5">
      <c r="A82" s="172" t="s">
        <v>5036</v>
      </c>
      <c r="B82" s="150" t="s">
        <v>5347</v>
      </c>
      <c r="C82" s="150" t="s">
        <v>5348</v>
      </c>
      <c r="D82" s="634" t="s">
        <v>5385</v>
      </c>
      <c r="E82" s="631" t="s">
        <v>12642</v>
      </c>
      <c r="F82" s="175" t="s">
        <v>417</v>
      </c>
      <c r="G82" s="151" t="s">
        <v>299</v>
      </c>
      <c r="H82" s="174" t="s">
        <v>5325</v>
      </c>
      <c r="I82" s="150" t="s">
        <v>3564</v>
      </c>
      <c r="J82" s="153" t="s">
        <v>5103</v>
      </c>
      <c r="K82" s="151" t="s">
        <v>5104</v>
      </c>
      <c r="L82" s="151" t="s">
        <v>5386</v>
      </c>
      <c r="M82" s="151" t="s">
        <v>414</v>
      </c>
      <c r="N82" s="152" t="s">
        <v>213</v>
      </c>
      <c r="O82" s="152" t="s">
        <v>10</v>
      </c>
      <c r="P82" s="176">
        <v>350</v>
      </c>
      <c r="Q82" s="177">
        <v>180</v>
      </c>
      <c r="R82" s="176">
        <v>37000</v>
      </c>
      <c r="S82" s="156">
        <f t="shared" si="16"/>
        <v>6660000</v>
      </c>
      <c r="T82" s="589"/>
      <c r="U82" s="157">
        <v>30000</v>
      </c>
      <c r="V82" s="158">
        <f t="shared" si="17"/>
        <v>30000</v>
      </c>
      <c r="W82" s="159">
        <f t="shared" si="18"/>
        <v>0</v>
      </c>
      <c r="X82" s="159">
        <f t="shared" si="19"/>
        <v>0</v>
      </c>
      <c r="Y82" s="160"/>
      <c r="Z82" s="160">
        <f t="shared" si="20"/>
        <v>0</v>
      </c>
      <c r="AA82" s="161"/>
      <c r="AB82" s="161">
        <f t="shared" si="21"/>
        <v>0</v>
      </c>
      <c r="AC82" s="162"/>
      <c r="AD82" s="162">
        <f t="shared" si="22"/>
        <v>0</v>
      </c>
      <c r="AE82" s="164"/>
      <c r="AF82" s="164">
        <f t="shared" si="23"/>
        <v>0</v>
      </c>
      <c r="AG82" s="165"/>
      <c r="AH82" s="165">
        <f t="shared" si="24"/>
        <v>0</v>
      </c>
      <c r="AI82" s="166">
        <v>0</v>
      </c>
      <c r="AJ82" s="166">
        <f t="shared" si="25"/>
        <v>0</v>
      </c>
      <c r="AK82" s="162"/>
      <c r="AL82" s="162">
        <f t="shared" si="26"/>
        <v>0</v>
      </c>
      <c r="AM82" s="167"/>
      <c r="AN82" s="167">
        <f t="shared" si="27"/>
        <v>0</v>
      </c>
      <c r="AO82" s="163"/>
      <c r="AP82" s="163">
        <f t="shared" si="28"/>
        <v>0</v>
      </c>
      <c r="AQ82" s="168"/>
      <c r="AR82" s="168">
        <f t="shared" si="29"/>
        <v>0</v>
      </c>
      <c r="AS82" s="170"/>
      <c r="AT82" s="170">
        <f t="shared" si="30"/>
        <v>0</v>
      </c>
      <c r="AU82" s="166"/>
      <c r="AV82" s="166">
        <f t="shared" si="31"/>
        <v>0</v>
      </c>
    </row>
    <row r="83" spans="1:49" s="115" customFormat="1" ht="31.5">
      <c r="A83" s="148" t="s">
        <v>5388</v>
      </c>
      <c r="B83" s="150" t="s">
        <v>5347</v>
      </c>
      <c r="C83" s="150" t="s">
        <v>5348</v>
      </c>
      <c r="D83" s="634" t="s">
        <v>4830</v>
      </c>
      <c r="E83" s="631" t="s">
        <v>12642</v>
      </c>
      <c r="F83" s="175" t="s">
        <v>274</v>
      </c>
      <c r="G83" s="151" t="s">
        <v>4831</v>
      </c>
      <c r="H83" s="174" t="s">
        <v>5325</v>
      </c>
      <c r="I83" s="150" t="s">
        <v>418</v>
      </c>
      <c r="J83" s="153" t="s">
        <v>5389</v>
      </c>
      <c r="K83" s="151" t="s">
        <v>253</v>
      </c>
      <c r="L83" s="151" t="s">
        <v>419</v>
      </c>
      <c r="M83" s="151" t="s">
        <v>414</v>
      </c>
      <c r="N83" s="152" t="s">
        <v>213</v>
      </c>
      <c r="O83" s="152" t="s">
        <v>5141</v>
      </c>
      <c r="P83" s="176">
        <v>4700</v>
      </c>
      <c r="Q83" s="177">
        <v>2478</v>
      </c>
      <c r="R83" s="176">
        <v>2100</v>
      </c>
      <c r="S83" s="156">
        <f t="shared" si="16"/>
        <v>5203800</v>
      </c>
      <c r="T83" s="589"/>
      <c r="U83" s="157">
        <v>2020</v>
      </c>
      <c r="V83" s="158">
        <f t="shared" si="17"/>
        <v>1820</v>
      </c>
      <c r="W83" s="159">
        <f t="shared" si="18"/>
        <v>200</v>
      </c>
      <c r="X83" s="159">
        <f t="shared" si="19"/>
        <v>495600</v>
      </c>
      <c r="Y83" s="160">
        <v>200</v>
      </c>
      <c r="Z83" s="160">
        <f t="shared" si="20"/>
        <v>495600</v>
      </c>
      <c r="AA83" s="161"/>
      <c r="AB83" s="161">
        <f t="shared" si="21"/>
        <v>0</v>
      </c>
      <c r="AC83" s="162"/>
      <c r="AD83" s="162">
        <f t="shared" si="22"/>
        <v>0</v>
      </c>
      <c r="AE83" s="164"/>
      <c r="AF83" s="164">
        <f t="shared" si="23"/>
        <v>0</v>
      </c>
      <c r="AG83" s="165"/>
      <c r="AH83" s="165">
        <f t="shared" si="24"/>
        <v>0</v>
      </c>
      <c r="AI83" s="166">
        <v>0</v>
      </c>
      <c r="AJ83" s="166">
        <f t="shared" si="25"/>
        <v>0</v>
      </c>
      <c r="AK83" s="162"/>
      <c r="AL83" s="162">
        <f t="shared" si="26"/>
        <v>0</v>
      </c>
      <c r="AM83" s="167"/>
      <c r="AN83" s="167">
        <f t="shared" si="27"/>
        <v>0</v>
      </c>
      <c r="AO83" s="163"/>
      <c r="AP83" s="163">
        <f t="shared" si="28"/>
        <v>0</v>
      </c>
      <c r="AQ83" s="168"/>
      <c r="AR83" s="168">
        <f t="shared" si="29"/>
        <v>0</v>
      </c>
      <c r="AS83" s="170"/>
      <c r="AT83" s="170">
        <f t="shared" si="30"/>
        <v>0</v>
      </c>
      <c r="AU83" s="166"/>
      <c r="AV83" s="166">
        <f t="shared" si="31"/>
        <v>0</v>
      </c>
    </row>
    <row r="84" spans="1:49" s="178" customFormat="1" ht="31.5">
      <c r="A84" s="172" t="s">
        <v>5454</v>
      </c>
      <c r="B84" s="150" t="s">
        <v>5347</v>
      </c>
      <c r="C84" s="150" t="s">
        <v>5348</v>
      </c>
      <c r="D84" s="634" t="s">
        <v>4867</v>
      </c>
      <c r="E84" s="631" t="s">
        <v>12642</v>
      </c>
      <c r="F84" s="175" t="s">
        <v>5237</v>
      </c>
      <c r="G84" s="151" t="s">
        <v>4868</v>
      </c>
      <c r="H84" s="174" t="s">
        <v>5325</v>
      </c>
      <c r="I84" s="150" t="s">
        <v>3621</v>
      </c>
      <c r="J84" s="153" t="s">
        <v>5455</v>
      </c>
      <c r="K84" s="151" t="s">
        <v>5104</v>
      </c>
      <c r="L84" s="151" t="s">
        <v>420</v>
      </c>
      <c r="M84" s="151" t="s">
        <v>414</v>
      </c>
      <c r="N84" s="152" t="s">
        <v>213</v>
      </c>
      <c r="O84" s="152" t="s">
        <v>5141</v>
      </c>
      <c r="P84" s="176">
        <v>1000</v>
      </c>
      <c r="Q84" s="177">
        <v>438</v>
      </c>
      <c r="R84" s="176">
        <v>36400</v>
      </c>
      <c r="S84" s="156">
        <f t="shared" si="16"/>
        <v>15943200</v>
      </c>
      <c r="T84" s="589"/>
      <c r="U84" s="157">
        <v>34400</v>
      </c>
      <c r="V84" s="158">
        <f t="shared" si="17"/>
        <v>29900</v>
      </c>
      <c r="W84" s="159">
        <f t="shared" si="18"/>
        <v>4500</v>
      </c>
      <c r="X84" s="159">
        <f t="shared" si="19"/>
        <v>1971000</v>
      </c>
      <c r="Y84" s="160">
        <v>1000</v>
      </c>
      <c r="Z84" s="160">
        <f t="shared" si="20"/>
        <v>438000</v>
      </c>
      <c r="AA84" s="161"/>
      <c r="AB84" s="161">
        <f t="shared" si="21"/>
        <v>0</v>
      </c>
      <c r="AC84" s="162"/>
      <c r="AD84" s="162">
        <f t="shared" si="22"/>
        <v>0</v>
      </c>
      <c r="AE84" s="164"/>
      <c r="AF84" s="164">
        <f t="shared" si="23"/>
        <v>0</v>
      </c>
      <c r="AG84" s="165"/>
      <c r="AH84" s="165">
        <f t="shared" si="24"/>
        <v>0</v>
      </c>
      <c r="AI84" s="166">
        <v>1000</v>
      </c>
      <c r="AJ84" s="166">
        <f t="shared" si="25"/>
        <v>438000</v>
      </c>
      <c r="AK84" s="162"/>
      <c r="AL84" s="162">
        <f t="shared" si="26"/>
        <v>0</v>
      </c>
      <c r="AM84" s="167">
        <v>500</v>
      </c>
      <c r="AN84" s="167">
        <f t="shared" si="27"/>
        <v>219000</v>
      </c>
      <c r="AO84" s="163"/>
      <c r="AP84" s="163">
        <f t="shared" si="28"/>
        <v>0</v>
      </c>
      <c r="AQ84" s="168"/>
      <c r="AR84" s="168">
        <f t="shared" si="29"/>
        <v>0</v>
      </c>
      <c r="AS84" s="233">
        <v>2000</v>
      </c>
      <c r="AT84" s="170">
        <f t="shared" si="30"/>
        <v>876000</v>
      </c>
      <c r="AU84" s="166"/>
      <c r="AV84" s="166">
        <f t="shared" si="31"/>
        <v>0</v>
      </c>
    </row>
    <row r="85" spans="1:49" s="178" customFormat="1" ht="31.5">
      <c r="A85" s="172" t="s">
        <v>5486</v>
      </c>
      <c r="B85" s="150" t="s">
        <v>5347</v>
      </c>
      <c r="C85" s="150" t="s">
        <v>5348</v>
      </c>
      <c r="D85" s="634" t="s">
        <v>5487</v>
      </c>
      <c r="E85" s="631" t="s">
        <v>12642</v>
      </c>
      <c r="F85" s="175" t="s">
        <v>341</v>
      </c>
      <c r="G85" s="151" t="s">
        <v>422</v>
      </c>
      <c r="H85" s="174" t="s">
        <v>5325</v>
      </c>
      <c r="I85" s="150" t="s">
        <v>421</v>
      </c>
      <c r="J85" s="153" t="s">
        <v>5488</v>
      </c>
      <c r="K85" s="151" t="s">
        <v>5111</v>
      </c>
      <c r="L85" s="151" t="s">
        <v>424</v>
      </c>
      <c r="M85" s="151" t="s">
        <v>414</v>
      </c>
      <c r="N85" s="152" t="s">
        <v>213</v>
      </c>
      <c r="O85" s="152" t="s">
        <v>5141</v>
      </c>
      <c r="P85" s="176">
        <v>2000</v>
      </c>
      <c r="Q85" s="177">
        <v>980</v>
      </c>
      <c r="R85" s="176">
        <v>12000</v>
      </c>
      <c r="S85" s="156">
        <f t="shared" si="16"/>
        <v>11760000</v>
      </c>
      <c r="T85" s="589"/>
      <c r="U85" s="157">
        <v>9550</v>
      </c>
      <c r="V85" s="158">
        <f t="shared" si="17"/>
        <v>9100</v>
      </c>
      <c r="W85" s="159">
        <f t="shared" si="18"/>
        <v>450</v>
      </c>
      <c r="X85" s="159">
        <f t="shared" si="19"/>
        <v>441000</v>
      </c>
      <c r="Y85" s="160">
        <v>450</v>
      </c>
      <c r="Z85" s="160">
        <f t="shared" si="20"/>
        <v>441000</v>
      </c>
      <c r="AA85" s="161"/>
      <c r="AB85" s="161">
        <f t="shared" si="21"/>
        <v>0</v>
      </c>
      <c r="AC85" s="162"/>
      <c r="AD85" s="162">
        <f t="shared" si="22"/>
        <v>0</v>
      </c>
      <c r="AE85" s="164"/>
      <c r="AF85" s="164">
        <f t="shared" si="23"/>
        <v>0</v>
      </c>
      <c r="AG85" s="165"/>
      <c r="AH85" s="165">
        <f t="shared" si="24"/>
        <v>0</v>
      </c>
      <c r="AI85" s="166">
        <v>0</v>
      </c>
      <c r="AJ85" s="166">
        <f t="shared" si="25"/>
        <v>0</v>
      </c>
      <c r="AK85" s="162"/>
      <c r="AL85" s="162">
        <f t="shared" si="26"/>
        <v>0</v>
      </c>
      <c r="AM85" s="167"/>
      <c r="AN85" s="167">
        <f t="shared" si="27"/>
        <v>0</v>
      </c>
      <c r="AO85" s="163"/>
      <c r="AP85" s="163">
        <f t="shared" si="28"/>
        <v>0</v>
      </c>
      <c r="AQ85" s="168"/>
      <c r="AR85" s="168">
        <f t="shared" si="29"/>
        <v>0</v>
      </c>
      <c r="AS85" s="170"/>
      <c r="AT85" s="170">
        <f t="shared" si="30"/>
        <v>0</v>
      </c>
      <c r="AU85" s="166"/>
      <c r="AV85" s="166">
        <f t="shared" si="31"/>
        <v>0</v>
      </c>
    </row>
    <row r="86" spans="1:49" s="178" customFormat="1" ht="31.5">
      <c r="A86" s="172" t="s">
        <v>5564</v>
      </c>
      <c r="B86" s="150" t="s">
        <v>5347</v>
      </c>
      <c r="C86" s="150" t="s">
        <v>5348</v>
      </c>
      <c r="D86" s="634" t="s">
        <v>5565</v>
      </c>
      <c r="E86" s="631" t="s">
        <v>12642</v>
      </c>
      <c r="F86" s="175" t="s">
        <v>274</v>
      </c>
      <c r="G86" s="151" t="s">
        <v>4831</v>
      </c>
      <c r="H86" s="174" t="s">
        <v>5554</v>
      </c>
      <c r="I86" s="150" t="s">
        <v>418</v>
      </c>
      <c r="J86" s="153" t="s">
        <v>5389</v>
      </c>
      <c r="K86" s="151" t="s">
        <v>253</v>
      </c>
      <c r="L86" s="151" t="s">
        <v>419</v>
      </c>
      <c r="M86" s="151" t="s">
        <v>414</v>
      </c>
      <c r="N86" s="152" t="s">
        <v>213</v>
      </c>
      <c r="O86" s="152" t="s">
        <v>5141</v>
      </c>
      <c r="P86" s="176">
        <v>4700</v>
      </c>
      <c r="Q86" s="177">
        <v>2478</v>
      </c>
      <c r="R86" s="176">
        <v>2100</v>
      </c>
      <c r="S86" s="156">
        <f t="shared" si="16"/>
        <v>5203800</v>
      </c>
      <c r="T86" s="589"/>
      <c r="U86" s="157">
        <v>2100</v>
      </c>
      <c r="V86" s="158">
        <f t="shared" si="17"/>
        <v>2100</v>
      </c>
      <c r="W86" s="159">
        <f t="shared" si="18"/>
        <v>0</v>
      </c>
      <c r="X86" s="159">
        <f t="shared" si="19"/>
        <v>0</v>
      </c>
      <c r="Y86" s="160"/>
      <c r="Z86" s="160">
        <f t="shared" si="20"/>
        <v>0</v>
      </c>
      <c r="AA86" s="161"/>
      <c r="AB86" s="161">
        <f t="shared" si="21"/>
        <v>0</v>
      </c>
      <c r="AC86" s="162"/>
      <c r="AD86" s="162">
        <f t="shared" si="22"/>
        <v>0</v>
      </c>
      <c r="AE86" s="164"/>
      <c r="AF86" s="164">
        <f t="shared" si="23"/>
        <v>0</v>
      </c>
      <c r="AG86" s="165"/>
      <c r="AH86" s="165">
        <f t="shared" si="24"/>
        <v>0</v>
      </c>
      <c r="AI86" s="166">
        <v>0</v>
      </c>
      <c r="AJ86" s="166">
        <f t="shared" si="25"/>
        <v>0</v>
      </c>
      <c r="AK86" s="162"/>
      <c r="AL86" s="162">
        <f t="shared" si="26"/>
        <v>0</v>
      </c>
      <c r="AM86" s="167"/>
      <c r="AN86" s="167">
        <f t="shared" si="27"/>
        <v>0</v>
      </c>
      <c r="AO86" s="163"/>
      <c r="AP86" s="163">
        <f t="shared" si="28"/>
        <v>0</v>
      </c>
      <c r="AQ86" s="168"/>
      <c r="AR86" s="168">
        <f t="shared" si="29"/>
        <v>0</v>
      </c>
      <c r="AS86" s="170"/>
      <c r="AT86" s="170">
        <f t="shared" si="30"/>
        <v>0</v>
      </c>
      <c r="AU86" s="166"/>
      <c r="AV86" s="166">
        <f t="shared" si="31"/>
        <v>0</v>
      </c>
    </row>
    <row r="87" spans="1:49" s="178" customFormat="1" ht="60">
      <c r="A87" s="148">
        <v>19</v>
      </c>
      <c r="B87" s="149" t="s">
        <v>8599</v>
      </c>
      <c r="C87" s="149" t="s">
        <v>7563</v>
      </c>
      <c r="D87" s="250" t="s">
        <v>4709</v>
      </c>
      <c r="E87" s="592" t="s">
        <v>12648</v>
      </c>
      <c r="F87" s="242" t="s">
        <v>4711</v>
      </c>
      <c r="G87" s="244" t="s">
        <v>8600</v>
      </c>
      <c r="H87" s="244" t="s">
        <v>211</v>
      </c>
      <c r="I87" s="244" t="s">
        <v>4710</v>
      </c>
      <c r="J87" s="244" t="s">
        <v>8601</v>
      </c>
      <c r="K87" s="244" t="s">
        <v>5104</v>
      </c>
      <c r="L87" s="241" t="s">
        <v>8602</v>
      </c>
      <c r="M87" s="244" t="s">
        <v>8603</v>
      </c>
      <c r="N87" s="241" t="s">
        <v>213</v>
      </c>
      <c r="O87" s="241" t="s">
        <v>658</v>
      </c>
      <c r="P87" s="245">
        <v>62000</v>
      </c>
      <c r="Q87" s="245">
        <v>25850</v>
      </c>
      <c r="R87" s="246">
        <v>2000</v>
      </c>
      <c r="S87" s="245">
        <f t="shared" si="16"/>
        <v>51700000</v>
      </c>
      <c r="T87" s="589"/>
      <c r="U87" s="244"/>
      <c r="V87" s="247">
        <f>R87-W87</f>
        <v>1200</v>
      </c>
      <c r="W87" s="159">
        <f t="shared" si="18"/>
        <v>800</v>
      </c>
      <c r="X87" s="159">
        <f t="shared" si="19"/>
        <v>20680000</v>
      </c>
      <c r="Y87" s="248"/>
      <c r="Z87" s="160">
        <f t="shared" si="20"/>
        <v>0</v>
      </c>
      <c r="AA87" s="248"/>
      <c r="AB87" s="161">
        <f t="shared" si="21"/>
        <v>0</v>
      </c>
      <c r="AC87" s="249"/>
      <c r="AD87" s="249"/>
      <c r="AE87" s="249"/>
      <c r="AF87" s="249"/>
      <c r="AG87" s="249"/>
      <c r="AH87" s="249"/>
      <c r="AI87" s="249"/>
      <c r="AJ87" s="249"/>
      <c r="AK87" s="249">
        <v>300</v>
      </c>
      <c r="AL87" s="162">
        <f t="shared" si="26"/>
        <v>7755000</v>
      </c>
      <c r="AM87" s="249"/>
      <c r="AN87" s="167">
        <f t="shared" si="27"/>
        <v>0</v>
      </c>
      <c r="AO87" s="249"/>
      <c r="AP87" s="163">
        <f t="shared" si="28"/>
        <v>0</v>
      </c>
      <c r="AQ87" s="249"/>
      <c r="AR87" s="168">
        <f t="shared" si="29"/>
        <v>0</v>
      </c>
      <c r="AS87" s="249"/>
      <c r="AT87" s="170">
        <f t="shared" si="30"/>
        <v>0</v>
      </c>
      <c r="AU87" s="249">
        <f>299+201</f>
        <v>500</v>
      </c>
      <c r="AV87" s="166">
        <f t="shared" si="31"/>
        <v>12925000</v>
      </c>
      <c r="AW87" s="131">
        <f>7729150+5195850</f>
        <v>12925000</v>
      </c>
    </row>
    <row r="88" spans="1:49" s="178" customFormat="1" ht="47.25">
      <c r="A88" s="250">
        <v>29</v>
      </c>
      <c r="B88" s="149" t="s">
        <v>8599</v>
      </c>
      <c r="C88" s="149" t="s">
        <v>7563</v>
      </c>
      <c r="D88" s="250" t="s">
        <v>8631</v>
      </c>
      <c r="E88" s="241"/>
      <c r="F88" s="242" t="s">
        <v>8632</v>
      </c>
      <c r="G88" s="244" t="s">
        <v>8633</v>
      </c>
      <c r="H88" s="244" t="s">
        <v>211</v>
      </c>
      <c r="I88" s="244" t="s">
        <v>8634</v>
      </c>
      <c r="J88" s="244" t="s">
        <v>8635</v>
      </c>
      <c r="K88" s="244" t="s">
        <v>5104</v>
      </c>
      <c r="L88" s="241" t="s">
        <v>8636</v>
      </c>
      <c r="M88" s="244" t="s">
        <v>8603</v>
      </c>
      <c r="N88" s="241" t="s">
        <v>213</v>
      </c>
      <c r="O88" s="241" t="s">
        <v>11</v>
      </c>
      <c r="P88" s="245">
        <v>2550</v>
      </c>
      <c r="Q88" s="245">
        <v>1900</v>
      </c>
      <c r="R88" s="246">
        <v>10000</v>
      </c>
      <c r="S88" s="245">
        <f t="shared" si="16"/>
        <v>19000000</v>
      </c>
      <c r="T88" s="589"/>
      <c r="U88" s="244"/>
      <c r="V88" s="247">
        <f>R88-W88</f>
        <v>10000</v>
      </c>
      <c r="W88" s="159">
        <f t="shared" si="18"/>
        <v>0</v>
      </c>
      <c r="X88" s="159">
        <f t="shared" si="19"/>
        <v>0</v>
      </c>
      <c r="Y88" s="248"/>
      <c r="Z88" s="160">
        <f t="shared" si="20"/>
        <v>0</v>
      </c>
      <c r="AA88" s="248"/>
      <c r="AB88" s="161">
        <f t="shared" si="21"/>
        <v>0</v>
      </c>
      <c r="AC88" s="249"/>
      <c r="AD88" s="249"/>
      <c r="AE88" s="249"/>
      <c r="AF88" s="249"/>
      <c r="AG88" s="249"/>
      <c r="AH88" s="249"/>
      <c r="AI88" s="249"/>
      <c r="AJ88" s="249"/>
      <c r="AK88" s="249"/>
      <c r="AL88" s="162">
        <f t="shared" si="26"/>
        <v>0</v>
      </c>
      <c r="AM88" s="249"/>
      <c r="AN88" s="167">
        <f t="shared" si="27"/>
        <v>0</v>
      </c>
      <c r="AO88" s="249"/>
      <c r="AP88" s="163">
        <f t="shared" si="28"/>
        <v>0</v>
      </c>
      <c r="AQ88" s="249"/>
      <c r="AR88" s="168">
        <f t="shared" si="29"/>
        <v>0</v>
      </c>
      <c r="AS88" s="249"/>
      <c r="AT88" s="170">
        <f t="shared" si="30"/>
        <v>0</v>
      </c>
      <c r="AU88" s="249"/>
      <c r="AV88" s="166">
        <f t="shared" si="31"/>
        <v>0</v>
      </c>
    </row>
    <row r="89" spans="1:49" s="178" customFormat="1" ht="113.25">
      <c r="A89" s="148">
        <v>78</v>
      </c>
      <c r="B89" s="149" t="s">
        <v>8599</v>
      </c>
      <c r="C89" s="149" t="s">
        <v>7563</v>
      </c>
      <c r="D89" s="250" t="s">
        <v>8827</v>
      </c>
      <c r="E89" s="241"/>
      <c r="F89" s="242" t="s">
        <v>8828</v>
      </c>
      <c r="G89" s="243" t="s">
        <v>8829</v>
      </c>
      <c r="H89" s="244" t="s">
        <v>211</v>
      </c>
      <c r="I89" s="244" t="s">
        <v>8830</v>
      </c>
      <c r="J89" s="244" t="s">
        <v>8523</v>
      </c>
      <c r="K89" s="244" t="s">
        <v>5104</v>
      </c>
      <c r="L89" s="241" t="s">
        <v>8831</v>
      </c>
      <c r="M89" s="244" t="s">
        <v>8603</v>
      </c>
      <c r="N89" s="241" t="s">
        <v>213</v>
      </c>
      <c r="O89" s="241" t="s">
        <v>11</v>
      </c>
      <c r="P89" s="245">
        <v>4000</v>
      </c>
      <c r="Q89" s="245">
        <v>2990</v>
      </c>
      <c r="R89" s="246">
        <v>10000</v>
      </c>
      <c r="S89" s="245">
        <f t="shared" si="16"/>
        <v>29900000</v>
      </c>
      <c r="T89" s="589"/>
      <c r="U89" s="244"/>
      <c r="V89" s="247">
        <f>R89-W89</f>
        <v>10000</v>
      </c>
      <c r="W89" s="159">
        <f t="shared" si="18"/>
        <v>0</v>
      </c>
      <c r="X89" s="159">
        <f t="shared" si="19"/>
        <v>0</v>
      </c>
      <c r="Y89" s="248"/>
      <c r="Z89" s="160">
        <f t="shared" si="20"/>
        <v>0</v>
      </c>
      <c r="AA89" s="248"/>
      <c r="AB89" s="161">
        <f t="shared" si="21"/>
        <v>0</v>
      </c>
      <c r="AC89" s="249"/>
      <c r="AD89" s="249"/>
      <c r="AE89" s="249"/>
      <c r="AF89" s="249"/>
      <c r="AG89" s="249"/>
      <c r="AH89" s="249"/>
      <c r="AI89" s="249"/>
      <c r="AJ89" s="249"/>
      <c r="AK89" s="249"/>
      <c r="AL89" s="162">
        <f t="shared" si="26"/>
        <v>0</v>
      </c>
      <c r="AM89" s="249"/>
      <c r="AN89" s="167">
        <f t="shared" si="27"/>
        <v>0</v>
      </c>
      <c r="AO89" s="249"/>
      <c r="AP89" s="163">
        <f t="shared" si="28"/>
        <v>0</v>
      </c>
      <c r="AQ89" s="249"/>
      <c r="AR89" s="168">
        <f t="shared" si="29"/>
        <v>0</v>
      </c>
      <c r="AS89" s="249"/>
      <c r="AT89" s="170">
        <f t="shared" si="30"/>
        <v>0</v>
      </c>
      <c r="AU89" s="249"/>
      <c r="AV89" s="166">
        <f t="shared" si="31"/>
        <v>0</v>
      </c>
    </row>
    <row r="90" spans="1:49" s="178" customFormat="1" ht="31.5">
      <c r="A90" s="148" t="s">
        <v>6619</v>
      </c>
      <c r="B90" s="150" t="s">
        <v>6620</v>
      </c>
      <c r="C90" s="150" t="s">
        <v>6621</v>
      </c>
      <c r="D90" s="240" t="s">
        <v>6622</v>
      </c>
      <c r="E90" s="590" t="s">
        <v>12642</v>
      </c>
      <c r="F90" s="203" t="s">
        <v>6623</v>
      </c>
      <c r="G90" s="204" t="s">
        <v>1915</v>
      </c>
      <c r="H90" s="204">
        <v>2</v>
      </c>
      <c r="I90" s="203" t="s">
        <v>6624</v>
      </c>
      <c r="J90" s="205" t="s">
        <v>6625</v>
      </c>
      <c r="K90" s="203" t="s">
        <v>253</v>
      </c>
      <c r="L90" s="205" t="s">
        <v>6626</v>
      </c>
      <c r="M90" s="205" t="s">
        <v>6627</v>
      </c>
      <c r="N90" s="204" t="s">
        <v>6628</v>
      </c>
      <c r="O90" s="204" t="s">
        <v>11</v>
      </c>
      <c r="P90" s="206">
        <v>350</v>
      </c>
      <c r="Q90" s="206">
        <v>290</v>
      </c>
      <c r="R90" s="207">
        <v>20000</v>
      </c>
      <c r="S90" s="207">
        <f t="shared" si="16"/>
        <v>5800000</v>
      </c>
      <c r="T90" s="589"/>
      <c r="U90" s="157">
        <v>20000</v>
      </c>
      <c r="V90" s="158">
        <f>U90-W90</f>
        <v>20000</v>
      </c>
      <c r="W90" s="159">
        <f t="shared" si="18"/>
        <v>0</v>
      </c>
      <c r="X90" s="159">
        <f t="shared" si="19"/>
        <v>0</v>
      </c>
      <c r="Y90" s="160"/>
      <c r="Z90" s="160">
        <f t="shared" si="20"/>
        <v>0</v>
      </c>
      <c r="AA90" s="165"/>
      <c r="AB90" s="161">
        <f t="shared" si="21"/>
        <v>0</v>
      </c>
      <c r="AC90" s="162"/>
      <c r="AD90" s="162">
        <f>AC90*Q90</f>
        <v>0</v>
      </c>
      <c r="AE90" s="163"/>
      <c r="AF90" s="164">
        <f>AE90*Q90</f>
        <v>0</v>
      </c>
      <c r="AG90" s="161"/>
      <c r="AH90" s="165">
        <f>AG90*Q90</f>
        <v>0</v>
      </c>
      <c r="AI90" s="160">
        <v>0</v>
      </c>
      <c r="AJ90" s="166">
        <f>AI90*Q90</f>
        <v>0</v>
      </c>
      <c r="AK90" s="162"/>
      <c r="AL90" s="162">
        <f t="shared" si="26"/>
        <v>0</v>
      </c>
      <c r="AM90" s="173"/>
      <c r="AN90" s="167">
        <f t="shared" si="27"/>
        <v>0</v>
      </c>
      <c r="AO90" s="163"/>
      <c r="AP90" s="163">
        <f t="shared" si="28"/>
        <v>0</v>
      </c>
      <c r="AQ90" s="162"/>
      <c r="AR90" s="168">
        <f t="shared" si="29"/>
        <v>0</v>
      </c>
      <c r="AS90" s="169"/>
      <c r="AT90" s="170">
        <f t="shared" si="30"/>
        <v>0</v>
      </c>
      <c r="AU90" s="160"/>
      <c r="AV90" s="166">
        <f t="shared" si="31"/>
        <v>0</v>
      </c>
    </row>
    <row r="91" spans="1:49" s="115" customFormat="1" ht="78.75">
      <c r="A91" s="148">
        <v>33</v>
      </c>
      <c r="B91" s="150" t="s">
        <v>2397</v>
      </c>
      <c r="C91" s="150" t="s">
        <v>8652</v>
      </c>
      <c r="D91" s="250" t="s">
        <v>8653</v>
      </c>
      <c r="E91" s="241"/>
      <c r="F91" s="242" t="s">
        <v>8654</v>
      </c>
      <c r="G91" s="244" t="s">
        <v>8655</v>
      </c>
      <c r="H91" s="244" t="s">
        <v>211</v>
      </c>
      <c r="I91" s="244" t="s">
        <v>8656</v>
      </c>
      <c r="J91" s="244" t="s">
        <v>8657</v>
      </c>
      <c r="K91" s="244" t="s">
        <v>253</v>
      </c>
      <c r="L91" s="241" t="s">
        <v>8658</v>
      </c>
      <c r="M91" s="244" t="s">
        <v>2397</v>
      </c>
      <c r="N91" s="241" t="s">
        <v>213</v>
      </c>
      <c r="O91" s="241" t="s">
        <v>11</v>
      </c>
      <c r="P91" s="245">
        <v>1176</v>
      </c>
      <c r="Q91" s="245">
        <v>1020</v>
      </c>
      <c r="R91" s="246">
        <v>30000</v>
      </c>
      <c r="S91" s="245">
        <f t="shared" si="16"/>
        <v>30600000</v>
      </c>
      <c r="T91" s="589"/>
      <c r="U91" s="244"/>
      <c r="V91" s="247">
        <f t="shared" ref="V91:V97" si="32">R91-W91</f>
        <v>30000</v>
      </c>
      <c r="W91" s="159">
        <f t="shared" si="18"/>
        <v>0</v>
      </c>
      <c r="X91" s="159">
        <f t="shared" si="19"/>
        <v>0</v>
      </c>
      <c r="Y91" s="248"/>
      <c r="Z91" s="160">
        <f t="shared" si="20"/>
        <v>0</v>
      </c>
      <c r="AA91" s="248"/>
      <c r="AB91" s="161">
        <f t="shared" si="21"/>
        <v>0</v>
      </c>
      <c r="AC91" s="249"/>
      <c r="AD91" s="249"/>
      <c r="AE91" s="249"/>
      <c r="AF91" s="249"/>
      <c r="AG91" s="249"/>
      <c r="AH91" s="249"/>
      <c r="AI91" s="249"/>
      <c r="AJ91" s="249"/>
      <c r="AK91" s="249"/>
      <c r="AL91" s="162">
        <f t="shared" si="26"/>
        <v>0</v>
      </c>
      <c r="AM91" s="249"/>
      <c r="AN91" s="167">
        <f t="shared" si="27"/>
        <v>0</v>
      </c>
      <c r="AO91" s="249"/>
      <c r="AP91" s="163">
        <f t="shared" si="28"/>
        <v>0</v>
      </c>
      <c r="AQ91" s="249"/>
      <c r="AR91" s="168">
        <f t="shared" si="29"/>
        <v>0</v>
      </c>
      <c r="AS91" s="249"/>
      <c r="AT91" s="170">
        <f t="shared" si="30"/>
        <v>0</v>
      </c>
      <c r="AU91" s="249"/>
      <c r="AV91" s="166">
        <f t="shared" si="31"/>
        <v>0</v>
      </c>
    </row>
    <row r="92" spans="1:49" s="115" customFormat="1" ht="63">
      <c r="A92" s="148">
        <v>34</v>
      </c>
      <c r="B92" s="150" t="s">
        <v>2397</v>
      </c>
      <c r="C92" s="150" t="s">
        <v>8652</v>
      </c>
      <c r="D92" s="250" t="s">
        <v>4672</v>
      </c>
      <c r="E92" s="241"/>
      <c r="F92" s="242" t="s">
        <v>108</v>
      </c>
      <c r="G92" s="244" t="s">
        <v>8659</v>
      </c>
      <c r="H92" s="244" t="s">
        <v>211</v>
      </c>
      <c r="I92" s="244" t="s">
        <v>107</v>
      </c>
      <c r="J92" s="244" t="s">
        <v>8660</v>
      </c>
      <c r="K92" s="244" t="s">
        <v>253</v>
      </c>
      <c r="L92" s="241" t="s">
        <v>8661</v>
      </c>
      <c r="M92" s="244" t="s">
        <v>2397</v>
      </c>
      <c r="N92" s="241" t="s">
        <v>213</v>
      </c>
      <c r="O92" s="241" t="s">
        <v>11</v>
      </c>
      <c r="P92" s="245">
        <v>903</v>
      </c>
      <c r="Q92" s="245">
        <v>830</v>
      </c>
      <c r="R92" s="246">
        <v>30000</v>
      </c>
      <c r="S92" s="245">
        <f t="shared" si="16"/>
        <v>24900000</v>
      </c>
      <c r="T92" s="589"/>
      <c r="U92" s="244"/>
      <c r="V92" s="247">
        <f t="shared" si="32"/>
        <v>10000</v>
      </c>
      <c r="W92" s="159">
        <f t="shared" si="18"/>
        <v>20000</v>
      </c>
      <c r="X92" s="159">
        <f t="shared" si="19"/>
        <v>16600000</v>
      </c>
      <c r="Y92" s="248"/>
      <c r="Z92" s="160">
        <f t="shared" si="20"/>
        <v>0</v>
      </c>
      <c r="AA92" s="248"/>
      <c r="AB92" s="161">
        <f t="shared" si="21"/>
        <v>0</v>
      </c>
      <c r="AC92" s="249"/>
      <c r="AD92" s="249"/>
      <c r="AE92" s="249"/>
      <c r="AF92" s="249"/>
      <c r="AG92" s="249"/>
      <c r="AH92" s="249"/>
      <c r="AI92" s="249"/>
      <c r="AJ92" s="249"/>
      <c r="AK92" s="249"/>
      <c r="AL92" s="162">
        <f t="shared" si="26"/>
        <v>0</v>
      </c>
      <c r="AM92" s="249">
        <v>10000</v>
      </c>
      <c r="AN92" s="167">
        <f t="shared" si="27"/>
        <v>8300000</v>
      </c>
      <c r="AO92" s="249"/>
      <c r="AP92" s="163">
        <f t="shared" si="28"/>
        <v>0</v>
      </c>
      <c r="AQ92" s="249"/>
      <c r="AR92" s="168">
        <f t="shared" si="29"/>
        <v>0</v>
      </c>
      <c r="AS92" s="249"/>
      <c r="AT92" s="170">
        <f t="shared" si="30"/>
        <v>0</v>
      </c>
      <c r="AU92" s="249">
        <v>10000</v>
      </c>
      <c r="AV92" s="166">
        <f t="shared" si="31"/>
        <v>8300000</v>
      </c>
    </row>
    <row r="93" spans="1:49" s="115" customFormat="1" ht="47.25">
      <c r="A93" s="250">
        <v>35</v>
      </c>
      <c r="B93" s="150" t="s">
        <v>2397</v>
      </c>
      <c r="C93" s="150" t="s">
        <v>8652</v>
      </c>
      <c r="D93" s="250" t="s">
        <v>8662</v>
      </c>
      <c r="E93" s="241"/>
      <c r="F93" s="242" t="s">
        <v>8663</v>
      </c>
      <c r="G93" s="244" t="s">
        <v>8664</v>
      </c>
      <c r="H93" s="244" t="s">
        <v>211</v>
      </c>
      <c r="I93" s="244" t="s">
        <v>8665</v>
      </c>
      <c r="J93" s="244" t="s">
        <v>8660</v>
      </c>
      <c r="K93" s="244" t="s">
        <v>253</v>
      </c>
      <c r="L93" s="241" t="s">
        <v>8666</v>
      </c>
      <c r="M93" s="244" t="s">
        <v>2397</v>
      </c>
      <c r="N93" s="241" t="s">
        <v>213</v>
      </c>
      <c r="O93" s="241" t="s">
        <v>11</v>
      </c>
      <c r="P93" s="245">
        <v>1386</v>
      </c>
      <c r="Q93" s="245">
        <v>1260</v>
      </c>
      <c r="R93" s="246">
        <v>20000</v>
      </c>
      <c r="S93" s="245">
        <f t="shared" si="16"/>
        <v>25200000</v>
      </c>
      <c r="T93" s="589"/>
      <c r="U93" s="244"/>
      <c r="V93" s="247">
        <f t="shared" si="32"/>
        <v>20000</v>
      </c>
      <c r="W93" s="159">
        <f t="shared" si="18"/>
        <v>0</v>
      </c>
      <c r="X93" s="159">
        <f t="shared" si="19"/>
        <v>0</v>
      </c>
      <c r="Y93" s="248"/>
      <c r="Z93" s="160">
        <f t="shared" si="20"/>
        <v>0</v>
      </c>
      <c r="AA93" s="248"/>
      <c r="AB93" s="161">
        <f t="shared" si="21"/>
        <v>0</v>
      </c>
      <c r="AC93" s="249"/>
      <c r="AD93" s="249"/>
      <c r="AE93" s="249"/>
      <c r="AF93" s="249"/>
      <c r="AG93" s="249"/>
      <c r="AH93" s="249"/>
      <c r="AI93" s="249"/>
      <c r="AJ93" s="249"/>
      <c r="AK93" s="249"/>
      <c r="AL93" s="162">
        <f t="shared" si="26"/>
        <v>0</v>
      </c>
      <c r="AM93" s="249"/>
      <c r="AN93" s="167">
        <f t="shared" si="27"/>
        <v>0</v>
      </c>
      <c r="AO93" s="249"/>
      <c r="AP93" s="163">
        <f t="shared" si="28"/>
        <v>0</v>
      </c>
      <c r="AQ93" s="249"/>
      <c r="AR93" s="168">
        <f t="shared" si="29"/>
        <v>0</v>
      </c>
      <c r="AS93" s="249"/>
      <c r="AT93" s="170">
        <f t="shared" si="30"/>
        <v>0</v>
      </c>
      <c r="AU93" s="249"/>
      <c r="AV93" s="166">
        <f t="shared" si="31"/>
        <v>0</v>
      </c>
    </row>
    <row r="94" spans="1:49" s="115" customFormat="1" ht="31.5">
      <c r="A94" s="148">
        <v>54</v>
      </c>
      <c r="B94" s="150" t="s">
        <v>2397</v>
      </c>
      <c r="C94" s="150" t="s">
        <v>8652</v>
      </c>
      <c r="D94" s="250" t="s">
        <v>8753</v>
      </c>
      <c r="E94" s="241"/>
      <c r="F94" s="242" t="s">
        <v>68</v>
      </c>
      <c r="G94" s="244" t="s">
        <v>8754</v>
      </c>
      <c r="H94" s="244" t="s">
        <v>211</v>
      </c>
      <c r="I94" s="244" t="s">
        <v>8755</v>
      </c>
      <c r="J94" s="244" t="s">
        <v>8660</v>
      </c>
      <c r="K94" s="244" t="s">
        <v>253</v>
      </c>
      <c r="L94" s="241" t="s">
        <v>8756</v>
      </c>
      <c r="M94" s="244" t="s">
        <v>2397</v>
      </c>
      <c r="N94" s="241" t="s">
        <v>213</v>
      </c>
      <c r="O94" s="241" t="s">
        <v>11</v>
      </c>
      <c r="P94" s="245">
        <v>609</v>
      </c>
      <c r="Q94" s="245">
        <v>370</v>
      </c>
      <c r="R94" s="246">
        <v>50000</v>
      </c>
      <c r="S94" s="245">
        <f t="shared" si="16"/>
        <v>18500000</v>
      </c>
      <c r="T94" s="589"/>
      <c r="U94" s="244"/>
      <c r="V94" s="247">
        <f t="shared" si="32"/>
        <v>50000</v>
      </c>
      <c r="W94" s="159">
        <f t="shared" si="18"/>
        <v>0</v>
      </c>
      <c r="X94" s="159">
        <f t="shared" si="19"/>
        <v>0</v>
      </c>
      <c r="Y94" s="248"/>
      <c r="Z94" s="160">
        <f t="shared" si="20"/>
        <v>0</v>
      </c>
      <c r="AA94" s="248"/>
      <c r="AB94" s="161">
        <f t="shared" si="21"/>
        <v>0</v>
      </c>
      <c r="AC94" s="249"/>
      <c r="AD94" s="249"/>
      <c r="AE94" s="249"/>
      <c r="AF94" s="249"/>
      <c r="AG94" s="249"/>
      <c r="AH94" s="249"/>
      <c r="AI94" s="249"/>
      <c r="AJ94" s="249"/>
      <c r="AK94" s="249"/>
      <c r="AL94" s="162">
        <f t="shared" si="26"/>
        <v>0</v>
      </c>
      <c r="AM94" s="249"/>
      <c r="AN94" s="167">
        <f t="shared" si="27"/>
        <v>0</v>
      </c>
      <c r="AO94" s="249"/>
      <c r="AP94" s="163">
        <f t="shared" si="28"/>
        <v>0</v>
      </c>
      <c r="AQ94" s="249"/>
      <c r="AR94" s="168">
        <f t="shared" si="29"/>
        <v>0</v>
      </c>
      <c r="AS94" s="249"/>
      <c r="AT94" s="170">
        <f t="shared" si="30"/>
        <v>0</v>
      </c>
      <c r="AU94" s="249"/>
      <c r="AV94" s="166">
        <f t="shared" si="31"/>
        <v>0</v>
      </c>
    </row>
    <row r="95" spans="1:49" s="115" customFormat="1" ht="63">
      <c r="A95" s="250">
        <v>56</v>
      </c>
      <c r="B95" s="150" t="s">
        <v>2397</v>
      </c>
      <c r="C95" s="150" t="s">
        <v>8652</v>
      </c>
      <c r="D95" s="250" t="s">
        <v>4723</v>
      </c>
      <c r="E95" s="241"/>
      <c r="F95" s="242" t="s">
        <v>162</v>
      </c>
      <c r="G95" s="244" t="s">
        <v>3297</v>
      </c>
      <c r="H95" s="244" t="s">
        <v>211</v>
      </c>
      <c r="I95" s="244" t="s">
        <v>161</v>
      </c>
      <c r="J95" s="244" t="s">
        <v>8660</v>
      </c>
      <c r="K95" s="244" t="s">
        <v>253</v>
      </c>
      <c r="L95" s="241" t="s">
        <v>8763</v>
      </c>
      <c r="M95" s="244" t="s">
        <v>2397</v>
      </c>
      <c r="N95" s="241" t="s">
        <v>213</v>
      </c>
      <c r="O95" s="241" t="s">
        <v>11</v>
      </c>
      <c r="P95" s="245">
        <v>1680</v>
      </c>
      <c r="Q95" s="245">
        <v>1680</v>
      </c>
      <c r="R95" s="246">
        <v>30000</v>
      </c>
      <c r="S95" s="245">
        <f t="shared" si="16"/>
        <v>50400000</v>
      </c>
      <c r="T95" s="589"/>
      <c r="U95" s="244"/>
      <c r="V95" s="247">
        <f t="shared" si="32"/>
        <v>25000</v>
      </c>
      <c r="W95" s="159">
        <f t="shared" si="18"/>
        <v>5000</v>
      </c>
      <c r="X95" s="159">
        <f t="shared" si="19"/>
        <v>8400000</v>
      </c>
      <c r="Y95" s="248"/>
      <c r="Z95" s="160">
        <f t="shared" si="20"/>
        <v>0</v>
      </c>
      <c r="AA95" s="248"/>
      <c r="AB95" s="161">
        <f t="shared" si="21"/>
        <v>0</v>
      </c>
      <c r="AC95" s="249"/>
      <c r="AD95" s="249"/>
      <c r="AE95" s="249"/>
      <c r="AF95" s="249"/>
      <c r="AG95" s="249"/>
      <c r="AH95" s="249"/>
      <c r="AI95" s="249"/>
      <c r="AJ95" s="249"/>
      <c r="AK95" s="251">
        <v>5000</v>
      </c>
      <c r="AL95" s="162">
        <f t="shared" si="26"/>
        <v>8400000</v>
      </c>
      <c r="AM95" s="249"/>
      <c r="AN95" s="167">
        <f t="shared" si="27"/>
        <v>0</v>
      </c>
      <c r="AO95" s="249"/>
      <c r="AP95" s="163">
        <f t="shared" si="28"/>
        <v>0</v>
      </c>
      <c r="AQ95" s="249"/>
      <c r="AR95" s="168">
        <f t="shared" si="29"/>
        <v>0</v>
      </c>
      <c r="AS95" s="249"/>
      <c r="AT95" s="170">
        <f t="shared" si="30"/>
        <v>0</v>
      </c>
      <c r="AU95" s="249"/>
      <c r="AV95" s="166">
        <f t="shared" si="31"/>
        <v>0</v>
      </c>
    </row>
    <row r="96" spans="1:49" s="115" customFormat="1" ht="31.5">
      <c r="A96" s="148">
        <v>61</v>
      </c>
      <c r="B96" s="150" t="s">
        <v>2397</v>
      </c>
      <c r="C96" s="150" t="s">
        <v>8652</v>
      </c>
      <c r="D96" s="250" t="s">
        <v>8779</v>
      </c>
      <c r="E96" s="241"/>
      <c r="F96" s="242" t="s">
        <v>3090</v>
      </c>
      <c r="G96" s="244" t="s">
        <v>8780</v>
      </c>
      <c r="H96" s="244" t="s">
        <v>211</v>
      </c>
      <c r="I96" s="244" t="s">
        <v>3090</v>
      </c>
      <c r="J96" s="244" t="s">
        <v>8660</v>
      </c>
      <c r="K96" s="244" t="s">
        <v>253</v>
      </c>
      <c r="L96" s="241" t="s">
        <v>8781</v>
      </c>
      <c r="M96" s="244" t="s">
        <v>2397</v>
      </c>
      <c r="N96" s="241" t="s">
        <v>213</v>
      </c>
      <c r="O96" s="241" t="s">
        <v>11</v>
      </c>
      <c r="P96" s="245">
        <v>609</v>
      </c>
      <c r="Q96" s="245">
        <v>410</v>
      </c>
      <c r="R96" s="246">
        <v>80000</v>
      </c>
      <c r="S96" s="245">
        <f t="shared" si="16"/>
        <v>32800000</v>
      </c>
      <c r="T96" s="589"/>
      <c r="U96" s="244"/>
      <c r="V96" s="247">
        <f t="shared" si="32"/>
        <v>80000</v>
      </c>
      <c r="W96" s="159">
        <f t="shared" si="18"/>
        <v>0</v>
      </c>
      <c r="X96" s="159">
        <f t="shared" si="19"/>
        <v>0</v>
      </c>
      <c r="Y96" s="248"/>
      <c r="Z96" s="160">
        <f t="shared" si="20"/>
        <v>0</v>
      </c>
      <c r="AA96" s="248"/>
      <c r="AB96" s="161">
        <f t="shared" si="21"/>
        <v>0</v>
      </c>
      <c r="AC96" s="249"/>
      <c r="AD96" s="249"/>
      <c r="AE96" s="249"/>
      <c r="AF96" s="249"/>
      <c r="AG96" s="249"/>
      <c r="AH96" s="249"/>
      <c r="AI96" s="249"/>
      <c r="AJ96" s="252"/>
      <c r="AK96" s="249"/>
      <c r="AL96" s="162">
        <f t="shared" si="26"/>
        <v>0</v>
      </c>
      <c r="AM96" s="249"/>
      <c r="AN96" s="167">
        <f t="shared" si="27"/>
        <v>0</v>
      </c>
      <c r="AO96" s="249"/>
      <c r="AP96" s="163">
        <f t="shared" si="28"/>
        <v>0</v>
      </c>
      <c r="AQ96" s="249"/>
      <c r="AR96" s="168">
        <f t="shared" si="29"/>
        <v>0</v>
      </c>
      <c r="AS96" s="249"/>
      <c r="AT96" s="170">
        <f t="shared" si="30"/>
        <v>0</v>
      </c>
      <c r="AU96" s="249"/>
      <c r="AV96" s="166">
        <f t="shared" si="31"/>
        <v>0</v>
      </c>
    </row>
    <row r="97" spans="1:48" s="178" customFormat="1" ht="78.75">
      <c r="A97" s="148">
        <v>69</v>
      </c>
      <c r="B97" s="150" t="s">
        <v>2397</v>
      </c>
      <c r="C97" s="150" t="s">
        <v>8652</v>
      </c>
      <c r="D97" s="250" t="s">
        <v>4761</v>
      </c>
      <c r="E97" s="241"/>
      <c r="F97" s="242" t="s">
        <v>8802</v>
      </c>
      <c r="G97" s="253" t="s">
        <v>8803</v>
      </c>
      <c r="H97" s="244" t="s">
        <v>211</v>
      </c>
      <c r="I97" s="244" t="s">
        <v>199</v>
      </c>
      <c r="J97" s="244" t="s">
        <v>8657</v>
      </c>
      <c r="K97" s="244" t="s">
        <v>253</v>
      </c>
      <c r="L97" s="241" t="s">
        <v>8804</v>
      </c>
      <c r="M97" s="244" t="s">
        <v>2397</v>
      </c>
      <c r="N97" s="241" t="s">
        <v>213</v>
      </c>
      <c r="O97" s="241" t="s">
        <v>11</v>
      </c>
      <c r="P97" s="245">
        <v>830</v>
      </c>
      <c r="Q97" s="245">
        <v>720</v>
      </c>
      <c r="R97" s="246">
        <v>100000</v>
      </c>
      <c r="S97" s="245">
        <f t="shared" si="16"/>
        <v>72000000</v>
      </c>
      <c r="T97" s="589"/>
      <c r="U97" s="244"/>
      <c r="V97" s="247">
        <f t="shared" si="32"/>
        <v>88000</v>
      </c>
      <c r="W97" s="159">
        <f t="shared" si="18"/>
        <v>12000</v>
      </c>
      <c r="X97" s="159">
        <f t="shared" si="19"/>
        <v>8640000</v>
      </c>
      <c r="Y97" s="248"/>
      <c r="Z97" s="160">
        <f t="shared" si="20"/>
        <v>0</v>
      </c>
      <c r="AA97" s="248"/>
      <c r="AB97" s="161">
        <f t="shared" si="21"/>
        <v>0</v>
      </c>
      <c r="AC97" s="249"/>
      <c r="AD97" s="249"/>
      <c r="AE97" s="249"/>
      <c r="AF97" s="249"/>
      <c r="AG97" s="249"/>
      <c r="AH97" s="249"/>
      <c r="AI97" s="249"/>
      <c r="AJ97" s="249"/>
      <c r="AK97" s="251">
        <v>12000</v>
      </c>
      <c r="AL97" s="162">
        <f t="shared" si="26"/>
        <v>8640000</v>
      </c>
      <c r="AM97" s="249"/>
      <c r="AN97" s="167">
        <f t="shared" si="27"/>
        <v>0</v>
      </c>
      <c r="AO97" s="249"/>
      <c r="AP97" s="163">
        <f t="shared" si="28"/>
        <v>0</v>
      </c>
      <c r="AQ97" s="249"/>
      <c r="AR97" s="168">
        <f t="shared" si="29"/>
        <v>0</v>
      </c>
      <c r="AS97" s="249"/>
      <c r="AT97" s="170">
        <f t="shared" si="30"/>
        <v>0</v>
      </c>
      <c r="AU97" s="249"/>
      <c r="AV97" s="166">
        <f t="shared" si="31"/>
        <v>0</v>
      </c>
    </row>
    <row r="98" spans="1:48" s="178" customFormat="1" ht="31.5">
      <c r="A98" s="148" t="s">
        <v>6818</v>
      </c>
      <c r="B98" s="149" t="s">
        <v>6819</v>
      </c>
      <c r="C98" s="149" t="s">
        <v>6820</v>
      </c>
      <c r="D98" s="240" t="s">
        <v>4183</v>
      </c>
      <c r="E98" s="590"/>
      <c r="F98" s="203" t="s">
        <v>1522</v>
      </c>
      <c r="G98" s="204" t="s">
        <v>225</v>
      </c>
      <c r="H98" s="204">
        <v>2</v>
      </c>
      <c r="I98" s="203" t="s">
        <v>4184</v>
      </c>
      <c r="J98" s="205" t="s">
        <v>6821</v>
      </c>
      <c r="K98" s="203" t="s">
        <v>5104</v>
      </c>
      <c r="L98" s="205" t="s">
        <v>6822</v>
      </c>
      <c r="M98" s="205" t="s">
        <v>1859</v>
      </c>
      <c r="N98" s="204" t="s">
        <v>6618</v>
      </c>
      <c r="O98" s="204" t="s">
        <v>11</v>
      </c>
      <c r="P98" s="206">
        <v>1995</v>
      </c>
      <c r="Q98" s="206">
        <v>1890</v>
      </c>
      <c r="R98" s="207">
        <v>120000</v>
      </c>
      <c r="S98" s="207">
        <f t="shared" si="16"/>
        <v>226800000</v>
      </c>
      <c r="T98" s="589"/>
      <c r="U98" s="157">
        <v>120000</v>
      </c>
      <c r="V98" s="158">
        <f t="shared" ref="V98:V106" si="33">U98-W98</f>
        <v>70000</v>
      </c>
      <c r="W98" s="159">
        <f t="shared" si="18"/>
        <v>50000</v>
      </c>
      <c r="X98" s="159">
        <f t="shared" si="19"/>
        <v>94500000</v>
      </c>
      <c r="Y98" s="160"/>
      <c r="Z98" s="160">
        <f t="shared" si="20"/>
        <v>0</v>
      </c>
      <c r="AA98" s="165"/>
      <c r="AB98" s="161">
        <f t="shared" si="21"/>
        <v>0</v>
      </c>
      <c r="AC98" s="162"/>
      <c r="AD98" s="162">
        <f t="shared" ref="AD98:AD106" si="34">AC98*Q98</f>
        <v>0</v>
      </c>
      <c r="AE98" s="164"/>
      <c r="AF98" s="164">
        <f t="shared" ref="AF98:AF106" si="35">AE98*Q98</f>
        <v>0</v>
      </c>
      <c r="AG98" s="165"/>
      <c r="AH98" s="165">
        <f t="shared" ref="AH98:AH106" si="36">AG98*Q98</f>
        <v>0</v>
      </c>
      <c r="AI98" s="166">
        <v>0</v>
      </c>
      <c r="AJ98" s="166">
        <f t="shared" ref="AJ98:AJ106" si="37">AI98*Q98</f>
        <v>0</v>
      </c>
      <c r="AK98" s="162"/>
      <c r="AL98" s="162">
        <f t="shared" si="26"/>
        <v>0</v>
      </c>
      <c r="AM98" s="173">
        <v>20000</v>
      </c>
      <c r="AN98" s="167">
        <f t="shared" si="27"/>
        <v>37800000</v>
      </c>
      <c r="AO98" s="163"/>
      <c r="AP98" s="163">
        <f t="shared" si="28"/>
        <v>0</v>
      </c>
      <c r="AQ98" s="168"/>
      <c r="AR98" s="168">
        <f t="shared" si="29"/>
        <v>0</v>
      </c>
      <c r="AS98" s="170">
        <v>30000</v>
      </c>
      <c r="AT98" s="170">
        <f t="shared" si="30"/>
        <v>56700000</v>
      </c>
      <c r="AU98" s="166"/>
      <c r="AV98" s="166">
        <f t="shared" si="31"/>
        <v>0</v>
      </c>
    </row>
    <row r="99" spans="1:48" s="178" customFormat="1" ht="31.5">
      <c r="A99" s="148" t="s">
        <v>6826</v>
      </c>
      <c r="B99" s="149" t="s">
        <v>6819</v>
      </c>
      <c r="C99" s="149" t="s">
        <v>6820</v>
      </c>
      <c r="D99" s="240" t="s">
        <v>3756</v>
      </c>
      <c r="E99" s="590" t="s">
        <v>12643</v>
      </c>
      <c r="F99" s="203" t="s">
        <v>1780</v>
      </c>
      <c r="G99" s="204" t="s">
        <v>229</v>
      </c>
      <c r="H99" s="204">
        <v>2</v>
      </c>
      <c r="I99" s="203" t="s">
        <v>3757</v>
      </c>
      <c r="J99" s="205" t="s">
        <v>6821</v>
      </c>
      <c r="K99" s="203" t="s">
        <v>5108</v>
      </c>
      <c r="L99" s="205" t="s">
        <v>6827</v>
      </c>
      <c r="M99" s="205" t="s">
        <v>1859</v>
      </c>
      <c r="N99" s="204" t="s">
        <v>6618</v>
      </c>
      <c r="O99" s="204" t="s">
        <v>11</v>
      </c>
      <c r="P99" s="206">
        <v>903</v>
      </c>
      <c r="Q99" s="206">
        <v>840</v>
      </c>
      <c r="R99" s="207">
        <v>150000</v>
      </c>
      <c r="S99" s="207">
        <f t="shared" si="16"/>
        <v>126000000</v>
      </c>
      <c r="T99" s="589"/>
      <c r="U99" s="157">
        <v>150000</v>
      </c>
      <c r="V99" s="158">
        <f t="shared" si="33"/>
        <v>104000</v>
      </c>
      <c r="W99" s="159">
        <f t="shared" si="18"/>
        <v>46000</v>
      </c>
      <c r="X99" s="159">
        <f t="shared" si="19"/>
        <v>38640000</v>
      </c>
      <c r="Y99" s="160"/>
      <c r="Z99" s="160">
        <f t="shared" si="20"/>
        <v>0</v>
      </c>
      <c r="AA99" s="165">
        <v>23000</v>
      </c>
      <c r="AB99" s="161">
        <f t="shared" si="21"/>
        <v>19320000</v>
      </c>
      <c r="AC99" s="162"/>
      <c r="AD99" s="162">
        <f t="shared" si="34"/>
        <v>0</v>
      </c>
      <c r="AE99" s="164"/>
      <c r="AF99" s="164">
        <f t="shared" si="35"/>
        <v>0</v>
      </c>
      <c r="AG99" s="165">
        <v>17000</v>
      </c>
      <c r="AH99" s="165">
        <f t="shared" si="36"/>
        <v>14280000</v>
      </c>
      <c r="AI99" s="166">
        <v>0</v>
      </c>
      <c r="AJ99" s="166">
        <f t="shared" si="37"/>
        <v>0</v>
      </c>
      <c r="AK99" s="162"/>
      <c r="AL99" s="162">
        <f t="shared" si="26"/>
        <v>0</v>
      </c>
      <c r="AM99" s="173">
        <v>1500</v>
      </c>
      <c r="AN99" s="167">
        <f t="shared" si="27"/>
        <v>1260000</v>
      </c>
      <c r="AO99" s="163"/>
      <c r="AP99" s="163">
        <f t="shared" si="28"/>
        <v>0</v>
      </c>
      <c r="AQ99" s="168"/>
      <c r="AR99" s="168">
        <f t="shared" si="29"/>
        <v>0</v>
      </c>
      <c r="AS99" s="170">
        <v>4500</v>
      </c>
      <c r="AT99" s="170">
        <f t="shared" si="30"/>
        <v>3780000</v>
      </c>
      <c r="AU99" s="166"/>
      <c r="AV99" s="166">
        <f t="shared" si="31"/>
        <v>0</v>
      </c>
    </row>
    <row r="100" spans="1:48" s="178" customFormat="1" ht="31.5">
      <c r="A100" s="172" t="s">
        <v>7991</v>
      </c>
      <c r="B100" s="149" t="s">
        <v>6819</v>
      </c>
      <c r="C100" s="149" t="s">
        <v>6820</v>
      </c>
      <c r="D100" s="240" t="s">
        <v>3789</v>
      </c>
      <c r="E100" s="590" t="s">
        <v>12642</v>
      </c>
      <c r="F100" s="203" t="s">
        <v>3790</v>
      </c>
      <c r="G100" s="204" t="s">
        <v>272</v>
      </c>
      <c r="H100" s="204">
        <v>3</v>
      </c>
      <c r="I100" s="203" t="s">
        <v>1847</v>
      </c>
      <c r="J100" s="205" t="s">
        <v>7992</v>
      </c>
      <c r="K100" s="203" t="s">
        <v>253</v>
      </c>
      <c r="L100" s="205" t="s">
        <v>7993</v>
      </c>
      <c r="M100" s="205" t="s">
        <v>7994</v>
      </c>
      <c r="N100" s="204" t="s">
        <v>213</v>
      </c>
      <c r="O100" s="204" t="s">
        <v>11</v>
      </c>
      <c r="P100" s="206">
        <v>2700</v>
      </c>
      <c r="Q100" s="206">
        <v>2550</v>
      </c>
      <c r="R100" s="207">
        <v>10000</v>
      </c>
      <c r="S100" s="207">
        <f t="shared" si="16"/>
        <v>25500000</v>
      </c>
      <c r="T100" s="589"/>
      <c r="U100" s="157">
        <v>10000</v>
      </c>
      <c r="V100" s="158">
        <f t="shared" si="33"/>
        <v>8200</v>
      </c>
      <c r="W100" s="159">
        <f t="shared" si="18"/>
        <v>1800</v>
      </c>
      <c r="X100" s="159">
        <f t="shared" si="19"/>
        <v>4590000</v>
      </c>
      <c r="Y100" s="160"/>
      <c r="Z100" s="160">
        <f t="shared" si="20"/>
        <v>0</v>
      </c>
      <c r="AA100" s="165">
        <v>900</v>
      </c>
      <c r="AB100" s="161">
        <f t="shared" si="21"/>
        <v>2295000</v>
      </c>
      <c r="AC100" s="162"/>
      <c r="AD100" s="162">
        <f t="shared" si="34"/>
        <v>0</v>
      </c>
      <c r="AE100" s="163"/>
      <c r="AF100" s="164">
        <f t="shared" si="35"/>
        <v>0</v>
      </c>
      <c r="AG100" s="161">
        <v>600</v>
      </c>
      <c r="AH100" s="165">
        <f t="shared" si="36"/>
        <v>1530000</v>
      </c>
      <c r="AI100" s="160">
        <v>0</v>
      </c>
      <c r="AJ100" s="166">
        <f t="shared" si="37"/>
        <v>0</v>
      </c>
      <c r="AK100" s="162"/>
      <c r="AL100" s="162">
        <f t="shared" si="26"/>
        <v>0</v>
      </c>
      <c r="AM100" s="173"/>
      <c r="AN100" s="167">
        <f t="shared" si="27"/>
        <v>0</v>
      </c>
      <c r="AO100" s="163"/>
      <c r="AP100" s="163">
        <f t="shared" si="28"/>
        <v>0</v>
      </c>
      <c r="AQ100" s="162"/>
      <c r="AR100" s="168">
        <f t="shared" si="29"/>
        <v>0</v>
      </c>
      <c r="AS100" s="169">
        <v>300</v>
      </c>
      <c r="AT100" s="170">
        <f t="shared" si="30"/>
        <v>765000</v>
      </c>
      <c r="AU100" s="160"/>
      <c r="AV100" s="166">
        <f t="shared" si="31"/>
        <v>0</v>
      </c>
    </row>
    <row r="101" spans="1:48" s="178" customFormat="1" ht="31.5">
      <c r="A101" s="172" t="s">
        <v>8480</v>
      </c>
      <c r="B101" s="149" t="s">
        <v>6819</v>
      </c>
      <c r="C101" s="149" t="s">
        <v>6820</v>
      </c>
      <c r="D101" s="240" t="s">
        <v>3754</v>
      </c>
      <c r="E101" s="590" t="s">
        <v>12643</v>
      </c>
      <c r="F101" s="203" t="s">
        <v>1780</v>
      </c>
      <c r="G101" s="204" t="s">
        <v>1340</v>
      </c>
      <c r="H101" s="204">
        <v>5</v>
      </c>
      <c r="I101" s="203" t="s">
        <v>1856</v>
      </c>
      <c r="J101" s="205" t="s">
        <v>8481</v>
      </c>
      <c r="K101" s="203" t="s">
        <v>253</v>
      </c>
      <c r="L101" s="205" t="s">
        <v>1858</v>
      </c>
      <c r="M101" s="205" t="s">
        <v>1859</v>
      </c>
      <c r="N101" s="204" t="s">
        <v>6618</v>
      </c>
      <c r="O101" s="204" t="s">
        <v>11</v>
      </c>
      <c r="P101" s="206">
        <v>1365</v>
      </c>
      <c r="Q101" s="206">
        <v>1365</v>
      </c>
      <c r="R101" s="207">
        <v>150000</v>
      </c>
      <c r="S101" s="207">
        <f t="shared" si="16"/>
        <v>204750000</v>
      </c>
      <c r="T101" s="589"/>
      <c r="U101" s="157">
        <v>150000</v>
      </c>
      <c r="V101" s="158">
        <f t="shared" si="33"/>
        <v>106500</v>
      </c>
      <c r="W101" s="159">
        <f t="shared" si="18"/>
        <v>43500</v>
      </c>
      <c r="X101" s="159">
        <f t="shared" si="19"/>
        <v>59377500</v>
      </c>
      <c r="Y101" s="160"/>
      <c r="Z101" s="160">
        <f t="shared" si="20"/>
        <v>0</v>
      </c>
      <c r="AA101" s="165">
        <v>14000</v>
      </c>
      <c r="AB101" s="161">
        <f t="shared" si="21"/>
        <v>19110000</v>
      </c>
      <c r="AC101" s="162"/>
      <c r="AD101" s="162">
        <f t="shared" si="34"/>
        <v>0</v>
      </c>
      <c r="AE101" s="164"/>
      <c r="AF101" s="164">
        <f t="shared" si="35"/>
        <v>0</v>
      </c>
      <c r="AG101" s="165">
        <v>27500</v>
      </c>
      <c r="AH101" s="165">
        <f t="shared" si="36"/>
        <v>37537500</v>
      </c>
      <c r="AI101" s="166">
        <v>0</v>
      </c>
      <c r="AJ101" s="166">
        <f t="shared" si="37"/>
        <v>0</v>
      </c>
      <c r="AK101" s="162"/>
      <c r="AL101" s="162">
        <f t="shared" si="26"/>
        <v>0</v>
      </c>
      <c r="AM101" s="173"/>
      <c r="AN101" s="167">
        <f t="shared" si="27"/>
        <v>0</v>
      </c>
      <c r="AO101" s="163"/>
      <c r="AP101" s="163">
        <f t="shared" si="28"/>
        <v>0</v>
      </c>
      <c r="AQ101" s="168"/>
      <c r="AR101" s="168">
        <f t="shared" si="29"/>
        <v>0</v>
      </c>
      <c r="AS101" s="170">
        <v>2000</v>
      </c>
      <c r="AT101" s="170">
        <f t="shared" si="30"/>
        <v>2730000</v>
      </c>
      <c r="AU101" s="166"/>
      <c r="AV101" s="166">
        <f t="shared" si="31"/>
        <v>0</v>
      </c>
    </row>
    <row r="102" spans="1:48" s="178" customFormat="1" ht="31.5">
      <c r="A102" s="221" t="s">
        <v>6852</v>
      </c>
      <c r="B102" s="211" t="s">
        <v>6853</v>
      </c>
      <c r="C102" s="149" t="s">
        <v>6854</v>
      </c>
      <c r="D102" s="606" t="s">
        <v>4303</v>
      </c>
      <c r="E102" s="590" t="s">
        <v>12642</v>
      </c>
      <c r="F102" s="213" t="s">
        <v>4171</v>
      </c>
      <c r="G102" s="214" t="s">
        <v>291</v>
      </c>
      <c r="H102" s="204">
        <v>2</v>
      </c>
      <c r="I102" s="213" t="s">
        <v>6855</v>
      </c>
      <c r="J102" s="205" t="s">
        <v>6856</v>
      </c>
      <c r="K102" s="203" t="s">
        <v>253</v>
      </c>
      <c r="L102" s="205" t="s">
        <v>6857</v>
      </c>
      <c r="M102" s="205" t="s">
        <v>6858</v>
      </c>
      <c r="N102" s="214" t="s">
        <v>6859</v>
      </c>
      <c r="O102" s="214" t="s">
        <v>11</v>
      </c>
      <c r="P102" s="206">
        <v>1395</v>
      </c>
      <c r="Q102" s="215">
        <v>819</v>
      </c>
      <c r="R102" s="216">
        <v>40000</v>
      </c>
      <c r="S102" s="216">
        <f t="shared" si="16"/>
        <v>32760000</v>
      </c>
      <c r="T102" s="589"/>
      <c r="U102" s="217">
        <v>40000</v>
      </c>
      <c r="V102" s="218">
        <f t="shared" si="33"/>
        <v>40000</v>
      </c>
      <c r="W102" s="159">
        <f t="shared" si="18"/>
        <v>0</v>
      </c>
      <c r="X102" s="159">
        <f t="shared" si="19"/>
        <v>0</v>
      </c>
      <c r="Y102" s="219"/>
      <c r="Z102" s="160">
        <f t="shared" si="20"/>
        <v>0</v>
      </c>
      <c r="AA102" s="216"/>
      <c r="AB102" s="161">
        <f t="shared" si="21"/>
        <v>0</v>
      </c>
      <c r="AC102" s="219"/>
      <c r="AD102" s="219">
        <f t="shared" si="34"/>
        <v>0</v>
      </c>
      <c r="AE102" s="216"/>
      <c r="AF102" s="216">
        <f t="shared" si="35"/>
        <v>0</v>
      </c>
      <c r="AG102" s="216"/>
      <c r="AH102" s="216">
        <f t="shared" si="36"/>
        <v>0</v>
      </c>
      <c r="AI102" s="216">
        <v>0</v>
      </c>
      <c r="AJ102" s="216">
        <f t="shared" si="37"/>
        <v>0</v>
      </c>
      <c r="AK102" s="219"/>
      <c r="AL102" s="219">
        <f t="shared" si="26"/>
        <v>0</v>
      </c>
      <c r="AM102" s="216"/>
      <c r="AN102" s="167">
        <f t="shared" si="27"/>
        <v>0</v>
      </c>
      <c r="AO102" s="219"/>
      <c r="AP102" s="163">
        <f t="shared" si="28"/>
        <v>0</v>
      </c>
      <c r="AQ102" s="216"/>
      <c r="AR102" s="168">
        <f t="shared" si="29"/>
        <v>0</v>
      </c>
      <c r="AS102" s="216"/>
      <c r="AT102" s="170">
        <f t="shared" si="30"/>
        <v>0</v>
      </c>
      <c r="AU102" s="216"/>
      <c r="AV102" s="166">
        <f t="shared" si="31"/>
        <v>0</v>
      </c>
    </row>
    <row r="103" spans="1:48" s="178" customFormat="1" ht="31.5">
      <c r="A103" s="148" t="s">
        <v>5981</v>
      </c>
      <c r="B103" s="149" t="s">
        <v>5982</v>
      </c>
      <c r="C103" s="149" t="s">
        <v>5983</v>
      </c>
      <c r="D103" s="240" t="s">
        <v>5984</v>
      </c>
      <c r="E103" s="590" t="s">
        <v>12642</v>
      </c>
      <c r="F103" s="203" t="s">
        <v>5985</v>
      </c>
      <c r="G103" s="204" t="s">
        <v>5986</v>
      </c>
      <c r="H103" s="204">
        <v>1</v>
      </c>
      <c r="I103" s="203" t="s">
        <v>5987</v>
      </c>
      <c r="J103" s="205" t="s">
        <v>5988</v>
      </c>
      <c r="K103" s="203" t="s">
        <v>5989</v>
      </c>
      <c r="L103" s="205" t="s">
        <v>5990</v>
      </c>
      <c r="M103" s="205" t="s">
        <v>5991</v>
      </c>
      <c r="N103" s="204" t="s">
        <v>5116</v>
      </c>
      <c r="O103" s="204" t="s">
        <v>11</v>
      </c>
      <c r="P103" s="206">
        <v>9500</v>
      </c>
      <c r="Q103" s="206">
        <v>9500</v>
      </c>
      <c r="R103" s="207">
        <v>2000</v>
      </c>
      <c r="S103" s="207">
        <f t="shared" si="16"/>
        <v>19000000</v>
      </c>
      <c r="T103" s="589"/>
      <c r="U103" s="157">
        <v>2000</v>
      </c>
      <c r="V103" s="158">
        <f t="shared" si="33"/>
        <v>2000</v>
      </c>
      <c r="W103" s="159">
        <f t="shared" si="18"/>
        <v>0</v>
      </c>
      <c r="X103" s="159">
        <f t="shared" si="19"/>
        <v>0</v>
      </c>
      <c r="Y103" s="160"/>
      <c r="Z103" s="160">
        <f t="shared" si="20"/>
        <v>0</v>
      </c>
      <c r="AA103" s="165"/>
      <c r="AB103" s="161">
        <f t="shared" si="21"/>
        <v>0</v>
      </c>
      <c r="AC103" s="162"/>
      <c r="AD103" s="162">
        <f t="shared" si="34"/>
        <v>0</v>
      </c>
      <c r="AE103" s="164"/>
      <c r="AF103" s="164">
        <f t="shared" si="35"/>
        <v>0</v>
      </c>
      <c r="AG103" s="165"/>
      <c r="AH103" s="165">
        <f t="shared" si="36"/>
        <v>0</v>
      </c>
      <c r="AI103" s="166">
        <v>0</v>
      </c>
      <c r="AJ103" s="166">
        <f t="shared" si="37"/>
        <v>0</v>
      </c>
      <c r="AK103" s="162"/>
      <c r="AL103" s="162">
        <f t="shared" si="26"/>
        <v>0</v>
      </c>
      <c r="AM103" s="173"/>
      <c r="AN103" s="167">
        <f t="shared" si="27"/>
        <v>0</v>
      </c>
      <c r="AO103" s="163"/>
      <c r="AP103" s="163">
        <f t="shared" si="28"/>
        <v>0</v>
      </c>
      <c r="AQ103" s="168"/>
      <c r="AR103" s="168">
        <f t="shared" si="29"/>
        <v>0</v>
      </c>
      <c r="AS103" s="170"/>
      <c r="AT103" s="170">
        <f t="shared" si="30"/>
        <v>0</v>
      </c>
      <c r="AU103" s="166"/>
      <c r="AV103" s="166">
        <f t="shared" si="31"/>
        <v>0</v>
      </c>
    </row>
    <row r="104" spans="1:48" s="178" customFormat="1" ht="31.5">
      <c r="A104" s="148" t="s">
        <v>6165</v>
      </c>
      <c r="B104" s="149" t="s">
        <v>5982</v>
      </c>
      <c r="C104" s="149" t="s">
        <v>5983</v>
      </c>
      <c r="D104" s="240" t="s">
        <v>6166</v>
      </c>
      <c r="E104" s="590"/>
      <c r="F104" s="203" t="s">
        <v>365</v>
      </c>
      <c r="G104" s="204" t="s">
        <v>238</v>
      </c>
      <c r="H104" s="204">
        <v>1</v>
      </c>
      <c r="I104" s="203" t="s">
        <v>6167</v>
      </c>
      <c r="J104" s="205" t="s">
        <v>6168</v>
      </c>
      <c r="K104" s="203" t="s">
        <v>5104</v>
      </c>
      <c r="L104" s="205" t="s">
        <v>6169</v>
      </c>
      <c r="M104" s="205" t="s">
        <v>6170</v>
      </c>
      <c r="N104" s="204" t="s">
        <v>6012</v>
      </c>
      <c r="O104" s="204" t="s">
        <v>11</v>
      </c>
      <c r="P104" s="206">
        <v>3200</v>
      </c>
      <c r="Q104" s="232">
        <v>1590</v>
      </c>
      <c r="R104" s="207">
        <v>20000</v>
      </c>
      <c r="S104" s="207">
        <f t="shared" si="16"/>
        <v>31800000</v>
      </c>
      <c r="T104" s="589"/>
      <c r="U104" s="157">
        <v>20000</v>
      </c>
      <c r="V104" s="158">
        <f t="shared" si="33"/>
        <v>4010</v>
      </c>
      <c r="W104" s="159">
        <f t="shared" si="18"/>
        <v>15990</v>
      </c>
      <c r="X104" s="159">
        <f t="shared" si="19"/>
        <v>25424100</v>
      </c>
      <c r="Y104" s="160"/>
      <c r="Z104" s="160">
        <f t="shared" si="20"/>
        <v>0</v>
      </c>
      <c r="AA104" s="165"/>
      <c r="AB104" s="161">
        <f t="shared" si="21"/>
        <v>0</v>
      </c>
      <c r="AC104" s="162"/>
      <c r="AD104" s="162">
        <f t="shared" si="34"/>
        <v>0</v>
      </c>
      <c r="AE104" s="163"/>
      <c r="AF104" s="164">
        <f t="shared" si="35"/>
        <v>0</v>
      </c>
      <c r="AG104" s="161"/>
      <c r="AH104" s="165">
        <f t="shared" si="36"/>
        <v>0</v>
      </c>
      <c r="AI104" s="160">
        <v>0</v>
      </c>
      <c r="AJ104" s="166">
        <f t="shared" si="37"/>
        <v>0</v>
      </c>
      <c r="AK104" s="162"/>
      <c r="AL104" s="162">
        <f t="shared" si="26"/>
        <v>0</v>
      </c>
      <c r="AM104" s="173"/>
      <c r="AN104" s="167">
        <f t="shared" si="27"/>
        <v>0</v>
      </c>
      <c r="AO104" s="163"/>
      <c r="AP104" s="163">
        <f t="shared" si="28"/>
        <v>0</v>
      </c>
      <c r="AQ104" s="162">
        <v>6000</v>
      </c>
      <c r="AR104" s="168">
        <f t="shared" si="29"/>
        <v>9540000</v>
      </c>
      <c r="AS104" s="169">
        <v>9990</v>
      </c>
      <c r="AT104" s="170">
        <f t="shared" si="30"/>
        <v>15884100</v>
      </c>
      <c r="AU104" s="160"/>
      <c r="AV104" s="166">
        <f t="shared" si="31"/>
        <v>0</v>
      </c>
    </row>
    <row r="105" spans="1:48" s="178" customFormat="1" ht="31.5">
      <c r="A105" s="148" t="s">
        <v>6739</v>
      </c>
      <c r="B105" s="149" t="s">
        <v>5982</v>
      </c>
      <c r="C105" s="149" t="s">
        <v>5983</v>
      </c>
      <c r="D105" s="240" t="s">
        <v>6740</v>
      </c>
      <c r="E105" s="590" t="s">
        <v>12642</v>
      </c>
      <c r="F105" s="203" t="s">
        <v>788</v>
      </c>
      <c r="G105" s="204" t="s">
        <v>390</v>
      </c>
      <c r="H105" s="204">
        <v>2</v>
      </c>
      <c r="I105" s="203" t="s">
        <v>6741</v>
      </c>
      <c r="J105" s="205" t="s">
        <v>6742</v>
      </c>
      <c r="K105" s="203" t="s">
        <v>253</v>
      </c>
      <c r="L105" s="205" t="s">
        <v>6743</v>
      </c>
      <c r="M105" s="205" t="s">
        <v>6744</v>
      </c>
      <c r="N105" s="204" t="s">
        <v>6745</v>
      </c>
      <c r="O105" s="204" t="s">
        <v>11</v>
      </c>
      <c r="P105" s="206">
        <v>2100</v>
      </c>
      <c r="Q105" s="206">
        <v>830</v>
      </c>
      <c r="R105" s="207">
        <v>50000</v>
      </c>
      <c r="S105" s="207">
        <f t="shared" si="16"/>
        <v>41500000</v>
      </c>
      <c r="T105" s="589"/>
      <c r="U105" s="157">
        <v>50000</v>
      </c>
      <c r="V105" s="158">
        <f t="shared" si="33"/>
        <v>50000</v>
      </c>
      <c r="W105" s="159">
        <f t="shared" si="18"/>
        <v>0</v>
      </c>
      <c r="X105" s="159">
        <f t="shared" si="19"/>
        <v>0</v>
      </c>
      <c r="Y105" s="160"/>
      <c r="Z105" s="160">
        <f t="shared" si="20"/>
        <v>0</v>
      </c>
      <c r="AA105" s="165"/>
      <c r="AB105" s="161">
        <f t="shared" si="21"/>
        <v>0</v>
      </c>
      <c r="AC105" s="162"/>
      <c r="AD105" s="162">
        <f t="shared" si="34"/>
        <v>0</v>
      </c>
      <c r="AE105" s="164"/>
      <c r="AF105" s="164">
        <f t="shared" si="35"/>
        <v>0</v>
      </c>
      <c r="AG105" s="165"/>
      <c r="AH105" s="165">
        <f t="shared" si="36"/>
        <v>0</v>
      </c>
      <c r="AI105" s="166">
        <v>0</v>
      </c>
      <c r="AJ105" s="166">
        <f t="shared" si="37"/>
        <v>0</v>
      </c>
      <c r="AK105" s="162"/>
      <c r="AL105" s="162">
        <f t="shared" si="26"/>
        <v>0</v>
      </c>
      <c r="AM105" s="173"/>
      <c r="AN105" s="167">
        <f t="shared" si="27"/>
        <v>0</v>
      </c>
      <c r="AO105" s="163"/>
      <c r="AP105" s="163">
        <f t="shared" si="28"/>
        <v>0</v>
      </c>
      <c r="AQ105" s="168"/>
      <c r="AR105" s="168">
        <f t="shared" si="29"/>
        <v>0</v>
      </c>
      <c r="AS105" s="170"/>
      <c r="AT105" s="170">
        <f t="shared" si="30"/>
        <v>0</v>
      </c>
      <c r="AU105" s="166"/>
      <c r="AV105" s="166">
        <f t="shared" si="31"/>
        <v>0</v>
      </c>
    </row>
    <row r="106" spans="1:48" s="178" customFormat="1">
      <c r="A106" s="172" t="s">
        <v>7553</v>
      </c>
      <c r="B106" s="149" t="s">
        <v>5982</v>
      </c>
      <c r="C106" s="149" t="s">
        <v>5983</v>
      </c>
      <c r="D106" s="240" t="s">
        <v>3735</v>
      </c>
      <c r="E106" s="590" t="s">
        <v>12642</v>
      </c>
      <c r="F106" s="203" t="s">
        <v>1727</v>
      </c>
      <c r="G106" s="204" t="s">
        <v>238</v>
      </c>
      <c r="H106" s="204">
        <v>3</v>
      </c>
      <c r="I106" s="203" t="s">
        <v>3736</v>
      </c>
      <c r="J106" s="205" t="s">
        <v>7554</v>
      </c>
      <c r="K106" s="203" t="s">
        <v>5104</v>
      </c>
      <c r="L106" s="205" t="s">
        <v>1729</v>
      </c>
      <c r="M106" s="205" t="s">
        <v>7555</v>
      </c>
      <c r="N106" s="204" t="s">
        <v>213</v>
      </c>
      <c r="O106" s="204" t="s">
        <v>11</v>
      </c>
      <c r="P106" s="206">
        <v>1300</v>
      </c>
      <c r="Q106" s="206">
        <v>1250</v>
      </c>
      <c r="R106" s="207">
        <v>20000</v>
      </c>
      <c r="S106" s="207">
        <f t="shared" si="16"/>
        <v>25000000</v>
      </c>
      <c r="T106" s="589"/>
      <c r="U106" s="157">
        <v>20000</v>
      </c>
      <c r="V106" s="158">
        <f t="shared" si="33"/>
        <v>19040</v>
      </c>
      <c r="W106" s="159">
        <f t="shared" si="18"/>
        <v>960</v>
      </c>
      <c r="X106" s="159">
        <f t="shared" si="19"/>
        <v>1200000</v>
      </c>
      <c r="Y106" s="160"/>
      <c r="Z106" s="160">
        <f t="shared" si="20"/>
        <v>0</v>
      </c>
      <c r="AA106" s="165">
        <v>960</v>
      </c>
      <c r="AB106" s="161">
        <f t="shared" si="21"/>
        <v>1200000</v>
      </c>
      <c r="AC106" s="162"/>
      <c r="AD106" s="162">
        <f t="shared" si="34"/>
        <v>0</v>
      </c>
      <c r="AE106" s="164"/>
      <c r="AF106" s="164">
        <f t="shared" si="35"/>
        <v>0</v>
      </c>
      <c r="AG106" s="165"/>
      <c r="AH106" s="165">
        <f t="shared" si="36"/>
        <v>0</v>
      </c>
      <c r="AI106" s="166">
        <v>0</v>
      </c>
      <c r="AJ106" s="166">
        <f t="shared" si="37"/>
        <v>0</v>
      </c>
      <c r="AK106" s="162"/>
      <c r="AL106" s="162">
        <f t="shared" si="26"/>
        <v>0</v>
      </c>
      <c r="AM106" s="173"/>
      <c r="AN106" s="167">
        <f t="shared" si="27"/>
        <v>0</v>
      </c>
      <c r="AO106" s="163"/>
      <c r="AP106" s="163">
        <f t="shared" si="28"/>
        <v>0</v>
      </c>
      <c r="AQ106" s="168"/>
      <c r="AR106" s="168">
        <f t="shared" si="29"/>
        <v>0</v>
      </c>
      <c r="AS106" s="170"/>
      <c r="AT106" s="170">
        <f t="shared" si="30"/>
        <v>0</v>
      </c>
      <c r="AU106" s="166"/>
      <c r="AV106" s="166">
        <f t="shared" si="31"/>
        <v>0</v>
      </c>
    </row>
    <row r="107" spans="1:48" s="178" customFormat="1" ht="45">
      <c r="A107" s="148">
        <v>87</v>
      </c>
      <c r="B107" s="244" t="s">
        <v>2190</v>
      </c>
      <c r="C107" s="244" t="s">
        <v>8872</v>
      </c>
      <c r="D107" s="250" t="s">
        <v>4715</v>
      </c>
      <c r="E107" s="592" t="s">
        <v>12647</v>
      </c>
      <c r="F107" s="242" t="s">
        <v>155</v>
      </c>
      <c r="G107" s="244" t="s">
        <v>8873</v>
      </c>
      <c r="H107" s="244" t="s">
        <v>210</v>
      </c>
      <c r="I107" s="244" t="s">
        <v>8874</v>
      </c>
      <c r="J107" s="244" t="s">
        <v>8875</v>
      </c>
      <c r="K107" s="244" t="s">
        <v>253</v>
      </c>
      <c r="L107" s="241" t="s">
        <v>2199</v>
      </c>
      <c r="M107" s="244" t="s">
        <v>8876</v>
      </c>
      <c r="N107" s="241" t="s">
        <v>8877</v>
      </c>
      <c r="O107" s="241" t="s">
        <v>4717</v>
      </c>
      <c r="P107" s="245">
        <v>8000</v>
      </c>
      <c r="Q107" s="245">
        <v>6000</v>
      </c>
      <c r="R107" s="246">
        <v>20000</v>
      </c>
      <c r="S107" s="245">
        <f t="shared" si="16"/>
        <v>120000000</v>
      </c>
      <c r="T107" s="589"/>
      <c r="U107" s="244"/>
      <c r="V107" s="247">
        <f>R107-W107</f>
        <v>14303</v>
      </c>
      <c r="W107" s="159">
        <f t="shared" si="18"/>
        <v>5697</v>
      </c>
      <c r="X107" s="159">
        <f t="shared" si="19"/>
        <v>34182000</v>
      </c>
      <c r="Y107" s="248"/>
      <c r="Z107" s="160">
        <f t="shared" si="20"/>
        <v>0</v>
      </c>
      <c r="AA107" s="248"/>
      <c r="AB107" s="161">
        <f t="shared" si="21"/>
        <v>0</v>
      </c>
      <c r="AC107" s="249"/>
      <c r="AD107" s="249"/>
      <c r="AE107" s="249"/>
      <c r="AF107" s="249"/>
      <c r="AG107" s="249"/>
      <c r="AH107" s="249"/>
      <c r="AI107" s="249"/>
      <c r="AJ107" s="249"/>
      <c r="AK107" s="249"/>
      <c r="AL107" s="162">
        <f t="shared" si="26"/>
        <v>0</v>
      </c>
      <c r="AM107" s="249">
        <v>2997</v>
      </c>
      <c r="AN107" s="167">
        <f t="shared" si="27"/>
        <v>17982000</v>
      </c>
      <c r="AO107" s="249"/>
      <c r="AP107" s="163">
        <f t="shared" si="28"/>
        <v>0</v>
      </c>
      <c r="AQ107" s="249">
        <v>2700</v>
      </c>
      <c r="AR107" s="168">
        <f t="shared" si="29"/>
        <v>16200000</v>
      </c>
      <c r="AS107" s="249"/>
      <c r="AT107" s="170">
        <f t="shared" si="30"/>
        <v>0</v>
      </c>
      <c r="AU107" s="249"/>
      <c r="AV107" s="166">
        <f t="shared" si="31"/>
        <v>0</v>
      </c>
    </row>
    <row r="108" spans="1:48" s="178" customFormat="1" ht="75">
      <c r="A108" s="148">
        <v>88</v>
      </c>
      <c r="B108" s="244" t="s">
        <v>2190</v>
      </c>
      <c r="C108" s="244" t="s">
        <v>8872</v>
      </c>
      <c r="D108" s="250" t="s">
        <v>4674</v>
      </c>
      <c r="E108" s="592" t="s">
        <v>12646</v>
      </c>
      <c r="F108" s="242" t="s">
        <v>111</v>
      </c>
      <c r="G108" s="244" t="s">
        <v>8878</v>
      </c>
      <c r="H108" s="244" t="s">
        <v>210</v>
      </c>
      <c r="I108" s="244" t="s">
        <v>8879</v>
      </c>
      <c r="J108" s="244" t="s">
        <v>8880</v>
      </c>
      <c r="K108" s="244" t="s">
        <v>5104</v>
      </c>
      <c r="L108" s="241" t="s">
        <v>2193</v>
      </c>
      <c r="M108" s="244" t="s">
        <v>8881</v>
      </c>
      <c r="N108" s="241" t="s">
        <v>8877</v>
      </c>
      <c r="O108" s="241" t="s">
        <v>13</v>
      </c>
      <c r="P108" s="245">
        <v>13200</v>
      </c>
      <c r="Q108" s="245">
        <v>12000</v>
      </c>
      <c r="R108" s="246">
        <v>20000</v>
      </c>
      <c r="S108" s="245">
        <f t="shared" si="16"/>
        <v>240000000</v>
      </c>
      <c r="T108" s="589"/>
      <c r="U108" s="244"/>
      <c r="V108" s="247">
        <f>R108-W108</f>
        <v>16000</v>
      </c>
      <c r="W108" s="159">
        <f t="shared" si="18"/>
        <v>4000</v>
      </c>
      <c r="X108" s="159">
        <f t="shared" si="19"/>
        <v>48000000</v>
      </c>
      <c r="Y108" s="248"/>
      <c r="Z108" s="160">
        <f t="shared" si="20"/>
        <v>0</v>
      </c>
      <c r="AA108" s="248"/>
      <c r="AB108" s="161">
        <f t="shared" si="21"/>
        <v>0</v>
      </c>
      <c r="AC108" s="249"/>
      <c r="AD108" s="249"/>
      <c r="AE108" s="249"/>
      <c r="AF108" s="249"/>
      <c r="AG108" s="249"/>
      <c r="AH108" s="249"/>
      <c r="AI108" s="249"/>
      <c r="AJ108" s="249"/>
      <c r="AK108" s="249">
        <v>2000</v>
      </c>
      <c r="AL108" s="162">
        <f t="shared" si="26"/>
        <v>24000000</v>
      </c>
      <c r="AM108" s="249"/>
      <c r="AN108" s="167">
        <f t="shared" si="27"/>
        <v>0</v>
      </c>
      <c r="AO108" s="249"/>
      <c r="AP108" s="163">
        <f t="shared" si="28"/>
        <v>0</v>
      </c>
      <c r="AQ108" s="249">
        <v>2000</v>
      </c>
      <c r="AR108" s="168">
        <f t="shared" si="29"/>
        <v>24000000</v>
      </c>
      <c r="AS108" s="249"/>
      <c r="AT108" s="170">
        <f t="shared" si="30"/>
        <v>0</v>
      </c>
      <c r="AU108" s="249"/>
      <c r="AV108" s="166">
        <f t="shared" si="31"/>
        <v>0</v>
      </c>
    </row>
    <row r="109" spans="1:48" s="178" customFormat="1" ht="31.5">
      <c r="A109" s="148" t="s">
        <v>6638</v>
      </c>
      <c r="B109" s="149" t="s">
        <v>6639</v>
      </c>
      <c r="C109" s="149" t="s">
        <v>6640</v>
      </c>
      <c r="D109" s="240" t="s">
        <v>6641</v>
      </c>
      <c r="E109" s="590"/>
      <c r="F109" s="203" t="s">
        <v>6642</v>
      </c>
      <c r="G109" s="204" t="s">
        <v>291</v>
      </c>
      <c r="H109" s="204">
        <v>2</v>
      </c>
      <c r="I109" s="203" t="s">
        <v>6643</v>
      </c>
      <c r="J109" s="205" t="s">
        <v>6644</v>
      </c>
      <c r="K109" s="203" t="s">
        <v>5104</v>
      </c>
      <c r="L109" s="205" t="s">
        <v>6645</v>
      </c>
      <c r="M109" s="205" t="s">
        <v>6532</v>
      </c>
      <c r="N109" s="204" t="s">
        <v>213</v>
      </c>
      <c r="O109" s="204" t="s">
        <v>11</v>
      </c>
      <c r="P109" s="206">
        <v>24000</v>
      </c>
      <c r="Q109" s="206">
        <v>23000</v>
      </c>
      <c r="R109" s="207">
        <v>10000</v>
      </c>
      <c r="S109" s="207">
        <f t="shared" si="16"/>
        <v>230000000</v>
      </c>
      <c r="T109" s="589" t="s">
        <v>11</v>
      </c>
      <c r="U109" s="157">
        <v>10000</v>
      </c>
      <c r="V109" s="158">
        <f>U109-W109</f>
        <v>10000</v>
      </c>
      <c r="W109" s="159">
        <f t="shared" si="18"/>
        <v>0</v>
      </c>
      <c r="X109" s="159">
        <f t="shared" si="19"/>
        <v>0</v>
      </c>
      <c r="Y109" s="160"/>
      <c r="Z109" s="160">
        <f t="shared" si="20"/>
        <v>0</v>
      </c>
      <c r="AA109" s="165"/>
      <c r="AB109" s="161">
        <f t="shared" si="21"/>
        <v>0</v>
      </c>
      <c r="AC109" s="162"/>
      <c r="AD109" s="162">
        <f>AC109*Q109</f>
        <v>0</v>
      </c>
      <c r="AE109" s="164"/>
      <c r="AF109" s="164">
        <f>AE109*Q109</f>
        <v>0</v>
      </c>
      <c r="AG109" s="165"/>
      <c r="AH109" s="165">
        <f>AG109*Q109</f>
        <v>0</v>
      </c>
      <c r="AI109" s="166">
        <v>0</v>
      </c>
      <c r="AJ109" s="166">
        <f>AI109*Q109</f>
        <v>0</v>
      </c>
      <c r="AK109" s="162"/>
      <c r="AL109" s="162">
        <f t="shared" si="26"/>
        <v>0</v>
      </c>
      <c r="AM109" s="173"/>
      <c r="AN109" s="167">
        <f t="shared" si="27"/>
        <v>0</v>
      </c>
      <c r="AO109" s="163"/>
      <c r="AP109" s="163">
        <f t="shared" si="28"/>
        <v>0</v>
      </c>
      <c r="AQ109" s="168"/>
      <c r="AR109" s="168">
        <f t="shared" si="29"/>
        <v>0</v>
      </c>
      <c r="AS109" s="170"/>
      <c r="AT109" s="170">
        <f t="shared" si="30"/>
        <v>0</v>
      </c>
      <c r="AU109" s="166"/>
      <c r="AV109" s="166">
        <f t="shared" si="31"/>
        <v>0</v>
      </c>
    </row>
    <row r="110" spans="1:48" s="178" customFormat="1" ht="63">
      <c r="A110" s="250">
        <v>53</v>
      </c>
      <c r="B110" s="244" t="s">
        <v>8748</v>
      </c>
      <c r="C110" s="244" t="s">
        <v>8749</v>
      </c>
      <c r="D110" s="250" t="s">
        <v>8750</v>
      </c>
      <c r="E110" s="241"/>
      <c r="F110" s="242" t="s">
        <v>68</v>
      </c>
      <c r="G110" s="244" t="s">
        <v>429</v>
      </c>
      <c r="H110" s="244" t="s">
        <v>211</v>
      </c>
      <c r="I110" s="244" t="s">
        <v>68</v>
      </c>
      <c r="J110" s="244" t="s">
        <v>8751</v>
      </c>
      <c r="K110" s="244" t="s">
        <v>5104</v>
      </c>
      <c r="L110" s="241" t="s">
        <v>8752</v>
      </c>
      <c r="M110" s="244" t="s">
        <v>2168</v>
      </c>
      <c r="N110" s="241" t="s">
        <v>6694</v>
      </c>
      <c r="O110" s="241" t="s">
        <v>11</v>
      </c>
      <c r="P110" s="245">
        <v>400</v>
      </c>
      <c r="Q110" s="245">
        <v>300</v>
      </c>
      <c r="R110" s="246">
        <v>50000</v>
      </c>
      <c r="S110" s="245">
        <f t="shared" si="16"/>
        <v>15000000</v>
      </c>
      <c r="T110" s="589"/>
      <c r="U110" s="244"/>
      <c r="V110" s="247">
        <f>R110-W110</f>
        <v>50000</v>
      </c>
      <c r="W110" s="159">
        <f t="shared" si="18"/>
        <v>0</v>
      </c>
      <c r="X110" s="159">
        <f t="shared" si="19"/>
        <v>0</v>
      </c>
      <c r="Y110" s="248"/>
      <c r="Z110" s="160">
        <f t="shared" si="20"/>
        <v>0</v>
      </c>
      <c r="AA110" s="248"/>
      <c r="AB110" s="161">
        <f t="shared" si="21"/>
        <v>0</v>
      </c>
      <c r="AC110" s="249"/>
      <c r="AD110" s="249"/>
      <c r="AE110" s="249"/>
      <c r="AF110" s="249"/>
      <c r="AG110" s="249"/>
      <c r="AH110" s="249"/>
      <c r="AI110" s="249"/>
      <c r="AJ110" s="249"/>
      <c r="AK110" s="249"/>
      <c r="AL110" s="162">
        <f t="shared" si="26"/>
        <v>0</v>
      </c>
      <c r="AM110" s="249"/>
      <c r="AN110" s="167">
        <f t="shared" si="27"/>
        <v>0</v>
      </c>
      <c r="AO110" s="249"/>
      <c r="AP110" s="163">
        <f t="shared" si="28"/>
        <v>0</v>
      </c>
      <c r="AQ110" s="249"/>
      <c r="AR110" s="168">
        <f t="shared" si="29"/>
        <v>0</v>
      </c>
      <c r="AS110" s="249"/>
      <c r="AT110" s="170">
        <f t="shared" si="30"/>
        <v>0</v>
      </c>
      <c r="AU110" s="249"/>
      <c r="AV110" s="166">
        <f t="shared" si="31"/>
        <v>0</v>
      </c>
    </row>
    <row r="111" spans="1:48" s="178" customFormat="1" ht="47.25">
      <c r="A111" s="148">
        <v>85</v>
      </c>
      <c r="B111" s="244" t="s">
        <v>8748</v>
      </c>
      <c r="C111" s="244" t="s">
        <v>8749</v>
      </c>
      <c r="D111" s="250" t="s">
        <v>4637</v>
      </c>
      <c r="E111" s="241"/>
      <c r="F111" s="242" t="s">
        <v>8862</v>
      </c>
      <c r="G111" s="244" t="s">
        <v>8863</v>
      </c>
      <c r="H111" s="244" t="s">
        <v>211</v>
      </c>
      <c r="I111" s="244" t="s">
        <v>4638</v>
      </c>
      <c r="J111" s="244" t="s">
        <v>8864</v>
      </c>
      <c r="K111" s="244" t="s">
        <v>5104</v>
      </c>
      <c r="L111" s="241" t="s">
        <v>8865</v>
      </c>
      <c r="M111" s="244" t="s">
        <v>2168</v>
      </c>
      <c r="N111" s="241" t="s">
        <v>6694</v>
      </c>
      <c r="O111" s="241" t="s">
        <v>11</v>
      </c>
      <c r="P111" s="245">
        <v>1000</v>
      </c>
      <c r="Q111" s="245">
        <v>1000</v>
      </c>
      <c r="R111" s="246">
        <v>20000</v>
      </c>
      <c r="S111" s="245">
        <f t="shared" si="16"/>
        <v>20000000</v>
      </c>
      <c r="T111" s="589"/>
      <c r="U111" s="244"/>
      <c r="V111" s="247">
        <f>R111-W111</f>
        <v>15200</v>
      </c>
      <c r="W111" s="159">
        <f t="shared" si="18"/>
        <v>4800</v>
      </c>
      <c r="X111" s="159">
        <f t="shared" si="19"/>
        <v>4800000</v>
      </c>
      <c r="Y111" s="248"/>
      <c r="Z111" s="160">
        <f t="shared" si="20"/>
        <v>0</v>
      </c>
      <c r="AA111" s="248"/>
      <c r="AB111" s="161">
        <f t="shared" si="21"/>
        <v>0</v>
      </c>
      <c r="AC111" s="249"/>
      <c r="AD111" s="249"/>
      <c r="AE111" s="249"/>
      <c r="AF111" s="249"/>
      <c r="AG111" s="249"/>
      <c r="AH111" s="249"/>
      <c r="AI111" s="249"/>
      <c r="AJ111" s="249"/>
      <c r="AK111" s="249"/>
      <c r="AL111" s="162">
        <f t="shared" si="26"/>
        <v>0</v>
      </c>
      <c r="AM111" s="249">
        <v>4800</v>
      </c>
      <c r="AN111" s="167">
        <f t="shared" si="27"/>
        <v>4800000</v>
      </c>
      <c r="AO111" s="249"/>
      <c r="AP111" s="163">
        <f t="shared" si="28"/>
        <v>0</v>
      </c>
      <c r="AQ111" s="249"/>
      <c r="AR111" s="168">
        <f t="shared" si="29"/>
        <v>0</v>
      </c>
      <c r="AS111" s="249"/>
      <c r="AT111" s="170">
        <f t="shared" si="30"/>
        <v>0</v>
      </c>
      <c r="AU111" s="249"/>
      <c r="AV111" s="166">
        <f t="shared" si="31"/>
        <v>0</v>
      </c>
    </row>
    <row r="112" spans="1:48" s="178" customFormat="1" ht="31.5">
      <c r="A112" s="172" t="s">
        <v>6499</v>
      </c>
      <c r="B112" s="149" t="s">
        <v>6500</v>
      </c>
      <c r="C112" s="149" t="s">
        <v>6501</v>
      </c>
      <c r="D112" s="240" t="s">
        <v>6502</v>
      </c>
      <c r="E112" s="590" t="s">
        <v>12642</v>
      </c>
      <c r="F112" s="203" t="s">
        <v>4392</v>
      </c>
      <c r="G112" s="204" t="s">
        <v>291</v>
      </c>
      <c r="H112" s="204">
        <v>2</v>
      </c>
      <c r="I112" s="203" t="s">
        <v>6503</v>
      </c>
      <c r="J112" s="205" t="s">
        <v>6504</v>
      </c>
      <c r="K112" s="203" t="s">
        <v>5104</v>
      </c>
      <c r="L112" s="205" t="s">
        <v>6505</v>
      </c>
      <c r="M112" s="205" t="s">
        <v>6506</v>
      </c>
      <c r="N112" s="204" t="s">
        <v>213</v>
      </c>
      <c r="O112" s="204" t="s">
        <v>11</v>
      </c>
      <c r="P112" s="206">
        <v>1500</v>
      </c>
      <c r="Q112" s="206">
        <v>1500</v>
      </c>
      <c r="R112" s="207">
        <v>10000</v>
      </c>
      <c r="S112" s="207">
        <f t="shared" si="16"/>
        <v>15000000</v>
      </c>
      <c r="T112" s="589"/>
      <c r="U112" s="157">
        <v>10000</v>
      </c>
      <c r="V112" s="158">
        <f t="shared" ref="V112:V131" si="38">U112-W112</f>
        <v>10000</v>
      </c>
      <c r="W112" s="159">
        <f t="shared" si="18"/>
        <v>0</v>
      </c>
      <c r="X112" s="159">
        <f t="shared" si="19"/>
        <v>0</v>
      </c>
      <c r="Y112" s="160"/>
      <c r="Z112" s="160">
        <f t="shared" si="20"/>
        <v>0</v>
      </c>
      <c r="AA112" s="165"/>
      <c r="AB112" s="161">
        <f t="shared" si="21"/>
        <v>0</v>
      </c>
      <c r="AC112" s="162"/>
      <c r="AD112" s="162">
        <f t="shared" ref="AD112:AD175" si="39">AC112*Q112</f>
        <v>0</v>
      </c>
      <c r="AE112" s="164"/>
      <c r="AF112" s="164">
        <f t="shared" ref="AF112:AF175" si="40">AE112*Q112</f>
        <v>0</v>
      </c>
      <c r="AG112" s="165"/>
      <c r="AH112" s="165">
        <f t="shared" ref="AH112:AH175" si="41">AG112*Q112</f>
        <v>0</v>
      </c>
      <c r="AI112" s="166">
        <v>0</v>
      </c>
      <c r="AJ112" s="166">
        <f t="shared" ref="AJ112:AJ175" si="42">AI112*Q112</f>
        <v>0</v>
      </c>
      <c r="AK112" s="162"/>
      <c r="AL112" s="162">
        <f t="shared" si="26"/>
        <v>0</v>
      </c>
      <c r="AM112" s="173"/>
      <c r="AN112" s="167">
        <f t="shared" si="27"/>
        <v>0</v>
      </c>
      <c r="AO112" s="163"/>
      <c r="AP112" s="163">
        <f t="shared" si="28"/>
        <v>0</v>
      </c>
      <c r="AQ112" s="168"/>
      <c r="AR112" s="168">
        <f t="shared" si="29"/>
        <v>0</v>
      </c>
      <c r="AS112" s="170"/>
      <c r="AT112" s="170">
        <f t="shared" si="30"/>
        <v>0</v>
      </c>
      <c r="AU112" s="166"/>
      <c r="AV112" s="166">
        <f t="shared" si="31"/>
        <v>0</v>
      </c>
    </row>
    <row r="113" spans="1:48" s="178" customFormat="1" ht="31.5">
      <c r="A113" s="172" t="s">
        <v>8026</v>
      </c>
      <c r="B113" s="149" t="s">
        <v>6500</v>
      </c>
      <c r="C113" s="149" t="s">
        <v>6501</v>
      </c>
      <c r="D113" s="240" t="s">
        <v>8027</v>
      </c>
      <c r="E113" s="590" t="s">
        <v>12642</v>
      </c>
      <c r="F113" s="203" t="s">
        <v>3513</v>
      </c>
      <c r="G113" s="204" t="s">
        <v>8028</v>
      </c>
      <c r="H113" s="204">
        <v>3</v>
      </c>
      <c r="I113" s="203" t="s">
        <v>8029</v>
      </c>
      <c r="J113" s="205" t="s">
        <v>8030</v>
      </c>
      <c r="K113" s="203" t="s">
        <v>5104</v>
      </c>
      <c r="L113" s="205" t="s">
        <v>8031</v>
      </c>
      <c r="M113" s="205" t="s">
        <v>1268</v>
      </c>
      <c r="N113" s="204" t="s">
        <v>213</v>
      </c>
      <c r="O113" s="204" t="s">
        <v>12</v>
      </c>
      <c r="P113" s="206">
        <v>3500</v>
      </c>
      <c r="Q113" s="206">
        <v>1950</v>
      </c>
      <c r="R113" s="207">
        <v>10000</v>
      </c>
      <c r="S113" s="207">
        <f t="shared" si="16"/>
        <v>19500000</v>
      </c>
      <c r="T113" s="589"/>
      <c r="U113" s="157">
        <v>10000</v>
      </c>
      <c r="V113" s="158">
        <f t="shared" si="38"/>
        <v>10000</v>
      </c>
      <c r="W113" s="159">
        <f t="shared" si="18"/>
        <v>0</v>
      </c>
      <c r="X113" s="159">
        <f t="shared" si="19"/>
        <v>0</v>
      </c>
      <c r="Y113" s="160"/>
      <c r="Z113" s="160">
        <f t="shared" si="20"/>
        <v>0</v>
      </c>
      <c r="AA113" s="165"/>
      <c r="AB113" s="161">
        <f t="shared" si="21"/>
        <v>0</v>
      </c>
      <c r="AC113" s="162"/>
      <c r="AD113" s="162">
        <f t="shared" si="39"/>
        <v>0</v>
      </c>
      <c r="AE113" s="164"/>
      <c r="AF113" s="164">
        <f t="shared" si="40"/>
        <v>0</v>
      </c>
      <c r="AG113" s="165"/>
      <c r="AH113" s="165">
        <f t="shared" si="41"/>
        <v>0</v>
      </c>
      <c r="AI113" s="166">
        <v>0</v>
      </c>
      <c r="AJ113" s="166">
        <f t="shared" si="42"/>
        <v>0</v>
      </c>
      <c r="AK113" s="162"/>
      <c r="AL113" s="162">
        <f t="shared" si="26"/>
        <v>0</v>
      </c>
      <c r="AM113" s="173"/>
      <c r="AN113" s="167">
        <f t="shared" si="27"/>
        <v>0</v>
      </c>
      <c r="AO113" s="163"/>
      <c r="AP113" s="163">
        <f t="shared" si="28"/>
        <v>0</v>
      </c>
      <c r="AQ113" s="168"/>
      <c r="AR113" s="168">
        <f t="shared" si="29"/>
        <v>0</v>
      </c>
      <c r="AS113" s="170"/>
      <c r="AT113" s="170">
        <f t="shared" si="30"/>
        <v>0</v>
      </c>
      <c r="AU113" s="166"/>
      <c r="AV113" s="166">
        <f t="shared" si="31"/>
        <v>0</v>
      </c>
    </row>
    <row r="114" spans="1:48" s="178" customFormat="1" ht="31.5">
      <c r="A114" s="148" t="s">
        <v>7099</v>
      </c>
      <c r="B114" s="149" t="s">
        <v>7100</v>
      </c>
      <c r="C114" s="149" t="s">
        <v>7101</v>
      </c>
      <c r="D114" s="240" t="s">
        <v>4973</v>
      </c>
      <c r="E114" s="590" t="s">
        <v>12642</v>
      </c>
      <c r="F114" s="203" t="s">
        <v>702</v>
      </c>
      <c r="G114" s="204" t="s">
        <v>262</v>
      </c>
      <c r="H114" s="204">
        <v>3</v>
      </c>
      <c r="I114" s="203" t="s">
        <v>4974</v>
      </c>
      <c r="J114" s="205" t="s">
        <v>6113</v>
      </c>
      <c r="K114" s="203" t="s">
        <v>253</v>
      </c>
      <c r="L114" s="205" t="s">
        <v>7102</v>
      </c>
      <c r="M114" s="205" t="s">
        <v>7103</v>
      </c>
      <c r="N114" s="204" t="s">
        <v>213</v>
      </c>
      <c r="O114" s="204" t="s">
        <v>11</v>
      </c>
      <c r="P114" s="206">
        <v>1750</v>
      </c>
      <c r="Q114" s="206">
        <v>1490</v>
      </c>
      <c r="R114" s="207">
        <v>40000</v>
      </c>
      <c r="S114" s="207">
        <f t="shared" si="16"/>
        <v>59600000</v>
      </c>
      <c r="T114" s="589"/>
      <c r="U114" s="157">
        <v>40000</v>
      </c>
      <c r="V114" s="158">
        <f t="shared" si="38"/>
        <v>33800</v>
      </c>
      <c r="W114" s="159">
        <f t="shared" si="18"/>
        <v>6200</v>
      </c>
      <c r="X114" s="159">
        <f t="shared" si="19"/>
        <v>9238000</v>
      </c>
      <c r="Y114" s="160"/>
      <c r="Z114" s="160">
        <f t="shared" si="20"/>
        <v>0</v>
      </c>
      <c r="AA114" s="165">
        <v>2700</v>
      </c>
      <c r="AB114" s="161">
        <f t="shared" si="21"/>
        <v>4023000</v>
      </c>
      <c r="AC114" s="162"/>
      <c r="AD114" s="162">
        <f t="shared" si="39"/>
        <v>0</v>
      </c>
      <c r="AE114" s="164"/>
      <c r="AF114" s="164">
        <f t="shared" si="40"/>
        <v>0</v>
      </c>
      <c r="AG114" s="165">
        <v>1500</v>
      </c>
      <c r="AH114" s="165">
        <f t="shared" si="41"/>
        <v>2235000</v>
      </c>
      <c r="AI114" s="166">
        <v>0</v>
      </c>
      <c r="AJ114" s="166">
        <f t="shared" si="42"/>
        <v>0</v>
      </c>
      <c r="AK114" s="162"/>
      <c r="AL114" s="162">
        <f t="shared" si="26"/>
        <v>0</v>
      </c>
      <c r="AM114" s="173"/>
      <c r="AN114" s="167">
        <f t="shared" si="27"/>
        <v>0</v>
      </c>
      <c r="AO114" s="163"/>
      <c r="AP114" s="163">
        <f t="shared" si="28"/>
        <v>0</v>
      </c>
      <c r="AQ114" s="168"/>
      <c r="AR114" s="168">
        <f t="shared" si="29"/>
        <v>0</v>
      </c>
      <c r="AS114" s="170">
        <v>2000</v>
      </c>
      <c r="AT114" s="170">
        <f t="shared" si="30"/>
        <v>2980000</v>
      </c>
      <c r="AU114" s="166"/>
      <c r="AV114" s="166">
        <f t="shared" si="31"/>
        <v>0</v>
      </c>
    </row>
    <row r="115" spans="1:48" s="178" customFormat="1" ht="31.5">
      <c r="A115" s="148" t="s">
        <v>7316</v>
      </c>
      <c r="B115" s="149" t="s">
        <v>7100</v>
      </c>
      <c r="C115" s="149" t="s">
        <v>7101</v>
      </c>
      <c r="D115" s="240" t="s">
        <v>7317</v>
      </c>
      <c r="E115" s="590"/>
      <c r="F115" s="203" t="s">
        <v>813</v>
      </c>
      <c r="G115" s="204" t="s">
        <v>299</v>
      </c>
      <c r="H115" s="204">
        <v>3</v>
      </c>
      <c r="I115" s="203" t="s">
        <v>7318</v>
      </c>
      <c r="J115" s="205" t="s">
        <v>7319</v>
      </c>
      <c r="K115" s="203" t="s">
        <v>5104</v>
      </c>
      <c r="L115" s="205" t="s">
        <v>7320</v>
      </c>
      <c r="M115" s="205" t="s">
        <v>2785</v>
      </c>
      <c r="N115" s="204" t="s">
        <v>213</v>
      </c>
      <c r="O115" s="204" t="s">
        <v>11</v>
      </c>
      <c r="P115" s="206">
        <v>11000</v>
      </c>
      <c r="Q115" s="206">
        <v>10500</v>
      </c>
      <c r="R115" s="207">
        <v>30000</v>
      </c>
      <c r="S115" s="207">
        <f t="shared" si="16"/>
        <v>315000000</v>
      </c>
      <c r="T115" s="589"/>
      <c r="U115" s="157">
        <v>30000</v>
      </c>
      <c r="V115" s="158">
        <f t="shared" si="38"/>
        <v>30000</v>
      </c>
      <c r="W115" s="159">
        <f t="shared" si="18"/>
        <v>0</v>
      </c>
      <c r="X115" s="159">
        <f t="shared" si="19"/>
        <v>0</v>
      </c>
      <c r="Y115" s="160"/>
      <c r="Z115" s="160">
        <f t="shared" si="20"/>
        <v>0</v>
      </c>
      <c r="AA115" s="165"/>
      <c r="AB115" s="161">
        <f t="shared" si="21"/>
        <v>0</v>
      </c>
      <c r="AC115" s="162"/>
      <c r="AD115" s="162">
        <f t="shared" si="39"/>
        <v>0</v>
      </c>
      <c r="AE115" s="164"/>
      <c r="AF115" s="164">
        <f t="shared" si="40"/>
        <v>0</v>
      </c>
      <c r="AG115" s="165"/>
      <c r="AH115" s="165">
        <f t="shared" si="41"/>
        <v>0</v>
      </c>
      <c r="AI115" s="166">
        <v>0</v>
      </c>
      <c r="AJ115" s="166">
        <f t="shared" si="42"/>
        <v>0</v>
      </c>
      <c r="AK115" s="162"/>
      <c r="AL115" s="162">
        <f t="shared" si="26"/>
        <v>0</v>
      </c>
      <c r="AM115" s="173"/>
      <c r="AN115" s="167">
        <f t="shared" si="27"/>
        <v>0</v>
      </c>
      <c r="AO115" s="163"/>
      <c r="AP115" s="163">
        <f t="shared" si="28"/>
        <v>0</v>
      </c>
      <c r="AQ115" s="168"/>
      <c r="AR115" s="168">
        <f t="shared" si="29"/>
        <v>0</v>
      </c>
      <c r="AS115" s="170"/>
      <c r="AT115" s="170">
        <f t="shared" si="30"/>
        <v>0</v>
      </c>
      <c r="AU115" s="166"/>
      <c r="AV115" s="166">
        <f t="shared" si="31"/>
        <v>0</v>
      </c>
    </row>
    <row r="116" spans="1:48" s="178" customFormat="1" ht="31.5">
      <c r="A116" s="172" t="s">
        <v>7532</v>
      </c>
      <c r="B116" s="149" t="s">
        <v>7100</v>
      </c>
      <c r="C116" s="149" t="s">
        <v>7101</v>
      </c>
      <c r="D116" s="240" t="s">
        <v>7533</v>
      </c>
      <c r="E116" s="590"/>
      <c r="F116" s="203" t="s">
        <v>7534</v>
      </c>
      <c r="G116" s="204" t="s">
        <v>7535</v>
      </c>
      <c r="H116" s="204">
        <v>3</v>
      </c>
      <c r="I116" s="203" t="s">
        <v>7536</v>
      </c>
      <c r="J116" s="205" t="s">
        <v>7537</v>
      </c>
      <c r="K116" s="203" t="s">
        <v>5104</v>
      </c>
      <c r="L116" s="205" t="s">
        <v>7538</v>
      </c>
      <c r="M116" s="205" t="s">
        <v>7539</v>
      </c>
      <c r="N116" s="204" t="s">
        <v>213</v>
      </c>
      <c r="O116" s="204" t="s">
        <v>11</v>
      </c>
      <c r="P116" s="206">
        <v>5300</v>
      </c>
      <c r="Q116" s="206">
        <v>5300</v>
      </c>
      <c r="R116" s="207">
        <v>50000</v>
      </c>
      <c r="S116" s="207">
        <f t="shared" si="16"/>
        <v>265000000</v>
      </c>
      <c r="T116" s="589"/>
      <c r="U116" s="157">
        <v>50000</v>
      </c>
      <c r="V116" s="158">
        <f t="shared" si="38"/>
        <v>50000</v>
      </c>
      <c r="W116" s="159">
        <f t="shared" si="18"/>
        <v>0</v>
      </c>
      <c r="X116" s="159">
        <f t="shared" si="19"/>
        <v>0</v>
      </c>
      <c r="Y116" s="160"/>
      <c r="Z116" s="160">
        <f t="shared" si="20"/>
        <v>0</v>
      </c>
      <c r="AA116" s="165"/>
      <c r="AB116" s="161">
        <f t="shared" si="21"/>
        <v>0</v>
      </c>
      <c r="AC116" s="162"/>
      <c r="AD116" s="162">
        <f t="shared" si="39"/>
        <v>0</v>
      </c>
      <c r="AE116" s="164"/>
      <c r="AF116" s="164">
        <f t="shared" si="40"/>
        <v>0</v>
      </c>
      <c r="AG116" s="165"/>
      <c r="AH116" s="165">
        <f t="shared" si="41"/>
        <v>0</v>
      </c>
      <c r="AI116" s="166">
        <v>0</v>
      </c>
      <c r="AJ116" s="166">
        <f t="shared" si="42"/>
        <v>0</v>
      </c>
      <c r="AK116" s="162"/>
      <c r="AL116" s="162">
        <f t="shared" si="26"/>
        <v>0</v>
      </c>
      <c r="AM116" s="173"/>
      <c r="AN116" s="167">
        <f t="shared" si="27"/>
        <v>0</v>
      </c>
      <c r="AO116" s="163"/>
      <c r="AP116" s="163">
        <f t="shared" si="28"/>
        <v>0</v>
      </c>
      <c r="AQ116" s="168"/>
      <c r="AR116" s="168">
        <f t="shared" si="29"/>
        <v>0</v>
      </c>
      <c r="AS116" s="170"/>
      <c r="AT116" s="170">
        <f t="shared" si="30"/>
        <v>0</v>
      </c>
      <c r="AU116" s="166"/>
      <c r="AV116" s="166">
        <f t="shared" si="31"/>
        <v>0</v>
      </c>
    </row>
    <row r="117" spans="1:48" s="178" customFormat="1" ht="31.5">
      <c r="A117" s="172" t="s">
        <v>7699</v>
      </c>
      <c r="B117" s="149" t="s">
        <v>7100</v>
      </c>
      <c r="C117" s="149" t="s">
        <v>7101</v>
      </c>
      <c r="D117" s="240" t="s">
        <v>7700</v>
      </c>
      <c r="E117" s="590"/>
      <c r="F117" s="203" t="s">
        <v>7696</v>
      </c>
      <c r="G117" s="204" t="s">
        <v>390</v>
      </c>
      <c r="H117" s="204">
        <v>3</v>
      </c>
      <c r="I117" s="203" t="s">
        <v>7701</v>
      </c>
      <c r="J117" s="205" t="s">
        <v>7702</v>
      </c>
      <c r="K117" s="203" t="s">
        <v>5104</v>
      </c>
      <c r="L117" s="205" t="s">
        <v>7703</v>
      </c>
      <c r="M117" s="205" t="s">
        <v>7674</v>
      </c>
      <c r="N117" s="204" t="s">
        <v>213</v>
      </c>
      <c r="O117" s="204" t="s">
        <v>11</v>
      </c>
      <c r="P117" s="206">
        <v>5800</v>
      </c>
      <c r="Q117" s="206">
        <v>2390</v>
      </c>
      <c r="R117" s="207">
        <v>10000</v>
      </c>
      <c r="S117" s="207">
        <f t="shared" si="16"/>
        <v>23900000</v>
      </c>
      <c r="T117" s="589"/>
      <c r="U117" s="157">
        <v>10000</v>
      </c>
      <c r="V117" s="158">
        <f t="shared" si="38"/>
        <v>10000</v>
      </c>
      <c r="W117" s="159">
        <f t="shared" si="18"/>
        <v>0</v>
      </c>
      <c r="X117" s="159">
        <f t="shared" si="19"/>
        <v>0</v>
      </c>
      <c r="Y117" s="160"/>
      <c r="Z117" s="160">
        <f t="shared" si="20"/>
        <v>0</v>
      </c>
      <c r="AA117" s="165"/>
      <c r="AB117" s="161">
        <f t="shared" si="21"/>
        <v>0</v>
      </c>
      <c r="AC117" s="162"/>
      <c r="AD117" s="162">
        <f t="shared" si="39"/>
        <v>0</v>
      </c>
      <c r="AE117" s="164"/>
      <c r="AF117" s="164">
        <f t="shared" si="40"/>
        <v>0</v>
      </c>
      <c r="AG117" s="165"/>
      <c r="AH117" s="165">
        <f t="shared" si="41"/>
        <v>0</v>
      </c>
      <c r="AI117" s="166">
        <v>0</v>
      </c>
      <c r="AJ117" s="166">
        <f t="shared" si="42"/>
        <v>0</v>
      </c>
      <c r="AK117" s="162"/>
      <c r="AL117" s="162">
        <f t="shared" si="26"/>
        <v>0</v>
      </c>
      <c r="AM117" s="173"/>
      <c r="AN117" s="167">
        <f t="shared" si="27"/>
        <v>0</v>
      </c>
      <c r="AO117" s="163"/>
      <c r="AP117" s="163">
        <f t="shared" si="28"/>
        <v>0</v>
      </c>
      <c r="AQ117" s="168"/>
      <c r="AR117" s="168">
        <f t="shared" si="29"/>
        <v>0</v>
      </c>
      <c r="AS117" s="170"/>
      <c r="AT117" s="170">
        <f t="shared" si="30"/>
        <v>0</v>
      </c>
      <c r="AU117" s="166"/>
      <c r="AV117" s="166">
        <f t="shared" si="31"/>
        <v>0</v>
      </c>
    </row>
    <row r="118" spans="1:48" s="178" customFormat="1" ht="31.5">
      <c r="A118" s="148" t="s">
        <v>7867</v>
      </c>
      <c r="B118" s="149" t="s">
        <v>7100</v>
      </c>
      <c r="C118" s="149" t="s">
        <v>7101</v>
      </c>
      <c r="D118" s="240" t="s">
        <v>7868</v>
      </c>
      <c r="E118" s="590"/>
      <c r="F118" s="203" t="s">
        <v>7869</v>
      </c>
      <c r="G118" s="204" t="s">
        <v>1340</v>
      </c>
      <c r="H118" s="204">
        <v>3</v>
      </c>
      <c r="I118" s="203" t="s">
        <v>7870</v>
      </c>
      <c r="J118" s="205" t="s">
        <v>7871</v>
      </c>
      <c r="K118" s="203" t="s">
        <v>5104</v>
      </c>
      <c r="L118" s="205" t="s">
        <v>7872</v>
      </c>
      <c r="M118" s="205" t="s">
        <v>7674</v>
      </c>
      <c r="N118" s="204" t="s">
        <v>213</v>
      </c>
      <c r="O118" s="204" t="s">
        <v>11</v>
      </c>
      <c r="P118" s="206">
        <v>3950</v>
      </c>
      <c r="Q118" s="206">
        <v>3950</v>
      </c>
      <c r="R118" s="207">
        <v>30000</v>
      </c>
      <c r="S118" s="207">
        <f t="shared" si="16"/>
        <v>118500000</v>
      </c>
      <c r="T118" s="589"/>
      <c r="U118" s="157">
        <v>30000</v>
      </c>
      <c r="V118" s="158">
        <f t="shared" si="38"/>
        <v>30000</v>
      </c>
      <c r="W118" s="159">
        <f t="shared" si="18"/>
        <v>0</v>
      </c>
      <c r="X118" s="159">
        <f t="shared" si="19"/>
        <v>0</v>
      </c>
      <c r="Y118" s="160"/>
      <c r="Z118" s="160">
        <f t="shared" si="20"/>
        <v>0</v>
      </c>
      <c r="AA118" s="165"/>
      <c r="AB118" s="161">
        <f t="shared" si="21"/>
        <v>0</v>
      </c>
      <c r="AC118" s="162"/>
      <c r="AD118" s="162">
        <f t="shared" si="39"/>
        <v>0</v>
      </c>
      <c r="AE118" s="164"/>
      <c r="AF118" s="164">
        <f t="shared" si="40"/>
        <v>0</v>
      </c>
      <c r="AG118" s="165"/>
      <c r="AH118" s="165">
        <f t="shared" si="41"/>
        <v>0</v>
      </c>
      <c r="AI118" s="166">
        <v>0</v>
      </c>
      <c r="AJ118" s="166">
        <f t="shared" si="42"/>
        <v>0</v>
      </c>
      <c r="AK118" s="162"/>
      <c r="AL118" s="162">
        <f t="shared" si="26"/>
        <v>0</v>
      </c>
      <c r="AM118" s="173"/>
      <c r="AN118" s="167">
        <f t="shared" si="27"/>
        <v>0</v>
      </c>
      <c r="AO118" s="163"/>
      <c r="AP118" s="163">
        <f t="shared" si="28"/>
        <v>0</v>
      </c>
      <c r="AQ118" s="168"/>
      <c r="AR118" s="168">
        <f t="shared" si="29"/>
        <v>0</v>
      </c>
      <c r="AS118" s="170"/>
      <c r="AT118" s="170">
        <f t="shared" si="30"/>
        <v>0</v>
      </c>
      <c r="AU118" s="166"/>
      <c r="AV118" s="166">
        <f t="shared" si="31"/>
        <v>0</v>
      </c>
    </row>
    <row r="119" spans="1:48" s="178" customFormat="1" ht="31.5">
      <c r="A119" s="148" t="s">
        <v>8094</v>
      </c>
      <c r="B119" s="149" t="s">
        <v>7100</v>
      </c>
      <c r="C119" s="149" t="s">
        <v>7101</v>
      </c>
      <c r="D119" s="240" t="s">
        <v>8095</v>
      </c>
      <c r="E119" s="590"/>
      <c r="F119" s="203" t="s">
        <v>4403</v>
      </c>
      <c r="G119" s="204" t="s">
        <v>258</v>
      </c>
      <c r="H119" s="204">
        <v>3</v>
      </c>
      <c r="I119" s="203" t="s">
        <v>8096</v>
      </c>
      <c r="J119" s="205" t="s">
        <v>8097</v>
      </c>
      <c r="K119" s="203" t="s">
        <v>5104</v>
      </c>
      <c r="L119" s="205" t="s">
        <v>8098</v>
      </c>
      <c r="M119" s="205" t="s">
        <v>7674</v>
      </c>
      <c r="N119" s="204" t="s">
        <v>213</v>
      </c>
      <c r="O119" s="204" t="s">
        <v>11</v>
      </c>
      <c r="P119" s="206">
        <v>6000</v>
      </c>
      <c r="Q119" s="206">
        <v>4500</v>
      </c>
      <c r="R119" s="207">
        <v>1500</v>
      </c>
      <c r="S119" s="207">
        <f t="shared" si="16"/>
        <v>6750000</v>
      </c>
      <c r="T119" s="589"/>
      <c r="U119" s="157">
        <v>1500</v>
      </c>
      <c r="V119" s="158">
        <f t="shared" si="38"/>
        <v>1500</v>
      </c>
      <c r="W119" s="159">
        <f t="shared" si="18"/>
        <v>0</v>
      </c>
      <c r="X119" s="159">
        <f t="shared" si="19"/>
        <v>0</v>
      </c>
      <c r="Y119" s="160"/>
      <c r="Z119" s="160">
        <f t="shared" si="20"/>
        <v>0</v>
      </c>
      <c r="AA119" s="165"/>
      <c r="AB119" s="161">
        <f t="shared" si="21"/>
        <v>0</v>
      </c>
      <c r="AC119" s="162"/>
      <c r="AD119" s="162">
        <f t="shared" si="39"/>
        <v>0</v>
      </c>
      <c r="AE119" s="164"/>
      <c r="AF119" s="164">
        <f t="shared" si="40"/>
        <v>0</v>
      </c>
      <c r="AG119" s="165"/>
      <c r="AH119" s="165">
        <f t="shared" si="41"/>
        <v>0</v>
      </c>
      <c r="AI119" s="166">
        <v>0</v>
      </c>
      <c r="AJ119" s="166">
        <f t="shared" si="42"/>
        <v>0</v>
      </c>
      <c r="AK119" s="162"/>
      <c r="AL119" s="162">
        <f t="shared" si="26"/>
        <v>0</v>
      </c>
      <c r="AM119" s="173"/>
      <c r="AN119" s="167">
        <f t="shared" si="27"/>
        <v>0</v>
      </c>
      <c r="AO119" s="163"/>
      <c r="AP119" s="163">
        <f t="shared" si="28"/>
        <v>0</v>
      </c>
      <c r="AQ119" s="168"/>
      <c r="AR119" s="168">
        <f t="shared" si="29"/>
        <v>0</v>
      </c>
      <c r="AS119" s="170"/>
      <c r="AT119" s="170">
        <f t="shared" si="30"/>
        <v>0</v>
      </c>
      <c r="AU119" s="166"/>
      <c r="AV119" s="166">
        <f t="shared" si="31"/>
        <v>0</v>
      </c>
    </row>
    <row r="120" spans="1:48" s="178" customFormat="1" ht="31.5">
      <c r="A120" s="172" t="s">
        <v>8195</v>
      </c>
      <c r="B120" s="149" t="s">
        <v>7100</v>
      </c>
      <c r="C120" s="149" t="s">
        <v>7101</v>
      </c>
      <c r="D120" s="240" t="s">
        <v>8196</v>
      </c>
      <c r="E120" s="590"/>
      <c r="F120" s="203" t="s">
        <v>1352</v>
      </c>
      <c r="G120" s="204" t="s">
        <v>238</v>
      </c>
      <c r="H120" s="204">
        <v>3</v>
      </c>
      <c r="I120" s="203" t="s">
        <v>8197</v>
      </c>
      <c r="J120" s="205" t="s">
        <v>7871</v>
      </c>
      <c r="K120" s="203" t="s">
        <v>5104</v>
      </c>
      <c r="L120" s="205" t="s">
        <v>8198</v>
      </c>
      <c r="M120" s="205" t="s">
        <v>7674</v>
      </c>
      <c r="N120" s="204" t="s">
        <v>213</v>
      </c>
      <c r="O120" s="204" t="s">
        <v>11</v>
      </c>
      <c r="P120" s="206">
        <v>4950</v>
      </c>
      <c r="Q120" s="206">
        <v>3100</v>
      </c>
      <c r="R120" s="207">
        <v>50000</v>
      </c>
      <c r="S120" s="207">
        <f t="shared" si="16"/>
        <v>155000000</v>
      </c>
      <c r="T120" s="589" t="s">
        <v>11</v>
      </c>
      <c r="U120" s="157">
        <v>50000</v>
      </c>
      <c r="V120" s="158">
        <f t="shared" si="38"/>
        <v>50000</v>
      </c>
      <c r="W120" s="159">
        <f t="shared" si="18"/>
        <v>0</v>
      </c>
      <c r="X120" s="159">
        <f t="shared" si="19"/>
        <v>0</v>
      </c>
      <c r="Y120" s="160"/>
      <c r="Z120" s="160">
        <f t="shared" si="20"/>
        <v>0</v>
      </c>
      <c r="AA120" s="165"/>
      <c r="AB120" s="161">
        <f t="shared" si="21"/>
        <v>0</v>
      </c>
      <c r="AC120" s="162"/>
      <c r="AD120" s="162">
        <f t="shared" si="39"/>
        <v>0</v>
      </c>
      <c r="AE120" s="164"/>
      <c r="AF120" s="164">
        <f t="shared" si="40"/>
        <v>0</v>
      </c>
      <c r="AG120" s="165"/>
      <c r="AH120" s="165">
        <f t="shared" si="41"/>
        <v>0</v>
      </c>
      <c r="AI120" s="166">
        <v>0</v>
      </c>
      <c r="AJ120" s="166">
        <f t="shared" si="42"/>
        <v>0</v>
      </c>
      <c r="AK120" s="162"/>
      <c r="AL120" s="162">
        <f t="shared" si="26"/>
        <v>0</v>
      </c>
      <c r="AM120" s="173"/>
      <c r="AN120" s="167">
        <f t="shared" si="27"/>
        <v>0</v>
      </c>
      <c r="AO120" s="163"/>
      <c r="AP120" s="163">
        <f t="shared" si="28"/>
        <v>0</v>
      </c>
      <c r="AQ120" s="168"/>
      <c r="AR120" s="168">
        <f t="shared" si="29"/>
        <v>0</v>
      </c>
      <c r="AS120" s="170"/>
      <c r="AT120" s="170">
        <f t="shared" si="30"/>
        <v>0</v>
      </c>
      <c r="AU120" s="166"/>
      <c r="AV120" s="166">
        <f t="shared" si="31"/>
        <v>0</v>
      </c>
    </row>
    <row r="121" spans="1:48" s="178" customFormat="1" ht="31.5">
      <c r="A121" s="172" t="s">
        <v>8496</v>
      </c>
      <c r="B121" s="149" t="s">
        <v>7100</v>
      </c>
      <c r="C121" s="149" t="s">
        <v>7101</v>
      </c>
      <c r="D121" s="240" t="s">
        <v>8497</v>
      </c>
      <c r="E121" s="590"/>
      <c r="F121" s="203" t="s">
        <v>1352</v>
      </c>
      <c r="G121" s="204" t="s">
        <v>238</v>
      </c>
      <c r="H121" s="204">
        <v>5</v>
      </c>
      <c r="I121" s="203" t="s">
        <v>8197</v>
      </c>
      <c r="J121" s="205" t="s">
        <v>7871</v>
      </c>
      <c r="K121" s="203" t="s">
        <v>5104</v>
      </c>
      <c r="L121" s="205" t="s">
        <v>8198</v>
      </c>
      <c r="M121" s="205" t="s">
        <v>7674</v>
      </c>
      <c r="N121" s="204" t="s">
        <v>213</v>
      </c>
      <c r="O121" s="204" t="s">
        <v>11</v>
      </c>
      <c r="P121" s="206">
        <v>4950</v>
      </c>
      <c r="Q121" s="206">
        <v>3100</v>
      </c>
      <c r="R121" s="207">
        <v>20000</v>
      </c>
      <c r="S121" s="207">
        <f t="shared" si="16"/>
        <v>62000000</v>
      </c>
      <c r="T121" s="589" t="s">
        <v>11</v>
      </c>
      <c r="U121" s="157">
        <v>20000</v>
      </c>
      <c r="V121" s="158">
        <f t="shared" si="38"/>
        <v>20000</v>
      </c>
      <c r="W121" s="159">
        <f t="shared" si="18"/>
        <v>0</v>
      </c>
      <c r="X121" s="159">
        <f t="shared" si="19"/>
        <v>0</v>
      </c>
      <c r="Y121" s="160"/>
      <c r="Z121" s="160">
        <f t="shared" si="20"/>
        <v>0</v>
      </c>
      <c r="AA121" s="165"/>
      <c r="AB121" s="161">
        <f t="shared" si="21"/>
        <v>0</v>
      </c>
      <c r="AC121" s="162"/>
      <c r="AD121" s="162">
        <f t="shared" si="39"/>
        <v>0</v>
      </c>
      <c r="AE121" s="164"/>
      <c r="AF121" s="164">
        <f t="shared" si="40"/>
        <v>0</v>
      </c>
      <c r="AG121" s="165"/>
      <c r="AH121" s="165">
        <f t="shared" si="41"/>
        <v>0</v>
      </c>
      <c r="AI121" s="166">
        <v>0</v>
      </c>
      <c r="AJ121" s="166">
        <f t="shared" si="42"/>
        <v>0</v>
      </c>
      <c r="AK121" s="162"/>
      <c r="AL121" s="162">
        <f t="shared" si="26"/>
        <v>0</v>
      </c>
      <c r="AM121" s="173"/>
      <c r="AN121" s="167">
        <f t="shared" si="27"/>
        <v>0</v>
      </c>
      <c r="AO121" s="163"/>
      <c r="AP121" s="163">
        <f t="shared" si="28"/>
        <v>0</v>
      </c>
      <c r="AQ121" s="168"/>
      <c r="AR121" s="168">
        <f t="shared" si="29"/>
        <v>0</v>
      </c>
      <c r="AS121" s="170"/>
      <c r="AT121" s="170">
        <f t="shared" si="30"/>
        <v>0</v>
      </c>
      <c r="AU121" s="166"/>
      <c r="AV121" s="166">
        <f t="shared" si="31"/>
        <v>0</v>
      </c>
    </row>
    <row r="122" spans="1:48" s="178" customFormat="1" ht="31.5">
      <c r="A122" s="148" t="s">
        <v>5117</v>
      </c>
      <c r="B122" s="150" t="s">
        <v>5118</v>
      </c>
      <c r="C122" s="150" t="s">
        <v>5119</v>
      </c>
      <c r="D122" s="263" t="s">
        <v>4816</v>
      </c>
      <c r="E122" s="632"/>
      <c r="F122" s="150" t="s">
        <v>515</v>
      </c>
      <c r="G122" s="151" t="s">
        <v>517</v>
      </c>
      <c r="H122" s="152" t="s">
        <v>5102</v>
      </c>
      <c r="I122" s="150" t="s">
        <v>516</v>
      </c>
      <c r="J122" s="153" t="s">
        <v>5120</v>
      </c>
      <c r="K122" s="151">
        <v>60</v>
      </c>
      <c r="L122" s="151" t="s">
        <v>518</v>
      </c>
      <c r="M122" s="151" t="s">
        <v>519</v>
      </c>
      <c r="N122" s="151" t="s">
        <v>5121</v>
      </c>
      <c r="O122" s="151" t="s">
        <v>520</v>
      </c>
      <c r="P122" s="154">
        <v>8377</v>
      </c>
      <c r="Q122" s="155">
        <v>8376</v>
      </c>
      <c r="R122" s="154">
        <v>7500</v>
      </c>
      <c r="S122" s="156">
        <f t="shared" si="16"/>
        <v>62820000</v>
      </c>
      <c r="T122" s="589"/>
      <c r="U122" s="157">
        <v>6200</v>
      </c>
      <c r="V122" s="158">
        <f t="shared" si="38"/>
        <v>5300</v>
      </c>
      <c r="W122" s="159">
        <f t="shared" si="18"/>
        <v>900</v>
      </c>
      <c r="X122" s="159">
        <f t="shared" si="19"/>
        <v>7538400</v>
      </c>
      <c r="Y122" s="160"/>
      <c r="Z122" s="160">
        <f t="shared" si="20"/>
        <v>0</v>
      </c>
      <c r="AA122" s="165"/>
      <c r="AB122" s="161">
        <f t="shared" si="21"/>
        <v>0</v>
      </c>
      <c r="AC122" s="162"/>
      <c r="AD122" s="162">
        <f t="shared" si="39"/>
        <v>0</v>
      </c>
      <c r="AE122" s="164"/>
      <c r="AF122" s="164">
        <f t="shared" si="40"/>
        <v>0</v>
      </c>
      <c r="AG122" s="165"/>
      <c r="AH122" s="165">
        <f t="shared" si="41"/>
        <v>0</v>
      </c>
      <c r="AI122" s="166">
        <v>300</v>
      </c>
      <c r="AJ122" s="166">
        <f t="shared" si="42"/>
        <v>2512800</v>
      </c>
      <c r="AK122" s="162"/>
      <c r="AL122" s="162">
        <f t="shared" si="26"/>
        <v>0</v>
      </c>
      <c r="AM122" s="173"/>
      <c r="AN122" s="167">
        <f t="shared" si="27"/>
        <v>0</v>
      </c>
      <c r="AO122" s="163"/>
      <c r="AP122" s="163">
        <f t="shared" si="28"/>
        <v>0</v>
      </c>
      <c r="AQ122" s="168"/>
      <c r="AR122" s="168">
        <f t="shared" si="29"/>
        <v>0</v>
      </c>
      <c r="AS122" s="170">
        <v>500</v>
      </c>
      <c r="AT122" s="170">
        <f t="shared" si="30"/>
        <v>4188000</v>
      </c>
      <c r="AU122" s="166">
        <v>100</v>
      </c>
      <c r="AV122" s="166">
        <f t="shared" si="31"/>
        <v>837600</v>
      </c>
    </row>
    <row r="123" spans="1:48" s="178" customFormat="1" ht="31.5">
      <c r="A123" s="172" t="s">
        <v>4578</v>
      </c>
      <c r="B123" s="150" t="s">
        <v>5118</v>
      </c>
      <c r="C123" s="150" t="s">
        <v>5119</v>
      </c>
      <c r="D123" s="634" t="s">
        <v>5166</v>
      </c>
      <c r="E123" s="631"/>
      <c r="F123" s="175" t="s">
        <v>280</v>
      </c>
      <c r="G123" s="151" t="s">
        <v>5167</v>
      </c>
      <c r="H123" s="174" t="s">
        <v>211</v>
      </c>
      <c r="I123" s="150" t="s">
        <v>5168</v>
      </c>
      <c r="J123" s="153" t="s">
        <v>5169</v>
      </c>
      <c r="K123" s="151">
        <v>36</v>
      </c>
      <c r="L123" s="151" t="s">
        <v>5170</v>
      </c>
      <c r="M123" s="151" t="s">
        <v>5171</v>
      </c>
      <c r="N123" s="152" t="s">
        <v>5116</v>
      </c>
      <c r="O123" s="152" t="s">
        <v>5141</v>
      </c>
      <c r="P123" s="176">
        <v>46000</v>
      </c>
      <c r="Q123" s="177">
        <v>42000</v>
      </c>
      <c r="R123" s="176">
        <v>750</v>
      </c>
      <c r="S123" s="156">
        <f t="shared" si="16"/>
        <v>31500000</v>
      </c>
      <c r="T123" s="589"/>
      <c r="U123" s="157">
        <v>750</v>
      </c>
      <c r="V123" s="158">
        <f t="shared" si="38"/>
        <v>750</v>
      </c>
      <c r="W123" s="159">
        <f t="shared" si="18"/>
        <v>0</v>
      </c>
      <c r="X123" s="159">
        <f t="shared" si="19"/>
        <v>0</v>
      </c>
      <c r="Y123" s="160"/>
      <c r="Z123" s="160">
        <f t="shared" si="20"/>
        <v>0</v>
      </c>
      <c r="AA123" s="161"/>
      <c r="AB123" s="161">
        <f t="shared" si="21"/>
        <v>0</v>
      </c>
      <c r="AC123" s="162"/>
      <c r="AD123" s="162">
        <f t="shared" si="39"/>
        <v>0</v>
      </c>
      <c r="AE123" s="163"/>
      <c r="AF123" s="164">
        <f t="shared" si="40"/>
        <v>0</v>
      </c>
      <c r="AG123" s="161"/>
      <c r="AH123" s="165">
        <f t="shared" si="41"/>
        <v>0</v>
      </c>
      <c r="AI123" s="160">
        <v>0</v>
      </c>
      <c r="AJ123" s="166">
        <f t="shared" si="42"/>
        <v>0</v>
      </c>
      <c r="AK123" s="162"/>
      <c r="AL123" s="162">
        <f t="shared" si="26"/>
        <v>0</v>
      </c>
      <c r="AM123" s="167"/>
      <c r="AN123" s="167">
        <f t="shared" si="27"/>
        <v>0</v>
      </c>
      <c r="AO123" s="163"/>
      <c r="AP123" s="163">
        <f t="shared" si="28"/>
        <v>0</v>
      </c>
      <c r="AQ123" s="162"/>
      <c r="AR123" s="168">
        <f t="shared" si="29"/>
        <v>0</v>
      </c>
      <c r="AS123" s="169"/>
      <c r="AT123" s="170">
        <f t="shared" si="30"/>
        <v>0</v>
      </c>
      <c r="AU123" s="160"/>
      <c r="AV123" s="166">
        <f t="shared" si="31"/>
        <v>0</v>
      </c>
    </row>
    <row r="124" spans="1:48" s="115" customFormat="1" ht="31.5">
      <c r="A124" s="148" t="s">
        <v>5223</v>
      </c>
      <c r="B124" s="150" t="s">
        <v>5118</v>
      </c>
      <c r="C124" s="150" t="s">
        <v>5119</v>
      </c>
      <c r="D124" s="634" t="s">
        <v>5224</v>
      </c>
      <c r="E124" s="631"/>
      <c r="F124" s="175" t="s">
        <v>515</v>
      </c>
      <c r="G124" s="151" t="s">
        <v>517</v>
      </c>
      <c r="H124" s="174" t="s">
        <v>211</v>
      </c>
      <c r="I124" s="150" t="s">
        <v>516</v>
      </c>
      <c r="J124" s="153" t="s">
        <v>5120</v>
      </c>
      <c r="K124" s="151">
        <v>60</v>
      </c>
      <c r="L124" s="151" t="s">
        <v>5225</v>
      </c>
      <c r="M124" s="151" t="s">
        <v>519</v>
      </c>
      <c r="N124" s="151" t="s">
        <v>5121</v>
      </c>
      <c r="O124" s="152" t="s">
        <v>5141</v>
      </c>
      <c r="P124" s="176">
        <v>8377</v>
      </c>
      <c r="Q124" s="177">
        <v>8376</v>
      </c>
      <c r="R124" s="176">
        <v>15000</v>
      </c>
      <c r="S124" s="156">
        <f t="shared" si="16"/>
        <v>125640000</v>
      </c>
      <c r="T124" s="589"/>
      <c r="U124" s="157">
        <v>15000</v>
      </c>
      <c r="V124" s="158">
        <f t="shared" si="38"/>
        <v>15000</v>
      </c>
      <c r="W124" s="159">
        <f t="shared" si="18"/>
        <v>0</v>
      </c>
      <c r="X124" s="159">
        <f t="shared" si="19"/>
        <v>0</v>
      </c>
      <c r="Y124" s="160"/>
      <c r="Z124" s="160">
        <f t="shared" si="20"/>
        <v>0</v>
      </c>
      <c r="AA124" s="165"/>
      <c r="AB124" s="161">
        <f t="shared" si="21"/>
        <v>0</v>
      </c>
      <c r="AC124" s="162"/>
      <c r="AD124" s="162">
        <f t="shared" si="39"/>
        <v>0</v>
      </c>
      <c r="AE124" s="164"/>
      <c r="AF124" s="164">
        <f t="shared" si="40"/>
        <v>0</v>
      </c>
      <c r="AG124" s="165"/>
      <c r="AH124" s="165">
        <f t="shared" si="41"/>
        <v>0</v>
      </c>
      <c r="AI124" s="166">
        <v>0</v>
      </c>
      <c r="AJ124" s="166">
        <f t="shared" si="42"/>
        <v>0</v>
      </c>
      <c r="AK124" s="162"/>
      <c r="AL124" s="162">
        <f t="shared" si="26"/>
        <v>0</v>
      </c>
      <c r="AM124" s="173"/>
      <c r="AN124" s="167">
        <f t="shared" si="27"/>
        <v>0</v>
      </c>
      <c r="AO124" s="163"/>
      <c r="AP124" s="163">
        <f t="shared" si="28"/>
        <v>0</v>
      </c>
      <c r="AQ124" s="168"/>
      <c r="AR124" s="168">
        <f t="shared" si="29"/>
        <v>0</v>
      </c>
      <c r="AS124" s="170"/>
      <c r="AT124" s="170">
        <f t="shared" si="30"/>
        <v>0</v>
      </c>
      <c r="AU124" s="166"/>
      <c r="AV124" s="166">
        <f t="shared" si="31"/>
        <v>0</v>
      </c>
    </row>
    <row r="125" spans="1:48" s="115" customFormat="1" ht="31.5">
      <c r="A125" s="148" t="s">
        <v>5226</v>
      </c>
      <c r="B125" s="150" t="s">
        <v>5118</v>
      </c>
      <c r="C125" s="150" t="s">
        <v>5119</v>
      </c>
      <c r="D125" s="634" t="s">
        <v>4819</v>
      </c>
      <c r="E125" s="631" t="s">
        <v>12642</v>
      </c>
      <c r="F125" s="175" t="s">
        <v>515</v>
      </c>
      <c r="G125" s="151" t="s">
        <v>238</v>
      </c>
      <c r="H125" s="174" t="s">
        <v>211</v>
      </c>
      <c r="I125" s="150" t="s">
        <v>521</v>
      </c>
      <c r="J125" s="153" t="s">
        <v>5227</v>
      </c>
      <c r="K125" s="151">
        <v>36</v>
      </c>
      <c r="L125" s="151" t="s">
        <v>522</v>
      </c>
      <c r="M125" s="151" t="s">
        <v>523</v>
      </c>
      <c r="N125" s="152" t="s">
        <v>5116</v>
      </c>
      <c r="O125" s="152" t="s">
        <v>10</v>
      </c>
      <c r="P125" s="176">
        <v>1120</v>
      </c>
      <c r="Q125" s="177">
        <v>1120</v>
      </c>
      <c r="R125" s="176">
        <v>109200</v>
      </c>
      <c r="S125" s="156">
        <f t="shared" si="16"/>
        <v>122304000</v>
      </c>
      <c r="T125" s="589"/>
      <c r="U125" s="157">
        <v>84700</v>
      </c>
      <c r="V125" s="158">
        <f t="shared" si="38"/>
        <v>55700</v>
      </c>
      <c r="W125" s="159">
        <f t="shared" si="18"/>
        <v>29000</v>
      </c>
      <c r="X125" s="159">
        <f t="shared" si="19"/>
        <v>32480000</v>
      </c>
      <c r="Y125" s="160"/>
      <c r="Z125" s="160">
        <f t="shared" si="20"/>
        <v>0</v>
      </c>
      <c r="AA125" s="165"/>
      <c r="AB125" s="161">
        <f t="shared" si="21"/>
        <v>0</v>
      </c>
      <c r="AC125" s="162"/>
      <c r="AD125" s="162">
        <f t="shared" si="39"/>
        <v>0</v>
      </c>
      <c r="AE125" s="164"/>
      <c r="AF125" s="164">
        <f t="shared" si="40"/>
        <v>0</v>
      </c>
      <c r="AG125" s="165">
        <v>6000</v>
      </c>
      <c r="AH125" s="165">
        <f t="shared" si="41"/>
        <v>6720000</v>
      </c>
      <c r="AI125" s="166">
        <v>700</v>
      </c>
      <c r="AJ125" s="166">
        <f t="shared" si="42"/>
        <v>784000</v>
      </c>
      <c r="AK125" s="162"/>
      <c r="AL125" s="162">
        <f t="shared" si="26"/>
        <v>0</v>
      </c>
      <c r="AM125" s="173"/>
      <c r="AN125" s="167">
        <f t="shared" si="27"/>
        <v>0</v>
      </c>
      <c r="AO125" s="163"/>
      <c r="AP125" s="163">
        <f t="shared" si="28"/>
        <v>0</v>
      </c>
      <c r="AQ125" s="168"/>
      <c r="AR125" s="168">
        <f t="shared" si="29"/>
        <v>0</v>
      </c>
      <c r="AS125" s="170">
        <v>12300</v>
      </c>
      <c r="AT125" s="170">
        <f t="shared" si="30"/>
        <v>13776000</v>
      </c>
      <c r="AU125" s="166">
        <v>10000</v>
      </c>
      <c r="AV125" s="166">
        <f t="shared" si="31"/>
        <v>11200000</v>
      </c>
    </row>
    <row r="126" spans="1:48" s="115" customFormat="1" ht="31.5">
      <c r="A126" s="172" t="s">
        <v>5244</v>
      </c>
      <c r="B126" s="150" t="s">
        <v>5118</v>
      </c>
      <c r="C126" s="150" t="s">
        <v>5119</v>
      </c>
      <c r="D126" s="634" t="s">
        <v>5245</v>
      </c>
      <c r="E126" s="631"/>
      <c r="F126" s="175" t="s">
        <v>353</v>
      </c>
      <c r="G126" s="151" t="s">
        <v>524</v>
      </c>
      <c r="H126" s="174" t="s">
        <v>211</v>
      </c>
      <c r="I126" s="150" t="s">
        <v>5246</v>
      </c>
      <c r="J126" s="153" t="s">
        <v>5247</v>
      </c>
      <c r="K126" s="151">
        <v>60</v>
      </c>
      <c r="L126" s="151" t="s">
        <v>525</v>
      </c>
      <c r="M126" s="151" t="s">
        <v>526</v>
      </c>
      <c r="N126" s="151" t="s">
        <v>5121</v>
      </c>
      <c r="O126" s="152" t="s">
        <v>5141</v>
      </c>
      <c r="P126" s="176">
        <v>22761</v>
      </c>
      <c r="Q126" s="177">
        <v>22761</v>
      </c>
      <c r="R126" s="176">
        <v>2700</v>
      </c>
      <c r="S126" s="156">
        <f t="shared" si="16"/>
        <v>61454700</v>
      </c>
      <c r="T126" s="589"/>
      <c r="U126" s="157">
        <v>2700</v>
      </c>
      <c r="V126" s="158">
        <f t="shared" si="38"/>
        <v>2700</v>
      </c>
      <c r="W126" s="159">
        <f t="shared" si="18"/>
        <v>0</v>
      </c>
      <c r="X126" s="159">
        <f t="shared" si="19"/>
        <v>0</v>
      </c>
      <c r="Y126" s="160"/>
      <c r="Z126" s="160">
        <f t="shared" si="20"/>
        <v>0</v>
      </c>
      <c r="AA126" s="165"/>
      <c r="AB126" s="161">
        <f t="shared" si="21"/>
        <v>0</v>
      </c>
      <c r="AC126" s="162"/>
      <c r="AD126" s="162">
        <f t="shared" si="39"/>
        <v>0</v>
      </c>
      <c r="AE126" s="164"/>
      <c r="AF126" s="164">
        <f t="shared" si="40"/>
        <v>0</v>
      </c>
      <c r="AG126" s="165"/>
      <c r="AH126" s="165">
        <f t="shared" si="41"/>
        <v>0</v>
      </c>
      <c r="AI126" s="166">
        <v>0</v>
      </c>
      <c r="AJ126" s="166">
        <f t="shared" si="42"/>
        <v>0</v>
      </c>
      <c r="AK126" s="162"/>
      <c r="AL126" s="162">
        <f t="shared" si="26"/>
        <v>0</v>
      </c>
      <c r="AM126" s="173"/>
      <c r="AN126" s="167">
        <f t="shared" si="27"/>
        <v>0</v>
      </c>
      <c r="AO126" s="163"/>
      <c r="AP126" s="163">
        <f t="shared" si="28"/>
        <v>0</v>
      </c>
      <c r="AQ126" s="168"/>
      <c r="AR126" s="168">
        <f t="shared" si="29"/>
        <v>0</v>
      </c>
      <c r="AS126" s="170"/>
      <c r="AT126" s="170">
        <f t="shared" si="30"/>
        <v>0</v>
      </c>
      <c r="AU126" s="166"/>
      <c r="AV126" s="166">
        <f t="shared" si="31"/>
        <v>0</v>
      </c>
    </row>
    <row r="127" spans="1:48" s="115" customFormat="1" ht="31.5">
      <c r="A127" s="172" t="s">
        <v>5262</v>
      </c>
      <c r="B127" s="150" t="s">
        <v>5118</v>
      </c>
      <c r="C127" s="150" t="s">
        <v>5119</v>
      </c>
      <c r="D127" s="634" t="s">
        <v>4908</v>
      </c>
      <c r="E127" s="631" t="s">
        <v>12642</v>
      </c>
      <c r="F127" s="175" t="s">
        <v>227</v>
      </c>
      <c r="G127" s="151" t="s">
        <v>225</v>
      </c>
      <c r="H127" s="174" t="s">
        <v>211</v>
      </c>
      <c r="I127" s="150" t="s">
        <v>527</v>
      </c>
      <c r="J127" s="153" t="s">
        <v>5263</v>
      </c>
      <c r="K127" s="151">
        <v>36</v>
      </c>
      <c r="L127" s="151" t="s">
        <v>528</v>
      </c>
      <c r="M127" s="151" t="s">
        <v>529</v>
      </c>
      <c r="N127" s="152" t="s">
        <v>5264</v>
      </c>
      <c r="O127" s="152" t="s">
        <v>410</v>
      </c>
      <c r="P127" s="176">
        <v>1958</v>
      </c>
      <c r="Q127" s="177">
        <v>1954</v>
      </c>
      <c r="R127" s="176">
        <v>210000</v>
      </c>
      <c r="S127" s="156">
        <f t="shared" si="16"/>
        <v>410340000</v>
      </c>
      <c r="T127" s="589"/>
      <c r="U127" s="157">
        <v>181100</v>
      </c>
      <c r="V127" s="158">
        <f t="shared" si="38"/>
        <v>108900</v>
      </c>
      <c r="W127" s="159">
        <f t="shared" si="18"/>
        <v>72200</v>
      </c>
      <c r="X127" s="159">
        <f t="shared" si="19"/>
        <v>141078800</v>
      </c>
      <c r="Y127" s="160"/>
      <c r="Z127" s="160">
        <f t="shared" si="20"/>
        <v>0</v>
      </c>
      <c r="AA127" s="165"/>
      <c r="AB127" s="161">
        <f t="shared" si="21"/>
        <v>0</v>
      </c>
      <c r="AC127" s="162"/>
      <c r="AD127" s="162">
        <f t="shared" si="39"/>
        <v>0</v>
      </c>
      <c r="AE127" s="163"/>
      <c r="AF127" s="164">
        <f t="shared" si="40"/>
        <v>0</v>
      </c>
      <c r="AG127" s="161">
        <v>10000</v>
      </c>
      <c r="AH127" s="165">
        <f t="shared" si="41"/>
        <v>19540000</v>
      </c>
      <c r="AI127" s="160">
        <v>0</v>
      </c>
      <c r="AJ127" s="166">
        <f t="shared" si="42"/>
        <v>0</v>
      </c>
      <c r="AK127" s="162"/>
      <c r="AL127" s="162">
        <f t="shared" si="26"/>
        <v>0</v>
      </c>
      <c r="AM127" s="173"/>
      <c r="AN127" s="167">
        <f t="shared" si="27"/>
        <v>0</v>
      </c>
      <c r="AO127" s="163"/>
      <c r="AP127" s="163">
        <f t="shared" si="28"/>
        <v>0</v>
      </c>
      <c r="AQ127" s="162"/>
      <c r="AR127" s="168">
        <f t="shared" si="29"/>
        <v>0</v>
      </c>
      <c r="AS127" s="169">
        <f>12200+10000</f>
        <v>22200</v>
      </c>
      <c r="AT127" s="170">
        <f t="shared" si="30"/>
        <v>43378800</v>
      </c>
      <c r="AU127" s="160">
        <v>40000</v>
      </c>
      <c r="AV127" s="166">
        <f t="shared" si="31"/>
        <v>78160000</v>
      </c>
    </row>
    <row r="128" spans="1:48" s="115" customFormat="1" ht="31.5">
      <c r="A128" s="172" t="s">
        <v>5432</v>
      </c>
      <c r="B128" s="150" t="s">
        <v>5118</v>
      </c>
      <c r="C128" s="150" t="s">
        <v>5119</v>
      </c>
      <c r="D128" s="634" t="s">
        <v>4444</v>
      </c>
      <c r="E128" s="631" t="s">
        <v>12642</v>
      </c>
      <c r="F128" s="175" t="s">
        <v>513</v>
      </c>
      <c r="G128" s="151" t="s">
        <v>5433</v>
      </c>
      <c r="H128" s="174" t="s">
        <v>5325</v>
      </c>
      <c r="I128" s="150" t="s">
        <v>3604</v>
      </c>
      <c r="J128" s="153" t="s">
        <v>5434</v>
      </c>
      <c r="K128" s="151">
        <v>36</v>
      </c>
      <c r="L128" s="151" t="s">
        <v>5435</v>
      </c>
      <c r="M128" s="151" t="s">
        <v>514</v>
      </c>
      <c r="N128" s="152" t="s">
        <v>213</v>
      </c>
      <c r="O128" s="152" t="s">
        <v>5141</v>
      </c>
      <c r="P128" s="176">
        <v>17215</v>
      </c>
      <c r="Q128" s="177">
        <v>8715</v>
      </c>
      <c r="R128" s="176">
        <v>23600</v>
      </c>
      <c r="S128" s="156">
        <f t="shared" si="16"/>
        <v>205674000</v>
      </c>
      <c r="T128" s="589"/>
      <c r="U128" s="157">
        <v>23600</v>
      </c>
      <c r="V128" s="158">
        <f t="shared" si="38"/>
        <v>22600</v>
      </c>
      <c r="W128" s="159">
        <f t="shared" si="18"/>
        <v>1000</v>
      </c>
      <c r="X128" s="159">
        <f t="shared" si="19"/>
        <v>8715000</v>
      </c>
      <c r="Y128" s="160"/>
      <c r="Z128" s="160">
        <f t="shared" si="20"/>
        <v>0</v>
      </c>
      <c r="AA128" s="165"/>
      <c r="AB128" s="161">
        <f t="shared" si="21"/>
        <v>0</v>
      </c>
      <c r="AC128" s="162"/>
      <c r="AD128" s="162">
        <f t="shared" si="39"/>
        <v>0</v>
      </c>
      <c r="AE128" s="164"/>
      <c r="AF128" s="164">
        <f t="shared" si="40"/>
        <v>0</v>
      </c>
      <c r="AG128" s="165">
        <v>100</v>
      </c>
      <c r="AH128" s="165">
        <f t="shared" si="41"/>
        <v>871500</v>
      </c>
      <c r="AI128" s="166">
        <v>200</v>
      </c>
      <c r="AJ128" s="166">
        <f t="shared" si="42"/>
        <v>1743000</v>
      </c>
      <c r="AK128" s="162"/>
      <c r="AL128" s="162">
        <f t="shared" si="26"/>
        <v>0</v>
      </c>
      <c r="AM128" s="173"/>
      <c r="AN128" s="167">
        <f t="shared" si="27"/>
        <v>0</v>
      </c>
      <c r="AO128" s="163"/>
      <c r="AP128" s="163">
        <f t="shared" si="28"/>
        <v>0</v>
      </c>
      <c r="AQ128" s="168"/>
      <c r="AR128" s="168">
        <f t="shared" si="29"/>
        <v>0</v>
      </c>
      <c r="AS128" s="170">
        <v>500</v>
      </c>
      <c r="AT128" s="170">
        <f t="shared" si="30"/>
        <v>4357500</v>
      </c>
      <c r="AU128" s="166">
        <v>200</v>
      </c>
      <c r="AV128" s="166">
        <f t="shared" si="31"/>
        <v>1743000</v>
      </c>
    </row>
    <row r="129" spans="1:48" s="115" customFormat="1" ht="31.5">
      <c r="A129" s="148" t="s">
        <v>5436</v>
      </c>
      <c r="B129" s="150" t="s">
        <v>5118</v>
      </c>
      <c r="C129" s="150" t="s">
        <v>5119</v>
      </c>
      <c r="D129" s="634" t="s">
        <v>5437</v>
      </c>
      <c r="E129" s="631" t="s">
        <v>12642</v>
      </c>
      <c r="F129" s="175" t="s">
        <v>513</v>
      </c>
      <c r="G129" s="151" t="s">
        <v>5438</v>
      </c>
      <c r="H129" s="174" t="s">
        <v>5325</v>
      </c>
      <c r="I129" s="150" t="s">
        <v>5439</v>
      </c>
      <c r="J129" s="153" t="s">
        <v>5440</v>
      </c>
      <c r="K129" s="151">
        <v>36</v>
      </c>
      <c r="L129" s="151" t="s">
        <v>5435</v>
      </c>
      <c r="M129" s="151" t="s">
        <v>514</v>
      </c>
      <c r="N129" s="152" t="s">
        <v>213</v>
      </c>
      <c r="O129" s="152" t="s">
        <v>5141</v>
      </c>
      <c r="P129" s="176">
        <v>13252</v>
      </c>
      <c r="Q129" s="177">
        <v>8652</v>
      </c>
      <c r="R129" s="176">
        <v>2300</v>
      </c>
      <c r="S129" s="156">
        <f t="shared" si="16"/>
        <v>19899600</v>
      </c>
      <c r="T129" s="589"/>
      <c r="U129" s="157">
        <v>2300</v>
      </c>
      <c r="V129" s="158">
        <f t="shared" si="38"/>
        <v>2300</v>
      </c>
      <c r="W129" s="159">
        <f t="shared" si="18"/>
        <v>0</v>
      </c>
      <c r="X129" s="159">
        <f t="shared" si="19"/>
        <v>0</v>
      </c>
      <c r="Y129" s="160"/>
      <c r="Z129" s="160">
        <f t="shared" si="20"/>
        <v>0</v>
      </c>
      <c r="AA129" s="165"/>
      <c r="AB129" s="161">
        <f t="shared" si="21"/>
        <v>0</v>
      </c>
      <c r="AC129" s="162"/>
      <c r="AD129" s="162">
        <f t="shared" si="39"/>
        <v>0</v>
      </c>
      <c r="AE129" s="164"/>
      <c r="AF129" s="164">
        <f t="shared" si="40"/>
        <v>0</v>
      </c>
      <c r="AG129" s="165"/>
      <c r="AH129" s="165">
        <f t="shared" si="41"/>
        <v>0</v>
      </c>
      <c r="AI129" s="166">
        <v>0</v>
      </c>
      <c r="AJ129" s="166">
        <f t="shared" si="42"/>
        <v>0</v>
      </c>
      <c r="AK129" s="162"/>
      <c r="AL129" s="162">
        <f t="shared" si="26"/>
        <v>0</v>
      </c>
      <c r="AM129" s="173"/>
      <c r="AN129" s="167">
        <f t="shared" si="27"/>
        <v>0</v>
      </c>
      <c r="AO129" s="163"/>
      <c r="AP129" s="163">
        <f t="shared" si="28"/>
        <v>0</v>
      </c>
      <c r="AQ129" s="168"/>
      <c r="AR129" s="168">
        <f t="shared" si="29"/>
        <v>0</v>
      </c>
      <c r="AS129" s="170"/>
      <c r="AT129" s="170">
        <f t="shared" si="30"/>
        <v>0</v>
      </c>
      <c r="AU129" s="166"/>
      <c r="AV129" s="166">
        <f t="shared" si="31"/>
        <v>0</v>
      </c>
    </row>
    <row r="130" spans="1:48" s="178" customFormat="1" ht="31.5">
      <c r="A130" s="148" t="s">
        <v>5545</v>
      </c>
      <c r="B130" s="150" t="s">
        <v>5118</v>
      </c>
      <c r="C130" s="150" t="s">
        <v>5119</v>
      </c>
      <c r="D130" s="634" t="s">
        <v>5546</v>
      </c>
      <c r="E130" s="631"/>
      <c r="F130" s="175" t="s">
        <v>227</v>
      </c>
      <c r="G130" s="151" t="s">
        <v>398</v>
      </c>
      <c r="H130" s="174" t="s">
        <v>5525</v>
      </c>
      <c r="I130" s="150" t="s">
        <v>5547</v>
      </c>
      <c r="J130" s="153" t="s">
        <v>5548</v>
      </c>
      <c r="K130" s="151">
        <v>36</v>
      </c>
      <c r="L130" s="151" t="s">
        <v>5549</v>
      </c>
      <c r="M130" s="151" t="s">
        <v>5550</v>
      </c>
      <c r="N130" s="152" t="s">
        <v>5551</v>
      </c>
      <c r="O130" s="152" t="s">
        <v>10</v>
      </c>
      <c r="P130" s="176">
        <v>1342</v>
      </c>
      <c r="Q130" s="177">
        <v>1342</v>
      </c>
      <c r="R130" s="176">
        <v>740000</v>
      </c>
      <c r="S130" s="156">
        <f t="shared" si="16"/>
        <v>993080000</v>
      </c>
      <c r="T130" s="589"/>
      <c r="U130" s="157">
        <v>740000</v>
      </c>
      <c r="V130" s="158">
        <f t="shared" si="38"/>
        <v>740000</v>
      </c>
      <c r="W130" s="159">
        <f t="shared" si="18"/>
        <v>0</v>
      </c>
      <c r="X130" s="159">
        <f t="shared" si="19"/>
        <v>0</v>
      </c>
      <c r="Y130" s="160"/>
      <c r="Z130" s="160">
        <f t="shared" si="20"/>
        <v>0</v>
      </c>
      <c r="AA130" s="165"/>
      <c r="AB130" s="161">
        <f t="shared" si="21"/>
        <v>0</v>
      </c>
      <c r="AC130" s="162"/>
      <c r="AD130" s="162">
        <f t="shared" si="39"/>
        <v>0</v>
      </c>
      <c r="AE130" s="163"/>
      <c r="AF130" s="164">
        <f t="shared" si="40"/>
        <v>0</v>
      </c>
      <c r="AG130" s="161"/>
      <c r="AH130" s="165">
        <f t="shared" si="41"/>
        <v>0</v>
      </c>
      <c r="AI130" s="160">
        <v>0</v>
      </c>
      <c r="AJ130" s="166">
        <f t="shared" si="42"/>
        <v>0</v>
      </c>
      <c r="AK130" s="162"/>
      <c r="AL130" s="162">
        <f t="shared" si="26"/>
        <v>0</v>
      </c>
      <c r="AM130" s="173"/>
      <c r="AN130" s="167">
        <f t="shared" si="27"/>
        <v>0</v>
      </c>
      <c r="AO130" s="163"/>
      <c r="AP130" s="163">
        <f t="shared" si="28"/>
        <v>0</v>
      </c>
      <c r="AQ130" s="162"/>
      <c r="AR130" s="168">
        <f t="shared" si="29"/>
        <v>0</v>
      </c>
      <c r="AS130" s="169"/>
      <c r="AT130" s="170">
        <f t="shared" si="30"/>
        <v>0</v>
      </c>
      <c r="AU130" s="160"/>
      <c r="AV130" s="166">
        <f t="shared" si="31"/>
        <v>0</v>
      </c>
    </row>
    <row r="131" spans="1:48" s="178" customFormat="1" ht="31.5">
      <c r="A131" s="148" t="s">
        <v>5606</v>
      </c>
      <c r="B131" s="150" t="s">
        <v>5118</v>
      </c>
      <c r="C131" s="150" t="s">
        <v>5119</v>
      </c>
      <c r="D131" s="603" t="s">
        <v>4259</v>
      </c>
      <c r="E131" s="588"/>
      <c r="F131" s="183" t="s">
        <v>882</v>
      </c>
      <c r="G131" s="182" t="s">
        <v>262</v>
      </c>
      <c r="H131" s="182" t="s">
        <v>5607</v>
      </c>
      <c r="I131" s="184" t="s">
        <v>4260</v>
      </c>
      <c r="J131" s="182" t="s">
        <v>5608</v>
      </c>
      <c r="K131" s="153" t="s">
        <v>5104</v>
      </c>
      <c r="L131" s="153" t="s">
        <v>885</v>
      </c>
      <c r="M131" s="153" t="s">
        <v>298</v>
      </c>
      <c r="N131" s="94" t="s">
        <v>5116</v>
      </c>
      <c r="O131" s="185" t="s">
        <v>10</v>
      </c>
      <c r="P131" s="186"/>
      <c r="Q131" s="186">
        <v>58240</v>
      </c>
      <c r="R131" s="187">
        <v>400</v>
      </c>
      <c r="S131" s="186">
        <f t="shared" si="16"/>
        <v>23296000</v>
      </c>
      <c r="T131" s="589"/>
      <c r="U131" s="157">
        <v>400</v>
      </c>
      <c r="V131" s="158">
        <f t="shared" si="38"/>
        <v>280</v>
      </c>
      <c r="W131" s="159">
        <f t="shared" si="18"/>
        <v>120</v>
      </c>
      <c r="X131" s="159">
        <f t="shared" si="19"/>
        <v>6988800</v>
      </c>
      <c r="Y131" s="160"/>
      <c r="Z131" s="160">
        <f t="shared" si="20"/>
        <v>0</v>
      </c>
      <c r="AA131" s="161"/>
      <c r="AB131" s="161">
        <f t="shared" si="21"/>
        <v>0</v>
      </c>
      <c r="AC131" s="162"/>
      <c r="AD131" s="162">
        <f t="shared" si="39"/>
        <v>0</v>
      </c>
      <c r="AE131" s="164"/>
      <c r="AF131" s="164">
        <f t="shared" si="40"/>
        <v>0</v>
      </c>
      <c r="AG131" s="165">
        <v>30</v>
      </c>
      <c r="AH131" s="165">
        <f t="shared" si="41"/>
        <v>1747200</v>
      </c>
      <c r="AI131" s="166">
        <v>90</v>
      </c>
      <c r="AJ131" s="166">
        <f t="shared" si="42"/>
        <v>5241600</v>
      </c>
      <c r="AK131" s="162"/>
      <c r="AL131" s="162">
        <f t="shared" si="26"/>
        <v>0</v>
      </c>
      <c r="AM131" s="167"/>
      <c r="AN131" s="167">
        <f t="shared" si="27"/>
        <v>0</v>
      </c>
      <c r="AO131" s="163"/>
      <c r="AP131" s="163">
        <f t="shared" si="28"/>
        <v>0</v>
      </c>
      <c r="AQ131" s="168"/>
      <c r="AR131" s="168">
        <f t="shared" si="29"/>
        <v>0</v>
      </c>
      <c r="AS131" s="170"/>
      <c r="AT131" s="170">
        <f t="shared" si="30"/>
        <v>0</v>
      </c>
      <c r="AU131" s="166"/>
      <c r="AV131" s="166">
        <f t="shared" si="31"/>
        <v>0</v>
      </c>
    </row>
    <row r="132" spans="1:48" s="178" customFormat="1" ht="47.25">
      <c r="A132" s="172" t="s">
        <v>5609</v>
      </c>
      <c r="B132" s="150" t="s">
        <v>5118</v>
      </c>
      <c r="C132" s="150" t="s">
        <v>5119</v>
      </c>
      <c r="D132" s="604" t="s">
        <v>5610</v>
      </c>
      <c r="E132" s="153"/>
      <c r="F132" s="184" t="s">
        <v>2454</v>
      </c>
      <c r="G132" s="153" t="s">
        <v>5611</v>
      </c>
      <c r="H132" s="188" t="s">
        <v>5612</v>
      </c>
      <c r="I132" s="153" t="s">
        <v>3801</v>
      </c>
      <c r="J132" s="153" t="s">
        <v>5613</v>
      </c>
      <c r="K132" s="184" t="s">
        <v>253</v>
      </c>
      <c r="L132" s="153" t="s">
        <v>5614</v>
      </c>
      <c r="M132" s="153" t="s">
        <v>2036</v>
      </c>
      <c r="N132" s="153" t="s">
        <v>5105</v>
      </c>
      <c r="O132" s="153" t="s">
        <v>2037</v>
      </c>
      <c r="P132" s="189">
        <f>VLOOKUP($D132,'[1]07_VIMEDIMEX-BD'!$B$12:$O$54,11,0)</f>
        <v>132323</v>
      </c>
      <c r="Q132" s="189">
        <f>VLOOKUP($D132,'[1]07_VIMEDIMEX-BD'!$B$12:$O$54,12,0)</f>
        <v>132323</v>
      </c>
      <c r="R132" s="190">
        <v>3000</v>
      </c>
      <c r="S132" s="191">
        <f t="shared" si="16"/>
        <v>396969000</v>
      </c>
      <c r="T132" s="589"/>
      <c r="U132" s="192">
        <v>3000</v>
      </c>
      <c r="V132" s="158">
        <f>R132-W132</f>
        <v>2700</v>
      </c>
      <c r="W132" s="159">
        <f t="shared" si="18"/>
        <v>300</v>
      </c>
      <c r="X132" s="159">
        <f t="shared" si="19"/>
        <v>39696900</v>
      </c>
      <c r="Y132" s="193"/>
      <c r="Z132" s="160">
        <f t="shared" si="20"/>
        <v>0</v>
      </c>
      <c r="AA132" s="194"/>
      <c r="AB132" s="161">
        <f t="shared" si="21"/>
        <v>0</v>
      </c>
      <c r="AC132" s="195"/>
      <c r="AD132" s="162">
        <f t="shared" si="39"/>
        <v>0</v>
      </c>
      <c r="AE132" s="196"/>
      <c r="AF132" s="164">
        <f t="shared" si="40"/>
        <v>0</v>
      </c>
      <c r="AG132" s="197">
        <v>300</v>
      </c>
      <c r="AH132" s="165">
        <f t="shared" si="41"/>
        <v>39696900</v>
      </c>
      <c r="AI132" s="198">
        <v>0</v>
      </c>
      <c r="AJ132" s="166">
        <f t="shared" si="42"/>
        <v>0</v>
      </c>
      <c r="AK132" s="195"/>
      <c r="AL132" s="162">
        <f t="shared" si="26"/>
        <v>0</v>
      </c>
      <c r="AM132" s="199"/>
      <c r="AN132" s="167">
        <f t="shared" si="27"/>
        <v>0</v>
      </c>
      <c r="AO132" s="196"/>
      <c r="AP132" s="163">
        <f t="shared" si="28"/>
        <v>0</v>
      </c>
      <c r="AQ132" s="195"/>
      <c r="AR132" s="168">
        <f t="shared" si="29"/>
        <v>0</v>
      </c>
      <c r="AS132" s="200"/>
      <c r="AT132" s="170">
        <f t="shared" si="30"/>
        <v>0</v>
      </c>
      <c r="AU132" s="198"/>
      <c r="AV132" s="166">
        <f t="shared" si="31"/>
        <v>0</v>
      </c>
    </row>
    <row r="133" spans="1:48" s="178" customFormat="1" ht="47.25">
      <c r="A133" s="172" t="s">
        <v>5628</v>
      </c>
      <c r="B133" s="150" t="s">
        <v>5118</v>
      </c>
      <c r="C133" s="150" t="s">
        <v>5119</v>
      </c>
      <c r="D133" s="604" t="s">
        <v>5629</v>
      </c>
      <c r="E133" s="153"/>
      <c r="F133" s="184" t="s">
        <v>5630</v>
      </c>
      <c r="G133" s="153" t="s">
        <v>5631</v>
      </c>
      <c r="H133" s="188" t="s">
        <v>5612</v>
      </c>
      <c r="I133" s="153" t="s">
        <v>2078</v>
      </c>
      <c r="J133" s="153" t="s">
        <v>5632</v>
      </c>
      <c r="K133" s="184" t="s">
        <v>253</v>
      </c>
      <c r="L133" s="153" t="s">
        <v>2081</v>
      </c>
      <c r="M133" s="153" t="s">
        <v>2082</v>
      </c>
      <c r="N133" s="153" t="s">
        <v>5116</v>
      </c>
      <c r="O133" s="153" t="s">
        <v>14</v>
      </c>
      <c r="P133" s="189">
        <f>VLOOKUP($D133,'[1]07_VIMEDIMEX-BD'!$B$12:$O$54,11,0)</f>
        <v>16075</v>
      </c>
      <c r="Q133" s="189">
        <f>VLOOKUP($D133,'[1]07_VIMEDIMEX-BD'!$B$12:$O$54,12,0)</f>
        <v>16074</v>
      </c>
      <c r="R133" s="190">
        <v>3000</v>
      </c>
      <c r="S133" s="191">
        <f t="shared" ref="S133:S196" si="43">R133*Q133</f>
        <v>48222000</v>
      </c>
      <c r="T133" s="589"/>
      <c r="U133" s="192">
        <v>3000</v>
      </c>
      <c r="V133" s="158">
        <f>R133-W133</f>
        <v>3000</v>
      </c>
      <c r="W133" s="159">
        <f t="shared" ref="W133:W196" si="44">Y133+AA133+AC133+AE133+AG133+AI133+AK133+AM133+AO133+AQ133+AS133+AU133</f>
        <v>0</v>
      </c>
      <c r="X133" s="159">
        <f t="shared" ref="X133:X196" si="45">W133*Q133</f>
        <v>0</v>
      </c>
      <c r="Y133" s="193"/>
      <c r="Z133" s="160">
        <f t="shared" ref="Z133:Z196" si="46">Y133*Q133</f>
        <v>0</v>
      </c>
      <c r="AA133" s="194"/>
      <c r="AB133" s="161">
        <f t="shared" ref="AB133:AB196" si="47">AA133*Q133</f>
        <v>0</v>
      </c>
      <c r="AC133" s="195"/>
      <c r="AD133" s="162">
        <f t="shared" si="39"/>
        <v>0</v>
      </c>
      <c r="AE133" s="196"/>
      <c r="AF133" s="164">
        <f t="shared" si="40"/>
        <v>0</v>
      </c>
      <c r="AG133" s="197"/>
      <c r="AH133" s="165">
        <f t="shared" si="41"/>
        <v>0</v>
      </c>
      <c r="AI133" s="198">
        <v>0</v>
      </c>
      <c r="AJ133" s="166">
        <f t="shared" si="42"/>
        <v>0</v>
      </c>
      <c r="AK133" s="195"/>
      <c r="AL133" s="162">
        <f t="shared" ref="AL133:AL196" si="48">AK133*Q133</f>
        <v>0</v>
      </c>
      <c r="AM133" s="199"/>
      <c r="AN133" s="167">
        <f t="shared" ref="AN133:AN196" si="49">AM133*Q133</f>
        <v>0</v>
      </c>
      <c r="AO133" s="196"/>
      <c r="AP133" s="163">
        <f t="shared" ref="AP133:AP196" si="50">AO133*Q133</f>
        <v>0</v>
      </c>
      <c r="AQ133" s="195"/>
      <c r="AR133" s="168">
        <f t="shared" ref="AR133:AR196" si="51">AQ133*Q133</f>
        <v>0</v>
      </c>
      <c r="AS133" s="200"/>
      <c r="AT133" s="170">
        <f t="shared" ref="AT133:AT196" si="52">AS133*Q133</f>
        <v>0</v>
      </c>
      <c r="AU133" s="198"/>
      <c r="AV133" s="166">
        <f t="shared" ref="AV133:AV196" si="53">AU133*Q133</f>
        <v>0</v>
      </c>
    </row>
    <row r="134" spans="1:48" s="178" customFormat="1" ht="47.25">
      <c r="A134" s="172" t="s">
        <v>5645</v>
      </c>
      <c r="B134" s="150" t="s">
        <v>5118</v>
      </c>
      <c r="C134" s="150" t="s">
        <v>5119</v>
      </c>
      <c r="D134" s="604" t="s">
        <v>5646</v>
      </c>
      <c r="E134" s="153"/>
      <c r="F134" s="184" t="s">
        <v>3890</v>
      </c>
      <c r="G134" s="153" t="s">
        <v>3892</v>
      </c>
      <c r="H134" s="188" t="s">
        <v>5612</v>
      </c>
      <c r="I134" s="153" t="s">
        <v>3891</v>
      </c>
      <c r="J134" s="153" t="s">
        <v>5647</v>
      </c>
      <c r="K134" s="184" t="s">
        <v>253</v>
      </c>
      <c r="L134" s="153" t="s">
        <v>5648</v>
      </c>
      <c r="M134" s="153" t="s">
        <v>298</v>
      </c>
      <c r="N134" s="153" t="s">
        <v>5116</v>
      </c>
      <c r="O134" s="153" t="s">
        <v>628</v>
      </c>
      <c r="P134" s="189">
        <f>VLOOKUP($D134,'[1]07_VIMEDIMEX-BD'!$B$12:$O$54,11,0)</f>
        <v>30049</v>
      </c>
      <c r="Q134" s="189">
        <f>VLOOKUP($D134,'[1]07_VIMEDIMEX-BD'!$B$12:$O$54,12,0)</f>
        <v>30048</v>
      </c>
      <c r="R134" s="190">
        <v>300</v>
      </c>
      <c r="S134" s="191">
        <f t="shared" si="43"/>
        <v>9014400</v>
      </c>
      <c r="T134" s="589"/>
      <c r="U134" s="192">
        <v>300</v>
      </c>
      <c r="V134" s="158">
        <f>R134-W134</f>
        <v>300</v>
      </c>
      <c r="W134" s="159">
        <f t="shared" si="44"/>
        <v>0</v>
      </c>
      <c r="X134" s="159">
        <f t="shared" si="45"/>
        <v>0</v>
      </c>
      <c r="Y134" s="193"/>
      <c r="Z134" s="160">
        <f t="shared" si="46"/>
        <v>0</v>
      </c>
      <c r="AA134" s="194"/>
      <c r="AB134" s="161">
        <f t="shared" si="47"/>
        <v>0</v>
      </c>
      <c r="AC134" s="195"/>
      <c r="AD134" s="162">
        <f t="shared" si="39"/>
        <v>0</v>
      </c>
      <c r="AE134" s="196"/>
      <c r="AF134" s="164">
        <f t="shared" si="40"/>
        <v>0</v>
      </c>
      <c r="AG134" s="197"/>
      <c r="AH134" s="165">
        <f t="shared" si="41"/>
        <v>0</v>
      </c>
      <c r="AI134" s="198">
        <v>0</v>
      </c>
      <c r="AJ134" s="166">
        <f t="shared" si="42"/>
        <v>0</v>
      </c>
      <c r="AK134" s="195"/>
      <c r="AL134" s="162">
        <f t="shared" si="48"/>
        <v>0</v>
      </c>
      <c r="AM134" s="199"/>
      <c r="AN134" s="167">
        <f t="shared" si="49"/>
        <v>0</v>
      </c>
      <c r="AO134" s="196"/>
      <c r="AP134" s="163">
        <f t="shared" si="50"/>
        <v>0</v>
      </c>
      <c r="AQ134" s="195"/>
      <c r="AR134" s="168">
        <f t="shared" si="51"/>
        <v>0</v>
      </c>
      <c r="AS134" s="200"/>
      <c r="AT134" s="170">
        <f t="shared" si="52"/>
        <v>0</v>
      </c>
      <c r="AU134" s="198"/>
      <c r="AV134" s="166">
        <f t="shared" si="53"/>
        <v>0</v>
      </c>
    </row>
    <row r="135" spans="1:48" s="115" customFormat="1" ht="31.5">
      <c r="A135" s="148" t="s">
        <v>5703</v>
      </c>
      <c r="B135" s="150" t="s">
        <v>5118</v>
      </c>
      <c r="C135" s="150" t="s">
        <v>5119</v>
      </c>
      <c r="D135" s="603" t="s">
        <v>4173</v>
      </c>
      <c r="E135" s="588"/>
      <c r="F135" s="183" t="s">
        <v>588</v>
      </c>
      <c r="G135" s="182" t="s">
        <v>267</v>
      </c>
      <c r="H135" s="182" t="s">
        <v>5607</v>
      </c>
      <c r="I135" s="184" t="s">
        <v>4174</v>
      </c>
      <c r="J135" s="182" t="s">
        <v>5704</v>
      </c>
      <c r="K135" s="153" t="s">
        <v>5111</v>
      </c>
      <c r="L135" s="153" t="s">
        <v>3184</v>
      </c>
      <c r="M135" s="153" t="s">
        <v>5705</v>
      </c>
      <c r="N135" s="94" t="s">
        <v>5105</v>
      </c>
      <c r="O135" s="185" t="s">
        <v>10</v>
      </c>
      <c r="P135" s="186"/>
      <c r="Q135" s="186">
        <v>9832</v>
      </c>
      <c r="R135" s="187">
        <v>40000</v>
      </c>
      <c r="S135" s="186">
        <f t="shared" si="43"/>
        <v>393280000</v>
      </c>
      <c r="T135" s="589"/>
      <c r="U135" s="157">
        <v>40000</v>
      </c>
      <c r="V135" s="158">
        <f t="shared" ref="V135:V187" si="54">U135-W135</f>
        <v>31000</v>
      </c>
      <c r="W135" s="159">
        <f t="shared" si="44"/>
        <v>9000</v>
      </c>
      <c r="X135" s="159">
        <f t="shared" si="45"/>
        <v>88488000</v>
      </c>
      <c r="Y135" s="160"/>
      <c r="Z135" s="160">
        <f t="shared" si="46"/>
        <v>0</v>
      </c>
      <c r="AA135" s="161"/>
      <c r="AB135" s="161">
        <f t="shared" si="47"/>
        <v>0</v>
      </c>
      <c r="AC135" s="162"/>
      <c r="AD135" s="162">
        <f t="shared" si="39"/>
        <v>0</v>
      </c>
      <c r="AE135" s="163"/>
      <c r="AF135" s="164">
        <f t="shared" si="40"/>
        <v>0</v>
      </c>
      <c r="AG135" s="161">
        <v>3000</v>
      </c>
      <c r="AH135" s="165">
        <f t="shared" si="41"/>
        <v>29496000</v>
      </c>
      <c r="AI135" s="160">
        <v>0</v>
      </c>
      <c r="AJ135" s="166">
        <f t="shared" si="42"/>
        <v>0</v>
      </c>
      <c r="AK135" s="162"/>
      <c r="AL135" s="162">
        <f t="shared" si="48"/>
        <v>0</v>
      </c>
      <c r="AM135" s="167"/>
      <c r="AN135" s="167">
        <f t="shared" si="49"/>
        <v>0</v>
      </c>
      <c r="AO135" s="163"/>
      <c r="AP135" s="163">
        <f t="shared" si="50"/>
        <v>0</v>
      </c>
      <c r="AQ135" s="162"/>
      <c r="AR135" s="168">
        <f t="shared" si="51"/>
        <v>0</v>
      </c>
      <c r="AS135" s="169">
        <v>6000</v>
      </c>
      <c r="AT135" s="170">
        <f t="shared" si="52"/>
        <v>58992000</v>
      </c>
      <c r="AU135" s="160"/>
      <c r="AV135" s="166">
        <f t="shared" si="53"/>
        <v>0</v>
      </c>
    </row>
    <row r="136" spans="1:48" s="178" customFormat="1" ht="31.5">
      <c r="A136" s="148" t="s">
        <v>5706</v>
      </c>
      <c r="B136" s="150" t="s">
        <v>5118</v>
      </c>
      <c r="C136" s="150" t="s">
        <v>5119</v>
      </c>
      <c r="D136" s="603" t="s">
        <v>3728</v>
      </c>
      <c r="E136" s="588"/>
      <c r="F136" s="183" t="s">
        <v>588</v>
      </c>
      <c r="G136" s="182" t="s">
        <v>267</v>
      </c>
      <c r="H136" s="182" t="s">
        <v>211</v>
      </c>
      <c r="I136" s="184" t="s">
        <v>1410</v>
      </c>
      <c r="J136" s="182" t="s">
        <v>5707</v>
      </c>
      <c r="K136" s="153" t="s">
        <v>5104</v>
      </c>
      <c r="L136" s="153" t="s">
        <v>5708</v>
      </c>
      <c r="M136" s="153" t="s">
        <v>5709</v>
      </c>
      <c r="N136" s="94" t="s">
        <v>5710</v>
      </c>
      <c r="O136" s="185" t="s">
        <v>10</v>
      </c>
      <c r="P136" s="186"/>
      <c r="Q136" s="186">
        <v>3840</v>
      </c>
      <c r="R136" s="187">
        <v>20000</v>
      </c>
      <c r="S136" s="186">
        <f t="shared" si="43"/>
        <v>76800000</v>
      </c>
      <c r="T136" s="589"/>
      <c r="U136" s="157">
        <v>20000</v>
      </c>
      <c r="V136" s="158">
        <f t="shared" si="54"/>
        <v>18880</v>
      </c>
      <c r="W136" s="159">
        <f t="shared" si="44"/>
        <v>1120</v>
      </c>
      <c r="X136" s="159">
        <f t="shared" si="45"/>
        <v>4300800</v>
      </c>
      <c r="Y136" s="160"/>
      <c r="Z136" s="160">
        <f t="shared" si="46"/>
        <v>0</v>
      </c>
      <c r="AA136" s="161"/>
      <c r="AB136" s="161">
        <f t="shared" si="47"/>
        <v>0</v>
      </c>
      <c r="AC136" s="162"/>
      <c r="AD136" s="162">
        <f t="shared" si="39"/>
        <v>0</v>
      </c>
      <c r="AE136" s="163"/>
      <c r="AF136" s="164">
        <f t="shared" si="40"/>
        <v>0</v>
      </c>
      <c r="AG136" s="161">
        <v>1120</v>
      </c>
      <c r="AH136" s="165">
        <f t="shared" si="41"/>
        <v>4300800</v>
      </c>
      <c r="AI136" s="160">
        <v>0</v>
      </c>
      <c r="AJ136" s="166">
        <f t="shared" si="42"/>
        <v>0</v>
      </c>
      <c r="AK136" s="162"/>
      <c r="AL136" s="162">
        <f t="shared" si="48"/>
        <v>0</v>
      </c>
      <c r="AM136" s="167"/>
      <c r="AN136" s="167">
        <f t="shared" si="49"/>
        <v>0</v>
      </c>
      <c r="AO136" s="163"/>
      <c r="AP136" s="163">
        <f t="shared" si="50"/>
        <v>0</v>
      </c>
      <c r="AQ136" s="162"/>
      <c r="AR136" s="168">
        <f t="shared" si="51"/>
        <v>0</v>
      </c>
      <c r="AS136" s="169"/>
      <c r="AT136" s="170">
        <f t="shared" si="52"/>
        <v>0</v>
      </c>
      <c r="AU136" s="160"/>
      <c r="AV136" s="166">
        <f t="shared" si="53"/>
        <v>0</v>
      </c>
    </row>
    <row r="137" spans="1:48" s="178" customFormat="1" ht="31.5">
      <c r="A137" s="148" t="s">
        <v>5744</v>
      </c>
      <c r="B137" s="150" t="s">
        <v>5118</v>
      </c>
      <c r="C137" s="150" t="s">
        <v>5119</v>
      </c>
      <c r="D137" s="240" t="s">
        <v>3800</v>
      </c>
      <c r="E137" s="590"/>
      <c r="F137" s="203" t="s">
        <v>2454</v>
      </c>
      <c r="G137" s="204" t="s">
        <v>3802</v>
      </c>
      <c r="H137" s="204">
        <v>1</v>
      </c>
      <c r="I137" s="203" t="s">
        <v>3801</v>
      </c>
      <c r="J137" s="205" t="s">
        <v>5745</v>
      </c>
      <c r="K137" s="203" t="s">
        <v>253</v>
      </c>
      <c r="L137" s="205" t="s">
        <v>5746</v>
      </c>
      <c r="M137" s="205" t="s">
        <v>2036</v>
      </c>
      <c r="N137" s="204" t="s">
        <v>5105</v>
      </c>
      <c r="O137" s="204" t="s">
        <v>3803</v>
      </c>
      <c r="P137" s="206">
        <v>132323</v>
      </c>
      <c r="Q137" s="206">
        <v>132323</v>
      </c>
      <c r="R137" s="207">
        <v>1200</v>
      </c>
      <c r="S137" s="207">
        <f t="shared" si="43"/>
        <v>158787600</v>
      </c>
      <c r="T137" s="589"/>
      <c r="U137" s="157">
        <v>1200</v>
      </c>
      <c r="V137" s="158">
        <f t="shared" si="54"/>
        <v>1200</v>
      </c>
      <c r="W137" s="159">
        <f t="shared" si="44"/>
        <v>0</v>
      </c>
      <c r="X137" s="159">
        <f t="shared" si="45"/>
        <v>0</v>
      </c>
      <c r="Y137" s="160"/>
      <c r="Z137" s="160">
        <f t="shared" si="46"/>
        <v>0</v>
      </c>
      <c r="AA137" s="165"/>
      <c r="AB137" s="161">
        <f t="shared" si="47"/>
        <v>0</v>
      </c>
      <c r="AC137" s="162"/>
      <c r="AD137" s="162">
        <f t="shared" si="39"/>
        <v>0</v>
      </c>
      <c r="AE137" s="164"/>
      <c r="AF137" s="164">
        <f t="shared" si="40"/>
        <v>0</v>
      </c>
      <c r="AG137" s="165"/>
      <c r="AH137" s="165">
        <f t="shared" si="41"/>
        <v>0</v>
      </c>
      <c r="AI137" s="166">
        <v>0</v>
      </c>
      <c r="AJ137" s="166">
        <f t="shared" si="42"/>
        <v>0</v>
      </c>
      <c r="AK137" s="162"/>
      <c r="AL137" s="162">
        <f t="shared" si="48"/>
        <v>0</v>
      </c>
      <c r="AM137" s="173"/>
      <c r="AN137" s="167">
        <f t="shared" si="49"/>
        <v>0</v>
      </c>
      <c r="AO137" s="163"/>
      <c r="AP137" s="163">
        <f t="shared" si="50"/>
        <v>0</v>
      </c>
      <c r="AQ137" s="168"/>
      <c r="AR137" s="168">
        <f t="shared" si="51"/>
        <v>0</v>
      </c>
      <c r="AS137" s="170"/>
      <c r="AT137" s="170">
        <f t="shared" si="52"/>
        <v>0</v>
      </c>
      <c r="AU137" s="166"/>
      <c r="AV137" s="166">
        <f t="shared" si="53"/>
        <v>0</v>
      </c>
    </row>
    <row r="138" spans="1:48" s="178" customFormat="1" ht="47.25">
      <c r="A138" s="148" t="s">
        <v>5761</v>
      </c>
      <c r="B138" s="150" t="s">
        <v>5118</v>
      </c>
      <c r="C138" s="150" t="s">
        <v>5119</v>
      </c>
      <c r="D138" s="240" t="s">
        <v>4369</v>
      </c>
      <c r="E138" s="590" t="s">
        <v>12643</v>
      </c>
      <c r="F138" s="203" t="s">
        <v>4371</v>
      </c>
      <c r="G138" s="204" t="s">
        <v>258</v>
      </c>
      <c r="H138" s="204">
        <v>1</v>
      </c>
      <c r="I138" s="203" t="s">
        <v>4370</v>
      </c>
      <c r="J138" s="205" t="s">
        <v>5762</v>
      </c>
      <c r="K138" s="203" t="s">
        <v>5104</v>
      </c>
      <c r="L138" s="205" t="s">
        <v>5763</v>
      </c>
      <c r="M138" s="205" t="s">
        <v>2042</v>
      </c>
      <c r="N138" s="204" t="s">
        <v>5116</v>
      </c>
      <c r="O138" s="204" t="s">
        <v>11</v>
      </c>
      <c r="P138" s="206">
        <v>1783</v>
      </c>
      <c r="Q138" s="206">
        <v>1636</v>
      </c>
      <c r="R138" s="207">
        <v>30000</v>
      </c>
      <c r="S138" s="207">
        <f t="shared" si="43"/>
        <v>49080000</v>
      </c>
      <c r="T138" s="589"/>
      <c r="U138" s="157">
        <v>30000</v>
      </c>
      <c r="V138" s="158">
        <f t="shared" si="54"/>
        <v>22920</v>
      </c>
      <c r="W138" s="159">
        <f t="shared" si="44"/>
        <v>7080</v>
      </c>
      <c r="X138" s="159">
        <f t="shared" si="45"/>
        <v>11582880</v>
      </c>
      <c r="Y138" s="160"/>
      <c r="Z138" s="160">
        <f t="shared" si="46"/>
        <v>0</v>
      </c>
      <c r="AA138" s="165"/>
      <c r="AB138" s="161">
        <f t="shared" si="47"/>
        <v>0</v>
      </c>
      <c r="AC138" s="162"/>
      <c r="AD138" s="162">
        <f t="shared" si="39"/>
        <v>0</v>
      </c>
      <c r="AE138" s="164"/>
      <c r="AF138" s="164">
        <f t="shared" si="40"/>
        <v>0</v>
      </c>
      <c r="AG138" s="165">
        <v>2100</v>
      </c>
      <c r="AH138" s="165">
        <f t="shared" si="41"/>
        <v>3435600</v>
      </c>
      <c r="AI138" s="166">
        <v>990</v>
      </c>
      <c r="AJ138" s="166">
        <f t="shared" si="42"/>
        <v>1619640</v>
      </c>
      <c r="AK138" s="162"/>
      <c r="AL138" s="162">
        <f t="shared" si="48"/>
        <v>0</v>
      </c>
      <c r="AM138" s="173"/>
      <c r="AN138" s="167">
        <f t="shared" si="49"/>
        <v>0</v>
      </c>
      <c r="AO138" s="163"/>
      <c r="AP138" s="163">
        <f t="shared" si="50"/>
        <v>0</v>
      </c>
      <c r="AQ138" s="168"/>
      <c r="AR138" s="168">
        <f t="shared" si="51"/>
        <v>0</v>
      </c>
      <c r="AS138" s="170">
        <v>3990</v>
      </c>
      <c r="AT138" s="170">
        <f t="shared" si="52"/>
        <v>6527640</v>
      </c>
      <c r="AU138" s="166"/>
      <c r="AV138" s="166">
        <f t="shared" si="53"/>
        <v>0</v>
      </c>
    </row>
    <row r="139" spans="1:48" s="178" customFormat="1" ht="31.5">
      <c r="A139" s="148" t="s">
        <v>5764</v>
      </c>
      <c r="B139" s="150" t="s">
        <v>5118</v>
      </c>
      <c r="C139" s="150" t="s">
        <v>5119</v>
      </c>
      <c r="D139" s="240" t="s">
        <v>4373</v>
      </c>
      <c r="E139" s="590" t="s">
        <v>12643</v>
      </c>
      <c r="F139" s="203" t="s">
        <v>4371</v>
      </c>
      <c r="G139" s="204" t="s">
        <v>262</v>
      </c>
      <c r="H139" s="204">
        <v>1</v>
      </c>
      <c r="I139" s="203" t="s">
        <v>5765</v>
      </c>
      <c r="J139" s="205" t="s">
        <v>5766</v>
      </c>
      <c r="K139" s="203" t="s">
        <v>5111</v>
      </c>
      <c r="L139" s="205" t="s">
        <v>5767</v>
      </c>
      <c r="M139" s="205" t="s">
        <v>2042</v>
      </c>
      <c r="N139" s="204" t="s">
        <v>5116</v>
      </c>
      <c r="O139" s="204" t="s">
        <v>11</v>
      </c>
      <c r="P139" s="206">
        <v>2812</v>
      </c>
      <c r="Q139" s="206">
        <v>2579</v>
      </c>
      <c r="R139" s="207">
        <v>30000</v>
      </c>
      <c r="S139" s="207">
        <f t="shared" si="43"/>
        <v>77370000</v>
      </c>
      <c r="T139" s="589"/>
      <c r="U139" s="157">
        <v>30000</v>
      </c>
      <c r="V139" s="158">
        <f t="shared" si="54"/>
        <v>30000</v>
      </c>
      <c r="W139" s="159">
        <f t="shared" si="44"/>
        <v>0</v>
      </c>
      <c r="X139" s="159">
        <f t="shared" si="45"/>
        <v>0</v>
      </c>
      <c r="Y139" s="160"/>
      <c r="Z139" s="160">
        <f t="shared" si="46"/>
        <v>0</v>
      </c>
      <c r="AA139" s="165"/>
      <c r="AB139" s="161">
        <f t="shared" si="47"/>
        <v>0</v>
      </c>
      <c r="AC139" s="162"/>
      <c r="AD139" s="162">
        <f t="shared" si="39"/>
        <v>0</v>
      </c>
      <c r="AE139" s="164"/>
      <c r="AF139" s="164">
        <f t="shared" si="40"/>
        <v>0</v>
      </c>
      <c r="AG139" s="165"/>
      <c r="AH139" s="165">
        <f t="shared" si="41"/>
        <v>0</v>
      </c>
      <c r="AI139" s="166">
        <v>0</v>
      </c>
      <c r="AJ139" s="166">
        <f t="shared" si="42"/>
        <v>0</v>
      </c>
      <c r="AK139" s="162"/>
      <c r="AL139" s="162">
        <f t="shared" si="48"/>
        <v>0</v>
      </c>
      <c r="AM139" s="173"/>
      <c r="AN139" s="167">
        <f t="shared" si="49"/>
        <v>0</v>
      </c>
      <c r="AO139" s="163"/>
      <c r="AP139" s="163">
        <f t="shared" si="50"/>
        <v>0</v>
      </c>
      <c r="AQ139" s="168"/>
      <c r="AR139" s="168">
        <f t="shared" si="51"/>
        <v>0</v>
      </c>
      <c r="AS139" s="170"/>
      <c r="AT139" s="170">
        <f t="shared" si="52"/>
        <v>0</v>
      </c>
      <c r="AU139" s="166"/>
      <c r="AV139" s="166">
        <f t="shared" si="53"/>
        <v>0</v>
      </c>
    </row>
    <row r="140" spans="1:48" s="178" customFormat="1" ht="31.5">
      <c r="A140" s="148" t="s">
        <v>5808</v>
      </c>
      <c r="B140" s="150" t="s">
        <v>5118</v>
      </c>
      <c r="C140" s="150" t="s">
        <v>5119</v>
      </c>
      <c r="D140" s="240" t="s">
        <v>5809</v>
      </c>
      <c r="E140" s="590"/>
      <c r="F140" s="203" t="s">
        <v>1961</v>
      </c>
      <c r="G140" s="204" t="s">
        <v>5810</v>
      </c>
      <c r="H140" s="204">
        <v>1</v>
      </c>
      <c r="I140" s="203" t="s">
        <v>5811</v>
      </c>
      <c r="J140" s="205" t="s">
        <v>5812</v>
      </c>
      <c r="K140" s="203" t="s">
        <v>5104</v>
      </c>
      <c r="L140" s="205" t="s">
        <v>5813</v>
      </c>
      <c r="M140" s="205" t="s">
        <v>5814</v>
      </c>
      <c r="N140" s="204" t="s">
        <v>5179</v>
      </c>
      <c r="O140" s="204" t="s">
        <v>11</v>
      </c>
      <c r="P140" s="206">
        <v>5600</v>
      </c>
      <c r="Q140" s="206">
        <v>4000</v>
      </c>
      <c r="R140" s="207">
        <v>20000</v>
      </c>
      <c r="S140" s="207">
        <f t="shared" si="43"/>
        <v>80000000</v>
      </c>
      <c r="T140" s="589"/>
      <c r="U140" s="157">
        <v>20000</v>
      </c>
      <c r="V140" s="158">
        <f t="shared" si="54"/>
        <v>20000</v>
      </c>
      <c r="W140" s="159">
        <f t="shared" si="44"/>
        <v>0</v>
      </c>
      <c r="X140" s="159">
        <f t="shared" si="45"/>
        <v>0</v>
      </c>
      <c r="Y140" s="160"/>
      <c r="Z140" s="160">
        <f t="shared" si="46"/>
        <v>0</v>
      </c>
      <c r="AA140" s="161"/>
      <c r="AB140" s="161">
        <f t="shared" si="47"/>
        <v>0</v>
      </c>
      <c r="AC140" s="162"/>
      <c r="AD140" s="162">
        <f t="shared" si="39"/>
        <v>0</v>
      </c>
      <c r="AE140" s="164"/>
      <c r="AF140" s="164">
        <f t="shared" si="40"/>
        <v>0</v>
      </c>
      <c r="AG140" s="165"/>
      <c r="AH140" s="165">
        <f t="shared" si="41"/>
        <v>0</v>
      </c>
      <c r="AI140" s="166">
        <v>0</v>
      </c>
      <c r="AJ140" s="166">
        <f t="shared" si="42"/>
        <v>0</v>
      </c>
      <c r="AK140" s="162"/>
      <c r="AL140" s="162">
        <f t="shared" si="48"/>
        <v>0</v>
      </c>
      <c r="AM140" s="167"/>
      <c r="AN140" s="167">
        <f t="shared" si="49"/>
        <v>0</v>
      </c>
      <c r="AO140" s="163"/>
      <c r="AP140" s="163">
        <f t="shared" si="50"/>
        <v>0</v>
      </c>
      <c r="AQ140" s="168"/>
      <c r="AR140" s="168">
        <f t="shared" si="51"/>
        <v>0</v>
      </c>
      <c r="AS140" s="170"/>
      <c r="AT140" s="170">
        <f t="shared" si="52"/>
        <v>0</v>
      </c>
      <c r="AU140" s="166"/>
      <c r="AV140" s="166">
        <f t="shared" si="53"/>
        <v>0</v>
      </c>
    </row>
    <row r="141" spans="1:48" s="178" customFormat="1" ht="31.5">
      <c r="A141" s="172" t="s">
        <v>5820</v>
      </c>
      <c r="B141" s="150" t="s">
        <v>5118</v>
      </c>
      <c r="C141" s="150" t="s">
        <v>5119</v>
      </c>
      <c r="D141" s="240" t="s">
        <v>5011</v>
      </c>
      <c r="E141" s="590"/>
      <c r="F141" s="203" t="s">
        <v>5821</v>
      </c>
      <c r="G141" s="204" t="s">
        <v>5014</v>
      </c>
      <c r="H141" s="204">
        <v>1</v>
      </c>
      <c r="I141" s="203" t="s">
        <v>5012</v>
      </c>
      <c r="J141" s="205" t="s">
        <v>5822</v>
      </c>
      <c r="K141" s="203" t="s">
        <v>5104</v>
      </c>
      <c r="L141" s="205" t="s">
        <v>5823</v>
      </c>
      <c r="M141" s="205" t="s">
        <v>2097</v>
      </c>
      <c r="N141" s="204" t="s">
        <v>5116</v>
      </c>
      <c r="O141" s="204" t="s">
        <v>520</v>
      </c>
      <c r="P141" s="206">
        <v>5318</v>
      </c>
      <c r="Q141" s="206">
        <v>5163</v>
      </c>
      <c r="R141" s="207">
        <v>65000</v>
      </c>
      <c r="S141" s="207">
        <f t="shared" si="43"/>
        <v>335595000</v>
      </c>
      <c r="T141" s="589"/>
      <c r="U141" s="157">
        <v>65000</v>
      </c>
      <c r="V141" s="158">
        <f t="shared" si="54"/>
        <v>59600</v>
      </c>
      <c r="W141" s="159">
        <f t="shared" si="44"/>
        <v>5400</v>
      </c>
      <c r="X141" s="159">
        <f t="shared" si="45"/>
        <v>27880200</v>
      </c>
      <c r="Y141" s="160"/>
      <c r="Z141" s="160">
        <f t="shared" si="46"/>
        <v>0</v>
      </c>
      <c r="AA141" s="165"/>
      <c r="AB141" s="161">
        <f t="shared" si="47"/>
        <v>0</v>
      </c>
      <c r="AC141" s="162"/>
      <c r="AD141" s="162">
        <f t="shared" si="39"/>
        <v>0</v>
      </c>
      <c r="AE141" s="164"/>
      <c r="AF141" s="164">
        <f t="shared" si="40"/>
        <v>0</v>
      </c>
      <c r="AG141" s="165"/>
      <c r="AH141" s="165">
        <f t="shared" si="41"/>
        <v>0</v>
      </c>
      <c r="AI141" s="166">
        <v>0</v>
      </c>
      <c r="AJ141" s="166">
        <f t="shared" si="42"/>
        <v>0</v>
      </c>
      <c r="AK141" s="162"/>
      <c r="AL141" s="162">
        <f t="shared" si="48"/>
        <v>0</v>
      </c>
      <c r="AM141" s="173">
        <v>5400</v>
      </c>
      <c r="AN141" s="167">
        <f t="shared" si="49"/>
        <v>27880200</v>
      </c>
      <c r="AO141" s="163"/>
      <c r="AP141" s="163">
        <f t="shared" si="50"/>
        <v>0</v>
      </c>
      <c r="AQ141" s="168"/>
      <c r="AR141" s="168">
        <f t="shared" si="51"/>
        <v>0</v>
      </c>
      <c r="AS141" s="170"/>
      <c r="AT141" s="170">
        <f t="shared" si="52"/>
        <v>0</v>
      </c>
      <c r="AU141" s="166"/>
      <c r="AV141" s="166">
        <f t="shared" si="53"/>
        <v>0</v>
      </c>
    </row>
    <row r="142" spans="1:48" s="178" customFormat="1" ht="31.5">
      <c r="A142" s="148" t="s">
        <v>5912</v>
      </c>
      <c r="B142" s="150" t="s">
        <v>5118</v>
      </c>
      <c r="C142" s="150" t="s">
        <v>5119</v>
      </c>
      <c r="D142" s="240" t="s">
        <v>4490</v>
      </c>
      <c r="E142" s="590" t="s">
        <v>12643</v>
      </c>
      <c r="F142" s="203" t="s">
        <v>4491</v>
      </c>
      <c r="G142" s="204" t="s">
        <v>4492</v>
      </c>
      <c r="H142" s="204">
        <v>1</v>
      </c>
      <c r="I142" s="203" t="s">
        <v>2123</v>
      </c>
      <c r="J142" s="205" t="s">
        <v>5913</v>
      </c>
      <c r="K142" s="203" t="s">
        <v>253</v>
      </c>
      <c r="L142" s="205" t="s">
        <v>5914</v>
      </c>
      <c r="M142" s="205" t="s">
        <v>5915</v>
      </c>
      <c r="N142" s="204" t="s">
        <v>5160</v>
      </c>
      <c r="O142" s="204" t="s">
        <v>658</v>
      </c>
      <c r="P142" s="206">
        <v>45000</v>
      </c>
      <c r="Q142" s="206">
        <v>43919</v>
      </c>
      <c r="R142" s="207">
        <v>1000</v>
      </c>
      <c r="S142" s="207">
        <f t="shared" si="43"/>
        <v>43919000</v>
      </c>
      <c r="T142" s="589"/>
      <c r="U142" s="157">
        <v>1000</v>
      </c>
      <c r="V142" s="158">
        <f t="shared" si="54"/>
        <v>850</v>
      </c>
      <c r="W142" s="159">
        <f t="shared" si="44"/>
        <v>150</v>
      </c>
      <c r="X142" s="159">
        <f t="shared" si="45"/>
        <v>6587850</v>
      </c>
      <c r="Y142" s="160"/>
      <c r="Z142" s="160">
        <f t="shared" si="46"/>
        <v>0</v>
      </c>
      <c r="AA142" s="165"/>
      <c r="AB142" s="161">
        <f t="shared" si="47"/>
        <v>0</v>
      </c>
      <c r="AC142" s="162"/>
      <c r="AD142" s="162">
        <f t="shared" si="39"/>
        <v>0</v>
      </c>
      <c r="AE142" s="164"/>
      <c r="AF142" s="164">
        <f t="shared" si="40"/>
        <v>0</v>
      </c>
      <c r="AG142" s="165"/>
      <c r="AH142" s="165">
        <f t="shared" si="41"/>
        <v>0</v>
      </c>
      <c r="AI142" s="166">
        <v>50</v>
      </c>
      <c r="AJ142" s="166">
        <f t="shared" si="42"/>
        <v>2195950</v>
      </c>
      <c r="AK142" s="162"/>
      <c r="AL142" s="162">
        <f t="shared" si="48"/>
        <v>0</v>
      </c>
      <c r="AM142" s="173"/>
      <c r="AN142" s="167">
        <f t="shared" si="49"/>
        <v>0</v>
      </c>
      <c r="AO142" s="163"/>
      <c r="AP142" s="163">
        <f t="shared" si="50"/>
        <v>0</v>
      </c>
      <c r="AQ142" s="168"/>
      <c r="AR142" s="168">
        <f t="shared" si="51"/>
        <v>0</v>
      </c>
      <c r="AS142" s="170">
        <v>100</v>
      </c>
      <c r="AT142" s="170">
        <f t="shared" si="52"/>
        <v>4391900</v>
      </c>
      <c r="AU142" s="166"/>
      <c r="AV142" s="166">
        <f t="shared" si="53"/>
        <v>0</v>
      </c>
    </row>
    <row r="143" spans="1:48" s="178" customFormat="1" ht="31.5">
      <c r="A143" s="148" t="s">
        <v>5921</v>
      </c>
      <c r="B143" s="150" t="s">
        <v>5118</v>
      </c>
      <c r="C143" s="150" t="s">
        <v>5119</v>
      </c>
      <c r="D143" s="240" t="s">
        <v>5922</v>
      </c>
      <c r="E143" s="590" t="s">
        <v>12643</v>
      </c>
      <c r="F143" s="203" t="s">
        <v>1029</v>
      </c>
      <c r="G143" s="204" t="s">
        <v>4565</v>
      </c>
      <c r="H143" s="204">
        <v>1</v>
      </c>
      <c r="I143" s="203" t="s">
        <v>5923</v>
      </c>
      <c r="J143" s="205" t="s">
        <v>5924</v>
      </c>
      <c r="K143" s="203" t="s">
        <v>253</v>
      </c>
      <c r="L143" s="205" t="s">
        <v>5925</v>
      </c>
      <c r="M143" s="205" t="s">
        <v>1033</v>
      </c>
      <c r="N143" s="204" t="s">
        <v>5116</v>
      </c>
      <c r="O143" s="204" t="s">
        <v>11</v>
      </c>
      <c r="P143" s="206">
        <v>9645</v>
      </c>
      <c r="Q143" s="206">
        <v>8848</v>
      </c>
      <c r="R143" s="207">
        <v>10000</v>
      </c>
      <c r="S143" s="207">
        <f t="shared" si="43"/>
        <v>88480000</v>
      </c>
      <c r="T143" s="589"/>
      <c r="U143" s="157">
        <v>10000</v>
      </c>
      <c r="V143" s="158">
        <f t="shared" si="54"/>
        <v>10000</v>
      </c>
      <c r="W143" s="159">
        <f t="shared" si="44"/>
        <v>0</v>
      </c>
      <c r="X143" s="159">
        <f t="shared" si="45"/>
        <v>0</v>
      </c>
      <c r="Y143" s="160"/>
      <c r="Z143" s="160">
        <f t="shared" si="46"/>
        <v>0</v>
      </c>
      <c r="AA143" s="165"/>
      <c r="AB143" s="161">
        <f t="shared" si="47"/>
        <v>0</v>
      </c>
      <c r="AC143" s="162"/>
      <c r="AD143" s="162">
        <f t="shared" si="39"/>
        <v>0</v>
      </c>
      <c r="AE143" s="164"/>
      <c r="AF143" s="164">
        <f t="shared" si="40"/>
        <v>0</v>
      </c>
      <c r="AG143" s="165"/>
      <c r="AH143" s="165">
        <f t="shared" si="41"/>
        <v>0</v>
      </c>
      <c r="AI143" s="166">
        <v>0</v>
      </c>
      <c r="AJ143" s="166">
        <f t="shared" si="42"/>
        <v>0</v>
      </c>
      <c r="AK143" s="162"/>
      <c r="AL143" s="162">
        <f t="shared" si="48"/>
        <v>0</v>
      </c>
      <c r="AM143" s="173"/>
      <c r="AN143" s="167">
        <f t="shared" si="49"/>
        <v>0</v>
      </c>
      <c r="AO143" s="163"/>
      <c r="AP143" s="163">
        <f t="shared" si="50"/>
        <v>0</v>
      </c>
      <c r="AQ143" s="168"/>
      <c r="AR143" s="168">
        <f t="shared" si="51"/>
        <v>0</v>
      </c>
      <c r="AS143" s="170"/>
      <c r="AT143" s="170">
        <f t="shared" si="52"/>
        <v>0</v>
      </c>
      <c r="AU143" s="166"/>
      <c r="AV143" s="166">
        <f t="shared" si="53"/>
        <v>0</v>
      </c>
    </row>
    <row r="144" spans="1:48" ht="31.5">
      <c r="A144" s="148" t="s">
        <v>6023</v>
      </c>
      <c r="B144" s="150" t="s">
        <v>5118</v>
      </c>
      <c r="C144" s="150" t="s">
        <v>5119</v>
      </c>
      <c r="D144" s="240" t="s">
        <v>4050</v>
      </c>
      <c r="E144" s="590"/>
      <c r="F144" s="203" t="s">
        <v>2513</v>
      </c>
      <c r="G144" s="204" t="s">
        <v>4052</v>
      </c>
      <c r="H144" s="204">
        <v>1</v>
      </c>
      <c r="I144" s="203" t="s">
        <v>4051</v>
      </c>
      <c r="J144" s="205" t="s">
        <v>6024</v>
      </c>
      <c r="K144" s="203" t="s">
        <v>253</v>
      </c>
      <c r="L144" s="205" t="s">
        <v>6025</v>
      </c>
      <c r="M144" s="205" t="s">
        <v>5814</v>
      </c>
      <c r="N144" s="204" t="s">
        <v>5179</v>
      </c>
      <c r="O144" s="204" t="s">
        <v>891</v>
      </c>
      <c r="P144" s="206">
        <v>95000</v>
      </c>
      <c r="Q144" s="206">
        <v>94999</v>
      </c>
      <c r="R144" s="207">
        <v>300</v>
      </c>
      <c r="S144" s="207">
        <f t="shared" si="43"/>
        <v>28499700</v>
      </c>
      <c r="T144" s="589"/>
      <c r="U144" s="157">
        <v>300</v>
      </c>
      <c r="V144" s="158">
        <f t="shared" si="54"/>
        <v>282</v>
      </c>
      <c r="W144" s="159">
        <f t="shared" si="44"/>
        <v>18</v>
      </c>
      <c r="X144" s="159">
        <f t="shared" si="45"/>
        <v>1709982</v>
      </c>
      <c r="Y144" s="160"/>
      <c r="Z144" s="160">
        <f t="shared" si="46"/>
        <v>0</v>
      </c>
      <c r="AA144" s="165"/>
      <c r="AB144" s="161">
        <f t="shared" si="47"/>
        <v>0</v>
      </c>
      <c r="AC144" s="162"/>
      <c r="AD144" s="162">
        <f t="shared" si="39"/>
        <v>0</v>
      </c>
      <c r="AE144" s="163"/>
      <c r="AF144" s="164">
        <f t="shared" si="40"/>
        <v>0</v>
      </c>
      <c r="AG144" s="161">
        <v>12</v>
      </c>
      <c r="AH144" s="165">
        <f t="shared" si="41"/>
        <v>1139988</v>
      </c>
      <c r="AI144" s="160">
        <v>0</v>
      </c>
      <c r="AJ144" s="166">
        <f t="shared" si="42"/>
        <v>0</v>
      </c>
      <c r="AK144" s="162"/>
      <c r="AL144" s="162">
        <f t="shared" si="48"/>
        <v>0</v>
      </c>
      <c r="AM144" s="173"/>
      <c r="AN144" s="167">
        <f t="shared" si="49"/>
        <v>0</v>
      </c>
      <c r="AO144" s="163"/>
      <c r="AP144" s="163">
        <f t="shared" si="50"/>
        <v>0</v>
      </c>
      <c r="AQ144" s="162"/>
      <c r="AR144" s="168">
        <f t="shared" si="51"/>
        <v>0</v>
      </c>
      <c r="AS144" s="169">
        <v>6</v>
      </c>
      <c r="AT144" s="170">
        <f t="shared" si="52"/>
        <v>569994</v>
      </c>
      <c r="AU144" s="160"/>
      <c r="AV144" s="166">
        <f t="shared" si="53"/>
        <v>0</v>
      </c>
    </row>
    <row r="145" spans="1:48" ht="31.5">
      <c r="A145" s="172" t="s">
        <v>6041</v>
      </c>
      <c r="B145" s="150" t="s">
        <v>5118</v>
      </c>
      <c r="C145" s="150" t="s">
        <v>5119</v>
      </c>
      <c r="D145" s="240" t="s">
        <v>6042</v>
      </c>
      <c r="E145" s="590"/>
      <c r="F145" s="203" t="s">
        <v>1365</v>
      </c>
      <c r="G145" s="204" t="s">
        <v>533</v>
      </c>
      <c r="H145" s="204">
        <v>1</v>
      </c>
      <c r="I145" s="203" t="s">
        <v>2103</v>
      </c>
      <c r="J145" s="205" t="s">
        <v>6043</v>
      </c>
      <c r="K145" s="203" t="s">
        <v>5104</v>
      </c>
      <c r="L145" s="205" t="s">
        <v>2104</v>
      </c>
      <c r="M145" s="205" t="s">
        <v>2105</v>
      </c>
      <c r="N145" s="204" t="s">
        <v>5116</v>
      </c>
      <c r="O145" s="204" t="s">
        <v>520</v>
      </c>
      <c r="P145" s="206">
        <v>34000</v>
      </c>
      <c r="Q145" s="206">
        <v>33000</v>
      </c>
      <c r="R145" s="207">
        <v>300</v>
      </c>
      <c r="S145" s="207">
        <f t="shared" si="43"/>
        <v>9900000</v>
      </c>
      <c r="T145" s="589"/>
      <c r="U145" s="157">
        <v>300</v>
      </c>
      <c r="V145" s="158">
        <f t="shared" si="54"/>
        <v>300</v>
      </c>
      <c r="W145" s="159">
        <f t="shared" si="44"/>
        <v>0</v>
      </c>
      <c r="X145" s="159">
        <f t="shared" si="45"/>
        <v>0</v>
      </c>
      <c r="Y145" s="160"/>
      <c r="Z145" s="160">
        <f t="shared" si="46"/>
        <v>0</v>
      </c>
      <c r="AA145" s="165"/>
      <c r="AB145" s="161">
        <f t="shared" si="47"/>
        <v>0</v>
      </c>
      <c r="AC145" s="162"/>
      <c r="AD145" s="162">
        <f t="shared" si="39"/>
        <v>0</v>
      </c>
      <c r="AE145" s="164"/>
      <c r="AF145" s="164">
        <f t="shared" si="40"/>
        <v>0</v>
      </c>
      <c r="AG145" s="165"/>
      <c r="AH145" s="165">
        <f t="shared" si="41"/>
        <v>0</v>
      </c>
      <c r="AI145" s="166">
        <v>0</v>
      </c>
      <c r="AJ145" s="166">
        <f t="shared" si="42"/>
        <v>0</v>
      </c>
      <c r="AK145" s="162"/>
      <c r="AL145" s="162">
        <f t="shared" si="48"/>
        <v>0</v>
      </c>
      <c r="AM145" s="173"/>
      <c r="AN145" s="167">
        <f t="shared" si="49"/>
        <v>0</v>
      </c>
      <c r="AO145" s="163"/>
      <c r="AP145" s="163">
        <f t="shared" si="50"/>
        <v>0</v>
      </c>
      <c r="AQ145" s="168"/>
      <c r="AR145" s="168">
        <f t="shared" si="51"/>
        <v>0</v>
      </c>
      <c r="AS145" s="170"/>
      <c r="AT145" s="170">
        <f t="shared" si="52"/>
        <v>0</v>
      </c>
      <c r="AU145" s="166"/>
      <c r="AV145" s="166">
        <f t="shared" si="53"/>
        <v>0</v>
      </c>
    </row>
    <row r="146" spans="1:48" ht="31.5">
      <c r="A146" s="148" t="s">
        <v>6059</v>
      </c>
      <c r="B146" s="150" t="s">
        <v>5118</v>
      </c>
      <c r="C146" s="150" t="s">
        <v>5119</v>
      </c>
      <c r="D146" s="240" t="s">
        <v>3889</v>
      </c>
      <c r="E146" s="590"/>
      <c r="F146" s="203" t="s">
        <v>3890</v>
      </c>
      <c r="G146" s="204" t="s">
        <v>3892</v>
      </c>
      <c r="H146" s="204">
        <v>1</v>
      </c>
      <c r="I146" s="203" t="s">
        <v>3891</v>
      </c>
      <c r="J146" s="205" t="s">
        <v>5647</v>
      </c>
      <c r="K146" s="203" t="s">
        <v>253</v>
      </c>
      <c r="L146" s="205" t="s">
        <v>5648</v>
      </c>
      <c r="M146" s="205" t="s">
        <v>298</v>
      </c>
      <c r="N146" s="204" t="s">
        <v>5116</v>
      </c>
      <c r="O146" s="204" t="s">
        <v>520</v>
      </c>
      <c r="P146" s="206">
        <v>30049</v>
      </c>
      <c r="Q146" s="206">
        <v>30048</v>
      </c>
      <c r="R146" s="207">
        <v>300</v>
      </c>
      <c r="S146" s="207">
        <f t="shared" si="43"/>
        <v>9014400</v>
      </c>
      <c r="T146" s="589"/>
      <c r="U146" s="157">
        <v>300</v>
      </c>
      <c r="V146" s="158">
        <f t="shared" si="54"/>
        <v>282</v>
      </c>
      <c r="W146" s="159">
        <f t="shared" si="44"/>
        <v>18</v>
      </c>
      <c r="X146" s="159">
        <f t="shared" si="45"/>
        <v>540864</v>
      </c>
      <c r="Y146" s="160"/>
      <c r="Z146" s="160">
        <f t="shared" si="46"/>
        <v>0</v>
      </c>
      <c r="AA146" s="161"/>
      <c r="AB146" s="161">
        <f t="shared" si="47"/>
        <v>0</v>
      </c>
      <c r="AC146" s="162"/>
      <c r="AD146" s="162">
        <f t="shared" si="39"/>
        <v>0</v>
      </c>
      <c r="AE146" s="164"/>
      <c r="AF146" s="164">
        <f t="shared" si="40"/>
        <v>0</v>
      </c>
      <c r="AG146" s="165"/>
      <c r="AH146" s="165">
        <f t="shared" si="41"/>
        <v>0</v>
      </c>
      <c r="AI146" s="166">
        <v>0</v>
      </c>
      <c r="AJ146" s="166">
        <f t="shared" si="42"/>
        <v>0</v>
      </c>
      <c r="AK146" s="162">
        <v>18</v>
      </c>
      <c r="AL146" s="162">
        <f t="shared" si="48"/>
        <v>540864</v>
      </c>
      <c r="AM146" s="167"/>
      <c r="AN146" s="167">
        <f t="shared" si="49"/>
        <v>0</v>
      </c>
      <c r="AO146" s="163"/>
      <c r="AP146" s="163">
        <f t="shared" si="50"/>
        <v>0</v>
      </c>
      <c r="AQ146" s="168"/>
      <c r="AR146" s="168">
        <f t="shared" si="51"/>
        <v>0</v>
      </c>
      <c r="AS146" s="170"/>
      <c r="AT146" s="170">
        <f t="shared" si="52"/>
        <v>0</v>
      </c>
      <c r="AU146" s="166"/>
      <c r="AV146" s="166">
        <f t="shared" si="53"/>
        <v>0</v>
      </c>
    </row>
    <row r="147" spans="1:48" ht="31.5">
      <c r="A147" s="148" t="s">
        <v>6060</v>
      </c>
      <c r="B147" s="150" t="s">
        <v>5118</v>
      </c>
      <c r="C147" s="150" t="s">
        <v>5119</v>
      </c>
      <c r="D147" s="240" t="s">
        <v>3986</v>
      </c>
      <c r="E147" s="590" t="s">
        <v>12642</v>
      </c>
      <c r="F147" s="203" t="s">
        <v>750</v>
      </c>
      <c r="G147" s="204" t="s">
        <v>232</v>
      </c>
      <c r="H147" s="204">
        <v>1</v>
      </c>
      <c r="I147" s="203" t="s">
        <v>3987</v>
      </c>
      <c r="J147" s="205" t="s">
        <v>6061</v>
      </c>
      <c r="K147" s="203" t="s">
        <v>5104</v>
      </c>
      <c r="L147" s="205" t="s">
        <v>6062</v>
      </c>
      <c r="M147" s="205" t="s">
        <v>6063</v>
      </c>
      <c r="N147" s="204" t="s">
        <v>5116</v>
      </c>
      <c r="O147" s="204" t="s">
        <v>11</v>
      </c>
      <c r="P147" s="206">
        <v>2421</v>
      </c>
      <c r="Q147" s="206">
        <v>2258</v>
      </c>
      <c r="R147" s="207">
        <v>20000</v>
      </c>
      <c r="S147" s="207">
        <f t="shared" si="43"/>
        <v>45160000</v>
      </c>
      <c r="T147" s="589"/>
      <c r="U147" s="157">
        <v>20000</v>
      </c>
      <c r="V147" s="158">
        <f t="shared" si="54"/>
        <v>19740</v>
      </c>
      <c r="W147" s="159">
        <f t="shared" si="44"/>
        <v>260</v>
      </c>
      <c r="X147" s="159">
        <f t="shared" si="45"/>
        <v>587080</v>
      </c>
      <c r="Y147" s="160"/>
      <c r="Z147" s="160">
        <f t="shared" si="46"/>
        <v>0</v>
      </c>
      <c r="AA147" s="165"/>
      <c r="AB147" s="161">
        <f t="shared" si="47"/>
        <v>0</v>
      </c>
      <c r="AC147" s="162"/>
      <c r="AD147" s="162">
        <f t="shared" si="39"/>
        <v>0</v>
      </c>
      <c r="AE147" s="163"/>
      <c r="AF147" s="164">
        <f t="shared" si="40"/>
        <v>0</v>
      </c>
      <c r="AG147" s="161"/>
      <c r="AH147" s="165">
        <f t="shared" si="41"/>
        <v>0</v>
      </c>
      <c r="AI147" s="160">
        <v>200</v>
      </c>
      <c r="AJ147" s="166">
        <f t="shared" si="42"/>
        <v>451600</v>
      </c>
      <c r="AK147" s="162"/>
      <c r="AL147" s="162">
        <f t="shared" si="48"/>
        <v>0</v>
      </c>
      <c r="AM147" s="173"/>
      <c r="AN147" s="167">
        <f t="shared" si="49"/>
        <v>0</v>
      </c>
      <c r="AO147" s="163"/>
      <c r="AP147" s="163">
        <f t="shared" si="50"/>
        <v>0</v>
      </c>
      <c r="AQ147" s="162"/>
      <c r="AR147" s="168">
        <f t="shared" si="51"/>
        <v>0</v>
      </c>
      <c r="AS147" s="169">
        <v>60</v>
      </c>
      <c r="AT147" s="170">
        <f t="shared" si="52"/>
        <v>135480</v>
      </c>
      <c r="AU147" s="160"/>
      <c r="AV147" s="166">
        <f t="shared" si="53"/>
        <v>0</v>
      </c>
    </row>
    <row r="148" spans="1:48" ht="31.5">
      <c r="A148" s="148" t="s">
        <v>6132</v>
      </c>
      <c r="B148" s="150" t="s">
        <v>5118</v>
      </c>
      <c r="C148" s="150" t="s">
        <v>5119</v>
      </c>
      <c r="D148" s="240" t="s">
        <v>4204</v>
      </c>
      <c r="E148" s="590"/>
      <c r="F148" s="203" t="s">
        <v>6133</v>
      </c>
      <c r="G148" s="204" t="s">
        <v>6134</v>
      </c>
      <c r="H148" s="204">
        <v>1</v>
      </c>
      <c r="I148" s="203" t="s">
        <v>6135</v>
      </c>
      <c r="J148" s="205" t="s">
        <v>6136</v>
      </c>
      <c r="K148" s="203" t="s">
        <v>253</v>
      </c>
      <c r="L148" s="205" t="s">
        <v>2109</v>
      </c>
      <c r="M148" s="205" t="s">
        <v>2056</v>
      </c>
      <c r="N148" s="204" t="s">
        <v>5116</v>
      </c>
      <c r="O148" s="204" t="s">
        <v>520</v>
      </c>
      <c r="P148" s="206">
        <v>125000</v>
      </c>
      <c r="Q148" s="206">
        <v>124999</v>
      </c>
      <c r="R148" s="207">
        <v>50</v>
      </c>
      <c r="S148" s="207">
        <f t="shared" si="43"/>
        <v>6249950</v>
      </c>
      <c r="T148" s="589"/>
      <c r="U148" s="157">
        <v>50</v>
      </c>
      <c r="V148" s="158">
        <f t="shared" si="54"/>
        <v>50</v>
      </c>
      <c r="W148" s="159">
        <f t="shared" si="44"/>
        <v>0</v>
      </c>
      <c r="X148" s="159">
        <f t="shared" si="45"/>
        <v>0</v>
      </c>
      <c r="Y148" s="160"/>
      <c r="Z148" s="160">
        <f t="shared" si="46"/>
        <v>0</v>
      </c>
      <c r="AA148" s="165"/>
      <c r="AB148" s="161">
        <f t="shared" si="47"/>
        <v>0</v>
      </c>
      <c r="AC148" s="162"/>
      <c r="AD148" s="162">
        <f t="shared" si="39"/>
        <v>0</v>
      </c>
      <c r="AE148" s="164"/>
      <c r="AF148" s="164">
        <f t="shared" si="40"/>
        <v>0</v>
      </c>
      <c r="AG148" s="165"/>
      <c r="AH148" s="165">
        <f t="shared" si="41"/>
        <v>0</v>
      </c>
      <c r="AI148" s="166">
        <v>0</v>
      </c>
      <c r="AJ148" s="166">
        <f t="shared" si="42"/>
        <v>0</v>
      </c>
      <c r="AK148" s="162"/>
      <c r="AL148" s="162">
        <f t="shared" si="48"/>
        <v>0</v>
      </c>
      <c r="AM148" s="173"/>
      <c r="AN148" s="167">
        <f t="shared" si="49"/>
        <v>0</v>
      </c>
      <c r="AO148" s="163"/>
      <c r="AP148" s="163">
        <f t="shared" si="50"/>
        <v>0</v>
      </c>
      <c r="AQ148" s="168"/>
      <c r="AR148" s="168">
        <f t="shared" si="51"/>
        <v>0</v>
      </c>
      <c r="AS148" s="170"/>
      <c r="AT148" s="170">
        <f t="shared" si="52"/>
        <v>0</v>
      </c>
      <c r="AU148" s="166"/>
      <c r="AV148" s="166">
        <f t="shared" si="53"/>
        <v>0</v>
      </c>
    </row>
    <row r="149" spans="1:48" ht="31.5">
      <c r="A149" s="172" t="s">
        <v>6171</v>
      </c>
      <c r="B149" s="150" t="s">
        <v>5118</v>
      </c>
      <c r="C149" s="150" t="s">
        <v>5119</v>
      </c>
      <c r="D149" s="240" t="s">
        <v>6172</v>
      </c>
      <c r="E149" s="590"/>
      <c r="F149" s="203" t="s">
        <v>376</v>
      </c>
      <c r="G149" s="204" t="s">
        <v>299</v>
      </c>
      <c r="H149" s="204">
        <v>1</v>
      </c>
      <c r="I149" s="203" t="s">
        <v>6173</v>
      </c>
      <c r="J149" s="205" t="s">
        <v>6174</v>
      </c>
      <c r="K149" s="203" t="s">
        <v>5104</v>
      </c>
      <c r="L149" s="205" t="s">
        <v>6175</v>
      </c>
      <c r="M149" s="205" t="s">
        <v>6176</v>
      </c>
      <c r="N149" s="204" t="s">
        <v>5116</v>
      </c>
      <c r="O149" s="204" t="s">
        <v>11</v>
      </c>
      <c r="P149" s="206">
        <v>7053</v>
      </c>
      <c r="Q149" s="206">
        <v>7053</v>
      </c>
      <c r="R149" s="207">
        <v>20000</v>
      </c>
      <c r="S149" s="207">
        <f t="shared" si="43"/>
        <v>141060000</v>
      </c>
      <c r="T149" s="589"/>
      <c r="U149" s="157">
        <v>20000</v>
      </c>
      <c r="V149" s="158">
        <f t="shared" si="54"/>
        <v>20000</v>
      </c>
      <c r="W149" s="159">
        <f t="shared" si="44"/>
        <v>0</v>
      </c>
      <c r="X149" s="159">
        <f t="shared" si="45"/>
        <v>0</v>
      </c>
      <c r="Y149" s="160"/>
      <c r="Z149" s="160">
        <f t="shared" si="46"/>
        <v>0</v>
      </c>
      <c r="AA149" s="165"/>
      <c r="AB149" s="161">
        <f t="shared" si="47"/>
        <v>0</v>
      </c>
      <c r="AC149" s="162"/>
      <c r="AD149" s="162">
        <f t="shared" si="39"/>
        <v>0</v>
      </c>
      <c r="AE149" s="164"/>
      <c r="AF149" s="164">
        <f t="shared" si="40"/>
        <v>0</v>
      </c>
      <c r="AG149" s="165"/>
      <c r="AH149" s="165">
        <f t="shared" si="41"/>
        <v>0</v>
      </c>
      <c r="AI149" s="166">
        <v>0</v>
      </c>
      <c r="AJ149" s="166">
        <f t="shared" si="42"/>
        <v>0</v>
      </c>
      <c r="AK149" s="162"/>
      <c r="AL149" s="162">
        <f t="shared" si="48"/>
        <v>0</v>
      </c>
      <c r="AM149" s="173"/>
      <c r="AN149" s="167">
        <f t="shared" si="49"/>
        <v>0</v>
      </c>
      <c r="AO149" s="163"/>
      <c r="AP149" s="163">
        <f t="shared" si="50"/>
        <v>0</v>
      </c>
      <c r="AQ149" s="168"/>
      <c r="AR149" s="168">
        <f t="shared" si="51"/>
        <v>0</v>
      </c>
      <c r="AS149" s="170"/>
      <c r="AT149" s="170">
        <f t="shared" si="52"/>
        <v>0</v>
      </c>
      <c r="AU149" s="166"/>
      <c r="AV149" s="166">
        <f t="shared" si="53"/>
        <v>0</v>
      </c>
    </row>
    <row r="150" spans="1:48" ht="31.5">
      <c r="A150" s="172" t="s">
        <v>6210</v>
      </c>
      <c r="B150" s="150" t="s">
        <v>5118</v>
      </c>
      <c r="C150" s="150" t="s">
        <v>5119</v>
      </c>
      <c r="D150" s="240" t="s">
        <v>6211</v>
      </c>
      <c r="E150" s="590" t="s">
        <v>12642</v>
      </c>
      <c r="F150" s="203" t="s">
        <v>6212</v>
      </c>
      <c r="G150" s="204" t="s">
        <v>6213</v>
      </c>
      <c r="H150" s="204">
        <v>1</v>
      </c>
      <c r="I150" s="203" t="s">
        <v>6214</v>
      </c>
      <c r="J150" s="205" t="s">
        <v>6215</v>
      </c>
      <c r="K150" s="203" t="s">
        <v>5104</v>
      </c>
      <c r="L150" s="205" t="s">
        <v>6216</v>
      </c>
      <c r="M150" s="205" t="s">
        <v>2097</v>
      </c>
      <c r="N150" s="204" t="s">
        <v>5116</v>
      </c>
      <c r="O150" s="204" t="s">
        <v>12</v>
      </c>
      <c r="P150" s="206">
        <v>3752</v>
      </c>
      <c r="Q150" s="206">
        <v>3751</v>
      </c>
      <c r="R150" s="207">
        <v>6000</v>
      </c>
      <c r="S150" s="207">
        <f t="shared" si="43"/>
        <v>22506000</v>
      </c>
      <c r="T150" s="589"/>
      <c r="U150" s="157">
        <v>6000</v>
      </c>
      <c r="V150" s="158">
        <f t="shared" si="54"/>
        <v>6000</v>
      </c>
      <c r="W150" s="159">
        <f t="shared" si="44"/>
        <v>0</v>
      </c>
      <c r="X150" s="159">
        <f t="shared" si="45"/>
        <v>0</v>
      </c>
      <c r="Y150" s="160"/>
      <c r="Z150" s="160">
        <f t="shared" si="46"/>
        <v>0</v>
      </c>
      <c r="AA150" s="161"/>
      <c r="AB150" s="161">
        <f t="shared" si="47"/>
        <v>0</v>
      </c>
      <c r="AC150" s="162"/>
      <c r="AD150" s="162">
        <f t="shared" si="39"/>
        <v>0</v>
      </c>
      <c r="AE150" s="164"/>
      <c r="AF150" s="164">
        <f t="shared" si="40"/>
        <v>0</v>
      </c>
      <c r="AG150" s="165"/>
      <c r="AH150" s="165">
        <f t="shared" si="41"/>
        <v>0</v>
      </c>
      <c r="AI150" s="166">
        <v>0</v>
      </c>
      <c r="AJ150" s="166">
        <f t="shared" si="42"/>
        <v>0</v>
      </c>
      <c r="AK150" s="162"/>
      <c r="AL150" s="162">
        <f t="shared" si="48"/>
        <v>0</v>
      </c>
      <c r="AM150" s="167"/>
      <c r="AN150" s="167">
        <f t="shared" si="49"/>
        <v>0</v>
      </c>
      <c r="AO150" s="163"/>
      <c r="AP150" s="163">
        <f t="shared" si="50"/>
        <v>0</v>
      </c>
      <c r="AQ150" s="168"/>
      <c r="AR150" s="168">
        <f t="shared" si="51"/>
        <v>0</v>
      </c>
      <c r="AS150" s="170"/>
      <c r="AT150" s="170">
        <f t="shared" si="52"/>
        <v>0</v>
      </c>
      <c r="AU150" s="166"/>
      <c r="AV150" s="166">
        <f t="shared" si="53"/>
        <v>0</v>
      </c>
    </row>
    <row r="151" spans="1:48" ht="31.5">
      <c r="A151" s="148" t="s">
        <v>6273</v>
      </c>
      <c r="B151" s="150" t="s">
        <v>5118</v>
      </c>
      <c r="C151" s="150" t="s">
        <v>5119</v>
      </c>
      <c r="D151" s="240" t="s">
        <v>4361</v>
      </c>
      <c r="E151" s="590" t="s">
        <v>12642</v>
      </c>
      <c r="F151" s="203" t="s">
        <v>2038</v>
      </c>
      <c r="G151" s="204" t="s">
        <v>225</v>
      </c>
      <c r="H151" s="204">
        <v>1</v>
      </c>
      <c r="I151" s="203" t="s">
        <v>4362</v>
      </c>
      <c r="J151" s="205" t="s">
        <v>6274</v>
      </c>
      <c r="K151" s="203" t="s">
        <v>5104</v>
      </c>
      <c r="L151" s="205" t="s">
        <v>2045</v>
      </c>
      <c r="M151" s="205" t="s">
        <v>2046</v>
      </c>
      <c r="N151" s="204" t="s">
        <v>213</v>
      </c>
      <c r="O151" s="204" t="s">
        <v>11</v>
      </c>
      <c r="P151" s="206">
        <v>4862</v>
      </c>
      <c r="Q151" s="206">
        <v>4612</v>
      </c>
      <c r="R151" s="207">
        <v>20000</v>
      </c>
      <c r="S151" s="207">
        <f t="shared" si="43"/>
        <v>92240000</v>
      </c>
      <c r="T151" s="589"/>
      <c r="U151" s="157">
        <v>20000</v>
      </c>
      <c r="V151" s="158">
        <f t="shared" si="54"/>
        <v>14000</v>
      </c>
      <c r="W151" s="159">
        <f t="shared" si="44"/>
        <v>6000</v>
      </c>
      <c r="X151" s="159">
        <f t="shared" si="45"/>
        <v>27672000</v>
      </c>
      <c r="Y151" s="160"/>
      <c r="Z151" s="160">
        <f t="shared" si="46"/>
        <v>0</v>
      </c>
      <c r="AA151" s="161"/>
      <c r="AB151" s="161">
        <f t="shared" si="47"/>
        <v>0</v>
      </c>
      <c r="AC151" s="162"/>
      <c r="AD151" s="162">
        <f t="shared" si="39"/>
        <v>0</v>
      </c>
      <c r="AE151" s="163"/>
      <c r="AF151" s="164">
        <f t="shared" si="40"/>
        <v>0</v>
      </c>
      <c r="AG151" s="161"/>
      <c r="AH151" s="165">
        <f t="shared" si="41"/>
        <v>0</v>
      </c>
      <c r="AI151" s="160">
        <v>3000</v>
      </c>
      <c r="AJ151" s="166">
        <f t="shared" si="42"/>
        <v>13836000</v>
      </c>
      <c r="AK151" s="162"/>
      <c r="AL151" s="162">
        <f t="shared" si="48"/>
        <v>0</v>
      </c>
      <c r="AM151" s="167"/>
      <c r="AN151" s="167">
        <f t="shared" si="49"/>
        <v>0</v>
      </c>
      <c r="AO151" s="163"/>
      <c r="AP151" s="163">
        <f t="shared" si="50"/>
        <v>0</v>
      </c>
      <c r="AQ151" s="162"/>
      <c r="AR151" s="168">
        <f t="shared" si="51"/>
        <v>0</v>
      </c>
      <c r="AS151" s="169">
        <v>3000</v>
      </c>
      <c r="AT151" s="170">
        <f t="shared" si="52"/>
        <v>13836000</v>
      </c>
      <c r="AU151" s="160"/>
      <c r="AV151" s="166">
        <f t="shared" si="53"/>
        <v>0</v>
      </c>
    </row>
    <row r="152" spans="1:48" ht="31.5">
      <c r="A152" s="172" t="s">
        <v>6287</v>
      </c>
      <c r="B152" s="150" t="s">
        <v>5118</v>
      </c>
      <c r="C152" s="150" t="s">
        <v>5119</v>
      </c>
      <c r="D152" s="240" t="s">
        <v>6288</v>
      </c>
      <c r="E152" s="590" t="s">
        <v>12642</v>
      </c>
      <c r="F152" s="203" t="s">
        <v>6289</v>
      </c>
      <c r="G152" s="204" t="s">
        <v>299</v>
      </c>
      <c r="H152" s="204">
        <v>1</v>
      </c>
      <c r="I152" s="203" t="s">
        <v>6290</v>
      </c>
      <c r="J152" s="205" t="s">
        <v>6291</v>
      </c>
      <c r="K152" s="203" t="s">
        <v>5104</v>
      </c>
      <c r="L152" s="205" t="s">
        <v>6292</v>
      </c>
      <c r="M152" s="205" t="s">
        <v>6293</v>
      </c>
      <c r="N152" s="204" t="s">
        <v>5116</v>
      </c>
      <c r="O152" s="204" t="s">
        <v>11</v>
      </c>
      <c r="P152" s="206">
        <v>5870</v>
      </c>
      <c r="Q152" s="206">
        <v>5870</v>
      </c>
      <c r="R152" s="207">
        <v>40000</v>
      </c>
      <c r="S152" s="207">
        <f t="shared" si="43"/>
        <v>234800000</v>
      </c>
      <c r="T152" s="589"/>
      <c r="U152" s="157">
        <v>40000</v>
      </c>
      <c r="V152" s="158">
        <f t="shared" si="54"/>
        <v>40000</v>
      </c>
      <c r="W152" s="159">
        <f t="shared" si="44"/>
        <v>0</v>
      </c>
      <c r="X152" s="159">
        <f t="shared" si="45"/>
        <v>0</v>
      </c>
      <c r="Y152" s="160"/>
      <c r="Z152" s="160">
        <f t="shared" si="46"/>
        <v>0</v>
      </c>
      <c r="AA152" s="165"/>
      <c r="AB152" s="161">
        <f t="shared" si="47"/>
        <v>0</v>
      </c>
      <c r="AC152" s="162"/>
      <c r="AD152" s="162">
        <f t="shared" si="39"/>
        <v>0</v>
      </c>
      <c r="AE152" s="164"/>
      <c r="AF152" s="164">
        <f t="shared" si="40"/>
        <v>0</v>
      </c>
      <c r="AG152" s="165"/>
      <c r="AH152" s="165">
        <f t="shared" si="41"/>
        <v>0</v>
      </c>
      <c r="AI152" s="166">
        <v>0</v>
      </c>
      <c r="AJ152" s="166">
        <f t="shared" si="42"/>
        <v>0</v>
      </c>
      <c r="AK152" s="162"/>
      <c r="AL152" s="162">
        <f t="shared" si="48"/>
        <v>0</v>
      </c>
      <c r="AM152" s="173"/>
      <c r="AN152" s="167">
        <f t="shared" si="49"/>
        <v>0</v>
      </c>
      <c r="AO152" s="163"/>
      <c r="AP152" s="163">
        <f t="shared" si="50"/>
        <v>0</v>
      </c>
      <c r="AQ152" s="168"/>
      <c r="AR152" s="168">
        <f t="shared" si="51"/>
        <v>0</v>
      </c>
      <c r="AS152" s="170"/>
      <c r="AT152" s="170">
        <f t="shared" si="52"/>
        <v>0</v>
      </c>
      <c r="AU152" s="166"/>
      <c r="AV152" s="166">
        <f t="shared" si="53"/>
        <v>0</v>
      </c>
    </row>
    <row r="153" spans="1:48" ht="31.5">
      <c r="A153" s="148" t="s">
        <v>6300</v>
      </c>
      <c r="B153" s="150" t="s">
        <v>5118</v>
      </c>
      <c r="C153" s="150" t="s">
        <v>5119</v>
      </c>
      <c r="D153" s="240" t="s">
        <v>4035</v>
      </c>
      <c r="E153" s="590" t="s">
        <v>12642</v>
      </c>
      <c r="F153" s="203" t="s">
        <v>4036</v>
      </c>
      <c r="G153" s="204" t="s">
        <v>6301</v>
      </c>
      <c r="H153" s="204">
        <v>1</v>
      </c>
      <c r="I153" s="203" t="s">
        <v>989</v>
      </c>
      <c r="J153" s="205" t="s">
        <v>6302</v>
      </c>
      <c r="K153" s="203" t="s">
        <v>5104</v>
      </c>
      <c r="L153" s="205" t="s">
        <v>6303</v>
      </c>
      <c r="M153" s="205" t="s">
        <v>948</v>
      </c>
      <c r="N153" s="204" t="s">
        <v>5116</v>
      </c>
      <c r="O153" s="204" t="s">
        <v>12</v>
      </c>
      <c r="P153" s="206">
        <v>4275</v>
      </c>
      <c r="Q153" s="206">
        <v>4275</v>
      </c>
      <c r="R153" s="207">
        <v>10000</v>
      </c>
      <c r="S153" s="207">
        <f t="shared" si="43"/>
        <v>42750000</v>
      </c>
      <c r="T153" s="589"/>
      <c r="U153" s="157">
        <v>10000</v>
      </c>
      <c r="V153" s="158">
        <f t="shared" si="54"/>
        <v>10000</v>
      </c>
      <c r="W153" s="159">
        <f t="shared" si="44"/>
        <v>0</v>
      </c>
      <c r="X153" s="159">
        <f t="shared" si="45"/>
        <v>0</v>
      </c>
      <c r="Y153" s="160"/>
      <c r="Z153" s="160">
        <f t="shared" si="46"/>
        <v>0</v>
      </c>
      <c r="AA153" s="165"/>
      <c r="AB153" s="161">
        <f t="shared" si="47"/>
        <v>0</v>
      </c>
      <c r="AC153" s="162"/>
      <c r="AD153" s="162">
        <f t="shared" si="39"/>
        <v>0</v>
      </c>
      <c r="AE153" s="163"/>
      <c r="AF153" s="164">
        <f t="shared" si="40"/>
        <v>0</v>
      </c>
      <c r="AG153" s="161"/>
      <c r="AH153" s="165">
        <f t="shared" si="41"/>
        <v>0</v>
      </c>
      <c r="AI153" s="160">
        <v>0</v>
      </c>
      <c r="AJ153" s="166">
        <f t="shared" si="42"/>
        <v>0</v>
      </c>
      <c r="AK153" s="162"/>
      <c r="AL153" s="162">
        <f t="shared" si="48"/>
        <v>0</v>
      </c>
      <c r="AM153" s="173"/>
      <c r="AN153" s="167">
        <f t="shared" si="49"/>
        <v>0</v>
      </c>
      <c r="AO153" s="163"/>
      <c r="AP153" s="163">
        <f t="shared" si="50"/>
        <v>0</v>
      </c>
      <c r="AQ153" s="162"/>
      <c r="AR153" s="168">
        <f t="shared" si="51"/>
        <v>0</v>
      </c>
      <c r="AS153" s="169"/>
      <c r="AT153" s="170">
        <f t="shared" si="52"/>
        <v>0</v>
      </c>
      <c r="AU153" s="160"/>
      <c r="AV153" s="166">
        <f t="shared" si="53"/>
        <v>0</v>
      </c>
    </row>
    <row r="154" spans="1:48" s="131" customFormat="1" ht="31.5">
      <c r="A154" s="172" t="s">
        <v>6304</v>
      </c>
      <c r="B154" s="150" t="s">
        <v>5118</v>
      </c>
      <c r="C154" s="150" t="s">
        <v>5119</v>
      </c>
      <c r="D154" s="240" t="s">
        <v>3726</v>
      </c>
      <c r="E154" s="590" t="s">
        <v>12643</v>
      </c>
      <c r="F154" s="203" t="s">
        <v>3727</v>
      </c>
      <c r="G154" s="204" t="s">
        <v>945</v>
      </c>
      <c r="H154" s="204">
        <v>1</v>
      </c>
      <c r="I154" s="203" t="s">
        <v>6305</v>
      </c>
      <c r="J154" s="205" t="s">
        <v>6306</v>
      </c>
      <c r="K154" s="203" t="s">
        <v>5104</v>
      </c>
      <c r="L154" s="205" t="s">
        <v>947</v>
      </c>
      <c r="M154" s="205" t="s">
        <v>948</v>
      </c>
      <c r="N154" s="204" t="s">
        <v>5116</v>
      </c>
      <c r="O154" s="204" t="s">
        <v>12</v>
      </c>
      <c r="P154" s="206">
        <v>3157</v>
      </c>
      <c r="Q154" s="206">
        <v>3156</v>
      </c>
      <c r="R154" s="207">
        <v>6000</v>
      </c>
      <c r="S154" s="207">
        <f t="shared" si="43"/>
        <v>18936000</v>
      </c>
      <c r="T154" s="589"/>
      <c r="U154" s="157">
        <v>6000</v>
      </c>
      <c r="V154" s="158">
        <f t="shared" si="54"/>
        <v>6000</v>
      </c>
      <c r="W154" s="159">
        <f t="shared" si="44"/>
        <v>0</v>
      </c>
      <c r="X154" s="159">
        <f t="shared" si="45"/>
        <v>0</v>
      </c>
      <c r="Y154" s="160"/>
      <c r="Z154" s="160">
        <f t="shared" si="46"/>
        <v>0</v>
      </c>
      <c r="AA154" s="161"/>
      <c r="AB154" s="161">
        <f t="shared" si="47"/>
        <v>0</v>
      </c>
      <c r="AC154" s="162"/>
      <c r="AD154" s="162">
        <f t="shared" si="39"/>
        <v>0</v>
      </c>
      <c r="AE154" s="164"/>
      <c r="AF154" s="164">
        <f t="shared" si="40"/>
        <v>0</v>
      </c>
      <c r="AG154" s="165"/>
      <c r="AH154" s="165">
        <f t="shared" si="41"/>
        <v>0</v>
      </c>
      <c r="AI154" s="166">
        <v>0</v>
      </c>
      <c r="AJ154" s="166">
        <f t="shared" si="42"/>
        <v>0</v>
      </c>
      <c r="AK154" s="162"/>
      <c r="AL154" s="162">
        <f t="shared" si="48"/>
        <v>0</v>
      </c>
      <c r="AM154" s="167"/>
      <c r="AN154" s="167">
        <f t="shared" si="49"/>
        <v>0</v>
      </c>
      <c r="AO154" s="163"/>
      <c r="AP154" s="163">
        <f t="shared" si="50"/>
        <v>0</v>
      </c>
      <c r="AQ154" s="168"/>
      <c r="AR154" s="168">
        <f t="shared" si="51"/>
        <v>0</v>
      </c>
      <c r="AS154" s="170"/>
      <c r="AT154" s="170">
        <f t="shared" si="52"/>
        <v>0</v>
      </c>
      <c r="AU154" s="166"/>
      <c r="AV154" s="166">
        <f t="shared" si="53"/>
        <v>0</v>
      </c>
    </row>
    <row r="155" spans="1:48" s="131" customFormat="1" ht="31.5">
      <c r="A155" s="148" t="s">
        <v>6307</v>
      </c>
      <c r="B155" s="150" t="s">
        <v>5118</v>
      </c>
      <c r="C155" s="150" t="s">
        <v>5119</v>
      </c>
      <c r="D155" s="240" t="s">
        <v>4337</v>
      </c>
      <c r="E155" s="590" t="s">
        <v>12642</v>
      </c>
      <c r="F155" s="203" t="s">
        <v>1212</v>
      </c>
      <c r="G155" s="204" t="s">
        <v>945</v>
      </c>
      <c r="H155" s="204">
        <v>1</v>
      </c>
      <c r="I155" s="203" t="s">
        <v>6308</v>
      </c>
      <c r="J155" s="205" t="s">
        <v>6309</v>
      </c>
      <c r="K155" s="203" t="s">
        <v>5104</v>
      </c>
      <c r="L155" s="205" t="s">
        <v>970</v>
      </c>
      <c r="M155" s="205" t="s">
        <v>948</v>
      </c>
      <c r="N155" s="204" t="s">
        <v>5116</v>
      </c>
      <c r="O155" s="204" t="s">
        <v>12</v>
      </c>
      <c r="P155" s="206">
        <v>3476</v>
      </c>
      <c r="Q155" s="206">
        <v>3475</v>
      </c>
      <c r="R155" s="207">
        <v>15000</v>
      </c>
      <c r="S155" s="207">
        <f t="shared" si="43"/>
        <v>52125000</v>
      </c>
      <c r="T155" s="589"/>
      <c r="U155" s="157">
        <v>15000</v>
      </c>
      <c r="V155" s="158">
        <f t="shared" si="54"/>
        <v>15000</v>
      </c>
      <c r="W155" s="159">
        <f t="shared" si="44"/>
        <v>0</v>
      </c>
      <c r="X155" s="159">
        <f t="shared" si="45"/>
        <v>0</v>
      </c>
      <c r="Y155" s="160"/>
      <c r="Z155" s="160">
        <f t="shared" si="46"/>
        <v>0</v>
      </c>
      <c r="AA155" s="165"/>
      <c r="AB155" s="161">
        <f t="shared" si="47"/>
        <v>0</v>
      </c>
      <c r="AC155" s="162"/>
      <c r="AD155" s="162">
        <f t="shared" si="39"/>
        <v>0</v>
      </c>
      <c r="AE155" s="163"/>
      <c r="AF155" s="164">
        <f t="shared" si="40"/>
        <v>0</v>
      </c>
      <c r="AG155" s="161"/>
      <c r="AH155" s="165">
        <f t="shared" si="41"/>
        <v>0</v>
      </c>
      <c r="AI155" s="160">
        <v>0</v>
      </c>
      <c r="AJ155" s="166">
        <f t="shared" si="42"/>
        <v>0</v>
      </c>
      <c r="AK155" s="162"/>
      <c r="AL155" s="162">
        <f t="shared" si="48"/>
        <v>0</v>
      </c>
      <c r="AM155" s="173"/>
      <c r="AN155" s="167">
        <f t="shared" si="49"/>
        <v>0</v>
      </c>
      <c r="AO155" s="163"/>
      <c r="AP155" s="163">
        <f t="shared" si="50"/>
        <v>0</v>
      </c>
      <c r="AQ155" s="162"/>
      <c r="AR155" s="168">
        <f t="shared" si="51"/>
        <v>0</v>
      </c>
      <c r="AS155" s="169"/>
      <c r="AT155" s="170">
        <f t="shared" si="52"/>
        <v>0</v>
      </c>
      <c r="AU155" s="160"/>
      <c r="AV155" s="166">
        <f t="shared" si="53"/>
        <v>0</v>
      </c>
    </row>
    <row r="156" spans="1:48" s="131" customFormat="1" ht="31.5">
      <c r="A156" s="172" t="s">
        <v>6319</v>
      </c>
      <c r="B156" s="150" t="s">
        <v>5118</v>
      </c>
      <c r="C156" s="150" t="s">
        <v>5119</v>
      </c>
      <c r="D156" s="240" t="s">
        <v>4056</v>
      </c>
      <c r="E156" s="590" t="s">
        <v>12642</v>
      </c>
      <c r="F156" s="203" t="s">
        <v>6320</v>
      </c>
      <c r="G156" s="204" t="s">
        <v>3962</v>
      </c>
      <c r="H156" s="204">
        <v>1</v>
      </c>
      <c r="I156" s="203" t="s">
        <v>4057</v>
      </c>
      <c r="J156" s="205" t="s">
        <v>6321</v>
      </c>
      <c r="K156" s="203" t="s">
        <v>253</v>
      </c>
      <c r="L156" s="205" t="s">
        <v>6322</v>
      </c>
      <c r="M156" s="205" t="s">
        <v>948</v>
      </c>
      <c r="N156" s="204" t="s">
        <v>5116</v>
      </c>
      <c r="O156" s="204" t="s">
        <v>11</v>
      </c>
      <c r="P156" s="206">
        <v>3401</v>
      </c>
      <c r="Q156" s="206">
        <v>3238</v>
      </c>
      <c r="R156" s="207">
        <v>5000</v>
      </c>
      <c r="S156" s="207">
        <f t="shared" si="43"/>
        <v>16190000</v>
      </c>
      <c r="T156" s="589"/>
      <c r="U156" s="157">
        <v>5000</v>
      </c>
      <c r="V156" s="158">
        <f t="shared" si="54"/>
        <v>2810</v>
      </c>
      <c r="W156" s="159">
        <f t="shared" si="44"/>
        <v>2190</v>
      </c>
      <c r="X156" s="159">
        <f t="shared" si="45"/>
        <v>7091220</v>
      </c>
      <c r="Y156" s="160"/>
      <c r="Z156" s="160">
        <f t="shared" si="46"/>
        <v>0</v>
      </c>
      <c r="AA156" s="165"/>
      <c r="AB156" s="161">
        <f t="shared" si="47"/>
        <v>0</v>
      </c>
      <c r="AC156" s="162"/>
      <c r="AD156" s="162">
        <f t="shared" si="39"/>
        <v>0</v>
      </c>
      <c r="AE156" s="164"/>
      <c r="AF156" s="164">
        <f t="shared" si="40"/>
        <v>0</v>
      </c>
      <c r="AG156" s="165">
        <v>600</v>
      </c>
      <c r="AH156" s="165">
        <f t="shared" si="41"/>
        <v>1942800</v>
      </c>
      <c r="AI156" s="166">
        <v>990</v>
      </c>
      <c r="AJ156" s="166">
        <f t="shared" si="42"/>
        <v>3205620</v>
      </c>
      <c r="AK156" s="162"/>
      <c r="AL156" s="162">
        <f t="shared" si="48"/>
        <v>0</v>
      </c>
      <c r="AM156" s="173"/>
      <c r="AN156" s="167">
        <f t="shared" si="49"/>
        <v>0</v>
      </c>
      <c r="AO156" s="163"/>
      <c r="AP156" s="163">
        <f t="shared" si="50"/>
        <v>0</v>
      </c>
      <c r="AQ156" s="168"/>
      <c r="AR156" s="168">
        <f t="shared" si="51"/>
        <v>0</v>
      </c>
      <c r="AS156" s="170">
        <v>600</v>
      </c>
      <c r="AT156" s="170">
        <f t="shared" si="52"/>
        <v>1942800</v>
      </c>
      <c r="AU156" s="166"/>
      <c r="AV156" s="166">
        <f t="shared" si="53"/>
        <v>0</v>
      </c>
    </row>
    <row r="157" spans="1:48" s="131" customFormat="1" ht="31.5">
      <c r="A157" s="172" t="s">
        <v>6340</v>
      </c>
      <c r="B157" s="150" t="s">
        <v>5118</v>
      </c>
      <c r="C157" s="150" t="s">
        <v>5119</v>
      </c>
      <c r="D157" s="240" t="s">
        <v>6341</v>
      </c>
      <c r="E157" s="590"/>
      <c r="F157" s="203" t="s">
        <v>6342</v>
      </c>
      <c r="G157" s="204" t="s">
        <v>238</v>
      </c>
      <c r="H157" s="204">
        <v>1</v>
      </c>
      <c r="I157" s="203" t="s">
        <v>6343</v>
      </c>
      <c r="J157" s="205" t="s">
        <v>6344</v>
      </c>
      <c r="K157" s="203" t="s">
        <v>5108</v>
      </c>
      <c r="L157" s="205" t="s">
        <v>6345</v>
      </c>
      <c r="M157" s="205" t="s">
        <v>2088</v>
      </c>
      <c r="N157" s="204" t="s">
        <v>6346</v>
      </c>
      <c r="O157" s="204" t="s">
        <v>11</v>
      </c>
      <c r="P157" s="206">
        <v>8096</v>
      </c>
      <c r="Q157" s="206">
        <v>7360</v>
      </c>
      <c r="R157" s="207">
        <v>1000</v>
      </c>
      <c r="S157" s="207">
        <f t="shared" si="43"/>
        <v>7360000</v>
      </c>
      <c r="T157" s="589"/>
      <c r="U157" s="157">
        <v>1000</v>
      </c>
      <c r="V157" s="158">
        <f t="shared" si="54"/>
        <v>1000</v>
      </c>
      <c r="W157" s="159">
        <f t="shared" si="44"/>
        <v>0</v>
      </c>
      <c r="X157" s="159">
        <f t="shared" si="45"/>
        <v>0</v>
      </c>
      <c r="Y157" s="160"/>
      <c r="Z157" s="160">
        <f t="shared" si="46"/>
        <v>0</v>
      </c>
      <c r="AA157" s="165"/>
      <c r="AB157" s="161">
        <f t="shared" si="47"/>
        <v>0</v>
      </c>
      <c r="AC157" s="162"/>
      <c r="AD157" s="162">
        <f t="shared" si="39"/>
        <v>0</v>
      </c>
      <c r="AE157" s="163"/>
      <c r="AF157" s="164">
        <f t="shared" si="40"/>
        <v>0</v>
      </c>
      <c r="AG157" s="161"/>
      <c r="AH157" s="165">
        <f t="shared" si="41"/>
        <v>0</v>
      </c>
      <c r="AI157" s="160">
        <v>0</v>
      </c>
      <c r="AJ157" s="166">
        <f t="shared" si="42"/>
        <v>0</v>
      </c>
      <c r="AK157" s="162"/>
      <c r="AL157" s="162">
        <f t="shared" si="48"/>
        <v>0</v>
      </c>
      <c r="AM157" s="173"/>
      <c r="AN157" s="167">
        <f t="shared" si="49"/>
        <v>0</v>
      </c>
      <c r="AO157" s="163"/>
      <c r="AP157" s="163">
        <f t="shared" si="50"/>
        <v>0</v>
      </c>
      <c r="AQ157" s="162"/>
      <c r="AR157" s="168">
        <f t="shared" si="51"/>
        <v>0</v>
      </c>
      <c r="AS157" s="169"/>
      <c r="AT157" s="170">
        <f t="shared" si="52"/>
        <v>0</v>
      </c>
      <c r="AU157" s="160"/>
      <c r="AV157" s="166">
        <f t="shared" si="53"/>
        <v>0</v>
      </c>
    </row>
    <row r="158" spans="1:48" s="131" customFormat="1" ht="31.5">
      <c r="A158" s="148" t="s">
        <v>6347</v>
      </c>
      <c r="B158" s="150" t="s">
        <v>5118</v>
      </c>
      <c r="C158" s="150" t="s">
        <v>5119</v>
      </c>
      <c r="D158" s="240" t="s">
        <v>4230</v>
      </c>
      <c r="E158" s="590"/>
      <c r="F158" s="203" t="s">
        <v>2089</v>
      </c>
      <c r="G158" s="204" t="s">
        <v>327</v>
      </c>
      <c r="H158" s="204">
        <v>1</v>
      </c>
      <c r="I158" s="203" t="s">
        <v>2090</v>
      </c>
      <c r="J158" s="205" t="s">
        <v>6348</v>
      </c>
      <c r="K158" s="203" t="s">
        <v>5108</v>
      </c>
      <c r="L158" s="205" t="s">
        <v>6349</v>
      </c>
      <c r="M158" s="205" t="s">
        <v>2092</v>
      </c>
      <c r="N158" s="204" t="s">
        <v>6346</v>
      </c>
      <c r="O158" s="204" t="s">
        <v>11</v>
      </c>
      <c r="P158" s="206">
        <v>2070</v>
      </c>
      <c r="Q158" s="206">
        <v>1900</v>
      </c>
      <c r="R158" s="207">
        <v>2000</v>
      </c>
      <c r="S158" s="207">
        <f t="shared" si="43"/>
        <v>3800000</v>
      </c>
      <c r="T158" s="589"/>
      <c r="U158" s="157">
        <v>2000</v>
      </c>
      <c r="V158" s="158">
        <f t="shared" si="54"/>
        <v>2000</v>
      </c>
      <c r="W158" s="159">
        <f t="shared" si="44"/>
        <v>0</v>
      </c>
      <c r="X158" s="159">
        <f t="shared" si="45"/>
        <v>0</v>
      </c>
      <c r="Y158" s="160"/>
      <c r="Z158" s="160">
        <f t="shared" si="46"/>
        <v>0</v>
      </c>
      <c r="AA158" s="165"/>
      <c r="AB158" s="161">
        <f t="shared" si="47"/>
        <v>0</v>
      </c>
      <c r="AC158" s="162"/>
      <c r="AD158" s="162">
        <f t="shared" si="39"/>
        <v>0</v>
      </c>
      <c r="AE158" s="163"/>
      <c r="AF158" s="164">
        <f t="shared" si="40"/>
        <v>0</v>
      </c>
      <c r="AG158" s="161"/>
      <c r="AH158" s="165">
        <f t="shared" si="41"/>
        <v>0</v>
      </c>
      <c r="AI158" s="160">
        <v>0</v>
      </c>
      <c r="AJ158" s="166">
        <f t="shared" si="42"/>
        <v>0</v>
      </c>
      <c r="AK158" s="162"/>
      <c r="AL158" s="162">
        <f t="shared" si="48"/>
        <v>0</v>
      </c>
      <c r="AM158" s="173"/>
      <c r="AN158" s="167">
        <f t="shared" si="49"/>
        <v>0</v>
      </c>
      <c r="AO158" s="163"/>
      <c r="AP158" s="163">
        <f t="shared" si="50"/>
        <v>0</v>
      </c>
      <c r="AQ158" s="162"/>
      <c r="AR158" s="168">
        <f t="shared" si="51"/>
        <v>0</v>
      </c>
      <c r="AS158" s="169"/>
      <c r="AT158" s="170">
        <f t="shared" si="52"/>
        <v>0</v>
      </c>
      <c r="AU158" s="160"/>
      <c r="AV158" s="166">
        <f t="shared" si="53"/>
        <v>0</v>
      </c>
    </row>
    <row r="159" spans="1:48" s="131" customFormat="1" ht="31.5">
      <c r="A159" s="148" t="s">
        <v>6374</v>
      </c>
      <c r="B159" s="150" t="s">
        <v>5118</v>
      </c>
      <c r="C159" s="150" t="s">
        <v>5119</v>
      </c>
      <c r="D159" s="240" t="s">
        <v>6375</v>
      </c>
      <c r="E159" s="590"/>
      <c r="F159" s="203" t="s">
        <v>6376</v>
      </c>
      <c r="G159" s="204" t="s">
        <v>6377</v>
      </c>
      <c r="H159" s="204">
        <v>1</v>
      </c>
      <c r="I159" s="203" t="s">
        <v>6378</v>
      </c>
      <c r="J159" s="205" t="s">
        <v>6379</v>
      </c>
      <c r="K159" s="203" t="s">
        <v>6049</v>
      </c>
      <c r="L159" s="205" t="s">
        <v>6380</v>
      </c>
      <c r="M159" s="205" t="s">
        <v>6381</v>
      </c>
      <c r="N159" s="204" t="s">
        <v>5116</v>
      </c>
      <c r="O159" s="204" t="s">
        <v>4139</v>
      </c>
      <c r="P159" s="206">
        <v>163333</v>
      </c>
      <c r="Q159" s="206">
        <v>153999</v>
      </c>
      <c r="R159" s="207">
        <v>100</v>
      </c>
      <c r="S159" s="207">
        <f t="shared" si="43"/>
        <v>15399900</v>
      </c>
      <c r="T159" s="589"/>
      <c r="U159" s="157">
        <v>100</v>
      </c>
      <c r="V159" s="158">
        <f t="shared" si="54"/>
        <v>100</v>
      </c>
      <c r="W159" s="159">
        <f t="shared" si="44"/>
        <v>0</v>
      </c>
      <c r="X159" s="159">
        <f t="shared" si="45"/>
        <v>0</v>
      </c>
      <c r="Y159" s="160"/>
      <c r="Z159" s="160">
        <f t="shared" si="46"/>
        <v>0</v>
      </c>
      <c r="AA159" s="165"/>
      <c r="AB159" s="161">
        <f t="shared" si="47"/>
        <v>0</v>
      </c>
      <c r="AC159" s="162"/>
      <c r="AD159" s="162">
        <f t="shared" si="39"/>
        <v>0</v>
      </c>
      <c r="AE159" s="164"/>
      <c r="AF159" s="164">
        <f t="shared" si="40"/>
        <v>0</v>
      </c>
      <c r="AG159" s="165"/>
      <c r="AH159" s="165">
        <f t="shared" si="41"/>
        <v>0</v>
      </c>
      <c r="AI159" s="166">
        <v>0</v>
      </c>
      <c r="AJ159" s="166">
        <f t="shared" si="42"/>
        <v>0</v>
      </c>
      <c r="AK159" s="162"/>
      <c r="AL159" s="162">
        <f t="shared" si="48"/>
        <v>0</v>
      </c>
      <c r="AM159" s="173"/>
      <c r="AN159" s="167">
        <f t="shared" si="49"/>
        <v>0</v>
      </c>
      <c r="AO159" s="163"/>
      <c r="AP159" s="163">
        <f t="shared" si="50"/>
        <v>0</v>
      </c>
      <c r="AQ159" s="168"/>
      <c r="AR159" s="168">
        <f t="shared" si="51"/>
        <v>0</v>
      </c>
      <c r="AS159" s="170"/>
      <c r="AT159" s="170">
        <f t="shared" si="52"/>
        <v>0</v>
      </c>
      <c r="AU159" s="166"/>
      <c r="AV159" s="166">
        <f t="shared" si="53"/>
        <v>0</v>
      </c>
    </row>
    <row r="160" spans="1:48" s="131" customFormat="1" ht="31.5">
      <c r="A160" s="148" t="s">
        <v>5015</v>
      </c>
      <c r="B160" s="150" t="s">
        <v>5118</v>
      </c>
      <c r="C160" s="150" t="s">
        <v>5119</v>
      </c>
      <c r="D160" s="240" t="s">
        <v>3773</v>
      </c>
      <c r="E160" s="590"/>
      <c r="F160" s="203" t="s">
        <v>6382</v>
      </c>
      <c r="G160" s="204" t="s">
        <v>6383</v>
      </c>
      <c r="H160" s="204">
        <v>1</v>
      </c>
      <c r="I160" s="203" t="s">
        <v>6384</v>
      </c>
      <c r="J160" s="205" t="s">
        <v>6385</v>
      </c>
      <c r="K160" s="203" t="s">
        <v>6049</v>
      </c>
      <c r="L160" s="205" t="s">
        <v>6386</v>
      </c>
      <c r="M160" s="205" t="s">
        <v>6381</v>
      </c>
      <c r="N160" s="204" t="s">
        <v>5116</v>
      </c>
      <c r="O160" s="204" t="s">
        <v>4139</v>
      </c>
      <c r="P160" s="206">
        <v>252234</v>
      </c>
      <c r="Q160" s="206">
        <v>198000</v>
      </c>
      <c r="R160" s="207">
        <v>30</v>
      </c>
      <c r="S160" s="207">
        <f t="shared" si="43"/>
        <v>5940000</v>
      </c>
      <c r="T160" s="589"/>
      <c r="U160" s="157">
        <v>30</v>
      </c>
      <c r="V160" s="158">
        <f t="shared" si="54"/>
        <v>30</v>
      </c>
      <c r="W160" s="159">
        <f t="shared" si="44"/>
        <v>0</v>
      </c>
      <c r="X160" s="159">
        <f t="shared" si="45"/>
        <v>0</v>
      </c>
      <c r="Y160" s="160"/>
      <c r="Z160" s="160">
        <f t="shared" si="46"/>
        <v>0</v>
      </c>
      <c r="AA160" s="165"/>
      <c r="AB160" s="161">
        <f t="shared" si="47"/>
        <v>0</v>
      </c>
      <c r="AC160" s="162"/>
      <c r="AD160" s="162">
        <f t="shared" si="39"/>
        <v>0</v>
      </c>
      <c r="AE160" s="164"/>
      <c r="AF160" s="164">
        <f t="shared" si="40"/>
        <v>0</v>
      </c>
      <c r="AG160" s="165"/>
      <c r="AH160" s="165">
        <f t="shared" si="41"/>
        <v>0</v>
      </c>
      <c r="AI160" s="166">
        <v>0</v>
      </c>
      <c r="AJ160" s="166">
        <f t="shared" si="42"/>
        <v>0</v>
      </c>
      <c r="AK160" s="162"/>
      <c r="AL160" s="162">
        <f t="shared" si="48"/>
        <v>0</v>
      </c>
      <c r="AM160" s="173"/>
      <c r="AN160" s="167">
        <f t="shared" si="49"/>
        <v>0</v>
      </c>
      <c r="AO160" s="163"/>
      <c r="AP160" s="163">
        <f t="shared" si="50"/>
        <v>0</v>
      </c>
      <c r="AQ160" s="168"/>
      <c r="AR160" s="168">
        <f t="shared" si="51"/>
        <v>0</v>
      </c>
      <c r="AS160" s="170"/>
      <c r="AT160" s="170">
        <f t="shared" si="52"/>
        <v>0</v>
      </c>
      <c r="AU160" s="166"/>
      <c r="AV160" s="166">
        <f t="shared" si="53"/>
        <v>0</v>
      </c>
    </row>
    <row r="161" spans="1:48" s="131" customFormat="1" ht="31.5">
      <c r="A161" s="172" t="s">
        <v>6387</v>
      </c>
      <c r="B161" s="150" t="s">
        <v>5118</v>
      </c>
      <c r="C161" s="150" t="s">
        <v>5119</v>
      </c>
      <c r="D161" s="240" t="s">
        <v>4178</v>
      </c>
      <c r="E161" s="590"/>
      <c r="F161" s="203" t="s">
        <v>6388</v>
      </c>
      <c r="G161" s="204" t="s">
        <v>4215</v>
      </c>
      <c r="H161" s="204">
        <v>1</v>
      </c>
      <c r="I161" s="203" t="s">
        <v>4213</v>
      </c>
      <c r="J161" s="205" t="s">
        <v>6389</v>
      </c>
      <c r="K161" s="203" t="s">
        <v>253</v>
      </c>
      <c r="L161" s="205" t="s">
        <v>6390</v>
      </c>
      <c r="M161" s="205" t="s">
        <v>2072</v>
      </c>
      <c r="N161" s="204" t="s">
        <v>6391</v>
      </c>
      <c r="O161" s="204" t="s">
        <v>4139</v>
      </c>
      <c r="P161" s="206">
        <v>250745</v>
      </c>
      <c r="Q161" s="206">
        <v>227850</v>
      </c>
      <c r="R161" s="207">
        <v>10000</v>
      </c>
      <c r="S161" s="207">
        <f t="shared" si="43"/>
        <v>2278500000</v>
      </c>
      <c r="T161" s="589"/>
      <c r="U161" s="157">
        <v>10000</v>
      </c>
      <c r="V161" s="158">
        <f t="shared" si="54"/>
        <v>7500</v>
      </c>
      <c r="W161" s="159">
        <f t="shared" si="44"/>
        <v>2500</v>
      </c>
      <c r="X161" s="159">
        <f t="shared" si="45"/>
        <v>569625000</v>
      </c>
      <c r="Y161" s="160"/>
      <c r="Z161" s="160">
        <f t="shared" si="46"/>
        <v>0</v>
      </c>
      <c r="AA161" s="165"/>
      <c r="AB161" s="161">
        <f t="shared" si="47"/>
        <v>0</v>
      </c>
      <c r="AC161" s="162"/>
      <c r="AD161" s="162">
        <f t="shared" si="39"/>
        <v>0</v>
      </c>
      <c r="AE161" s="164"/>
      <c r="AF161" s="164">
        <f t="shared" si="40"/>
        <v>0</v>
      </c>
      <c r="AG161" s="165">
        <v>1000</v>
      </c>
      <c r="AH161" s="165">
        <f t="shared" si="41"/>
        <v>227850000</v>
      </c>
      <c r="AI161" s="166">
        <v>0</v>
      </c>
      <c r="AJ161" s="166">
        <f t="shared" si="42"/>
        <v>0</v>
      </c>
      <c r="AK161" s="162"/>
      <c r="AL161" s="162">
        <f t="shared" si="48"/>
        <v>0</v>
      </c>
      <c r="AM161" s="173">
        <v>500</v>
      </c>
      <c r="AN161" s="167">
        <f t="shared" si="49"/>
        <v>113925000</v>
      </c>
      <c r="AO161" s="163"/>
      <c r="AP161" s="163">
        <f t="shared" si="50"/>
        <v>0</v>
      </c>
      <c r="AQ161" s="168"/>
      <c r="AR161" s="168">
        <f t="shared" si="51"/>
        <v>0</v>
      </c>
      <c r="AS161" s="170">
        <v>1000</v>
      </c>
      <c r="AT161" s="170">
        <f t="shared" si="52"/>
        <v>227850000</v>
      </c>
      <c r="AU161" s="166"/>
      <c r="AV161" s="166">
        <f t="shared" si="53"/>
        <v>0</v>
      </c>
    </row>
    <row r="162" spans="1:48" s="131" customFormat="1" ht="94.5">
      <c r="A162" s="148" t="s">
        <v>6392</v>
      </c>
      <c r="B162" s="150" t="s">
        <v>5118</v>
      </c>
      <c r="C162" s="150" t="s">
        <v>5119</v>
      </c>
      <c r="D162" s="240" t="s">
        <v>6393</v>
      </c>
      <c r="E162" s="590"/>
      <c r="F162" s="203" t="s">
        <v>6388</v>
      </c>
      <c r="G162" s="204" t="s">
        <v>6394</v>
      </c>
      <c r="H162" s="204">
        <v>1</v>
      </c>
      <c r="I162" s="203" t="s">
        <v>2063</v>
      </c>
      <c r="J162" s="205" t="s">
        <v>6395</v>
      </c>
      <c r="K162" s="203" t="s">
        <v>5104</v>
      </c>
      <c r="L162" s="205" t="s">
        <v>6396</v>
      </c>
      <c r="M162" s="205" t="s">
        <v>2067</v>
      </c>
      <c r="N162" s="204" t="s">
        <v>6397</v>
      </c>
      <c r="O162" s="204" t="s">
        <v>4139</v>
      </c>
      <c r="P162" s="206">
        <v>240000</v>
      </c>
      <c r="Q162" s="206">
        <v>227000</v>
      </c>
      <c r="R162" s="207">
        <v>2000</v>
      </c>
      <c r="S162" s="207">
        <f t="shared" si="43"/>
        <v>454000000</v>
      </c>
      <c r="T162" s="589"/>
      <c r="U162" s="157">
        <v>2000</v>
      </c>
      <c r="V162" s="158">
        <f t="shared" si="54"/>
        <v>2000</v>
      </c>
      <c r="W162" s="159">
        <f t="shared" si="44"/>
        <v>0</v>
      </c>
      <c r="X162" s="159">
        <f t="shared" si="45"/>
        <v>0</v>
      </c>
      <c r="Y162" s="160"/>
      <c r="Z162" s="160">
        <f t="shared" si="46"/>
        <v>0</v>
      </c>
      <c r="AA162" s="165"/>
      <c r="AB162" s="161">
        <f t="shared" si="47"/>
        <v>0</v>
      </c>
      <c r="AC162" s="162"/>
      <c r="AD162" s="162">
        <f t="shared" si="39"/>
        <v>0</v>
      </c>
      <c r="AE162" s="164"/>
      <c r="AF162" s="164">
        <f t="shared" si="40"/>
        <v>0</v>
      </c>
      <c r="AG162" s="165"/>
      <c r="AH162" s="165">
        <f t="shared" si="41"/>
        <v>0</v>
      </c>
      <c r="AI162" s="166">
        <v>0</v>
      </c>
      <c r="AJ162" s="166">
        <f t="shared" si="42"/>
        <v>0</v>
      </c>
      <c r="AK162" s="162"/>
      <c r="AL162" s="162">
        <f t="shared" si="48"/>
        <v>0</v>
      </c>
      <c r="AM162" s="173"/>
      <c r="AN162" s="167">
        <f t="shared" si="49"/>
        <v>0</v>
      </c>
      <c r="AO162" s="163"/>
      <c r="AP162" s="163">
        <f t="shared" si="50"/>
        <v>0</v>
      </c>
      <c r="AQ162" s="168"/>
      <c r="AR162" s="168">
        <f t="shared" si="51"/>
        <v>0</v>
      </c>
      <c r="AS162" s="170"/>
      <c r="AT162" s="170">
        <f t="shared" si="52"/>
        <v>0</v>
      </c>
      <c r="AU162" s="166"/>
      <c r="AV162" s="166">
        <f t="shared" si="53"/>
        <v>0</v>
      </c>
    </row>
    <row r="163" spans="1:48" s="131" customFormat="1" ht="94.5">
      <c r="A163" s="148" t="s">
        <v>6398</v>
      </c>
      <c r="B163" s="150" t="s">
        <v>5118</v>
      </c>
      <c r="C163" s="150" t="s">
        <v>5119</v>
      </c>
      <c r="D163" s="240" t="s">
        <v>6399</v>
      </c>
      <c r="E163" s="590"/>
      <c r="F163" s="203" t="s">
        <v>6388</v>
      </c>
      <c r="G163" s="204" t="s">
        <v>6400</v>
      </c>
      <c r="H163" s="204">
        <v>1</v>
      </c>
      <c r="I163" s="203" t="s">
        <v>2070</v>
      </c>
      <c r="J163" s="205" t="s">
        <v>6395</v>
      </c>
      <c r="K163" s="203" t="s">
        <v>5104</v>
      </c>
      <c r="L163" s="205" t="s">
        <v>6401</v>
      </c>
      <c r="M163" s="205" t="s">
        <v>2067</v>
      </c>
      <c r="N163" s="204" t="s">
        <v>6397</v>
      </c>
      <c r="O163" s="204" t="s">
        <v>4139</v>
      </c>
      <c r="P163" s="206">
        <v>240000</v>
      </c>
      <c r="Q163" s="206">
        <v>227000</v>
      </c>
      <c r="R163" s="207">
        <v>1000</v>
      </c>
      <c r="S163" s="207">
        <f t="shared" si="43"/>
        <v>227000000</v>
      </c>
      <c r="T163" s="589"/>
      <c r="U163" s="157">
        <v>1000</v>
      </c>
      <c r="V163" s="158">
        <f t="shared" si="54"/>
        <v>1000</v>
      </c>
      <c r="W163" s="159">
        <f t="shared" si="44"/>
        <v>0</v>
      </c>
      <c r="X163" s="159">
        <f t="shared" si="45"/>
        <v>0</v>
      </c>
      <c r="Y163" s="160"/>
      <c r="Z163" s="160">
        <f t="shared" si="46"/>
        <v>0</v>
      </c>
      <c r="AA163" s="165"/>
      <c r="AB163" s="161">
        <f t="shared" si="47"/>
        <v>0</v>
      </c>
      <c r="AC163" s="162"/>
      <c r="AD163" s="162">
        <f t="shared" si="39"/>
        <v>0</v>
      </c>
      <c r="AE163" s="164"/>
      <c r="AF163" s="164">
        <f t="shared" si="40"/>
        <v>0</v>
      </c>
      <c r="AG163" s="165"/>
      <c r="AH163" s="165">
        <f t="shared" si="41"/>
        <v>0</v>
      </c>
      <c r="AI163" s="166">
        <v>0</v>
      </c>
      <c r="AJ163" s="166">
        <f t="shared" si="42"/>
        <v>0</v>
      </c>
      <c r="AK163" s="162"/>
      <c r="AL163" s="162">
        <f t="shared" si="48"/>
        <v>0</v>
      </c>
      <c r="AM163" s="173"/>
      <c r="AN163" s="167">
        <f t="shared" si="49"/>
        <v>0</v>
      </c>
      <c r="AO163" s="163"/>
      <c r="AP163" s="163">
        <f t="shared" si="50"/>
        <v>0</v>
      </c>
      <c r="AQ163" s="168"/>
      <c r="AR163" s="168">
        <f t="shared" si="51"/>
        <v>0</v>
      </c>
      <c r="AS163" s="170"/>
      <c r="AT163" s="170">
        <f t="shared" si="52"/>
        <v>0</v>
      </c>
      <c r="AU163" s="166"/>
      <c r="AV163" s="166">
        <f t="shared" si="53"/>
        <v>0</v>
      </c>
    </row>
    <row r="164" spans="1:48" s="131" customFormat="1" ht="47.25">
      <c r="A164" s="172" t="s">
        <v>4568</v>
      </c>
      <c r="B164" s="150" t="s">
        <v>5118</v>
      </c>
      <c r="C164" s="150" t="s">
        <v>5119</v>
      </c>
      <c r="D164" s="240" t="s">
        <v>6458</v>
      </c>
      <c r="E164" s="590"/>
      <c r="F164" s="203" t="s">
        <v>4033</v>
      </c>
      <c r="G164" s="204" t="s">
        <v>903</v>
      </c>
      <c r="H164" s="204">
        <v>1</v>
      </c>
      <c r="I164" s="203" t="s">
        <v>6459</v>
      </c>
      <c r="J164" s="205" t="s">
        <v>6460</v>
      </c>
      <c r="K164" s="203" t="s">
        <v>5108</v>
      </c>
      <c r="L164" s="205" t="s">
        <v>6461</v>
      </c>
      <c r="M164" s="205" t="s">
        <v>6462</v>
      </c>
      <c r="N164" s="204" t="s">
        <v>6463</v>
      </c>
      <c r="O164" s="204" t="s">
        <v>15</v>
      </c>
      <c r="P164" s="206">
        <v>387200</v>
      </c>
      <c r="Q164" s="206">
        <v>265000</v>
      </c>
      <c r="R164" s="207">
        <v>5</v>
      </c>
      <c r="S164" s="207">
        <f t="shared" si="43"/>
        <v>1325000</v>
      </c>
      <c r="T164" s="589"/>
      <c r="U164" s="157">
        <v>5</v>
      </c>
      <c r="V164" s="158">
        <f t="shared" si="54"/>
        <v>5</v>
      </c>
      <c r="W164" s="159">
        <f t="shared" si="44"/>
        <v>0</v>
      </c>
      <c r="X164" s="159">
        <f t="shared" si="45"/>
        <v>0</v>
      </c>
      <c r="Y164" s="160"/>
      <c r="Z164" s="160">
        <f t="shared" si="46"/>
        <v>0</v>
      </c>
      <c r="AA164" s="165"/>
      <c r="AB164" s="161">
        <f t="shared" si="47"/>
        <v>0</v>
      </c>
      <c r="AC164" s="162"/>
      <c r="AD164" s="162">
        <f t="shared" si="39"/>
        <v>0</v>
      </c>
      <c r="AE164" s="164"/>
      <c r="AF164" s="164">
        <f t="shared" si="40"/>
        <v>0</v>
      </c>
      <c r="AG164" s="165"/>
      <c r="AH164" s="165">
        <f t="shared" si="41"/>
        <v>0</v>
      </c>
      <c r="AI164" s="166">
        <v>0</v>
      </c>
      <c r="AJ164" s="166">
        <f t="shared" si="42"/>
        <v>0</v>
      </c>
      <c r="AK164" s="162"/>
      <c r="AL164" s="162">
        <f t="shared" si="48"/>
        <v>0</v>
      </c>
      <c r="AM164" s="173"/>
      <c r="AN164" s="167">
        <f t="shared" si="49"/>
        <v>0</v>
      </c>
      <c r="AO164" s="163"/>
      <c r="AP164" s="163">
        <f t="shared" si="50"/>
        <v>0</v>
      </c>
      <c r="AQ164" s="168"/>
      <c r="AR164" s="168">
        <f t="shared" si="51"/>
        <v>0</v>
      </c>
      <c r="AS164" s="170"/>
      <c r="AT164" s="170">
        <f t="shared" si="52"/>
        <v>0</v>
      </c>
      <c r="AU164" s="166"/>
      <c r="AV164" s="166">
        <f t="shared" si="53"/>
        <v>0</v>
      </c>
    </row>
    <row r="165" spans="1:48" s="131" customFormat="1" ht="31.5">
      <c r="A165" s="148" t="s">
        <v>6464</v>
      </c>
      <c r="B165" s="150" t="s">
        <v>5118</v>
      </c>
      <c r="C165" s="150" t="s">
        <v>5119</v>
      </c>
      <c r="D165" s="240" t="s">
        <v>6465</v>
      </c>
      <c r="E165" s="590"/>
      <c r="F165" s="203" t="s">
        <v>1494</v>
      </c>
      <c r="G165" s="204" t="s">
        <v>2050</v>
      </c>
      <c r="H165" s="204">
        <v>1</v>
      </c>
      <c r="I165" s="203" t="s">
        <v>6466</v>
      </c>
      <c r="J165" s="205" t="s">
        <v>6467</v>
      </c>
      <c r="K165" s="203" t="s">
        <v>5104</v>
      </c>
      <c r="L165" s="205" t="s">
        <v>6468</v>
      </c>
      <c r="M165" s="205" t="s">
        <v>6293</v>
      </c>
      <c r="N165" s="204" t="s">
        <v>5116</v>
      </c>
      <c r="O165" s="204" t="s">
        <v>11</v>
      </c>
      <c r="P165" s="206">
        <v>5962</v>
      </c>
      <c r="Q165" s="206">
        <v>5962</v>
      </c>
      <c r="R165" s="207">
        <v>20000</v>
      </c>
      <c r="S165" s="207">
        <f t="shared" si="43"/>
        <v>119240000</v>
      </c>
      <c r="T165" s="589"/>
      <c r="U165" s="157">
        <v>20000</v>
      </c>
      <c r="V165" s="158">
        <f t="shared" si="54"/>
        <v>20000</v>
      </c>
      <c r="W165" s="159">
        <f t="shared" si="44"/>
        <v>0</v>
      </c>
      <c r="X165" s="159">
        <f t="shared" si="45"/>
        <v>0</v>
      </c>
      <c r="Y165" s="160"/>
      <c r="Z165" s="160">
        <f t="shared" si="46"/>
        <v>0</v>
      </c>
      <c r="AA165" s="161"/>
      <c r="AB165" s="161">
        <f t="shared" si="47"/>
        <v>0</v>
      </c>
      <c r="AC165" s="162"/>
      <c r="AD165" s="162">
        <f t="shared" si="39"/>
        <v>0</v>
      </c>
      <c r="AE165" s="164"/>
      <c r="AF165" s="164">
        <f t="shared" si="40"/>
        <v>0</v>
      </c>
      <c r="AG165" s="165"/>
      <c r="AH165" s="165">
        <f t="shared" si="41"/>
        <v>0</v>
      </c>
      <c r="AI165" s="166">
        <v>0</v>
      </c>
      <c r="AJ165" s="166">
        <f t="shared" si="42"/>
        <v>0</v>
      </c>
      <c r="AK165" s="162"/>
      <c r="AL165" s="162">
        <f t="shared" si="48"/>
        <v>0</v>
      </c>
      <c r="AM165" s="167"/>
      <c r="AN165" s="167">
        <f t="shared" si="49"/>
        <v>0</v>
      </c>
      <c r="AO165" s="163"/>
      <c r="AP165" s="163">
        <f t="shared" si="50"/>
        <v>0</v>
      </c>
      <c r="AQ165" s="168"/>
      <c r="AR165" s="168">
        <f t="shared" si="51"/>
        <v>0</v>
      </c>
      <c r="AS165" s="170"/>
      <c r="AT165" s="170">
        <f t="shared" si="52"/>
        <v>0</v>
      </c>
      <c r="AU165" s="166"/>
      <c r="AV165" s="166">
        <f t="shared" si="53"/>
        <v>0</v>
      </c>
    </row>
    <row r="166" spans="1:48" s="131" customFormat="1" ht="47.25">
      <c r="A166" s="148" t="s">
        <v>6497</v>
      </c>
      <c r="B166" s="150" t="s">
        <v>5118</v>
      </c>
      <c r="C166" s="150" t="s">
        <v>5119</v>
      </c>
      <c r="D166" s="240" t="s">
        <v>6498</v>
      </c>
      <c r="E166" s="590" t="s">
        <v>12643</v>
      </c>
      <c r="F166" s="203" t="s">
        <v>4371</v>
      </c>
      <c r="G166" s="204" t="s">
        <v>258</v>
      </c>
      <c r="H166" s="204">
        <v>2</v>
      </c>
      <c r="I166" s="203" t="s">
        <v>4370</v>
      </c>
      <c r="J166" s="205" t="s">
        <v>5762</v>
      </c>
      <c r="K166" s="203" t="s">
        <v>5104</v>
      </c>
      <c r="L166" s="205" t="s">
        <v>5763</v>
      </c>
      <c r="M166" s="205" t="s">
        <v>2042</v>
      </c>
      <c r="N166" s="204" t="s">
        <v>5116</v>
      </c>
      <c r="O166" s="204" t="s">
        <v>11</v>
      </c>
      <c r="P166" s="206">
        <v>1783</v>
      </c>
      <c r="Q166" s="206">
        <v>1636</v>
      </c>
      <c r="R166" s="207">
        <v>70000</v>
      </c>
      <c r="S166" s="207">
        <f t="shared" si="43"/>
        <v>114520000</v>
      </c>
      <c r="T166" s="589"/>
      <c r="U166" s="157">
        <v>70000</v>
      </c>
      <c r="V166" s="158">
        <f t="shared" si="54"/>
        <v>70000</v>
      </c>
      <c r="W166" s="159">
        <f t="shared" si="44"/>
        <v>0</v>
      </c>
      <c r="X166" s="159">
        <f t="shared" si="45"/>
        <v>0</v>
      </c>
      <c r="Y166" s="160"/>
      <c r="Z166" s="160">
        <f t="shared" si="46"/>
        <v>0</v>
      </c>
      <c r="AA166" s="165"/>
      <c r="AB166" s="161">
        <f t="shared" si="47"/>
        <v>0</v>
      </c>
      <c r="AC166" s="162"/>
      <c r="AD166" s="162">
        <f t="shared" si="39"/>
        <v>0</v>
      </c>
      <c r="AE166" s="164"/>
      <c r="AF166" s="164">
        <f t="shared" si="40"/>
        <v>0</v>
      </c>
      <c r="AG166" s="165"/>
      <c r="AH166" s="165">
        <f t="shared" si="41"/>
        <v>0</v>
      </c>
      <c r="AI166" s="166">
        <v>0</v>
      </c>
      <c r="AJ166" s="166">
        <f t="shared" si="42"/>
        <v>0</v>
      </c>
      <c r="AK166" s="162"/>
      <c r="AL166" s="162">
        <f t="shared" si="48"/>
        <v>0</v>
      </c>
      <c r="AM166" s="173"/>
      <c r="AN166" s="167">
        <f t="shared" si="49"/>
        <v>0</v>
      </c>
      <c r="AO166" s="163"/>
      <c r="AP166" s="163">
        <f t="shared" si="50"/>
        <v>0</v>
      </c>
      <c r="AQ166" s="168"/>
      <c r="AR166" s="168">
        <f t="shared" si="51"/>
        <v>0</v>
      </c>
      <c r="AS166" s="170"/>
      <c r="AT166" s="170">
        <f t="shared" si="52"/>
        <v>0</v>
      </c>
      <c r="AU166" s="166"/>
      <c r="AV166" s="166">
        <f t="shared" si="53"/>
        <v>0</v>
      </c>
    </row>
    <row r="167" spans="1:48" s="131" customFormat="1" ht="31.5">
      <c r="A167" s="172" t="s">
        <v>6614</v>
      </c>
      <c r="B167" s="150" t="s">
        <v>5118</v>
      </c>
      <c r="C167" s="150" t="s">
        <v>5119</v>
      </c>
      <c r="D167" s="240" t="s">
        <v>4543</v>
      </c>
      <c r="E167" s="590" t="s">
        <v>12642</v>
      </c>
      <c r="F167" s="203" t="s">
        <v>1140</v>
      </c>
      <c r="G167" s="204" t="s">
        <v>4545</v>
      </c>
      <c r="H167" s="204">
        <v>2</v>
      </c>
      <c r="I167" s="203" t="s">
        <v>4544</v>
      </c>
      <c r="J167" s="205" t="s">
        <v>6615</v>
      </c>
      <c r="K167" s="203" t="s">
        <v>5104</v>
      </c>
      <c r="L167" s="205" t="s">
        <v>6616</v>
      </c>
      <c r="M167" s="205" t="s">
        <v>6617</v>
      </c>
      <c r="N167" s="204" t="s">
        <v>6618</v>
      </c>
      <c r="O167" s="204" t="s">
        <v>4240</v>
      </c>
      <c r="P167" s="206">
        <v>30814</v>
      </c>
      <c r="Q167" s="206">
        <v>28400</v>
      </c>
      <c r="R167" s="207">
        <v>1000</v>
      </c>
      <c r="S167" s="207">
        <f t="shared" si="43"/>
        <v>28400000</v>
      </c>
      <c r="T167" s="589"/>
      <c r="U167" s="157">
        <v>1000</v>
      </c>
      <c r="V167" s="158">
        <f t="shared" si="54"/>
        <v>830</v>
      </c>
      <c r="W167" s="159">
        <f t="shared" si="44"/>
        <v>170</v>
      </c>
      <c r="X167" s="159">
        <f t="shared" si="45"/>
        <v>4828000</v>
      </c>
      <c r="Y167" s="160"/>
      <c r="Z167" s="160">
        <f t="shared" si="46"/>
        <v>0</v>
      </c>
      <c r="AA167" s="165"/>
      <c r="AB167" s="161">
        <f t="shared" si="47"/>
        <v>0</v>
      </c>
      <c r="AC167" s="162"/>
      <c r="AD167" s="162">
        <f t="shared" si="39"/>
        <v>0</v>
      </c>
      <c r="AE167" s="164"/>
      <c r="AF167" s="164">
        <f t="shared" si="40"/>
        <v>0</v>
      </c>
      <c r="AG167" s="165">
        <v>120</v>
      </c>
      <c r="AH167" s="165">
        <f t="shared" si="41"/>
        <v>3408000</v>
      </c>
      <c r="AI167" s="166">
        <v>30</v>
      </c>
      <c r="AJ167" s="166">
        <f t="shared" si="42"/>
        <v>852000</v>
      </c>
      <c r="AK167" s="162"/>
      <c r="AL167" s="162">
        <f t="shared" si="48"/>
        <v>0</v>
      </c>
      <c r="AM167" s="173"/>
      <c r="AN167" s="167">
        <f t="shared" si="49"/>
        <v>0</v>
      </c>
      <c r="AO167" s="163"/>
      <c r="AP167" s="163">
        <f t="shared" si="50"/>
        <v>0</v>
      </c>
      <c r="AQ167" s="168"/>
      <c r="AR167" s="168">
        <f t="shared" si="51"/>
        <v>0</v>
      </c>
      <c r="AS167" s="170">
        <v>20</v>
      </c>
      <c r="AT167" s="170">
        <f t="shared" si="52"/>
        <v>568000</v>
      </c>
      <c r="AU167" s="166"/>
      <c r="AV167" s="166">
        <f t="shared" si="53"/>
        <v>0</v>
      </c>
    </row>
    <row r="168" spans="1:48" s="131" customFormat="1" ht="31.5">
      <c r="A168" s="148" t="s">
        <v>6646</v>
      </c>
      <c r="B168" s="150" t="s">
        <v>5118</v>
      </c>
      <c r="C168" s="150" t="s">
        <v>5119</v>
      </c>
      <c r="D168" s="240" t="s">
        <v>6647</v>
      </c>
      <c r="E168" s="590" t="s">
        <v>12642</v>
      </c>
      <c r="F168" s="203" t="s">
        <v>378</v>
      </c>
      <c r="G168" s="204" t="s">
        <v>6648</v>
      </c>
      <c r="H168" s="204">
        <v>2</v>
      </c>
      <c r="I168" s="203" t="s">
        <v>6649</v>
      </c>
      <c r="J168" s="205" t="s">
        <v>6650</v>
      </c>
      <c r="K168" s="203" t="s">
        <v>5104</v>
      </c>
      <c r="L168" s="205" t="s">
        <v>6651</v>
      </c>
      <c r="M168" s="205" t="s">
        <v>6652</v>
      </c>
      <c r="N168" s="204" t="s">
        <v>6564</v>
      </c>
      <c r="O168" s="204" t="s">
        <v>658</v>
      </c>
      <c r="P168" s="206">
        <v>55000</v>
      </c>
      <c r="Q168" s="206">
        <v>55000</v>
      </c>
      <c r="R168" s="207">
        <v>5000</v>
      </c>
      <c r="S168" s="207">
        <f t="shared" si="43"/>
        <v>275000000</v>
      </c>
      <c r="T168" s="589"/>
      <c r="U168" s="157">
        <v>5000</v>
      </c>
      <c r="V168" s="158">
        <f t="shared" si="54"/>
        <v>5000</v>
      </c>
      <c r="W168" s="159">
        <f t="shared" si="44"/>
        <v>0</v>
      </c>
      <c r="X168" s="159">
        <f t="shared" si="45"/>
        <v>0</v>
      </c>
      <c r="Y168" s="160"/>
      <c r="Z168" s="160">
        <f t="shared" si="46"/>
        <v>0</v>
      </c>
      <c r="AA168" s="165"/>
      <c r="AB168" s="161">
        <f t="shared" si="47"/>
        <v>0</v>
      </c>
      <c r="AC168" s="162"/>
      <c r="AD168" s="162">
        <f t="shared" si="39"/>
        <v>0</v>
      </c>
      <c r="AE168" s="164"/>
      <c r="AF168" s="164">
        <f t="shared" si="40"/>
        <v>0</v>
      </c>
      <c r="AG168" s="165"/>
      <c r="AH168" s="165">
        <f t="shared" si="41"/>
        <v>0</v>
      </c>
      <c r="AI168" s="166">
        <v>0</v>
      </c>
      <c r="AJ168" s="166">
        <f t="shared" si="42"/>
        <v>0</v>
      </c>
      <c r="AK168" s="162"/>
      <c r="AL168" s="162">
        <f t="shared" si="48"/>
        <v>0</v>
      </c>
      <c r="AM168" s="173"/>
      <c r="AN168" s="167">
        <f t="shared" si="49"/>
        <v>0</v>
      </c>
      <c r="AO168" s="163"/>
      <c r="AP168" s="163">
        <f t="shared" si="50"/>
        <v>0</v>
      </c>
      <c r="AQ168" s="168"/>
      <c r="AR168" s="168">
        <f t="shared" si="51"/>
        <v>0</v>
      </c>
      <c r="AS168" s="170"/>
      <c r="AT168" s="170">
        <f t="shared" si="52"/>
        <v>0</v>
      </c>
      <c r="AU168" s="166"/>
      <c r="AV168" s="166">
        <f t="shared" si="53"/>
        <v>0</v>
      </c>
    </row>
    <row r="169" spans="1:48" s="131" customFormat="1" ht="31.5">
      <c r="A169" s="148" t="s">
        <v>6706</v>
      </c>
      <c r="B169" s="150" t="s">
        <v>5118</v>
      </c>
      <c r="C169" s="150" t="s">
        <v>5119</v>
      </c>
      <c r="D169" s="240" t="s">
        <v>6707</v>
      </c>
      <c r="E169" s="590"/>
      <c r="F169" s="203" t="s">
        <v>2503</v>
      </c>
      <c r="G169" s="204" t="s">
        <v>238</v>
      </c>
      <c r="H169" s="204">
        <v>2</v>
      </c>
      <c r="I169" s="203" t="s">
        <v>6708</v>
      </c>
      <c r="J169" s="205" t="s">
        <v>6709</v>
      </c>
      <c r="K169" s="203" t="s">
        <v>5111</v>
      </c>
      <c r="L169" s="205" t="s">
        <v>6710</v>
      </c>
      <c r="M169" s="205" t="s">
        <v>2059</v>
      </c>
      <c r="N169" s="204" t="s">
        <v>6564</v>
      </c>
      <c r="O169" s="204" t="s">
        <v>11</v>
      </c>
      <c r="P169" s="206">
        <v>6048</v>
      </c>
      <c r="Q169" s="206">
        <v>6048</v>
      </c>
      <c r="R169" s="207">
        <v>10000</v>
      </c>
      <c r="S169" s="207">
        <f t="shared" si="43"/>
        <v>60480000</v>
      </c>
      <c r="T169" s="589"/>
      <c r="U169" s="157">
        <v>10000</v>
      </c>
      <c r="V169" s="158">
        <f t="shared" si="54"/>
        <v>10000</v>
      </c>
      <c r="W169" s="159">
        <f t="shared" si="44"/>
        <v>0</v>
      </c>
      <c r="X169" s="159">
        <f t="shared" si="45"/>
        <v>0</v>
      </c>
      <c r="Y169" s="160"/>
      <c r="Z169" s="160">
        <f t="shared" si="46"/>
        <v>0</v>
      </c>
      <c r="AA169" s="165"/>
      <c r="AB169" s="161">
        <f t="shared" si="47"/>
        <v>0</v>
      </c>
      <c r="AC169" s="162"/>
      <c r="AD169" s="162">
        <f t="shared" si="39"/>
        <v>0</v>
      </c>
      <c r="AE169" s="164"/>
      <c r="AF169" s="164">
        <f t="shared" si="40"/>
        <v>0</v>
      </c>
      <c r="AG169" s="165"/>
      <c r="AH169" s="165">
        <f t="shared" si="41"/>
        <v>0</v>
      </c>
      <c r="AI169" s="166">
        <v>0</v>
      </c>
      <c r="AJ169" s="166">
        <f t="shared" si="42"/>
        <v>0</v>
      </c>
      <c r="AK169" s="162"/>
      <c r="AL169" s="162">
        <f t="shared" si="48"/>
        <v>0</v>
      </c>
      <c r="AM169" s="173"/>
      <c r="AN169" s="167">
        <f t="shared" si="49"/>
        <v>0</v>
      </c>
      <c r="AO169" s="163"/>
      <c r="AP169" s="163">
        <f t="shared" si="50"/>
        <v>0</v>
      </c>
      <c r="AQ169" s="168"/>
      <c r="AR169" s="168">
        <f t="shared" si="51"/>
        <v>0</v>
      </c>
      <c r="AS169" s="170"/>
      <c r="AT169" s="170">
        <f t="shared" si="52"/>
        <v>0</v>
      </c>
      <c r="AU169" s="166"/>
      <c r="AV169" s="166">
        <f t="shared" si="53"/>
        <v>0</v>
      </c>
    </row>
    <row r="170" spans="1:48" s="131" customFormat="1" ht="31.5">
      <c r="A170" s="148" t="s">
        <v>6839</v>
      </c>
      <c r="B170" s="150" t="s">
        <v>5118</v>
      </c>
      <c r="C170" s="150" t="s">
        <v>5119</v>
      </c>
      <c r="D170" s="240" t="s">
        <v>4216</v>
      </c>
      <c r="E170" s="590"/>
      <c r="F170" s="203" t="s">
        <v>6388</v>
      </c>
      <c r="G170" s="204" t="s">
        <v>4215</v>
      </c>
      <c r="H170" s="204">
        <v>2</v>
      </c>
      <c r="I170" s="203" t="s">
        <v>4213</v>
      </c>
      <c r="J170" s="205" t="s">
        <v>6389</v>
      </c>
      <c r="K170" s="203" t="s">
        <v>253</v>
      </c>
      <c r="L170" s="205" t="s">
        <v>6390</v>
      </c>
      <c r="M170" s="205" t="s">
        <v>2072</v>
      </c>
      <c r="N170" s="204" t="s">
        <v>6391</v>
      </c>
      <c r="O170" s="204" t="s">
        <v>4139</v>
      </c>
      <c r="P170" s="206">
        <v>250745</v>
      </c>
      <c r="Q170" s="206">
        <v>227850</v>
      </c>
      <c r="R170" s="207">
        <v>2000</v>
      </c>
      <c r="S170" s="207">
        <f t="shared" si="43"/>
        <v>455700000</v>
      </c>
      <c r="T170" s="589"/>
      <c r="U170" s="157">
        <v>2000</v>
      </c>
      <c r="V170" s="158">
        <f t="shared" si="54"/>
        <v>1000</v>
      </c>
      <c r="W170" s="159">
        <f t="shared" si="44"/>
        <v>1000</v>
      </c>
      <c r="X170" s="159">
        <f t="shared" si="45"/>
        <v>227850000</v>
      </c>
      <c r="Y170" s="160">
        <v>500</v>
      </c>
      <c r="Z170" s="160">
        <f t="shared" si="46"/>
        <v>113925000</v>
      </c>
      <c r="AA170" s="165">
        <v>500</v>
      </c>
      <c r="AB170" s="161">
        <f t="shared" si="47"/>
        <v>113925000</v>
      </c>
      <c r="AC170" s="162"/>
      <c r="AD170" s="162">
        <f t="shared" si="39"/>
        <v>0</v>
      </c>
      <c r="AE170" s="164"/>
      <c r="AF170" s="164">
        <f t="shared" si="40"/>
        <v>0</v>
      </c>
      <c r="AG170" s="165"/>
      <c r="AH170" s="165">
        <f t="shared" si="41"/>
        <v>0</v>
      </c>
      <c r="AI170" s="166">
        <v>0</v>
      </c>
      <c r="AJ170" s="166">
        <f t="shared" si="42"/>
        <v>0</v>
      </c>
      <c r="AK170" s="162"/>
      <c r="AL170" s="162">
        <f t="shared" si="48"/>
        <v>0</v>
      </c>
      <c r="AM170" s="173"/>
      <c r="AN170" s="167">
        <f t="shared" si="49"/>
        <v>0</v>
      </c>
      <c r="AO170" s="163"/>
      <c r="AP170" s="163">
        <f t="shared" si="50"/>
        <v>0</v>
      </c>
      <c r="AQ170" s="168"/>
      <c r="AR170" s="168">
        <f t="shared" si="51"/>
        <v>0</v>
      </c>
      <c r="AS170" s="170"/>
      <c r="AT170" s="170">
        <f t="shared" si="52"/>
        <v>0</v>
      </c>
      <c r="AU170" s="166"/>
      <c r="AV170" s="166">
        <f t="shared" si="53"/>
        <v>0</v>
      </c>
    </row>
    <row r="171" spans="1:48" s="131" customFormat="1" ht="31.5">
      <c r="A171" s="148" t="s">
        <v>7052</v>
      </c>
      <c r="B171" s="150" t="s">
        <v>5118</v>
      </c>
      <c r="C171" s="150" t="s">
        <v>5119</v>
      </c>
      <c r="D171" s="240" t="s">
        <v>7053</v>
      </c>
      <c r="E171" s="590" t="s">
        <v>12642</v>
      </c>
      <c r="F171" s="203" t="s">
        <v>747</v>
      </c>
      <c r="G171" s="204" t="s">
        <v>7054</v>
      </c>
      <c r="H171" s="204">
        <v>3</v>
      </c>
      <c r="I171" s="203" t="s">
        <v>7055</v>
      </c>
      <c r="J171" s="205" t="s">
        <v>7056</v>
      </c>
      <c r="K171" s="203" t="s">
        <v>5104</v>
      </c>
      <c r="L171" s="205" t="s">
        <v>7057</v>
      </c>
      <c r="M171" s="205" t="s">
        <v>514</v>
      </c>
      <c r="N171" s="204" t="s">
        <v>213</v>
      </c>
      <c r="O171" s="204" t="s">
        <v>15</v>
      </c>
      <c r="P171" s="206">
        <v>12003</v>
      </c>
      <c r="Q171" s="206">
        <v>12000</v>
      </c>
      <c r="R171" s="207">
        <v>500</v>
      </c>
      <c r="S171" s="207">
        <f t="shared" si="43"/>
        <v>6000000</v>
      </c>
      <c r="T171" s="589"/>
      <c r="U171" s="157">
        <v>500</v>
      </c>
      <c r="V171" s="158">
        <f t="shared" si="54"/>
        <v>500</v>
      </c>
      <c r="W171" s="159">
        <f t="shared" si="44"/>
        <v>0</v>
      </c>
      <c r="X171" s="159">
        <f t="shared" si="45"/>
        <v>0</v>
      </c>
      <c r="Y171" s="160"/>
      <c r="Z171" s="160">
        <f t="shared" si="46"/>
        <v>0</v>
      </c>
      <c r="AA171" s="165"/>
      <c r="AB171" s="161">
        <f t="shared" si="47"/>
        <v>0</v>
      </c>
      <c r="AC171" s="162"/>
      <c r="AD171" s="162">
        <f t="shared" si="39"/>
        <v>0</v>
      </c>
      <c r="AE171" s="164"/>
      <c r="AF171" s="164">
        <f t="shared" si="40"/>
        <v>0</v>
      </c>
      <c r="AG171" s="165"/>
      <c r="AH171" s="165">
        <f t="shared" si="41"/>
        <v>0</v>
      </c>
      <c r="AI171" s="166">
        <v>0</v>
      </c>
      <c r="AJ171" s="166">
        <f t="shared" si="42"/>
        <v>0</v>
      </c>
      <c r="AK171" s="162"/>
      <c r="AL171" s="162">
        <f t="shared" si="48"/>
        <v>0</v>
      </c>
      <c r="AM171" s="173"/>
      <c r="AN171" s="167">
        <f t="shared" si="49"/>
        <v>0</v>
      </c>
      <c r="AO171" s="163"/>
      <c r="AP171" s="163">
        <f t="shared" si="50"/>
        <v>0</v>
      </c>
      <c r="AQ171" s="168"/>
      <c r="AR171" s="168">
        <f t="shared" si="51"/>
        <v>0</v>
      </c>
      <c r="AS171" s="170"/>
      <c r="AT171" s="170">
        <f t="shared" si="52"/>
        <v>0</v>
      </c>
      <c r="AU171" s="166"/>
      <c r="AV171" s="166">
        <f t="shared" si="53"/>
        <v>0</v>
      </c>
    </row>
    <row r="172" spans="1:48" s="131" customFormat="1" ht="31.5">
      <c r="A172" s="172" t="s">
        <v>7058</v>
      </c>
      <c r="B172" s="150" t="s">
        <v>5118</v>
      </c>
      <c r="C172" s="150" t="s">
        <v>5119</v>
      </c>
      <c r="D172" s="240" t="s">
        <v>7059</v>
      </c>
      <c r="E172" s="590" t="s">
        <v>12642</v>
      </c>
      <c r="F172" s="203" t="s">
        <v>747</v>
      </c>
      <c r="G172" s="204" t="s">
        <v>7060</v>
      </c>
      <c r="H172" s="204">
        <v>3</v>
      </c>
      <c r="I172" s="203" t="s">
        <v>7061</v>
      </c>
      <c r="J172" s="205" t="s">
        <v>7062</v>
      </c>
      <c r="K172" s="203" t="s">
        <v>5104</v>
      </c>
      <c r="L172" s="205" t="s">
        <v>7063</v>
      </c>
      <c r="M172" s="205" t="s">
        <v>514</v>
      </c>
      <c r="N172" s="204" t="s">
        <v>213</v>
      </c>
      <c r="O172" s="204" t="s">
        <v>15</v>
      </c>
      <c r="P172" s="206">
        <v>21608</v>
      </c>
      <c r="Q172" s="206">
        <v>14910</v>
      </c>
      <c r="R172" s="207">
        <v>1000</v>
      </c>
      <c r="S172" s="207">
        <f t="shared" si="43"/>
        <v>14910000</v>
      </c>
      <c r="T172" s="589" t="s">
        <v>15</v>
      </c>
      <c r="U172" s="157">
        <v>1000</v>
      </c>
      <c r="V172" s="158">
        <f t="shared" si="54"/>
        <v>1000</v>
      </c>
      <c r="W172" s="159">
        <f t="shared" si="44"/>
        <v>0</v>
      </c>
      <c r="X172" s="159">
        <f t="shared" si="45"/>
        <v>0</v>
      </c>
      <c r="Y172" s="160"/>
      <c r="Z172" s="160">
        <f t="shared" si="46"/>
        <v>0</v>
      </c>
      <c r="AA172" s="165"/>
      <c r="AB172" s="161">
        <f t="shared" si="47"/>
        <v>0</v>
      </c>
      <c r="AC172" s="162"/>
      <c r="AD172" s="162">
        <f t="shared" si="39"/>
        <v>0</v>
      </c>
      <c r="AE172" s="164"/>
      <c r="AF172" s="164">
        <f t="shared" si="40"/>
        <v>0</v>
      </c>
      <c r="AG172" s="165"/>
      <c r="AH172" s="165">
        <f t="shared" si="41"/>
        <v>0</v>
      </c>
      <c r="AI172" s="166">
        <v>0</v>
      </c>
      <c r="AJ172" s="166">
        <f t="shared" si="42"/>
        <v>0</v>
      </c>
      <c r="AK172" s="162"/>
      <c r="AL172" s="162">
        <f t="shared" si="48"/>
        <v>0</v>
      </c>
      <c r="AM172" s="173"/>
      <c r="AN172" s="167">
        <f t="shared" si="49"/>
        <v>0</v>
      </c>
      <c r="AO172" s="163"/>
      <c r="AP172" s="163">
        <f t="shared" si="50"/>
        <v>0</v>
      </c>
      <c r="AQ172" s="168"/>
      <c r="AR172" s="168">
        <f t="shared" si="51"/>
        <v>0</v>
      </c>
      <c r="AS172" s="170"/>
      <c r="AT172" s="170">
        <f t="shared" si="52"/>
        <v>0</v>
      </c>
      <c r="AU172" s="166"/>
      <c r="AV172" s="166">
        <f t="shared" si="53"/>
        <v>0</v>
      </c>
    </row>
    <row r="173" spans="1:48" s="131" customFormat="1" ht="31.5">
      <c r="A173" s="172" t="s">
        <v>8039</v>
      </c>
      <c r="B173" s="150" t="s">
        <v>5118</v>
      </c>
      <c r="C173" s="150" t="s">
        <v>5119</v>
      </c>
      <c r="D173" s="240" t="s">
        <v>8040</v>
      </c>
      <c r="E173" s="590" t="s">
        <v>12642</v>
      </c>
      <c r="F173" s="203" t="s">
        <v>8041</v>
      </c>
      <c r="G173" s="204" t="s">
        <v>8042</v>
      </c>
      <c r="H173" s="204">
        <v>3</v>
      </c>
      <c r="I173" s="203" t="s">
        <v>8043</v>
      </c>
      <c r="J173" s="205" t="s">
        <v>8044</v>
      </c>
      <c r="K173" s="203" t="s">
        <v>5104</v>
      </c>
      <c r="L173" s="205" t="s">
        <v>8045</v>
      </c>
      <c r="M173" s="205" t="s">
        <v>8046</v>
      </c>
      <c r="N173" s="204" t="s">
        <v>213</v>
      </c>
      <c r="O173" s="204" t="s">
        <v>11</v>
      </c>
      <c r="P173" s="206">
        <v>1324</v>
      </c>
      <c r="Q173" s="206">
        <v>1200</v>
      </c>
      <c r="R173" s="207">
        <v>6000</v>
      </c>
      <c r="S173" s="207">
        <f t="shared" si="43"/>
        <v>7200000</v>
      </c>
      <c r="T173" s="589"/>
      <c r="U173" s="157">
        <v>6000</v>
      </c>
      <c r="V173" s="158">
        <f t="shared" si="54"/>
        <v>5800</v>
      </c>
      <c r="W173" s="159">
        <f t="shared" si="44"/>
        <v>200</v>
      </c>
      <c r="X173" s="159">
        <f t="shared" si="45"/>
        <v>240000</v>
      </c>
      <c r="Y173" s="160"/>
      <c r="Z173" s="160">
        <f t="shared" si="46"/>
        <v>0</v>
      </c>
      <c r="AA173" s="165"/>
      <c r="AB173" s="161">
        <f t="shared" si="47"/>
        <v>0</v>
      </c>
      <c r="AC173" s="162"/>
      <c r="AD173" s="162">
        <f t="shared" si="39"/>
        <v>0</v>
      </c>
      <c r="AE173" s="164"/>
      <c r="AF173" s="164">
        <f t="shared" si="40"/>
        <v>0</v>
      </c>
      <c r="AG173" s="165"/>
      <c r="AH173" s="165">
        <f t="shared" si="41"/>
        <v>0</v>
      </c>
      <c r="AI173" s="166">
        <v>0</v>
      </c>
      <c r="AJ173" s="166">
        <f t="shared" si="42"/>
        <v>0</v>
      </c>
      <c r="AK173" s="162"/>
      <c r="AL173" s="162">
        <f t="shared" si="48"/>
        <v>0</v>
      </c>
      <c r="AM173" s="173"/>
      <c r="AN173" s="167">
        <f t="shared" si="49"/>
        <v>0</v>
      </c>
      <c r="AO173" s="163"/>
      <c r="AP173" s="163">
        <f t="shared" si="50"/>
        <v>0</v>
      </c>
      <c r="AQ173" s="168"/>
      <c r="AR173" s="168">
        <f t="shared" si="51"/>
        <v>0</v>
      </c>
      <c r="AS173" s="170">
        <v>200</v>
      </c>
      <c r="AT173" s="170">
        <f t="shared" si="52"/>
        <v>240000</v>
      </c>
      <c r="AU173" s="166"/>
      <c r="AV173" s="166">
        <f t="shared" si="53"/>
        <v>0</v>
      </c>
    </row>
    <row r="174" spans="1:48" s="131" customFormat="1" ht="31.5">
      <c r="A174" s="148" t="s">
        <v>8359</v>
      </c>
      <c r="B174" s="150" t="s">
        <v>5118</v>
      </c>
      <c r="C174" s="150" t="s">
        <v>5119</v>
      </c>
      <c r="D174" s="240" t="s">
        <v>8360</v>
      </c>
      <c r="E174" s="590"/>
      <c r="F174" s="203" t="s">
        <v>2454</v>
      </c>
      <c r="G174" s="204" t="s">
        <v>8361</v>
      </c>
      <c r="H174" s="204">
        <v>5</v>
      </c>
      <c r="I174" s="203" t="s">
        <v>8362</v>
      </c>
      <c r="J174" s="205" t="s">
        <v>8363</v>
      </c>
      <c r="K174" s="203" t="s">
        <v>5108</v>
      </c>
      <c r="L174" s="205" t="s">
        <v>8364</v>
      </c>
      <c r="M174" s="205" t="s">
        <v>8365</v>
      </c>
      <c r="N174" s="204" t="s">
        <v>8366</v>
      </c>
      <c r="O174" s="204" t="s">
        <v>658</v>
      </c>
      <c r="P174" s="206">
        <v>96871</v>
      </c>
      <c r="Q174" s="206">
        <v>96870</v>
      </c>
      <c r="R174" s="207">
        <v>1000</v>
      </c>
      <c r="S174" s="207">
        <f t="shared" si="43"/>
        <v>96870000</v>
      </c>
      <c r="T174" s="589"/>
      <c r="U174" s="157">
        <v>1000</v>
      </c>
      <c r="V174" s="158">
        <f t="shared" si="54"/>
        <v>1000</v>
      </c>
      <c r="W174" s="159">
        <f t="shared" si="44"/>
        <v>0</v>
      </c>
      <c r="X174" s="159">
        <f t="shared" si="45"/>
        <v>0</v>
      </c>
      <c r="Y174" s="160"/>
      <c r="Z174" s="160">
        <f t="shared" si="46"/>
        <v>0</v>
      </c>
      <c r="AA174" s="165"/>
      <c r="AB174" s="161">
        <f t="shared" si="47"/>
        <v>0</v>
      </c>
      <c r="AC174" s="162"/>
      <c r="AD174" s="162">
        <f t="shared" si="39"/>
        <v>0</v>
      </c>
      <c r="AE174" s="164"/>
      <c r="AF174" s="164">
        <f t="shared" si="40"/>
        <v>0</v>
      </c>
      <c r="AG174" s="165"/>
      <c r="AH174" s="165">
        <f t="shared" si="41"/>
        <v>0</v>
      </c>
      <c r="AI174" s="166">
        <v>0</v>
      </c>
      <c r="AJ174" s="166">
        <f t="shared" si="42"/>
        <v>0</v>
      </c>
      <c r="AK174" s="162"/>
      <c r="AL174" s="162">
        <f t="shared" si="48"/>
        <v>0</v>
      </c>
      <c r="AM174" s="173"/>
      <c r="AN174" s="167">
        <f t="shared" si="49"/>
        <v>0</v>
      </c>
      <c r="AO174" s="163"/>
      <c r="AP174" s="163">
        <f t="shared" si="50"/>
        <v>0</v>
      </c>
      <c r="AQ174" s="168"/>
      <c r="AR174" s="168">
        <f t="shared" si="51"/>
        <v>0</v>
      </c>
      <c r="AS174" s="170"/>
      <c r="AT174" s="170">
        <f t="shared" si="52"/>
        <v>0</v>
      </c>
      <c r="AU174" s="166"/>
      <c r="AV174" s="166">
        <f t="shared" si="53"/>
        <v>0</v>
      </c>
    </row>
    <row r="175" spans="1:48" s="131" customFormat="1" ht="47.25">
      <c r="A175" s="148" t="s">
        <v>8438</v>
      </c>
      <c r="B175" s="150" t="s">
        <v>5118</v>
      </c>
      <c r="C175" s="150" t="s">
        <v>5119</v>
      </c>
      <c r="D175" s="240" t="s">
        <v>4397</v>
      </c>
      <c r="E175" s="590"/>
      <c r="F175" s="203" t="s">
        <v>8439</v>
      </c>
      <c r="G175" s="204" t="s">
        <v>4400</v>
      </c>
      <c r="H175" s="204">
        <v>5</v>
      </c>
      <c r="I175" s="203" t="s">
        <v>4398</v>
      </c>
      <c r="J175" s="205" t="s">
        <v>8440</v>
      </c>
      <c r="K175" s="203" t="s">
        <v>5104</v>
      </c>
      <c r="L175" s="205" t="s">
        <v>8441</v>
      </c>
      <c r="M175" s="205" t="s">
        <v>2114</v>
      </c>
      <c r="N175" s="204" t="s">
        <v>5605</v>
      </c>
      <c r="O175" s="204" t="s">
        <v>11</v>
      </c>
      <c r="P175" s="206">
        <v>12482</v>
      </c>
      <c r="Q175" s="206">
        <v>12482</v>
      </c>
      <c r="R175" s="207">
        <v>30000</v>
      </c>
      <c r="S175" s="207">
        <f t="shared" si="43"/>
        <v>374460000</v>
      </c>
      <c r="T175" s="589"/>
      <c r="U175" s="157">
        <v>30000</v>
      </c>
      <c r="V175" s="158">
        <f t="shared" si="54"/>
        <v>27060</v>
      </c>
      <c r="W175" s="159">
        <f t="shared" si="44"/>
        <v>2940</v>
      </c>
      <c r="X175" s="159">
        <f t="shared" si="45"/>
        <v>36697080</v>
      </c>
      <c r="Y175" s="160"/>
      <c r="Z175" s="160">
        <f t="shared" si="46"/>
        <v>0</v>
      </c>
      <c r="AA175" s="161"/>
      <c r="AB175" s="161">
        <f t="shared" si="47"/>
        <v>0</v>
      </c>
      <c r="AC175" s="162"/>
      <c r="AD175" s="162">
        <f t="shared" si="39"/>
        <v>0</v>
      </c>
      <c r="AE175" s="164"/>
      <c r="AF175" s="164">
        <f t="shared" si="40"/>
        <v>0</v>
      </c>
      <c r="AG175" s="165">
        <v>2940</v>
      </c>
      <c r="AH175" s="165">
        <f t="shared" si="41"/>
        <v>36697080</v>
      </c>
      <c r="AI175" s="166">
        <v>0</v>
      </c>
      <c r="AJ175" s="166">
        <f t="shared" si="42"/>
        <v>0</v>
      </c>
      <c r="AK175" s="162"/>
      <c r="AL175" s="162">
        <f t="shared" si="48"/>
        <v>0</v>
      </c>
      <c r="AM175" s="167"/>
      <c r="AN175" s="167">
        <f t="shared" si="49"/>
        <v>0</v>
      </c>
      <c r="AO175" s="163"/>
      <c r="AP175" s="163">
        <f t="shared" si="50"/>
        <v>0</v>
      </c>
      <c r="AQ175" s="168"/>
      <c r="AR175" s="168">
        <f t="shared" si="51"/>
        <v>0</v>
      </c>
      <c r="AS175" s="170"/>
      <c r="AT175" s="170">
        <f t="shared" si="52"/>
        <v>0</v>
      </c>
      <c r="AU175" s="166"/>
      <c r="AV175" s="166">
        <f t="shared" si="53"/>
        <v>0</v>
      </c>
    </row>
    <row r="176" spans="1:48" s="131" customFormat="1" ht="47.25">
      <c r="A176" s="148" t="s">
        <v>8442</v>
      </c>
      <c r="B176" s="150" t="s">
        <v>5118</v>
      </c>
      <c r="C176" s="150" t="s">
        <v>5119</v>
      </c>
      <c r="D176" s="240" t="s">
        <v>8443</v>
      </c>
      <c r="E176" s="590"/>
      <c r="F176" s="203" t="s">
        <v>8439</v>
      </c>
      <c r="G176" s="204" t="s">
        <v>8444</v>
      </c>
      <c r="H176" s="204">
        <v>5</v>
      </c>
      <c r="I176" s="203" t="s">
        <v>8445</v>
      </c>
      <c r="J176" s="205" t="s">
        <v>8440</v>
      </c>
      <c r="K176" s="203" t="s">
        <v>5104</v>
      </c>
      <c r="L176" s="205" t="s">
        <v>8446</v>
      </c>
      <c r="M176" s="205" t="s">
        <v>2114</v>
      </c>
      <c r="N176" s="204" t="s">
        <v>5605</v>
      </c>
      <c r="O176" s="204" t="s">
        <v>11</v>
      </c>
      <c r="P176" s="206">
        <v>13122</v>
      </c>
      <c r="Q176" s="206">
        <v>13122</v>
      </c>
      <c r="R176" s="207">
        <v>30000</v>
      </c>
      <c r="S176" s="207">
        <f t="shared" si="43"/>
        <v>393660000</v>
      </c>
      <c r="T176" s="589"/>
      <c r="U176" s="157">
        <v>30000</v>
      </c>
      <c r="V176" s="158">
        <f t="shared" si="54"/>
        <v>30000</v>
      </c>
      <c r="W176" s="159">
        <f t="shared" si="44"/>
        <v>0</v>
      </c>
      <c r="X176" s="159">
        <f t="shared" si="45"/>
        <v>0</v>
      </c>
      <c r="Y176" s="160"/>
      <c r="Z176" s="160">
        <f t="shared" si="46"/>
        <v>0</v>
      </c>
      <c r="AA176" s="161"/>
      <c r="AB176" s="161">
        <f t="shared" si="47"/>
        <v>0</v>
      </c>
      <c r="AC176" s="162"/>
      <c r="AD176" s="162">
        <f t="shared" ref="AD176:AD187" si="55">AC176*Q176</f>
        <v>0</v>
      </c>
      <c r="AE176" s="164"/>
      <c r="AF176" s="164">
        <f t="shared" ref="AF176:AF187" si="56">AE176*Q176</f>
        <v>0</v>
      </c>
      <c r="AG176" s="165"/>
      <c r="AH176" s="165">
        <f t="shared" ref="AH176:AH187" si="57">AG176*Q176</f>
        <v>0</v>
      </c>
      <c r="AI176" s="166">
        <v>0</v>
      </c>
      <c r="AJ176" s="166">
        <f t="shared" ref="AJ176:AJ187" si="58">AI176*Q176</f>
        <v>0</v>
      </c>
      <c r="AK176" s="162"/>
      <c r="AL176" s="162">
        <f t="shared" si="48"/>
        <v>0</v>
      </c>
      <c r="AM176" s="167"/>
      <c r="AN176" s="167">
        <f t="shared" si="49"/>
        <v>0</v>
      </c>
      <c r="AO176" s="163"/>
      <c r="AP176" s="163">
        <f t="shared" si="50"/>
        <v>0</v>
      </c>
      <c r="AQ176" s="168"/>
      <c r="AR176" s="168">
        <f t="shared" si="51"/>
        <v>0</v>
      </c>
      <c r="AS176" s="170"/>
      <c r="AT176" s="170">
        <f t="shared" si="52"/>
        <v>0</v>
      </c>
      <c r="AU176" s="166"/>
      <c r="AV176" s="166">
        <f t="shared" si="53"/>
        <v>0</v>
      </c>
    </row>
    <row r="177" spans="1:48" s="131" customFormat="1" ht="31.5">
      <c r="A177" s="148" t="s">
        <v>5297</v>
      </c>
      <c r="B177" s="150" t="s">
        <v>5298</v>
      </c>
      <c r="C177" s="150" t="s">
        <v>5299</v>
      </c>
      <c r="D177" s="634" t="s">
        <v>4789</v>
      </c>
      <c r="E177" s="631" t="s">
        <v>12642</v>
      </c>
      <c r="F177" s="175" t="s">
        <v>347</v>
      </c>
      <c r="G177" s="151" t="s">
        <v>327</v>
      </c>
      <c r="H177" s="174" t="s">
        <v>210</v>
      </c>
      <c r="I177" s="150" t="s">
        <v>4790</v>
      </c>
      <c r="J177" s="153" t="s">
        <v>5107</v>
      </c>
      <c r="K177" s="151" t="s">
        <v>5104</v>
      </c>
      <c r="L177" s="151" t="s">
        <v>349</v>
      </c>
      <c r="M177" s="151" t="s">
        <v>350</v>
      </c>
      <c r="N177" s="152" t="s">
        <v>5273</v>
      </c>
      <c r="O177" s="152" t="s">
        <v>10</v>
      </c>
      <c r="P177" s="176">
        <v>700</v>
      </c>
      <c r="Q177" s="177">
        <v>254</v>
      </c>
      <c r="R177" s="176">
        <v>364000</v>
      </c>
      <c r="S177" s="156">
        <f t="shared" si="43"/>
        <v>92456000</v>
      </c>
      <c r="T177" s="589"/>
      <c r="U177" s="157">
        <v>168000</v>
      </c>
      <c r="V177" s="158">
        <f t="shared" si="54"/>
        <v>33500</v>
      </c>
      <c r="W177" s="159">
        <f t="shared" si="44"/>
        <v>134500</v>
      </c>
      <c r="X177" s="159">
        <f t="shared" si="45"/>
        <v>34163000</v>
      </c>
      <c r="Y177" s="160"/>
      <c r="Z177" s="160">
        <f t="shared" si="46"/>
        <v>0</v>
      </c>
      <c r="AA177" s="161"/>
      <c r="AB177" s="161">
        <f t="shared" si="47"/>
        <v>0</v>
      </c>
      <c r="AC177" s="162"/>
      <c r="AD177" s="162">
        <f t="shared" si="55"/>
        <v>0</v>
      </c>
      <c r="AE177" s="164"/>
      <c r="AF177" s="164">
        <f t="shared" si="56"/>
        <v>0</v>
      </c>
      <c r="AG177" s="165"/>
      <c r="AH177" s="165">
        <f t="shared" si="57"/>
        <v>0</v>
      </c>
      <c r="AI177" s="166">
        <v>54500</v>
      </c>
      <c r="AJ177" s="166">
        <f t="shared" si="58"/>
        <v>13843000</v>
      </c>
      <c r="AK177" s="162"/>
      <c r="AL177" s="162">
        <f t="shared" si="48"/>
        <v>0</v>
      </c>
      <c r="AM177" s="167">
        <v>30000</v>
      </c>
      <c r="AN177" s="167">
        <f t="shared" si="49"/>
        <v>7620000</v>
      </c>
      <c r="AO177" s="163"/>
      <c r="AP177" s="163">
        <f t="shared" si="50"/>
        <v>0</v>
      </c>
      <c r="AQ177" s="168">
        <v>50000</v>
      </c>
      <c r="AR177" s="168">
        <f t="shared" si="51"/>
        <v>12700000</v>
      </c>
      <c r="AS177" s="170"/>
      <c r="AT177" s="170">
        <f t="shared" si="52"/>
        <v>0</v>
      </c>
      <c r="AU177" s="166"/>
      <c r="AV177" s="166">
        <f t="shared" si="53"/>
        <v>0</v>
      </c>
    </row>
    <row r="178" spans="1:48" s="131" customFormat="1" ht="31.5">
      <c r="A178" s="172" t="s">
        <v>5780</v>
      </c>
      <c r="B178" s="150" t="s">
        <v>5298</v>
      </c>
      <c r="C178" s="150" t="s">
        <v>5299</v>
      </c>
      <c r="D178" s="240" t="s">
        <v>5781</v>
      </c>
      <c r="E178" s="590" t="s">
        <v>12642</v>
      </c>
      <c r="F178" s="203" t="s">
        <v>2623</v>
      </c>
      <c r="G178" s="204" t="s">
        <v>225</v>
      </c>
      <c r="H178" s="204">
        <v>1</v>
      </c>
      <c r="I178" s="203" t="s">
        <v>5782</v>
      </c>
      <c r="J178" s="205" t="s">
        <v>5783</v>
      </c>
      <c r="K178" s="203" t="s">
        <v>5784</v>
      </c>
      <c r="L178" s="205" t="s">
        <v>5785</v>
      </c>
      <c r="M178" s="205" t="s">
        <v>5786</v>
      </c>
      <c r="N178" s="204" t="s">
        <v>5787</v>
      </c>
      <c r="O178" s="204" t="s">
        <v>11</v>
      </c>
      <c r="P178" s="206">
        <v>1500</v>
      </c>
      <c r="Q178" s="206">
        <v>1500</v>
      </c>
      <c r="R178" s="207">
        <v>2000</v>
      </c>
      <c r="S178" s="207">
        <f t="shared" si="43"/>
        <v>3000000</v>
      </c>
      <c r="T178" s="589"/>
      <c r="U178" s="157">
        <v>2000</v>
      </c>
      <c r="V178" s="158">
        <f t="shared" si="54"/>
        <v>2000</v>
      </c>
      <c r="W178" s="159">
        <f t="shared" si="44"/>
        <v>0</v>
      </c>
      <c r="X178" s="159">
        <f t="shared" si="45"/>
        <v>0</v>
      </c>
      <c r="Y178" s="160"/>
      <c r="Z178" s="160">
        <f t="shared" si="46"/>
        <v>0</v>
      </c>
      <c r="AA178" s="165"/>
      <c r="AB178" s="161">
        <f t="shared" si="47"/>
        <v>0</v>
      </c>
      <c r="AC178" s="162"/>
      <c r="AD178" s="162">
        <f t="shared" si="55"/>
        <v>0</v>
      </c>
      <c r="AE178" s="164"/>
      <c r="AF178" s="164">
        <f t="shared" si="56"/>
        <v>0</v>
      </c>
      <c r="AG178" s="165"/>
      <c r="AH178" s="165">
        <f t="shared" si="57"/>
        <v>0</v>
      </c>
      <c r="AI178" s="166">
        <v>0</v>
      </c>
      <c r="AJ178" s="166">
        <f t="shared" si="58"/>
        <v>0</v>
      </c>
      <c r="AK178" s="162"/>
      <c r="AL178" s="162">
        <f t="shared" si="48"/>
        <v>0</v>
      </c>
      <c r="AM178" s="173"/>
      <c r="AN178" s="167">
        <f t="shared" si="49"/>
        <v>0</v>
      </c>
      <c r="AO178" s="163"/>
      <c r="AP178" s="163">
        <f t="shared" si="50"/>
        <v>0</v>
      </c>
      <c r="AQ178" s="168"/>
      <c r="AR178" s="168">
        <f t="shared" si="51"/>
        <v>0</v>
      </c>
      <c r="AS178" s="170"/>
      <c r="AT178" s="170">
        <f t="shared" si="52"/>
        <v>0</v>
      </c>
      <c r="AU178" s="166"/>
      <c r="AV178" s="166">
        <f t="shared" si="53"/>
        <v>0</v>
      </c>
    </row>
    <row r="179" spans="1:48" s="131" customFormat="1" ht="31.5">
      <c r="A179" s="172" t="s">
        <v>6197</v>
      </c>
      <c r="B179" s="150" t="s">
        <v>5298</v>
      </c>
      <c r="C179" s="150" t="s">
        <v>5299</v>
      </c>
      <c r="D179" s="240" t="s">
        <v>6198</v>
      </c>
      <c r="E179" s="590"/>
      <c r="F179" s="203" t="s">
        <v>6199</v>
      </c>
      <c r="G179" s="204" t="s">
        <v>6200</v>
      </c>
      <c r="H179" s="204">
        <v>1</v>
      </c>
      <c r="I179" s="203" t="s">
        <v>6201</v>
      </c>
      <c r="J179" s="205" t="s">
        <v>6202</v>
      </c>
      <c r="K179" s="203" t="s">
        <v>253</v>
      </c>
      <c r="L179" s="205" t="s">
        <v>6203</v>
      </c>
      <c r="M179" s="205" t="s">
        <v>5833</v>
      </c>
      <c r="N179" s="204" t="s">
        <v>5105</v>
      </c>
      <c r="O179" s="204" t="s">
        <v>520</v>
      </c>
      <c r="P179" s="206">
        <v>13000</v>
      </c>
      <c r="Q179" s="206">
        <v>11800</v>
      </c>
      <c r="R179" s="207">
        <v>30</v>
      </c>
      <c r="S179" s="207">
        <f t="shared" si="43"/>
        <v>354000</v>
      </c>
      <c r="T179" s="589"/>
      <c r="U179" s="157">
        <v>30</v>
      </c>
      <c r="V179" s="158">
        <f t="shared" si="54"/>
        <v>30</v>
      </c>
      <c r="W179" s="159">
        <f t="shared" si="44"/>
        <v>0</v>
      </c>
      <c r="X179" s="159">
        <f t="shared" si="45"/>
        <v>0</v>
      </c>
      <c r="Y179" s="160"/>
      <c r="Z179" s="160">
        <f t="shared" si="46"/>
        <v>0</v>
      </c>
      <c r="AA179" s="165"/>
      <c r="AB179" s="161">
        <f t="shared" si="47"/>
        <v>0</v>
      </c>
      <c r="AC179" s="162"/>
      <c r="AD179" s="162">
        <f t="shared" si="55"/>
        <v>0</v>
      </c>
      <c r="AE179" s="164"/>
      <c r="AF179" s="164">
        <f t="shared" si="56"/>
        <v>0</v>
      </c>
      <c r="AG179" s="165"/>
      <c r="AH179" s="165">
        <f t="shared" si="57"/>
        <v>0</v>
      </c>
      <c r="AI179" s="166">
        <v>0</v>
      </c>
      <c r="AJ179" s="166">
        <f t="shared" si="58"/>
        <v>0</v>
      </c>
      <c r="AK179" s="162"/>
      <c r="AL179" s="162">
        <f t="shared" si="48"/>
        <v>0</v>
      </c>
      <c r="AM179" s="173"/>
      <c r="AN179" s="167">
        <f t="shared" si="49"/>
        <v>0</v>
      </c>
      <c r="AO179" s="163"/>
      <c r="AP179" s="163">
        <f t="shared" si="50"/>
        <v>0</v>
      </c>
      <c r="AQ179" s="168"/>
      <c r="AR179" s="168">
        <f t="shared" si="51"/>
        <v>0</v>
      </c>
      <c r="AS179" s="170"/>
      <c r="AT179" s="170">
        <f t="shared" si="52"/>
        <v>0</v>
      </c>
      <c r="AU179" s="166"/>
      <c r="AV179" s="166">
        <f t="shared" si="53"/>
        <v>0</v>
      </c>
    </row>
    <row r="180" spans="1:48" s="131" customFormat="1" ht="31.5">
      <c r="A180" s="148" t="s">
        <v>6595</v>
      </c>
      <c r="B180" s="150" t="s">
        <v>5298</v>
      </c>
      <c r="C180" s="150" t="s">
        <v>5299</v>
      </c>
      <c r="D180" s="240" t="s">
        <v>6596</v>
      </c>
      <c r="E180" s="590"/>
      <c r="F180" s="203" t="s">
        <v>337</v>
      </c>
      <c r="G180" s="204" t="s">
        <v>272</v>
      </c>
      <c r="H180" s="204">
        <v>2</v>
      </c>
      <c r="I180" s="203" t="s">
        <v>6597</v>
      </c>
      <c r="J180" s="205" t="s">
        <v>6598</v>
      </c>
      <c r="K180" s="203" t="s">
        <v>5784</v>
      </c>
      <c r="L180" s="205" t="s">
        <v>6599</v>
      </c>
      <c r="M180" s="205" t="s">
        <v>6600</v>
      </c>
      <c r="N180" s="204" t="s">
        <v>5605</v>
      </c>
      <c r="O180" s="204" t="s">
        <v>11</v>
      </c>
      <c r="P180" s="206">
        <v>3050</v>
      </c>
      <c r="Q180" s="206">
        <v>2800</v>
      </c>
      <c r="R180" s="207">
        <v>10000</v>
      </c>
      <c r="S180" s="207">
        <f t="shared" si="43"/>
        <v>28000000</v>
      </c>
      <c r="T180" s="589"/>
      <c r="U180" s="157">
        <v>10000</v>
      </c>
      <c r="V180" s="158">
        <f t="shared" si="54"/>
        <v>10000</v>
      </c>
      <c r="W180" s="159">
        <f t="shared" si="44"/>
        <v>0</v>
      </c>
      <c r="X180" s="159">
        <f t="shared" si="45"/>
        <v>0</v>
      </c>
      <c r="Y180" s="160"/>
      <c r="Z180" s="160">
        <f t="shared" si="46"/>
        <v>0</v>
      </c>
      <c r="AA180" s="165"/>
      <c r="AB180" s="161">
        <f t="shared" si="47"/>
        <v>0</v>
      </c>
      <c r="AC180" s="162"/>
      <c r="AD180" s="162">
        <f t="shared" si="55"/>
        <v>0</v>
      </c>
      <c r="AE180" s="164"/>
      <c r="AF180" s="164">
        <f t="shared" si="56"/>
        <v>0</v>
      </c>
      <c r="AG180" s="165"/>
      <c r="AH180" s="165">
        <f t="shared" si="57"/>
        <v>0</v>
      </c>
      <c r="AI180" s="166">
        <v>0</v>
      </c>
      <c r="AJ180" s="166">
        <f t="shared" si="58"/>
        <v>0</v>
      </c>
      <c r="AK180" s="162"/>
      <c r="AL180" s="162">
        <f t="shared" si="48"/>
        <v>0</v>
      </c>
      <c r="AM180" s="173"/>
      <c r="AN180" s="167">
        <f t="shared" si="49"/>
        <v>0</v>
      </c>
      <c r="AO180" s="163"/>
      <c r="AP180" s="163">
        <f t="shared" si="50"/>
        <v>0</v>
      </c>
      <c r="AQ180" s="168"/>
      <c r="AR180" s="168">
        <f t="shared" si="51"/>
        <v>0</v>
      </c>
      <c r="AS180" s="170"/>
      <c r="AT180" s="170">
        <f t="shared" si="52"/>
        <v>0</v>
      </c>
      <c r="AU180" s="166"/>
      <c r="AV180" s="166">
        <f t="shared" si="53"/>
        <v>0</v>
      </c>
    </row>
    <row r="181" spans="1:48" s="131" customFormat="1" ht="31.5">
      <c r="A181" s="148" t="s">
        <v>6840</v>
      </c>
      <c r="B181" s="150" t="s">
        <v>5298</v>
      </c>
      <c r="C181" s="150" t="s">
        <v>5299</v>
      </c>
      <c r="D181" s="240" t="s">
        <v>6841</v>
      </c>
      <c r="E181" s="590" t="s">
        <v>12642</v>
      </c>
      <c r="F181" s="203" t="s">
        <v>1618</v>
      </c>
      <c r="G181" s="204" t="s">
        <v>994</v>
      </c>
      <c r="H181" s="204">
        <v>2</v>
      </c>
      <c r="I181" s="203" t="s">
        <v>6842</v>
      </c>
      <c r="J181" s="205" t="s">
        <v>6843</v>
      </c>
      <c r="K181" s="203" t="s">
        <v>5784</v>
      </c>
      <c r="L181" s="205" t="s">
        <v>6844</v>
      </c>
      <c r="M181" s="205" t="s">
        <v>1147</v>
      </c>
      <c r="N181" s="204" t="s">
        <v>5605</v>
      </c>
      <c r="O181" s="204" t="s">
        <v>11</v>
      </c>
      <c r="P181" s="206">
        <v>877</v>
      </c>
      <c r="Q181" s="206">
        <v>450</v>
      </c>
      <c r="R181" s="207">
        <v>50000</v>
      </c>
      <c r="S181" s="207">
        <f t="shared" si="43"/>
        <v>22500000</v>
      </c>
      <c r="T181" s="589"/>
      <c r="U181" s="157">
        <v>50000</v>
      </c>
      <c r="V181" s="158">
        <f t="shared" si="54"/>
        <v>50000</v>
      </c>
      <c r="W181" s="159">
        <f t="shared" si="44"/>
        <v>0</v>
      </c>
      <c r="X181" s="159">
        <f t="shared" si="45"/>
        <v>0</v>
      </c>
      <c r="Y181" s="160"/>
      <c r="Z181" s="160">
        <f t="shared" si="46"/>
        <v>0</v>
      </c>
      <c r="AA181" s="165"/>
      <c r="AB181" s="161">
        <f t="shared" si="47"/>
        <v>0</v>
      </c>
      <c r="AC181" s="162"/>
      <c r="AD181" s="162">
        <f t="shared" si="55"/>
        <v>0</v>
      </c>
      <c r="AE181" s="164"/>
      <c r="AF181" s="164">
        <f t="shared" si="56"/>
        <v>0</v>
      </c>
      <c r="AG181" s="165"/>
      <c r="AH181" s="165">
        <f t="shared" si="57"/>
        <v>0</v>
      </c>
      <c r="AI181" s="166">
        <v>0</v>
      </c>
      <c r="AJ181" s="166">
        <f t="shared" si="58"/>
        <v>0</v>
      </c>
      <c r="AK181" s="162"/>
      <c r="AL181" s="162">
        <f t="shared" si="48"/>
        <v>0</v>
      </c>
      <c r="AM181" s="173"/>
      <c r="AN181" s="167">
        <f t="shared" si="49"/>
        <v>0</v>
      </c>
      <c r="AO181" s="163"/>
      <c r="AP181" s="163">
        <f t="shared" si="50"/>
        <v>0</v>
      </c>
      <c r="AQ181" s="168"/>
      <c r="AR181" s="168">
        <f t="shared" si="51"/>
        <v>0</v>
      </c>
      <c r="AS181" s="170"/>
      <c r="AT181" s="170">
        <f t="shared" si="52"/>
        <v>0</v>
      </c>
      <c r="AU181" s="166"/>
      <c r="AV181" s="166">
        <f t="shared" si="53"/>
        <v>0</v>
      </c>
    </row>
    <row r="182" spans="1:48" s="131" customFormat="1" ht="31.5">
      <c r="A182" s="172" t="s">
        <v>6845</v>
      </c>
      <c r="B182" s="150" t="s">
        <v>5298</v>
      </c>
      <c r="C182" s="150" t="s">
        <v>5299</v>
      </c>
      <c r="D182" s="240" t="s">
        <v>6846</v>
      </c>
      <c r="E182" s="590" t="s">
        <v>12642</v>
      </c>
      <c r="F182" s="203" t="s">
        <v>1618</v>
      </c>
      <c r="G182" s="204" t="s">
        <v>225</v>
      </c>
      <c r="H182" s="204">
        <v>2</v>
      </c>
      <c r="I182" s="203" t="s">
        <v>1145</v>
      </c>
      <c r="J182" s="205" t="s">
        <v>6847</v>
      </c>
      <c r="K182" s="203" t="s">
        <v>5784</v>
      </c>
      <c r="L182" s="205" t="s">
        <v>6848</v>
      </c>
      <c r="M182" s="205" t="s">
        <v>1147</v>
      </c>
      <c r="N182" s="204" t="s">
        <v>5605</v>
      </c>
      <c r="O182" s="204" t="s">
        <v>11</v>
      </c>
      <c r="P182" s="206">
        <v>616</v>
      </c>
      <c r="Q182" s="206">
        <v>315</v>
      </c>
      <c r="R182" s="207">
        <v>50000</v>
      </c>
      <c r="S182" s="207">
        <f t="shared" si="43"/>
        <v>15750000</v>
      </c>
      <c r="T182" s="589"/>
      <c r="U182" s="157">
        <v>50000</v>
      </c>
      <c r="V182" s="158">
        <f t="shared" si="54"/>
        <v>50000</v>
      </c>
      <c r="W182" s="159">
        <f t="shared" si="44"/>
        <v>0</v>
      </c>
      <c r="X182" s="159">
        <f t="shared" si="45"/>
        <v>0</v>
      </c>
      <c r="Y182" s="160"/>
      <c r="Z182" s="160">
        <f t="shared" si="46"/>
        <v>0</v>
      </c>
      <c r="AA182" s="165"/>
      <c r="AB182" s="161">
        <f t="shared" si="47"/>
        <v>0</v>
      </c>
      <c r="AC182" s="162"/>
      <c r="AD182" s="162">
        <f t="shared" si="55"/>
        <v>0</v>
      </c>
      <c r="AE182" s="164"/>
      <c r="AF182" s="164">
        <f t="shared" si="56"/>
        <v>0</v>
      </c>
      <c r="AG182" s="165"/>
      <c r="AH182" s="165">
        <f t="shared" si="57"/>
        <v>0</v>
      </c>
      <c r="AI182" s="166">
        <v>0</v>
      </c>
      <c r="AJ182" s="166">
        <f t="shared" si="58"/>
        <v>0</v>
      </c>
      <c r="AK182" s="162"/>
      <c r="AL182" s="162">
        <f t="shared" si="48"/>
        <v>0</v>
      </c>
      <c r="AM182" s="173"/>
      <c r="AN182" s="167">
        <f t="shared" si="49"/>
        <v>0</v>
      </c>
      <c r="AO182" s="163"/>
      <c r="AP182" s="163">
        <f t="shared" si="50"/>
        <v>0</v>
      </c>
      <c r="AQ182" s="168"/>
      <c r="AR182" s="168">
        <f t="shared" si="51"/>
        <v>0</v>
      </c>
      <c r="AS182" s="170"/>
      <c r="AT182" s="170">
        <f t="shared" si="52"/>
        <v>0</v>
      </c>
      <c r="AU182" s="166"/>
      <c r="AV182" s="166">
        <f t="shared" si="53"/>
        <v>0</v>
      </c>
    </row>
    <row r="183" spans="1:48" s="131" customFormat="1" ht="47.25">
      <c r="A183" s="148" t="s">
        <v>7275</v>
      </c>
      <c r="B183" s="150" t="s">
        <v>5298</v>
      </c>
      <c r="C183" s="150" t="s">
        <v>5299</v>
      </c>
      <c r="D183" s="240" t="s">
        <v>4559</v>
      </c>
      <c r="E183" s="590"/>
      <c r="F183" s="203" t="s">
        <v>1235</v>
      </c>
      <c r="G183" s="204" t="s">
        <v>272</v>
      </c>
      <c r="H183" s="204">
        <v>3</v>
      </c>
      <c r="I183" s="203" t="s">
        <v>7276</v>
      </c>
      <c r="J183" s="205" t="s">
        <v>7277</v>
      </c>
      <c r="K183" s="203" t="s">
        <v>253</v>
      </c>
      <c r="L183" s="205" t="s">
        <v>7278</v>
      </c>
      <c r="M183" s="205" t="s">
        <v>7279</v>
      </c>
      <c r="N183" s="204" t="s">
        <v>213</v>
      </c>
      <c r="O183" s="204" t="s">
        <v>12</v>
      </c>
      <c r="P183" s="206">
        <v>11000</v>
      </c>
      <c r="Q183" s="206">
        <v>6300</v>
      </c>
      <c r="R183" s="207">
        <v>10000</v>
      </c>
      <c r="S183" s="207">
        <f t="shared" si="43"/>
        <v>63000000</v>
      </c>
      <c r="T183" s="589"/>
      <c r="U183" s="157">
        <v>10000</v>
      </c>
      <c r="V183" s="158">
        <f t="shared" si="54"/>
        <v>10000</v>
      </c>
      <c r="W183" s="159">
        <f t="shared" si="44"/>
        <v>0</v>
      </c>
      <c r="X183" s="159">
        <f t="shared" si="45"/>
        <v>0</v>
      </c>
      <c r="Y183" s="160"/>
      <c r="Z183" s="160">
        <f t="shared" si="46"/>
        <v>0</v>
      </c>
      <c r="AA183" s="165"/>
      <c r="AB183" s="161">
        <f t="shared" si="47"/>
        <v>0</v>
      </c>
      <c r="AC183" s="162"/>
      <c r="AD183" s="162">
        <f t="shared" si="55"/>
        <v>0</v>
      </c>
      <c r="AE183" s="164"/>
      <c r="AF183" s="164">
        <f t="shared" si="56"/>
        <v>0</v>
      </c>
      <c r="AG183" s="165"/>
      <c r="AH183" s="165">
        <f t="shared" si="57"/>
        <v>0</v>
      </c>
      <c r="AI183" s="166">
        <v>0</v>
      </c>
      <c r="AJ183" s="166">
        <f t="shared" si="58"/>
        <v>0</v>
      </c>
      <c r="AK183" s="162"/>
      <c r="AL183" s="162">
        <f t="shared" si="48"/>
        <v>0</v>
      </c>
      <c r="AM183" s="173"/>
      <c r="AN183" s="167">
        <f t="shared" si="49"/>
        <v>0</v>
      </c>
      <c r="AO183" s="163"/>
      <c r="AP183" s="163">
        <f t="shared" si="50"/>
        <v>0</v>
      </c>
      <c r="AQ183" s="168"/>
      <c r="AR183" s="168">
        <f t="shared" si="51"/>
        <v>0</v>
      </c>
      <c r="AS183" s="170"/>
      <c r="AT183" s="170">
        <f t="shared" si="52"/>
        <v>0</v>
      </c>
      <c r="AU183" s="166"/>
      <c r="AV183" s="166">
        <f t="shared" si="53"/>
        <v>0</v>
      </c>
    </row>
    <row r="184" spans="1:48" s="131" customFormat="1" ht="31.5">
      <c r="A184" s="148" t="s">
        <v>7446</v>
      </c>
      <c r="B184" s="150" t="s">
        <v>5298</v>
      </c>
      <c r="C184" s="150" t="s">
        <v>5299</v>
      </c>
      <c r="D184" s="240" t="s">
        <v>7447</v>
      </c>
      <c r="E184" s="590"/>
      <c r="F184" s="203" t="s">
        <v>816</v>
      </c>
      <c r="G184" s="204" t="s">
        <v>334</v>
      </c>
      <c r="H184" s="204">
        <v>3</v>
      </c>
      <c r="I184" s="203" t="s">
        <v>7448</v>
      </c>
      <c r="J184" s="205" t="s">
        <v>7449</v>
      </c>
      <c r="K184" s="203" t="s">
        <v>5784</v>
      </c>
      <c r="L184" s="205" t="s">
        <v>7450</v>
      </c>
      <c r="M184" s="205" t="s">
        <v>7451</v>
      </c>
      <c r="N184" s="204" t="s">
        <v>213</v>
      </c>
      <c r="O184" s="204" t="s">
        <v>11</v>
      </c>
      <c r="P184" s="206">
        <v>4500</v>
      </c>
      <c r="Q184" s="206">
        <v>2100</v>
      </c>
      <c r="R184" s="207">
        <v>50000</v>
      </c>
      <c r="S184" s="207">
        <f t="shared" si="43"/>
        <v>105000000</v>
      </c>
      <c r="T184" s="589"/>
      <c r="U184" s="157">
        <v>50000</v>
      </c>
      <c r="V184" s="158">
        <f t="shared" si="54"/>
        <v>50000</v>
      </c>
      <c r="W184" s="159">
        <f t="shared" si="44"/>
        <v>0</v>
      </c>
      <c r="X184" s="159">
        <f t="shared" si="45"/>
        <v>0</v>
      </c>
      <c r="Y184" s="160"/>
      <c r="Z184" s="160">
        <f t="shared" si="46"/>
        <v>0</v>
      </c>
      <c r="AA184" s="165"/>
      <c r="AB184" s="161">
        <f t="shared" si="47"/>
        <v>0</v>
      </c>
      <c r="AC184" s="162"/>
      <c r="AD184" s="162">
        <f t="shared" si="55"/>
        <v>0</v>
      </c>
      <c r="AE184" s="164"/>
      <c r="AF184" s="164">
        <f t="shared" si="56"/>
        <v>0</v>
      </c>
      <c r="AG184" s="165"/>
      <c r="AH184" s="165">
        <f t="shared" si="57"/>
        <v>0</v>
      </c>
      <c r="AI184" s="166">
        <v>0</v>
      </c>
      <c r="AJ184" s="166">
        <f t="shared" si="58"/>
        <v>0</v>
      </c>
      <c r="AK184" s="162"/>
      <c r="AL184" s="162">
        <f t="shared" si="48"/>
        <v>0</v>
      </c>
      <c r="AM184" s="173"/>
      <c r="AN184" s="167">
        <f t="shared" si="49"/>
        <v>0</v>
      </c>
      <c r="AO184" s="163"/>
      <c r="AP184" s="163">
        <f t="shared" si="50"/>
        <v>0</v>
      </c>
      <c r="AQ184" s="168"/>
      <c r="AR184" s="168">
        <f t="shared" si="51"/>
        <v>0</v>
      </c>
      <c r="AS184" s="170"/>
      <c r="AT184" s="170">
        <f t="shared" si="52"/>
        <v>0</v>
      </c>
      <c r="AU184" s="166"/>
      <c r="AV184" s="166">
        <f t="shared" si="53"/>
        <v>0</v>
      </c>
    </row>
    <row r="185" spans="1:48" s="131" customFormat="1" ht="31.5">
      <c r="A185" s="172" t="s">
        <v>7479</v>
      </c>
      <c r="B185" s="150" t="s">
        <v>5298</v>
      </c>
      <c r="C185" s="150" t="s">
        <v>5299</v>
      </c>
      <c r="D185" s="240" t="s">
        <v>7480</v>
      </c>
      <c r="E185" s="590" t="s">
        <v>12642</v>
      </c>
      <c r="F185" s="203" t="s">
        <v>1330</v>
      </c>
      <c r="G185" s="204" t="s">
        <v>258</v>
      </c>
      <c r="H185" s="204">
        <v>3</v>
      </c>
      <c r="I185" s="203" t="s">
        <v>1330</v>
      </c>
      <c r="J185" s="205" t="s">
        <v>7481</v>
      </c>
      <c r="K185" s="203" t="s">
        <v>253</v>
      </c>
      <c r="L185" s="205" t="s">
        <v>7482</v>
      </c>
      <c r="M185" s="205" t="s">
        <v>7483</v>
      </c>
      <c r="N185" s="204" t="s">
        <v>213</v>
      </c>
      <c r="O185" s="204" t="s">
        <v>11</v>
      </c>
      <c r="P185" s="206">
        <v>12000</v>
      </c>
      <c r="Q185" s="206">
        <v>11900</v>
      </c>
      <c r="R185" s="207">
        <v>2000</v>
      </c>
      <c r="S185" s="207">
        <f t="shared" si="43"/>
        <v>23800000</v>
      </c>
      <c r="T185" s="589" t="s">
        <v>11</v>
      </c>
      <c r="U185" s="157">
        <v>2000</v>
      </c>
      <c r="V185" s="158">
        <f t="shared" si="54"/>
        <v>2000</v>
      </c>
      <c r="W185" s="159">
        <f t="shared" si="44"/>
        <v>0</v>
      </c>
      <c r="X185" s="159">
        <f t="shared" si="45"/>
        <v>0</v>
      </c>
      <c r="Y185" s="160"/>
      <c r="Z185" s="160">
        <f t="shared" si="46"/>
        <v>0</v>
      </c>
      <c r="AA185" s="165"/>
      <c r="AB185" s="161">
        <f t="shared" si="47"/>
        <v>0</v>
      </c>
      <c r="AC185" s="162"/>
      <c r="AD185" s="162">
        <f t="shared" si="55"/>
        <v>0</v>
      </c>
      <c r="AE185" s="164"/>
      <c r="AF185" s="164">
        <f t="shared" si="56"/>
        <v>0</v>
      </c>
      <c r="AG185" s="165"/>
      <c r="AH185" s="165">
        <f t="shared" si="57"/>
        <v>0</v>
      </c>
      <c r="AI185" s="166">
        <v>0</v>
      </c>
      <c r="AJ185" s="166">
        <f t="shared" si="58"/>
        <v>0</v>
      </c>
      <c r="AK185" s="162"/>
      <c r="AL185" s="162">
        <f t="shared" si="48"/>
        <v>0</v>
      </c>
      <c r="AM185" s="173"/>
      <c r="AN185" s="167">
        <f t="shared" si="49"/>
        <v>0</v>
      </c>
      <c r="AO185" s="163"/>
      <c r="AP185" s="163">
        <f t="shared" si="50"/>
        <v>0</v>
      </c>
      <c r="AQ185" s="168"/>
      <c r="AR185" s="168">
        <f t="shared" si="51"/>
        <v>0</v>
      </c>
      <c r="AS185" s="170"/>
      <c r="AT185" s="170">
        <f t="shared" si="52"/>
        <v>0</v>
      </c>
      <c r="AU185" s="166"/>
      <c r="AV185" s="166">
        <f t="shared" si="53"/>
        <v>0</v>
      </c>
    </row>
    <row r="186" spans="1:48" s="131" customFormat="1" ht="31.5">
      <c r="A186" s="148" t="s">
        <v>7738</v>
      </c>
      <c r="B186" s="150" t="s">
        <v>5298</v>
      </c>
      <c r="C186" s="150" t="s">
        <v>5299</v>
      </c>
      <c r="D186" s="240" t="s">
        <v>3894</v>
      </c>
      <c r="E186" s="590" t="s">
        <v>12642</v>
      </c>
      <c r="F186" s="203" t="s">
        <v>788</v>
      </c>
      <c r="G186" s="204" t="s">
        <v>369</v>
      </c>
      <c r="H186" s="204">
        <v>3</v>
      </c>
      <c r="I186" s="203" t="s">
        <v>7739</v>
      </c>
      <c r="J186" s="205" t="s">
        <v>7740</v>
      </c>
      <c r="K186" s="203" t="s">
        <v>253</v>
      </c>
      <c r="L186" s="205" t="s">
        <v>7741</v>
      </c>
      <c r="M186" s="205" t="s">
        <v>7742</v>
      </c>
      <c r="N186" s="204" t="s">
        <v>213</v>
      </c>
      <c r="O186" s="204" t="s">
        <v>11</v>
      </c>
      <c r="P186" s="206">
        <v>4000</v>
      </c>
      <c r="Q186" s="206">
        <v>1809</v>
      </c>
      <c r="R186" s="207">
        <v>40000</v>
      </c>
      <c r="S186" s="207">
        <f t="shared" si="43"/>
        <v>72360000</v>
      </c>
      <c r="T186" s="589"/>
      <c r="U186" s="157">
        <v>40000</v>
      </c>
      <c r="V186" s="158">
        <f t="shared" si="54"/>
        <v>40000</v>
      </c>
      <c r="W186" s="159">
        <f t="shared" si="44"/>
        <v>0</v>
      </c>
      <c r="X186" s="159">
        <f t="shared" si="45"/>
        <v>0</v>
      </c>
      <c r="Y186" s="160"/>
      <c r="Z186" s="160">
        <f t="shared" si="46"/>
        <v>0</v>
      </c>
      <c r="AA186" s="165"/>
      <c r="AB186" s="161">
        <f t="shared" si="47"/>
        <v>0</v>
      </c>
      <c r="AC186" s="162"/>
      <c r="AD186" s="162">
        <f t="shared" si="55"/>
        <v>0</v>
      </c>
      <c r="AE186" s="164"/>
      <c r="AF186" s="164">
        <f t="shared" si="56"/>
        <v>0</v>
      </c>
      <c r="AG186" s="165"/>
      <c r="AH186" s="165">
        <f t="shared" si="57"/>
        <v>0</v>
      </c>
      <c r="AI186" s="166">
        <v>0</v>
      </c>
      <c r="AJ186" s="166">
        <f t="shared" si="58"/>
        <v>0</v>
      </c>
      <c r="AK186" s="162"/>
      <c r="AL186" s="162">
        <f t="shared" si="48"/>
        <v>0</v>
      </c>
      <c r="AM186" s="173"/>
      <c r="AN186" s="167">
        <f t="shared" si="49"/>
        <v>0</v>
      </c>
      <c r="AO186" s="163"/>
      <c r="AP186" s="163">
        <f t="shared" si="50"/>
        <v>0</v>
      </c>
      <c r="AQ186" s="168"/>
      <c r="AR186" s="168">
        <f t="shared" si="51"/>
        <v>0</v>
      </c>
      <c r="AS186" s="170"/>
      <c r="AT186" s="170">
        <f t="shared" si="52"/>
        <v>0</v>
      </c>
      <c r="AU186" s="166"/>
      <c r="AV186" s="166">
        <f t="shared" si="53"/>
        <v>0</v>
      </c>
    </row>
    <row r="187" spans="1:48" s="131" customFormat="1" ht="31.5">
      <c r="A187" s="172" t="s">
        <v>8136</v>
      </c>
      <c r="B187" s="150" t="s">
        <v>5298</v>
      </c>
      <c r="C187" s="150" t="s">
        <v>5299</v>
      </c>
      <c r="D187" s="240" t="s">
        <v>8137</v>
      </c>
      <c r="E187" s="590"/>
      <c r="F187" s="203" t="s">
        <v>611</v>
      </c>
      <c r="G187" s="204" t="s">
        <v>291</v>
      </c>
      <c r="H187" s="204">
        <v>3</v>
      </c>
      <c r="I187" s="203" t="s">
        <v>8138</v>
      </c>
      <c r="J187" s="205" t="s">
        <v>8139</v>
      </c>
      <c r="K187" s="203" t="s">
        <v>5784</v>
      </c>
      <c r="L187" s="205" t="s">
        <v>8140</v>
      </c>
      <c r="M187" s="205" t="s">
        <v>7174</v>
      </c>
      <c r="N187" s="204" t="s">
        <v>213</v>
      </c>
      <c r="O187" s="204" t="s">
        <v>11</v>
      </c>
      <c r="P187" s="206">
        <v>7800</v>
      </c>
      <c r="Q187" s="206">
        <v>5760</v>
      </c>
      <c r="R187" s="207">
        <v>20000</v>
      </c>
      <c r="S187" s="207">
        <f t="shared" si="43"/>
        <v>115200000</v>
      </c>
      <c r="T187" s="589"/>
      <c r="U187" s="157">
        <v>20000</v>
      </c>
      <c r="V187" s="158">
        <f t="shared" si="54"/>
        <v>20000</v>
      </c>
      <c r="W187" s="159">
        <f t="shared" si="44"/>
        <v>0</v>
      </c>
      <c r="X187" s="159">
        <f t="shared" si="45"/>
        <v>0</v>
      </c>
      <c r="Y187" s="160"/>
      <c r="Z187" s="160">
        <f t="shared" si="46"/>
        <v>0</v>
      </c>
      <c r="AA187" s="165"/>
      <c r="AB187" s="161">
        <f t="shared" si="47"/>
        <v>0</v>
      </c>
      <c r="AC187" s="162"/>
      <c r="AD187" s="162">
        <f t="shared" si="55"/>
        <v>0</v>
      </c>
      <c r="AE187" s="163"/>
      <c r="AF187" s="164">
        <f t="shared" si="56"/>
        <v>0</v>
      </c>
      <c r="AG187" s="161"/>
      <c r="AH187" s="165">
        <f t="shared" si="57"/>
        <v>0</v>
      </c>
      <c r="AI187" s="160">
        <v>0</v>
      </c>
      <c r="AJ187" s="166">
        <f t="shared" si="58"/>
        <v>0</v>
      </c>
      <c r="AK187" s="162"/>
      <c r="AL187" s="162">
        <f t="shared" si="48"/>
        <v>0</v>
      </c>
      <c r="AM187" s="173"/>
      <c r="AN187" s="167">
        <f t="shared" si="49"/>
        <v>0</v>
      </c>
      <c r="AO187" s="163"/>
      <c r="AP187" s="163">
        <f t="shared" si="50"/>
        <v>0</v>
      </c>
      <c r="AQ187" s="162"/>
      <c r="AR187" s="168">
        <f t="shared" si="51"/>
        <v>0</v>
      </c>
      <c r="AS187" s="169"/>
      <c r="AT187" s="170">
        <f t="shared" si="52"/>
        <v>0</v>
      </c>
      <c r="AU187" s="160"/>
      <c r="AV187" s="166">
        <f t="shared" si="53"/>
        <v>0</v>
      </c>
    </row>
    <row r="188" spans="1:48" s="115" customFormat="1" ht="47.25">
      <c r="A188" s="250">
        <v>11</v>
      </c>
      <c r="B188" s="150" t="s">
        <v>5298</v>
      </c>
      <c r="C188" s="150" t="s">
        <v>5299</v>
      </c>
      <c r="D188" s="250" t="s">
        <v>8554</v>
      </c>
      <c r="E188" s="241"/>
      <c r="F188" s="242" t="s">
        <v>8555</v>
      </c>
      <c r="G188" s="244" t="s">
        <v>8556</v>
      </c>
      <c r="H188" s="244" t="s">
        <v>211</v>
      </c>
      <c r="I188" s="244" t="s">
        <v>8557</v>
      </c>
      <c r="J188" s="244" t="s">
        <v>8523</v>
      </c>
      <c r="K188" s="244" t="s">
        <v>253</v>
      </c>
      <c r="L188" s="241" t="s">
        <v>8558</v>
      </c>
      <c r="M188" s="244" t="s">
        <v>8559</v>
      </c>
      <c r="N188" s="241" t="s">
        <v>213</v>
      </c>
      <c r="O188" s="241" t="s">
        <v>11</v>
      </c>
      <c r="P188" s="245">
        <v>8000</v>
      </c>
      <c r="Q188" s="245">
        <v>6000</v>
      </c>
      <c r="R188" s="246">
        <v>40000</v>
      </c>
      <c r="S188" s="245">
        <f t="shared" si="43"/>
        <v>240000000</v>
      </c>
      <c r="T188" s="589"/>
      <c r="U188" s="244"/>
      <c r="V188" s="247">
        <f>R188-W188</f>
        <v>40000</v>
      </c>
      <c r="W188" s="159">
        <f t="shared" si="44"/>
        <v>0</v>
      </c>
      <c r="X188" s="159">
        <f t="shared" si="45"/>
        <v>0</v>
      </c>
      <c r="Y188" s="248"/>
      <c r="Z188" s="160">
        <f t="shared" si="46"/>
        <v>0</v>
      </c>
      <c r="AA188" s="248"/>
      <c r="AB188" s="161">
        <f t="shared" si="47"/>
        <v>0</v>
      </c>
      <c r="AC188" s="249"/>
      <c r="AD188" s="249"/>
      <c r="AE188" s="249"/>
      <c r="AF188" s="249"/>
      <c r="AG188" s="249"/>
      <c r="AH188" s="249"/>
      <c r="AI188" s="249"/>
      <c r="AJ188" s="249"/>
      <c r="AK188" s="249"/>
      <c r="AL188" s="162">
        <f t="shared" si="48"/>
        <v>0</v>
      </c>
      <c r="AM188" s="249"/>
      <c r="AN188" s="167">
        <f t="shared" si="49"/>
        <v>0</v>
      </c>
      <c r="AO188" s="249"/>
      <c r="AP188" s="163">
        <f t="shared" si="50"/>
        <v>0</v>
      </c>
      <c r="AQ188" s="249"/>
      <c r="AR188" s="168">
        <f t="shared" si="51"/>
        <v>0</v>
      </c>
      <c r="AS188" s="249"/>
      <c r="AT188" s="170">
        <f t="shared" si="52"/>
        <v>0</v>
      </c>
      <c r="AU188" s="249"/>
      <c r="AV188" s="166">
        <f t="shared" si="53"/>
        <v>0</v>
      </c>
    </row>
    <row r="189" spans="1:48" s="115" customFormat="1" ht="47.25">
      <c r="A189" s="148">
        <v>30</v>
      </c>
      <c r="B189" s="150" t="s">
        <v>5298</v>
      </c>
      <c r="C189" s="150" t="s">
        <v>5299</v>
      </c>
      <c r="D189" s="250" t="s">
        <v>4765</v>
      </c>
      <c r="E189" s="241"/>
      <c r="F189" s="242" t="s">
        <v>8637</v>
      </c>
      <c r="G189" s="244" t="s">
        <v>8638</v>
      </c>
      <c r="H189" s="244" t="s">
        <v>211</v>
      </c>
      <c r="I189" s="244" t="s">
        <v>8639</v>
      </c>
      <c r="J189" s="244" t="s">
        <v>8523</v>
      </c>
      <c r="K189" s="244" t="s">
        <v>253</v>
      </c>
      <c r="L189" s="241" t="s">
        <v>8640</v>
      </c>
      <c r="M189" s="244" t="s">
        <v>8559</v>
      </c>
      <c r="N189" s="241" t="s">
        <v>213</v>
      </c>
      <c r="O189" s="241" t="s">
        <v>11</v>
      </c>
      <c r="P189" s="245">
        <v>2100</v>
      </c>
      <c r="Q189" s="245">
        <v>900</v>
      </c>
      <c r="R189" s="246">
        <v>25000</v>
      </c>
      <c r="S189" s="245">
        <f t="shared" si="43"/>
        <v>22500000</v>
      </c>
      <c r="T189" s="589"/>
      <c r="U189" s="244"/>
      <c r="V189" s="247">
        <f>R189-W189</f>
        <v>14800</v>
      </c>
      <c r="W189" s="159">
        <f t="shared" si="44"/>
        <v>10200</v>
      </c>
      <c r="X189" s="159">
        <f t="shared" si="45"/>
        <v>9180000</v>
      </c>
      <c r="Y189" s="248"/>
      <c r="Z189" s="160">
        <f t="shared" si="46"/>
        <v>0</v>
      </c>
      <c r="AA189" s="248"/>
      <c r="AB189" s="161">
        <f t="shared" si="47"/>
        <v>0</v>
      </c>
      <c r="AC189" s="249"/>
      <c r="AD189" s="249"/>
      <c r="AE189" s="249"/>
      <c r="AF189" s="249"/>
      <c r="AG189" s="249"/>
      <c r="AH189" s="249"/>
      <c r="AI189" s="249"/>
      <c r="AJ189" s="249"/>
      <c r="AK189" s="249"/>
      <c r="AL189" s="162">
        <f t="shared" si="48"/>
        <v>0</v>
      </c>
      <c r="AM189" s="249">
        <v>10200</v>
      </c>
      <c r="AN189" s="167">
        <f t="shared" si="49"/>
        <v>9180000</v>
      </c>
      <c r="AO189" s="249"/>
      <c r="AP189" s="163">
        <f t="shared" si="50"/>
        <v>0</v>
      </c>
      <c r="AQ189" s="249"/>
      <c r="AR189" s="168">
        <f t="shared" si="51"/>
        <v>0</v>
      </c>
      <c r="AS189" s="249"/>
      <c r="AT189" s="170">
        <f t="shared" si="52"/>
        <v>0</v>
      </c>
      <c r="AU189" s="249"/>
      <c r="AV189" s="166">
        <f t="shared" si="53"/>
        <v>0</v>
      </c>
    </row>
    <row r="190" spans="1:48" s="115" customFormat="1" ht="47.25">
      <c r="A190" s="148" t="s">
        <v>6964</v>
      </c>
      <c r="B190" s="149" t="s">
        <v>6965</v>
      </c>
      <c r="C190" s="149" t="s">
        <v>6966</v>
      </c>
      <c r="D190" s="608" t="s">
        <v>4289</v>
      </c>
      <c r="E190" s="591"/>
      <c r="F190" s="203" t="s">
        <v>708</v>
      </c>
      <c r="G190" s="204" t="s">
        <v>272</v>
      </c>
      <c r="H190" s="204">
        <v>3</v>
      </c>
      <c r="I190" s="223" t="s">
        <v>709</v>
      </c>
      <c r="J190" s="225" t="s">
        <v>6967</v>
      </c>
      <c r="K190" s="223" t="s">
        <v>5104</v>
      </c>
      <c r="L190" s="225" t="s">
        <v>6968</v>
      </c>
      <c r="M190" s="225" t="s">
        <v>712</v>
      </c>
      <c r="N190" s="224" t="s">
        <v>213</v>
      </c>
      <c r="O190" s="204" t="s">
        <v>13</v>
      </c>
      <c r="P190" s="226">
        <v>4800</v>
      </c>
      <c r="Q190" s="226">
        <v>3150</v>
      </c>
      <c r="R190" s="207">
        <v>100000</v>
      </c>
      <c r="S190" s="207">
        <f t="shared" si="43"/>
        <v>315000000</v>
      </c>
      <c r="T190" s="589"/>
      <c r="U190" s="157">
        <v>100000</v>
      </c>
      <c r="V190" s="158">
        <f t="shared" ref="V190:V221" si="59">U190-W190</f>
        <v>100000</v>
      </c>
      <c r="W190" s="159">
        <f t="shared" si="44"/>
        <v>0</v>
      </c>
      <c r="X190" s="159">
        <f t="shared" si="45"/>
        <v>0</v>
      </c>
      <c r="Y190" s="160"/>
      <c r="Z190" s="160">
        <f t="shared" si="46"/>
        <v>0</v>
      </c>
      <c r="AA190" s="165"/>
      <c r="AB190" s="161">
        <f t="shared" si="47"/>
        <v>0</v>
      </c>
      <c r="AC190" s="162"/>
      <c r="AD190" s="162">
        <f t="shared" ref="AD190:AD221" si="60">AC190*Q190</f>
        <v>0</v>
      </c>
      <c r="AE190" s="164"/>
      <c r="AF190" s="164">
        <f t="shared" ref="AF190:AF221" si="61">AE190*Q190</f>
        <v>0</v>
      </c>
      <c r="AG190" s="165"/>
      <c r="AH190" s="165">
        <f t="shared" ref="AH190:AH221" si="62">AG190*Q190</f>
        <v>0</v>
      </c>
      <c r="AI190" s="166">
        <v>0</v>
      </c>
      <c r="AJ190" s="166">
        <f t="shared" ref="AJ190:AJ221" si="63">AI190*Q190</f>
        <v>0</v>
      </c>
      <c r="AK190" s="162"/>
      <c r="AL190" s="162">
        <f t="shared" si="48"/>
        <v>0</v>
      </c>
      <c r="AM190" s="173"/>
      <c r="AN190" s="167">
        <f t="shared" si="49"/>
        <v>0</v>
      </c>
      <c r="AO190" s="163"/>
      <c r="AP190" s="163">
        <f t="shared" si="50"/>
        <v>0</v>
      </c>
      <c r="AQ190" s="168"/>
      <c r="AR190" s="168">
        <f t="shared" si="51"/>
        <v>0</v>
      </c>
      <c r="AS190" s="170"/>
      <c r="AT190" s="170">
        <f t="shared" si="52"/>
        <v>0</v>
      </c>
      <c r="AU190" s="166"/>
      <c r="AV190" s="166">
        <f t="shared" si="53"/>
        <v>0</v>
      </c>
    </row>
    <row r="191" spans="1:48" s="115" customFormat="1">
      <c r="A191" s="148" t="s">
        <v>7506</v>
      </c>
      <c r="B191" s="149" t="s">
        <v>6965</v>
      </c>
      <c r="C191" s="149" t="s">
        <v>6966</v>
      </c>
      <c r="D191" s="240" t="s">
        <v>4111</v>
      </c>
      <c r="E191" s="590" t="s">
        <v>12642</v>
      </c>
      <c r="F191" s="203" t="s">
        <v>2501</v>
      </c>
      <c r="G191" s="204" t="s">
        <v>299</v>
      </c>
      <c r="H191" s="204">
        <v>3</v>
      </c>
      <c r="I191" s="203" t="s">
        <v>4112</v>
      </c>
      <c r="J191" s="205" t="s">
        <v>7507</v>
      </c>
      <c r="K191" s="203" t="s">
        <v>5104</v>
      </c>
      <c r="L191" s="205" t="s">
        <v>3068</v>
      </c>
      <c r="M191" s="205" t="s">
        <v>712</v>
      </c>
      <c r="N191" s="204" t="s">
        <v>213</v>
      </c>
      <c r="O191" s="204" t="s">
        <v>11</v>
      </c>
      <c r="P191" s="206">
        <v>3240</v>
      </c>
      <c r="Q191" s="206">
        <v>3150</v>
      </c>
      <c r="R191" s="207">
        <v>60000</v>
      </c>
      <c r="S191" s="207">
        <f t="shared" si="43"/>
        <v>189000000</v>
      </c>
      <c r="T191" s="589"/>
      <c r="U191" s="157">
        <v>60000</v>
      </c>
      <c r="V191" s="158">
        <f t="shared" si="59"/>
        <v>43000</v>
      </c>
      <c r="W191" s="159">
        <f t="shared" si="44"/>
        <v>17000</v>
      </c>
      <c r="X191" s="159">
        <f t="shared" si="45"/>
        <v>53550000</v>
      </c>
      <c r="Y191" s="160"/>
      <c r="Z191" s="160">
        <f t="shared" si="46"/>
        <v>0</v>
      </c>
      <c r="AA191" s="165">
        <v>6000</v>
      </c>
      <c r="AB191" s="161">
        <f t="shared" si="47"/>
        <v>18900000</v>
      </c>
      <c r="AC191" s="162"/>
      <c r="AD191" s="162">
        <f t="shared" si="60"/>
        <v>0</v>
      </c>
      <c r="AE191" s="164"/>
      <c r="AF191" s="164">
        <f t="shared" si="61"/>
        <v>0</v>
      </c>
      <c r="AG191" s="165">
        <v>5000</v>
      </c>
      <c r="AH191" s="165">
        <f t="shared" si="62"/>
        <v>15750000</v>
      </c>
      <c r="AI191" s="166">
        <v>0</v>
      </c>
      <c r="AJ191" s="166">
        <f t="shared" si="63"/>
        <v>0</v>
      </c>
      <c r="AK191" s="162"/>
      <c r="AL191" s="162">
        <f t="shared" si="48"/>
        <v>0</v>
      </c>
      <c r="AM191" s="173">
        <v>6000</v>
      </c>
      <c r="AN191" s="167">
        <f t="shared" si="49"/>
        <v>18900000</v>
      </c>
      <c r="AO191" s="163"/>
      <c r="AP191" s="163">
        <f t="shared" si="50"/>
        <v>0</v>
      </c>
      <c r="AQ191" s="168"/>
      <c r="AR191" s="168">
        <f t="shared" si="51"/>
        <v>0</v>
      </c>
      <c r="AS191" s="170"/>
      <c r="AT191" s="170">
        <f t="shared" si="52"/>
        <v>0</v>
      </c>
      <c r="AU191" s="166"/>
      <c r="AV191" s="166">
        <f t="shared" si="53"/>
        <v>0</v>
      </c>
    </row>
    <row r="192" spans="1:48" s="115" customFormat="1" ht="47.25">
      <c r="A192" s="148" t="s">
        <v>8474</v>
      </c>
      <c r="B192" s="149" t="s">
        <v>8475</v>
      </c>
      <c r="C192" s="149" t="s">
        <v>8476</v>
      </c>
      <c r="D192" s="240" t="s">
        <v>4026</v>
      </c>
      <c r="E192" s="590" t="s">
        <v>12643</v>
      </c>
      <c r="F192" s="203" t="s">
        <v>1780</v>
      </c>
      <c r="G192" s="204" t="s">
        <v>1782</v>
      </c>
      <c r="H192" s="204">
        <v>5</v>
      </c>
      <c r="I192" s="203" t="s">
        <v>4027</v>
      </c>
      <c r="J192" s="205" t="s">
        <v>8477</v>
      </c>
      <c r="K192" s="203" t="s">
        <v>5104</v>
      </c>
      <c r="L192" s="205" t="s">
        <v>8478</v>
      </c>
      <c r="M192" s="205" t="s">
        <v>8479</v>
      </c>
      <c r="N192" s="204" t="s">
        <v>213</v>
      </c>
      <c r="O192" s="204" t="s">
        <v>15</v>
      </c>
      <c r="P192" s="206">
        <v>16000</v>
      </c>
      <c r="Q192" s="206">
        <v>13650</v>
      </c>
      <c r="R192" s="207">
        <v>10000</v>
      </c>
      <c r="S192" s="207">
        <f t="shared" si="43"/>
        <v>136500000</v>
      </c>
      <c r="T192" s="589"/>
      <c r="U192" s="157">
        <v>10000</v>
      </c>
      <c r="V192" s="158">
        <f t="shared" si="59"/>
        <v>9900</v>
      </c>
      <c r="W192" s="159">
        <f t="shared" si="44"/>
        <v>100</v>
      </c>
      <c r="X192" s="159">
        <f t="shared" si="45"/>
        <v>1365000</v>
      </c>
      <c r="Y192" s="160"/>
      <c r="Z192" s="160">
        <f t="shared" si="46"/>
        <v>0</v>
      </c>
      <c r="AA192" s="165"/>
      <c r="AB192" s="161">
        <f t="shared" si="47"/>
        <v>0</v>
      </c>
      <c r="AC192" s="162">
        <v>100</v>
      </c>
      <c r="AD192" s="162">
        <f t="shared" si="60"/>
        <v>1365000</v>
      </c>
      <c r="AE192" s="164"/>
      <c r="AF192" s="164">
        <f t="shared" si="61"/>
        <v>0</v>
      </c>
      <c r="AG192" s="165"/>
      <c r="AH192" s="165">
        <f t="shared" si="62"/>
        <v>0</v>
      </c>
      <c r="AI192" s="166">
        <v>0</v>
      </c>
      <c r="AJ192" s="166">
        <f t="shared" si="63"/>
        <v>0</v>
      </c>
      <c r="AK192" s="162"/>
      <c r="AL192" s="162">
        <f t="shared" si="48"/>
        <v>0</v>
      </c>
      <c r="AM192" s="173"/>
      <c r="AN192" s="167">
        <f t="shared" si="49"/>
        <v>0</v>
      </c>
      <c r="AO192" s="163"/>
      <c r="AP192" s="163">
        <f t="shared" si="50"/>
        <v>0</v>
      </c>
      <c r="AQ192" s="168"/>
      <c r="AR192" s="168">
        <f t="shared" si="51"/>
        <v>0</v>
      </c>
      <c r="AS192" s="170"/>
      <c r="AT192" s="170">
        <f t="shared" si="52"/>
        <v>0</v>
      </c>
      <c r="AU192" s="166"/>
      <c r="AV192" s="166">
        <f t="shared" si="53"/>
        <v>0</v>
      </c>
    </row>
    <row r="193" spans="1:48" s="115" customFormat="1" ht="31.5">
      <c r="A193" s="148" t="s">
        <v>6310</v>
      </c>
      <c r="B193" s="149" t="s">
        <v>6311</v>
      </c>
      <c r="C193" s="149" t="s">
        <v>6312</v>
      </c>
      <c r="D193" s="240" t="s">
        <v>6313</v>
      </c>
      <c r="E193" s="590"/>
      <c r="F193" s="203" t="s">
        <v>6314</v>
      </c>
      <c r="G193" s="204" t="s">
        <v>272</v>
      </c>
      <c r="H193" s="204">
        <v>1</v>
      </c>
      <c r="I193" s="203" t="s">
        <v>6315</v>
      </c>
      <c r="J193" s="205" t="s">
        <v>6316</v>
      </c>
      <c r="K193" s="203" t="s">
        <v>5108</v>
      </c>
      <c r="L193" s="205" t="s">
        <v>6317</v>
      </c>
      <c r="M193" s="205" t="s">
        <v>6318</v>
      </c>
      <c r="N193" s="204" t="s">
        <v>5717</v>
      </c>
      <c r="O193" s="204" t="s">
        <v>12</v>
      </c>
      <c r="P193" s="206">
        <v>5500</v>
      </c>
      <c r="Q193" s="206">
        <v>4600</v>
      </c>
      <c r="R193" s="207">
        <v>10000</v>
      </c>
      <c r="S193" s="207">
        <f t="shared" si="43"/>
        <v>46000000</v>
      </c>
      <c r="T193" s="589"/>
      <c r="U193" s="157">
        <v>10000</v>
      </c>
      <c r="V193" s="158">
        <f t="shared" si="59"/>
        <v>10000</v>
      </c>
      <c r="W193" s="159">
        <f t="shared" si="44"/>
        <v>0</v>
      </c>
      <c r="X193" s="159">
        <f t="shared" si="45"/>
        <v>0</v>
      </c>
      <c r="Y193" s="160"/>
      <c r="Z193" s="160">
        <f t="shared" si="46"/>
        <v>0</v>
      </c>
      <c r="AA193" s="165"/>
      <c r="AB193" s="161">
        <f t="shared" si="47"/>
        <v>0</v>
      </c>
      <c r="AC193" s="162"/>
      <c r="AD193" s="162">
        <f t="shared" si="60"/>
        <v>0</v>
      </c>
      <c r="AE193" s="164"/>
      <c r="AF193" s="164">
        <f t="shared" si="61"/>
        <v>0</v>
      </c>
      <c r="AG193" s="165"/>
      <c r="AH193" s="165">
        <f t="shared" si="62"/>
        <v>0</v>
      </c>
      <c r="AI193" s="166">
        <v>0</v>
      </c>
      <c r="AJ193" s="166">
        <f t="shared" si="63"/>
        <v>0</v>
      </c>
      <c r="AK193" s="162"/>
      <c r="AL193" s="162">
        <f t="shared" si="48"/>
        <v>0</v>
      </c>
      <c r="AM193" s="173"/>
      <c r="AN193" s="167">
        <f t="shared" si="49"/>
        <v>0</v>
      </c>
      <c r="AO193" s="163"/>
      <c r="AP193" s="163">
        <f t="shared" si="50"/>
        <v>0</v>
      </c>
      <c r="AQ193" s="168"/>
      <c r="AR193" s="168">
        <f t="shared" si="51"/>
        <v>0</v>
      </c>
      <c r="AS193" s="170"/>
      <c r="AT193" s="170">
        <f t="shared" si="52"/>
        <v>0</v>
      </c>
      <c r="AU193" s="166"/>
      <c r="AV193" s="166">
        <f t="shared" si="53"/>
        <v>0</v>
      </c>
    </row>
    <row r="194" spans="1:48" s="115" customFormat="1">
      <c r="A194" s="148" t="s">
        <v>5441</v>
      </c>
      <c r="B194" s="150" t="s">
        <v>5442</v>
      </c>
      <c r="C194" s="150" t="s">
        <v>5443</v>
      </c>
      <c r="D194" s="634" t="s">
        <v>4849</v>
      </c>
      <c r="E194" s="631"/>
      <c r="F194" s="175" t="s">
        <v>506</v>
      </c>
      <c r="G194" s="151" t="s">
        <v>258</v>
      </c>
      <c r="H194" s="174" t="s">
        <v>5325</v>
      </c>
      <c r="I194" s="150" t="s">
        <v>4850</v>
      </c>
      <c r="J194" s="153" t="s">
        <v>5364</v>
      </c>
      <c r="K194" s="151" t="s">
        <v>5104</v>
      </c>
      <c r="L194" s="151" t="s">
        <v>508</v>
      </c>
      <c r="M194" s="151" t="s">
        <v>509</v>
      </c>
      <c r="N194" s="152" t="s">
        <v>213</v>
      </c>
      <c r="O194" s="152" t="s">
        <v>5141</v>
      </c>
      <c r="P194" s="176">
        <v>18900</v>
      </c>
      <c r="Q194" s="177">
        <v>7849</v>
      </c>
      <c r="R194" s="176">
        <v>4500</v>
      </c>
      <c r="S194" s="156">
        <f t="shared" si="43"/>
        <v>35320500</v>
      </c>
      <c r="T194" s="589"/>
      <c r="U194" s="157">
        <v>4300</v>
      </c>
      <c r="V194" s="158">
        <f t="shared" si="59"/>
        <v>4300</v>
      </c>
      <c r="W194" s="159">
        <f t="shared" si="44"/>
        <v>0</v>
      </c>
      <c r="X194" s="159">
        <f t="shared" si="45"/>
        <v>0</v>
      </c>
      <c r="Y194" s="160"/>
      <c r="Z194" s="160">
        <f t="shared" si="46"/>
        <v>0</v>
      </c>
      <c r="AA194" s="165"/>
      <c r="AB194" s="161">
        <f t="shared" si="47"/>
        <v>0</v>
      </c>
      <c r="AC194" s="162"/>
      <c r="AD194" s="162">
        <f t="shared" si="60"/>
        <v>0</v>
      </c>
      <c r="AE194" s="164"/>
      <c r="AF194" s="164">
        <f t="shared" si="61"/>
        <v>0</v>
      </c>
      <c r="AG194" s="165"/>
      <c r="AH194" s="165">
        <f t="shared" si="62"/>
        <v>0</v>
      </c>
      <c r="AI194" s="166">
        <v>0</v>
      </c>
      <c r="AJ194" s="166">
        <f t="shared" si="63"/>
        <v>0</v>
      </c>
      <c r="AK194" s="162"/>
      <c r="AL194" s="162">
        <f t="shared" si="48"/>
        <v>0</v>
      </c>
      <c r="AM194" s="173"/>
      <c r="AN194" s="167">
        <f t="shared" si="49"/>
        <v>0</v>
      </c>
      <c r="AO194" s="163"/>
      <c r="AP194" s="163">
        <f t="shared" si="50"/>
        <v>0</v>
      </c>
      <c r="AQ194" s="168"/>
      <c r="AR194" s="168">
        <f t="shared" si="51"/>
        <v>0</v>
      </c>
      <c r="AS194" s="170"/>
      <c r="AT194" s="170">
        <f t="shared" si="52"/>
        <v>0</v>
      </c>
      <c r="AU194" s="166"/>
      <c r="AV194" s="166">
        <f t="shared" si="53"/>
        <v>0</v>
      </c>
    </row>
    <row r="195" spans="1:48" s="115" customFormat="1" ht="63">
      <c r="A195" s="148" t="s">
        <v>5490</v>
      </c>
      <c r="B195" s="150" t="s">
        <v>5442</v>
      </c>
      <c r="C195" s="150" t="s">
        <v>5443</v>
      </c>
      <c r="D195" s="634" t="s">
        <v>5491</v>
      </c>
      <c r="E195" s="631"/>
      <c r="F195" s="175" t="s">
        <v>395</v>
      </c>
      <c r="G195" s="151" t="s">
        <v>267</v>
      </c>
      <c r="H195" s="174" t="s">
        <v>5325</v>
      </c>
      <c r="I195" s="150" t="s">
        <v>5492</v>
      </c>
      <c r="J195" s="153" t="s">
        <v>5493</v>
      </c>
      <c r="K195" s="151" t="s">
        <v>253</v>
      </c>
      <c r="L195" s="151" t="s">
        <v>512</v>
      </c>
      <c r="M195" s="151" t="s">
        <v>509</v>
      </c>
      <c r="N195" s="152" t="s">
        <v>213</v>
      </c>
      <c r="O195" s="152" t="s">
        <v>5141</v>
      </c>
      <c r="P195" s="176">
        <v>35000</v>
      </c>
      <c r="Q195" s="177">
        <v>13999</v>
      </c>
      <c r="R195" s="176">
        <v>2100</v>
      </c>
      <c r="S195" s="156">
        <f t="shared" si="43"/>
        <v>29397900</v>
      </c>
      <c r="T195" s="589"/>
      <c r="U195" s="157">
        <v>1600</v>
      </c>
      <c r="V195" s="158">
        <f t="shared" si="59"/>
        <v>1600</v>
      </c>
      <c r="W195" s="159">
        <f t="shared" si="44"/>
        <v>0</v>
      </c>
      <c r="X195" s="159">
        <f t="shared" si="45"/>
        <v>0</v>
      </c>
      <c r="Y195" s="160"/>
      <c r="Z195" s="160">
        <f t="shared" si="46"/>
        <v>0</v>
      </c>
      <c r="AA195" s="165"/>
      <c r="AB195" s="161">
        <f t="shared" si="47"/>
        <v>0</v>
      </c>
      <c r="AC195" s="162"/>
      <c r="AD195" s="162">
        <f t="shared" si="60"/>
        <v>0</v>
      </c>
      <c r="AE195" s="164"/>
      <c r="AF195" s="164">
        <f t="shared" si="61"/>
        <v>0</v>
      </c>
      <c r="AG195" s="165"/>
      <c r="AH195" s="165">
        <f t="shared" si="62"/>
        <v>0</v>
      </c>
      <c r="AI195" s="166">
        <v>0</v>
      </c>
      <c r="AJ195" s="166">
        <f t="shared" si="63"/>
        <v>0</v>
      </c>
      <c r="AK195" s="162"/>
      <c r="AL195" s="162">
        <f t="shared" si="48"/>
        <v>0</v>
      </c>
      <c r="AM195" s="173"/>
      <c r="AN195" s="167">
        <f t="shared" si="49"/>
        <v>0</v>
      </c>
      <c r="AO195" s="163"/>
      <c r="AP195" s="163">
        <f t="shared" si="50"/>
        <v>0</v>
      </c>
      <c r="AQ195" s="168"/>
      <c r="AR195" s="168">
        <f t="shared" si="51"/>
        <v>0</v>
      </c>
      <c r="AS195" s="170"/>
      <c r="AT195" s="170">
        <f t="shared" si="52"/>
        <v>0</v>
      </c>
      <c r="AU195" s="166"/>
      <c r="AV195" s="166">
        <f t="shared" si="53"/>
        <v>0</v>
      </c>
    </row>
    <row r="196" spans="1:48" s="115" customFormat="1" ht="31.5">
      <c r="A196" s="148" t="s">
        <v>6588</v>
      </c>
      <c r="B196" s="150" t="s">
        <v>5442</v>
      </c>
      <c r="C196" s="150" t="s">
        <v>5443</v>
      </c>
      <c r="D196" s="240" t="s">
        <v>6589</v>
      </c>
      <c r="E196" s="590" t="s">
        <v>12643</v>
      </c>
      <c r="F196" s="203" t="s">
        <v>1510</v>
      </c>
      <c r="G196" s="204" t="s">
        <v>4499</v>
      </c>
      <c r="H196" s="204">
        <v>2</v>
      </c>
      <c r="I196" s="203" t="s">
        <v>6590</v>
      </c>
      <c r="J196" s="205" t="s">
        <v>6591</v>
      </c>
      <c r="K196" s="203" t="s">
        <v>6592</v>
      </c>
      <c r="L196" s="205" t="s">
        <v>6593</v>
      </c>
      <c r="M196" s="205" t="s">
        <v>6594</v>
      </c>
      <c r="N196" s="204" t="s">
        <v>5551</v>
      </c>
      <c r="O196" s="204" t="s">
        <v>658</v>
      </c>
      <c r="P196" s="206">
        <v>30000</v>
      </c>
      <c r="Q196" s="206">
        <v>30000</v>
      </c>
      <c r="R196" s="207">
        <v>2000</v>
      </c>
      <c r="S196" s="207">
        <f t="shared" si="43"/>
        <v>60000000</v>
      </c>
      <c r="T196" s="589"/>
      <c r="U196" s="157">
        <v>2000</v>
      </c>
      <c r="V196" s="158">
        <f t="shared" si="59"/>
        <v>2000</v>
      </c>
      <c r="W196" s="159">
        <f t="shared" si="44"/>
        <v>0</v>
      </c>
      <c r="X196" s="159">
        <f t="shared" si="45"/>
        <v>0</v>
      </c>
      <c r="Y196" s="160"/>
      <c r="Z196" s="160">
        <f t="shared" si="46"/>
        <v>0</v>
      </c>
      <c r="AA196" s="165"/>
      <c r="AB196" s="161">
        <f t="shared" si="47"/>
        <v>0</v>
      </c>
      <c r="AC196" s="162"/>
      <c r="AD196" s="162">
        <f t="shared" si="60"/>
        <v>0</v>
      </c>
      <c r="AE196" s="164"/>
      <c r="AF196" s="164">
        <f t="shared" si="61"/>
        <v>0</v>
      </c>
      <c r="AG196" s="165"/>
      <c r="AH196" s="165">
        <f t="shared" si="62"/>
        <v>0</v>
      </c>
      <c r="AI196" s="166">
        <v>0</v>
      </c>
      <c r="AJ196" s="166">
        <f t="shared" si="63"/>
        <v>0</v>
      </c>
      <c r="AK196" s="162"/>
      <c r="AL196" s="162">
        <f t="shared" si="48"/>
        <v>0</v>
      </c>
      <c r="AM196" s="173"/>
      <c r="AN196" s="167">
        <f t="shared" si="49"/>
        <v>0</v>
      </c>
      <c r="AO196" s="163"/>
      <c r="AP196" s="163">
        <f t="shared" si="50"/>
        <v>0</v>
      </c>
      <c r="AQ196" s="168"/>
      <c r="AR196" s="168">
        <f t="shared" si="51"/>
        <v>0</v>
      </c>
      <c r="AS196" s="170"/>
      <c r="AT196" s="170">
        <f t="shared" si="52"/>
        <v>0</v>
      </c>
      <c r="AU196" s="166"/>
      <c r="AV196" s="166">
        <f t="shared" si="53"/>
        <v>0</v>
      </c>
    </row>
    <row r="197" spans="1:48" s="115" customFormat="1" ht="31.5">
      <c r="A197" s="148" t="s">
        <v>7298</v>
      </c>
      <c r="B197" s="150" t="s">
        <v>5442</v>
      </c>
      <c r="C197" s="150" t="s">
        <v>5443</v>
      </c>
      <c r="D197" s="240" t="s">
        <v>7299</v>
      </c>
      <c r="E197" s="590"/>
      <c r="F197" s="203" t="s">
        <v>256</v>
      </c>
      <c r="G197" s="204" t="s">
        <v>334</v>
      </c>
      <c r="H197" s="204">
        <v>3</v>
      </c>
      <c r="I197" s="203" t="s">
        <v>7300</v>
      </c>
      <c r="J197" s="205" t="s">
        <v>7301</v>
      </c>
      <c r="K197" s="203" t="s">
        <v>253</v>
      </c>
      <c r="L197" s="205" t="s">
        <v>7302</v>
      </c>
      <c r="M197" s="205" t="s">
        <v>7303</v>
      </c>
      <c r="N197" s="204" t="s">
        <v>213</v>
      </c>
      <c r="O197" s="204" t="s">
        <v>11</v>
      </c>
      <c r="P197" s="206">
        <v>15000</v>
      </c>
      <c r="Q197" s="206">
        <v>4200</v>
      </c>
      <c r="R197" s="207">
        <v>30000</v>
      </c>
      <c r="S197" s="207">
        <f t="shared" ref="S197:S260" si="64">R197*Q197</f>
        <v>126000000</v>
      </c>
      <c r="T197" s="589"/>
      <c r="U197" s="157">
        <v>30000</v>
      </c>
      <c r="V197" s="158">
        <f t="shared" si="59"/>
        <v>30000</v>
      </c>
      <c r="W197" s="159">
        <f t="shared" ref="W197:W260" si="65">Y197+AA197+AC197+AE197+AG197+AI197+AK197+AM197+AO197+AQ197+AS197+AU197</f>
        <v>0</v>
      </c>
      <c r="X197" s="159">
        <f t="shared" ref="X197:X260" si="66">W197*Q197</f>
        <v>0</v>
      </c>
      <c r="Y197" s="160"/>
      <c r="Z197" s="160">
        <f t="shared" ref="Z197:Z260" si="67">Y197*Q197</f>
        <v>0</v>
      </c>
      <c r="AA197" s="161"/>
      <c r="AB197" s="161">
        <f t="shared" ref="AB197:AB260" si="68">AA197*Q197</f>
        <v>0</v>
      </c>
      <c r="AC197" s="162"/>
      <c r="AD197" s="162">
        <f t="shared" si="60"/>
        <v>0</v>
      </c>
      <c r="AE197" s="164"/>
      <c r="AF197" s="164">
        <f t="shared" si="61"/>
        <v>0</v>
      </c>
      <c r="AG197" s="165"/>
      <c r="AH197" s="165">
        <f t="shared" si="62"/>
        <v>0</v>
      </c>
      <c r="AI197" s="166">
        <v>0</v>
      </c>
      <c r="AJ197" s="166">
        <f t="shared" si="63"/>
        <v>0</v>
      </c>
      <c r="AK197" s="162"/>
      <c r="AL197" s="162">
        <f t="shared" ref="AL197:AL260" si="69">AK197*Q197</f>
        <v>0</v>
      </c>
      <c r="AM197" s="167"/>
      <c r="AN197" s="167">
        <f t="shared" ref="AN197:AN260" si="70">AM197*Q197</f>
        <v>0</v>
      </c>
      <c r="AO197" s="163"/>
      <c r="AP197" s="163">
        <f t="shared" ref="AP197:AP260" si="71">AO197*Q197</f>
        <v>0</v>
      </c>
      <c r="AQ197" s="168"/>
      <c r="AR197" s="168">
        <f t="shared" ref="AR197:AR260" si="72">AQ197*Q197</f>
        <v>0</v>
      </c>
      <c r="AS197" s="170"/>
      <c r="AT197" s="170">
        <f t="shared" ref="AT197:AT260" si="73">AS197*Q197</f>
        <v>0</v>
      </c>
      <c r="AU197" s="166"/>
      <c r="AV197" s="166">
        <f t="shared" ref="AV197:AV260" si="74">AU197*Q197</f>
        <v>0</v>
      </c>
    </row>
    <row r="198" spans="1:48" s="115" customFormat="1" ht="31.5">
      <c r="A198" s="148" t="s">
        <v>8261</v>
      </c>
      <c r="B198" s="150" t="s">
        <v>5442</v>
      </c>
      <c r="C198" s="150" t="s">
        <v>5443</v>
      </c>
      <c r="D198" s="240" t="s">
        <v>8262</v>
      </c>
      <c r="E198" s="590"/>
      <c r="F198" s="203" t="s">
        <v>256</v>
      </c>
      <c r="G198" s="204" t="s">
        <v>334</v>
      </c>
      <c r="H198" s="204">
        <v>4</v>
      </c>
      <c r="I198" s="203" t="s">
        <v>7300</v>
      </c>
      <c r="J198" s="205" t="s">
        <v>7301</v>
      </c>
      <c r="K198" s="203" t="s">
        <v>253</v>
      </c>
      <c r="L198" s="205" t="s">
        <v>7302</v>
      </c>
      <c r="M198" s="205" t="s">
        <v>7303</v>
      </c>
      <c r="N198" s="204" t="s">
        <v>213</v>
      </c>
      <c r="O198" s="204" t="s">
        <v>11</v>
      </c>
      <c r="P198" s="206">
        <v>15000</v>
      </c>
      <c r="Q198" s="206">
        <v>4200</v>
      </c>
      <c r="R198" s="207">
        <v>10000</v>
      </c>
      <c r="S198" s="207">
        <f t="shared" si="64"/>
        <v>42000000</v>
      </c>
      <c r="T198" s="589"/>
      <c r="U198" s="157">
        <v>10000</v>
      </c>
      <c r="V198" s="158">
        <f t="shared" si="59"/>
        <v>10000</v>
      </c>
      <c r="W198" s="159">
        <f t="shared" si="65"/>
        <v>0</v>
      </c>
      <c r="X198" s="159">
        <f t="shared" si="66"/>
        <v>0</v>
      </c>
      <c r="Y198" s="160"/>
      <c r="Z198" s="160">
        <f t="shared" si="67"/>
        <v>0</v>
      </c>
      <c r="AA198" s="161"/>
      <c r="AB198" s="161">
        <f t="shared" si="68"/>
        <v>0</v>
      </c>
      <c r="AC198" s="162"/>
      <c r="AD198" s="162">
        <f t="shared" si="60"/>
        <v>0</v>
      </c>
      <c r="AE198" s="164"/>
      <c r="AF198" s="164">
        <f t="shared" si="61"/>
        <v>0</v>
      </c>
      <c r="AG198" s="165"/>
      <c r="AH198" s="165">
        <f t="shared" si="62"/>
        <v>0</v>
      </c>
      <c r="AI198" s="166">
        <v>0</v>
      </c>
      <c r="AJ198" s="166">
        <f t="shared" si="63"/>
        <v>0</v>
      </c>
      <c r="AK198" s="162"/>
      <c r="AL198" s="162">
        <f t="shared" si="69"/>
        <v>0</v>
      </c>
      <c r="AM198" s="167"/>
      <c r="AN198" s="167">
        <f t="shared" si="70"/>
        <v>0</v>
      </c>
      <c r="AO198" s="163"/>
      <c r="AP198" s="163">
        <f t="shared" si="71"/>
        <v>0</v>
      </c>
      <c r="AQ198" s="168"/>
      <c r="AR198" s="168">
        <f t="shared" si="72"/>
        <v>0</v>
      </c>
      <c r="AS198" s="170"/>
      <c r="AT198" s="170">
        <f t="shared" si="73"/>
        <v>0</v>
      </c>
      <c r="AU198" s="166"/>
      <c r="AV198" s="166">
        <f t="shared" si="74"/>
        <v>0</v>
      </c>
    </row>
    <row r="199" spans="1:48" s="115" customFormat="1" ht="31.5">
      <c r="A199" s="148" t="s">
        <v>8492</v>
      </c>
      <c r="B199" s="150" t="s">
        <v>5442</v>
      </c>
      <c r="C199" s="150" t="s">
        <v>5443</v>
      </c>
      <c r="D199" s="240" t="s">
        <v>4005</v>
      </c>
      <c r="E199" s="590"/>
      <c r="F199" s="203" t="s">
        <v>4007</v>
      </c>
      <c r="G199" s="204" t="s">
        <v>4008</v>
      </c>
      <c r="H199" s="204">
        <v>5</v>
      </c>
      <c r="I199" s="203" t="s">
        <v>4006</v>
      </c>
      <c r="J199" s="205" t="s">
        <v>8493</v>
      </c>
      <c r="K199" s="203" t="s">
        <v>8494</v>
      </c>
      <c r="L199" s="205" t="s">
        <v>8495</v>
      </c>
      <c r="M199" s="205" t="s">
        <v>6594</v>
      </c>
      <c r="N199" s="204" t="s">
        <v>5551</v>
      </c>
      <c r="O199" s="204" t="s">
        <v>658</v>
      </c>
      <c r="P199" s="206">
        <v>35000</v>
      </c>
      <c r="Q199" s="206">
        <v>29715</v>
      </c>
      <c r="R199" s="207">
        <v>6000</v>
      </c>
      <c r="S199" s="207">
        <f t="shared" si="64"/>
        <v>178290000</v>
      </c>
      <c r="T199" s="589"/>
      <c r="U199" s="157">
        <v>6000</v>
      </c>
      <c r="V199" s="158">
        <f t="shared" si="59"/>
        <v>5700</v>
      </c>
      <c r="W199" s="159">
        <f t="shared" si="65"/>
        <v>300</v>
      </c>
      <c r="X199" s="159">
        <f t="shared" si="66"/>
        <v>8914500</v>
      </c>
      <c r="Y199" s="160"/>
      <c r="Z199" s="160">
        <f t="shared" si="67"/>
        <v>0</v>
      </c>
      <c r="AA199" s="165"/>
      <c r="AB199" s="161">
        <f t="shared" si="68"/>
        <v>0</v>
      </c>
      <c r="AC199" s="162"/>
      <c r="AD199" s="162">
        <f t="shared" si="60"/>
        <v>0</v>
      </c>
      <c r="AE199" s="164"/>
      <c r="AF199" s="164">
        <f t="shared" si="61"/>
        <v>0</v>
      </c>
      <c r="AG199" s="165">
        <v>300</v>
      </c>
      <c r="AH199" s="165">
        <f t="shared" si="62"/>
        <v>8914500</v>
      </c>
      <c r="AI199" s="166">
        <v>0</v>
      </c>
      <c r="AJ199" s="166">
        <f t="shared" si="63"/>
        <v>0</v>
      </c>
      <c r="AK199" s="162"/>
      <c r="AL199" s="162">
        <f t="shared" si="69"/>
        <v>0</v>
      </c>
      <c r="AM199" s="173"/>
      <c r="AN199" s="167">
        <f t="shared" si="70"/>
        <v>0</v>
      </c>
      <c r="AO199" s="163"/>
      <c r="AP199" s="163">
        <f t="shared" si="71"/>
        <v>0</v>
      </c>
      <c r="AQ199" s="168"/>
      <c r="AR199" s="168">
        <f t="shared" si="72"/>
        <v>0</v>
      </c>
      <c r="AS199" s="170"/>
      <c r="AT199" s="170">
        <f t="shared" si="73"/>
        <v>0</v>
      </c>
      <c r="AU199" s="166"/>
      <c r="AV199" s="166">
        <f t="shared" si="74"/>
        <v>0</v>
      </c>
    </row>
    <row r="200" spans="1:48" s="115" customFormat="1" ht="31.5">
      <c r="A200" s="172" t="s">
        <v>5339</v>
      </c>
      <c r="B200" s="150" t="s">
        <v>5340</v>
      </c>
      <c r="C200" s="150" t="s">
        <v>5341</v>
      </c>
      <c r="D200" s="634" t="s">
        <v>4853</v>
      </c>
      <c r="E200" s="631" t="s">
        <v>12642</v>
      </c>
      <c r="F200" s="175" t="s">
        <v>289</v>
      </c>
      <c r="G200" s="151" t="s">
        <v>291</v>
      </c>
      <c r="H200" s="174" t="s">
        <v>5325</v>
      </c>
      <c r="I200" s="150" t="s">
        <v>500</v>
      </c>
      <c r="J200" s="153" t="s">
        <v>5342</v>
      </c>
      <c r="K200" s="151" t="s">
        <v>5104</v>
      </c>
      <c r="L200" s="151" t="s">
        <v>501</v>
      </c>
      <c r="M200" s="151" t="s">
        <v>5343</v>
      </c>
      <c r="N200" s="152" t="s">
        <v>213</v>
      </c>
      <c r="O200" s="152" t="s">
        <v>10</v>
      </c>
      <c r="P200" s="176">
        <v>2100</v>
      </c>
      <c r="Q200" s="177">
        <v>798</v>
      </c>
      <c r="R200" s="179">
        <v>364000</v>
      </c>
      <c r="S200" s="156">
        <f t="shared" si="64"/>
        <v>290472000</v>
      </c>
      <c r="T200" s="589"/>
      <c r="U200" s="157">
        <v>164000</v>
      </c>
      <c r="V200" s="158">
        <f t="shared" si="59"/>
        <v>0</v>
      </c>
      <c r="W200" s="159">
        <f t="shared" si="65"/>
        <v>164000</v>
      </c>
      <c r="X200" s="159">
        <f t="shared" si="66"/>
        <v>130872000</v>
      </c>
      <c r="Y200" s="160">
        <v>20000</v>
      </c>
      <c r="Z200" s="160">
        <f t="shared" si="67"/>
        <v>15960000</v>
      </c>
      <c r="AA200" s="161">
        <v>60000</v>
      </c>
      <c r="AB200" s="161">
        <f t="shared" si="68"/>
        <v>47880000</v>
      </c>
      <c r="AC200" s="162"/>
      <c r="AD200" s="162">
        <f t="shared" si="60"/>
        <v>0</v>
      </c>
      <c r="AE200" s="163"/>
      <c r="AF200" s="164">
        <f t="shared" si="61"/>
        <v>0</v>
      </c>
      <c r="AG200" s="161">
        <v>30000</v>
      </c>
      <c r="AH200" s="165">
        <f t="shared" si="62"/>
        <v>23940000</v>
      </c>
      <c r="AI200" s="160">
        <v>0</v>
      </c>
      <c r="AJ200" s="166">
        <f t="shared" si="63"/>
        <v>0</v>
      </c>
      <c r="AK200" s="162"/>
      <c r="AL200" s="162">
        <f t="shared" si="69"/>
        <v>0</v>
      </c>
      <c r="AM200" s="167">
        <v>20000</v>
      </c>
      <c r="AN200" s="167">
        <f t="shared" si="70"/>
        <v>15960000</v>
      </c>
      <c r="AO200" s="163">
        <v>20000</v>
      </c>
      <c r="AP200" s="163">
        <f t="shared" si="71"/>
        <v>15960000</v>
      </c>
      <c r="AQ200" s="162"/>
      <c r="AR200" s="168">
        <f t="shared" si="72"/>
        <v>0</v>
      </c>
      <c r="AS200" s="169">
        <v>14000</v>
      </c>
      <c r="AT200" s="170">
        <f t="shared" si="73"/>
        <v>11172000</v>
      </c>
      <c r="AU200" s="160"/>
      <c r="AV200" s="166">
        <f t="shared" si="74"/>
        <v>0</v>
      </c>
    </row>
    <row r="201" spans="1:48" s="115" customFormat="1" ht="31.5">
      <c r="A201" s="148" t="s">
        <v>5476</v>
      </c>
      <c r="B201" s="150" t="s">
        <v>5340</v>
      </c>
      <c r="C201" s="150" t="s">
        <v>5341</v>
      </c>
      <c r="D201" s="634" t="s">
        <v>4895</v>
      </c>
      <c r="E201" s="631" t="s">
        <v>12642</v>
      </c>
      <c r="F201" s="175" t="s">
        <v>313</v>
      </c>
      <c r="G201" s="151" t="s">
        <v>235</v>
      </c>
      <c r="H201" s="174" t="s">
        <v>5325</v>
      </c>
      <c r="I201" s="150" t="s">
        <v>502</v>
      </c>
      <c r="J201" s="153" t="s">
        <v>5477</v>
      </c>
      <c r="K201" s="151" t="s">
        <v>5104</v>
      </c>
      <c r="L201" s="151" t="s">
        <v>504</v>
      </c>
      <c r="M201" s="151" t="s">
        <v>5343</v>
      </c>
      <c r="N201" s="152" t="s">
        <v>213</v>
      </c>
      <c r="O201" s="152" t="s">
        <v>10</v>
      </c>
      <c r="P201" s="176">
        <v>600</v>
      </c>
      <c r="Q201" s="177">
        <v>473</v>
      </c>
      <c r="R201" s="176">
        <v>143000</v>
      </c>
      <c r="S201" s="156">
        <f t="shared" si="64"/>
        <v>67639000</v>
      </c>
      <c r="T201" s="589"/>
      <c r="U201" s="157">
        <v>72500</v>
      </c>
      <c r="V201" s="158">
        <f t="shared" si="59"/>
        <v>0</v>
      </c>
      <c r="W201" s="159">
        <f t="shared" si="65"/>
        <v>72500</v>
      </c>
      <c r="X201" s="159">
        <f t="shared" si="66"/>
        <v>34292500</v>
      </c>
      <c r="Y201" s="160">
        <v>5000</v>
      </c>
      <c r="Z201" s="160">
        <f t="shared" si="67"/>
        <v>2365000</v>
      </c>
      <c r="AA201" s="165">
        <v>11500</v>
      </c>
      <c r="AB201" s="161">
        <f t="shared" si="68"/>
        <v>5439500</v>
      </c>
      <c r="AC201" s="162"/>
      <c r="AD201" s="162">
        <f t="shared" si="60"/>
        <v>0</v>
      </c>
      <c r="AE201" s="164"/>
      <c r="AF201" s="164">
        <f t="shared" si="61"/>
        <v>0</v>
      </c>
      <c r="AG201" s="165">
        <v>16500</v>
      </c>
      <c r="AH201" s="165">
        <f t="shared" si="62"/>
        <v>7804500</v>
      </c>
      <c r="AI201" s="166">
        <v>0</v>
      </c>
      <c r="AJ201" s="166">
        <f t="shared" si="63"/>
        <v>0</v>
      </c>
      <c r="AK201" s="162"/>
      <c r="AL201" s="162">
        <f t="shared" si="69"/>
        <v>0</v>
      </c>
      <c r="AM201" s="173">
        <v>800</v>
      </c>
      <c r="AN201" s="167">
        <f t="shared" si="70"/>
        <v>378400</v>
      </c>
      <c r="AO201" s="163"/>
      <c r="AP201" s="163">
        <f t="shared" si="71"/>
        <v>0</v>
      </c>
      <c r="AQ201" s="168"/>
      <c r="AR201" s="168">
        <f t="shared" si="72"/>
        <v>0</v>
      </c>
      <c r="AS201" s="170">
        <v>15700</v>
      </c>
      <c r="AT201" s="170">
        <f t="shared" si="73"/>
        <v>7426100</v>
      </c>
      <c r="AU201" s="166">
        <v>23000</v>
      </c>
      <c r="AV201" s="166">
        <f t="shared" si="74"/>
        <v>10879000</v>
      </c>
    </row>
    <row r="202" spans="1:48" s="115" customFormat="1" ht="31.5">
      <c r="A202" s="148" t="s">
        <v>5537</v>
      </c>
      <c r="B202" s="150" t="s">
        <v>5340</v>
      </c>
      <c r="C202" s="150" t="s">
        <v>5341</v>
      </c>
      <c r="D202" s="634" t="s">
        <v>4955</v>
      </c>
      <c r="E202" s="631" t="s">
        <v>12642</v>
      </c>
      <c r="F202" s="175" t="s">
        <v>265</v>
      </c>
      <c r="G202" s="151" t="s">
        <v>387</v>
      </c>
      <c r="H202" s="174" t="s">
        <v>5525</v>
      </c>
      <c r="I202" s="150" t="s">
        <v>4956</v>
      </c>
      <c r="J202" s="153" t="s">
        <v>5538</v>
      </c>
      <c r="K202" s="151" t="s">
        <v>5104</v>
      </c>
      <c r="L202" s="151" t="s">
        <v>5539</v>
      </c>
      <c r="M202" s="151" t="s">
        <v>5343</v>
      </c>
      <c r="N202" s="152" t="s">
        <v>213</v>
      </c>
      <c r="O202" s="152" t="s">
        <v>10</v>
      </c>
      <c r="P202" s="176">
        <v>1909</v>
      </c>
      <c r="Q202" s="177">
        <v>1900</v>
      </c>
      <c r="R202" s="176">
        <v>300000</v>
      </c>
      <c r="S202" s="156">
        <f t="shared" si="64"/>
        <v>570000000</v>
      </c>
      <c r="T202" s="589"/>
      <c r="U202" s="157">
        <v>280000</v>
      </c>
      <c r="V202" s="158">
        <f t="shared" si="59"/>
        <v>209500</v>
      </c>
      <c r="W202" s="159">
        <f t="shared" si="65"/>
        <v>70500</v>
      </c>
      <c r="X202" s="159">
        <f t="shared" si="66"/>
        <v>133950000</v>
      </c>
      <c r="Y202" s="160"/>
      <c r="Z202" s="160">
        <f t="shared" si="67"/>
        <v>0</v>
      </c>
      <c r="AA202" s="165">
        <v>20000</v>
      </c>
      <c r="AB202" s="161">
        <f t="shared" si="68"/>
        <v>38000000</v>
      </c>
      <c r="AC202" s="162"/>
      <c r="AD202" s="162">
        <f t="shared" si="60"/>
        <v>0</v>
      </c>
      <c r="AE202" s="164"/>
      <c r="AF202" s="164">
        <f t="shared" si="61"/>
        <v>0</v>
      </c>
      <c r="AG202" s="165">
        <v>10000</v>
      </c>
      <c r="AH202" s="165">
        <f t="shared" si="62"/>
        <v>19000000</v>
      </c>
      <c r="AI202" s="166">
        <v>0</v>
      </c>
      <c r="AJ202" s="166">
        <f t="shared" si="63"/>
        <v>0</v>
      </c>
      <c r="AK202" s="162"/>
      <c r="AL202" s="162">
        <f t="shared" si="69"/>
        <v>0</v>
      </c>
      <c r="AM202" s="173"/>
      <c r="AN202" s="167">
        <f t="shared" si="70"/>
        <v>0</v>
      </c>
      <c r="AO202" s="163"/>
      <c r="AP202" s="163">
        <f t="shared" si="71"/>
        <v>0</v>
      </c>
      <c r="AQ202" s="168"/>
      <c r="AR202" s="168">
        <f t="shared" si="72"/>
        <v>0</v>
      </c>
      <c r="AS202" s="170">
        <v>20500</v>
      </c>
      <c r="AT202" s="170">
        <f t="shared" si="73"/>
        <v>38950000</v>
      </c>
      <c r="AU202" s="166">
        <v>20000</v>
      </c>
      <c r="AV202" s="166">
        <f t="shared" si="74"/>
        <v>38000000</v>
      </c>
    </row>
    <row r="203" spans="1:48" s="115" customFormat="1" ht="31.5">
      <c r="A203" s="148" t="s">
        <v>5718</v>
      </c>
      <c r="B203" s="150" t="s">
        <v>5340</v>
      </c>
      <c r="C203" s="150" t="s">
        <v>5341</v>
      </c>
      <c r="D203" s="603" t="s">
        <v>5719</v>
      </c>
      <c r="E203" s="588"/>
      <c r="F203" s="183" t="s">
        <v>1302</v>
      </c>
      <c r="G203" s="182" t="s">
        <v>327</v>
      </c>
      <c r="H203" s="182" t="s">
        <v>5525</v>
      </c>
      <c r="I203" s="184" t="s">
        <v>5720</v>
      </c>
      <c r="J203" s="182" t="s">
        <v>5608</v>
      </c>
      <c r="K203" s="153" t="s">
        <v>5104</v>
      </c>
      <c r="L203" s="153" t="s">
        <v>5721</v>
      </c>
      <c r="M203" s="153" t="s">
        <v>5722</v>
      </c>
      <c r="N203" s="94" t="s">
        <v>213</v>
      </c>
      <c r="O203" s="185" t="s">
        <v>10</v>
      </c>
      <c r="P203" s="186"/>
      <c r="Q203" s="186">
        <v>903</v>
      </c>
      <c r="R203" s="187">
        <v>20000</v>
      </c>
      <c r="S203" s="186">
        <f t="shared" si="64"/>
        <v>18060000</v>
      </c>
      <c r="T203" s="589"/>
      <c r="U203" s="157">
        <v>20000</v>
      </c>
      <c r="V203" s="158">
        <f t="shared" si="59"/>
        <v>10010</v>
      </c>
      <c r="W203" s="159">
        <f t="shared" si="65"/>
        <v>9990</v>
      </c>
      <c r="X203" s="159">
        <f t="shared" si="66"/>
        <v>9020970</v>
      </c>
      <c r="Y203" s="160"/>
      <c r="Z203" s="160">
        <f t="shared" si="67"/>
        <v>0</v>
      </c>
      <c r="AA203" s="161"/>
      <c r="AB203" s="161">
        <f t="shared" si="68"/>
        <v>0</v>
      </c>
      <c r="AC203" s="162"/>
      <c r="AD203" s="162">
        <f t="shared" si="60"/>
        <v>0</v>
      </c>
      <c r="AE203" s="164"/>
      <c r="AF203" s="164">
        <f t="shared" si="61"/>
        <v>0</v>
      </c>
      <c r="AG203" s="165"/>
      <c r="AH203" s="165">
        <f t="shared" si="62"/>
        <v>0</v>
      </c>
      <c r="AI203" s="166">
        <v>0</v>
      </c>
      <c r="AJ203" s="166">
        <f t="shared" si="63"/>
        <v>0</v>
      </c>
      <c r="AK203" s="162"/>
      <c r="AL203" s="162">
        <f t="shared" si="69"/>
        <v>0</v>
      </c>
      <c r="AM203" s="167"/>
      <c r="AN203" s="167">
        <f t="shared" si="70"/>
        <v>0</v>
      </c>
      <c r="AO203" s="163"/>
      <c r="AP203" s="163">
        <f t="shared" si="71"/>
        <v>0</v>
      </c>
      <c r="AQ203" s="168">
        <v>9990</v>
      </c>
      <c r="AR203" s="168">
        <f t="shared" si="72"/>
        <v>9020970</v>
      </c>
      <c r="AS203" s="170"/>
      <c r="AT203" s="170">
        <f t="shared" si="73"/>
        <v>0</v>
      </c>
      <c r="AU203" s="166"/>
      <c r="AV203" s="166">
        <f t="shared" si="74"/>
        <v>0</v>
      </c>
    </row>
    <row r="204" spans="1:48" s="115" customFormat="1" ht="31.5">
      <c r="A204" s="172" t="s">
        <v>5728</v>
      </c>
      <c r="B204" s="150" t="s">
        <v>5340</v>
      </c>
      <c r="C204" s="150" t="s">
        <v>5341</v>
      </c>
      <c r="D204" s="603" t="s">
        <v>4290</v>
      </c>
      <c r="E204" s="588"/>
      <c r="F204" s="183" t="s">
        <v>1302</v>
      </c>
      <c r="G204" s="182" t="s">
        <v>238</v>
      </c>
      <c r="H204" s="182" t="s">
        <v>5525</v>
      </c>
      <c r="I204" s="184" t="s">
        <v>1994</v>
      </c>
      <c r="J204" s="182" t="s">
        <v>5608</v>
      </c>
      <c r="K204" s="153" t="s">
        <v>5104</v>
      </c>
      <c r="L204" s="153" t="s">
        <v>5729</v>
      </c>
      <c r="M204" s="153" t="s">
        <v>5722</v>
      </c>
      <c r="N204" s="94" t="s">
        <v>213</v>
      </c>
      <c r="O204" s="185" t="s">
        <v>10</v>
      </c>
      <c r="P204" s="186"/>
      <c r="Q204" s="186">
        <v>924</v>
      </c>
      <c r="R204" s="187">
        <v>80000</v>
      </c>
      <c r="S204" s="186">
        <f t="shared" si="64"/>
        <v>73920000</v>
      </c>
      <c r="T204" s="589"/>
      <c r="U204" s="157">
        <v>80000</v>
      </c>
      <c r="V204" s="158">
        <f t="shared" si="59"/>
        <v>4</v>
      </c>
      <c r="W204" s="159">
        <f t="shared" si="65"/>
        <v>79996</v>
      </c>
      <c r="X204" s="159">
        <f t="shared" si="66"/>
        <v>73916304</v>
      </c>
      <c r="Y204" s="160"/>
      <c r="Z204" s="160">
        <f t="shared" si="67"/>
        <v>0</v>
      </c>
      <c r="AA204" s="161">
        <v>19992</v>
      </c>
      <c r="AB204" s="161">
        <f t="shared" si="68"/>
        <v>18472608</v>
      </c>
      <c r="AC204" s="162"/>
      <c r="AD204" s="162">
        <f t="shared" si="60"/>
        <v>0</v>
      </c>
      <c r="AE204" s="164"/>
      <c r="AF204" s="164">
        <f t="shared" si="61"/>
        <v>0</v>
      </c>
      <c r="AG204" s="165">
        <v>19992</v>
      </c>
      <c r="AH204" s="165">
        <f t="shared" si="62"/>
        <v>18472608</v>
      </c>
      <c r="AI204" s="166">
        <v>0</v>
      </c>
      <c r="AJ204" s="166">
        <f t="shared" si="63"/>
        <v>0</v>
      </c>
      <c r="AK204" s="162">
        <v>20160</v>
      </c>
      <c r="AL204" s="162">
        <f t="shared" si="69"/>
        <v>18627840</v>
      </c>
      <c r="AM204" s="167">
        <v>13440</v>
      </c>
      <c r="AN204" s="167">
        <f t="shared" si="70"/>
        <v>12418560</v>
      </c>
      <c r="AO204" s="163">
        <v>6412</v>
      </c>
      <c r="AP204" s="163">
        <f t="shared" si="71"/>
        <v>5924688</v>
      </c>
      <c r="AQ204" s="168"/>
      <c r="AR204" s="168">
        <f t="shared" si="72"/>
        <v>0</v>
      </c>
      <c r="AS204" s="170"/>
      <c r="AT204" s="170">
        <f t="shared" si="73"/>
        <v>0</v>
      </c>
      <c r="AU204" s="166"/>
      <c r="AV204" s="166">
        <f t="shared" si="74"/>
        <v>0</v>
      </c>
    </row>
    <row r="205" spans="1:48" s="115" customFormat="1" ht="31.5">
      <c r="A205" s="148" t="s">
        <v>7002</v>
      </c>
      <c r="B205" s="150" t="s">
        <v>5340</v>
      </c>
      <c r="C205" s="150" t="s">
        <v>5341</v>
      </c>
      <c r="D205" s="240" t="s">
        <v>3983</v>
      </c>
      <c r="E205" s="590" t="s">
        <v>12642</v>
      </c>
      <c r="F205" s="203" t="s">
        <v>560</v>
      </c>
      <c r="G205" s="204" t="s">
        <v>258</v>
      </c>
      <c r="H205" s="204">
        <v>3</v>
      </c>
      <c r="I205" s="203" t="s">
        <v>1944</v>
      </c>
      <c r="J205" s="205" t="s">
        <v>7003</v>
      </c>
      <c r="K205" s="203" t="s">
        <v>253</v>
      </c>
      <c r="L205" s="205" t="s">
        <v>1945</v>
      </c>
      <c r="M205" s="205" t="s">
        <v>1946</v>
      </c>
      <c r="N205" s="204" t="s">
        <v>213</v>
      </c>
      <c r="O205" s="204" t="s">
        <v>11</v>
      </c>
      <c r="P205" s="206">
        <v>1100</v>
      </c>
      <c r="Q205" s="206">
        <v>1092</v>
      </c>
      <c r="R205" s="207">
        <v>100000</v>
      </c>
      <c r="S205" s="207">
        <f t="shared" si="64"/>
        <v>109200000</v>
      </c>
      <c r="T205" s="589"/>
      <c r="U205" s="157">
        <v>100000</v>
      </c>
      <c r="V205" s="158">
        <f t="shared" si="59"/>
        <v>95600</v>
      </c>
      <c r="W205" s="159">
        <f t="shared" si="65"/>
        <v>4400</v>
      </c>
      <c r="X205" s="159">
        <f t="shared" si="66"/>
        <v>4804800</v>
      </c>
      <c r="Y205" s="160"/>
      <c r="Z205" s="160">
        <f t="shared" si="67"/>
        <v>0</v>
      </c>
      <c r="AA205" s="165">
        <v>1200</v>
      </c>
      <c r="AB205" s="161">
        <f t="shared" si="68"/>
        <v>1310400</v>
      </c>
      <c r="AC205" s="162"/>
      <c r="AD205" s="162">
        <f t="shared" si="60"/>
        <v>0</v>
      </c>
      <c r="AE205" s="164"/>
      <c r="AF205" s="164">
        <f t="shared" si="61"/>
        <v>0</v>
      </c>
      <c r="AG205" s="165"/>
      <c r="AH205" s="165">
        <f t="shared" si="62"/>
        <v>0</v>
      </c>
      <c r="AI205" s="166">
        <v>0</v>
      </c>
      <c r="AJ205" s="166">
        <f t="shared" si="63"/>
        <v>0</v>
      </c>
      <c r="AK205" s="162"/>
      <c r="AL205" s="162">
        <f t="shared" si="69"/>
        <v>0</v>
      </c>
      <c r="AM205" s="173">
        <v>3000</v>
      </c>
      <c r="AN205" s="167">
        <f t="shared" si="70"/>
        <v>3276000</v>
      </c>
      <c r="AO205" s="163"/>
      <c r="AP205" s="163">
        <f t="shared" si="71"/>
        <v>0</v>
      </c>
      <c r="AQ205" s="168"/>
      <c r="AR205" s="168">
        <f t="shared" si="72"/>
        <v>0</v>
      </c>
      <c r="AS205" s="170">
        <v>200</v>
      </c>
      <c r="AT205" s="170">
        <f t="shared" si="73"/>
        <v>218400</v>
      </c>
      <c r="AU205" s="166"/>
      <c r="AV205" s="166">
        <f t="shared" si="74"/>
        <v>0</v>
      </c>
    </row>
    <row r="206" spans="1:48" s="115" customFormat="1" ht="31.5">
      <c r="A206" s="148" t="s">
        <v>7086</v>
      </c>
      <c r="B206" s="150" t="s">
        <v>5340</v>
      </c>
      <c r="C206" s="150" t="s">
        <v>5341</v>
      </c>
      <c r="D206" s="240" t="s">
        <v>4996</v>
      </c>
      <c r="E206" s="590" t="s">
        <v>12642</v>
      </c>
      <c r="F206" s="203" t="s">
        <v>1514</v>
      </c>
      <c r="G206" s="204" t="s">
        <v>4999</v>
      </c>
      <c r="H206" s="204">
        <v>3</v>
      </c>
      <c r="I206" s="203" t="s">
        <v>4997</v>
      </c>
      <c r="J206" s="205" t="s">
        <v>7087</v>
      </c>
      <c r="K206" s="203" t="s">
        <v>5104</v>
      </c>
      <c r="L206" s="205" t="s">
        <v>7088</v>
      </c>
      <c r="M206" s="205" t="s">
        <v>1946</v>
      </c>
      <c r="N206" s="204" t="s">
        <v>213</v>
      </c>
      <c r="O206" s="204" t="s">
        <v>11</v>
      </c>
      <c r="P206" s="206">
        <v>1800</v>
      </c>
      <c r="Q206" s="206">
        <v>1785</v>
      </c>
      <c r="R206" s="207">
        <v>150000</v>
      </c>
      <c r="S206" s="207">
        <f t="shared" si="64"/>
        <v>267750000</v>
      </c>
      <c r="T206" s="589"/>
      <c r="U206" s="157">
        <v>150000</v>
      </c>
      <c r="V206" s="158">
        <f t="shared" si="59"/>
        <v>100896</v>
      </c>
      <c r="W206" s="159">
        <f t="shared" si="65"/>
        <v>49104</v>
      </c>
      <c r="X206" s="159">
        <f t="shared" si="66"/>
        <v>87650640</v>
      </c>
      <c r="Y206" s="160"/>
      <c r="Z206" s="160">
        <f t="shared" si="67"/>
        <v>0</v>
      </c>
      <c r="AA206" s="161">
        <v>2196</v>
      </c>
      <c r="AB206" s="161">
        <f t="shared" si="68"/>
        <v>3919860</v>
      </c>
      <c r="AC206" s="162"/>
      <c r="AD206" s="162">
        <f t="shared" si="60"/>
        <v>0</v>
      </c>
      <c r="AE206" s="164"/>
      <c r="AF206" s="164">
        <f t="shared" si="61"/>
        <v>0</v>
      </c>
      <c r="AG206" s="165">
        <v>2220</v>
      </c>
      <c r="AH206" s="165">
        <f t="shared" si="62"/>
        <v>3962700</v>
      </c>
      <c r="AI206" s="166">
        <v>0</v>
      </c>
      <c r="AJ206" s="166">
        <f t="shared" si="63"/>
        <v>0</v>
      </c>
      <c r="AK206" s="162">
        <v>9996</v>
      </c>
      <c r="AL206" s="162">
        <f t="shared" si="69"/>
        <v>17842860</v>
      </c>
      <c r="AM206" s="167">
        <v>31500</v>
      </c>
      <c r="AN206" s="167">
        <f t="shared" si="70"/>
        <v>56227500</v>
      </c>
      <c r="AO206" s="163"/>
      <c r="AP206" s="163">
        <f t="shared" si="71"/>
        <v>0</v>
      </c>
      <c r="AQ206" s="168"/>
      <c r="AR206" s="168">
        <f t="shared" si="72"/>
        <v>0</v>
      </c>
      <c r="AS206" s="170">
        <v>3192</v>
      </c>
      <c r="AT206" s="170">
        <f t="shared" si="73"/>
        <v>5697720</v>
      </c>
      <c r="AU206" s="166"/>
      <c r="AV206" s="166">
        <f t="shared" si="74"/>
        <v>0</v>
      </c>
    </row>
    <row r="207" spans="1:48" s="115" customFormat="1" ht="31.5">
      <c r="A207" s="148" t="s">
        <v>7089</v>
      </c>
      <c r="B207" s="150" t="s">
        <v>5340</v>
      </c>
      <c r="C207" s="150" t="s">
        <v>5341</v>
      </c>
      <c r="D207" s="240" t="s">
        <v>4986</v>
      </c>
      <c r="E207" s="590"/>
      <c r="F207" s="203" t="s">
        <v>1961</v>
      </c>
      <c r="G207" s="204" t="s">
        <v>1963</v>
      </c>
      <c r="H207" s="204">
        <v>3</v>
      </c>
      <c r="I207" s="203" t="s">
        <v>1962</v>
      </c>
      <c r="J207" s="205" t="s">
        <v>7090</v>
      </c>
      <c r="K207" s="203" t="s">
        <v>253</v>
      </c>
      <c r="L207" s="205" t="s">
        <v>1964</v>
      </c>
      <c r="M207" s="205" t="s">
        <v>1946</v>
      </c>
      <c r="N207" s="204" t="s">
        <v>213</v>
      </c>
      <c r="O207" s="204" t="s">
        <v>11</v>
      </c>
      <c r="P207" s="206">
        <v>1200</v>
      </c>
      <c r="Q207" s="206">
        <v>1197</v>
      </c>
      <c r="R207" s="207">
        <v>100000</v>
      </c>
      <c r="S207" s="207">
        <f t="shared" si="64"/>
        <v>119700000</v>
      </c>
      <c r="T207" s="589"/>
      <c r="U207" s="157">
        <v>100000</v>
      </c>
      <c r="V207" s="158">
        <f t="shared" si="59"/>
        <v>57520</v>
      </c>
      <c r="W207" s="159">
        <f t="shared" si="65"/>
        <v>42480</v>
      </c>
      <c r="X207" s="159">
        <f t="shared" si="66"/>
        <v>50848560</v>
      </c>
      <c r="Y207" s="160"/>
      <c r="Z207" s="160">
        <f t="shared" si="67"/>
        <v>0</v>
      </c>
      <c r="AA207" s="165"/>
      <c r="AB207" s="161">
        <f t="shared" si="68"/>
        <v>0</v>
      </c>
      <c r="AC207" s="162"/>
      <c r="AD207" s="162">
        <f t="shared" si="60"/>
        <v>0</v>
      </c>
      <c r="AE207" s="164"/>
      <c r="AF207" s="164">
        <f t="shared" si="61"/>
        <v>0</v>
      </c>
      <c r="AG207" s="165"/>
      <c r="AH207" s="165">
        <f t="shared" si="62"/>
        <v>0</v>
      </c>
      <c r="AI207" s="166">
        <v>0</v>
      </c>
      <c r="AJ207" s="166">
        <f t="shared" si="63"/>
        <v>0</v>
      </c>
      <c r="AK207" s="162">
        <v>6480</v>
      </c>
      <c r="AL207" s="162">
        <f t="shared" si="69"/>
        <v>7756560</v>
      </c>
      <c r="AM207" s="173">
        <v>18000</v>
      </c>
      <c r="AN207" s="167">
        <f t="shared" si="70"/>
        <v>21546000</v>
      </c>
      <c r="AO207" s="163"/>
      <c r="AP207" s="163">
        <f t="shared" si="71"/>
        <v>0</v>
      </c>
      <c r="AQ207" s="168"/>
      <c r="AR207" s="168">
        <f t="shared" si="72"/>
        <v>0</v>
      </c>
      <c r="AS207" s="170">
        <v>18000</v>
      </c>
      <c r="AT207" s="170">
        <f t="shared" si="73"/>
        <v>21546000</v>
      </c>
      <c r="AU207" s="166"/>
      <c r="AV207" s="166">
        <f t="shared" si="74"/>
        <v>0</v>
      </c>
    </row>
    <row r="208" spans="1:48" s="115" customFormat="1" ht="31.5">
      <c r="A208" s="148" t="s">
        <v>7175</v>
      </c>
      <c r="B208" s="150" t="s">
        <v>5340</v>
      </c>
      <c r="C208" s="150" t="s">
        <v>5341</v>
      </c>
      <c r="D208" s="240" t="s">
        <v>5038</v>
      </c>
      <c r="E208" s="590" t="s">
        <v>12643</v>
      </c>
      <c r="F208" s="203" t="s">
        <v>1636</v>
      </c>
      <c r="G208" s="204" t="s">
        <v>5026</v>
      </c>
      <c r="H208" s="204">
        <v>3</v>
      </c>
      <c r="I208" s="203" t="s">
        <v>5039</v>
      </c>
      <c r="J208" s="205" t="s">
        <v>7176</v>
      </c>
      <c r="K208" s="203" t="s">
        <v>253</v>
      </c>
      <c r="L208" s="205" t="s">
        <v>7177</v>
      </c>
      <c r="M208" s="205" t="s">
        <v>1946</v>
      </c>
      <c r="N208" s="204" t="s">
        <v>213</v>
      </c>
      <c r="O208" s="204" t="s">
        <v>11</v>
      </c>
      <c r="P208" s="206">
        <v>1850</v>
      </c>
      <c r="Q208" s="206">
        <v>1848</v>
      </c>
      <c r="R208" s="207">
        <v>100000</v>
      </c>
      <c r="S208" s="207">
        <f t="shared" si="64"/>
        <v>184800000</v>
      </c>
      <c r="T208" s="589"/>
      <c r="U208" s="157">
        <v>100000</v>
      </c>
      <c r="V208" s="158">
        <f t="shared" si="59"/>
        <v>70000</v>
      </c>
      <c r="W208" s="159">
        <f t="shared" si="65"/>
        <v>30000</v>
      </c>
      <c r="X208" s="159">
        <f t="shared" si="66"/>
        <v>55440000</v>
      </c>
      <c r="Y208" s="160">
        <v>10000</v>
      </c>
      <c r="Z208" s="160">
        <f t="shared" si="67"/>
        <v>18480000</v>
      </c>
      <c r="AA208" s="165"/>
      <c r="AB208" s="161">
        <f t="shared" si="68"/>
        <v>0</v>
      </c>
      <c r="AC208" s="162"/>
      <c r="AD208" s="162">
        <f t="shared" si="60"/>
        <v>0</v>
      </c>
      <c r="AE208" s="164"/>
      <c r="AF208" s="164">
        <f t="shared" si="61"/>
        <v>0</v>
      </c>
      <c r="AG208" s="165"/>
      <c r="AH208" s="165">
        <f t="shared" si="62"/>
        <v>0</v>
      </c>
      <c r="AI208" s="166">
        <v>0</v>
      </c>
      <c r="AJ208" s="166">
        <f t="shared" si="63"/>
        <v>0</v>
      </c>
      <c r="AK208" s="162"/>
      <c r="AL208" s="162">
        <f t="shared" si="69"/>
        <v>0</v>
      </c>
      <c r="AM208" s="173">
        <v>20000</v>
      </c>
      <c r="AN208" s="167">
        <f t="shared" si="70"/>
        <v>36960000</v>
      </c>
      <c r="AO208" s="163"/>
      <c r="AP208" s="163">
        <f t="shared" si="71"/>
        <v>0</v>
      </c>
      <c r="AQ208" s="168"/>
      <c r="AR208" s="168">
        <f t="shared" si="72"/>
        <v>0</v>
      </c>
      <c r="AS208" s="170"/>
      <c r="AT208" s="170">
        <f t="shared" si="73"/>
        <v>0</v>
      </c>
      <c r="AU208" s="166"/>
      <c r="AV208" s="166">
        <f t="shared" si="74"/>
        <v>0</v>
      </c>
    </row>
    <row r="209" spans="1:48" s="115" customFormat="1" ht="31.5">
      <c r="A209" s="148" t="s">
        <v>7496</v>
      </c>
      <c r="B209" s="150" t="s">
        <v>5340</v>
      </c>
      <c r="C209" s="150" t="s">
        <v>5341</v>
      </c>
      <c r="D209" s="240" t="s">
        <v>7497</v>
      </c>
      <c r="E209" s="590"/>
      <c r="F209" s="203" t="s">
        <v>1970</v>
      </c>
      <c r="G209" s="204" t="s">
        <v>1972</v>
      </c>
      <c r="H209" s="204">
        <v>3</v>
      </c>
      <c r="I209" s="203" t="s">
        <v>1971</v>
      </c>
      <c r="J209" s="205" t="s">
        <v>7498</v>
      </c>
      <c r="K209" s="203" t="s">
        <v>5104</v>
      </c>
      <c r="L209" s="205" t="s">
        <v>1973</v>
      </c>
      <c r="M209" s="205" t="s">
        <v>1953</v>
      </c>
      <c r="N209" s="204" t="s">
        <v>213</v>
      </c>
      <c r="O209" s="204" t="s">
        <v>11</v>
      </c>
      <c r="P209" s="206">
        <v>1950</v>
      </c>
      <c r="Q209" s="206">
        <v>1785</v>
      </c>
      <c r="R209" s="207">
        <v>20000</v>
      </c>
      <c r="S209" s="207">
        <f t="shared" si="64"/>
        <v>35700000</v>
      </c>
      <c r="T209" s="589"/>
      <c r="U209" s="157">
        <v>20000</v>
      </c>
      <c r="V209" s="158">
        <f t="shared" si="59"/>
        <v>20000</v>
      </c>
      <c r="W209" s="159">
        <f t="shared" si="65"/>
        <v>0</v>
      </c>
      <c r="X209" s="159">
        <f t="shared" si="66"/>
        <v>0</v>
      </c>
      <c r="Y209" s="160"/>
      <c r="Z209" s="160">
        <f t="shared" si="67"/>
        <v>0</v>
      </c>
      <c r="AA209" s="165"/>
      <c r="AB209" s="161">
        <f t="shared" si="68"/>
        <v>0</v>
      </c>
      <c r="AC209" s="162"/>
      <c r="AD209" s="162">
        <f t="shared" si="60"/>
        <v>0</v>
      </c>
      <c r="AE209" s="164"/>
      <c r="AF209" s="164">
        <f t="shared" si="61"/>
        <v>0</v>
      </c>
      <c r="AG209" s="165"/>
      <c r="AH209" s="165">
        <f t="shared" si="62"/>
        <v>0</v>
      </c>
      <c r="AI209" s="166">
        <v>0</v>
      </c>
      <c r="AJ209" s="166">
        <f t="shared" si="63"/>
        <v>0</v>
      </c>
      <c r="AK209" s="162"/>
      <c r="AL209" s="162">
        <f t="shared" si="69"/>
        <v>0</v>
      </c>
      <c r="AM209" s="173"/>
      <c r="AN209" s="167">
        <f t="shared" si="70"/>
        <v>0</v>
      </c>
      <c r="AO209" s="163"/>
      <c r="AP209" s="163">
        <f t="shared" si="71"/>
        <v>0</v>
      </c>
      <c r="AQ209" s="168"/>
      <c r="AR209" s="168">
        <f t="shared" si="72"/>
        <v>0</v>
      </c>
      <c r="AS209" s="170"/>
      <c r="AT209" s="170">
        <f t="shared" si="73"/>
        <v>0</v>
      </c>
      <c r="AU209" s="166"/>
      <c r="AV209" s="166">
        <f t="shared" si="74"/>
        <v>0</v>
      </c>
    </row>
    <row r="210" spans="1:48" ht="31.5">
      <c r="A210" s="172" t="s">
        <v>7597</v>
      </c>
      <c r="B210" s="150" t="s">
        <v>5340</v>
      </c>
      <c r="C210" s="150" t="s">
        <v>5341</v>
      </c>
      <c r="D210" s="240" t="s">
        <v>4203</v>
      </c>
      <c r="E210" s="590" t="s">
        <v>12643</v>
      </c>
      <c r="F210" s="203" t="s">
        <v>592</v>
      </c>
      <c r="G210" s="204" t="s">
        <v>594</v>
      </c>
      <c r="H210" s="204">
        <v>3</v>
      </c>
      <c r="I210" s="203" t="s">
        <v>4416</v>
      </c>
      <c r="J210" s="205" t="s">
        <v>7598</v>
      </c>
      <c r="K210" s="203" t="s">
        <v>5104</v>
      </c>
      <c r="L210" s="205" t="s">
        <v>7599</v>
      </c>
      <c r="M210" s="205" t="s">
        <v>1946</v>
      </c>
      <c r="N210" s="204" t="s">
        <v>213</v>
      </c>
      <c r="O210" s="204" t="s">
        <v>11</v>
      </c>
      <c r="P210" s="206">
        <v>800</v>
      </c>
      <c r="Q210" s="206">
        <v>357</v>
      </c>
      <c r="R210" s="207">
        <v>50000</v>
      </c>
      <c r="S210" s="207">
        <f t="shared" si="64"/>
        <v>17850000</v>
      </c>
      <c r="T210" s="589"/>
      <c r="U210" s="157">
        <v>50000</v>
      </c>
      <c r="V210" s="158">
        <f t="shared" si="59"/>
        <v>50</v>
      </c>
      <c r="W210" s="159">
        <f t="shared" si="65"/>
        <v>49950</v>
      </c>
      <c r="X210" s="159">
        <f t="shared" si="66"/>
        <v>17832150</v>
      </c>
      <c r="Y210" s="160">
        <v>19980</v>
      </c>
      <c r="Z210" s="160">
        <f t="shared" si="67"/>
        <v>7132860</v>
      </c>
      <c r="AA210" s="165"/>
      <c r="AB210" s="161">
        <f t="shared" si="68"/>
        <v>0</v>
      </c>
      <c r="AC210" s="162"/>
      <c r="AD210" s="162">
        <f t="shared" si="60"/>
        <v>0</v>
      </c>
      <c r="AE210" s="164"/>
      <c r="AF210" s="164">
        <f t="shared" si="61"/>
        <v>0</v>
      </c>
      <c r="AG210" s="165">
        <v>29970</v>
      </c>
      <c r="AH210" s="165">
        <f t="shared" si="62"/>
        <v>10699290</v>
      </c>
      <c r="AI210" s="166">
        <v>0</v>
      </c>
      <c r="AJ210" s="166">
        <f t="shared" si="63"/>
        <v>0</v>
      </c>
      <c r="AK210" s="162"/>
      <c r="AL210" s="162">
        <f t="shared" si="69"/>
        <v>0</v>
      </c>
      <c r="AM210" s="173"/>
      <c r="AN210" s="167">
        <f t="shared" si="70"/>
        <v>0</v>
      </c>
      <c r="AO210" s="163"/>
      <c r="AP210" s="163">
        <f t="shared" si="71"/>
        <v>0</v>
      </c>
      <c r="AQ210" s="168"/>
      <c r="AR210" s="168">
        <f t="shared" si="72"/>
        <v>0</v>
      </c>
      <c r="AS210" s="170"/>
      <c r="AT210" s="170">
        <f t="shared" si="73"/>
        <v>0</v>
      </c>
      <c r="AU210" s="166"/>
      <c r="AV210" s="166">
        <f t="shared" si="74"/>
        <v>0</v>
      </c>
    </row>
    <row r="211" spans="1:48" ht="31.5">
      <c r="A211" s="148" t="s">
        <v>7675</v>
      </c>
      <c r="B211" s="150" t="s">
        <v>5340</v>
      </c>
      <c r="C211" s="150" t="s">
        <v>5341</v>
      </c>
      <c r="D211" s="240" t="s">
        <v>3849</v>
      </c>
      <c r="E211" s="590" t="s">
        <v>12642</v>
      </c>
      <c r="F211" s="203" t="s">
        <v>1965</v>
      </c>
      <c r="G211" s="204" t="s">
        <v>1967</v>
      </c>
      <c r="H211" s="204">
        <v>3</v>
      </c>
      <c r="I211" s="203" t="s">
        <v>3850</v>
      </c>
      <c r="J211" s="205" t="s">
        <v>7498</v>
      </c>
      <c r="K211" s="203" t="s">
        <v>5104</v>
      </c>
      <c r="L211" s="205" t="s">
        <v>7676</v>
      </c>
      <c r="M211" s="205" t="s">
        <v>1946</v>
      </c>
      <c r="N211" s="204" t="s">
        <v>213</v>
      </c>
      <c r="O211" s="204" t="s">
        <v>11</v>
      </c>
      <c r="P211" s="206">
        <v>750</v>
      </c>
      <c r="Q211" s="206">
        <v>599</v>
      </c>
      <c r="R211" s="207">
        <v>60000</v>
      </c>
      <c r="S211" s="207">
        <f t="shared" si="64"/>
        <v>35940000</v>
      </c>
      <c r="T211" s="589"/>
      <c r="U211" s="157">
        <v>60000</v>
      </c>
      <c r="V211" s="158">
        <f t="shared" si="59"/>
        <v>50500</v>
      </c>
      <c r="W211" s="159">
        <f t="shared" si="65"/>
        <v>9500</v>
      </c>
      <c r="X211" s="159">
        <f t="shared" si="66"/>
        <v>5690500</v>
      </c>
      <c r="Y211" s="160"/>
      <c r="Z211" s="160">
        <f t="shared" si="67"/>
        <v>0</v>
      </c>
      <c r="AA211" s="165"/>
      <c r="AB211" s="161">
        <f t="shared" si="68"/>
        <v>0</v>
      </c>
      <c r="AC211" s="162"/>
      <c r="AD211" s="162">
        <f t="shared" si="60"/>
        <v>0</v>
      </c>
      <c r="AE211" s="164"/>
      <c r="AF211" s="164">
        <f t="shared" si="61"/>
        <v>0</v>
      </c>
      <c r="AG211" s="165"/>
      <c r="AH211" s="165">
        <f t="shared" si="62"/>
        <v>0</v>
      </c>
      <c r="AI211" s="166">
        <v>0</v>
      </c>
      <c r="AJ211" s="166">
        <f t="shared" si="63"/>
        <v>0</v>
      </c>
      <c r="AK211" s="162"/>
      <c r="AL211" s="162">
        <f t="shared" si="69"/>
        <v>0</v>
      </c>
      <c r="AM211" s="173">
        <v>4500</v>
      </c>
      <c r="AN211" s="167">
        <f t="shared" si="70"/>
        <v>2695500</v>
      </c>
      <c r="AO211" s="163"/>
      <c r="AP211" s="163">
        <f t="shared" si="71"/>
        <v>0</v>
      </c>
      <c r="AQ211" s="168"/>
      <c r="AR211" s="168">
        <f t="shared" si="72"/>
        <v>0</v>
      </c>
      <c r="AS211" s="170">
        <v>5000</v>
      </c>
      <c r="AT211" s="170">
        <f t="shared" si="73"/>
        <v>2995000</v>
      </c>
      <c r="AU211" s="166"/>
      <c r="AV211" s="166">
        <f t="shared" si="74"/>
        <v>0</v>
      </c>
    </row>
    <row r="212" spans="1:48" ht="31.5">
      <c r="A212" s="148" t="s">
        <v>7743</v>
      </c>
      <c r="B212" s="150" t="s">
        <v>5340</v>
      </c>
      <c r="C212" s="150" t="s">
        <v>5341</v>
      </c>
      <c r="D212" s="240" t="s">
        <v>7744</v>
      </c>
      <c r="E212" s="590"/>
      <c r="F212" s="203" t="s">
        <v>1245</v>
      </c>
      <c r="G212" s="204" t="s">
        <v>1246</v>
      </c>
      <c r="H212" s="204">
        <v>3</v>
      </c>
      <c r="I212" s="203" t="s">
        <v>1992</v>
      </c>
      <c r="J212" s="205" t="s">
        <v>7745</v>
      </c>
      <c r="K212" s="203" t="s">
        <v>5104</v>
      </c>
      <c r="L212" s="205" t="s">
        <v>1993</v>
      </c>
      <c r="M212" s="205" t="s">
        <v>1946</v>
      </c>
      <c r="N212" s="204" t="s">
        <v>213</v>
      </c>
      <c r="O212" s="204" t="s">
        <v>11</v>
      </c>
      <c r="P212" s="206">
        <v>2200</v>
      </c>
      <c r="Q212" s="206">
        <v>2184</v>
      </c>
      <c r="R212" s="207">
        <v>80000</v>
      </c>
      <c r="S212" s="207">
        <f t="shared" si="64"/>
        <v>174720000</v>
      </c>
      <c r="T212" s="589" t="s">
        <v>11</v>
      </c>
      <c r="U212" s="157">
        <v>80000</v>
      </c>
      <c r="V212" s="158">
        <f t="shared" si="59"/>
        <v>80000</v>
      </c>
      <c r="W212" s="159">
        <f t="shared" si="65"/>
        <v>0</v>
      </c>
      <c r="X212" s="159">
        <f t="shared" si="66"/>
        <v>0</v>
      </c>
      <c r="Y212" s="160"/>
      <c r="Z212" s="160">
        <f t="shared" si="67"/>
        <v>0</v>
      </c>
      <c r="AA212" s="165"/>
      <c r="AB212" s="161">
        <f t="shared" si="68"/>
        <v>0</v>
      </c>
      <c r="AC212" s="162"/>
      <c r="AD212" s="162">
        <f t="shared" si="60"/>
        <v>0</v>
      </c>
      <c r="AE212" s="164"/>
      <c r="AF212" s="164">
        <f t="shared" si="61"/>
        <v>0</v>
      </c>
      <c r="AG212" s="165"/>
      <c r="AH212" s="165">
        <f t="shared" si="62"/>
        <v>0</v>
      </c>
      <c r="AI212" s="166">
        <v>0</v>
      </c>
      <c r="AJ212" s="166">
        <f t="shared" si="63"/>
        <v>0</v>
      </c>
      <c r="AK212" s="162"/>
      <c r="AL212" s="162">
        <f t="shared" si="69"/>
        <v>0</v>
      </c>
      <c r="AM212" s="173"/>
      <c r="AN212" s="167">
        <f t="shared" si="70"/>
        <v>0</v>
      </c>
      <c r="AO212" s="163"/>
      <c r="AP212" s="163">
        <f t="shared" si="71"/>
        <v>0</v>
      </c>
      <c r="AQ212" s="168"/>
      <c r="AR212" s="168">
        <f t="shared" si="72"/>
        <v>0</v>
      </c>
      <c r="AS212" s="170"/>
      <c r="AT212" s="170">
        <f t="shared" si="73"/>
        <v>0</v>
      </c>
      <c r="AU212" s="166"/>
      <c r="AV212" s="166">
        <f t="shared" si="74"/>
        <v>0</v>
      </c>
    </row>
    <row r="213" spans="1:48" ht="31.5">
      <c r="A213" s="148" t="s">
        <v>7776</v>
      </c>
      <c r="B213" s="150" t="s">
        <v>5340</v>
      </c>
      <c r="C213" s="150" t="s">
        <v>5341</v>
      </c>
      <c r="D213" s="240" t="s">
        <v>4101</v>
      </c>
      <c r="E213" s="590"/>
      <c r="F213" s="203" t="s">
        <v>376</v>
      </c>
      <c r="G213" s="204" t="s">
        <v>4103</v>
      </c>
      <c r="H213" s="204">
        <v>3</v>
      </c>
      <c r="I213" s="203" t="s">
        <v>4102</v>
      </c>
      <c r="J213" s="205" t="s">
        <v>7777</v>
      </c>
      <c r="K213" s="203" t="s">
        <v>5104</v>
      </c>
      <c r="L213" s="205" t="s">
        <v>7778</v>
      </c>
      <c r="M213" s="205" t="s">
        <v>1946</v>
      </c>
      <c r="N213" s="204" t="s">
        <v>213</v>
      </c>
      <c r="O213" s="204" t="s">
        <v>11</v>
      </c>
      <c r="P213" s="206">
        <v>3160</v>
      </c>
      <c r="Q213" s="206">
        <v>3150</v>
      </c>
      <c r="R213" s="207">
        <v>50000</v>
      </c>
      <c r="S213" s="207">
        <f t="shared" si="64"/>
        <v>157500000</v>
      </c>
      <c r="T213" s="589"/>
      <c r="U213" s="157">
        <v>50000</v>
      </c>
      <c r="V213" s="158">
        <f t="shared" si="59"/>
        <v>39020</v>
      </c>
      <c r="W213" s="159">
        <f t="shared" si="65"/>
        <v>10980</v>
      </c>
      <c r="X213" s="159">
        <f t="shared" si="66"/>
        <v>34587000</v>
      </c>
      <c r="Y213" s="160"/>
      <c r="Z213" s="160">
        <f t="shared" si="67"/>
        <v>0</v>
      </c>
      <c r="AA213" s="165"/>
      <c r="AB213" s="161">
        <f t="shared" si="68"/>
        <v>0</v>
      </c>
      <c r="AC213" s="162"/>
      <c r="AD213" s="162">
        <f t="shared" si="60"/>
        <v>0</v>
      </c>
      <c r="AE213" s="164"/>
      <c r="AF213" s="164">
        <f t="shared" si="61"/>
        <v>0</v>
      </c>
      <c r="AG213" s="165">
        <v>4980</v>
      </c>
      <c r="AH213" s="165">
        <f t="shared" si="62"/>
        <v>15687000</v>
      </c>
      <c r="AI213" s="166">
        <v>0</v>
      </c>
      <c r="AJ213" s="166">
        <f t="shared" si="63"/>
        <v>0</v>
      </c>
      <c r="AK213" s="162">
        <v>3000</v>
      </c>
      <c r="AL213" s="162">
        <f t="shared" si="69"/>
        <v>9450000</v>
      </c>
      <c r="AM213" s="173">
        <v>3000</v>
      </c>
      <c r="AN213" s="167">
        <f t="shared" si="70"/>
        <v>9450000</v>
      </c>
      <c r="AO213" s="163"/>
      <c r="AP213" s="163">
        <f t="shared" si="71"/>
        <v>0</v>
      </c>
      <c r="AQ213" s="168"/>
      <c r="AR213" s="168">
        <f t="shared" si="72"/>
        <v>0</v>
      </c>
      <c r="AS213" s="170"/>
      <c r="AT213" s="170">
        <f t="shared" si="73"/>
        <v>0</v>
      </c>
      <c r="AU213" s="166"/>
      <c r="AV213" s="166">
        <f t="shared" si="74"/>
        <v>0</v>
      </c>
    </row>
    <row r="214" spans="1:48" ht="31.5">
      <c r="A214" s="172" t="s">
        <v>7877</v>
      </c>
      <c r="B214" s="150" t="s">
        <v>5340</v>
      </c>
      <c r="C214" s="150" t="s">
        <v>5341</v>
      </c>
      <c r="D214" s="240" t="s">
        <v>4045</v>
      </c>
      <c r="E214" s="590" t="s">
        <v>12642</v>
      </c>
      <c r="F214" s="203" t="s">
        <v>1982</v>
      </c>
      <c r="G214" s="204" t="s">
        <v>1984</v>
      </c>
      <c r="H214" s="204">
        <v>3</v>
      </c>
      <c r="I214" s="203" t="s">
        <v>1983</v>
      </c>
      <c r="J214" s="205" t="s">
        <v>7878</v>
      </c>
      <c r="K214" s="203" t="s">
        <v>5104</v>
      </c>
      <c r="L214" s="205" t="s">
        <v>7879</v>
      </c>
      <c r="M214" s="205" t="s">
        <v>1953</v>
      </c>
      <c r="N214" s="204" t="s">
        <v>213</v>
      </c>
      <c r="O214" s="204" t="s">
        <v>13</v>
      </c>
      <c r="P214" s="206">
        <v>2880</v>
      </c>
      <c r="Q214" s="206">
        <v>2394</v>
      </c>
      <c r="R214" s="207">
        <v>60000</v>
      </c>
      <c r="S214" s="207">
        <f t="shared" si="64"/>
        <v>143640000</v>
      </c>
      <c r="T214" s="589"/>
      <c r="U214" s="157">
        <v>60000</v>
      </c>
      <c r="V214" s="158">
        <f t="shared" si="59"/>
        <v>60000</v>
      </c>
      <c r="W214" s="159">
        <f t="shared" si="65"/>
        <v>0</v>
      </c>
      <c r="X214" s="159">
        <f t="shared" si="66"/>
        <v>0</v>
      </c>
      <c r="Y214" s="160"/>
      <c r="Z214" s="160">
        <f t="shared" si="67"/>
        <v>0</v>
      </c>
      <c r="AA214" s="165"/>
      <c r="AB214" s="161">
        <f t="shared" si="68"/>
        <v>0</v>
      </c>
      <c r="AC214" s="162"/>
      <c r="AD214" s="162">
        <f t="shared" si="60"/>
        <v>0</v>
      </c>
      <c r="AE214" s="164"/>
      <c r="AF214" s="164">
        <f t="shared" si="61"/>
        <v>0</v>
      </c>
      <c r="AG214" s="165"/>
      <c r="AH214" s="165">
        <f t="shared" si="62"/>
        <v>0</v>
      </c>
      <c r="AI214" s="166">
        <v>0</v>
      </c>
      <c r="AJ214" s="166">
        <f t="shared" si="63"/>
        <v>0</v>
      </c>
      <c r="AK214" s="162"/>
      <c r="AL214" s="162">
        <f t="shared" si="69"/>
        <v>0</v>
      </c>
      <c r="AM214" s="173"/>
      <c r="AN214" s="167">
        <f t="shared" si="70"/>
        <v>0</v>
      </c>
      <c r="AO214" s="163"/>
      <c r="AP214" s="163">
        <f t="shared" si="71"/>
        <v>0</v>
      </c>
      <c r="AQ214" s="168"/>
      <c r="AR214" s="168">
        <f t="shared" si="72"/>
        <v>0</v>
      </c>
      <c r="AS214" s="170"/>
      <c r="AT214" s="170">
        <f t="shared" si="73"/>
        <v>0</v>
      </c>
      <c r="AU214" s="166"/>
      <c r="AV214" s="166">
        <f t="shared" si="74"/>
        <v>0</v>
      </c>
    </row>
    <row r="215" spans="1:48" ht="31.5">
      <c r="A215" s="148" t="s">
        <v>7885</v>
      </c>
      <c r="B215" s="150" t="s">
        <v>5340</v>
      </c>
      <c r="C215" s="150" t="s">
        <v>5341</v>
      </c>
      <c r="D215" s="240" t="s">
        <v>7886</v>
      </c>
      <c r="E215" s="590" t="s">
        <v>12642</v>
      </c>
      <c r="F215" s="203" t="s">
        <v>736</v>
      </c>
      <c r="G215" s="204" t="s">
        <v>7887</v>
      </c>
      <c r="H215" s="204">
        <v>3</v>
      </c>
      <c r="I215" s="203" t="s">
        <v>7888</v>
      </c>
      <c r="J215" s="205" t="s">
        <v>7889</v>
      </c>
      <c r="K215" s="203" t="s">
        <v>5104</v>
      </c>
      <c r="L215" s="205" t="s">
        <v>7890</v>
      </c>
      <c r="M215" s="205" t="s">
        <v>1953</v>
      </c>
      <c r="N215" s="204" t="s">
        <v>213</v>
      </c>
      <c r="O215" s="204" t="s">
        <v>1258</v>
      </c>
      <c r="P215" s="206">
        <v>3500</v>
      </c>
      <c r="Q215" s="206">
        <v>3486</v>
      </c>
      <c r="R215" s="207">
        <v>60000</v>
      </c>
      <c r="S215" s="207">
        <f t="shared" si="64"/>
        <v>209160000</v>
      </c>
      <c r="T215" s="589"/>
      <c r="U215" s="157">
        <v>60000</v>
      </c>
      <c r="V215" s="158">
        <f t="shared" si="59"/>
        <v>60000</v>
      </c>
      <c r="W215" s="159">
        <f t="shared" si="65"/>
        <v>0</v>
      </c>
      <c r="X215" s="159">
        <f t="shared" si="66"/>
        <v>0</v>
      </c>
      <c r="Y215" s="160"/>
      <c r="Z215" s="160">
        <f t="shared" si="67"/>
        <v>0</v>
      </c>
      <c r="AA215" s="165"/>
      <c r="AB215" s="161">
        <f t="shared" si="68"/>
        <v>0</v>
      </c>
      <c r="AC215" s="162"/>
      <c r="AD215" s="162">
        <f t="shared" si="60"/>
        <v>0</v>
      </c>
      <c r="AE215" s="164"/>
      <c r="AF215" s="164">
        <f t="shared" si="61"/>
        <v>0</v>
      </c>
      <c r="AG215" s="165"/>
      <c r="AH215" s="165">
        <f t="shared" si="62"/>
        <v>0</v>
      </c>
      <c r="AI215" s="166">
        <v>0</v>
      </c>
      <c r="AJ215" s="166">
        <f t="shared" si="63"/>
        <v>0</v>
      </c>
      <c r="AK215" s="162"/>
      <c r="AL215" s="162">
        <f t="shared" si="69"/>
        <v>0</v>
      </c>
      <c r="AM215" s="173"/>
      <c r="AN215" s="167">
        <f t="shared" si="70"/>
        <v>0</v>
      </c>
      <c r="AO215" s="163"/>
      <c r="AP215" s="163">
        <f t="shared" si="71"/>
        <v>0</v>
      </c>
      <c r="AQ215" s="168"/>
      <c r="AR215" s="168">
        <f t="shared" si="72"/>
        <v>0</v>
      </c>
      <c r="AS215" s="170"/>
      <c r="AT215" s="170">
        <f t="shared" si="73"/>
        <v>0</v>
      </c>
      <c r="AU215" s="166"/>
      <c r="AV215" s="166">
        <f t="shared" si="74"/>
        <v>0</v>
      </c>
    </row>
    <row r="216" spans="1:48" ht="31.5">
      <c r="A216" s="148" t="s">
        <v>7944</v>
      </c>
      <c r="B216" s="150" t="s">
        <v>5340</v>
      </c>
      <c r="C216" s="150" t="s">
        <v>5341</v>
      </c>
      <c r="D216" s="240" t="s">
        <v>4351</v>
      </c>
      <c r="E216" s="590" t="s">
        <v>12643</v>
      </c>
      <c r="F216" s="203" t="s">
        <v>638</v>
      </c>
      <c r="G216" s="204" t="s">
        <v>429</v>
      </c>
      <c r="H216" s="204">
        <v>3</v>
      </c>
      <c r="I216" s="203" t="s">
        <v>7945</v>
      </c>
      <c r="J216" s="205" t="s">
        <v>7946</v>
      </c>
      <c r="K216" s="203" t="s">
        <v>5104</v>
      </c>
      <c r="L216" s="205" t="s">
        <v>1998</v>
      </c>
      <c r="M216" s="205" t="s">
        <v>1946</v>
      </c>
      <c r="N216" s="204" t="s">
        <v>213</v>
      </c>
      <c r="O216" s="204" t="s">
        <v>13</v>
      </c>
      <c r="P216" s="206">
        <v>2100</v>
      </c>
      <c r="Q216" s="206">
        <v>1533</v>
      </c>
      <c r="R216" s="207">
        <v>10000</v>
      </c>
      <c r="S216" s="207">
        <f t="shared" si="64"/>
        <v>15330000</v>
      </c>
      <c r="T216" s="589"/>
      <c r="U216" s="157">
        <v>10000</v>
      </c>
      <c r="V216" s="158">
        <f t="shared" si="59"/>
        <v>9520</v>
      </c>
      <c r="W216" s="159">
        <f t="shared" si="65"/>
        <v>480</v>
      </c>
      <c r="X216" s="159">
        <f t="shared" si="66"/>
        <v>735840</v>
      </c>
      <c r="Y216" s="160"/>
      <c r="Z216" s="160">
        <f t="shared" si="67"/>
        <v>0</v>
      </c>
      <c r="AA216" s="165"/>
      <c r="AB216" s="161">
        <f t="shared" si="68"/>
        <v>0</v>
      </c>
      <c r="AC216" s="162"/>
      <c r="AD216" s="162">
        <f t="shared" si="60"/>
        <v>0</v>
      </c>
      <c r="AE216" s="164"/>
      <c r="AF216" s="164">
        <f t="shared" si="61"/>
        <v>0</v>
      </c>
      <c r="AG216" s="165"/>
      <c r="AH216" s="165">
        <f t="shared" si="62"/>
        <v>0</v>
      </c>
      <c r="AI216" s="166">
        <v>0</v>
      </c>
      <c r="AJ216" s="166">
        <f t="shared" si="63"/>
        <v>0</v>
      </c>
      <c r="AK216" s="162"/>
      <c r="AL216" s="162">
        <f t="shared" si="69"/>
        <v>0</v>
      </c>
      <c r="AM216" s="173"/>
      <c r="AN216" s="167">
        <f t="shared" si="70"/>
        <v>0</v>
      </c>
      <c r="AO216" s="163"/>
      <c r="AP216" s="163">
        <f t="shared" si="71"/>
        <v>0</v>
      </c>
      <c r="AQ216" s="168"/>
      <c r="AR216" s="168">
        <f t="shared" si="72"/>
        <v>0</v>
      </c>
      <c r="AS216" s="170">
        <v>480</v>
      </c>
      <c r="AT216" s="170">
        <f t="shared" si="73"/>
        <v>735840</v>
      </c>
      <c r="AU216" s="166"/>
      <c r="AV216" s="166">
        <f t="shared" si="74"/>
        <v>0</v>
      </c>
    </row>
    <row r="217" spans="1:48" ht="31.5">
      <c r="A217" s="148" t="s">
        <v>8032</v>
      </c>
      <c r="B217" s="150" t="s">
        <v>5340</v>
      </c>
      <c r="C217" s="150" t="s">
        <v>5341</v>
      </c>
      <c r="D217" s="240" t="s">
        <v>3792</v>
      </c>
      <c r="E217" s="590" t="s">
        <v>12642</v>
      </c>
      <c r="F217" s="203" t="s">
        <v>3793</v>
      </c>
      <c r="G217" s="204" t="s">
        <v>4159</v>
      </c>
      <c r="H217" s="204">
        <v>3</v>
      </c>
      <c r="I217" s="203" t="s">
        <v>4158</v>
      </c>
      <c r="J217" s="205" t="s">
        <v>8033</v>
      </c>
      <c r="K217" s="203" t="s">
        <v>253</v>
      </c>
      <c r="L217" s="205" t="s">
        <v>8034</v>
      </c>
      <c r="M217" s="205" t="s">
        <v>1953</v>
      </c>
      <c r="N217" s="204" t="s">
        <v>213</v>
      </c>
      <c r="O217" s="204" t="s">
        <v>13</v>
      </c>
      <c r="P217" s="206">
        <v>1950</v>
      </c>
      <c r="Q217" s="206">
        <v>1932</v>
      </c>
      <c r="R217" s="207">
        <v>50000</v>
      </c>
      <c r="S217" s="207">
        <f t="shared" si="64"/>
        <v>96600000</v>
      </c>
      <c r="T217" s="589"/>
      <c r="U217" s="157">
        <v>50000</v>
      </c>
      <c r="V217" s="158">
        <f t="shared" si="59"/>
        <v>24380</v>
      </c>
      <c r="W217" s="159">
        <f t="shared" si="65"/>
        <v>25620</v>
      </c>
      <c r="X217" s="159">
        <f t="shared" si="66"/>
        <v>49497840</v>
      </c>
      <c r="Y217" s="160"/>
      <c r="Z217" s="160">
        <f t="shared" si="67"/>
        <v>0</v>
      </c>
      <c r="AA217" s="165">
        <v>600</v>
      </c>
      <c r="AB217" s="161">
        <f t="shared" si="68"/>
        <v>1159200</v>
      </c>
      <c r="AC217" s="162"/>
      <c r="AD217" s="162">
        <f t="shared" si="60"/>
        <v>0</v>
      </c>
      <c r="AE217" s="164"/>
      <c r="AF217" s="164">
        <f t="shared" si="61"/>
        <v>0</v>
      </c>
      <c r="AG217" s="165">
        <v>8100</v>
      </c>
      <c r="AH217" s="165">
        <f t="shared" si="62"/>
        <v>15649200</v>
      </c>
      <c r="AI217" s="166">
        <v>0</v>
      </c>
      <c r="AJ217" s="166">
        <f t="shared" si="63"/>
        <v>0</v>
      </c>
      <c r="AK217" s="162"/>
      <c r="AL217" s="162">
        <f t="shared" si="69"/>
        <v>0</v>
      </c>
      <c r="AM217" s="173"/>
      <c r="AN217" s="167">
        <f t="shared" si="70"/>
        <v>0</v>
      </c>
      <c r="AO217" s="163">
        <v>3000</v>
      </c>
      <c r="AP217" s="163">
        <f t="shared" si="71"/>
        <v>5796000</v>
      </c>
      <c r="AQ217" s="168"/>
      <c r="AR217" s="168">
        <f t="shared" si="72"/>
        <v>0</v>
      </c>
      <c r="AS217" s="170">
        <v>13920</v>
      </c>
      <c r="AT217" s="170">
        <f t="shared" si="73"/>
        <v>26893440</v>
      </c>
      <c r="AU217" s="166"/>
      <c r="AV217" s="166">
        <f t="shared" si="74"/>
        <v>0</v>
      </c>
    </row>
    <row r="218" spans="1:48" ht="31.5">
      <c r="A218" s="148" t="s">
        <v>8112</v>
      </c>
      <c r="B218" s="150" t="s">
        <v>5340</v>
      </c>
      <c r="C218" s="150" t="s">
        <v>5341</v>
      </c>
      <c r="D218" s="240" t="s">
        <v>3885</v>
      </c>
      <c r="E218" s="590" t="s">
        <v>12642</v>
      </c>
      <c r="F218" s="203" t="s">
        <v>1976</v>
      </c>
      <c r="G218" s="204" t="s">
        <v>1978</v>
      </c>
      <c r="H218" s="204">
        <v>3</v>
      </c>
      <c r="I218" s="203" t="s">
        <v>1977</v>
      </c>
      <c r="J218" s="205" t="s">
        <v>8113</v>
      </c>
      <c r="K218" s="203" t="s">
        <v>5104</v>
      </c>
      <c r="L218" s="205" t="s">
        <v>8114</v>
      </c>
      <c r="M218" s="205" t="s">
        <v>1946</v>
      </c>
      <c r="N218" s="204" t="s">
        <v>213</v>
      </c>
      <c r="O218" s="204" t="s">
        <v>11</v>
      </c>
      <c r="P218" s="206">
        <v>2500</v>
      </c>
      <c r="Q218" s="206">
        <v>2499</v>
      </c>
      <c r="R218" s="207">
        <v>150000</v>
      </c>
      <c r="S218" s="207">
        <f t="shared" si="64"/>
        <v>374850000</v>
      </c>
      <c r="T218" s="589"/>
      <c r="U218" s="157">
        <v>150000</v>
      </c>
      <c r="V218" s="158">
        <f t="shared" si="59"/>
        <v>0</v>
      </c>
      <c r="W218" s="159">
        <f t="shared" si="65"/>
        <v>150000</v>
      </c>
      <c r="X218" s="159">
        <f t="shared" si="66"/>
        <v>374850000</v>
      </c>
      <c r="Y218" s="160">
        <v>30000</v>
      </c>
      <c r="Z218" s="160">
        <f t="shared" si="67"/>
        <v>74970000</v>
      </c>
      <c r="AA218" s="165"/>
      <c r="AB218" s="161">
        <f t="shared" si="68"/>
        <v>0</v>
      </c>
      <c r="AC218" s="162"/>
      <c r="AD218" s="162">
        <f t="shared" si="60"/>
        <v>0</v>
      </c>
      <c r="AE218" s="164"/>
      <c r="AF218" s="164">
        <f t="shared" si="61"/>
        <v>0</v>
      </c>
      <c r="AG218" s="165">
        <v>30000</v>
      </c>
      <c r="AH218" s="165">
        <f t="shared" si="62"/>
        <v>74970000</v>
      </c>
      <c r="AI218" s="166">
        <v>0</v>
      </c>
      <c r="AJ218" s="166">
        <f t="shared" si="63"/>
        <v>0</v>
      </c>
      <c r="AK218" s="162">
        <v>12000</v>
      </c>
      <c r="AL218" s="162">
        <f t="shared" si="69"/>
        <v>29988000</v>
      </c>
      <c r="AM218" s="173">
        <v>6000</v>
      </c>
      <c r="AN218" s="167">
        <f t="shared" si="70"/>
        <v>14994000</v>
      </c>
      <c r="AO218" s="163"/>
      <c r="AP218" s="163">
        <f t="shared" si="71"/>
        <v>0</v>
      </c>
      <c r="AQ218" s="168">
        <v>30000</v>
      </c>
      <c r="AR218" s="168">
        <f t="shared" si="72"/>
        <v>74970000</v>
      </c>
      <c r="AS218" s="170">
        <v>42000</v>
      </c>
      <c r="AT218" s="170">
        <f t="shared" si="73"/>
        <v>104958000</v>
      </c>
      <c r="AU218" s="166"/>
      <c r="AV218" s="166">
        <f t="shared" si="74"/>
        <v>0</v>
      </c>
    </row>
    <row r="219" spans="1:48" ht="31.5">
      <c r="A219" s="172" t="s">
        <v>8265</v>
      </c>
      <c r="B219" s="150" t="s">
        <v>5340</v>
      </c>
      <c r="C219" s="150" t="s">
        <v>5341</v>
      </c>
      <c r="D219" s="240" t="s">
        <v>4582</v>
      </c>
      <c r="E219" s="590"/>
      <c r="F219" s="203" t="s">
        <v>337</v>
      </c>
      <c r="G219" s="204" t="s">
        <v>1200</v>
      </c>
      <c r="H219" s="204">
        <v>4</v>
      </c>
      <c r="I219" s="203" t="s">
        <v>1947</v>
      </c>
      <c r="J219" s="205" t="s">
        <v>8266</v>
      </c>
      <c r="K219" s="203" t="s">
        <v>5104</v>
      </c>
      <c r="L219" s="205" t="s">
        <v>1949</v>
      </c>
      <c r="M219" s="205" t="s">
        <v>1946</v>
      </c>
      <c r="N219" s="204" t="s">
        <v>213</v>
      </c>
      <c r="O219" s="204" t="s">
        <v>13</v>
      </c>
      <c r="P219" s="206">
        <v>2700</v>
      </c>
      <c r="Q219" s="206">
        <v>2499</v>
      </c>
      <c r="R219" s="207">
        <v>20000</v>
      </c>
      <c r="S219" s="207">
        <f t="shared" si="64"/>
        <v>49980000</v>
      </c>
      <c r="T219" s="589"/>
      <c r="U219" s="157">
        <v>20000</v>
      </c>
      <c r="V219" s="158">
        <f t="shared" si="59"/>
        <v>14300</v>
      </c>
      <c r="W219" s="159">
        <f t="shared" si="65"/>
        <v>5700</v>
      </c>
      <c r="X219" s="159">
        <f t="shared" si="66"/>
        <v>14244300</v>
      </c>
      <c r="Y219" s="160"/>
      <c r="Z219" s="160">
        <f t="shared" si="67"/>
        <v>0</v>
      </c>
      <c r="AA219" s="161"/>
      <c r="AB219" s="161">
        <f t="shared" si="68"/>
        <v>0</v>
      </c>
      <c r="AC219" s="162"/>
      <c r="AD219" s="162">
        <f t="shared" si="60"/>
        <v>0</v>
      </c>
      <c r="AE219" s="164"/>
      <c r="AF219" s="164">
        <f t="shared" si="61"/>
        <v>0</v>
      </c>
      <c r="AG219" s="165">
        <v>1200</v>
      </c>
      <c r="AH219" s="165">
        <f t="shared" si="62"/>
        <v>2998800</v>
      </c>
      <c r="AI219" s="166">
        <v>0</v>
      </c>
      <c r="AJ219" s="166">
        <f t="shared" si="63"/>
        <v>0</v>
      </c>
      <c r="AK219" s="162"/>
      <c r="AL219" s="162">
        <f t="shared" si="69"/>
        <v>0</v>
      </c>
      <c r="AM219" s="167">
        <v>3000</v>
      </c>
      <c r="AN219" s="167">
        <f t="shared" si="70"/>
        <v>7497000</v>
      </c>
      <c r="AO219" s="163"/>
      <c r="AP219" s="163">
        <f t="shared" si="71"/>
        <v>0</v>
      </c>
      <c r="AQ219" s="168">
        <v>1500</v>
      </c>
      <c r="AR219" s="168">
        <f t="shared" si="72"/>
        <v>3748500</v>
      </c>
      <c r="AS219" s="170"/>
      <c r="AT219" s="170">
        <f t="shared" si="73"/>
        <v>0</v>
      </c>
      <c r="AU219" s="166"/>
      <c r="AV219" s="166">
        <f t="shared" si="74"/>
        <v>0</v>
      </c>
    </row>
    <row r="220" spans="1:48" ht="31.5">
      <c r="A220" s="148" t="s">
        <v>8280</v>
      </c>
      <c r="B220" s="150" t="s">
        <v>5340</v>
      </c>
      <c r="C220" s="150" t="s">
        <v>5341</v>
      </c>
      <c r="D220" s="240" t="s">
        <v>8281</v>
      </c>
      <c r="E220" s="590"/>
      <c r="F220" s="203" t="s">
        <v>4017</v>
      </c>
      <c r="G220" s="204" t="s">
        <v>327</v>
      </c>
      <c r="H220" s="204">
        <v>4</v>
      </c>
      <c r="I220" s="203" t="s">
        <v>8282</v>
      </c>
      <c r="J220" s="205" t="s">
        <v>8283</v>
      </c>
      <c r="K220" s="203" t="s">
        <v>5104</v>
      </c>
      <c r="L220" s="205" t="s">
        <v>8284</v>
      </c>
      <c r="M220" s="205" t="s">
        <v>1953</v>
      </c>
      <c r="N220" s="204" t="s">
        <v>213</v>
      </c>
      <c r="O220" s="204" t="s">
        <v>11</v>
      </c>
      <c r="P220" s="206">
        <v>3500</v>
      </c>
      <c r="Q220" s="206">
        <v>2184</v>
      </c>
      <c r="R220" s="207">
        <v>40000</v>
      </c>
      <c r="S220" s="207">
        <f t="shared" si="64"/>
        <v>87360000</v>
      </c>
      <c r="T220" s="589" t="s">
        <v>11</v>
      </c>
      <c r="U220" s="157">
        <v>40000</v>
      </c>
      <c r="V220" s="158">
        <f t="shared" si="59"/>
        <v>40000</v>
      </c>
      <c r="W220" s="159">
        <f t="shared" si="65"/>
        <v>0</v>
      </c>
      <c r="X220" s="159">
        <f t="shared" si="66"/>
        <v>0</v>
      </c>
      <c r="Y220" s="160"/>
      <c r="Z220" s="160">
        <f t="shared" si="67"/>
        <v>0</v>
      </c>
      <c r="AA220" s="165"/>
      <c r="AB220" s="161">
        <f t="shared" si="68"/>
        <v>0</v>
      </c>
      <c r="AC220" s="162"/>
      <c r="AD220" s="162">
        <f t="shared" si="60"/>
        <v>0</v>
      </c>
      <c r="AE220" s="164"/>
      <c r="AF220" s="164">
        <f t="shared" si="61"/>
        <v>0</v>
      </c>
      <c r="AG220" s="165"/>
      <c r="AH220" s="165">
        <f t="shared" si="62"/>
        <v>0</v>
      </c>
      <c r="AI220" s="166">
        <v>0</v>
      </c>
      <c r="AJ220" s="166">
        <f t="shared" si="63"/>
        <v>0</v>
      </c>
      <c r="AK220" s="162"/>
      <c r="AL220" s="162">
        <f t="shared" si="69"/>
        <v>0</v>
      </c>
      <c r="AM220" s="173"/>
      <c r="AN220" s="167">
        <f t="shared" si="70"/>
        <v>0</v>
      </c>
      <c r="AO220" s="163"/>
      <c r="AP220" s="163">
        <f t="shared" si="71"/>
        <v>0</v>
      </c>
      <c r="AQ220" s="168"/>
      <c r="AR220" s="168">
        <f t="shared" si="72"/>
        <v>0</v>
      </c>
      <c r="AS220" s="170"/>
      <c r="AT220" s="170">
        <f t="shared" si="73"/>
        <v>0</v>
      </c>
      <c r="AU220" s="166"/>
      <c r="AV220" s="166">
        <f t="shared" si="74"/>
        <v>0</v>
      </c>
    </row>
    <row r="221" spans="1:48" ht="31.5">
      <c r="A221" s="172" t="s">
        <v>8419</v>
      </c>
      <c r="B221" s="150" t="s">
        <v>5340</v>
      </c>
      <c r="C221" s="150" t="s">
        <v>5341</v>
      </c>
      <c r="D221" s="240" t="s">
        <v>8420</v>
      </c>
      <c r="E221" s="590"/>
      <c r="F221" s="203" t="s">
        <v>1970</v>
      </c>
      <c r="G221" s="204" t="s">
        <v>1972</v>
      </c>
      <c r="H221" s="204">
        <v>5</v>
      </c>
      <c r="I221" s="203" t="s">
        <v>1971</v>
      </c>
      <c r="J221" s="205" t="s">
        <v>7498</v>
      </c>
      <c r="K221" s="203" t="s">
        <v>5104</v>
      </c>
      <c r="L221" s="205" t="s">
        <v>1973</v>
      </c>
      <c r="M221" s="205" t="s">
        <v>1953</v>
      </c>
      <c r="N221" s="204" t="s">
        <v>213</v>
      </c>
      <c r="O221" s="204" t="s">
        <v>11</v>
      </c>
      <c r="P221" s="206">
        <v>1950</v>
      </c>
      <c r="Q221" s="206">
        <v>1785</v>
      </c>
      <c r="R221" s="207">
        <v>5000</v>
      </c>
      <c r="S221" s="207">
        <f t="shared" si="64"/>
        <v>8925000</v>
      </c>
      <c r="T221" s="589"/>
      <c r="U221" s="157">
        <v>5000</v>
      </c>
      <c r="V221" s="158">
        <f t="shared" si="59"/>
        <v>5000</v>
      </c>
      <c r="W221" s="159">
        <f t="shared" si="65"/>
        <v>0</v>
      </c>
      <c r="X221" s="159">
        <f t="shared" si="66"/>
        <v>0</v>
      </c>
      <c r="Y221" s="160"/>
      <c r="Z221" s="160">
        <f t="shared" si="67"/>
        <v>0</v>
      </c>
      <c r="AA221" s="165"/>
      <c r="AB221" s="161">
        <f t="shared" si="68"/>
        <v>0</v>
      </c>
      <c r="AC221" s="162"/>
      <c r="AD221" s="162">
        <f t="shared" si="60"/>
        <v>0</v>
      </c>
      <c r="AE221" s="164"/>
      <c r="AF221" s="164">
        <f t="shared" si="61"/>
        <v>0</v>
      </c>
      <c r="AG221" s="165"/>
      <c r="AH221" s="165">
        <f t="shared" si="62"/>
        <v>0</v>
      </c>
      <c r="AI221" s="166">
        <v>0</v>
      </c>
      <c r="AJ221" s="166">
        <f t="shared" si="63"/>
        <v>0</v>
      </c>
      <c r="AK221" s="162"/>
      <c r="AL221" s="162">
        <f t="shared" si="69"/>
        <v>0</v>
      </c>
      <c r="AM221" s="173"/>
      <c r="AN221" s="167">
        <f t="shared" si="70"/>
        <v>0</v>
      </c>
      <c r="AO221" s="163"/>
      <c r="AP221" s="163">
        <f t="shared" si="71"/>
        <v>0</v>
      </c>
      <c r="AQ221" s="168"/>
      <c r="AR221" s="168">
        <f t="shared" si="72"/>
        <v>0</v>
      </c>
      <c r="AS221" s="170"/>
      <c r="AT221" s="170">
        <f t="shared" si="73"/>
        <v>0</v>
      </c>
      <c r="AU221" s="166"/>
      <c r="AV221" s="166">
        <f t="shared" si="74"/>
        <v>0</v>
      </c>
    </row>
    <row r="222" spans="1:48" ht="78.75">
      <c r="A222" s="148">
        <v>15</v>
      </c>
      <c r="B222" s="244" t="s">
        <v>8573</v>
      </c>
      <c r="C222" s="244" t="s">
        <v>8574</v>
      </c>
      <c r="D222" s="250" t="s">
        <v>8575</v>
      </c>
      <c r="E222" s="241"/>
      <c r="F222" s="242" t="s">
        <v>8576</v>
      </c>
      <c r="G222" s="244" t="s">
        <v>8577</v>
      </c>
      <c r="H222" s="244" t="s">
        <v>211</v>
      </c>
      <c r="I222" s="244" t="s">
        <v>8578</v>
      </c>
      <c r="J222" s="244" t="s">
        <v>8579</v>
      </c>
      <c r="K222" s="244" t="s">
        <v>5104</v>
      </c>
      <c r="L222" s="241" t="s">
        <v>8580</v>
      </c>
      <c r="M222" s="244" t="s">
        <v>8581</v>
      </c>
      <c r="N222" s="241" t="s">
        <v>6628</v>
      </c>
      <c r="O222" s="241" t="s">
        <v>11</v>
      </c>
      <c r="P222" s="245">
        <v>3100</v>
      </c>
      <c r="Q222" s="245">
        <v>2750</v>
      </c>
      <c r="R222" s="246">
        <v>50000</v>
      </c>
      <c r="S222" s="245">
        <f t="shared" si="64"/>
        <v>137500000</v>
      </c>
      <c r="T222" s="589"/>
      <c r="U222" s="244"/>
      <c r="V222" s="247">
        <f>R222-W222</f>
        <v>50000</v>
      </c>
      <c r="W222" s="159">
        <f t="shared" si="65"/>
        <v>0</v>
      </c>
      <c r="X222" s="159">
        <f t="shared" si="66"/>
        <v>0</v>
      </c>
      <c r="Y222" s="248"/>
      <c r="Z222" s="160">
        <f t="shared" si="67"/>
        <v>0</v>
      </c>
      <c r="AA222" s="248"/>
      <c r="AB222" s="161">
        <f t="shared" si="68"/>
        <v>0</v>
      </c>
      <c r="AC222" s="249"/>
      <c r="AD222" s="249"/>
      <c r="AE222" s="249"/>
      <c r="AF222" s="249"/>
      <c r="AG222" s="249"/>
      <c r="AH222" s="249"/>
      <c r="AI222" s="249"/>
      <c r="AJ222" s="249"/>
      <c r="AK222" s="249"/>
      <c r="AL222" s="162">
        <f t="shared" si="69"/>
        <v>0</v>
      </c>
      <c r="AM222" s="249"/>
      <c r="AN222" s="167">
        <f t="shared" si="70"/>
        <v>0</v>
      </c>
      <c r="AO222" s="249"/>
      <c r="AP222" s="163">
        <f t="shared" si="71"/>
        <v>0</v>
      </c>
      <c r="AQ222" s="249"/>
      <c r="AR222" s="168">
        <f t="shared" si="72"/>
        <v>0</v>
      </c>
      <c r="AS222" s="249"/>
      <c r="AT222" s="170">
        <f t="shared" si="73"/>
        <v>0</v>
      </c>
      <c r="AU222" s="249"/>
      <c r="AV222" s="166">
        <f t="shared" si="74"/>
        <v>0</v>
      </c>
    </row>
    <row r="223" spans="1:48" ht="63">
      <c r="A223" s="148">
        <v>25</v>
      </c>
      <c r="B223" s="244" t="s">
        <v>8573</v>
      </c>
      <c r="C223" s="244" t="s">
        <v>8574</v>
      </c>
      <c r="D223" s="250" t="s">
        <v>8617</v>
      </c>
      <c r="E223" s="241"/>
      <c r="F223" s="242" t="s">
        <v>8618</v>
      </c>
      <c r="G223" s="244" t="s">
        <v>8619</v>
      </c>
      <c r="H223" s="244" t="s">
        <v>211</v>
      </c>
      <c r="I223" s="244" t="s">
        <v>8620</v>
      </c>
      <c r="J223" s="244" t="s">
        <v>8621</v>
      </c>
      <c r="K223" s="244" t="s">
        <v>5104</v>
      </c>
      <c r="L223" s="241" t="s">
        <v>8622</v>
      </c>
      <c r="M223" s="244" t="s">
        <v>8623</v>
      </c>
      <c r="N223" s="241" t="s">
        <v>6628</v>
      </c>
      <c r="O223" s="241" t="s">
        <v>11</v>
      </c>
      <c r="P223" s="245">
        <v>1800</v>
      </c>
      <c r="Q223" s="245">
        <v>1790</v>
      </c>
      <c r="R223" s="246">
        <v>20000</v>
      </c>
      <c r="S223" s="245">
        <f t="shared" si="64"/>
        <v>35800000</v>
      </c>
      <c r="T223" s="589"/>
      <c r="U223" s="244"/>
      <c r="V223" s="247">
        <f>R223-W223</f>
        <v>20000</v>
      </c>
      <c r="W223" s="159">
        <f t="shared" si="65"/>
        <v>0</v>
      </c>
      <c r="X223" s="159">
        <f t="shared" si="66"/>
        <v>0</v>
      </c>
      <c r="Y223" s="248"/>
      <c r="Z223" s="160">
        <f t="shared" si="67"/>
        <v>0</v>
      </c>
      <c r="AA223" s="248"/>
      <c r="AB223" s="161">
        <f t="shared" si="68"/>
        <v>0</v>
      </c>
      <c r="AC223" s="249"/>
      <c r="AD223" s="249"/>
      <c r="AE223" s="249"/>
      <c r="AF223" s="249"/>
      <c r="AG223" s="249"/>
      <c r="AH223" s="249"/>
      <c r="AI223" s="249"/>
      <c r="AJ223" s="249"/>
      <c r="AK223" s="249"/>
      <c r="AL223" s="162">
        <f t="shared" si="69"/>
        <v>0</v>
      </c>
      <c r="AM223" s="249"/>
      <c r="AN223" s="167">
        <f t="shared" si="70"/>
        <v>0</v>
      </c>
      <c r="AO223" s="249"/>
      <c r="AP223" s="163">
        <f t="shared" si="71"/>
        <v>0</v>
      </c>
      <c r="AQ223" s="249"/>
      <c r="AR223" s="168">
        <f t="shared" si="72"/>
        <v>0</v>
      </c>
      <c r="AS223" s="249"/>
      <c r="AT223" s="170">
        <f t="shared" si="73"/>
        <v>0</v>
      </c>
      <c r="AU223" s="249"/>
      <c r="AV223" s="166">
        <f t="shared" si="74"/>
        <v>0</v>
      </c>
    </row>
    <row r="224" spans="1:48" ht="94.5">
      <c r="A224" s="148">
        <v>70</v>
      </c>
      <c r="B224" s="244" t="s">
        <v>8573</v>
      </c>
      <c r="C224" s="244" t="s">
        <v>8574</v>
      </c>
      <c r="D224" s="250" t="s">
        <v>8805</v>
      </c>
      <c r="E224" s="241"/>
      <c r="F224" s="242" t="s">
        <v>8806</v>
      </c>
      <c r="G224" s="244" t="s">
        <v>8807</v>
      </c>
      <c r="H224" s="244" t="s">
        <v>211</v>
      </c>
      <c r="I224" s="244" t="s">
        <v>8808</v>
      </c>
      <c r="J224" s="244" t="s">
        <v>8809</v>
      </c>
      <c r="K224" s="244" t="s">
        <v>5104</v>
      </c>
      <c r="L224" s="241" t="s">
        <v>8810</v>
      </c>
      <c r="M224" s="244" t="s">
        <v>8623</v>
      </c>
      <c r="N224" s="241" t="s">
        <v>213</v>
      </c>
      <c r="O224" s="241" t="s">
        <v>11</v>
      </c>
      <c r="P224" s="245">
        <v>1800</v>
      </c>
      <c r="Q224" s="245">
        <v>1200</v>
      </c>
      <c r="R224" s="246">
        <v>80000</v>
      </c>
      <c r="S224" s="245">
        <f t="shared" si="64"/>
        <v>96000000</v>
      </c>
      <c r="T224" s="589"/>
      <c r="U224" s="244"/>
      <c r="V224" s="247">
        <f>R224-W224</f>
        <v>80000</v>
      </c>
      <c r="W224" s="159">
        <f t="shared" si="65"/>
        <v>0</v>
      </c>
      <c r="X224" s="159">
        <f t="shared" si="66"/>
        <v>0</v>
      </c>
      <c r="Y224" s="248"/>
      <c r="Z224" s="160">
        <f t="shared" si="67"/>
        <v>0</v>
      </c>
      <c r="AA224" s="248"/>
      <c r="AB224" s="161">
        <f t="shared" si="68"/>
        <v>0</v>
      </c>
      <c r="AC224" s="249"/>
      <c r="AD224" s="249"/>
      <c r="AE224" s="249"/>
      <c r="AF224" s="249"/>
      <c r="AG224" s="249"/>
      <c r="AH224" s="249"/>
      <c r="AI224" s="249"/>
      <c r="AJ224" s="249"/>
      <c r="AK224" s="249"/>
      <c r="AL224" s="162">
        <f t="shared" si="69"/>
        <v>0</v>
      </c>
      <c r="AM224" s="249"/>
      <c r="AN224" s="167">
        <f t="shared" si="70"/>
        <v>0</v>
      </c>
      <c r="AO224" s="249"/>
      <c r="AP224" s="163">
        <f t="shared" si="71"/>
        <v>0</v>
      </c>
      <c r="AQ224" s="249"/>
      <c r="AR224" s="168">
        <f t="shared" si="72"/>
        <v>0</v>
      </c>
      <c r="AS224" s="249"/>
      <c r="AT224" s="170">
        <f t="shared" si="73"/>
        <v>0</v>
      </c>
      <c r="AU224" s="249"/>
      <c r="AV224" s="166">
        <f t="shared" si="74"/>
        <v>0</v>
      </c>
    </row>
    <row r="225" spans="1:48" ht="31.5">
      <c r="A225" s="148" t="s">
        <v>5305</v>
      </c>
      <c r="B225" s="150" t="s">
        <v>5306</v>
      </c>
      <c r="C225" s="150" t="s">
        <v>5307</v>
      </c>
      <c r="D225" s="634" t="s">
        <v>4932</v>
      </c>
      <c r="E225" s="631" t="s">
        <v>12642</v>
      </c>
      <c r="F225" s="175" t="s">
        <v>227</v>
      </c>
      <c r="G225" s="151" t="s">
        <v>225</v>
      </c>
      <c r="H225" s="174" t="s">
        <v>210</v>
      </c>
      <c r="I225" s="150" t="s">
        <v>344</v>
      </c>
      <c r="J225" s="153" t="s">
        <v>5308</v>
      </c>
      <c r="K225" s="151" t="s">
        <v>5104</v>
      </c>
      <c r="L225" s="151" t="s">
        <v>345</v>
      </c>
      <c r="M225" s="151" t="s">
        <v>346</v>
      </c>
      <c r="N225" s="152" t="s">
        <v>213</v>
      </c>
      <c r="O225" s="152" t="s">
        <v>10</v>
      </c>
      <c r="P225" s="176">
        <v>450</v>
      </c>
      <c r="Q225" s="177">
        <v>420</v>
      </c>
      <c r="R225" s="176">
        <v>370000</v>
      </c>
      <c r="S225" s="156">
        <f t="shared" si="64"/>
        <v>155400000</v>
      </c>
      <c r="T225" s="589"/>
      <c r="U225" s="157">
        <v>286600</v>
      </c>
      <c r="V225" s="158">
        <f>U225-W225</f>
        <v>74600</v>
      </c>
      <c r="W225" s="159">
        <f t="shared" si="65"/>
        <v>212000</v>
      </c>
      <c r="X225" s="159">
        <f t="shared" si="66"/>
        <v>89040000</v>
      </c>
      <c r="Y225" s="160"/>
      <c r="Z225" s="160">
        <f t="shared" si="67"/>
        <v>0</v>
      </c>
      <c r="AA225" s="161"/>
      <c r="AB225" s="161">
        <f t="shared" si="68"/>
        <v>0</v>
      </c>
      <c r="AC225" s="162"/>
      <c r="AD225" s="162">
        <f>AC225*Q225</f>
        <v>0</v>
      </c>
      <c r="AE225" s="163"/>
      <c r="AF225" s="164">
        <f>AE225*Q225</f>
        <v>0</v>
      </c>
      <c r="AG225" s="161">
        <v>100000</v>
      </c>
      <c r="AH225" s="165">
        <f>AG225*Q225</f>
        <v>42000000</v>
      </c>
      <c r="AI225" s="160">
        <v>0</v>
      </c>
      <c r="AJ225" s="166">
        <f>AI225*Q225</f>
        <v>0</v>
      </c>
      <c r="AK225" s="162"/>
      <c r="AL225" s="162">
        <f t="shared" si="69"/>
        <v>0</v>
      </c>
      <c r="AM225" s="167"/>
      <c r="AN225" s="167">
        <f t="shared" si="70"/>
        <v>0</v>
      </c>
      <c r="AO225" s="163"/>
      <c r="AP225" s="163">
        <f t="shared" si="71"/>
        <v>0</v>
      </c>
      <c r="AQ225" s="162"/>
      <c r="AR225" s="168">
        <f t="shared" si="72"/>
        <v>0</v>
      </c>
      <c r="AS225" s="169">
        <v>112000</v>
      </c>
      <c r="AT225" s="170">
        <f t="shared" si="73"/>
        <v>47040000</v>
      </c>
      <c r="AU225" s="160"/>
      <c r="AV225" s="166">
        <f t="shared" si="74"/>
        <v>0</v>
      </c>
    </row>
    <row r="226" spans="1:48" ht="31.5">
      <c r="A226" s="148">
        <v>12</v>
      </c>
      <c r="B226" s="150" t="s">
        <v>5306</v>
      </c>
      <c r="C226" s="150" t="s">
        <v>5307</v>
      </c>
      <c r="D226" s="250" t="s">
        <v>4612</v>
      </c>
      <c r="E226" s="241"/>
      <c r="F226" s="242" t="s">
        <v>31</v>
      </c>
      <c r="G226" s="244" t="s">
        <v>8560</v>
      </c>
      <c r="H226" s="244" t="s">
        <v>211</v>
      </c>
      <c r="I226" s="244" t="s">
        <v>30</v>
      </c>
      <c r="J226" s="244" t="s">
        <v>8561</v>
      </c>
      <c r="K226" s="244" t="s">
        <v>5104</v>
      </c>
      <c r="L226" s="241" t="s">
        <v>8562</v>
      </c>
      <c r="M226" s="244" t="s">
        <v>8563</v>
      </c>
      <c r="N226" s="241" t="s">
        <v>213</v>
      </c>
      <c r="O226" s="241" t="s">
        <v>11</v>
      </c>
      <c r="P226" s="245">
        <v>1600</v>
      </c>
      <c r="Q226" s="245">
        <v>1600</v>
      </c>
      <c r="R226" s="246">
        <v>80000</v>
      </c>
      <c r="S226" s="245">
        <f t="shared" si="64"/>
        <v>128000000</v>
      </c>
      <c r="T226" s="589"/>
      <c r="U226" s="244"/>
      <c r="V226" s="247">
        <f>R226-W226</f>
        <v>67550</v>
      </c>
      <c r="W226" s="159">
        <f t="shared" si="65"/>
        <v>12450</v>
      </c>
      <c r="X226" s="159">
        <f t="shared" si="66"/>
        <v>19920000</v>
      </c>
      <c r="Y226" s="248"/>
      <c r="Z226" s="160">
        <f t="shared" si="67"/>
        <v>0</v>
      </c>
      <c r="AA226" s="248"/>
      <c r="AB226" s="161">
        <f t="shared" si="68"/>
        <v>0</v>
      </c>
      <c r="AC226" s="249"/>
      <c r="AD226" s="249"/>
      <c r="AE226" s="249"/>
      <c r="AF226" s="249"/>
      <c r="AG226" s="249"/>
      <c r="AH226" s="249"/>
      <c r="AI226" s="249"/>
      <c r="AJ226" s="249"/>
      <c r="AK226" s="249">
        <v>10500</v>
      </c>
      <c r="AL226" s="162">
        <f t="shared" si="69"/>
        <v>16800000</v>
      </c>
      <c r="AM226" s="249"/>
      <c r="AN226" s="167">
        <f t="shared" si="70"/>
        <v>0</v>
      </c>
      <c r="AO226" s="249"/>
      <c r="AP226" s="163">
        <f t="shared" si="71"/>
        <v>0</v>
      </c>
      <c r="AQ226" s="249"/>
      <c r="AR226" s="168">
        <f t="shared" si="72"/>
        <v>0</v>
      </c>
      <c r="AS226" s="249">
        <v>1950</v>
      </c>
      <c r="AT226" s="170">
        <f t="shared" si="73"/>
        <v>3120000</v>
      </c>
      <c r="AU226" s="249"/>
      <c r="AV226" s="166">
        <f t="shared" si="74"/>
        <v>0</v>
      </c>
    </row>
    <row r="227" spans="1:48" ht="78.75">
      <c r="A227" s="148">
        <v>13</v>
      </c>
      <c r="B227" s="150" t="s">
        <v>5306</v>
      </c>
      <c r="C227" s="150" t="s">
        <v>5307</v>
      </c>
      <c r="D227" s="250" t="s">
        <v>8564</v>
      </c>
      <c r="E227" s="241"/>
      <c r="F227" s="242" t="s">
        <v>8565</v>
      </c>
      <c r="G227" s="244" t="s">
        <v>8566</v>
      </c>
      <c r="H227" s="244" t="s">
        <v>211</v>
      </c>
      <c r="I227" s="244" t="s">
        <v>8567</v>
      </c>
      <c r="J227" s="244" t="s">
        <v>8568</v>
      </c>
      <c r="K227" s="244" t="s">
        <v>253</v>
      </c>
      <c r="L227" s="241" t="s">
        <v>8569</v>
      </c>
      <c r="M227" s="244" t="s">
        <v>8570</v>
      </c>
      <c r="N227" s="241" t="s">
        <v>213</v>
      </c>
      <c r="O227" s="241" t="s">
        <v>15</v>
      </c>
      <c r="P227" s="245">
        <v>26580</v>
      </c>
      <c r="Q227" s="245">
        <v>26500</v>
      </c>
      <c r="R227" s="246">
        <v>1000</v>
      </c>
      <c r="S227" s="245">
        <f t="shared" si="64"/>
        <v>26500000</v>
      </c>
      <c r="T227" s="589"/>
      <c r="U227" s="244"/>
      <c r="V227" s="247">
        <f>R227-W227</f>
        <v>1000</v>
      </c>
      <c r="W227" s="159">
        <f t="shared" si="65"/>
        <v>0</v>
      </c>
      <c r="X227" s="159">
        <f t="shared" si="66"/>
        <v>0</v>
      </c>
      <c r="Y227" s="248"/>
      <c r="Z227" s="160">
        <f t="shared" si="67"/>
        <v>0</v>
      </c>
      <c r="AA227" s="248"/>
      <c r="AB227" s="161">
        <f t="shared" si="68"/>
        <v>0</v>
      </c>
      <c r="AC227" s="249"/>
      <c r="AD227" s="249"/>
      <c r="AE227" s="249"/>
      <c r="AF227" s="249"/>
      <c r="AG227" s="249"/>
      <c r="AH227" s="249"/>
      <c r="AI227" s="249"/>
      <c r="AJ227" s="249"/>
      <c r="AK227" s="249"/>
      <c r="AL227" s="162">
        <f t="shared" si="69"/>
        <v>0</v>
      </c>
      <c r="AM227" s="249"/>
      <c r="AN227" s="167">
        <f t="shared" si="70"/>
        <v>0</v>
      </c>
      <c r="AO227" s="249"/>
      <c r="AP227" s="163">
        <f t="shared" si="71"/>
        <v>0</v>
      </c>
      <c r="AQ227" s="249"/>
      <c r="AR227" s="168">
        <f t="shared" si="72"/>
        <v>0</v>
      </c>
      <c r="AS227" s="249"/>
      <c r="AT227" s="170">
        <f t="shared" si="73"/>
        <v>0</v>
      </c>
      <c r="AU227" s="249"/>
      <c r="AV227" s="166">
        <f t="shared" si="74"/>
        <v>0</v>
      </c>
    </row>
    <row r="228" spans="1:48" ht="47.25">
      <c r="A228" s="250">
        <v>32</v>
      </c>
      <c r="B228" s="150" t="s">
        <v>5306</v>
      </c>
      <c r="C228" s="150" t="s">
        <v>5307</v>
      </c>
      <c r="D228" s="250" t="s">
        <v>4690</v>
      </c>
      <c r="E228" s="241"/>
      <c r="F228" s="242" t="s">
        <v>130</v>
      </c>
      <c r="G228" s="244" t="s">
        <v>8648</v>
      </c>
      <c r="H228" s="244" t="s">
        <v>211</v>
      </c>
      <c r="I228" s="244" t="s">
        <v>129</v>
      </c>
      <c r="J228" s="244" t="s">
        <v>8649</v>
      </c>
      <c r="K228" s="244" t="s">
        <v>253</v>
      </c>
      <c r="L228" s="241" t="s">
        <v>8650</v>
      </c>
      <c r="M228" s="244" t="s">
        <v>8651</v>
      </c>
      <c r="N228" s="241" t="s">
        <v>213</v>
      </c>
      <c r="O228" s="241" t="s">
        <v>15</v>
      </c>
      <c r="P228" s="245">
        <v>44000</v>
      </c>
      <c r="Q228" s="245">
        <v>44000</v>
      </c>
      <c r="R228" s="246">
        <v>3000</v>
      </c>
      <c r="S228" s="245">
        <f t="shared" si="64"/>
        <v>132000000</v>
      </c>
      <c r="T228" s="589"/>
      <c r="U228" s="244"/>
      <c r="V228" s="247">
        <f>R228-W228</f>
        <v>2650</v>
      </c>
      <c r="W228" s="159">
        <f t="shared" si="65"/>
        <v>350</v>
      </c>
      <c r="X228" s="159">
        <f t="shared" si="66"/>
        <v>15400000</v>
      </c>
      <c r="Y228" s="248"/>
      <c r="Z228" s="160">
        <f t="shared" si="67"/>
        <v>0</v>
      </c>
      <c r="AA228" s="248"/>
      <c r="AB228" s="161">
        <f t="shared" si="68"/>
        <v>0</v>
      </c>
      <c r="AC228" s="249"/>
      <c r="AD228" s="249"/>
      <c r="AE228" s="249"/>
      <c r="AF228" s="249"/>
      <c r="AG228" s="249"/>
      <c r="AH228" s="249"/>
      <c r="AI228" s="249"/>
      <c r="AJ228" s="249"/>
      <c r="AK228" s="249">
        <v>300</v>
      </c>
      <c r="AL228" s="162">
        <f t="shared" si="69"/>
        <v>13200000</v>
      </c>
      <c r="AM228" s="249"/>
      <c r="AN228" s="167">
        <f t="shared" si="70"/>
        <v>0</v>
      </c>
      <c r="AO228" s="249"/>
      <c r="AP228" s="163">
        <f t="shared" si="71"/>
        <v>0</v>
      </c>
      <c r="AQ228" s="249"/>
      <c r="AR228" s="168">
        <f t="shared" si="72"/>
        <v>0</v>
      </c>
      <c r="AS228" s="249">
        <v>50</v>
      </c>
      <c r="AT228" s="170">
        <f t="shared" si="73"/>
        <v>2200000</v>
      </c>
      <c r="AU228" s="249"/>
      <c r="AV228" s="166">
        <f t="shared" si="74"/>
        <v>0</v>
      </c>
    </row>
    <row r="229" spans="1:48" s="220" customFormat="1" ht="31.5">
      <c r="A229" s="148">
        <v>63</v>
      </c>
      <c r="B229" s="150" t="s">
        <v>5306</v>
      </c>
      <c r="C229" s="150" t="s">
        <v>5307</v>
      </c>
      <c r="D229" s="250" t="s">
        <v>4701</v>
      </c>
      <c r="E229" s="241"/>
      <c r="F229" s="242" t="s">
        <v>8785</v>
      </c>
      <c r="G229" s="244" t="s">
        <v>8786</v>
      </c>
      <c r="H229" s="244" t="s">
        <v>211</v>
      </c>
      <c r="I229" s="244" t="s">
        <v>3090</v>
      </c>
      <c r="J229" s="244" t="s">
        <v>8787</v>
      </c>
      <c r="K229" s="244" t="s">
        <v>5104</v>
      </c>
      <c r="L229" s="241" t="s">
        <v>2395</v>
      </c>
      <c r="M229" s="244" t="s">
        <v>8651</v>
      </c>
      <c r="N229" s="241" t="s">
        <v>213</v>
      </c>
      <c r="O229" s="241" t="s">
        <v>11</v>
      </c>
      <c r="P229" s="245">
        <v>747</v>
      </c>
      <c r="Q229" s="245">
        <v>350</v>
      </c>
      <c r="R229" s="246">
        <v>150000</v>
      </c>
      <c r="S229" s="245">
        <f t="shared" si="64"/>
        <v>52500000</v>
      </c>
      <c r="T229" s="589"/>
      <c r="U229" s="244"/>
      <c r="V229" s="247">
        <f>R229-W229</f>
        <v>150000</v>
      </c>
      <c r="W229" s="159">
        <f t="shared" si="65"/>
        <v>0</v>
      </c>
      <c r="X229" s="159">
        <f t="shared" si="66"/>
        <v>0</v>
      </c>
      <c r="Y229" s="248"/>
      <c r="Z229" s="160">
        <f t="shared" si="67"/>
        <v>0</v>
      </c>
      <c r="AA229" s="248"/>
      <c r="AB229" s="161">
        <f t="shared" si="68"/>
        <v>0</v>
      </c>
      <c r="AC229" s="249"/>
      <c r="AD229" s="249"/>
      <c r="AE229" s="249"/>
      <c r="AF229" s="249"/>
      <c r="AG229" s="249"/>
      <c r="AH229" s="249"/>
      <c r="AI229" s="249"/>
      <c r="AJ229" s="249"/>
      <c r="AK229" s="249"/>
      <c r="AL229" s="162">
        <f t="shared" si="69"/>
        <v>0</v>
      </c>
      <c r="AM229" s="249"/>
      <c r="AN229" s="167">
        <f t="shared" si="70"/>
        <v>0</v>
      </c>
      <c r="AO229" s="249"/>
      <c r="AP229" s="163">
        <f t="shared" si="71"/>
        <v>0</v>
      </c>
      <c r="AQ229" s="249"/>
      <c r="AR229" s="168">
        <f t="shared" si="72"/>
        <v>0</v>
      </c>
      <c r="AS229" s="249"/>
      <c r="AT229" s="170">
        <f t="shared" si="73"/>
        <v>0</v>
      </c>
      <c r="AU229" s="249"/>
      <c r="AV229" s="166">
        <f t="shared" si="74"/>
        <v>0</v>
      </c>
    </row>
    <row r="230" spans="1:48" s="220" customFormat="1">
      <c r="A230" s="148" t="s">
        <v>5367</v>
      </c>
      <c r="B230" s="150" t="s">
        <v>5368</v>
      </c>
      <c r="C230" s="150" t="s">
        <v>5369</v>
      </c>
      <c r="D230" s="634" t="s">
        <v>5370</v>
      </c>
      <c r="E230" s="631"/>
      <c r="F230" s="175" t="s">
        <v>433</v>
      </c>
      <c r="G230" s="151" t="s">
        <v>482</v>
      </c>
      <c r="H230" s="174" t="s">
        <v>5325</v>
      </c>
      <c r="I230" s="150" t="s">
        <v>481</v>
      </c>
      <c r="J230" s="153" t="s">
        <v>5364</v>
      </c>
      <c r="K230" s="151">
        <v>36</v>
      </c>
      <c r="L230" s="151" t="s">
        <v>484</v>
      </c>
      <c r="M230" s="151" t="s">
        <v>485</v>
      </c>
      <c r="N230" s="152" t="s">
        <v>213</v>
      </c>
      <c r="O230" s="152" t="s">
        <v>5141</v>
      </c>
      <c r="P230" s="176">
        <v>44200</v>
      </c>
      <c r="Q230" s="177">
        <v>14910</v>
      </c>
      <c r="R230" s="176">
        <v>1200</v>
      </c>
      <c r="S230" s="156">
        <f t="shared" si="64"/>
        <v>17892000</v>
      </c>
      <c r="T230" s="589"/>
      <c r="U230" s="157">
        <v>1100</v>
      </c>
      <c r="V230" s="158">
        <f t="shared" ref="V230:V238" si="75">U230-W230</f>
        <v>1100</v>
      </c>
      <c r="W230" s="159">
        <f t="shared" si="65"/>
        <v>0</v>
      </c>
      <c r="X230" s="159">
        <f t="shared" si="66"/>
        <v>0</v>
      </c>
      <c r="Y230" s="160"/>
      <c r="Z230" s="160">
        <f t="shared" si="67"/>
        <v>0</v>
      </c>
      <c r="AA230" s="165"/>
      <c r="AB230" s="161">
        <f t="shared" si="68"/>
        <v>0</v>
      </c>
      <c r="AC230" s="162"/>
      <c r="AD230" s="162">
        <f t="shared" ref="AD230:AD238" si="76">AC230*Q230</f>
        <v>0</v>
      </c>
      <c r="AE230" s="164"/>
      <c r="AF230" s="164">
        <f t="shared" ref="AF230:AF238" si="77">AE230*Q230</f>
        <v>0</v>
      </c>
      <c r="AG230" s="165"/>
      <c r="AH230" s="165">
        <f t="shared" ref="AH230:AH238" si="78">AG230*Q230</f>
        <v>0</v>
      </c>
      <c r="AI230" s="166">
        <v>0</v>
      </c>
      <c r="AJ230" s="166">
        <f t="shared" ref="AJ230:AJ238" si="79">AI230*Q230</f>
        <v>0</v>
      </c>
      <c r="AK230" s="162"/>
      <c r="AL230" s="162">
        <f t="shared" si="69"/>
        <v>0</v>
      </c>
      <c r="AM230" s="173"/>
      <c r="AN230" s="167">
        <f t="shared" si="70"/>
        <v>0</v>
      </c>
      <c r="AO230" s="163"/>
      <c r="AP230" s="163">
        <f t="shared" si="71"/>
        <v>0</v>
      </c>
      <c r="AQ230" s="168"/>
      <c r="AR230" s="168">
        <f t="shared" si="72"/>
        <v>0</v>
      </c>
      <c r="AS230" s="170"/>
      <c r="AT230" s="170">
        <f t="shared" si="73"/>
        <v>0</v>
      </c>
      <c r="AU230" s="166"/>
      <c r="AV230" s="166">
        <f t="shared" si="74"/>
        <v>0</v>
      </c>
    </row>
    <row r="231" spans="1:48" s="220" customFormat="1">
      <c r="A231" s="172" t="s">
        <v>7004</v>
      </c>
      <c r="B231" s="150" t="s">
        <v>5368</v>
      </c>
      <c r="C231" s="150" t="s">
        <v>5369</v>
      </c>
      <c r="D231" s="240" t="s">
        <v>4267</v>
      </c>
      <c r="E231" s="590"/>
      <c r="F231" s="203" t="s">
        <v>661</v>
      </c>
      <c r="G231" s="204" t="s">
        <v>663</v>
      </c>
      <c r="H231" s="204">
        <v>3</v>
      </c>
      <c r="I231" s="203" t="s">
        <v>4268</v>
      </c>
      <c r="J231" s="205" t="s">
        <v>7005</v>
      </c>
      <c r="K231" s="203" t="s">
        <v>253</v>
      </c>
      <c r="L231" s="205" t="s">
        <v>7006</v>
      </c>
      <c r="M231" s="205" t="s">
        <v>1268</v>
      </c>
      <c r="N231" s="204" t="s">
        <v>213</v>
      </c>
      <c r="O231" s="204" t="s">
        <v>11</v>
      </c>
      <c r="P231" s="206">
        <v>1050</v>
      </c>
      <c r="Q231" s="206">
        <v>1050</v>
      </c>
      <c r="R231" s="207">
        <v>30000</v>
      </c>
      <c r="S231" s="207">
        <f t="shared" si="64"/>
        <v>31500000</v>
      </c>
      <c r="T231" s="589"/>
      <c r="U231" s="157">
        <v>30000</v>
      </c>
      <c r="V231" s="158">
        <f t="shared" si="75"/>
        <v>22020</v>
      </c>
      <c r="W231" s="159">
        <f t="shared" si="65"/>
        <v>7980</v>
      </c>
      <c r="X231" s="159">
        <f t="shared" si="66"/>
        <v>8379000</v>
      </c>
      <c r="Y231" s="160"/>
      <c r="Z231" s="160">
        <f t="shared" si="67"/>
        <v>0</v>
      </c>
      <c r="AA231" s="165">
        <v>4980</v>
      </c>
      <c r="AB231" s="161">
        <f t="shared" si="68"/>
        <v>5229000</v>
      </c>
      <c r="AC231" s="162"/>
      <c r="AD231" s="162">
        <f t="shared" si="76"/>
        <v>0</v>
      </c>
      <c r="AE231" s="163"/>
      <c r="AF231" s="164">
        <f t="shared" si="77"/>
        <v>0</v>
      </c>
      <c r="AG231" s="161">
        <v>3000</v>
      </c>
      <c r="AH231" s="165">
        <f t="shared" si="78"/>
        <v>3150000</v>
      </c>
      <c r="AI231" s="160">
        <v>0</v>
      </c>
      <c r="AJ231" s="166">
        <f t="shared" si="79"/>
        <v>0</v>
      </c>
      <c r="AK231" s="162"/>
      <c r="AL231" s="162">
        <f t="shared" si="69"/>
        <v>0</v>
      </c>
      <c r="AM231" s="173"/>
      <c r="AN231" s="167">
        <f t="shared" si="70"/>
        <v>0</v>
      </c>
      <c r="AO231" s="163"/>
      <c r="AP231" s="163">
        <f t="shared" si="71"/>
        <v>0</v>
      </c>
      <c r="AQ231" s="162"/>
      <c r="AR231" s="168">
        <f t="shared" si="72"/>
        <v>0</v>
      </c>
      <c r="AS231" s="169"/>
      <c r="AT231" s="170">
        <f t="shared" si="73"/>
        <v>0</v>
      </c>
      <c r="AU231" s="160"/>
      <c r="AV231" s="166">
        <f t="shared" si="74"/>
        <v>0</v>
      </c>
    </row>
    <row r="232" spans="1:48">
      <c r="A232" s="172" t="s">
        <v>7121</v>
      </c>
      <c r="B232" s="150" t="s">
        <v>5368</v>
      </c>
      <c r="C232" s="150" t="s">
        <v>5369</v>
      </c>
      <c r="D232" s="240" t="s">
        <v>4988</v>
      </c>
      <c r="E232" s="590"/>
      <c r="F232" s="203" t="s">
        <v>1697</v>
      </c>
      <c r="G232" s="204" t="s">
        <v>4990</v>
      </c>
      <c r="H232" s="204">
        <v>3</v>
      </c>
      <c r="I232" s="203" t="s">
        <v>1697</v>
      </c>
      <c r="J232" s="205" t="s">
        <v>7122</v>
      </c>
      <c r="K232" s="203" t="s">
        <v>5104</v>
      </c>
      <c r="L232" s="205" t="s">
        <v>7123</v>
      </c>
      <c r="M232" s="205" t="s">
        <v>1268</v>
      </c>
      <c r="N232" s="204" t="s">
        <v>213</v>
      </c>
      <c r="O232" s="204" t="s">
        <v>11</v>
      </c>
      <c r="P232" s="206">
        <v>600</v>
      </c>
      <c r="Q232" s="206">
        <v>268</v>
      </c>
      <c r="R232" s="207">
        <v>50000</v>
      </c>
      <c r="S232" s="207">
        <f t="shared" si="64"/>
        <v>13400000</v>
      </c>
      <c r="T232" s="589"/>
      <c r="U232" s="157">
        <v>50000</v>
      </c>
      <c r="V232" s="158">
        <f t="shared" si="75"/>
        <v>50000</v>
      </c>
      <c r="W232" s="159">
        <f t="shared" si="65"/>
        <v>0</v>
      </c>
      <c r="X232" s="159">
        <f t="shared" si="66"/>
        <v>0</v>
      </c>
      <c r="Y232" s="160"/>
      <c r="Z232" s="160">
        <f t="shared" si="67"/>
        <v>0</v>
      </c>
      <c r="AA232" s="161"/>
      <c r="AB232" s="161">
        <f t="shared" si="68"/>
        <v>0</v>
      </c>
      <c r="AC232" s="162"/>
      <c r="AD232" s="162">
        <f t="shared" si="76"/>
        <v>0</v>
      </c>
      <c r="AE232" s="164"/>
      <c r="AF232" s="164">
        <f t="shared" si="77"/>
        <v>0</v>
      </c>
      <c r="AG232" s="165"/>
      <c r="AH232" s="165">
        <f t="shared" si="78"/>
        <v>0</v>
      </c>
      <c r="AI232" s="166">
        <v>0</v>
      </c>
      <c r="AJ232" s="166">
        <f t="shared" si="79"/>
        <v>0</v>
      </c>
      <c r="AK232" s="162"/>
      <c r="AL232" s="162">
        <f t="shared" si="69"/>
        <v>0</v>
      </c>
      <c r="AM232" s="167"/>
      <c r="AN232" s="167">
        <f t="shared" si="70"/>
        <v>0</v>
      </c>
      <c r="AO232" s="163"/>
      <c r="AP232" s="163">
        <f t="shared" si="71"/>
        <v>0</v>
      </c>
      <c r="AQ232" s="168"/>
      <c r="AR232" s="168">
        <f t="shared" si="72"/>
        <v>0</v>
      </c>
      <c r="AS232" s="170"/>
      <c r="AT232" s="170">
        <f t="shared" si="73"/>
        <v>0</v>
      </c>
      <c r="AU232" s="166"/>
      <c r="AV232" s="166">
        <f t="shared" si="74"/>
        <v>0</v>
      </c>
    </row>
    <row r="233" spans="1:48" ht="31.5">
      <c r="A233" s="148" t="s">
        <v>7492</v>
      </c>
      <c r="B233" s="150" t="s">
        <v>5368</v>
      </c>
      <c r="C233" s="150" t="s">
        <v>5369</v>
      </c>
      <c r="D233" s="240" t="s">
        <v>7493</v>
      </c>
      <c r="E233" s="590" t="s">
        <v>12642</v>
      </c>
      <c r="F233" s="203" t="s">
        <v>274</v>
      </c>
      <c r="G233" s="204" t="s">
        <v>17</v>
      </c>
      <c r="H233" s="204">
        <v>3</v>
      </c>
      <c r="I233" s="203" t="s">
        <v>7494</v>
      </c>
      <c r="J233" s="205" t="s">
        <v>6792</v>
      </c>
      <c r="K233" s="203" t="s">
        <v>5104</v>
      </c>
      <c r="L233" s="205" t="s">
        <v>7495</v>
      </c>
      <c r="M233" s="205" t="s">
        <v>1268</v>
      </c>
      <c r="N233" s="204" t="s">
        <v>213</v>
      </c>
      <c r="O233" s="204" t="s">
        <v>11</v>
      </c>
      <c r="P233" s="206">
        <v>1500</v>
      </c>
      <c r="Q233" s="206">
        <v>1197</v>
      </c>
      <c r="R233" s="207">
        <v>40000</v>
      </c>
      <c r="S233" s="207">
        <f t="shared" si="64"/>
        <v>47880000</v>
      </c>
      <c r="T233" s="589"/>
      <c r="U233" s="157">
        <v>40000</v>
      </c>
      <c r="V233" s="158">
        <f t="shared" si="75"/>
        <v>40000</v>
      </c>
      <c r="W233" s="159">
        <f t="shared" si="65"/>
        <v>0</v>
      </c>
      <c r="X233" s="159">
        <f t="shared" si="66"/>
        <v>0</v>
      </c>
      <c r="Y233" s="160"/>
      <c r="Z233" s="160">
        <f t="shared" si="67"/>
        <v>0</v>
      </c>
      <c r="AA233" s="165"/>
      <c r="AB233" s="161">
        <f t="shared" si="68"/>
        <v>0</v>
      </c>
      <c r="AC233" s="162"/>
      <c r="AD233" s="162">
        <f t="shared" si="76"/>
        <v>0</v>
      </c>
      <c r="AE233" s="164"/>
      <c r="AF233" s="164">
        <f t="shared" si="77"/>
        <v>0</v>
      </c>
      <c r="AG233" s="165"/>
      <c r="AH233" s="165">
        <f t="shared" si="78"/>
        <v>0</v>
      </c>
      <c r="AI233" s="166">
        <v>0</v>
      </c>
      <c r="AJ233" s="166">
        <f t="shared" si="79"/>
        <v>0</v>
      </c>
      <c r="AK233" s="162"/>
      <c r="AL233" s="162">
        <f t="shared" si="69"/>
        <v>0</v>
      </c>
      <c r="AM233" s="173"/>
      <c r="AN233" s="167">
        <f t="shared" si="70"/>
        <v>0</v>
      </c>
      <c r="AO233" s="163"/>
      <c r="AP233" s="163">
        <f t="shared" si="71"/>
        <v>0</v>
      </c>
      <c r="AQ233" s="168"/>
      <c r="AR233" s="168">
        <f t="shared" si="72"/>
        <v>0</v>
      </c>
      <c r="AS233" s="170"/>
      <c r="AT233" s="170">
        <f t="shared" si="73"/>
        <v>0</v>
      </c>
      <c r="AU233" s="166"/>
      <c r="AV233" s="166">
        <f t="shared" si="74"/>
        <v>0</v>
      </c>
    </row>
    <row r="234" spans="1:48" ht="31.5">
      <c r="A234" s="148" t="s">
        <v>7529</v>
      </c>
      <c r="B234" s="150" t="s">
        <v>5368</v>
      </c>
      <c r="C234" s="150" t="s">
        <v>5369</v>
      </c>
      <c r="D234" s="240" t="s">
        <v>5029</v>
      </c>
      <c r="E234" s="590" t="s">
        <v>12643</v>
      </c>
      <c r="F234" s="203" t="s">
        <v>1550</v>
      </c>
      <c r="G234" s="204" t="s">
        <v>5031</v>
      </c>
      <c r="H234" s="204">
        <v>3</v>
      </c>
      <c r="I234" s="203" t="s">
        <v>5030</v>
      </c>
      <c r="J234" s="205" t="s">
        <v>7530</v>
      </c>
      <c r="K234" s="203" t="s">
        <v>5104</v>
      </c>
      <c r="L234" s="205" t="s">
        <v>7531</v>
      </c>
      <c r="M234" s="205" t="s">
        <v>1268</v>
      </c>
      <c r="N234" s="204" t="s">
        <v>213</v>
      </c>
      <c r="O234" s="204" t="s">
        <v>11</v>
      </c>
      <c r="P234" s="206">
        <v>630</v>
      </c>
      <c r="Q234" s="206">
        <v>630</v>
      </c>
      <c r="R234" s="207">
        <v>100000</v>
      </c>
      <c r="S234" s="207">
        <f t="shared" si="64"/>
        <v>63000000</v>
      </c>
      <c r="T234" s="589"/>
      <c r="U234" s="157">
        <v>100000</v>
      </c>
      <c r="V234" s="158">
        <f t="shared" si="75"/>
        <v>89440</v>
      </c>
      <c r="W234" s="159">
        <f t="shared" si="65"/>
        <v>10560</v>
      </c>
      <c r="X234" s="159">
        <f t="shared" si="66"/>
        <v>6652800</v>
      </c>
      <c r="Y234" s="160"/>
      <c r="Z234" s="160">
        <f t="shared" si="67"/>
        <v>0</v>
      </c>
      <c r="AA234" s="165">
        <v>9960</v>
      </c>
      <c r="AB234" s="161">
        <f t="shared" si="68"/>
        <v>6274800</v>
      </c>
      <c r="AC234" s="162"/>
      <c r="AD234" s="162">
        <f t="shared" si="76"/>
        <v>0</v>
      </c>
      <c r="AE234" s="164"/>
      <c r="AF234" s="164">
        <f t="shared" si="77"/>
        <v>0</v>
      </c>
      <c r="AG234" s="165">
        <v>600</v>
      </c>
      <c r="AH234" s="165">
        <f t="shared" si="78"/>
        <v>378000</v>
      </c>
      <c r="AI234" s="166">
        <v>0</v>
      </c>
      <c r="AJ234" s="166">
        <f t="shared" si="79"/>
        <v>0</v>
      </c>
      <c r="AK234" s="162"/>
      <c r="AL234" s="162">
        <f t="shared" si="69"/>
        <v>0</v>
      </c>
      <c r="AM234" s="173"/>
      <c r="AN234" s="167">
        <f t="shared" si="70"/>
        <v>0</v>
      </c>
      <c r="AO234" s="163"/>
      <c r="AP234" s="163">
        <f t="shared" si="71"/>
        <v>0</v>
      </c>
      <c r="AQ234" s="168"/>
      <c r="AR234" s="168">
        <f t="shared" si="72"/>
        <v>0</v>
      </c>
      <c r="AS234" s="170"/>
      <c r="AT234" s="170">
        <f t="shared" si="73"/>
        <v>0</v>
      </c>
      <c r="AU234" s="166"/>
      <c r="AV234" s="166">
        <f t="shared" si="74"/>
        <v>0</v>
      </c>
    </row>
    <row r="235" spans="1:48" ht="31.5">
      <c r="A235" s="148" t="s">
        <v>7756</v>
      </c>
      <c r="B235" s="150" t="s">
        <v>5368</v>
      </c>
      <c r="C235" s="150" t="s">
        <v>5369</v>
      </c>
      <c r="D235" s="240" t="s">
        <v>4364</v>
      </c>
      <c r="E235" s="590"/>
      <c r="F235" s="203" t="s">
        <v>1999</v>
      </c>
      <c r="G235" s="204" t="s">
        <v>4366</v>
      </c>
      <c r="H235" s="204">
        <v>3</v>
      </c>
      <c r="I235" s="203" t="s">
        <v>4365</v>
      </c>
      <c r="J235" s="205" t="s">
        <v>6473</v>
      </c>
      <c r="K235" s="203" t="s">
        <v>5104</v>
      </c>
      <c r="L235" s="205" t="s">
        <v>7757</v>
      </c>
      <c r="M235" s="205" t="s">
        <v>7649</v>
      </c>
      <c r="N235" s="204" t="s">
        <v>213</v>
      </c>
      <c r="O235" s="204" t="s">
        <v>11</v>
      </c>
      <c r="P235" s="206">
        <v>7200</v>
      </c>
      <c r="Q235" s="206">
        <v>1995</v>
      </c>
      <c r="R235" s="207">
        <v>60000</v>
      </c>
      <c r="S235" s="207">
        <f t="shared" si="64"/>
        <v>119700000</v>
      </c>
      <c r="T235" s="589"/>
      <c r="U235" s="157">
        <v>60000</v>
      </c>
      <c r="V235" s="158">
        <f t="shared" si="75"/>
        <v>54000</v>
      </c>
      <c r="W235" s="159">
        <f t="shared" si="65"/>
        <v>6000</v>
      </c>
      <c r="X235" s="159">
        <f t="shared" si="66"/>
        <v>11970000</v>
      </c>
      <c r="Y235" s="160"/>
      <c r="Z235" s="160">
        <f t="shared" si="67"/>
        <v>0</v>
      </c>
      <c r="AA235" s="165"/>
      <c r="AB235" s="161">
        <f t="shared" si="68"/>
        <v>0</v>
      </c>
      <c r="AC235" s="162"/>
      <c r="AD235" s="162">
        <f t="shared" si="76"/>
        <v>0</v>
      </c>
      <c r="AE235" s="164"/>
      <c r="AF235" s="164">
        <f t="shared" si="77"/>
        <v>0</v>
      </c>
      <c r="AG235" s="165"/>
      <c r="AH235" s="165">
        <f t="shared" si="78"/>
        <v>0</v>
      </c>
      <c r="AI235" s="166">
        <v>0</v>
      </c>
      <c r="AJ235" s="166">
        <f t="shared" si="79"/>
        <v>0</v>
      </c>
      <c r="AK235" s="162"/>
      <c r="AL235" s="162">
        <f t="shared" si="69"/>
        <v>0</v>
      </c>
      <c r="AM235" s="173">
        <v>6000</v>
      </c>
      <c r="AN235" s="167">
        <f t="shared" si="70"/>
        <v>11970000</v>
      </c>
      <c r="AO235" s="163"/>
      <c r="AP235" s="163">
        <f t="shared" si="71"/>
        <v>0</v>
      </c>
      <c r="AQ235" s="168"/>
      <c r="AR235" s="168">
        <f t="shared" si="72"/>
        <v>0</v>
      </c>
      <c r="AS235" s="170"/>
      <c r="AT235" s="170">
        <f t="shared" si="73"/>
        <v>0</v>
      </c>
      <c r="AU235" s="166"/>
      <c r="AV235" s="166">
        <f t="shared" si="74"/>
        <v>0</v>
      </c>
    </row>
    <row r="236" spans="1:48">
      <c r="A236" s="148" t="s">
        <v>7788</v>
      </c>
      <c r="B236" s="150" t="s">
        <v>5368</v>
      </c>
      <c r="C236" s="150" t="s">
        <v>5369</v>
      </c>
      <c r="D236" s="240" t="s">
        <v>7789</v>
      </c>
      <c r="E236" s="590"/>
      <c r="F236" s="203" t="s">
        <v>7790</v>
      </c>
      <c r="G236" s="204" t="s">
        <v>235</v>
      </c>
      <c r="H236" s="204">
        <v>3</v>
      </c>
      <c r="I236" s="203" t="s">
        <v>7791</v>
      </c>
      <c r="J236" s="205" t="s">
        <v>6473</v>
      </c>
      <c r="K236" s="203" t="s">
        <v>5104</v>
      </c>
      <c r="L236" s="205" t="s">
        <v>7792</v>
      </c>
      <c r="M236" s="205" t="s">
        <v>1268</v>
      </c>
      <c r="N236" s="204" t="s">
        <v>213</v>
      </c>
      <c r="O236" s="204" t="s">
        <v>11</v>
      </c>
      <c r="P236" s="206">
        <v>4000</v>
      </c>
      <c r="Q236" s="206">
        <v>1554</v>
      </c>
      <c r="R236" s="207">
        <v>30000</v>
      </c>
      <c r="S236" s="207">
        <f t="shared" si="64"/>
        <v>46620000</v>
      </c>
      <c r="T236" s="589"/>
      <c r="U236" s="157">
        <v>30000</v>
      </c>
      <c r="V236" s="158">
        <f t="shared" si="75"/>
        <v>30000</v>
      </c>
      <c r="W236" s="159">
        <f t="shared" si="65"/>
        <v>0</v>
      </c>
      <c r="X236" s="159">
        <f t="shared" si="66"/>
        <v>0</v>
      </c>
      <c r="Y236" s="160"/>
      <c r="Z236" s="160">
        <f t="shared" si="67"/>
        <v>0</v>
      </c>
      <c r="AA236" s="165"/>
      <c r="AB236" s="161">
        <f t="shared" si="68"/>
        <v>0</v>
      </c>
      <c r="AC236" s="162"/>
      <c r="AD236" s="162">
        <f t="shared" si="76"/>
        <v>0</v>
      </c>
      <c r="AE236" s="164"/>
      <c r="AF236" s="164">
        <f t="shared" si="77"/>
        <v>0</v>
      </c>
      <c r="AG236" s="165"/>
      <c r="AH236" s="165">
        <f t="shared" si="78"/>
        <v>0</v>
      </c>
      <c r="AI236" s="166">
        <v>0</v>
      </c>
      <c r="AJ236" s="166">
        <f t="shared" si="79"/>
        <v>0</v>
      </c>
      <c r="AK236" s="162"/>
      <c r="AL236" s="162">
        <f t="shared" si="69"/>
        <v>0</v>
      </c>
      <c r="AM236" s="173"/>
      <c r="AN236" s="167">
        <f t="shared" si="70"/>
        <v>0</v>
      </c>
      <c r="AO236" s="163"/>
      <c r="AP236" s="163">
        <f t="shared" si="71"/>
        <v>0</v>
      </c>
      <c r="AQ236" s="168"/>
      <c r="AR236" s="168">
        <f t="shared" si="72"/>
        <v>0</v>
      </c>
      <c r="AS236" s="170"/>
      <c r="AT236" s="170">
        <f t="shared" si="73"/>
        <v>0</v>
      </c>
      <c r="AU236" s="166"/>
      <c r="AV236" s="166">
        <f t="shared" si="74"/>
        <v>0</v>
      </c>
    </row>
    <row r="237" spans="1:48" s="131" customFormat="1" ht="31.5">
      <c r="A237" s="172" t="s">
        <v>8318</v>
      </c>
      <c r="B237" s="150" t="s">
        <v>5368</v>
      </c>
      <c r="C237" s="150" t="s">
        <v>5369</v>
      </c>
      <c r="D237" s="240" t="s">
        <v>3972</v>
      </c>
      <c r="E237" s="590" t="s">
        <v>12642</v>
      </c>
      <c r="F237" s="203" t="s">
        <v>3974</v>
      </c>
      <c r="G237" s="204" t="s">
        <v>229</v>
      </c>
      <c r="H237" s="204">
        <v>4</v>
      </c>
      <c r="I237" s="203" t="s">
        <v>3973</v>
      </c>
      <c r="J237" s="205" t="s">
        <v>8319</v>
      </c>
      <c r="K237" s="203" t="s">
        <v>5104</v>
      </c>
      <c r="L237" s="205" t="s">
        <v>8320</v>
      </c>
      <c r="M237" s="205" t="s">
        <v>7649</v>
      </c>
      <c r="N237" s="204" t="s">
        <v>213</v>
      </c>
      <c r="O237" s="204" t="s">
        <v>11</v>
      </c>
      <c r="P237" s="206">
        <v>1050</v>
      </c>
      <c r="Q237" s="206">
        <v>1050</v>
      </c>
      <c r="R237" s="207">
        <v>100000</v>
      </c>
      <c r="S237" s="207">
        <f t="shared" si="64"/>
        <v>105000000</v>
      </c>
      <c r="T237" s="589"/>
      <c r="U237" s="157">
        <v>100000</v>
      </c>
      <c r="V237" s="158">
        <f t="shared" si="75"/>
        <v>95000</v>
      </c>
      <c r="W237" s="159">
        <f t="shared" si="65"/>
        <v>5000</v>
      </c>
      <c r="X237" s="159">
        <f t="shared" si="66"/>
        <v>5250000</v>
      </c>
      <c r="Y237" s="160"/>
      <c r="Z237" s="160">
        <f t="shared" si="67"/>
        <v>0</v>
      </c>
      <c r="AA237" s="165"/>
      <c r="AB237" s="161">
        <f t="shared" si="68"/>
        <v>0</v>
      </c>
      <c r="AC237" s="162"/>
      <c r="AD237" s="162">
        <f t="shared" si="76"/>
        <v>0</v>
      </c>
      <c r="AE237" s="163"/>
      <c r="AF237" s="164">
        <f t="shared" si="77"/>
        <v>0</v>
      </c>
      <c r="AG237" s="161"/>
      <c r="AH237" s="165">
        <f t="shared" si="78"/>
        <v>0</v>
      </c>
      <c r="AI237" s="160">
        <v>0</v>
      </c>
      <c r="AJ237" s="166">
        <f t="shared" si="79"/>
        <v>0</v>
      </c>
      <c r="AK237" s="162"/>
      <c r="AL237" s="162">
        <f t="shared" si="69"/>
        <v>0</v>
      </c>
      <c r="AM237" s="173">
        <v>5000</v>
      </c>
      <c r="AN237" s="167">
        <f t="shared" si="70"/>
        <v>5250000</v>
      </c>
      <c r="AO237" s="163"/>
      <c r="AP237" s="163">
        <f t="shared" si="71"/>
        <v>0</v>
      </c>
      <c r="AQ237" s="162"/>
      <c r="AR237" s="168">
        <f t="shared" si="72"/>
        <v>0</v>
      </c>
      <c r="AS237" s="169"/>
      <c r="AT237" s="170">
        <f t="shared" si="73"/>
        <v>0</v>
      </c>
      <c r="AU237" s="160"/>
      <c r="AV237" s="166">
        <f t="shared" si="74"/>
        <v>0</v>
      </c>
    </row>
    <row r="238" spans="1:48" s="131" customFormat="1" ht="31.5">
      <c r="A238" s="148" t="s">
        <v>6150</v>
      </c>
      <c r="B238" s="149" t="s">
        <v>6151</v>
      </c>
      <c r="C238" s="150" t="s">
        <v>6152</v>
      </c>
      <c r="D238" s="240" t="s">
        <v>4283</v>
      </c>
      <c r="E238" s="590" t="s">
        <v>12642</v>
      </c>
      <c r="F238" s="203" t="s">
        <v>4285</v>
      </c>
      <c r="G238" s="204" t="s">
        <v>327</v>
      </c>
      <c r="H238" s="204">
        <v>1</v>
      </c>
      <c r="I238" s="203" t="s">
        <v>4284</v>
      </c>
      <c r="J238" s="205" t="s">
        <v>6153</v>
      </c>
      <c r="K238" s="203" t="s">
        <v>5104</v>
      </c>
      <c r="L238" s="205" t="s">
        <v>6154</v>
      </c>
      <c r="M238" s="205" t="s">
        <v>6155</v>
      </c>
      <c r="N238" s="204" t="s">
        <v>6156</v>
      </c>
      <c r="O238" s="204" t="s">
        <v>11</v>
      </c>
      <c r="P238" s="206">
        <v>5500</v>
      </c>
      <c r="Q238" s="206">
        <v>5481</v>
      </c>
      <c r="R238" s="207">
        <v>20000</v>
      </c>
      <c r="S238" s="207">
        <f t="shared" si="64"/>
        <v>109620000</v>
      </c>
      <c r="T238" s="589"/>
      <c r="U238" s="157">
        <v>20000</v>
      </c>
      <c r="V238" s="158">
        <f t="shared" si="75"/>
        <v>10144</v>
      </c>
      <c r="W238" s="159">
        <f t="shared" si="65"/>
        <v>9856</v>
      </c>
      <c r="X238" s="159">
        <f t="shared" si="66"/>
        <v>54020736</v>
      </c>
      <c r="Y238" s="160"/>
      <c r="Z238" s="160">
        <f t="shared" si="67"/>
        <v>0</v>
      </c>
      <c r="AA238" s="165"/>
      <c r="AB238" s="161">
        <f t="shared" si="68"/>
        <v>0</v>
      </c>
      <c r="AC238" s="162"/>
      <c r="AD238" s="162">
        <f t="shared" si="76"/>
        <v>0</v>
      </c>
      <c r="AE238" s="164"/>
      <c r="AF238" s="164">
        <f t="shared" si="77"/>
        <v>0</v>
      </c>
      <c r="AG238" s="165">
        <v>2968</v>
      </c>
      <c r="AH238" s="165">
        <f t="shared" si="78"/>
        <v>16267608</v>
      </c>
      <c r="AI238" s="166">
        <v>2968</v>
      </c>
      <c r="AJ238" s="166">
        <f t="shared" si="79"/>
        <v>16267608</v>
      </c>
      <c r="AK238" s="162"/>
      <c r="AL238" s="162">
        <f t="shared" si="69"/>
        <v>0</v>
      </c>
      <c r="AM238" s="173"/>
      <c r="AN238" s="167">
        <f t="shared" si="70"/>
        <v>0</v>
      </c>
      <c r="AO238" s="163">
        <f>1848+2072</f>
        <v>3920</v>
      </c>
      <c r="AP238" s="163">
        <f t="shared" si="71"/>
        <v>21485520</v>
      </c>
      <c r="AQ238" s="168"/>
      <c r="AR238" s="168">
        <f t="shared" si="72"/>
        <v>0</v>
      </c>
      <c r="AS238" s="170"/>
      <c r="AT238" s="170">
        <f t="shared" si="73"/>
        <v>0</v>
      </c>
      <c r="AU238" s="166"/>
      <c r="AV238" s="166">
        <f t="shared" si="74"/>
        <v>0</v>
      </c>
    </row>
    <row r="239" spans="1:48" s="131" customFormat="1" ht="31.5">
      <c r="A239" s="148">
        <v>36</v>
      </c>
      <c r="B239" s="149" t="s">
        <v>6151</v>
      </c>
      <c r="C239" s="150" t="s">
        <v>6152</v>
      </c>
      <c r="D239" s="250" t="s">
        <v>8667</v>
      </c>
      <c r="E239" s="241"/>
      <c r="F239" s="242" t="s">
        <v>8668</v>
      </c>
      <c r="G239" s="244" t="s">
        <v>8669</v>
      </c>
      <c r="H239" s="244" t="s">
        <v>211</v>
      </c>
      <c r="I239" s="244" t="s">
        <v>8670</v>
      </c>
      <c r="J239" s="244" t="s">
        <v>8671</v>
      </c>
      <c r="K239" s="244" t="s">
        <v>5104</v>
      </c>
      <c r="L239" s="241" t="s">
        <v>8672</v>
      </c>
      <c r="M239" s="244" t="s">
        <v>8603</v>
      </c>
      <c r="N239" s="241" t="s">
        <v>213</v>
      </c>
      <c r="O239" s="241" t="s">
        <v>11</v>
      </c>
      <c r="P239" s="245">
        <v>2500</v>
      </c>
      <c r="Q239" s="245">
        <v>2499</v>
      </c>
      <c r="R239" s="246">
        <v>10000</v>
      </c>
      <c r="S239" s="245">
        <f t="shared" si="64"/>
        <v>24990000</v>
      </c>
      <c r="T239" s="589"/>
      <c r="U239" s="244"/>
      <c r="V239" s="247">
        <f>R239-W239</f>
        <v>10000</v>
      </c>
      <c r="W239" s="159">
        <f t="shared" si="65"/>
        <v>0</v>
      </c>
      <c r="X239" s="159">
        <f t="shared" si="66"/>
        <v>0</v>
      </c>
      <c r="Y239" s="248"/>
      <c r="Z239" s="160">
        <f t="shared" si="67"/>
        <v>0</v>
      </c>
      <c r="AA239" s="248"/>
      <c r="AB239" s="161">
        <f t="shared" si="68"/>
        <v>0</v>
      </c>
      <c r="AC239" s="249"/>
      <c r="AD239" s="249"/>
      <c r="AE239" s="249"/>
      <c r="AF239" s="249"/>
      <c r="AG239" s="249"/>
      <c r="AH239" s="249"/>
      <c r="AI239" s="249"/>
      <c r="AJ239" s="249"/>
      <c r="AK239" s="249"/>
      <c r="AL239" s="162">
        <f t="shared" si="69"/>
        <v>0</v>
      </c>
      <c r="AM239" s="249"/>
      <c r="AN239" s="167">
        <f t="shared" si="70"/>
        <v>0</v>
      </c>
      <c r="AO239" s="249"/>
      <c r="AP239" s="163">
        <f t="shared" si="71"/>
        <v>0</v>
      </c>
      <c r="AQ239" s="249"/>
      <c r="AR239" s="168">
        <f t="shared" si="72"/>
        <v>0</v>
      </c>
      <c r="AS239" s="249"/>
      <c r="AT239" s="170">
        <f t="shared" si="73"/>
        <v>0</v>
      </c>
      <c r="AU239" s="249"/>
      <c r="AV239" s="166">
        <f t="shared" si="74"/>
        <v>0</v>
      </c>
    </row>
    <row r="240" spans="1:48" s="131" customFormat="1" ht="31.5">
      <c r="A240" s="148" t="s">
        <v>6469</v>
      </c>
      <c r="B240" s="149" t="s">
        <v>6470</v>
      </c>
      <c r="C240" s="149" t="s">
        <v>6471</v>
      </c>
      <c r="D240" s="240" t="s">
        <v>6472</v>
      </c>
      <c r="E240" s="590"/>
      <c r="F240" s="203" t="s">
        <v>1494</v>
      </c>
      <c r="G240" s="204" t="s">
        <v>387</v>
      </c>
      <c r="H240" s="204">
        <v>1</v>
      </c>
      <c r="I240" s="203" t="s">
        <v>2715</v>
      </c>
      <c r="J240" s="205" t="s">
        <v>6473</v>
      </c>
      <c r="K240" s="203" t="s">
        <v>5104</v>
      </c>
      <c r="L240" s="205" t="s">
        <v>2716</v>
      </c>
      <c r="M240" s="205" t="s">
        <v>2717</v>
      </c>
      <c r="N240" s="204" t="s">
        <v>5185</v>
      </c>
      <c r="O240" s="204" t="s">
        <v>11</v>
      </c>
      <c r="P240" s="206">
        <v>3160</v>
      </c>
      <c r="Q240" s="206">
        <v>1930</v>
      </c>
      <c r="R240" s="207">
        <v>20000</v>
      </c>
      <c r="S240" s="207">
        <f t="shared" si="64"/>
        <v>38600000</v>
      </c>
      <c r="T240" s="589"/>
      <c r="U240" s="157">
        <v>20000</v>
      </c>
      <c r="V240" s="158">
        <f t="shared" ref="V240:V254" si="80">U240-W240</f>
        <v>20000</v>
      </c>
      <c r="W240" s="159">
        <f t="shared" si="65"/>
        <v>0</v>
      </c>
      <c r="X240" s="159">
        <f t="shared" si="66"/>
        <v>0</v>
      </c>
      <c r="Y240" s="160"/>
      <c r="Z240" s="160">
        <f t="shared" si="67"/>
        <v>0</v>
      </c>
      <c r="AA240" s="165"/>
      <c r="AB240" s="161">
        <f t="shared" si="68"/>
        <v>0</v>
      </c>
      <c r="AC240" s="162"/>
      <c r="AD240" s="162">
        <f t="shared" ref="AD240:AD254" si="81">AC240*Q240</f>
        <v>0</v>
      </c>
      <c r="AE240" s="164"/>
      <c r="AF240" s="164">
        <f t="shared" ref="AF240:AF254" si="82">AE240*Q240</f>
        <v>0</v>
      </c>
      <c r="AG240" s="165"/>
      <c r="AH240" s="165">
        <f t="shared" ref="AH240:AH254" si="83">AG240*Q240</f>
        <v>0</v>
      </c>
      <c r="AI240" s="166">
        <v>0</v>
      </c>
      <c r="AJ240" s="166">
        <f t="shared" ref="AJ240:AJ254" si="84">AI240*Q240</f>
        <v>0</v>
      </c>
      <c r="AK240" s="162"/>
      <c r="AL240" s="162">
        <f t="shared" si="69"/>
        <v>0</v>
      </c>
      <c r="AM240" s="173"/>
      <c r="AN240" s="167">
        <f t="shared" si="70"/>
        <v>0</v>
      </c>
      <c r="AO240" s="163"/>
      <c r="AP240" s="163">
        <f t="shared" si="71"/>
        <v>0</v>
      </c>
      <c r="AQ240" s="168"/>
      <c r="AR240" s="168">
        <f t="shared" si="72"/>
        <v>0</v>
      </c>
      <c r="AS240" s="170"/>
      <c r="AT240" s="170">
        <f t="shared" si="73"/>
        <v>0</v>
      </c>
      <c r="AU240" s="166"/>
      <c r="AV240" s="166">
        <f t="shared" si="74"/>
        <v>0</v>
      </c>
    </row>
    <row r="241" spans="1:48" s="131" customFormat="1" ht="31.5">
      <c r="A241" s="172" t="s">
        <v>5218</v>
      </c>
      <c r="B241" s="149" t="s">
        <v>5219</v>
      </c>
      <c r="C241" s="149" t="s">
        <v>5220</v>
      </c>
      <c r="D241" s="634" t="s">
        <v>4924</v>
      </c>
      <c r="E241" s="631" t="s">
        <v>12642</v>
      </c>
      <c r="F241" s="175" t="s">
        <v>359</v>
      </c>
      <c r="G241" s="151" t="s">
        <v>262</v>
      </c>
      <c r="H241" s="174" t="s">
        <v>211</v>
      </c>
      <c r="I241" s="150" t="s">
        <v>456</v>
      </c>
      <c r="J241" s="153" t="s">
        <v>5221</v>
      </c>
      <c r="K241" s="151">
        <v>60</v>
      </c>
      <c r="L241" s="151" t="s">
        <v>457</v>
      </c>
      <c r="M241" s="151" t="s">
        <v>458</v>
      </c>
      <c r="N241" s="152" t="s">
        <v>5222</v>
      </c>
      <c r="O241" s="152" t="s">
        <v>10</v>
      </c>
      <c r="P241" s="176">
        <v>2500</v>
      </c>
      <c r="Q241" s="177">
        <v>1780</v>
      </c>
      <c r="R241" s="176">
        <v>109200</v>
      </c>
      <c r="S241" s="156">
        <f t="shared" si="64"/>
        <v>194376000</v>
      </c>
      <c r="T241" s="589"/>
      <c r="U241" s="157">
        <v>104490</v>
      </c>
      <c r="V241" s="158">
        <f t="shared" si="80"/>
        <v>100590</v>
      </c>
      <c r="W241" s="159">
        <f t="shared" si="65"/>
        <v>3900</v>
      </c>
      <c r="X241" s="159">
        <f t="shared" si="66"/>
        <v>6942000</v>
      </c>
      <c r="Y241" s="160"/>
      <c r="Z241" s="160">
        <f t="shared" si="67"/>
        <v>0</v>
      </c>
      <c r="AA241" s="161">
        <v>3000</v>
      </c>
      <c r="AB241" s="161">
        <f t="shared" si="68"/>
        <v>5340000</v>
      </c>
      <c r="AC241" s="162"/>
      <c r="AD241" s="162">
        <f t="shared" si="81"/>
        <v>0</v>
      </c>
      <c r="AE241" s="164"/>
      <c r="AF241" s="164">
        <f t="shared" si="82"/>
        <v>0</v>
      </c>
      <c r="AG241" s="165"/>
      <c r="AH241" s="165">
        <f t="shared" si="83"/>
        <v>0</v>
      </c>
      <c r="AI241" s="166">
        <v>0</v>
      </c>
      <c r="AJ241" s="166">
        <f t="shared" si="84"/>
        <v>0</v>
      </c>
      <c r="AK241" s="162"/>
      <c r="AL241" s="162">
        <f t="shared" si="69"/>
        <v>0</v>
      </c>
      <c r="AM241" s="167">
        <v>900</v>
      </c>
      <c r="AN241" s="167">
        <f t="shared" si="70"/>
        <v>1602000</v>
      </c>
      <c r="AO241" s="163"/>
      <c r="AP241" s="163">
        <f t="shared" si="71"/>
        <v>0</v>
      </c>
      <c r="AQ241" s="168"/>
      <c r="AR241" s="168">
        <f t="shared" si="72"/>
        <v>0</v>
      </c>
      <c r="AS241" s="170"/>
      <c r="AT241" s="170">
        <f t="shared" si="73"/>
        <v>0</v>
      </c>
      <c r="AU241" s="166"/>
      <c r="AV241" s="166">
        <f t="shared" si="74"/>
        <v>0</v>
      </c>
    </row>
    <row r="242" spans="1:48" s="131" customFormat="1" ht="31.5">
      <c r="A242" s="148" t="s">
        <v>5248</v>
      </c>
      <c r="B242" s="149" t="s">
        <v>5219</v>
      </c>
      <c r="C242" s="149" t="s">
        <v>5220</v>
      </c>
      <c r="D242" s="634" t="s">
        <v>4879</v>
      </c>
      <c r="E242" s="631" t="s">
        <v>12642</v>
      </c>
      <c r="F242" s="175" t="s">
        <v>353</v>
      </c>
      <c r="G242" s="151" t="s">
        <v>381</v>
      </c>
      <c r="H242" s="174" t="s">
        <v>211</v>
      </c>
      <c r="I242" s="150" t="s">
        <v>461</v>
      </c>
      <c r="J242" s="153" t="s">
        <v>5221</v>
      </c>
      <c r="K242" s="151">
        <v>36</v>
      </c>
      <c r="L242" s="151" t="s">
        <v>462</v>
      </c>
      <c r="M242" s="151" t="s">
        <v>458</v>
      </c>
      <c r="N242" s="152" t="s">
        <v>5222</v>
      </c>
      <c r="O242" s="152" t="s">
        <v>10</v>
      </c>
      <c r="P242" s="176">
        <v>2250</v>
      </c>
      <c r="Q242" s="177">
        <v>1410</v>
      </c>
      <c r="R242" s="176">
        <v>364000</v>
      </c>
      <c r="S242" s="156">
        <f t="shared" si="64"/>
        <v>513240000</v>
      </c>
      <c r="T242" s="589"/>
      <c r="U242" s="157">
        <v>257500</v>
      </c>
      <c r="V242" s="158">
        <f t="shared" si="80"/>
        <v>235300</v>
      </c>
      <c r="W242" s="159">
        <f t="shared" si="65"/>
        <v>22200</v>
      </c>
      <c r="X242" s="159">
        <f t="shared" si="66"/>
        <v>31302000</v>
      </c>
      <c r="Y242" s="160"/>
      <c r="Z242" s="160">
        <f t="shared" si="67"/>
        <v>0</v>
      </c>
      <c r="AA242" s="165">
        <f>10440+7560</f>
        <v>18000</v>
      </c>
      <c r="AB242" s="161">
        <f t="shared" si="68"/>
        <v>25380000</v>
      </c>
      <c r="AC242" s="162"/>
      <c r="AD242" s="162">
        <f t="shared" si="81"/>
        <v>0</v>
      </c>
      <c r="AE242" s="164"/>
      <c r="AF242" s="164">
        <f t="shared" si="82"/>
        <v>0</v>
      </c>
      <c r="AG242" s="165">
        <v>3000</v>
      </c>
      <c r="AH242" s="165">
        <f t="shared" si="83"/>
        <v>4230000</v>
      </c>
      <c r="AI242" s="166">
        <v>0</v>
      </c>
      <c r="AJ242" s="166">
        <f t="shared" si="84"/>
        <v>0</v>
      </c>
      <c r="AK242" s="162"/>
      <c r="AL242" s="162">
        <f t="shared" si="69"/>
        <v>0</v>
      </c>
      <c r="AM242" s="173"/>
      <c r="AN242" s="167">
        <f t="shared" si="70"/>
        <v>0</v>
      </c>
      <c r="AO242" s="163"/>
      <c r="AP242" s="163">
        <f t="shared" si="71"/>
        <v>0</v>
      </c>
      <c r="AQ242" s="168"/>
      <c r="AR242" s="168">
        <f t="shared" si="72"/>
        <v>0</v>
      </c>
      <c r="AS242" s="170">
        <v>1200</v>
      </c>
      <c r="AT242" s="170">
        <f t="shared" si="73"/>
        <v>1692000</v>
      </c>
      <c r="AU242" s="166"/>
      <c r="AV242" s="166">
        <f t="shared" si="74"/>
        <v>0</v>
      </c>
    </row>
    <row r="243" spans="1:48" s="131" customFormat="1" ht="31.5">
      <c r="A243" s="172" t="s">
        <v>5256</v>
      </c>
      <c r="B243" s="149" t="s">
        <v>5219</v>
      </c>
      <c r="C243" s="149" t="s">
        <v>5220</v>
      </c>
      <c r="D243" s="634" t="s">
        <v>4920</v>
      </c>
      <c r="E243" s="631" t="s">
        <v>12642</v>
      </c>
      <c r="F243" s="175" t="s">
        <v>347</v>
      </c>
      <c r="G243" s="151" t="s">
        <v>327</v>
      </c>
      <c r="H243" s="174" t="s">
        <v>211</v>
      </c>
      <c r="I243" s="150" t="s">
        <v>459</v>
      </c>
      <c r="J243" s="153" t="s">
        <v>5221</v>
      </c>
      <c r="K243" s="151">
        <v>60</v>
      </c>
      <c r="L243" s="151" t="s">
        <v>460</v>
      </c>
      <c r="M243" s="151" t="s">
        <v>458</v>
      </c>
      <c r="N243" s="152" t="s">
        <v>5222</v>
      </c>
      <c r="O243" s="152" t="s">
        <v>10</v>
      </c>
      <c r="P243" s="176">
        <v>2160</v>
      </c>
      <c r="Q243" s="177">
        <v>596</v>
      </c>
      <c r="R243" s="176">
        <v>364000</v>
      </c>
      <c r="S243" s="156">
        <f t="shared" si="64"/>
        <v>216944000</v>
      </c>
      <c r="T243" s="589"/>
      <c r="U243" s="157">
        <v>174010</v>
      </c>
      <c r="V243" s="158">
        <f t="shared" si="80"/>
        <v>174010</v>
      </c>
      <c r="W243" s="159">
        <f t="shared" si="65"/>
        <v>0</v>
      </c>
      <c r="X243" s="159">
        <f t="shared" si="66"/>
        <v>0</v>
      </c>
      <c r="Y243" s="160"/>
      <c r="Z243" s="160">
        <f t="shared" si="67"/>
        <v>0</v>
      </c>
      <c r="AA243" s="161"/>
      <c r="AB243" s="161">
        <f t="shared" si="68"/>
        <v>0</v>
      </c>
      <c r="AC243" s="162"/>
      <c r="AD243" s="162">
        <f t="shared" si="81"/>
        <v>0</v>
      </c>
      <c r="AE243" s="164"/>
      <c r="AF243" s="164">
        <f t="shared" si="82"/>
        <v>0</v>
      </c>
      <c r="AG243" s="165"/>
      <c r="AH243" s="165">
        <f t="shared" si="83"/>
        <v>0</v>
      </c>
      <c r="AI243" s="166">
        <v>0</v>
      </c>
      <c r="AJ243" s="166">
        <f t="shared" si="84"/>
        <v>0</v>
      </c>
      <c r="AK243" s="162"/>
      <c r="AL243" s="162">
        <f t="shared" si="69"/>
        <v>0</v>
      </c>
      <c r="AM243" s="167"/>
      <c r="AN243" s="167">
        <f t="shared" si="70"/>
        <v>0</v>
      </c>
      <c r="AO243" s="163"/>
      <c r="AP243" s="163">
        <f t="shared" si="71"/>
        <v>0</v>
      </c>
      <c r="AQ243" s="168"/>
      <c r="AR243" s="168">
        <f t="shared" si="72"/>
        <v>0</v>
      </c>
      <c r="AS243" s="170"/>
      <c r="AT243" s="170">
        <f t="shared" si="73"/>
        <v>0</v>
      </c>
      <c r="AU243" s="166"/>
      <c r="AV243" s="166">
        <f t="shared" si="74"/>
        <v>0</v>
      </c>
    </row>
    <row r="244" spans="1:48" s="131" customFormat="1" ht="31.5">
      <c r="A244" s="148" t="s">
        <v>5815</v>
      </c>
      <c r="B244" s="149" t="s">
        <v>5219</v>
      </c>
      <c r="C244" s="149" t="s">
        <v>5220</v>
      </c>
      <c r="D244" s="240" t="s">
        <v>5816</v>
      </c>
      <c r="E244" s="590" t="s">
        <v>12642</v>
      </c>
      <c r="F244" s="203" t="s">
        <v>702</v>
      </c>
      <c r="G244" s="204" t="s">
        <v>262</v>
      </c>
      <c r="H244" s="204">
        <v>1</v>
      </c>
      <c r="I244" s="203" t="s">
        <v>5817</v>
      </c>
      <c r="J244" s="205" t="s">
        <v>5818</v>
      </c>
      <c r="K244" s="203" t="s">
        <v>5108</v>
      </c>
      <c r="L244" s="205" t="s">
        <v>5819</v>
      </c>
      <c r="M244" s="205" t="s">
        <v>458</v>
      </c>
      <c r="N244" s="204" t="s">
        <v>5222</v>
      </c>
      <c r="O244" s="204" t="s">
        <v>11</v>
      </c>
      <c r="P244" s="206">
        <v>2250</v>
      </c>
      <c r="Q244" s="206">
        <v>2000</v>
      </c>
      <c r="R244" s="207">
        <v>40000</v>
      </c>
      <c r="S244" s="207">
        <f t="shared" si="64"/>
        <v>80000000</v>
      </c>
      <c r="T244" s="589"/>
      <c r="U244" s="157">
        <v>40000</v>
      </c>
      <c r="V244" s="158">
        <f t="shared" si="80"/>
        <v>40000</v>
      </c>
      <c r="W244" s="159">
        <f t="shared" si="65"/>
        <v>0</v>
      </c>
      <c r="X244" s="159">
        <f t="shared" si="66"/>
        <v>0</v>
      </c>
      <c r="Y244" s="160"/>
      <c r="Z244" s="160">
        <f t="shared" si="67"/>
        <v>0</v>
      </c>
      <c r="AA244" s="165"/>
      <c r="AB244" s="161">
        <f t="shared" si="68"/>
        <v>0</v>
      </c>
      <c r="AC244" s="162"/>
      <c r="AD244" s="162">
        <f t="shared" si="81"/>
        <v>0</v>
      </c>
      <c r="AE244" s="164"/>
      <c r="AF244" s="164">
        <f t="shared" si="82"/>
        <v>0</v>
      </c>
      <c r="AG244" s="165"/>
      <c r="AH244" s="165">
        <f t="shared" si="83"/>
        <v>0</v>
      </c>
      <c r="AI244" s="166">
        <v>0</v>
      </c>
      <c r="AJ244" s="166">
        <f t="shared" si="84"/>
        <v>0</v>
      </c>
      <c r="AK244" s="162"/>
      <c r="AL244" s="162">
        <f t="shared" si="69"/>
        <v>0</v>
      </c>
      <c r="AM244" s="173"/>
      <c r="AN244" s="167">
        <f t="shared" si="70"/>
        <v>0</v>
      </c>
      <c r="AO244" s="163"/>
      <c r="AP244" s="163">
        <f t="shared" si="71"/>
        <v>0</v>
      </c>
      <c r="AQ244" s="168"/>
      <c r="AR244" s="168">
        <f t="shared" si="72"/>
        <v>0</v>
      </c>
      <c r="AS244" s="170"/>
      <c r="AT244" s="170">
        <f t="shared" si="73"/>
        <v>0</v>
      </c>
      <c r="AU244" s="166"/>
      <c r="AV244" s="166">
        <f t="shared" si="74"/>
        <v>0</v>
      </c>
    </row>
    <row r="245" spans="1:48" s="131" customFormat="1" ht="31.5">
      <c r="A245" s="148" t="s">
        <v>5954</v>
      </c>
      <c r="B245" s="149" t="s">
        <v>5219</v>
      </c>
      <c r="C245" s="149" t="s">
        <v>5220</v>
      </c>
      <c r="D245" s="240" t="s">
        <v>5955</v>
      </c>
      <c r="E245" s="590" t="s">
        <v>12642</v>
      </c>
      <c r="F245" s="203" t="s">
        <v>1368</v>
      </c>
      <c r="G245" s="204" t="s">
        <v>299</v>
      </c>
      <c r="H245" s="204">
        <v>1</v>
      </c>
      <c r="I245" s="203" t="s">
        <v>5956</v>
      </c>
      <c r="J245" s="205" t="s">
        <v>5957</v>
      </c>
      <c r="K245" s="203" t="s">
        <v>5108</v>
      </c>
      <c r="L245" s="205" t="s">
        <v>5958</v>
      </c>
      <c r="M245" s="205" t="s">
        <v>458</v>
      </c>
      <c r="N245" s="204" t="s">
        <v>5222</v>
      </c>
      <c r="O245" s="204" t="s">
        <v>11</v>
      </c>
      <c r="P245" s="206">
        <v>3050</v>
      </c>
      <c r="Q245" s="206">
        <v>2560</v>
      </c>
      <c r="R245" s="207">
        <v>20000</v>
      </c>
      <c r="S245" s="207">
        <f t="shared" si="64"/>
        <v>51200000</v>
      </c>
      <c r="T245" s="589"/>
      <c r="U245" s="157">
        <v>20000</v>
      </c>
      <c r="V245" s="158">
        <f t="shared" si="80"/>
        <v>20000</v>
      </c>
      <c r="W245" s="159">
        <f t="shared" si="65"/>
        <v>0</v>
      </c>
      <c r="X245" s="159">
        <f t="shared" si="66"/>
        <v>0</v>
      </c>
      <c r="Y245" s="160"/>
      <c r="Z245" s="160">
        <f t="shared" si="67"/>
        <v>0</v>
      </c>
      <c r="AA245" s="165"/>
      <c r="AB245" s="161">
        <f t="shared" si="68"/>
        <v>0</v>
      </c>
      <c r="AC245" s="162"/>
      <c r="AD245" s="162">
        <f t="shared" si="81"/>
        <v>0</v>
      </c>
      <c r="AE245" s="164"/>
      <c r="AF245" s="164">
        <f t="shared" si="82"/>
        <v>0</v>
      </c>
      <c r="AG245" s="165"/>
      <c r="AH245" s="165">
        <f t="shared" si="83"/>
        <v>0</v>
      </c>
      <c r="AI245" s="166">
        <v>0</v>
      </c>
      <c r="AJ245" s="166">
        <f t="shared" si="84"/>
        <v>0</v>
      </c>
      <c r="AK245" s="162"/>
      <c r="AL245" s="162">
        <f t="shared" si="69"/>
        <v>0</v>
      </c>
      <c r="AM245" s="173"/>
      <c r="AN245" s="167">
        <f t="shared" si="70"/>
        <v>0</v>
      </c>
      <c r="AO245" s="163"/>
      <c r="AP245" s="163">
        <f t="shared" si="71"/>
        <v>0</v>
      </c>
      <c r="AQ245" s="168"/>
      <c r="AR245" s="168">
        <f t="shared" si="72"/>
        <v>0</v>
      </c>
      <c r="AS245" s="170"/>
      <c r="AT245" s="170">
        <f t="shared" si="73"/>
        <v>0</v>
      </c>
      <c r="AU245" s="166"/>
      <c r="AV245" s="166">
        <f t="shared" si="74"/>
        <v>0</v>
      </c>
    </row>
    <row r="246" spans="1:48" s="131" customFormat="1" ht="31.5">
      <c r="A246" s="148" t="s">
        <v>6035</v>
      </c>
      <c r="B246" s="149" t="s">
        <v>5219</v>
      </c>
      <c r="C246" s="149" t="s">
        <v>5220</v>
      </c>
      <c r="D246" s="240" t="s">
        <v>6036</v>
      </c>
      <c r="E246" s="590"/>
      <c r="F246" s="203" t="s">
        <v>6037</v>
      </c>
      <c r="G246" s="204" t="s">
        <v>730</v>
      </c>
      <c r="H246" s="204">
        <v>1</v>
      </c>
      <c r="I246" s="203" t="s">
        <v>6038</v>
      </c>
      <c r="J246" s="205" t="s">
        <v>6039</v>
      </c>
      <c r="K246" s="203" t="s">
        <v>5108</v>
      </c>
      <c r="L246" s="205" t="s">
        <v>6040</v>
      </c>
      <c r="M246" s="205" t="s">
        <v>458</v>
      </c>
      <c r="N246" s="204" t="s">
        <v>5222</v>
      </c>
      <c r="O246" s="204" t="s">
        <v>11</v>
      </c>
      <c r="P246" s="206">
        <v>4900</v>
      </c>
      <c r="Q246" s="206">
        <v>4900</v>
      </c>
      <c r="R246" s="207">
        <v>20000</v>
      </c>
      <c r="S246" s="207">
        <f t="shared" si="64"/>
        <v>98000000</v>
      </c>
      <c r="T246" s="589"/>
      <c r="U246" s="157">
        <v>20000</v>
      </c>
      <c r="V246" s="158">
        <f t="shared" si="80"/>
        <v>20000</v>
      </c>
      <c r="W246" s="159">
        <f t="shared" si="65"/>
        <v>0</v>
      </c>
      <c r="X246" s="159">
        <f t="shared" si="66"/>
        <v>0</v>
      </c>
      <c r="Y246" s="160"/>
      <c r="Z246" s="160">
        <f t="shared" si="67"/>
        <v>0</v>
      </c>
      <c r="AA246" s="165"/>
      <c r="AB246" s="161">
        <f t="shared" si="68"/>
        <v>0</v>
      </c>
      <c r="AC246" s="162"/>
      <c r="AD246" s="162">
        <f t="shared" si="81"/>
        <v>0</v>
      </c>
      <c r="AE246" s="164"/>
      <c r="AF246" s="164">
        <f t="shared" si="82"/>
        <v>0</v>
      </c>
      <c r="AG246" s="165"/>
      <c r="AH246" s="165">
        <f t="shared" si="83"/>
        <v>0</v>
      </c>
      <c r="AI246" s="166">
        <v>0</v>
      </c>
      <c r="AJ246" s="166">
        <f t="shared" si="84"/>
        <v>0</v>
      </c>
      <c r="AK246" s="162"/>
      <c r="AL246" s="162">
        <f t="shared" si="69"/>
        <v>0</v>
      </c>
      <c r="AM246" s="173"/>
      <c r="AN246" s="167">
        <f t="shared" si="70"/>
        <v>0</v>
      </c>
      <c r="AO246" s="163"/>
      <c r="AP246" s="163">
        <f t="shared" si="71"/>
        <v>0</v>
      </c>
      <c r="AQ246" s="168"/>
      <c r="AR246" s="168">
        <f t="shared" si="72"/>
        <v>0</v>
      </c>
      <c r="AS246" s="170"/>
      <c r="AT246" s="170">
        <f t="shared" si="73"/>
        <v>0</v>
      </c>
      <c r="AU246" s="166"/>
      <c r="AV246" s="166">
        <f t="shared" si="74"/>
        <v>0</v>
      </c>
    </row>
    <row r="247" spans="1:48" s="131" customFormat="1" ht="31.5">
      <c r="A247" s="148" t="s">
        <v>6204</v>
      </c>
      <c r="B247" s="149" t="s">
        <v>5219</v>
      </c>
      <c r="C247" s="149" t="s">
        <v>5220</v>
      </c>
      <c r="D247" s="240" t="s">
        <v>6205</v>
      </c>
      <c r="E247" s="590" t="s">
        <v>12642</v>
      </c>
      <c r="F247" s="203" t="s">
        <v>359</v>
      </c>
      <c r="G247" s="204" t="s">
        <v>258</v>
      </c>
      <c r="H247" s="204">
        <v>1</v>
      </c>
      <c r="I247" s="203" t="s">
        <v>1532</v>
      </c>
      <c r="J247" s="205" t="s">
        <v>6206</v>
      </c>
      <c r="K247" s="203" t="s">
        <v>5108</v>
      </c>
      <c r="L247" s="205" t="s">
        <v>6207</v>
      </c>
      <c r="M247" s="205" t="s">
        <v>458</v>
      </c>
      <c r="N247" s="204" t="s">
        <v>5222</v>
      </c>
      <c r="O247" s="204" t="s">
        <v>11</v>
      </c>
      <c r="P247" s="206">
        <v>1750</v>
      </c>
      <c r="Q247" s="206">
        <v>1750</v>
      </c>
      <c r="R247" s="207">
        <v>20000</v>
      </c>
      <c r="S247" s="207">
        <f t="shared" si="64"/>
        <v>35000000</v>
      </c>
      <c r="T247" s="589"/>
      <c r="U247" s="157">
        <v>20000</v>
      </c>
      <c r="V247" s="158">
        <f t="shared" si="80"/>
        <v>20000</v>
      </c>
      <c r="W247" s="159">
        <f t="shared" si="65"/>
        <v>0</v>
      </c>
      <c r="X247" s="159">
        <f t="shared" si="66"/>
        <v>0</v>
      </c>
      <c r="Y247" s="160"/>
      <c r="Z247" s="160">
        <f t="shared" si="67"/>
        <v>0</v>
      </c>
      <c r="AA247" s="161"/>
      <c r="AB247" s="161">
        <f t="shared" si="68"/>
        <v>0</v>
      </c>
      <c r="AC247" s="162"/>
      <c r="AD247" s="162">
        <f t="shared" si="81"/>
        <v>0</v>
      </c>
      <c r="AE247" s="164"/>
      <c r="AF247" s="164">
        <f t="shared" si="82"/>
        <v>0</v>
      </c>
      <c r="AG247" s="165"/>
      <c r="AH247" s="165">
        <f t="shared" si="83"/>
        <v>0</v>
      </c>
      <c r="AI247" s="166">
        <v>0</v>
      </c>
      <c r="AJ247" s="166">
        <f t="shared" si="84"/>
        <v>0</v>
      </c>
      <c r="AK247" s="162"/>
      <c r="AL247" s="162">
        <f t="shared" si="69"/>
        <v>0</v>
      </c>
      <c r="AM247" s="167"/>
      <c r="AN247" s="167">
        <f t="shared" si="70"/>
        <v>0</v>
      </c>
      <c r="AO247" s="163"/>
      <c r="AP247" s="163">
        <f t="shared" si="71"/>
        <v>0</v>
      </c>
      <c r="AQ247" s="168"/>
      <c r="AR247" s="168">
        <f t="shared" si="72"/>
        <v>0</v>
      </c>
      <c r="AS247" s="170"/>
      <c r="AT247" s="170">
        <f t="shared" si="73"/>
        <v>0</v>
      </c>
      <c r="AU247" s="166"/>
      <c r="AV247" s="166">
        <f t="shared" si="74"/>
        <v>0</v>
      </c>
    </row>
    <row r="248" spans="1:48" s="131" customFormat="1" ht="31.5">
      <c r="A248" s="172" t="s">
        <v>6275</v>
      </c>
      <c r="B248" s="149" t="s">
        <v>5219</v>
      </c>
      <c r="C248" s="149" t="s">
        <v>5220</v>
      </c>
      <c r="D248" s="240" t="s">
        <v>3948</v>
      </c>
      <c r="E248" s="590" t="s">
        <v>12642</v>
      </c>
      <c r="F248" s="203" t="s">
        <v>1333</v>
      </c>
      <c r="G248" s="204" t="s">
        <v>238</v>
      </c>
      <c r="H248" s="204">
        <v>1</v>
      </c>
      <c r="I248" s="203" t="s">
        <v>1538</v>
      </c>
      <c r="J248" s="205" t="s">
        <v>5957</v>
      </c>
      <c r="K248" s="203" t="s">
        <v>5108</v>
      </c>
      <c r="L248" s="205" t="s">
        <v>1539</v>
      </c>
      <c r="M248" s="205" t="s">
        <v>458</v>
      </c>
      <c r="N248" s="204" t="s">
        <v>5222</v>
      </c>
      <c r="O248" s="204" t="s">
        <v>11</v>
      </c>
      <c r="P248" s="206">
        <v>1380</v>
      </c>
      <c r="Q248" s="206">
        <v>980</v>
      </c>
      <c r="R248" s="207">
        <v>40000</v>
      </c>
      <c r="S248" s="207">
        <f t="shared" si="64"/>
        <v>39200000</v>
      </c>
      <c r="T248" s="589"/>
      <c r="U248" s="157">
        <v>40000</v>
      </c>
      <c r="V248" s="158">
        <f t="shared" si="80"/>
        <v>29500</v>
      </c>
      <c r="W248" s="159">
        <f t="shared" si="65"/>
        <v>10500</v>
      </c>
      <c r="X248" s="159">
        <f t="shared" si="66"/>
        <v>10290000</v>
      </c>
      <c r="Y248" s="160"/>
      <c r="Z248" s="160">
        <f t="shared" si="67"/>
        <v>0</v>
      </c>
      <c r="AA248" s="165"/>
      <c r="AB248" s="161">
        <f t="shared" si="68"/>
        <v>0</v>
      </c>
      <c r="AC248" s="162"/>
      <c r="AD248" s="162">
        <f t="shared" si="81"/>
        <v>0</v>
      </c>
      <c r="AE248" s="163"/>
      <c r="AF248" s="164">
        <f t="shared" si="82"/>
        <v>0</v>
      </c>
      <c r="AG248" s="161"/>
      <c r="AH248" s="165">
        <f t="shared" si="83"/>
        <v>0</v>
      </c>
      <c r="AI248" s="160">
        <v>0</v>
      </c>
      <c r="AJ248" s="166">
        <f t="shared" si="84"/>
        <v>0</v>
      </c>
      <c r="AK248" s="162"/>
      <c r="AL248" s="162">
        <f t="shared" si="69"/>
        <v>0</v>
      </c>
      <c r="AM248" s="173">
        <v>10500</v>
      </c>
      <c r="AN248" s="167">
        <f t="shared" si="70"/>
        <v>10290000</v>
      </c>
      <c r="AO248" s="163"/>
      <c r="AP248" s="163">
        <f t="shared" si="71"/>
        <v>0</v>
      </c>
      <c r="AQ248" s="162"/>
      <c r="AR248" s="168">
        <f t="shared" si="72"/>
        <v>0</v>
      </c>
      <c r="AS248" s="169"/>
      <c r="AT248" s="170">
        <f t="shared" si="73"/>
        <v>0</v>
      </c>
      <c r="AU248" s="160"/>
      <c r="AV248" s="166">
        <f t="shared" si="74"/>
        <v>0</v>
      </c>
    </row>
    <row r="249" spans="1:48" s="131" customFormat="1" ht="31.5">
      <c r="A249" s="148" t="s">
        <v>6323</v>
      </c>
      <c r="B249" s="149" t="s">
        <v>5219</v>
      </c>
      <c r="C249" s="149" t="s">
        <v>5220</v>
      </c>
      <c r="D249" s="240" t="s">
        <v>3910</v>
      </c>
      <c r="E249" s="590" t="s">
        <v>12642</v>
      </c>
      <c r="F249" s="203" t="s">
        <v>1215</v>
      </c>
      <c r="G249" s="204" t="s">
        <v>1217</v>
      </c>
      <c r="H249" s="204">
        <v>1</v>
      </c>
      <c r="I249" s="203" t="s">
        <v>4421</v>
      </c>
      <c r="J249" s="205" t="s">
        <v>6324</v>
      </c>
      <c r="K249" s="203" t="s">
        <v>5104</v>
      </c>
      <c r="L249" s="205" t="s">
        <v>6325</v>
      </c>
      <c r="M249" s="205" t="s">
        <v>1536</v>
      </c>
      <c r="N249" s="204" t="s">
        <v>5717</v>
      </c>
      <c r="O249" s="204" t="s">
        <v>11</v>
      </c>
      <c r="P249" s="206">
        <v>3200</v>
      </c>
      <c r="Q249" s="206">
        <v>2990</v>
      </c>
      <c r="R249" s="207">
        <v>40000</v>
      </c>
      <c r="S249" s="207">
        <f t="shared" si="64"/>
        <v>119600000</v>
      </c>
      <c r="T249" s="589"/>
      <c r="U249" s="157">
        <v>40000</v>
      </c>
      <c r="V249" s="158">
        <f t="shared" si="80"/>
        <v>35020</v>
      </c>
      <c r="W249" s="159">
        <f t="shared" si="65"/>
        <v>4980</v>
      </c>
      <c r="X249" s="159">
        <f t="shared" si="66"/>
        <v>14890200</v>
      </c>
      <c r="Y249" s="160"/>
      <c r="Z249" s="160">
        <f t="shared" si="67"/>
        <v>0</v>
      </c>
      <c r="AA249" s="165"/>
      <c r="AB249" s="161">
        <f t="shared" si="68"/>
        <v>0</v>
      </c>
      <c r="AC249" s="162"/>
      <c r="AD249" s="162">
        <f t="shared" si="81"/>
        <v>0</v>
      </c>
      <c r="AE249" s="163"/>
      <c r="AF249" s="164">
        <f t="shared" si="82"/>
        <v>0</v>
      </c>
      <c r="AG249" s="161"/>
      <c r="AH249" s="165">
        <f t="shared" si="83"/>
        <v>0</v>
      </c>
      <c r="AI249" s="160">
        <v>0</v>
      </c>
      <c r="AJ249" s="166">
        <f t="shared" si="84"/>
        <v>0</v>
      </c>
      <c r="AK249" s="162"/>
      <c r="AL249" s="162">
        <f t="shared" si="69"/>
        <v>0</v>
      </c>
      <c r="AM249" s="173">
        <v>4980</v>
      </c>
      <c r="AN249" s="167">
        <f t="shared" si="70"/>
        <v>14890200</v>
      </c>
      <c r="AO249" s="163"/>
      <c r="AP249" s="163">
        <f t="shared" si="71"/>
        <v>0</v>
      </c>
      <c r="AQ249" s="162"/>
      <c r="AR249" s="168">
        <f t="shared" si="72"/>
        <v>0</v>
      </c>
      <c r="AS249" s="169"/>
      <c r="AT249" s="170">
        <f t="shared" si="73"/>
        <v>0</v>
      </c>
      <c r="AU249" s="160"/>
      <c r="AV249" s="166">
        <f t="shared" si="74"/>
        <v>0</v>
      </c>
    </row>
    <row r="250" spans="1:48" s="131" customFormat="1" ht="31.5">
      <c r="A250" s="148" t="s">
        <v>5157</v>
      </c>
      <c r="B250" s="149" t="s">
        <v>2332</v>
      </c>
      <c r="C250" s="150" t="s">
        <v>5158</v>
      </c>
      <c r="D250" s="634" t="s">
        <v>4812</v>
      </c>
      <c r="E250" s="631" t="s">
        <v>12642</v>
      </c>
      <c r="F250" s="175" t="s">
        <v>368</v>
      </c>
      <c r="G250" s="151" t="s">
        <v>369</v>
      </c>
      <c r="H250" s="174" t="s">
        <v>211</v>
      </c>
      <c r="I250" s="150" t="s">
        <v>4813</v>
      </c>
      <c r="J250" s="153" t="s">
        <v>5159</v>
      </c>
      <c r="K250" s="151" t="s">
        <v>5104</v>
      </c>
      <c r="L250" s="151" t="s">
        <v>454</v>
      </c>
      <c r="M250" s="151" t="s">
        <v>455</v>
      </c>
      <c r="N250" s="152" t="s">
        <v>5160</v>
      </c>
      <c r="O250" s="152" t="s">
        <v>10</v>
      </c>
      <c r="P250" s="176">
        <v>860</v>
      </c>
      <c r="Q250" s="177">
        <v>786</v>
      </c>
      <c r="R250" s="176">
        <v>300000</v>
      </c>
      <c r="S250" s="156">
        <f t="shared" si="64"/>
        <v>235800000</v>
      </c>
      <c r="T250" s="589"/>
      <c r="U250" s="157">
        <v>260000</v>
      </c>
      <c r="V250" s="158">
        <f t="shared" si="80"/>
        <v>248300</v>
      </c>
      <c r="W250" s="159">
        <f t="shared" si="65"/>
        <v>11700</v>
      </c>
      <c r="X250" s="159">
        <f t="shared" si="66"/>
        <v>9196200</v>
      </c>
      <c r="Y250" s="160"/>
      <c r="Z250" s="160">
        <f t="shared" si="67"/>
        <v>0</v>
      </c>
      <c r="AA250" s="165"/>
      <c r="AB250" s="161">
        <f t="shared" si="68"/>
        <v>0</v>
      </c>
      <c r="AC250" s="162"/>
      <c r="AD250" s="162">
        <f t="shared" si="81"/>
        <v>0</v>
      </c>
      <c r="AE250" s="164"/>
      <c r="AF250" s="164">
        <f t="shared" si="82"/>
        <v>0</v>
      </c>
      <c r="AG250" s="165"/>
      <c r="AH250" s="165">
        <f t="shared" si="83"/>
        <v>0</v>
      </c>
      <c r="AI250" s="166">
        <v>0</v>
      </c>
      <c r="AJ250" s="166">
        <f t="shared" si="84"/>
        <v>0</v>
      </c>
      <c r="AK250" s="162"/>
      <c r="AL250" s="162">
        <f t="shared" si="69"/>
        <v>0</v>
      </c>
      <c r="AM250" s="173"/>
      <c r="AN250" s="167">
        <f t="shared" si="70"/>
        <v>0</v>
      </c>
      <c r="AO250" s="163"/>
      <c r="AP250" s="163">
        <f t="shared" si="71"/>
        <v>0</v>
      </c>
      <c r="AQ250" s="168"/>
      <c r="AR250" s="168">
        <f t="shared" si="72"/>
        <v>0</v>
      </c>
      <c r="AS250" s="170">
        <v>1700</v>
      </c>
      <c r="AT250" s="170">
        <f t="shared" si="73"/>
        <v>1336200</v>
      </c>
      <c r="AU250" s="166">
        <v>10000</v>
      </c>
      <c r="AV250" s="166">
        <f t="shared" si="74"/>
        <v>7860000</v>
      </c>
    </row>
    <row r="251" spans="1:48" s="131" customFormat="1" ht="31.5">
      <c r="A251" s="172" t="s">
        <v>6772</v>
      </c>
      <c r="B251" s="149" t="s">
        <v>2332</v>
      </c>
      <c r="C251" s="150" t="s">
        <v>5158</v>
      </c>
      <c r="D251" s="608" t="s">
        <v>6773</v>
      </c>
      <c r="E251" s="591" t="s">
        <v>12643</v>
      </c>
      <c r="F251" s="223" t="s">
        <v>246</v>
      </c>
      <c r="G251" s="224" t="s">
        <v>291</v>
      </c>
      <c r="H251" s="204">
        <v>2</v>
      </c>
      <c r="I251" s="223" t="s">
        <v>6774</v>
      </c>
      <c r="J251" s="225" t="s">
        <v>6644</v>
      </c>
      <c r="K251" s="223" t="s">
        <v>5104</v>
      </c>
      <c r="L251" s="225" t="s">
        <v>6775</v>
      </c>
      <c r="M251" s="225" t="s">
        <v>6532</v>
      </c>
      <c r="N251" s="224" t="s">
        <v>213</v>
      </c>
      <c r="O251" s="204" t="s">
        <v>11</v>
      </c>
      <c r="P251" s="226">
        <v>3900</v>
      </c>
      <c r="Q251" s="226">
        <v>2415</v>
      </c>
      <c r="R251" s="207">
        <v>20000</v>
      </c>
      <c r="S251" s="207">
        <f t="shared" si="64"/>
        <v>48300000</v>
      </c>
      <c r="T251" s="589" t="s">
        <v>11</v>
      </c>
      <c r="U251" s="157">
        <v>20000</v>
      </c>
      <c r="V251" s="158">
        <f t="shared" si="80"/>
        <v>20000</v>
      </c>
      <c r="W251" s="159">
        <f t="shared" si="65"/>
        <v>0</v>
      </c>
      <c r="X251" s="159">
        <f t="shared" si="66"/>
        <v>0</v>
      </c>
      <c r="Y251" s="160"/>
      <c r="Z251" s="160">
        <f t="shared" si="67"/>
        <v>0</v>
      </c>
      <c r="AA251" s="165"/>
      <c r="AB251" s="161">
        <f t="shared" si="68"/>
        <v>0</v>
      </c>
      <c r="AC251" s="162"/>
      <c r="AD251" s="162">
        <f t="shared" si="81"/>
        <v>0</v>
      </c>
      <c r="AE251" s="164"/>
      <c r="AF251" s="164">
        <f t="shared" si="82"/>
        <v>0</v>
      </c>
      <c r="AG251" s="165"/>
      <c r="AH251" s="165">
        <f t="shared" si="83"/>
        <v>0</v>
      </c>
      <c r="AI251" s="166">
        <v>0</v>
      </c>
      <c r="AJ251" s="166">
        <f t="shared" si="84"/>
        <v>0</v>
      </c>
      <c r="AK251" s="162"/>
      <c r="AL251" s="162">
        <f t="shared" si="69"/>
        <v>0</v>
      </c>
      <c r="AM251" s="173"/>
      <c r="AN251" s="167">
        <f t="shared" si="70"/>
        <v>0</v>
      </c>
      <c r="AO251" s="163"/>
      <c r="AP251" s="163">
        <f t="shared" si="71"/>
        <v>0</v>
      </c>
      <c r="AQ251" s="168"/>
      <c r="AR251" s="168">
        <f t="shared" si="72"/>
        <v>0</v>
      </c>
      <c r="AS251" s="170"/>
      <c r="AT251" s="170">
        <f t="shared" si="73"/>
        <v>0</v>
      </c>
      <c r="AU251" s="166"/>
      <c r="AV251" s="166">
        <f t="shared" si="74"/>
        <v>0</v>
      </c>
    </row>
    <row r="252" spans="1:48" s="131" customFormat="1" ht="31.5">
      <c r="A252" s="148" t="s">
        <v>6807</v>
      </c>
      <c r="B252" s="149" t="s">
        <v>2332</v>
      </c>
      <c r="C252" s="150" t="s">
        <v>5158</v>
      </c>
      <c r="D252" s="240" t="s">
        <v>6808</v>
      </c>
      <c r="E252" s="590" t="s">
        <v>12642</v>
      </c>
      <c r="F252" s="203" t="s">
        <v>3974</v>
      </c>
      <c r="G252" s="204" t="s">
        <v>267</v>
      </c>
      <c r="H252" s="204">
        <v>2</v>
      </c>
      <c r="I252" s="203" t="s">
        <v>6809</v>
      </c>
      <c r="J252" s="205" t="s">
        <v>6644</v>
      </c>
      <c r="K252" s="203" t="s">
        <v>5104</v>
      </c>
      <c r="L252" s="205" t="s">
        <v>6810</v>
      </c>
      <c r="M252" s="205" t="s">
        <v>6532</v>
      </c>
      <c r="N252" s="204" t="s">
        <v>213</v>
      </c>
      <c r="O252" s="204" t="s">
        <v>11</v>
      </c>
      <c r="P252" s="206">
        <v>850</v>
      </c>
      <c r="Q252" s="206">
        <v>630</v>
      </c>
      <c r="R252" s="207">
        <v>50000</v>
      </c>
      <c r="S252" s="207">
        <f t="shared" si="64"/>
        <v>31500000</v>
      </c>
      <c r="T252" s="589"/>
      <c r="U252" s="157">
        <v>50000</v>
      </c>
      <c r="V252" s="158">
        <f t="shared" si="80"/>
        <v>50000</v>
      </c>
      <c r="W252" s="159">
        <f t="shared" si="65"/>
        <v>0</v>
      </c>
      <c r="X252" s="159">
        <f t="shared" si="66"/>
        <v>0</v>
      </c>
      <c r="Y252" s="160"/>
      <c r="Z252" s="160">
        <f t="shared" si="67"/>
        <v>0</v>
      </c>
      <c r="AA252" s="165"/>
      <c r="AB252" s="161">
        <f t="shared" si="68"/>
        <v>0</v>
      </c>
      <c r="AC252" s="162"/>
      <c r="AD252" s="162">
        <f t="shared" si="81"/>
        <v>0</v>
      </c>
      <c r="AE252" s="163"/>
      <c r="AF252" s="164">
        <f t="shared" si="82"/>
        <v>0</v>
      </c>
      <c r="AG252" s="161"/>
      <c r="AH252" s="165">
        <f t="shared" si="83"/>
        <v>0</v>
      </c>
      <c r="AI252" s="160">
        <v>0</v>
      </c>
      <c r="AJ252" s="166">
        <f t="shared" si="84"/>
        <v>0</v>
      </c>
      <c r="AK252" s="162"/>
      <c r="AL252" s="162">
        <f t="shared" si="69"/>
        <v>0</v>
      </c>
      <c r="AM252" s="173"/>
      <c r="AN252" s="167">
        <f t="shared" si="70"/>
        <v>0</v>
      </c>
      <c r="AO252" s="163"/>
      <c r="AP252" s="163">
        <f t="shared" si="71"/>
        <v>0</v>
      </c>
      <c r="AQ252" s="162"/>
      <c r="AR252" s="168">
        <f t="shared" si="72"/>
        <v>0</v>
      </c>
      <c r="AS252" s="169"/>
      <c r="AT252" s="170">
        <f t="shared" si="73"/>
        <v>0</v>
      </c>
      <c r="AU252" s="160"/>
      <c r="AV252" s="166">
        <f t="shared" si="74"/>
        <v>0</v>
      </c>
    </row>
    <row r="253" spans="1:48" s="131" customFormat="1" ht="31.5">
      <c r="A253" s="148" t="s">
        <v>6828</v>
      </c>
      <c r="B253" s="149" t="s">
        <v>2332</v>
      </c>
      <c r="C253" s="150" t="s">
        <v>5158</v>
      </c>
      <c r="D253" s="608" t="s">
        <v>4300</v>
      </c>
      <c r="E253" s="591" t="s">
        <v>12642</v>
      </c>
      <c r="F253" s="223" t="s">
        <v>289</v>
      </c>
      <c r="G253" s="224" t="s">
        <v>258</v>
      </c>
      <c r="H253" s="204">
        <v>2</v>
      </c>
      <c r="I253" s="223" t="s">
        <v>4301</v>
      </c>
      <c r="J253" s="225" t="s">
        <v>6829</v>
      </c>
      <c r="K253" s="223" t="s">
        <v>5104</v>
      </c>
      <c r="L253" s="225" t="s">
        <v>6830</v>
      </c>
      <c r="M253" s="225" t="s">
        <v>6532</v>
      </c>
      <c r="N253" s="224" t="s">
        <v>213</v>
      </c>
      <c r="O253" s="204" t="s">
        <v>11</v>
      </c>
      <c r="P253" s="226">
        <v>4000</v>
      </c>
      <c r="Q253" s="226">
        <v>4000</v>
      </c>
      <c r="R253" s="207">
        <v>50000</v>
      </c>
      <c r="S253" s="207">
        <f t="shared" si="64"/>
        <v>200000000</v>
      </c>
      <c r="T253" s="589"/>
      <c r="U253" s="157">
        <v>50000</v>
      </c>
      <c r="V253" s="158">
        <f t="shared" si="80"/>
        <v>0</v>
      </c>
      <c r="W253" s="159">
        <f t="shared" si="65"/>
        <v>50000</v>
      </c>
      <c r="X253" s="159">
        <f t="shared" si="66"/>
        <v>200000000</v>
      </c>
      <c r="Y253" s="160"/>
      <c r="Z253" s="160">
        <f t="shared" si="67"/>
        <v>0</v>
      </c>
      <c r="AA253" s="161"/>
      <c r="AB253" s="161">
        <f t="shared" si="68"/>
        <v>0</v>
      </c>
      <c r="AC253" s="162"/>
      <c r="AD253" s="162">
        <f t="shared" si="81"/>
        <v>0</v>
      </c>
      <c r="AE253" s="163"/>
      <c r="AF253" s="164">
        <f t="shared" si="82"/>
        <v>0</v>
      </c>
      <c r="AG253" s="161">
        <v>4000</v>
      </c>
      <c r="AH253" s="165">
        <f t="shared" si="83"/>
        <v>16000000</v>
      </c>
      <c r="AI253" s="160">
        <v>0</v>
      </c>
      <c r="AJ253" s="166">
        <f t="shared" si="84"/>
        <v>0</v>
      </c>
      <c r="AK253" s="162"/>
      <c r="AL253" s="162">
        <f t="shared" si="69"/>
        <v>0</v>
      </c>
      <c r="AM253" s="167"/>
      <c r="AN253" s="167">
        <f t="shared" si="70"/>
        <v>0</v>
      </c>
      <c r="AO253" s="163">
        <v>10000</v>
      </c>
      <c r="AP253" s="163">
        <f t="shared" si="71"/>
        <v>40000000</v>
      </c>
      <c r="AQ253" s="162">
        <v>20000</v>
      </c>
      <c r="AR253" s="168">
        <f t="shared" si="72"/>
        <v>80000000</v>
      </c>
      <c r="AS253" s="169">
        <v>16000</v>
      </c>
      <c r="AT253" s="170">
        <f t="shared" si="73"/>
        <v>64000000</v>
      </c>
      <c r="AU253" s="160"/>
      <c r="AV253" s="166">
        <f t="shared" si="74"/>
        <v>0</v>
      </c>
    </row>
    <row r="254" spans="1:48" s="131" customFormat="1" ht="31.5">
      <c r="A254" s="172" t="s">
        <v>6943</v>
      </c>
      <c r="B254" s="149" t="s">
        <v>2332</v>
      </c>
      <c r="C254" s="150" t="s">
        <v>5158</v>
      </c>
      <c r="D254" s="240" t="s">
        <v>3814</v>
      </c>
      <c r="E254" s="590" t="s">
        <v>12642</v>
      </c>
      <c r="F254" s="203" t="s">
        <v>695</v>
      </c>
      <c r="G254" s="204" t="s">
        <v>3816</v>
      </c>
      <c r="H254" s="204">
        <v>3</v>
      </c>
      <c r="I254" s="203" t="s">
        <v>3815</v>
      </c>
      <c r="J254" s="205" t="s">
        <v>6944</v>
      </c>
      <c r="K254" s="203" t="s">
        <v>253</v>
      </c>
      <c r="L254" s="205" t="s">
        <v>6945</v>
      </c>
      <c r="M254" s="205" t="s">
        <v>6946</v>
      </c>
      <c r="N254" s="204" t="s">
        <v>213</v>
      </c>
      <c r="O254" s="204" t="s">
        <v>12</v>
      </c>
      <c r="P254" s="206">
        <v>3150</v>
      </c>
      <c r="Q254" s="206">
        <v>1806</v>
      </c>
      <c r="R254" s="207">
        <v>10000</v>
      </c>
      <c r="S254" s="207">
        <f t="shared" si="64"/>
        <v>18060000</v>
      </c>
      <c r="T254" s="589"/>
      <c r="U254" s="157">
        <v>10000</v>
      </c>
      <c r="V254" s="158">
        <f t="shared" si="80"/>
        <v>7000</v>
      </c>
      <c r="W254" s="159">
        <f t="shared" si="65"/>
        <v>3000</v>
      </c>
      <c r="X254" s="159">
        <f t="shared" si="66"/>
        <v>5418000</v>
      </c>
      <c r="Y254" s="160"/>
      <c r="Z254" s="160">
        <f t="shared" si="67"/>
        <v>0</v>
      </c>
      <c r="AA254" s="165"/>
      <c r="AB254" s="161">
        <f t="shared" si="68"/>
        <v>0</v>
      </c>
      <c r="AC254" s="162"/>
      <c r="AD254" s="162">
        <f t="shared" si="81"/>
        <v>0</v>
      </c>
      <c r="AE254" s="164"/>
      <c r="AF254" s="164">
        <f t="shared" si="82"/>
        <v>0</v>
      </c>
      <c r="AG254" s="165"/>
      <c r="AH254" s="165">
        <f t="shared" si="83"/>
        <v>0</v>
      </c>
      <c r="AI254" s="166">
        <v>3000</v>
      </c>
      <c r="AJ254" s="166">
        <f t="shared" si="84"/>
        <v>5418000</v>
      </c>
      <c r="AK254" s="162"/>
      <c r="AL254" s="162">
        <f t="shared" si="69"/>
        <v>0</v>
      </c>
      <c r="AM254" s="173"/>
      <c r="AN254" s="167">
        <f t="shared" si="70"/>
        <v>0</v>
      </c>
      <c r="AO254" s="163"/>
      <c r="AP254" s="163">
        <f t="shared" si="71"/>
        <v>0</v>
      </c>
      <c r="AQ254" s="168"/>
      <c r="AR254" s="168">
        <f t="shared" si="72"/>
        <v>0</v>
      </c>
      <c r="AS254" s="170"/>
      <c r="AT254" s="170">
        <f t="shared" si="73"/>
        <v>0</v>
      </c>
      <c r="AU254" s="166"/>
      <c r="AV254" s="166">
        <f t="shared" si="74"/>
        <v>0</v>
      </c>
    </row>
    <row r="255" spans="1:48" s="131" customFormat="1" ht="31.5">
      <c r="A255" s="148">
        <v>49</v>
      </c>
      <c r="B255" s="149" t="s">
        <v>2332</v>
      </c>
      <c r="C255" s="150" t="s">
        <v>5158</v>
      </c>
      <c r="D255" s="250" t="s">
        <v>4692</v>
      </c>
      <c r="E255" s="241"/>
      <c r="F255" s="242" t="s">
        <v>133</v>
      </c>
      <c r="G255" s="244" t="s">
        <v>8734</v>
      </c>
      <c r="H255" s="244" t="s">
        <v>211</v>
      </c>
      <c r="I255" s="244" t="s">
        <v>132</v>
      </c>
      <c r="J255" s="244" t="s">
        <v>8735</v>
      </c>
      <c r="K255" s="244" t="s">
        <v>5104</v>
      </c>
      <c r="L255" s="241" t="s">
        <v>2330</v>
      </c>
      <c r="M255" s="244" t="s">
        <v>8736</v>
      </c>
      <c r="N255" s="241" t="s">
        <v>213</v>
      </c>
      <c r="O255" s="241" t="s">
        <v>11</v>
      </c>
      <c r="P255" s="245">
        <v>1890</v>
      </c>
      <c r="Q255" s="245">
        <v>1407</v>
      </c>
      <c r="R255" s="246">
        <v>100000</v>
      </c>
      <c r="S255" s="245">
        <f t="shared" si="64"/>
        <v>140700000</v>
      </c>
      <c r="T255" s="589"/>
      <c r="U255" s="244"/>
      <c r="V255" s="247">
        <f>R255-W255</f>
        <v>81040</v>
      </c>
      <c r="W255" s="159">
        <f t="shared" si="65"/>
        <v>18960</v>
      </c>
      <c r="X255" s="159">
        <f t="shared" si="66"/>
        <v>26676720</v>
      </c>
      <c r="Y255" s="248"/>
      <c r="Z255" s="160">
        <f t="shared" si="67"/>
        <v>0</v>
      </c>
      <c r="AA255" s="248"/>
      <c r="AB255" s="161">
        <f t="shared" si="68"/>
        <v>0</v>
      </c>
      <c r="AC255" s="249"/>
      <c r="AD255" s="249"/>
      <c r="AE255" s="249"/>
      <c r="AF255" s="249"/>
      <c r="AG255" s="249"/>
      <c r="AH255" s="249"/>
      <c r="AI255" s="249"/>
      <c r="AJ255" s="249"/>
      <c r="AK255" s="249">
        <v>18960</v>
      </c>
      <c r="AL255" s="162">
        <f t="shared" si="69"/>
        <v>26676720</v>
      </c>
      <c r="AM255" s="249"/>
      <c r="AN255" s="167">
        <f t="shared" si="70"/>
        <v>0</v>
      </c>
      <c r="AO255" s="249"/>
      <c r="AP255" s="163">
        <f t="shared" si="71"/>
        <v>0</v>
      </c>
      <c r="AQ255" s="249"/>
      <c r="AR255" s="168">
        <f t="shared" si="72"/>
        <v>0</v>
      </c>
      <c r="AS255" s="249"/>
      <c r="AT255" s="170">
        <f t="shared" si="73"/>
        <v>0</v>
      </c>
      <c r="AU255" s="249"/>
      <c r="AV255" s="166">
        <f t="shared" si="74"/>
        <v>0</v>
      </c>
    </row>
    <row r="256" spans="1:48" s="131" customFormat="1" ht="31.5">
      <c r="A256" s="148" t="s">
        <v>6947</v>
      </c>
      <c r="B256" s="149" t="s">
        <v>6948</v>
      </c>
      <c r="C256" s="149" t="s">
        <v>6949</v>
      </c>
      <c r="D256" s="240" t="s">
        <v>6950</v>
      </c>
      <c r="E256" s="590" t="s">
        <v>12642</v>
      </c>
      <c r="F256" s="203" t="s">
        <v>695</v>
      </c>
      <c r="G256" s="204" t="s">
        <v>697</v>
      </c>
      <c r="H256" s="204">
        <v>3</v>
      </c>
      <c r="I256" s="203" t="s">
        <v>6951</v>
      </c>
      <c r="J256" s="205" t="s">
        <v>6952</v>
      </c>
      <c r="K256" s="203" t="s">
        <v>5104</v>
      </c>
      <c r="L256" s="205" t="s">
        <v>6953</v>
      </c>
      <c r="M256" s="205" t="s">
        <v>6954</v>
      </c>
      <c r="N256" s="204" t="s">
        <v>213</v>
      </c>
      <c r="O256" s="204" t="s">
        <v>520</v>
      </c>
      <c r="P256" s="206">
        <v>5000</v>
      </c>
      <c r="Q256" s="206">
        <v>2440</v>
      </c>
      <c r="R256" s="207">
        <v>100000</v>
      </c>
      <c r="S256" s="207">
        <f t="shared" si="64"/>
        <v>244000000</v>
      </c>
      <c r="T256" s="589"/>
      <c r="U256" s="157">
        <v>100000</v>
      </c>
      <c r="V256" s="158">
        <f t="shared" ref="V256:V267" si="85">U256-W256</f>
        <v>100000</v>
      </c>
      <c r="W256" s="159">
        <f t="shared" si="65"/>
        <v>0</v>
      </c>
      <c r="X256" s="159">
        <f t="shared" si="66"/>
        <v>0</v>
      </c>
      <c r="Y256" s="160"/>
      <c r="Z256" s="160">
        <f t="shared" si="67"/>
        <v>0</v>
      </c>
      <c r="AA256" s="165"/>
      <c r="AB256" s="161">
        <f t="shared" si="68"/>
        <v>0</v>
      </c>
      <c r="AC256" s="162"/>
      <c r="AD256" s="162">
        <f t="shared" ref="AD256:AD267" si="86">AC256*Q256</f>
        <v>0</v>
      </c>
      <c r="AE256" s="164"/>
      <c r="AF256" s="164">
        <f t="shared" ref="AF256:AF267" si="87">AE256*Q256</f>
        <v>0</v>
      </c>
      <c r="AG256" s="165"/>
      <c r="AH256" s="165">
        <f t="shared" ref="AH256:AH267" si="88">AG256*Q256</f>
        <v>0</v>
      </c>
      <c r="AI256" s="166">
        <v>0</v>
      </c>
      <c r="AJ256" s="166">
        <f t="shared" ref="AJ256:AJ267" si="89">AI256*Q256</f>
        <v>0</v>
      </c>
      <c r="AK256" s="162"/>
      <c r="AL256" s="162">
        <f t="shared" si="69"/>
        <v>0</v>
      </c>
      <c r="AM256" s="173"/>
      <c r="AN256" s="167">
        <f t="shared" si="70"/>
        <v>0</v>
      </c>
      <c r="AO256" s="163"/>
      <c r="AP256" s="163">
        <f t="shared" si="71"/>
        <v>0</v>
      </c>
      <c r="AQ256" s="168"/>
      <c r="AR256" s="168">
        <f t="shared" si="72"/>
        <v>0</v>
      </c>
      <c r="AS256" s="170"/>
      <c r="AT256" s="170">
        <f t="shared" si="73"/>
        <v>0</v>
      </c>
      <c r="AU256" s="166"/>
      <c r="AV256" s="166">
        <f t="shared" si="74"/>
        <v>0</v>
      </c>
    </row>
    <row r="257" spans="1:48" s="131" customFormat="1">
      <c r="A257" s="172" t="s">
        <v>5205</v>
      </c>
      <c r="B257" s="149" t="s">
        <v>5206</v>
      </c>
      <c r="C257" s="149" t="s">
        <v>5207</v>
      </c>
      <c r="D257" s="634" t="s">
        <v>4922</v>
      </c>
      <c r="E257" s="631" t="s">
        <v>12642</v>
      </c>
      <c r="F257" s="175" t="s">
        <v>236</v>
      </c>
      <c r="G257" s="151" t="s">
        <v>327</v>
      </c>
      <c r="H257" s="174" t="s">
        <v>211</v>
      </c>
      <c r="I257" s="150" t="s">
        <v>405</v>
      </c>
      <c r="J257" s="153" t="s">
        <v>5208</v>
      </c>
      <c r="K257" s="151" t="s">
        <v>253</v>
      </c>
      <c r="L257" s="151" t="s">
        <v>406</v>
      </c>
      <c r="M257" s="151" t="s">
        <v>407</v>
      </c>
      <c r="N257" s="152" t="s">
        <v>5160</v>
      </c>
      <c r="O257" s="152" t="s">
        <v>10</v>
      </c>
      <c r="P257" s="176">
        <v>950</v>
      </c>
      <c r="Q257" s="177">
        <v>428</v>
      </c>
      <c r="R257" s="176">
        <v>546000</v>
      </c>
      <c r="S257" s="156">
        <f t="shared" si="64"/>
        <v>233688000</v>
      </c>
      <c r="T257" s="589"/>
      <c r="U257" s="157">
        <v>436576</v>
      </c>
      <c r="V257" s="158">
        <f t="shared" si="85"/>
        <v>393148</v>
      </c>
      <c r="W257" s="159">
        <f t="shared" si="65"/>
        <v>43428</v>
      </c>
      <c r="X257" s="159">
        <f t="shared" si="66"/>
        <v>18587184</v>
      </c>
      <c r="Y257" s="160"/>
      <c r="Z257" s="160">
        <f t="shared" si="67"/>
        <v>0</v>
      </c>
      <c r="AA257" s="165"/>
      <c r="AB257" s="161">
        <f t="shared" si="68"/>
        <v>0</v>
      </c>
      <c r="AC257" s="162"/>
      <c r="AD257" s="162">
        <f t="shared" si="86"/>
        <v>0</v>
      </c>
      <c r="AE257" s="163"/>
      <c r="AF257" s="164">
        <f t="shared" si="87"/>
        <v>0</v>
      </c>
      <c r="AG257" s="161">
        <v>29988</v>
      </c>
      <c r="AH257" s="165">
        <f t="shared" si="88"/>
        <v>12834864</v>
      </c>
      <c r="AI257" s="160">
        <v>0</v>
      </c>
      <c r="AJ257" s="166">
        <f t="shared" si="89"/>
        <v>0</v>
      </c>
      <c r="AK257" s="162"/>
      <c r="AL257" s="162">
        <f t="shared" si="69"/>
        <v>0</v>
      </c>
      <c r="AM257" s="173">
        <v>13440</v>
      </c>
      <c r="AN257" s="167">
        <f t="shared" si="70"/>
        <v>5752320</v>
      </c>
      <c r="AO257" s="163"/>
      <c r="AP257" s="163">
        <f t="shared" si="71"/>
        <v>0</v>
      </c>
      <c r="AQ257" s="162"/>
      <c r="AR257" s="168">
        <f t="shared" si="72"/>
        <v>0</v>
      </c>
      <c r="AS257" s="169"/>
      <c r="AT257" s="170">
        <f t="shared" si="73"/>
        <v>0</v>
      </c>
      <c r="AU257" s="160"/>
      <c r="AV257" s="166">
        <f t="shared" si="74"/>
        <v>0</v>
      </c>
    </row>
    <row r="258" spans="1:48" s="131" customFormat="1">
      <c r="A258" s="148" t="s">
        <v>5209</v>
      </c>
      <c r="B258" s="149" t="s">
        <v>5206</v>
      </c>
      <c r="C258" s="149" t="s">
        <v>5207</v>
      </c>
      <c r="D258" s="634" t="s">
        <v>4921</v>
      </c>
      <c r="E258" s="631" t="s">
        <v>12642</v>
      </c>
      <c r="F258" s="175" t="s">
        <v>236</v>
      </c>
      <c r="G258" s="151" t="s">
        <v>238</v>
      </c>
      <c r="H258" s="174" t="s">
        <v>211</v>
      </c>
      <c r="I258" s="150" t="s">
        <v>408</v>
      </c>
      <c r="J258" s="153" t="s">
        <v>5208</v>
      </c>
      <c r="K258" s="151" t="s">
        <v>253</v>
      </c>
      <c r="L258" s="151" t="s">
        <v>409</v>
      </c>
      <c r="M258" s="151" t="s">
        <v>407</v>
      </c>
      <c r="N258" s="152" t="s">
        <v>5160</v>
      </c>
      <c r="O258" s="152" t="s">
        <v>10</v>
      </c>
      <c r="P258" s="176">
        <v>1100</v>
      </c>
      <c r="Q258" s="177">
        <v>530</v>
      </c>
      <c r="R258" s="176">
        <v>182000</v>
      </c>
      <c r="S258" s="156">
        <f t="shared" si="64"/>
        <v>96460000</v>
      </c>
      <c r="T258" s="589"/>
      <c r="U258" s="157">
        <v>154000</v>
      </c>
      <c r="V258" s="158">
        <f t="shared" si="85"/>
        <v>152040</v>
      </c>
      <c r="W258" s="159">
        <f t="shared" si="65"/>
        <v>1960</v>
      </c>
      <c r="X258" s="159">
        <f t="shared" si="66"/>
        <v>1038800</v>
      </c>
      <c r="Y258" s="160"/>
      <c r="Z258" s="160">
        <f t="shared" si="67"/>
        <v>0</v>
      </c>
      <c r="AA258" s="165"/>
      <c r="AB258" s="161">
        <f t="shared" si="68"/>
        <v>0</v>
      </c>
      <c r="AC258" s="162"/>
      <c r="AD258" s="162">
        <f t="shared" si="86"/>
        <v>0</v>
      </c>
      <c r="AE258" s="163"/>
      <c r="AF258" s="164">
        <f t="shared" si="87"/>
        <v>0</v>
      </c>
      <c r="AG258" s="161"/>
      <c r="AH258" s="165">
        <f t="shared" si="88"/>
        <v>0</v>
      </c>
      <c r="AI258" s="160">
        <v>0</v>
      </c>
      <c r="AJ258" s="166">
        <f t="shared" si="89"/>
        <v>0</v>
      </c>
      <c r="AK258" s="162"/>
      <c r="AL258" s="162">
        <f t="shared" si="69"/>
        <v>0</v>
      </c>
      <c r="AM258" s="173">
        <v>1960</v>
      </c>
      <c r="AN258" s="167">
        <f t="shared" si="70"/>
        <v>1038800</v>
      </c>
      <c r="AO258" s="163"/>
      <c r="AP258" s="163">
        <f t="shared" si="71"/>
        <v>0</v>
      </c>
      <c r="AQ258" s="162"/>
      <c r="AR258" s="168">
        <f t="shared" si="72"/>
        <v>0</v>
      </c>
      <c r="AS258" s="169"/>
      <c r="AT258" s="170">
        <f t="shared" si="73"/>
        <v>0</v>
      </c>
      <c r="AU258" s="160"/>
      <c r="AV258" s="166">
        <f t="shared" si="74"/>
        <v>0</v>
      </c>
    </row>
    <row r="259" spans="1:48" s="131" customFormat="1" ht="31.5">
      <c r="A259" s="148" t="s">
        <v>6047</v>
      </c>
      <c r="B259" s="149" t="s">
        <v>5206</v>
      </c>
      <c r="C259" s="149" t="s">
        <v>5207</v>
      </c>
      <c r="D259" s="240" t="s">
        <v>4390</v>
      </c>
      <c r="E259" s="590" t="s">
        <v>12643</v>
      </c>
      <c r="F259" s="203" t="s">
        <v>592</v>
      </c>
      <c r="G259" s="204" t="s">
        <v>594</v>
      </c>
      <c r="H259" s="204">
        <v>1</v>
      </c>
      <c r="I259" s="203" t="s">
        <v>1415</v>
      </c>
      <c r="J259" s="205" t="s">
        <v>6048</v>
      </c>
      <c r="K259" s="203" t="s">
        <v>6049</v>
      </c>
      <c r="L259" s="205" t="s">
        <v>1417</v>
      </c>
      <c r="M259" s="205" t="s">
        <v>1418</v>
      </c>
      <c r="N259" s="204" t="s">
        <v>5217</v>
      </c>
      <c r="O259" s="204" t="s">
        <v>11</v>
      </c>
      <c r="P259" s="206">
        <v>2600</v>
      </c>
      <c r="Q259" s="206">
        <v>2590</v>
      </c>
      <c r="R259" s="207">
        <v>10000</v>
      </c>
      <c r="S259" s="207">
        <f t="shared" si="64"/>
        <v>25900000</v>
      </c>
      <c r="T259" s="589"/>
      <c r="U259" s="157">
        <v>10000</v>
      </c>
      <c r="V259" s="158">
        <f t="shared" si="85"/>
        <v>40</v>
      </c>
      <c r="W259" s="159">
        <f t="shared" si="65"/>
        <v>9960</v>
      </c>
      <c r="X259" s="159">
        <f t="shared" si="66"/>
        <v>25796400</v>
      </c>
      <c r="Y259" s="160"/>
      <c r="Z259" s="160">
        <f t="shared" si="67"/>
        <v>0</v>
      </c>
      <c r="AA259" s="165"/>
      <c r="AB259" s="161">
        <f t="shared" si="68"/>
        <v>0</v>
      </c>
      <c r="AC259" s="162"/>
      <c r="AD259" s="162">
        <f t="shared" si="86"/>
        <v>0</v>
      </c>
      <c r="AE259" s="164"/>
      <c r="AF259" s="164">
        <f t="shared" si="87"/>
        <v>0</v>
      </c>
      <c r="AG259" s="165"/>
      <c r="AH259" s="165">
        <f t="shared" si="88"/>
        <v>0</v>
      </c>
      <c r="AI259" s="166">
        <v>0</v>
      </c>
      <c r="AJ259" s="166">
        <f t="shared" si="89"/>
        <v>0</v>
      </c>
      <c r="AK259" s="162"/>
      <c r="AL259" s="162">
        <f t="shared" si="69"/>
        <v>0</v>
      </c>
      <c r="AM259" s="173">
        <v>9960</v>
      </c>
      <c r="AN259" s="167">
        <f t="shared" si="70"/>
        <v>25796400</v>
      </c>
      <c r="AO259" s="163"/>
      <c r="AP259" s="163">
        <f t="shared" si="71"/>
        <v>0</v>
      </c>
      <c r="AQ259" s="168"/>
      <c r="AR259" s="168">
        <f t="shared" si="72"/>
        <v>0</v>
      </c>
      <c r="AS259" s="170"/>
      <c r="AT259" s="170">
        <f t="shared" si="73"/>
        <v>0</v>
      </c>
      <c r="AU259" s="166"/>
      <c r="AV259" s="166">
        <f t="shared" si="74"/>
        <v>0</v>
      </c>
    </row>
    <row r="260" spans="1:48" s="131" customFormat="1">
      <c r="A260" s="172" t="s">
        <v>6076</v>
      </c>
      <c r="B260" s="149" t="s">
        <v>5206</v>
      </c>
      <c r="C260" s="149" t="s">
        <v>5207</v>
      </c>
      <c r="D260" s="240" t="s">
        <v>3829</v>
      </c>
      <c r="E260" s="590" t="s">
        <v>12642</v>
      </c>
      <c r="F260" s="203" t="s">
        <v>624</v>
      </c>
      <c r="G260" s="204" t="s">
        <v>625</v>
      </c>
      <c r="H260" s="204">
        <v>1</v>
      </c>
      <c r="I260" s="203" t="s">
        <v>6077</v>
      </c>
      <c r="J260" s="205" t="s">
        <v>5707</v>
      </c>
      <c r="K260" s="203" t="s">
        <v>5104</v>
      </c>
      <c r="L260" s="205" t="s">
        <v>6078</v>
      </c>
      <c r="M260" s="205" t="s">
        <v>6079</v>
      </c>
      <c r="N260" s="204" t="s">
        <v>6080</v>
      </c>
      <c r="O260" s="204" t="s">
        <v>11</v>
      </c>
      <c r="P260" s="206">
        <v>2300</v>
      </c>
      <c r="Q260" s="206">
        <v>2248</v>
      </c>
      <c r="R260" s="207">
        <v>40000</v>
      </c>
      <c r="S260" s="207">
        <f t="shared" si="64"/>
        <v>89920000</v>
      </c>
      <c r="T260" s="589"/>
      <c r="U260" s="157">
        <v>40000</v>
      </c>
      <c r="V260" s="158">
        <f t="shared" si="85"/>
        <v>40000</v>
      </c>
      <c r="W260" s="159">
        <f t="shared" si="65"/>
        <v>0</v>
      </c>
      <c r="X260" s="159">
        <f t="shared" si="66"/>
        <v>0</v>
      </c>
      <c r="Y260" s="160"/>
      <c r="Z260" s="160">
        <f t="shared" si="67"/>
        <v>0</v>
      </c>
      <c r="AA260" s="161"/>
      <c r="AB260" s="161">
        <f t="shared" si="68"/>
        <v>0</v>
      </c>
      <c r="AC260" s="162"/>
      <c r="AD260" s="162">
        <f t="shared" si="86"/>
        <v>0</v>
      </c>
      <c r="AE260" s="164"/>
      <c r="AF260" s="164">
        <f t="shared" si="87"/>
        <v>0</v>
      </c>
      <c r="AG260" s="165"/>
      <c r="AH260" s="165">
        <f t="shared" si="88"/>
        <v>0</v>
      </c>
      <c r="AI260" s="166">
        <v>0</v>
      </c>
      <c r="AJ260" s="166">
        <f t="shared" si="89"/>
        <v>0</v>
      </c>
      <c r="AK260" s="162"/>
      <c r="AL260" s="162">
        <f t="shared" si="69"/>
        <v>0</v>
      </c>
      <c r="AM260" s="167"/>
      <c r="AN260" s="167">
        <f t="shared" si="70"/>
        <v>0</v>
      </c>
      <c r="AO260" s="163"/>
      <c r="AP260" s="163">
        <f t="shared" si="71"/>
        <v>0</v>
      </c>
      <c r="AQ260" s="168"/>
      <c r="AR260" s="168">
        <f t="shared" si="72"/>
        <v>0</v>
      </c>
      <c r="AS260" s="170"/>
      <c r="AT260" s="170">
        <f t="shared" si="73"/>
        <v>0</v>
      </c>
      <c r="AU260" s="166"/>
      <c r="AV260" s="166">
        <f t="shared" si="74"/>
        <v>0</v>
      </c>
    </row>
    <row r="261" spans="1:48" s="131" customFormat="1" ht="31.5">
      <c r="A261" s="148" t="s">
        <v>6157</v>
      </c>
      <c r="B261" s="149" t="s">
        <v>5206</v>
      </c>
      <c r="C261" s="149" t="s">
        <v>5207</v>
      </c>
      <c r="D261" s="240" t="s">
        <v>3729</v>
      </c>
      <c r="E261" s="590"/>
      <c r="F261" s="203" t="s">
        <v>1999</v>
      </c>
      <c r="G261" s="204" t="s">
        <v>2001</v>
      </c>
      <c r="H261" s="204">
        <v>1</v>
      </c>
      <c r="I261" s="203" t="s">
        <v>3730</v>
      </c>
      <c r="J261" s="205" t="s">
        <v>5707</v>
      </c>
      <c r="K261" s="203" t="s">
        <v>253</v>
      </c>
      <c r="L261" s="205" t="s">
        <v>6158</v>
      </c>
      <c r="M261" s="205" t="s">
        <v>1412</v>
      </c>
      <c r="N261" s="204" t="s">
        <v>5710</v>
      </c>
      <c r="O261" s="204" t="s">
        <v>11</v>
      </c>
      <c r="P261" s="206">
        <v>9800</v>
      </c>
      <c r="Q261" s="206">
        <v>9800</v>
      </c>
      <c r="R261" s="207">
        <v>20000</v>
      </c>
      <c r="S261" s="207">
        <f t="shared" ref="S261:S324" si="90">R261*Q261</f>
        <v>196000000</v>
      </c>
      <c r="T261" s="589"/>
      <c r="U261" s="157">
        <v>20000</v>
      </c>
      <c r="V261" s="158">
        <f t="shared" si="85"/>
        <v>8</v>
      </c>
      <c r="W261" s="159">
        <f t="shared" ref="W261:W324" si="91">Y261+AA261+AC261+AE261+AG261+AI261+AK261+AM261+AO261+AQ261+AS261+AU261</f>
        <v>19992</v>
      </c>
      <c r="X261" s="159">
        <f t="shared" ref="X261:X324" si="92">W261*Q261</f>
        <v>195921600</v>
      </c>
      <c r="Y261" s="160"/>
      <c r="Z261" s="160">
        <f t="shared" ref="Z261:Z324" si="93">Y261*Q261</f>
        <v>0</v>
      </c>
      <c r="AA261" s="165"/>
      <c r="AB261" s="161">
        <f t="shared" ref="AB261:AB324" si="94">AA261*Q261</f>
        <v>0</v>
      </c>
      <c r="AC261" s="162"/>
      <c r="AD261" s="162">
        <f t="shared" si="86"/>
        <v>0</v>
      </c>
      <c r="AE261" s="164"/>
      <c r="AF261" s="164">
        <f t="shared" si="87"/>
        <v>0</v>
      </c>
      <c r="AG261" s="165">
        <f>9996+9996</f>
        <v>19992</v>
      </c>
      <c r="AH261" s="165">
        <f t="shared" si="88"/>
        <v>195921600</v>
      </c>
      <c r="AI261" s="166">
        <v>0</v>
      </c>
      <c r="AJ261" s="166">
        <f t="shared" si="89"/>
        <v>0</v>
      </c>
      <c r="AK261" s="162"/>
      <c r="AL261" s="162">
        <f t="shared" ref="AL261:AL324" si="95">AK261*Q261</f>
        <v>0</v>
      </c>
      <c r="AM261" s="173"/>
      <c r="AN261" s="167">
        <f t="shared" ref="AN261:AN324" si="96">AM261*Q261</f>
        <v>0</v>
      </c>
      <c r="AO261" s="163"/>
      <c r="AP261" s="163">
        <f t="shared" ref="AP261:AP324" si="97">AO261*Q261</f>
        <v>0</v>
      </c>
      <c r="AQ261" s="168"/>
      <c r="AR261" s="168">
        <f t="shared" ref="AR261:AR324" si="98">AQ261*Q261</f>
        <v>0</v>
      </c>
      <c r="AS261" s="170"/>
      <c r="AT261" s="170">
        <f t="shared" ref="AT261:AT324" si="99">AS261*Q261</f>
        <v>0</v>
      </c>
      <c r="AU261" s="166"/>
      <c r="AV261" s="166">
        <f t="shared" ref="AV261:AV324" si="100">AU261*Q261</f>
        <v>0</v>
      </c>
    </row>
    <row r="262" spans="1:48" s="131" customFormat="1" ht="31.5">
      <c r="A262" s="172" t="s">
        <v>7643</v>
      </c>
      <c r="B262" s="149" t="s">
        <v>5206</v>
      </c>
      <c r="C262" s="149" t="s">
        <v>5207</v>
      </c>
      <c r="D262" s="240" t="s">
        <v>7644</v>
      </c>
      <c r="E262" s="590"/>
      <c r="F262" s="203" t="s">
        <v>7645</v>
      </c>
      <c r="G262" s="204" t="s">
        <v>327</v>
      </c>
      <c r="H262" s="204">
        <v>3</v>
      </c>
      <c r="I262" s="203" t="s">
        <v>7646</v>
      </c>
      <c r="J262" s="205" t="s">
        <v>7647</v>
      </c>
      <c r="K262" s="203" t="s">
        <v>5104</v>
      </c>
      <c r="L262" s="205" t="s">
        <v>7648</v>
      </c>
      <c r="M262" s="205" t="s">
        <v>7649</v>
      </c>
      <c r="N262" s="204" t="s">
        <v>213</v>
      </c>
      <c r="O262" s="204" t="s">
        <v>11</v>
      </c>
      <c r="P262" s="206">
        <v>4500</v>
      </c>
      <c r="Q262" s="206">
        <v>2480</v>
      </c>
      <c r="R262" s="207">
        <v>30000</v>
      </c>
      <c r="S262" s="207">
        <f t="shared" si="90"/>
        <v>74400000</v>
      </c>
      <c r="T262" s="589"/>
      <c r="U262" s="157">
        <v>30000</v>
      </c>
      <c r="V262" s="158">
        <f t="shared" si="85"/>
        <v>30000</v>
      </c>
      <c r="W262" s="159">
        <f t="shared" si="91"/>
        <v>0</v>
      </c>
      <c r="X262" s="159">
        <f t="shared" si="92"/>
        <v>0</v>
      </c>
      <c r="Y262" s="160"/>
      <c r="Z262" s="160">
        <f t="shared" si="93"/>
        <v>0</v>
      </c>
      <c r="AA262" s="161"/>
      <c r="AB262" s="161">
        <f t="shared" si="94"/>
        <v>0</v>
      </c>
      <c r="AC262" s="162"/>
      <c r="AD262" s="162">
        <f t="shared" si="86"/>
        <v>0</v>
      </c>
      <c r="AE262" s="163"/>
      <c r="AF262" s="164">
        <f t="shared" si="87"/>
        <v>0</v>
      </c>
      <c r="AG262" s="161"/>
      <c r="AH262" s="165">
        <f t="shared" si="88"/>
        <v>0</v>
      </c>
      <c r="AI262" s="160">
        <v>0</v>
      </c>
      <c r="AJ262" s="166">
        <f t="shared" si="89"/>
        <v>0</v>
      </c>
      <c r="AK262" s="162"/>
      <c r="AL262" s="162">
        <f t="shared" si="95"/>
        <v>0</v>
      </c>
      <c r="AM262" s="167"/>
      <c r="AN262" s="167">
        <f t="shared" si="96"/>
        <v>0</v>
      </c>
      <c r="AO262" s="163"/>
      <c r="AP262" s="163">
        <f t="shared" si="97"/>
        <v>0</v>
      </c>
      <c r="AQ262" s="162"/>
      <c r="AR262" s="168">
        <f t="shared" si="98"/>
        <v>0</v>
      </c>
      <c r="AS262" s="169"/>
      <c r="AT262" s="170">
        <f t="shared" si="99"/>
        <v>0</v>
      </c>
      <c r="AU262" s="160"/>
      <c r="AV262" s="166">
        <f t="shared" si="100"/>
        <v>0</v>
      </c>
    </row>
    <row r="263" spans="1:48" s="131" customFormat="1" ht="31.5">
      <c r="A263" s="148" t="s">
        <v>7779</v>
      </c>
      <c r="B263" s="149" t="s">
        <v>5206</v>
      </c>
      <c r="C263" s="149" t="s">
        <v>5207</v>
      </c>
      <c r="D263" s="240" t="s">
        <v>7780</v>
      </c>
      <c r="E263" s="590"/>
      <c r="F263" s="203" t="s">
        <v>376</v>
      </c>
      <c r="G263" s="204" t="s">
        <v>550</v>
      </c>
      <c r="H263" s="204">
        <v>3</v>
      </c>
      <c r="I263" s="203" t="s">
        <v>7781</v>
      </c>
      <c r="J263" s="205" t="s">
        <v>5608</v>
      </c>
      <c r="K263" s="203" t="s">
        <v>5104</v>
      </c>
      <c r="L263" s="205" t="s">
        <v>7782</v>
      </c>
      <c r="M263" s="205" t="s">
        <v>7783</v>
      </c>
      <c r="N263" s="204" t="s">
        <v>213</v>
      </c>
      <c r="O263" s="204" t="s">
        <v>11</v>
      </c>
      <c r="P263" s="206">
        <v>950</v>
      </c>
      <c r="Q263" s="206">
        <v>560</v>
      </c>
      <c r="R263" s="207">
        <v>30000</v>
      </c>
      <c r="S263" s="207">
        <f t="shared" si="90"/>
        <v>16800000</v>
      </c>
      <c r="T263" s="589"/>
      <c r="U263" s="157">
        <v>30000</v>
      </c>
      <c r="V263" s="158">
        <f t="shared" si="85"/>
        <v>30000</v>
      </c>
      <c r="W263" s="159">
        <f t="shared" si="91"/>
        <v>0</v>
      </c>
      <c r="X263" s="159">
        <f t="shared" si="92"/>
        <v>0</v>
      </c>
      <c r="Y263" s="160"/>
      <c r="Z263" s="160">
        <f t="shared" si="93"/>
        <v>0</v>
      </c>
      <c r="AA263" s="165"/>
      <c r="AB263" s="161">
        <f t="shared" si="94"/>
        <v>0</v>
      </c>
      <c r="AC263" s="162"/>
      <c r="AD263" s="162">
        <f t="shared" si="86"/>
        <v>0</v>
      </c>
      <c r="AE263" s="164"/>
      <c r="AF263" s="164">
        <f t="shared" si="87"/>
        <v>0</v>
      </c>
      <c r="AG263" s="165"/>
      <c r="AH263" s="165">
        <f t="shared" si="88"/>
        <v>0</v>
      </c>
      <c r="AI263" s="166">
        <v>0</v>
      </c>
      <c r="AJ263" s="166">
        <f t="shared" si="89"/>
        <v>0</v>
      </c>
      <c r="AK263" s="162"/>
      <c r="AL263" s="162">
        <f t="shared" si="95"/>
        <v>0</v>
      </c>
      <c r="AM263" s="173"/>
      <c r="AN263" s="167">
        <f t="shared" si="96"/>
        <v>0</v>
      </c>
      <c r="AO263" s="163"/>
      <c r="AP263" s="163">
        <f t="shared" si="97"/>
        <v>0</v>
      </c>
      <c r="AQ263" s="168"/>
      <c r="AR263" s="168">
        <f t="shared" si="98"/>
        <v>0</v>
      </c>
      <c r="AS263" s="170"/>
      <c r="AT263" s="170">
        <f t="shared" si="99"/>
        <v>0</v>
      </c>
      <c r="AU263" s="166"/>
      <c r="AV263" s="166">
        <f t="shared" si="100"/>
        <v>0</v>
      </c>
    </row>
    <row r="264" spans="1:48" s="131" customFormat="1" ht="31.5">
      <c r="A264" s="172" t="s">
        <v>8128</v>
      </c>
      <c r="B264" s="149" t="s">
        <v>5206</v>
      </c>
      <c r="C264" s="149" t="s">
        <v>5207</v>
      </c>
      <c r="D264" s="240" t="s">
        <v>4069</v>
      </c>
      <c r="E264" s="590" t="s">
        <v>12642</v>
      </c>
      <c r="F264" s="203" t="s">
        <v>1618</v>
      </c>
      <c r="G264" s="204" t="s">
        <v>225</v>
      </c>
      <c r="H264" s="204">
        <v>3</v>
      </c>
      <c r="I264" s="203" t="s">
        <v>4070</v>
      </c>
      <c r="J264" s="205" t="s">
        <v>8129</v>
      </c>
      <c r="K264" s="203" t="s">
        <v>5104</v>
      </c>
      <c r="L264" s="205" t="s">
        <v>8130</v>
      </c>
      <c r="M264" s="205" t="s">
        <v>7783</v>
      </c>
      <c r="N264" s="204" t="s">
        <v>213</v>
      </c>
      <c r="O264" s="204" t="s">
        <v>11</v>
      </c>
      <c r="P264" s="206">
        <v>680</v>
      </c>
      <c r="Q264" s="206">
        <v>154</v>
      </c>
      <c r="R264" s="207">
        <v>150000</v>
      </c>
      <c r="S264" s="207">
        <f t="shared" si="90"/>
        <v>23100000</v>
      </c>
      <c r="T264" s="589"/>
      <c r="U264" s="157">
        <v>150000</v>
      </c>
      <c r="V264" s="158">
        <f t="shared" si="85"/>
        <v>120000</v>
      </c>
      <c r="W264" s="159">
        <f t="shared" si="91"/>
        <v>30000</v>
      </c>
      <c r="X264" s="159">
        <f t="shared" si="92"/>
        <v>4620000</v>
      </c>
      <c r="Y264" s="160"/>
      <c r="Z264" s="160">
        <f t="shared" si="93"/>
        <v>0</v>
      </c>
      <c r="AA264" s="165"/>
      <c r="AB264" s="161">
        <f t="shared" si="94"/>
        <v>0</v>
      </c>
      <c r="AC264" s="162"/>
      <c r="AD264" s="162">
        <f t="shared" si="86"/>
        <v>0</v>
      </c>
      <c r="AE264" s="164"/>
      <c r="AF264" s="164">
        <f t="shared" si="87"/>
        <v>0</v>
      </c>
      <c r="AG264" s="165">
        <v>30000</v>
      </c>
      <c r="AH264" s="165">
        <f t="shared" si="88"/>
        <v>4620000</v>
      </c>
      <c r="AI264" s="166">
        <v>0</v>
      </c>
      <c r="AJ264" s="166">
        <f t="shared" si="89"/>
        <v>0</v>
      </c>
      <c r="AK264" s="162"/>
      <c r="AL264" s="162">
        <f t="shared" si="95"/>
        <v>0</v>
      </c>
      <c r="AM264" s="173"/>
      <c r="AN264" s="167">
        <f t="shared" si="96"/>
        <v>0</v>
      </c>
      <c r="AO264" s="163"/>
      <c r="AP264" s="163">
        <f t="shared" si="97"/>
        <v>0</v>
      </c>
      <c r="AQ264" s="168"/>
      <c r="AR264" s="168">
        <f t="shared" si="98"/>
        <v>0</v>
      </c>
      <c r="AS264" s="170"/>
      <c r="AT264" s="170">
        <f t="shared" si="99"/>
        <v>0</v>
      </c>
      <c r="AU264" s="166"/>
      <c r="AV264" s="166">
        <f t="shared" si="100"/>
        <v>0</v>
      </c>
    </row>
    <row r="265" spans="1:48" s="131" customFormat="1" ht="31.5">
      <c r="A265" s="172" t="s">
        <v>8285</v>
      </c>
      <c r="B265" s="149" t="s">
        <v>5206</v>
      </c>
      <c r="C265" s="149" t="s">
        <v>5207</v>
      </c>
      <c r="D265" s="240" t="s">
        <v>4115</v>
      </c>
      <c r="E265" s="590"/>
      <c r="F265" s="203" t="s">
        <v>2503</v>
      </c>
      <c r="G265" s="204" t="s">
        <v>327</v>
      </c>
      <c r="H265" s="204">
        <v>4</v>
      </c>
      <c r="I265" s="203" t="s">
        <v>2504</v>
      </c>
      <c r="J265" s="205" t="s">
        <v>5690</v>
      </c>
      <c r="K265" s="203" t="s">
        <v>5104</v>
      </c>
      <c r="L265" s="205" t="s">
        <v>3072</v>
      </c>
      <c r="M265" s="205" t="s">
        <v>7783</v>
      </c>
      <c r="N265" s="204" t="s">
        <v>213</v>
      </c>
      <c r="O265" s="204" t="s">
        <v>11</v>
      </c>
      <c r="P265" s="206">
        <v>4300</v>
      </c>
      <c r="Q265" s="206">
        <v>3500</v>
      </c>
      <c r="R265" s="207">
        <v>20000</v>
      </c>
      <c r="S265" s="207">
        <f t="shared" si="90"/>
        <v>70000000</v>
      </c>
      <c r="T265" s="589"/>
      <c r="U265" s="157">
        <v>20000</v>
      </c>
      <c r="V265" s="158">
        <f t="shared" si="85"/>
        <v>15020</v>
      </c>
      <c r="W265" s="159">
        <f t="shared" si="91"/>
        <v>4980</v>
      </c>
      <c r="X265" s="159">
        <f t="shared" si="92"/>
        <v>17430000</v>
      </c>
      <c r="Y265" s="160"/>
      <c r="Z265" s="160">
        <f t="shared" si="93"/>
        <v>0</v>
      </c>
      <c r="AA265" s="165"/>
      <c r="AB265" s="161">
        <f t="shared" si="94"/>
        <v>0</v>
      </c>
      <c r="AC265" s="162"/>
      <c r="AD265" s="162">
        <f t="shared" si="86"/>
        <v>0</v>
      </c>
      <c r="AE265" s="164"/>
      <c r="AF265" s="164">
        <f t="shared" si="87"/>
        <v>0</v>
      </c>
      <c r="AG265" s="165"/>
      <c r="AH265" s="165">
        <f t="shared" si="88"/>
        <v>0</v>
      </c>
      <c r="AI265" s="166">
        <v>0</v>
      </c>
      <c r="AJ265" s="166">
        <f t="shared" si="89"/>
        <v>0</v>
      </c>
      <c r="AK265" s="162"/>
      <c r="AL265" s="162">
        <f t="shared" si="95"/>
        <v>0</v>
      </c>
      <c r="AM265" s="173">
        <v>3000</v>
      </c>
      <c r="AN265" s="167">
        <f t="shared" si="96"/>
        <v>10500000</v>
      </c>
      <c r="AO265" s="163"/>
      <c r="AP265" s="163">
        <f t="shared" si="97"/>
        <v>0</v>
      </c>
      <c r="AQ265" s="168"/>
      <c r="AR265" s="168">
        <f t="shared" si="98"/>
        <v>0</v>
      </c>
      <c r="AS265" s="170">
        <v>1980</v>
      </c>
      <c r="AT265" s="170">
        <f t="shared" si="99"/>
        <v>6930000</v>
      </c>
      <c r="AU265" s="166"/>
      <c r="AV265" s="166">
        <f t="shared" si="100"/>
        <v>0</v>
      </c>
    </row>
    <row r="266" spans="1:48" s="131" customFormat="1" ht="31.5">
      <c r="A266" s="148" t="s">
        <v>8483</v>
      </c>
      <c r="B266" s="149" t="s">
        <v>5206</v>
      </c>
      <c r="C266" s="149" t="s">
        <v>5207</v>
      </c>
      <c r="D266" s="240" t="s">
        <v>4072</v>
      </c>
      <c r="E266" s="590" t="s">
        <v>12642</v>
      </c>
      <c r="F266" s="203" t="s">
        <v>1618</v>
      </c>
      <c r="G266" s="204" t="s">
        <v>994</v>
      </c>
      <c r="H266" s="204">
        <v>5</v>
      </c>
      <c r="I266" s="203" t="s">
        <v>4073</v>
      </c>
      <c r="J266" s="205" t="s">
        <v>8129</v>
      </c>
      <c r="K266" s="203" t="s">
        <v>5104</v>
      </c>
      <c r="L266" s="205" t="s">
        <v>8484</v>
      </c>
      <c r="M266" s="205" t="s">
        <v>7783</v>
      </c>
      <c r="N266" s="204" t="s">
        <v>213</v>
      </c>
      <c r="O266" s="204" t="s">
        <v>11</v>
      </c>
      <c r="P266" s="206">
        <v>950</v>
      </c>
      <c r="Q266" s="206">
        <v>204</v>
      </c>
      <c r="R266" s="207">
        <v>100000</v>
      </c>
      <c r="S266" s="207">
        <f t="shared" si="90"/>
        <v>20400000</v>
      </c>
      <c r="T266" s="589"/>
      <c r="U266" s="157">
        <v>100000</v>
      </c>
      <c r="V266" s="158">
        <f t="shared" si="85"/>
        <v>20020</v>
      </c>
      <c r="W266" s="159">
        <f t="shared" si="91"/>
        <v>79980</v>
      </c>
      <c r="X266" s="159">
        <f t="shared" si="92"/>
        <v>16315920</v>
      </c>
      <c r="Y266" s="160"/>
      <c r="Z266" s="160">
        <f t="shared" si="93"/>
        <v>0</v>
      </c>
      <c r="AA266" s="165"/>
      <c r="AB266" s="161">
        <f t="shared" si="94"/>
        <v>0</v>
      </c>
      <c r="AC266" s="162"/>
      <c r="AD266" s="162">
        <f t="shared" si="86"/>
        <v>0</v>
      </c>
      <c r="AE266" s="164"/>
      <c r="AF266" s="164">
        <f t="shared" si="87"/>
        <v>0</v>
      </c>
      <c r="AG266" s="165">
        <v>30000</v>
      </c>
      <c r="AH266" s="165">
        <f t="shared" si="88"/>
        <v>6120000</v>
      </c>
      <c r="AI266" s="166">
        <v>0</v>
      </c>
      <c r="AJ266" s="166">
        <f t="shared" si="89"/>
        <v>0</v>
      </c>
      <c r="AK266" s="162"/>
      <c r="AL266" s="162">
        <f t="shared" si="95"/>
        <v>0</v>
      </c>
      <c r="AM266" s="173"/>
      <c r="AN266" s="167">
        <f t="shared" si="96"/>
        <v>0</v>
      </c>
      <c r="AO266" s="163"/>
      <c r="AP266" s="163">
        <f t="shared" si="97"/>
        <v>0</v>
      </c>
      <c r="AQ266" s="168"/>
      <c r="AR266" s="168">
        <f t="shared" si="98"/>
        <v>0</v>
      </c>
      <c r="AS266" s="170">
        <v>49980</v>
      </c>
      <c r="AT266" s="170">
        <f t="shared" si="99"/>
        <v>10195920</v>
      </c>
      <c r="AU266" s="166"/>
      <c r="AV266" s="166">
        <f t="shared" si="100"/>
        <v>0</v>
      </c>
    </row>
    <row r="267" spans="1:48" s="131" customFormat="1" ht="31.5">
      <c r="A267" s="172" t="s">
        <v>8485</v>
      </c>
      <c r="B267" s="149" t="s">
        <v>5206</v>
      </c>
      <c r="C267" s="149" t="s">
        <v>5207</v>
      </c>
      <c r="D267" s="240" t="s">
        <v>8486</v>
      </c>
      <c r="E267" s="590" t="s">
        <v>12642</v>
      </c>
      <c r="F267" s="203" t="s">
        <v>1618</v>
      </c>
      <c r="G267" s="204" t="s">
        <v>225</v>
      </c>
      <c r="H267" s="204">
        <v>5</v>
      </c>
      <c r="I267" s="203" t="s">
        <v>4070</v>
      </c>
      <c r="J267" s="205" t="s">
        <v>8129</v>
      </c>
      <c r="K267" s="203" t="s">
        <v>5104</v>
      </c>
      <c r="L267" s="205" t="s">
        <v>8130</v>
      </c>
      <c r="M267" s="205" t="s">
        <v>7783</v>
      </c>
      <c r="N267" s="204" t="s">
        <v>213</v>
      </c>
      <c r="O267" s="204" t="s">
        <v>11</v>
      </c>
      <c r="P267" s="206">
        <v>680</v>
      </c>
      <c r="Q267" s="206">
        <v>154</v>
      </c>
      <c r="R267" s="207">
        <v>100000</v>
      </c>
      <c r="S267" s="207">
        <f t="shared" si="90"/>
        <v>15400000</v>
      </c>
      <c r="T267" s="589"/>
      <c r="U267" s="157">
        <v>100000</v>
      </c>
      <c r="V267" s="158">
        <f t="shared" si="85"/>
        <v>100000</v>
      </c>
      <c r="W267" s="159">
        <f t="shared" si="91"/>
        <v>0</v>
      </c>
      <c r="X267" s="159">
        <f t="shared" si="92"/>
        <v>0</v>
      </c>
      <c r="Y267" s="160"/>
      <c r="Z267" s="160">
        <f t="shared" si="93"/>
        <v>0</v>
      </c>
      <c r="AA267" s="165"/>
      <c r="AB267" s="161">
        <f t="shared" si="94"/>
        <v>0</v>
      </c>
      <c r="AC267" s="162"/>
      <c r="AD267" s="162">
        <f t="shared" si="86"/>
        <v>0</v>
      </c>
      <c r="AE267" s="164"/>
      <c r="AF267" s="164">
        <f t="shared" si="87"/>
        <v>0</v>
      </c>
      <c r="AG267" s="165"/>
      <c r="AH267" s="165">
        <f t="shared" si="88"/>
        <v>0</v>
      </c>
      <c r="AI267" s="166">
        <v>0</v>
      </c>
      <c r="AJ267" s="166">
        <f t="shared" si="89"/>
        <v>0</v>
      </c>
      <c r="AK267" s="162"/>
      <c r="AL267" s="162">
        <f t="shared" si="95"/>
        <v>0</v>
      </c>
      <c r="AM267" s="173"/>
      <c r="AN267" s="167">
        <f t="shared" si="96"/>
        <v>0</v>
      </c>
      <c r="AO267" s="163"/>
      <c r="AP267" s="163">
        <f t="shared" si="97"/>
        <v>0</v>
      </c>
      <c r="AQ267" s="168"/>
      <c r="AR267" s="168">
        <f t="shared" si="98"/>
        <v>0</v>
      </c>
      <c r="AS267" s="170"/>
      <c r="AT267" s="170">
        <f t="shared" si="99"/>
        <v>0</v>
      </c>
      <c r="AU267" s="166"/>
      <c r="AV267" s="166">
        <f t="shared" si="100"/>
        <v>0</v>
      </c>
    </row>
    <row r="268" spans="1:48" s="131" customFormat="1" ht="78.75">
      <c r="A268" s="148">
        <v>16</v>
      </c>
      <c r="B268" s="150" t="s">
        <v>8582</v>
      </c>
      <c r="C268" s="150" t="s">
        <v>8583</v>
      </c>
      <c r="D268" s="250" t="s">
        <v>4592</v>
      </c>
      <c r="E268" s="241"/>
      <c r="F268" s="242" t="s">
        <v>8584</v>
      </c>
      <c r="G268" s="244" t="s">
        <v>8585</v>
      </c>
      <c r="H268" s="244" t="s">
        <v>211</v>
      </c>
      <c r="I268" s="244" t="s">
        <v>8586</v>
      </c>
      <c r="J268" s="244" t="s">
        <v>8587</v>
      </c>
      <c r="K268" s="244" t="s">
        <v>5104</v>
      </c>
      <c r="L268" s="241" t="s">
        <v>8588</v>
      </c>
      <c r="M268" s="244" t="s">
        <v>8589</v>
      </c>
      <c r="N268" s="241" t="s">
        <v>213</v>
      </c>
      <c r="O268" s="241" t="s">
        <v>11</v>
      </c>
      <c r="P268" s="245">
        <v>1600</v>
      </c>
      <c r="Q268" s="245">
        <v>1600</v>
      </c>
      <c r="R268" s="246">
        <v>50000</v>
      </c>
      <c r="S268" s="245">
        <f t="shared" si="90"/>
        <v>80000000</v>
      </c>
      <c r="T268" s="589"/>
      <c r="U268" s="244"/>
      <c r="V268" s="247">
        <f>R268-W268</f>
        <v>33400</v>
      </c>
      <c r="W268" s="159">
        <f t="shared" si="91"/>
        <v>16600</v>
      </c>
      <c r="X268" s="159">
        <f t="shared" si="92"/>
        <v>26560000</v>
      </c>
      <c r="Y268" s="248"/>
      <c r="Z268" s="160">
        <f t="shared" si="93"/>
        <v>0</v>
      </c>
      <c r="AA268" s="248"/>
      <c r="AB268" s="161">
        <f t="shared" si="94"/>
        <v>0</v>
      </c>
      <c r="AC268" s="249"/>
      <c r="AD268" s="249"/>
      <c r="AE268" s="249"/>
      <c r="AF268" s="249"/>
      <c r="AG268" s="249"/>
      <c r="AH268" s="249"/>
      <c r="AI268" s="249"/>
      <c r="AJ268" s="249"/>
      <c r="AK268" s="249">
        <v>10600</v>
      </c>
      <c r="AL268" s="162">
        <f t="shared" si="95"/>
        <v>16960000</v>
      </c>
      <c r="AM268" s="249"/>
      <c r="AN268" s="167">
        <f t="shared" si="96"/>
        <v>0</v>
      </c>
      <c r="AO268" s="249"/>
      <c r="AP268" s="163">
        <f t="shared" si="97"/>
        <v>0</v>
      </c>
      <c r="AQ268" s="249"/>
      <c r="AR268" s="168">
        <f t="shared" si="98"/>
        <v>0</v>
      </c>
      <c r="AS268" s="249">
        <v>6000</v>
      </c>
      <c r="AT268" s="170">
        <f t="shared" si="99"/>
        <v>9600000</v>
      </c>
      <c r="AU268" s="249"/>
      <c r="AV268" s="166">
        <f t="shared" si="100"/>
        <v>0</v>
      </c>
    </row>
    <row r="269" spans="1:48" s="131" customFormat="1" ht="78.75">
      <c r="A269" s="250">
        <v>77</v>
      </c>
      <c r="B269" s="150" t="s">
        <v>8582</v>
      </c>
      <c r="C269" s="150" t="s">
        <v>8583</v>
      </c>
      <c r="D269" s="250" t="s">
        <v>4740</v>
      </c>
      <c r="E269" s="241"/>
      <c r="F269" s="242" t="s">
        <v>8822</v>
      </c>
      <c r="G269" s="244" t="s">
        <v>4743</v>
      </c>
      <c r="H269" s="244" t="s">
        <v>211</v>
      </c>
      <c r="I269" s="244" t="s">
        <v>8823</v>
      </c>
      <c r="J269" s="244" t="s">
        <v>8824</v>
      </c>
      <c r="K269" s="244" t="s">
        <v>5104</v>
      </c>
      <c r="L269" s="241" t="s">
        <v>8825</v>
      </c>
      <c r="M269" s="244" t="s">
        <v>8826</v>
      </c>
      <c r="N269" s="241" t="s">
        <v>213</v>
      </c>
      <c r="O269" s="241" t="s">
        <v>1258</v>
      </c>
      <c r="P269" s="245">
        <v>6200</v>
      </c>
      <c r="Q269" s="245">
        <v>4990</v>
      </c>
      <c r="R269" s="246">
        <v>10000</v>
      </c>
      <c r="S269" s="245">
        <f t="shared" si="90"/>
        <v>49900000</v>
      </c>
      <c r="T269" s="589"/>
      <c r="U269" s="244"/>
      <c r="V269" s="247">
        <f>R269-W269</f>
        <v>9500</v>
      </c>
      <c r="W269" s="159">
        <f t="shared" si="91"/>
        <v>500</v>
      </c>
      <c r="X269" s="159">
        <f t="shared" si="92"/>
        <v>2495000</v>
      </c>
      <c r="Y269" s="248"/>
      <c r="Z269" s="160">
        <f t="shared" si="93"/>
        <v>0</v>
      </c>
      <c r="AA269" s="248"/>
      <c r="AB269" s="161">
        <f t="shared" si="94"/>
        <v>0</v>
      </c>
      <c r="AC269" s="249"/>
      <c r="AD269" s="249"/>
      <c r="AE269" s="249"/>
      <c r="AF269" s="249"/>
      <c r="AG269" s="249"/>
      <c r="AH269" s="249"/>
      <c r="AI269" s="249"/>
      <c r="AJ269" s="249"/>
      <c r="AK269" s="249">
        <v>500</v>
      </c>
      <c r="AL269" s="162">
        <f t="shared" si="95"/>
        <v>2495000</v>
      </c>
      <c r="AM269" s="249"/>
      <c r="AN269" s="167">
        <f t="shared" si="96"/>
        <v>0</v>
      </c>
      <c r="AO269" s="249"/>
      <c r="AP269" s="163">
        <f t="shared" si="97"/>
        <v>0</v>
      </c>
      <c r="AQ269" s="249"/>
      <c r="AR269" s="168">
        <f t="shared" si="98"/>
        <v>0</v>
      </c>
      <c r="AS269" s="249"/>
      <c r="AT269" s="170">
        <f t="shared" si="99"/>
        <v>0</v>
      </c>
      <c r="AU269" s="249"/>
      <c r="AV269" s="166">
        <f t="shared" si="100"/>
        <v>0</v>
      </c>
    </row>
    <row r="270" spans="1:48" s="131" customFormat="1" ht="63">
      <c r="A270" s="148">
        <v>79</v>
      </c>
      <c r="B270" s="150" t="s">
        <v>8582</v>
      </c>
      <c r="C270" s="150" t="s">
        <v>8583</v>
      </c>
      <c r="D270" s="250" t="s">
        <v>4732</v>
      </c>
      <c r="E270" s="241"/>
      <c r="F270" s="242" t="s">
        <v>8832</v>
      </c>
      <c r="G270" s="244" t="s">
        <v>4735</v>
      </c>
      <c r="H270" s="244" t="s">
        <v>211</v>
      </c>
      <c r="I270" s="244" t="s">
        <v>8833</v>
      </c>
      <c r="J270" s="244" t="s">
        <v>8834</v>
      </c>
      <c r="K270" s="244" t="s">
        <v>253</v>
      </c>
      <c r="L270" s="241" t="s">
        <v>8835</v>
      </c>
      <c r="M270" s="244" t="s">
        <v>8826</v>
      </c>
      <c r="N270" s="241" t="s">
        <v>213</v>
      </c>
      <c r="O270" s="241" t="s">
        <v>658</v>
      </c>
      <c r="P270" s="245">
        <v>32500</v>
      </c>
      <c r="Q270" s="245">
        <v>28500</v>
      </c>
      <c r="R270" s="246">
        <v>1500</v>
      </c>
      <c r="S270" s="245">
        <f t="shared" si="90"/>
        <v>42750000</v>
      </c>
      <c r="T270" s="589"/>
      <c r="U270" s="244"/>
      <c r="V270" s="247">
        <f>R270-W270</f>
        <v>1150</v>
      </c>
      <c r="W270" s="159">
        <f t="shared" si="91"/>
        <v>350</v>
      </c>
      <c r="X270" s="159">
        <f t="shared" si="92"/>
        <v>9975000</v>
      </c>
      <c r="Y270" s="248"/>
      <c r="Z270" s="160">
        <f t="shared" si="93"/>
        <v>0</v>
      </c>
      <c r="AA270" s="248"/>
      <c r="AB270" s="161">
        <f t="shared" si="94"/>
        <v>0</v>
      </c>
      <c r="AC270" s="249"/>
      <c r="AD270" s="249"/>
      <c r="AE270" s="249"/>
      <c r="AF270" s="249"/>
      <c r="AG270" s="249"/>
      <c r="AH270" s="249"/>
      <c r="AI270" s="249"/>
      <c r="AJ270" s="249"/>
      <c r="AK270" s="249">
        <v>350</v>
      </c>
      <c r="AL270" s="162">
        <f t="shared" si="95"/>
        <v>9975000</v>
      </c>
      <c r="AM270" s="249"/>
      <c r="AN270" s="167">
        <f t="shared" si="96"/>
        <v>0</v>
      </c>
      <c r="AO270" s="249"/>
      <c r="AP270" s="163">
        <f t="shared" si="97"/>
        <v>0</v>
      </c>
      <c r="AQ270" s="249"/>
      <c r="AR270" s="168">
        <f t="shared" si="98"/>
        <v>0</v>
      </c>
      <c r="AS270" s="249"/>
      <c r="AT270" s="170">
        <f t="shared" si="99"/>
        <v>0</v>
      </c>
      <c r="AU270" s="249"/>
      <c r="AV270" s="166">
        <f t="shared" si="100"/>
        <v>0</v>
      </c>
    </row>
    <row r="271" spans="1:48" s="131" customFormat="1">
      <c r="A271" s="148" t="s">
        <v>5292</v>
      </c>
      <c r="B271" s="150" t="s">
        <v>5293</v>
      </c>
      <c r="C271" s="150" t="s">
        <v>5294</v>
      </c>
      <c r="D271" s="634" t="s">
        <v>5295</v>
      </c>
      <c r="E271" s="631"/>
      <c r="F271" s="175" t="s">
        <v>353</v>
      </c>
      <c r="G271" s="151" t="s">
        <v>355</v>
      </c>
      <c r="H271" s="174" t="s">
        <v>210</v>
      </c>
      <c r="I271" s="150" t="s">
        <v>354</v>
      </c>
      <c r="J271" s="153" t="s">
        <v>5247</v>
      </c>
      <c r="K271" s="151" t="s">
        <v>253</v>
      </c>
      <c r="L271" s="151" t="s">
        <v>356</v>
      </c>
      <c r="M271" s="151" t="s">
        <v>357</v>
      </c>
      <c r="N271" s="152" t="s">
        <v>5296</v>
      </c>
      <c r="O271" s="152" t="s">
        <v>5141</v>
      </c>
      <c r="P271" s="176">
        <v>20600</v>
      </c>
      <c r="Q271" s="177">
        <v>20400</v>
      </c>
      <c r="R271" s="176">
        <v>2700</v>
      </c>
      <c r="S271" s="156">
        <f t="shared" si="90"/>
        <v>55080000</v>
      </c>
      <c r="T271" s="589"/>
      <c r="U271" s="157">
        <v>2600</v>
      </c>
      <c r="V271" s="158">
        <f t="shared" ref="V271:V276" si="101">U271-W271</f>
        <v>2600</v>
      </c>
      <c r="W271" s="159">
        <f t="shared" si="91"/>
        <v>0</v>
      </c>
      <c r="X271" s="159">
        <f t="shared" si="92"/>
        <v>0</v>
      </c>
      <c r="Y271" s="160"/>
      <c r="Z271" s="160">
        <f t="shared" si="93"/>
        <v>0</v>
      </c>
      <c r="AA271" s="165"/>
      <c r="AB271" s="161">
        <f t="shared" si="94"/>
        <v>0</v>
      </c>
      <c r="AC271" s="162"/>
      <c r="AD271" s="162">
        <f t="shared" ref="AD271:AD276" si="102">AC271*Q271</f>
        <v>0</v>
      </c>
      <c r="AE271" s="164"/>
      <c r="AF271" s="164">
        <f t="shared" ref="AF271:AF276" si="103">AE271*Q271</f>
        <v>0</v>
      </c>
      <c r="AG271" s="165"/>
      <c r="AH271" s="165">
        <f t="shared" ref="AH271:AH276" si="104">AG271*Q271</f>
        <v>0</v>
      </c>
      <c r="AI271" s="166">
        <v>0</v>
      </c>
      <c r="AJ271" s="166">
        <f t="shared" ref="AJ271:AJ276" si="105">AI271*Q271</f>
        <v>0</v>
      </c>
      <c r="AK271" s="162"/>
      <c r="AL271" s="162">
        <f t="shared" si="95"/>
        <v>0</v>
      </c>
      <c r="AM271" s="173"/>
      <c r="AN271" s="167">
        <f t="shared" si="96"/>
        <v>0</v>
      </c>
      <c r="AO271" s="163"/>
      <c r="AP271" s="163">
        <f t="shared" si="97"/>
        <v>0</v>
      </c>
      <c r="AQ271" s="168"/>
      <c r="AR271" s="168">
        <f t="shared" si="98"/>
        <v>0</v>
      </c>
      <c r="AS271" s="170"/>
      <c r="AT271" s="170">
        <f t="shared" si="99"/>
        <v>0</v>
      </c>
      <c r="AU271" s="166"/>
      <c r="AV271" s="166">
        <f t="shared" si="100"/>
        <v>0</v>
      </c>
    </row>
    <row r="272" spans="1:48" s="131" customFormat="1" ht="31.5">
      <c r="A272" s="172" t="s">
        <v>7079</v>
      </c>
      <c r="B272" s="150" t="s">
        <v>5293</v>
      </c>
      <c r="C272" s="150" t="s">
        <v>5294</v>
      </c>
      <c r="D272" s="240" t="s">
        <v>7080</v>
      </c>
      <c r="E272" s="590" t="s">
        <v>12642</v>
      </c>
      <c r="F272" s="203" t="s">
        <v>2485</v>
      </c>
      <c r="G272" s="204" t="s">
        <v>7081</v>
      </c>
      <c r="H272" s="204">
        <v>3</v>
      </c>
      <c r="I272" s="203" t="s">
        <v>7082</v>
      </c>
      <c r="J272" s="205" t="s">
        <v>7083</v>
      </c>
      <c r="K272" s="203" t="s">
        <v>5104</v>
      </c>
      <c r="L272" s="205" t="s">
        <v>7084</v>
      </c>
      <c r="M272" s="205" t="s">
        <v>7085</v>
      </c>
      <c r="N272" s="204" t="s">
        <v>213</v>
      </c>
      <c r="O272" s="204" t="s">
        <v>16</v>
      </c>
      <c r="P272" s="206">
        <v>1910</v>
      </c>
      <c r="Q272" s="206">
        <v>1700</v>
      </c>
      <c r="R272" s="207">
        <v>50000</v>
      </c>
      <c r="S272" s="207">
        <f t="shared" si="90"/>
        <v>85000000</v>
      </c>
      <c r="T272" s="589"/>
      <c r="U272" s="157">
        <v>50000</v>
      </c>
      <c r="V272" s="158">
        <f t="shared" si="101"/>
        <v>49010</v>
      </c>
      <c r="W272" s="159">
        <f t="shared" si="91"/>
        <v>990</v>
      </c>
      <c r="X272" s="159">
        <f t="shared" si="92"/>
        <v>1683000</v>
      </c>
      <c r="Y272" s="160"/>
      <c r="Z272" s="160">
        <f t="shared" si="93"/>
        <v>0</v>
      </c>
      <c r="AA272" s="161"/>
      <c r="AB272" s="161">
        <f t="shared" si="94"/>
        <v>0</v>
      </c>
      <c r="AC272" s="162"/>
      <c r="AD272" s="162">
        <f t="shared" si="102"/>
        <v>0</v>
      </c>
      <c r="AE272" s="163"/>
      <c r="AF272" s="164">
        <f t="shared" si="103"/>
        <v>0</v>
      </c>
      <c r="AG272" s="161"/>
      <c r="AH272" s="165">
        <f t="shared" si="104"/>
        <v>0</v>
      </c>
      <c r="AI272" s="160">
        <v>0</v>
      </c>
      <c r="AJ272" s="166">
        <f t="shared" si="105"/>
        <v>0</v>
      </c>
      <c r="AK272" s="162"/>
      <c r="AL272" s="162">
        <f t="shared" si="95"/>
        <v>0</v>
      </c>
      <c r="AM272" s="167"/>
      <c r="AN272" s="167">
        <f t="shared" si="96"/>
        <v>0</v>
      </c>
      <c r="AO272" s="163"/>
      <c r="AP272" s="163">
        <f t="shared" si="97"/>
        <v>0</v>
      </c>
      <c r="AQ272" s="162"/>
      <c r="AR272" s="168">
        <f t="shared" si="98"/>
        <v>0</v>
      </c>
      <c r="AS272" s="169">
        <v>990</v>
      </c>
      <c r="AT272" s="170">
        <f t="shared" si="99"/>
        <v>1683000</v>
      </c>
      <c r="AU272" s="160"/>
      <c r="AV272" s="166">
        <f t="shared" si="100"/>
        <v>0</v>
      </c>
    </row>
    <row r="273" spans="1:48" s="131" customFormat="1" ht="31.5">
      <c r="A273" s="172" t="s">
        <v>7104</v>
      </c>
      <c r="B273" s="150" t="s">
        <v>5293</v>
      </c>
      <c r="C273" s="150" t="s">
        <v>5294</v>
      </c>
      <c r="D273" s="240" t="s">
        <v>5003</v>
      </c>
      <c r="E273" s="590" t="s">
        <v>12642</v>
      </c>
      <c r="F273" s="203" t="s">
        <v>702</v>
      </c>
      <c r="G273" s="204" t="s">
        <v>225</v>
      </c>
      <c r="H273" s="204">
        <v>3</v>
      </c>
      <c r="I273" s="203" t="s">
        <v>5004</v>
      </c>
      <c r="J273" s="205" t="s">
        <v>7105</v>
      </c>
      <c r="K273" s="203" t="s">
        <v>5104</v>
      </c>
      <c r="L273" s="205" t="s">
        <v>7106</v>
      </c>
      <c r="M273" s="205" t="s">
        <v>7107</v>
      </c>
      <c r="N273" s="204" t="s">
        <v>213</v>
      </c>
      <c r="O273" s="204" t="s">
        <v>11</v>
      </c>
      <c r="P273" s="206">
        <v>2150</v>
      </c>
      <c r="Q273" s="206">
        <v>2150</v>
      </c>
      <c r="R273" s="207">
        <v>90000</v>
      </c>
      <c r="S273" s="207">
        <f t="shared" si="90"/>
        <v>193500000</v>
      </c>
      <c r="T273" s="589"/>
      <c r="U273" s="157">
        <v>90000</v>
      </c>
      <c r="V273" s="158">
        <f t="shared" si="101"/>
        <v>85000</v>
      </c>
      <c r="W273" s="159">
        <f t="shared" si="91"/>
        <v>5000</v>
      </c>
      <c r="X273" s="159">
        <f t="shared" si="92"/>
        <v>10750000</v>
      </c>
      <c r="Y273" s="160"/>
      <c r="Z273" s="160">
        <f t="shared" si="93"/>
        <v>0</v>
      </c>
      <c r="AA273" s="165">
        <v>5000</v>
      </c>
      <c r="AB273" s="161">
        <f t="shared" si="94"/>
        <v>10750000</v>
      </c>
      <c r="AC273" s="162"/>
      <c r="AD273" s="162">
        <f t="shared" si="102"/>
        <v>0</v>
      </c>
      <c r="AE273" s="164"/>
      <c r="AF273" s="164">
        <f t="shared" si="103"/>
        <v>0</v>
      </c>
      <c r="AG273" s="165"/>
      <c r="AH273" s="165">
        <f t="shared" si="104"/>
        <v>0</v>
      </c>
      <c r="AI273" s="166">
        <v>0</v>
      </c>
      <c r="AJ273" s="166">
        <f t="shared" si="105"/>
        <v>0</v>
      </c>
      <c r="AK273" s="162"/>
      <c r="AL273" s="162">
        <f t="shared" si="95"/>
        <v>0</v>
      </c>
      <c r="AM273" s="173"/>
      <c r="AN273" s="167">
        <f t="shared" si="96"/>
        <v>0</v>
      </c>
      <c r="AO273" s="163"/>
      <c r="AP273" s="163">
        <f t="shared" si="97"/>
        <v>0</v>
      </c>
      <c r="AQ273" s="168"/>
      <c r="AR273" s="168">
        <f t="shared" si="98"/>
        <v>0</v>
      </c>
      <c r="AS273" s="170"/>
      <c r="AT273" s="170">
        <f t="shared" si="99"/>
        <v>0</v>
      </c>
      <c r="AU273" s="166"/>
      <c r="AV273" s="166">
        <f t="shared" si="100"/>
        <v>0</v>
      </c>
    </row>
    <row r="274" spans="1:48" s="131" customFormat="1" ht="31.5">
      <c r="A274" s="148" t="s">
        <v>7285</v>
      </c>
      <c r="B274" s="150" t="s">
        <v>5293</v>
      </c>
      <c r="C274" s="150" t="s">
        <v>5294</v>
      </c>
      <c r="D274" s="240" t="s">
        <v>7286</v>
      </c>
      <c r="E274" s="590"/>
      <c r="F274" s="203" t="s">
        <v>256</v>
      </c>
      <c r="G274" s="204" t="s">
        <v>296</v>
      </c>
      <c r="H274" s="204">
        <v>3</v>
      </c>
      <c r="I274" s="203" t="s">
        <v>1274</v>
      </c>
      <c r="J274" s="205" t="s">
        <v>7287</v>
      </c>
      <c r="K274" s="203" t="s">
        <v>5104</v>
      </c>
      <c r="L274" s="205" t="s">
        <v>1275</v>
      </c>
      <c r="M274" s="205" t="s">
        <v>7288</v>
      </c>
      <c r="N274" s="204" t="s">
        <v>213</v>
      </c>
      <c r="O274" s="204" t="s">
        <v>13</v>
      </c>
      <c r="P274" s="206">
        <v>6800</v>
      </c>
      <c r="Q274" s="206">
        <v>6800</v>
      </c>
      <c r="R274" s="207">
        <v>10000</v>
      </c>
      <c r="S274" s="207">
        <f t="shared" si="90"/>
        <v>68000000</v>
      </c>
      <c r="T274" s="589"/>
      <c r="U274" s="157">
        <v>10000</v>
      </c>
      <c r="V274" s="158">
        <f t="shared" si="101"/>
        <v>10000</v>
      </c>
      <c r="W274" s="159">
        <f t="shared" si="91"/>
        <v>0</v>
      </c>
      <c r="X274" s="159">
        <f t="shared" si="92"/>
        <v>0</v>
      </c>
      <c r="Y274" s="160"/>
      <c r="Z274" s="160">
        <f t="shared" si="93"/>
        <v>0</v>
      </c>
      <c r="AA274" s="165"/>
      <c r="AB274" s="161">
        <f t="shared" si="94"/>
        <v>0</v>
      </c>
      <c r="AC274" s="162"/>
      <c r="AD274" s="162">
        <f t="shared" si="102"/>
        <v>0</v>
      </c>
      <c r="AE274" s="164"/>
      <c r="AF274" s="164">
        <f t="shared" si="103"/>
        <v>0</v>
      </c>
      <c r="AG274" s="165"/>
      <c r="AH274" s="165">
        <f t="shared" si="104"/>
        <v>0</v>
      </c>
      <c r="AI274" s="166">
        <v>0</v>
      </c>
      <c r="AJ274" s="166">
        <f t="shared" si="105"/>
        <v>0</v>
      </c>
      <c r="AK274" s="162"/>
      <c r="AL274" s="162">
        <f t="shared" si="95"/>
        <v>0</v>
      </c>
      <c r="AM274" s="173"/>
      <c r="AN274" s="167">
        <f t="shared" si="96"/>
        <v>0</v>
      </c>
      <c r="AO274" s="163"/>
      <c r="AP274" s="163">
        <f t="shared" si="97"/>
        <v>0</v>
      </c>
      <c r="AQ274" s="168"/>
      <c r="AR274" s="168">
        <f t="shared" si="98"/>
        <v>0</v>
      </c>
      <c r="AS274" s="170"/>
      <c r="AT274" s="170">
        <f t="shared" si="99"/>
        <v>0</v>
      </c>
      <c r="AU274" s="166"/>
      <c r="AV274" s="166">
        <f t="shared" si="100"/>
        <v>0</v>
      </c>
    </row>
    <row r="275" spans="1:48" s="131" customFormat="1" ht="31.5">
      <c r="A275" s="172" t="s">
        <v>7508</v>
      </c>
      <c r="B275" s="150" t="s">
        <v>5293</v>
      </c>
      <c r="C275" s="150" t="s">
        <v>5294</v>
      </c>
      <c r="D275" s="240" t="s">
        <v>7509</v>
      </c>
      <c r="E275" s="590" t="s">
        <v>12642</v>
      </c>
      <c r="F275" s="203" t="s">
        <v>378</v>
      </c>
      <c r="G275" s="204" t="s">
        <v>299</v>
      </c>
      <c r="H275" s="204">
        <v>3</v>
      </c>
      <c r="I275" s="203" t="s">
        <v>7510</v>
      </c>
      <c r="J275" s="205" t="s">
        <v>7511</v>
      </c>
      <c r="K275" s="203" t="s">
        <v>5104</v>
      </c>
      <c r="L275" s="205" t="s">
        <v>7512</v>
      </c>
      <c r="M275" s="205" t="s">
        <v>7513</v>
      </c>
      <c r="N275" s="204" t="s">
        <v>213</v>
      </c>
      <c r="O275" s="204" t="s">
        <v>13</v>
      </c>
      <c r="P275" s="206">
        <v>4500</v>
      </c>
      <c r="Q275" s="206">
        <v>2400</v>
      </c>
      <c r="R275" s="207">
        <v>50000</v>
      </c>
      <c r="S275" s="207">
        <f t="shared" si="90"/>
        <v>120000000</v>
      </c>
      <c r="T275" s="589"/>
      <c r="U275" s="157">
        <v>50000</v>
      </c>
      <c r="V275" s="158">
        <f t="shared" si="101"/>
        <v>50000</v>
      </c>
      <c r="W275" s="159">
        <f t="shared" si="91"/>
        <v>0</v>
      </c>
      <c r="X275" s="159">
        <f t="shared" si="92"/>
        <v>0</v>
      </c>
      <c r="Y275" s="160"/>
      <c r="Z275" s="160">
        <f t="shared" si="93"/>
        <v>0</v>
      </c>
      <c r="AA275" s="165"/>
      <c r="AB275" s="161">
        <f t="shared" si="94"/>
        <v>0</v>
      </c>
      <c r="AC275" s="162"/>
      <c r="AD275" s="162">
        <f t="shared" si="102"/>
        <v>0</v>
      </c>
      <c r="AE275" s="164"/>
      <c r="AF275" s="164">
        <f t="shared" si="103"/>
        <v>0</v>
      </c>
      <c r="AG275" s="165"/>
      <c r="AH275" s="165">
        <f t="shared" si="104"/>
        <v>0</v>
      </c>
      <c r="AI275" s="166">
        <v>0</v>
      </c>
      <c r="AJ275" s="166">
        <f t="shared" si="105"/>
        <v>0</v>
      </c>
      <c r="AK275" s="162"/>
      <c r="AL275" s="162">
        <f t="shared" si="95"/>
        <v>0</v>
      </c>
      <c r="AM275" s="173"/>
      <c r="AN275" s="167">
        <f t="shared" si="96"/>
        <v>0</v>
      </c>
      <c r="AO275" s="163"/>
      <c r="AP275" s="163">
        <f t="shared" si="97"/>
        <v>0</v>
      </c>
      <c r="AQ275" s="168"/>
      <c r="AR275" s="168">
        <f t="shared" si="98"/>
        <v>0</v>
      </c>
      <c r="AS275" s="170"/>
      <c r="AT275" s="170">
        <f t="shared" si="99"/>
        <v>0</v>
      </c>
      <c r="AU275" s="166"/>
      <c r="AV275" s="166">
        <f t="shared" si="100"/>
        <v>0</v>
      </c>
    </row>
    <row r="276" spans="1:48" s="131" customFormat="1" ht="31.5">
      <c r="A276" s="172" t="s">
        <v>8259</v>
      </c>
      <c r="B276" s="150" t="s">
        <v>5293</v>
      </c>
      <c r="C276" s="150" t="s">
        <v>5294</v>
      </c>
      <c r="D276" s="240" t="s">
        <v>4523</v>
      </c>
      <c r="E276" s="590"/>
      <c r="F276" s="203" t="s">
        <v>256</v>
      </c>
      <c r="G276" s="204" t="s">
        <v>296</v>
      </c>
      <c r="H276" s="204">
        <v>4</v>
      </c>
      <c r="I276" s="203" t="s">
        <v>1274</v>
      </c>
      <c r="J276" s="205" t="s">
        <v>8260</v>
      </c>
      <c r="K276" s="203" t="s">
        <v>5104</v>
      </c>
      <c r="L276" s="205" t="s">
        <v>1275</v>
      </c>
      <c r="M276" s="205" t="s">
        <v>7288</v>
      </c>
      <c r="N276" s="204" t="s">
        <v>213</v>
      </c>
      <c r="O276" s="204" t="s">
        <v>13</v>
      </c>
      <c r="P276" s="206">
        <v>6800</v>
      </c>
      <c r="Q276" s="206">
        <v>6800</v>
      </c>
      <c r="R276" s="207">
        <v>20000</v>
      </c>
      <c r="S276" s="207">
        <f t="shared" si="90"/>
        <v>136000000</v>
      </c>
      <c r="T276" s="589"/>
      <c r="U276" s="157">
        <v>20000</v>
      </c>
      <c r="V276" s="158">
        <f t="shared" si="101"/>
        <v>20000</v>
      </c>
      <c r="W276" s="159">
        <f t="shared" si="91"/>
        <v>0</v>
      </c>
      <c r="X276" s="159">
        <f t="shared" si="92"/>
        <v>0</v>
      </c>
      <c r="Y276" s="160"/>
      <c r="Z276" s="160">
        <f t="shared" si="93"/>
        <v>0</v>
      </c>
      <c r="AA276" s="165"/>
      <c r="AB276" s="161">
        <f t="shared" si="94"/>
        <v>0</v>
      </c>
      <c r="AC276" s="162"/>
      <c r="AD276" s="162">
        <f t="shared" si="102"/>
        <v>0</v>
      </c>
      <c r="AE276" s="164"/>
      <c r="AF276" s="164">
        <f t="shared" si="103"/>
        <v>0</v>
      </c>
      <c r="AG276" s="165"/>
      <c r="AH276" s="165">
        <f t="shared" si="104"/>
        <v>0</v>
      </c>
      <c r="AI276" s="166">
        <v>0</v>
      </c>
      <c r="AJ276" s="166">
        <f t="shared" si="105"/>
        <v>0</v>
      </c>
      <c r="AK276" s="162"/>
      <c r="AL276" s="162">
        <f t="shared" si="95"/>
        <v>0</v>
      </c>
      <c r="AM276" s="173"/>
      <c r="AN276" s="167">
        <f t="shared" si="96"/>
        <v>0</v>
      </c>
      <c r="AO276" s="163"/>
      <c r="AP276" s="163">
        <f t="shared" si="97"/>
        <v>0</v>
      </c>
      <c r="AQ276" s="168"/>
      <c r="AR276" s="168">
        <f t="shared" si="98"/>
        <v>0</v>
      </c>
      <c r="AS276" s="170"/>
      <c r="AT276" s="170">
        <f t="shared" si="99"/>
        <v>0</v>
      </c>
      <c r="AU276" s="166"/>
      <c r="AV276" s="166">
        <f t="shared" si="100"/>
        <v>0</v>
      </c>
    </row>
    <row r="277" spans="1:48" s="131" customFormat="1" ht="63">
      <c r="A277" s="148">
        <v>10</v>
      </c>
      <c r="B277" s="150" t="s">
        <v>5293</v>
      </c>
      <c r="C277" s="150" t="s">
        <v>5294</v>
      </c>
      <c r="D277" s="250" t="s">
        <v>8548</v>
      </c>
      <c r="E277" s="241"/>
      <c r="F277" s="242" t="s">
        <v>8549</v>
      </c>
      <c r="G277" s="244" t="s">
        <v>8550</v>
      </c>
      <c r="H277" s="244" t="s">
        <v>211</v>
      </c>
      <c r="I277" s="244" t="s">
        <v>8551</v>
      </c>
      <c r="J277" s="244" t="s">
        <v>8552</v>
      </c>
      <c r="K277" s="244" t="s">
        <v>5104</v>
      </c>
      <c r="L277" s="241" t="s">
        <v>8553</v>
      </c>
      <c r="M277" s="244" t="s">
        <v>2168</v>
      </c>
      <c r="N277" s="241" t="s">
        <v>213</v>
      </c>
      <c r="O277" s="241" t="s">
        <v>11</v>
      </c>
      <c r="P277" s="245">
        <v>1050</v>
      </c>
      <c r="Q277" s="245">
        <v>720</v>
      </c>
      <c r="R277" s="246">
        <v>50000</v>
      </c>
      <c r="S277" s="245">
        <f t="shared" si="90"/>
        <v>36000000</v>
      </c>
      <c r="T277" s="589"/>
      <c r="U277" s="244"/>
      <c r="V277" s="247">
        <f t="shared" ref="V277:V291" si="106">R277-W277</f>
        <v>50000</v>
      </c>
      <c r="W277" s="159">
        <f t="shared" si="91"/>
        <v>0</v>
      </c>
      <c r="X277" s="159">
        <f t="shared" si="92"/>
        <v>0</v>
      </c>
      <c r="Y277" s="248"/>
      <c r="Z277" s="160">
        <f t="shared" si="93"/>
        <v>0</v>
      </c>
      <c r="AA277" s="248"/>
      <c r="AB277" s="161">
        <f t="shared" si="94"/>
        <v>0</v>
      </c>
      <c r="AC277" s="249"/>
      <c r="AD277" s="249"/>
      <c r="AE277" s="249"/>
      <c r="AF277" s="249"/>
      <c r="AG277" s="249"/>
      <c r="AH277" s="249"/>
      <c r="AI277" s="249"/>
      <c r="AJ277" s="249"/>
      <c r="AK277" s="249"/>
      <c r="AL277" s="162">
        <f t="shared" si="95"/>
        <v>0</v>
      </c>
      <c r="AM277" s="249"/>
      <c r="AN277" s="167">
        <f t="shared" si="96"/>
        <v>0</v>
      </c>
      <c r="AO277" s="249"/>
      <c r="AP277" s="163">
        <f t="shared" si="97"/>
        <v>0</v>
      </c>
      <c r="AQ277" s="249"/>
      <c r="AR277" s="168">
        <f t="shared" si="98"/>
        <v>0</v>
      </c>
      <c r="AS277" s="249"/>
      <c r="AT277" s="170">
        <f t="shared" si="99"/>
        <v>0</v>
      </c>
      <c r="AU277" s="249"/>
      <c r="AV277" s="166">
        <f t="shared" si="100"/>
        <v>0</v>
      </c>
    </row>
    <row r="278" spans="1:48" s="131" customFormat="1" ht="94.5">
      <c r="A278" s="148">
        <v>82</v>
      </c>
      <c r="B278" s="150" t="s">
        <v>5293</v>
      </c>
      <c r="C278" s="150" t="s">
        <v>5294</v>
      </c>
      <c r="D278" s="250" t="s">
        <v>8850</v>
      </c>
      <c r="E278" s="241"/>
      <c r="F278" s="242" t="s">
        <v>8851</v>
      </c>
      <c r="G278" s="244" t="s">
        <v>8852</v>
      </c>
      <c r="H278" s="244" t="s">
        <v>211</v>
      </c>
      <c r="I278" s="244" t="s">
        <v>8853</v>
      </c>
      <c r="J278" s="244" t="s">
        <v>8854</v>
      </c>
      <c r="K278" s="244" t="s">
        <v>5104</v>
      </c>
      <c r="L278" s="241" t="s">
        <v>8855</v>
      </c>
      <c r="M278" s="244" t="s">
        <v>2426</v>
      </c>
      <c r="N278" s="241" t="s">
        <v>213</v>
      </c>
      <c r="O278" s="241" t="s">
        <v>11</v>
      </c>
      <c r="P278" s="245">
        <v>1700</v>
      </c>
      <c r="Q278" s="245">
        <v>1640</v>
      </c>
      <c r="R278" s="246">
        <v>20000</v>
      </c>
      <c r="S278" s="245">
        <f t="shared" si="90"/>
        <v>32800000</v>
      </c>
      <c r="T278" s="589"/>
      <c r="U278" s="244"/>
      <c r="V278" s="247">
        <f t="shared" si="106"/>
        <v>20000</v>
      </c>
      <c r="W278" s="159">
        <f t="shared" si="91"/>
        <v>0</v>
      </c>
      <c r="X278" s="159">
        <f t="shared" si="92"/>
        <v>0</v>
      </c>
      <c r="Y278" s="248"/>
      <c r="Z278" s="160">
        <f t="shared" si="93"/>
        <v>0</v>
      </c>
      <c r="AA278" s="248"/>
      <c r="AB278" s="161">
        <f t="shared" si="94"/>
        <v>0</v>
      </c>
      <c r="AC278" s="249"/>
      <c r="AD278" s="249"/>
      <c r="AE278" s="249"/>
      <c r="AF278" s="249"/>
      <c r="AG278" s="249"/>
      <c r="AH278" s="249"/>
      <c r="AI278" s="249"/>
      <c r="AJ278" s="249"/>
      <c r="AK278" s="249"/>
      <c r="AL278" s="162">
        <f t="shared" si="95"/>
        <v>0</v>
      </c>
      <c r="AM278" s="249"/>
      <c r="AN278" s="167">
        <f t="shared" si="96"/>
        <v>0</v>
      </c>
      <c r="AO278" s="249"/>
      <c r="AP278" s="163">
        <f t="shared" si="97"/>
        <v>0</v>
      </c>
      <c r="AQ278" s="249"/>
      <c r="AR278" s="168">
        <f t="shared" si="98"/>
        <v>0</v>
      </c>
      <c r="AS278" s="249"/>
      <c r="AT278" s="170">
        <f t="shared" si="99"/>
        <v>0</v>
      </c>
      <c r="AU278" s="249"/>
      <c r="AV278" s="166">
        <f t="shared" si="100"/>
        <v>0</v>
      </c>
    </row>
    <row r="279" spans="1:48" s="131" customFormat="1" ht="47.25">
      <c r="A279" s="148">
        <v>3</v>
      </c>
      <c r="B279" s="244" t="s">
        <v>2253</v>
      </c>
      <c r="C279" s="244" t="s">
        <v>8511</v>
      </c>
      <c r="D279" s="250" t="s">
        <v>4657</v>
      </c>
      <c r="E279" s="241"/>
      <c r="F279" s="242" t="s">
        <v>4659</v>
      </c>
      <c r="G279" s="244" t="s">
        <v>4660</v>
      </c>
      <c r="H279" s="244" t="s">
        <v>211</v>
      </c>
      <c r="I279" s="244" t="s">
        <v>4658</v>
      </c>
      <c r="J279" s="244" t="s">
        <v>8512</v>
      </c>
      <c r="K279" s="244" t="s">
        <v>5104</v>
      </c>
      <c r="L279" s="241" t="s">
        <v>8513</v>
      </c>
      <c r="M279" s="244" t="s">
        <v>2253</v>
      </c>
      <c r="N279" s="241" t="s">
        <v>213</v>
      </c>
      <c r="O279" s="241" t="s">
        <v>15</v>
      </c>
      <c r="P279" s="245">
        <v>48263</v>
      </c>
      <c r="Q279" s="245">
        <v>34000</v>
      </c>
      <c r="R279" s="246">
        <v>1500</v>
      </c>
      <c r="S279" s="245">
        <f t="shared" si="90"/>
        <v>51000000</v>
      </c>
      <c r="T279" s="589"/>
      <c r="U279" s="244"/>
      <c r="V279" s="247">
        <f t="shared" si="106"/>
        <v>1350</v>
      </c>
      <c r="W279" s="159">
        <f t="shared" si="91"/>
        <v>150</v>
      </c>
      <c r="X279" s="159">
        <f t="shared" si="92"/>
        <v>5100000</v>
      </c>
      <c r="Y279" s="248"/>
      <c r="Z279" s="160">
        <f t="shared" si="93"/>
        <v>0</v>
      </c>
      <c r="AA279" s="248"/>
      <c r="AB279" s="161">
        <f t="shared" si="94"/>
        <v>0</v>
      </c>
      <c r="AC279" s="249"/>
      <c r="AD279" s="249"/>
      <c r="AE279" s="249"/>
      <c r="AF279" s="249"/>
      <c r="AG279" s="249"/>
      <c r="AH279" s="249"/>
      <c r="AI279" s="249"/>
      <c r="AJ279" s="249"/>
      <c r="AK279" s="249">
        <v>150</v>
      </c>
      <c r="AL279" s="162">
        <f t="shared" si="95"/>
        <v>5100000</v>
      </c>
      <c r="AM279" s="249"/>
      <c r="AN279" s="167">
        <f t="shared" si="96"/>
        <v>0</v>
      </c>
      <c r="AO279" s="249"/>
      <c r="AP279" s="163">
        <f t="shared" si="97"/>
        <v>0</v>
      </c>
      <c r="AQ279" s="249"/>
      <c r="AR279" s="168">
        <f t="shared" si="98"/>
        <v>0</v>
      </c>
      <c r="AS279" s="249"/>
      <c r="AT279" s="170">
        <f t="shared" si="99"/>
        <v>0</v>
      </c>
      <c r="AU279" s="249"/>
      <c r="AV279" s="166">
        <f t="shared" si="100"/>
        <v>0</v>
      </c>
    </row>
    <row r="280" spans="1:48" s="131" customFormat="1" ht="31.5">
      <c r="A280" s="148">
        <v>9</v>
      </c>
      <c r="B280" s="244" t="s">
        <v>2253</v>
      </c>
      <c r="C280" s="244" t="s">
        <v>8511</v>
      </c>
      <c r="D280" s="250" t="s">
        <v>4684</v>
      </c>
      <c r="E280" s="241"/>
      <c r="F280" s="242" t="s">
        <v>8543</v>
      </c>
      <c r="G280" s="244" t="s">
        <v>8544</v>
      </c>
      <c r="H280" s="244" t="s">
        <v>211</v>
      </c>
      <c r="I280" s="244" t="s">
        <v>8545</v>
      </c>
      <c r="J280" s="244" t="s">
        <v>8546</v>
      </c>
      <c r="K280" s="244" t="s">
        <v>5104</v>
      </c>
      <c r="L280" s="241" t="s">
        <v>8547</v>
      </c>
      <c r="M280" s="244" t="s">
        <v>2253</v>
      </c>
      <c r="N280" s="241" t="s">
        <v>213</v>
      </c>
      <c r="O280" s="241" t="s">
        <v>11</v>
      </c>
      <c r="P280" s="245">
        <v>1202</v>
      </c>
      <c r="Q280" s="245">
        <v>580</v>
      </c>
      <c r="R280" s="246">
        <v>100000</v>
      </c>
      <c r="S280" s="245">
        <f t="shared" si="90"/>
        <v>58000000</v>
      </c>
      <c r="T280" s="589"/>
      <c r="U280" s="244"/>
      <c r="V280" s="247">
        <f t="shared" si="106"/>
        <v>0</v>
      </c>
      <c r="W280" s="159">
        <f t="shared" si="91"/>
        <v>100000</v>
      </c>
      <c r="X280" s="159">
        <f t="shared" si="92"/>
        <v>58000000</v>
      </c>
      <c r="Y280" s="248"/>
      <c r="Z280" s="160">
        <f t="shared" si="93"/>
        <v>0</v>
      </c>
      <c r="AA280" s="248"/>
      <c r="AB280" s="161">
        <f t="shared" si="94"/>
        <v>0</v>
      </c>
      <c r="AC280" s="249"/>
      <c r="AD280" s="249"/>
      <c r="AE280" s="249"/>
      <c r="AF280" s="249"/>
      <c r="AG280" s="249"/>
      <c r="AH280" s="249"/>
      <c r="AI280" s="249"/>
      <c r="AJ280" s="249"/>
      <c r="AK280" s="249">
        <v>56000</v>
      </c>
      <c r="AL280" s="162">
        <f t="shared" si="95"/>
        <v>32480000</v>
      </c>
      <c r="AM280" s="249"/>
      <c r="AN280" s="167">
        <f t="shared" si="96"/>
        <v>0</v>
      </c>
      <c r="AO280" s="249"/>
      <c r="AP280" s="163">
        <f t="shared" si="97"/>
        <v>0</v>
      </c>
      <c r="AQ280" s="249">
        <v>30000</v>
      </c>
      <c r="AR280" s="168">
        <f t="shared" si="98"/>
        <v>17400000</v>
      </c>
      <c r="AS280" s="249"/>
      <c r="AT280" s="170">
        <f t="shared" si="99"/>
        <v>0</v>
      </c>
      <c r="AU280" s="249">
        <v>14000</v>
      </c>
      <c r="AV280" s="166">
        <f t="shared" si="100"/>
        <v>8120000</v>
      </c>
    </row>
    <row r="281" spans="1:48" s="131" customFormat="1" ht="31.5">
      <c r="A281" s="250">
        <v>23</v>
      </c>
      <c r="B281" s="244" t="s">
        <v>2253</v>
      </c>
      <c r="C281" s="244" t="s">
        <v>8511</v>
      </c>
      <c r="D281" s="250" t="s">
        <v>4664</v>
      </c>
      <c r="E281" s="241"/>
      <c r="F281" s="242" t="s">
        <v>94</v>
      </c>
      <c r="G281" s="244" t="s">
        <v>2291</v>
      </c>
      <c r="H281" s="244" t="s">
        <v>211</v>
      </c>
      <c r="I281" s="244" t="s">
        <v>93</v>
      </c>
      <c r="J281" s="244" t="s">
        <v>8615</v>
      </c>
      <c r="K281" s="244" t="s">
        <v>5104</v>
      </c>
      <c r="L281" s="241" t="s">
        <v>2293</v>
      </c>
      <c r="M281" s="244" t="s">
        <v>2253</v>
      </c>
      <c r="N281" s="241" t="s">
        <v>213</v>
      </c>
      <c r="O281" s="241" t="s">
        <v>11</v>
      </c>
      <c r="P281" s="245">
        <v>6110</v>
      </c>
      <c r="Q281" s="245">
        <v>4200</v>
      </c>
      <c r="R281" s="246">
        <v>30000</v>
      </c>
      <c r="S281" s="245">
        <f t="shared" si="90"/>
        <v>126000000</v>
      </c>
      <c r="T281" s="589"/>
      <c r="U281" s="244"/>
      <c r="V281" s="247">
        <f t="shared" si="106"/>
        <v>9000</v>
      </c>
      <c r="W281" s="159">
        <f t="shared" si="91"/>
        <v>21000</v>
      </c>
      <c r="X281" s="159">
        <f t="shared" si="92"/>
        <v>88200000</v>
      </c>
      <c r="Y281" s="248"/>
      <c r="Z281" s="160">
        <f t="shared" si="93"/>
        <v>0</v>
      </c>
      <c r="AA281" s="248"/>
      <c r="AB281" s="161">
        <f t="shared" si="94"/>
        <v>0</v>
      </c>
      <c r="AC281" s="249"/>
      <c r="AD281" s="249"/>
      <c r="AE281" s="249"/>
      <c r="AF281" s="249"/>
      <c r="AG281" s="249"/>
      <c r="AH281" s="249"/>
      <c r="AI281" s="249"/>
      <c r="AJ281" s="249"/>
      <c r="AK281" s="249">
        <v>6000</v>
      </c>
      <c r="AL281" s="162">
        <f t="shared" si="95"/>
        <v>25200000</v>
      </c>
      <c r="AM281" s="249"/>
      <c r="AN281" s="167">
        <f t="shared" si="96"/>
        <v>0</v>
      </c>
      <c r="AO281" s="249"/>
      <c r="AP281" s="163">
        <f t="shared" si="97"/>
        <v>0</v>
      </c>
      <c r="AQ281" s="249">
        <v>5000</v>
      </c>
      <c r="AR281" s="168">
        <f t="shared" si="98"/>
        <v>21000000</v>
      </c>
      <c r="AS281" s="249"/>
      <c r="AT281" s="170">
        <f t="shared" si="99"/>
        <v>0</v>
      </c>
      <c r="AU281" s="249">
        <v>10000</v>
      </c>
      <c r="AV281" s="166">
        <f t="shared" si="100"/>
        <v>42000000</v>
      </c>
    </row>
    <row r="282" spans="1:48" s="131" customFormat="1" ht="75">
      <c r="A282" s="148">
        <v>24</v>
      </c>
      <c r="B282" s="244" t="s">
        <v>2253</v>
      </c>
      <c r="C282" s="244" t="s">
        <v>8511</v>
      </c>
      <c r="D282" s="250" t="s">
        <v>4707</v>
      </c>
      <c r="E282" s="592" t="s">
        <v>12645</v>
      </c>
      <c r="F282" s="242" t="s">
        <v>2294</v>
      </c>
      <c r="G282" s="244" t="s">
        <v>147</v>
      </c>
      <c r="H282" s="244" t="s">
        <v>211</v>
      </c>
      <c r="I282" s="244" t="s">
        <v>145</v>
      </c>
      <c r="J282" s="244" t="s">
        <v>8616</v>
      </c>
      <c r="K282" s="244" t="s">
        <v>5104</v>
      </c>
      <c r="L282" s="241" t="s">
        <v>2295</v>
      </c>
      <c r="M282" s="244" t="s">
        <v>2253</v>
      </c>
      <c r="N282" s="241" t="s">
        <v>213</v>
      </c>
      <c r="O282" s="241" t="s">
        <v>11</v>
      </c>
      <c r="P282" s="245">
        <v>1800</v>
      </c>
      <c r="Q282" s="245">
        <v>1200</v>
      </c>
      <c r="R282" s="246">
        <v>20000</v>
      </c>
      <c r="S282" s="245">
        <f t="shared" si="90"/>
        <v>24000000</v>
      </c>
      <c r="T282" s="589"/>
      <c r="U282" s="244"/>
      <c r="V282" s="247">
        <f t="shared" si="106"/>
        <v>800</v>
      </c>
      <c r="W282" s="159">
        <f t="shared" si="91"/>
        <v>19200</v>
      </c>
      <c r="X282" s="159">
        <f t="shared" si="92"/>
        <v>23040000</v>
      </c>
      <c r="Y282" s="248"/>
      <c r="Z282" s="160">
        <f t="shared" si="93"/>
        <v>0</v>
      </c>
      <c r="AA282" s="248"/>
      <c r="AB282" s="161">
        <f t="shared" si="94"/>
        <v>0</v>
      </c>
      <c r="AC282" s="249"/>
      <c r="AD282" s="249"/>
      <c r="AE282" s="249"/>
      <c r="AF282" s="249"/>
      <c r="AG282" s="249"/>
      <c r="AH282" s="249"/>
      <c r="AI282" s="249"/>
      <c r="AJ282" s="249"/>
      <c r="AK282" s="249">
        <v>9600</v>
      </c>
      <c r="AL282" s="162">
        <f t="shared" si="95"/>
        <v>11520000</v>
      </c>
      <c r="AM282" s="249"/>
      <c r="AN282" s="167">
        <f t="shared" si="96"/>
        <v>0</v>
      </c>
      <c r="AO282" s="249"/>
      <c r="AP282" s="163">
        <f t="shared" si="97"/>
        <v>0</v>
      </c>
      <c r="AQ282" s="249"/>
      <c r="AR282" s="168">
        <f t="shared" si="98"/>
        <v>0</v>
      </c>
      <c r="AS282" s="249"/>
      <c r="AT282" s="170">
        <f t="shared" si="99"/>
        <v>0</v>
      </c>
      <c r="AU282" s="249">
        <v>9600</v>
      </c>
      <c r="AV282" s="166">
        <f t="shared" si="100"/>
        <v>11520000</v>
      </c>
    </row>
    <row r="283" spans="1:48" s="131" customFormat="1" ht="94.5">
      <c r="A283" s="250">
        <v>26</v>
      </c>
      <c r="B283" s="244" t="s">
        <v>2253</v>
      </c>
      <c r="C283" s="244" t="s">
        <v>8511</v>
      </c>
      <c r="D283" s="250" t="s">
        <v>4736</v>
      </c>
      <c r="E283" s="241"/>
      <c r="F283" s="242" t="s">
        <v>2300</v>
      </c>
      <c r="G283" s="244" t="s">
        <v>168</v>
      </c>
      <c r="H283" s="244" t="s">
        <v>211</v>
      </c>
      <c r="I283" s="244" t="s">
        <v>166</v>
      </c>
      <c r="J283" s="244" t="s">
        <v>8616</v>
      </c>
      <c r="K283" s="244" t="s">
        <v>5104</v>
      </c>
      <c r="L283" s="241" t="s">
        <v>8624</v>
      </c>
      <c r="M283" s="244" t="s">
        <v>2253</v>
      </c>
      <c r="N283" s="241" t="s">
        <v>213</v>
      </c>
      <c r="O283" s="241" t="s">
        <v>11</v>
      </c>
      <c r="P283" s="245">
        <v>1819</v>
      </c>
      <c r="Q283" s="245">
        <v>1200</v>
      </c>
      <c r="R283" s="246">
        <v>20000</v>
      </c>
      <c r="S283" s="245">
        <f t="shared" si="90"/>
        <v>24000000</v>
      </c>
      <c r="T283" s="589"/>
      <c r="U283" s="244"/>
      <c r="V283" s="247">
        <f t="shared" si="106"/>
        <v>0</v>
      </c>
      <c r="W283" s="159">
        <f t="shared" si="91"/>
        <v>20000</v>
      </c>
      <c r="X283" s="159">
        <f t="shared" si="92"/>
        <v>24000000</v>
      </c>
      <c r="Y283" s="248"/>
      <c r="Z283" s="160">
        <f t="shared" si="93"/>
        <v>0</v>
      </c>
      <c r="AA283" s="248"/>
      <c r="AB283" s="161">
        <f t="shared" si="94"/>
        <v>0</v>
      </c>
      <c r="AC283" s="249"/>
      <c r="AD283" s="249"/>
      <c r="AE283" s="249"/>
      <c r="AF283" s="249"/>
      <c r="AG283" s="249"/>
      <c r="AH283" s="249"/>
      <c r="AI283" s="249"/>
      <c r="AJ283" s="249"/>
      <c r="AK283" s="249">
        <v>9600</v>
      </c>
      <c r="AL283" s="162">
        <f t="shared" si="95"/>
        <v>11520000</v>
      </c>
      <c r="AM283" s="249"/>
      <c r="AN283" s="167">
        <f t="shared" si="96"/>
        <v>0</v>
      </c>
      <c r="AO283" s="249"/>
      <c r="AP283" s="163">
        <f t="shared" si="97"/>
        <v>0</v>
      </c>
      <c r="AQ283" s="249">
        <v>10400</v>
      </c>
      <c r="AR283" s="168">
        <f t="shared" si="98"/>
        <v>12480000</v>
      </c>
      <c r="AS283" s="249"/>
      <c r="AT283" s="170">
        <f t="shared" si="99"/>
        <v>0</v>
      </c>
      <c r="AU283" s="249"/>
      <c r="AV283" s="166">
        <f t="shared" si="100"/>
        <v>0</v>
      </c>
    </row>
    <row r="284" spans="1:48" s="131" customFormat="1" ht="63">
      <c r="A284" s="148">
        <v>27</v>
      </c>
      <c r="B284" s="244" t="s">
        <v>2253</v>
      </c>
      <c r="C284" s="244" t="s">
        <v>8511</v>
      </c>
      <c r="D284" s="250" t="s">
        <v>4661</v>
      </c>
      <c r="E284" s="241"/>
      <c r="F284" s="242" t="s">
        <v>2286</v>
      </c>
      <c r="G284" s="244" t="s">
        <v>2287</v>
      </c>
      <c r="H284" s="244" t="s">
        <v>211</v>
      </c>
      <c r="I284" s="244" t="s">
        <v>90</v>
      </c>
      <c r="J284" s="244" t="s">
        <v>8616</v>
      </c>
      <c r="K284" s="244" t="s">
        <v>5104</v>
      </c>
      <c r="L284" s="241" t="s">
        <v>2288</v>
      </c>
      <c r="M284" s="244" t="s">
        <v>2253</v>
      </c>
      <c r="N284" s="241" t="s">
        <v>213</v>
      </c>
      <c r="O284" s="241" t="s">
        <v>11</v>
      </c>
      <c r="P284" s="245">
        <v>1768</v>
      </c>
      <c r="Q284" s="245">
        <v>1200</v>
      </c>
      <c r="R284" s="246">
        <v>30000</v>
      </c>
      <c r="S284" s="245">
        <f t="shared" si="90"/>
        <v>36000000</v>
      </c>
      <c r="T284" s="589"/>
      <c r="U284" s="244"/>
      <c r="V284" s="247">
        <f t="shared" si="106"/>
        <v>29800</v>
      </c>
      <c r="W284" s="159">
        <f t="shared" si="91"/>
        <v>200</v>
      </c>
      <c r="X284" s="159">
        <f t="shared" si="92"/>
        <v>240000</v>
      </c>
      <c r="Y284" s="248"/>
      <c r="Z284" s="160">
        <f t="shared" si="93"/>
        <v>0</v>
      </c>
      <c r="AA284" s="248"/>
      <c r="AB284" s="161">
        <f t="shared" si="94"/>
        <v>0</v>
      </c>
      <c r="AC284" s="249"/>
      <c r="AD284" s="249"/>
      <c r="AE284" s="249"/>
      <c r="AF284" s="249"/>
      <c r="AG284" s="249"/>
      <c r="AH284" s="249"/>
      <c r="AI284" s="249"/>
      <c r="AJ284" s="249"/>
      <c r="AK284" s="249">
        <v>200</v>
      </c>
      <c r="AL284" s="162">
        <f t="shared" si="95"/>
        <v>240000</v>
      </c>
      <c r="AM284" s="249"/>
      <c r="AN284" s="167">
        <f t="shared" si="96"/>
        <v>0</v>
      </c>
      <c r="AO284" s="249"/>
      <c r="AP284" s="163">
        <f t="shared" si="97"/>
        <v>0</v>
      </c>
      <c r="AQ284" s="249"/>
      <c r="AR284" s="168">
        <f t="shared" si="98"/>
        <v>0</v>
      </c>
      <c r="AS284" s="249"/>
      <c r="AT284" s="170">
        <f t="shared" si="99"/>
        <v>0</v>
      </c>
      <c r="AU284" s="249"/>
      <c r="AV284" s="166">
        <f t="shared" si="100"/>
        <v>0</v>
      </c>
    </row>
    <row r="285" spans="1:48" ht="63">
      <c r="A285" s="250">
        <v>44</v>
      </c>
      <c r="B285" s="244" t="s">
        <v>2253</v>
      </c>
      <c r="C285" s="244" t="s">
        <v>8511</v>
      </c>
      <c r="D285" s="250" t="s">
        <v>4666</v>
      </c>
      <c r="E285" s="241"/>
      <c r="F285" s="242" t="s">
        <v>8713</v>
      </c>
      <c r="G285" s="244" t="s">
        <v>4669</v>
      </c>
      <c r="H285" s="244" t="s">
        <v>211</v>
      </c>
      <c r="I285" s="244" t="s">
        <v>4667</v>
      </c>
      <c r="J285" s="244" t="s">
        <v>8616</v>
      </c>
      <c r="K285" s="244" t="s">
        <v>5104</v>
      </c>
      <c r="L285" s="241" t="s">
        <v>8714</v>
      </c>
      <c r="M285" s="244" t="s">
        <v>2253</v>
      </c>
      <c r="N285" s="241" t="s">
        <v>213</v>
      </c>
      <c r="O285" s="241" t="s">
        <v>11</v>
      </c>
      <c r="P285" s="245">
        <v>1860</v>
      </c>
      <c r="Q285" s="245">
        <v>1150</v>
      </c>
      <c r="R285" s="246">
        <v>25000</v>
      </c>
      <c r="S285" s="245">
        <f t="shared" si="90"/>
        <v>28750000</v>
      </c>
      <c r="T285" s="589"/>
      <c r="U285" s="244"/>
      <c r="V285" s="247">
        <f t="shared" si="106"/>
        <v>15400</v>
      </c>
      <c r="W285" s="159">
        <f t="shared" si="91"/>
        <v>9600</v>
      </c>
      <c r="X285" s="159">
        <f t="shared" si="92"/>
        <v>11040000</v>
      </c>
      <c r="Y285" s="248"/>
      <c r="Z285" s="160">
        <f t="shared" si="93"/>
        <v>0</v>
      </c>
      <c r="AA285" s="248"/>
      <c r="AB285" s="161">
        <f t="shared" si="94"/>
        <v>0</v>
      </c>
      <c r="AC285" s="249"/>
      <c r="AD285" s="249"/>
      <c r="AE285" s="249"/>
      <c r="AF285" s="249"/>
      <c r="AG285" s="249"/>
      <c r="AH285" s="249"/>
      <c r="AI285" s="249"/>
      <c r="AJ285" s="249"/>
      <c r="AK285" s="249">
        <v>9600</v>
      </c>
      <c r="AL285" s="162">
        <f t="shared" si="95"/>
        <v>11040000</v>
      </c>
      <c r="AM285" s="249"/>
      <c r="AN285" s="167">
        <f t="shared" si="96"/>
        <v>0</v>
      </c>
      <c r="AO285" s="249"/>
      <c r="AP285" s="163">
        <f t="shared" si="97"/>
        <v>0</v>
      </c>
      <c r="AQ285" s="249"/>
      <c r="AR285" s="168">
        <f t="shared" si="98"/>
        <v>0</v>
      </c>
      <c r="AS285" s="249"/>
      <c r="AT285" s="170">
        <f t="shared" si="99"/>
        <v>0</v>
      </c>
      <c r="AU285" s="249"/>
      <c r="AV285" s="166">
        <f t="shared" si="100"/>
        <v>0</v>
      </c>
    </row>
    <row r="286" spans="1:48" s="220" customFormat="1" ht="47.25">
      <c r="A286" s="148">
        <v>66</v>
      </c>
      <c r="B286" s="244" t="s">
        <v>2253</v>
      </c>
      <c r="C286" s="244" t="s">
        <v>8511</v>
      </c>
      <c r="D286" s="250" t="s">
        <v>4621</v>
      </c>
      <c r="E286" s="241"/>
      <c r="F286" s="242" t="s">
        <v>39</v>
      </c>
      <c r="G286" s="244" t="s">
        <v>2264</v>
      </c>
      <c r="H286" s="244" t="s">
        <v>211</v>
      </c>
      <c r="I286" s="244" t="s">
        <v>38</v>
      </c>
      <c r="J286" s="244" t="s">
        <v>8794</v>
      </c>
      <c r="K286" s="244" t="s">
        <v>5104</v>
      </c>
      <c r="L286" s="241" t="s">
        <v>2265</v>
      </c>
      <c r="M286" s="244" t="s">
        <v>2253</v>
      </c>
      <c r="N286" s="241" t="s">
        <v>213</v>
      </c>
      <c r="O286" s="241" t="s">
        <v>11</v>
      </c>
      <c r="P286" s="245">
        <v>1423</v>
      </c>
      <c r="Q286" s="245">
        <v>1150</v>
      </c>
      <c r="R286" s="246">
        <v>30000</v>
      </c>
      <c r="S286" s="245">
        <f t="shared" si="90"/>
        <v>34500000</v>
      </c>
      <c r="T286" s="589"/>
      <c r="U286" s="244"/>
      <c r="V286" s="247">
        <f t="shared" si="106"/>
        <v>14000</v>
      </c>
      <c r="W286" s="159">
        <f t="shared" si="91"/>
        <v>16000</v>
      </c>
      <c r="X286" s="159">
        <f t="shared" si="92"/>
        <v>18400000</v>
      </c>
      <c r="Y286" s="248"/>
      <c r="Z286" s="160">
        <f t="shared" si="93"/>
        <v>0</v>
      </c>
      <c r="AA286" s="248"/>
      <c r="AB286" s="161">
        <f t="shared" si="94"/>
        <v>0</v>
      </c>
      <c r="AC286" s="249"/>
      <c r="AD286" s="249"/>
      <c r="AE286" s="249"/>
      <c r="AF286" s="249"/>
      <c r="AG286" s="249"/>
      <c r="AH286" s="249"/>
      <c r="AI286" s="249"/>
      <c r="AJ286" s="249"/>
      <c r="AK286" s="249">
        <v>11200</v>
      </c>
      <c r="AL286" s="162">
        <f t="shared" si="95"/>
        <v>12880000</v>
      </c>
      <c r="AM286" s="249"/>
      <c r="AN286" s="167">
        <f t="shared" si="96"/>
        <v>0</v>
      </c>
      <c r="AO286" s="249"/>
      <c r="AP286" s="163">
        <f t="shared" si="97"/>
        <v>0</v>
      </c>
      <c r="AQ286" s="249"/>
      <c r="AR286" s="168">
        <f t="shared" si="98"/>
        <v>0</v>
      </c>
      <c r="AS286" s="249"/>
      <c r="AT286" s="170">
        <f t="shared" si="99"/>
        <v>0</v>
      </c>
      <c r="AU286" s="249">
        <v>4800</v>
      </c>
      <c r="AV286" s="166">
        <f t="shared" si="100"/>
        <v>5520000</v>
      </c>
    </row>
    <row r="287" spans="1:48" ht="94.5">
      <c r="A287" s="250">
        <v>71</v>
      </c>
      <c r="B287" s="244" t="s">
        <v>2253</v>
      </c>
      <c r="C287" s="244" t="s">
        <v>8511</v>
      </c>
      <c r="D287" s="250" t="s">
        <v>4646</v>
      </c>
      <c r="E287" s="241"/>
      <c r="F287" s="242" t="s">
        <v>2282</v>
      </c>
      <c r="G287" s="244" t="s">
        <v>2284</v>
      </c>
      <c r="H287" s="244" t="s">
        <v>211</v>
      </c>
      <c r="I287" s="244" t="s">
        <v>2283</v>
      </c>
      <c r="J287" s="244" t="s">
        <v>8616</v>
      </c>
      <c r="K287" s="244" t="s">
        <v>5104</v>
      </c>
      <c r="L287" s="241" t="s">
        <v>8811</v>
      </c>
      <c r="M287" s="244" t="s">
        <v>2253</v>
      </c>
      <c r="N287" s="241" t="s">
        <v>213</v>
      </c>
      <c r="O287" s="241" t="s">
        <v>11</v>
      </c>
      <c r="P287" s="245">
        <v>1400</v>
      </c>
      <c r="Q287" s="245">
        <v>750</v>
      </c>
      <c r="R287" s="246">
        <v>180000</v>
      </c>
      <c r="S287" s="245">
        <f t="shared" si="90"/>
        <v>135000000</v>
      </c>
      <c r="T287" s="589"/>
      <c r="U287" s="244"/>
      <c r="V287" s="247">
        <f t="shared" si="106"/>
        <v>67000</v>
      </c>
      <c r="W287" s="159">
        <f t="shared" si="91"/>
        <v>113000</v>
      </c>
      <c r="X287" s="159">
        <f t="shared" si="92"/>
        <v>84750000</v>
      </c>
      <c r="Y287" s="248"/>
      <c r="Z287" s="160">
        <f t="shared" si="93"/>
        <v>0</v>
      </c>
      <c r="AA287" s="248"/>
      <c r="AB287" s="161">
        <f t="shared" si="94"/>
        <v>0</v>
      </c>
      <c r="AC287" s="249"/>
      <c r="AD287" s="249"/>
      <c r="AE287" s="249"/>
      <c r="AF287" s="249"/>
      <c r="AG287" s="249"/>
      <c r="AH287" s="249"/>
      <c r="AI287" s="249"/>
      <c r="AJ287" s="249"/>
      <c r="AK287" s="249">
        <v>52000</v>
      </c>
      <c r="AL287" s="162">
        <f t="shared" si="95"/>
        <v>39000000</v>
      </c>
      <c r="AM287" s="249"/>
      <c r="AN287" s="167">
        <f t="shared" si="96"/>
        <v>0</v>
      </c>
      <c r="AO287" s="249"/>
      <c r="AP287" s="163">
        <f t="shared" si="97"/>
        <v>0</v>
      </c>
      <c r="AQ287" s="249">
        <v>30000</v>
      </c>
      <c r="AR287" s="168">
        <f t="shared" si="98"/>
        <v>22500000</v>
      </c>
      <c r="AS287" s="249"/>
      <c r="AT287" s="170">
        <f t="shared" si="99"/>
        <v>0</v>
      </c>
      <c r="AU287" s="249">
        <v>31000</v>
      </c>
      <c r="AV287" s="166">
        <f t="shared" si="100"/>
        <v>23250000</v>
      </c>
    </row>
    <row r="288" spans="1:48" ht="47.25">
      <c r="A288" s="148">
        <v>72</v>
      </c>
      <c r="B288" s="244" t="s">
        <v>2253</v>
      </c>
      <c r="C288" s="244" t="s">
        <v>8511</v>
      </c>
      <c r="D288" s="250" t="s">
        <v>4718</v>
      </c>
      <c r="E288" s="241"/>
      <c r="F288" s="242" t="s">
        <v>8812</v>
      </c>
      <c r="G288" s="244" t="s">
        <v>8813</v>
      </c>
      <c r="H288" s="244" t="s">
        <v>211</v>
      </c>
      <c r="I288" s="244" t="s">
        <v>4719</v>
      </c>
      <c r="J288" s="244" t="s">
        <v>8512</v>
      </c>
      <c r="K288" s="244" t="s">
        <v>5104</v>
      </c>
      <c r="L288" s="241" t="s">
        <v>8814</v>
      </c>
      <c r="M288" s="244" t="s">
        <v>2253</v>
      </c>
      <c r="N288" s="241" t="s">
        <v>213</v>
      </c>
      <c r="O288" s="241" t="s">
        <v>15</v>
      </c>
      <c r="P288" s="245">
        <v>40540</v>
      </c>
      <c r="Q288" s="245">
        <v>32000</v>
      </c>
      <c r="R288" s="246">
        <v>5000</v>
      </c>
      <c r="S288" s="245">
        <f t="shared" si="90"/>
        <v>160000000</v>
      </c>
      <c r="T288" s="589"/>
      <c r="U288" s="244"/>
      <c r="V288" s="247">
        <f t="shared" si="106"/>
        <v>3850</v>
      </c>
      <c r="W288" s="159">
        <f t="shared" si="91"/>
        <v>1150</v>
      </c>
      <c r="X288" s="159">
        <f t="shared" si="92"/>
        <v>36800000</v>
      </c>
      <c r="Y288" s="248"/>
      <c r="Z288" s="160">
        <f t="shared" si="93"/>
        <v>0</v>
      </c>
      <c r="AA288" s="248"/>
      <c r="AB288" s="161">
        <f t="shared" si="94"/>
        <v>0</v>
      </c>
      <c r="AC288" s="249"/>
      <c r="AD288" s="249"/>
      <c r="AE288" s="249"/>
      <c r="AF288" s="249"/>
      <c r="AG288" s="249"/>
      <c r="AH288" s="249"/>
      <c r="AI288" s="249"/>
      <c r="AJ288" s="249"/>
      <c r="AK288" s="249">
        <v>300</v>
      </c>
      <c r="AL288" s="162">
        <f t="shared" si="95"/>
        <v>9600000</v>
      </c>
      <c r="AM288" s="249"/>
      <c r="AN288" s="167">
        <f t="shared" si="96"/>
        <v>0</v>
      </c>
      <c r="AO288" s="249">
        <v>300</v>
      </c>
      <c r="AP288" s="163">
        <f t="shared" si="97"/>
        <v>9600000</v>
      </c>
      <c r="AQ288" s="249">
        <v>400</v>
      </c>
      <c r="AR288" s="168">
        <f t="shared" si="98"/>
        <v>12800000</v>
      </c>
      <c r="AS288" s="249"/>
      <c r="AT288" s="170">
        <f t="shared" si="99"/>
        <v>0</v>
      </c>
      <c r="AU288" s="249">
        <v>150</v>
      </c>
      <c r="AV288" s="166">
        <f t="shared" si="100"/>
        <v>4800000</v>
      </c>
    </row>
    <row r="289" spans="1:48" ht="63">
      <c r="A289" s="148">
        <v>73</v>
      </c>
      <c r="B289" s="244" t="s">
        <v>2253</v>
      </c>
      <c r="C289" s="244" t="s">
        <v>8511</v>
      </c>
      <c r="D289" s="250" t="s">
        <v>4725</v>
      </c>
      <c r="E289" s="241"/>
      <c r="F289" s="242" t="s">
        <v>2298</v>
      </c>
      <c r="G289" s="244" t="s">
        <v>165</v>
      </c>
      <c r="H289" s="244" t="s">
        <v>211</v>
      </c>
      <c r="I289" s="244" t="s">
        <v>163</v>
      </c>
      <c r="J289" s="244" t="s">
        <v>8616</v>
      </c>
      <c r="K289" s="244" t="s">
        <v>5104</v>
      </c>
      <c r="L289" s="241" t="s">
        <v>8815</v>
      </c>
      <c r="M289" s="244" t="s">
        <v>2253</v>
      </c>
      <c r="N289" s="241" t="s">
        <v>213</v>
      </c>
      <c r="O289" s="241" t="s">
        <v>11</v>
      </c>
      <c r="P289" s="245">
        <v>2714</v>
      </c>
      <c r="Q289" s="245">
        <v>950</v>
      </c>
      <c r="R289" s="246">
        <v>50000</v>
      </c>
      <c r="S289" s="245">
        <f t="shared" si="90"/>
        <v>47500000</v>
      </c>
      <c r="T289" s="589"/>
      <c r="U289" s="244"/>
      <c r="V289" s="247">
        <f t="shared" si="106"/>
        <v>30400</v>
      </c>
      <c r="W289" s="159">
        <f t="shared" si="91"/>
        <v>19600</v>
      </c>
      <c r="X289" s="159">
        <f t="shared" si="92"/>
        <v>18620000</v>
      </c>
      <c r="Y289" s="248"/>
      <c r="Z289" s="160">
        <f t="shared" si="93"/>
        <v>0</v>
      </c>
      <c r="AA289" s="248"/>
      <c r="AB289" s="161">
        <f t="shared" si="94"/>
        <v>0</v>
      </c>
      <c r="AC289" s="249"/>
      <c r="AD289" s="249"/>
      <c r="AE289" s="249"/>
      <c r="AF289" s="249"/>
      <c r="AG289" s="249"/>
      <c r="AH289" s="249"/>
      <c r="AI289" s="249"/>
      <c r="AJ289" s="249"/>
      <c r="AK289" s="249">
        <v>9600</v>
      </c>
      <c r="AL289" s="162">
        <f t="shared" si="95"/>
        <v>9120000</v>
      </c>
      <c r="AM289" s="249"/>
      <c r="AN289" s="167">
        <f t="shared" si="96"/>
        <v>0</v>
      </c>
      <c r="AO289" s="249"/>
      <c r="AP289" s="163">
        <f t="shared" si="97"/>
        <v>0</v>
      </c>
      <c r="AQ289" s="249">
        <v>10000</v>
      </c>
      <c r="AR289" s="168">
        <f t="shared" si="98"/>
        <v>9500000</v>
      </c>
      <c r="AS289" s="249"/>
      <c r="AT289" s="170">
        <f t="shared" si="99"/>
        <v>0</v>
      </c>
      <c r="AU289" s="249"/>
      <c r="AV289" s="166">
        <f t="shared" si="100"/>
        <v>0</v>
      </c>
    </row>
    <row r="290" spans="1:48" ht="31.5">
      <c r="A290" s="250">
        <v>74</v>
      </c>
      <c r="B290" s="244" t="s">
        <v>2253</v>
      </c>
      <c r="C290" s="244" t="s">
        <v>8511</v>
      </c>
      <c r="D290" s="250" t="s">
        <v>4623</v>
      </c>
      <c r="E290" s="241"/>
      <c r="F290" s="242" t="s">
        <v>55</v>
      </c>
      <c r="G290" s="244" t="s">
        <v>56</v>
      </c>
      <c r="H290" s="244" t="s">
        <v>211</v>
      </c>
      <c r="I290" s="244" t="s">
        <v>54</v>
      </c>
      <c r="J290" s="244" t="s">
        <v>8512</v>
      </c>
      <c r="K290" s="244" t="s">
        <v>5104</v>
      </c>
      <c r="L290" s="241" t="s">
        <v>2271</v>
      </c>
      <c r="M290" s="244" t="s">
        <v>2253</v>
      </c>
      <c r="N290" s="241" t="s">
        <v>213</v>
      </c>
      <c r="O290" s="241" t="s">
        <v>15</v>
      </c>
      <c r="P290" s="245">
        <v>34019</v>
      </c>
      <c r="Q290" s="245">
        <v>31000</v>
      </c>
      <c r="R290" s="246">
        <v>3000</v>
      </c>
      <c r="S290" s="245">
        <f t="shared" si="90"/>
        <v>93000000</v>
      </c>
      <c r="T290" s="589"/>
      <c r="U290" s="244"/>
      <c r="V290" s="247">
        <f t="shared" si="106"/>
        <v>2700</v>
      </c>
      <c r="W290" s="159">
        <f t="shared" si="91"/>
        <v>300</v>
      </c>
      <c r="X290" s="159">
        <f t="shared" si="92"/>
        <v>9300000</v>
      </c>
      <c r="Y290" s="248"/>
      <c r="Z290" s="160">
        <f t="shared" si="93"/>
        <v>0</v>
      </c>
      <c r="AA290" s="248"/>
      <c r="AB290" s="161">
        <f t="shared" si="94"/>
        <v>0</v>
      </c>
      <c r="AC290" s="249"/>
      <c r="AD290" s="249"/>
      <c r="AE290" s="249"/>
      <c r="AF290" s="249"/>
      <c r="AG290" s="249"/>
      <c r="AH290" s="249"/>
      <c r="AI290" s="249"/>
      <c r="AJ290" s="249"/>
      <c r="AK290" s="249">
        <v>300</v>
      </c>
      <c r="AL290" s="162">
        <f t="shared" si="95"/>
        <v>9300000</v>
      </c>
      <c r="AM290" s="249"/>
      <c r="AN290" s="167">
        <f t="shared" si="96"/>
        <v>0</v>
      </c>
      <c r="AO290" s="249"/>
      <c r="AP290" s="163">
        <f t="shared" si="97"/>
        <v>0</v>
      </c>
      <c r="AQ290" s="249"/>
      <c r="AR290" s="168">
        <f t="shared" si="98"/>
        <v>0</v>
      </c>
      <c r="AS290" s="249"/>
      <c r="AT290" s="170">
        <f t="shared" si="99"/>
        <v>0</v>
      </c>
      <c r="AU290" s="249"/>
      <c r="AV290" s="166">
        <f t="shared" si="100"/>
        <v>0</v>
      </c>
    </row>
    <row r="291" spans="1:48" ht="31.5">
      <c r="A291" s="148">
        <v>84</v>
      </c>
      <c r="B291" s="244" t="s">
        <v>2253</v>
      </c>
      <c r="C291" s="244" t="s">
        <v>8511</v>
      </c>
      <c r="D291" s="250" t="s">
        <v>4633</v>
      </c>
      <c r="E291" s="241"/>
      <c r="F291" s="242" t="s">
        <v>2276</v>
      </c>
      <c r="G291" s="244" t="s">
        <v>2278</v>
      </c>
      <c r="H291" s="244" t="s">
        <v>211</v>
      </c>
      <c r="I291" s="244" t="s">
        <v>2277</v>
      </c>
      <c r="J291" s="244" t="s">
        <v>8616</v>
      </c>
      <c r="K291" s="244" t="s">
        <v>5104</v>
      </c>
      <c r="L291" s="241" t="s">
        <v>2279</v>
      </c>
      <c r="M291" s="244" t="s">
        <v>2253</v>
      </c>
      <c r="N291" s="241" t="s">
        <v>213</v>
      </c>
      <c r="O291" s="241" t="s">
        <v>11</v>
      </c>
      <c r="P291" s="245">
        <v>1349</v>
      </c>
      <c r="Q291" s="245">
        <v>1150</v>
      </c>
      <c r="R291" s="246">
        <v>20000</v>
      </c>
      <c r="S291" s="245">
        <f t="shared" si="90"/>
        <v>23000000</v>
      </c>
      <c r="T291" s="589"/>
      <c r="U291" s="244"/>
      <c r="V291" s="247">
        <f t="shared" si="106"/>
        <v>0</v>
      </c>
      <c r="W291" s="159">
        <f t="shared" si="91"/>
        <v>20000</v>
      </c>
      <c r="X291" s="159">
        <f t="shared" si="92"/>
        <v>23000000</v>
      </c>
      <c r="Y291" s="248"/>
      <c r="Z291" s="160">
        <f t="shared" si="93"/>
        <v>0</v>
      </c>
      <c r="AA291" s="248"/>
      <c r="AB291" s="161">
        <f t="shared" si="94"/>
        <v>0</v>
      </c>
      <c r="AC291" s="249"/>
      <c r="AD291" s="249"/>
      <c r="AE291" s="249"/>
      <c r="AF291" s="249"/>
      <c r="AG291" s="249"/>
      <c r="AH291" s="249"/>
      <c r="AI291" s="249"/>
      <c r="AJ291" s="249"/>
      <c r="AK291" s="249">
        <v>9600</v>
      </c>
      <c r="AL291" s="162">
        <f t="shared" si="95"/>
        <v>11040000</v>
      </c>
      <c r="AM291" s="249"/>
      <c r="AN291" s="167">
        <f t="shared" si="96"/>
        <v>0</v>
      </c>
      <c r="AO291" s="249">
        <v>5000</v>
      </c>
      <c r="AP291" s="163">
        <f t="shared" si="97"/>
        <v>5750000</v>
      </c>
      <c r="AQ291" s="249">
        <v>5400</v>
      </c>
      <c r="AR291" s="168">
        <f t="shared" si="98"/>
        <v>6210000</v>
      </c>
      <c r="AS291" s="249"/>
      <c r="AT291" s="170">
        <f t="shared" si="99"/>
        <v>0</v>
      </c>
      <c r="AU291" s="249"/>
      <c r="AV291" s="166">
        <f t="shared" si="100"/>
        <v>0</v>
      </c>
    </row>
    <row r="292" spans="1:48">
      <c r="A292" s="148" t="s">
        <v>5873</v>
      </c>
      <c r="B292" s="149" t="s">
        <v>5874</v>
      </c>
      <c r="C292" s="149" t="s">
        <v>5875</v>
      </c>
      <c r="D292" s="240" t="s">
        <v>4464</v>
      </c>
      <c r="E292" s="590"/>
      <c r="F292" s="203" t="s">
        <v>683</v>
      </c>
      <c r="G292" s="204" t="s">
        <v>2554</v>
      </c>
      <c r="H292" s="204">
        <v>1</v>
      </c>
      <c r="I292" s="203" t="s">
        <v>4465</v>
      </c>
      <c r="J292" s="205" t="s">
        <v>5876</v>
      </c>
      <c r="K292" s="203" t="s">
        <v>253</v>
      </c>
      <c r="L292" s="205" t="s">
        <v>5877</v>
      </c>
      <c r="M292" s="205" t="s">
        <v>5878</v>
      </c>
      <c r="N292" s="204" t="s">
        <v>5879</v>
      </c>
      <c r="O292" s="204" t="s">
        <v>658</v>
      </c>
      <c r="P292" s="206">
        <v>39000</v>
      </c>
      <c r="Q292" s="206">
        <v>38997</v>
      </c>
      <c r="R292" s="207">
        <v>1000</v>
      </c>
      <c r="S292" s="207">
        <f t="shared" si="90"/>
        <v>38997000</v>
      </c>
      <c r="T292" s="589"/>
      <c r="U292" s="157">
        <v>1000</v>
      </c>
      <c r="V292" s="158">
        <f t="shared" ref="V292:V303" si="107">U292-W292</f>
        <v>950</v>
      </c>
      <c r="W292" s="159">
        <f t="shared" si="91"/>
        <v>50</v>
      </c>
      <c r="X292" s="159">
        <f t="shared" si="92"/>
        <v>1949850</v>
      </c>
      <c r="Y292" s="160"/>
      <c r="Z292" s="160">
        <f t="shared" si="93"/>
        <v>0</v>
      </c>
      <c r="AA292" s="165">
        <v>50</v>
      </c>
      <c r="AB292" s="161">
        <f t="shared" si="94"/>
        <v>1949850</v>
      </c>
      <c r="AC292" s="162"/>
      <c r="AD292" s="162">
        <f t="shared" ref="AD292:AD303" si="108">AC292*Q292</f>
        <v>0</v>
      </c>
      <c r="AE292" s="163"/>
      <c r="AF292" s="164">
        <f t="shared" ref="AF292:AF303" si="109">AE292*Q292</f>
        <v>0</v>
      </c>
      <c r="AG292" s="161"/>
      <c r="AH292" s="165">
        <f t="shared" ref="AH292:AH303" si="110">AG292*Q292</f>
        <v>0</v>
      </c>
      <c r="AI292" s="160">
        <v>0</v>
      </c>
      <c r="AJ292" s="166">
        <f t="shared" ref="AJ292:AJ303" si="111">AI292*Q292</f>
        <v>0</v>
      </c>
      <c r="AK292" s="162"/>
      <c r="AL292" s="162">
        <f t="shared" si="95"/>
        <v>0</v>
      </c>
      <c r="AM292" s="173"/>
      <c r="AN292" s="167">
        <f t="shared" si="96"/>
        <v>0</v>
      </c>
      <c r="AO292" s="163"/>
      <c r="AP292" s="163">
        <f t="shared" si="97"/>
        <v>0</v>
      </c>
      <c r="AQ292" s="162"/>
      <c r="AR292" s="168">
        <f t="shared" si="98"/>
        <v>0</v>
      </c>
      <c r="AS292" s="169"/>
      <c r="AT292" s="170">
        <f t="shared" si="99"/>
        <v>0</v>
      </c>
      <c r="AU292" s="160"/>
      <c r="AV292" s="166">
        <f t="shared" si="100"/>
        <v>0</v>
      </c>
    </row>
    <row r="293" spans="1:48">
      <c r="A293" s="148" t="s">
        <v>5907</v>
      </c>
      <c r="B293" s="149" t="s">
        <v>5874</v>
      </c>
      <c r="C293" s="149" t="s">
        <v>5875</v>
      </c>
      <c r="D293" s="240" t="s">
        <v>4497</v>
      </c>
      <c r="E293" s="590" t="s">
        <v>12643</v>
      </c>
      <c r="F293" s="203" t="s">
        <v>1510</v>
      </c>
      <c r="G293" s="204" t="s">
        <v>4499</v>
      </c>
      <c r="H293" s="204">
        <v>1</v>
      </c>
      <c r="I293" s="203" t="s">
        <v>4498</v>
      </c>
      <c r="J293" s="205" t="s">
        <v>5908</v>
      </c>
      <c r="K293" s="203" t="s">
        <v>5104</v>
      </c>
      <c r="L293" s="205" t="s">
        <v>5909</v>
      </c>
      <c r="M293" s="205" t="s">
        <v>5910</v>
      </c>
      <c r="N293" s="204" t="s">
        <v>5911</v>
      </c>
      <c r="O293" s="204" t="s">
        <v>658</v>
      </c>
      <c r="P293" s="206">
        <v>39900</v>
      </c>
      <c r="Q293" s="206">
        <v>38493</v>
      </c>
      <c r="R293" s="207">
        <v>2000</v>
      </c>
      <c r="S293" s="207">
        <f t="shared" si="90"/>
        <v>76986000</v>
      </c>
      <c r="T293" s="589"/>
      <c r="U293" s="157">
        <v>2000</v>
      </c>
      <c r="V293" s="158">
        <f t="shared" si="107"/>
        <v>1900</v>
      </c>
      <c r="W293" s="159">
        <f t="shared" si="91"/>
        <v>100</v>
      </c>
      <c r="X293" s="159">
        <f t="shared" si="92"/>
        <v>3849300</v>
      </c>
      <c r="Y293" s="160"/>
      <c r="Z293" s="160">
        <f t="shared" si="93"/>
        <v>0</v>
      </c>
      <c r="AA293" s="165">
        <v>100</v>
      </c>
      <c r="AB293" s="161">
        <f t="shared" si="94"/>
        <v>3849300</v>
      </c>
      <c r="AC293" s="162"/>
      <c r="AD293" s="162">
        <f t="shared" si="108"/>
        <v>0</v>
      </c>
      <c r="AE293" s="164"/>
      <c r="AF293" s="164">
        <f t="shared" si="109"/>
        <v>0</v>
      </c>
      <c r="AG293" s="165"/>
      <c r="AH293" s="165">
        <f t="shared" si="110"/>
        <v>0</v>
      </c>
      <c r="AI293" s="166">
        <v>0</v>
      </c>
      <c r="AJ293" s="166">
        <f t="shared" si="111"/>
        <v>0</v>
      </c>
      <c r="AK293" s="162"/>
      <c r="AL293" s="162">
        <f t="shared" si="95"/>
        <v>0</v>
      </c>
      <c r="AM293" s="173"/>
      <c r="AN293" s="167">
        <f t="shared" si="96"/>
        <v>0</v>
      </c>
      <c r="AO293" s="163"/>
      <c r="AP293" s="163">
        <f t="shared" si="97"/>
        <v>0</v>
      </c>
      <c r="AQ293" s="168"/>
      <c r="AR293" s="168">
        <f t="shared" si="98"/>
        <v>0</v>
      </c>
      <c r="AS293" s="170"/>
      <c r="AT293" s="170">
        <f t="shared" si="99"/>
        <v>0</v>
      </c>
      <c r="AU293" s="166"/>
      <c r="AV293" s="166">
        <f t="shared" si="100"/>
        <v>0</v>
      </c>
    </row>
    <row r="294" spans="1:48">
      <c r="A294" s="148" t="s">
        <v>6128</v>
      </c>
      <c r="B294" s="149" t="s">
        <v>5874</v>
      </c>
      <c r="C294" s="149" t="s">
        <v>5875</v>
      </c>
      <c r="D294" s="240" t="s">
        <v>3880</v>
      </c>
      <c r="E294" s="590" t="s">
        <v>12642</v>
      </c>
      <c r="F294" s="203" t="s">
        <v>1488</v>
      </c>
      <c r="G294" s="204" t="s">
        <v>1173</v>
      </c>
      <c r="H294" s="204">
        <v>1</v>
      </c>
      <c r="I294" s="203" t="s">
        <v>3881</v>
      </c>
      <c r="J294" s="205" t="s">
        <v>6129</v>
      </c>
      <c r="K294" s="203" t="s">
        <v>5111</v>
      </c>
      <c r="L294" s="205" t="s">
        <v>6130</v>
      </c>
      <c r="M294" s="205" t="s">
        <v>6131</v>
      </c>
      <c r="N294" s="204" t="s">
        <v>5185</v>
      </c>
      <c r="O294" s="204" t="s">
        <v>11</v>
      </c>
      <c r="P294" s="206">
        <v>7350</v>
      </c>
      <c r="Q294" s="206">
        <v>4053</v>
      </c>
      <c r="R294" s="207">
        <v>60000</v>
      </c>
      <c r="S294" s="207">
        <f t="shared" si="90"/>
        <v>243180000</v>
      </c>
      <c r="T294" s="589"/>
      <c r="U294" s="157">
        <v>60000</v>
      </c>
      <c r="V294" s="158">
        <f t="shared" si="107"/>
        <v>25644</v>
      </c>
      <c r="W294" s="159">
        <f t="shared" si="91"/>
        <v>34356</v>
      </c>
      <c r="X294" s="159">
        <f t="shared" si="92"/>
        <v>139244868</v>
      </c>
      <c r="Y294" s="160"/>
      <c r="Z294" s="160">
        <f t="shared" si="93"/>
        <v>0</v>
      </c>
      <c r="AA294" s="165"/>
      <c r="AB294" s="161">
        <f t="shared" si="94"/>
        <v>0</v>
      </c>
      <c r="AC294" s="162"/>
      <c r="AD294" s="162">
        <f t="shared" si="108"/>
        <v>0</v>
      </c>
      <c r="AE294" s="164"/>
      <c r="AF294" s="164">
        <f t="shared" si="109"/>
        <v>0</v>
      </c>
      <c r="AG294" s="165">
        <v>21560</v>
      </c>
      <c r="AH294" s="165">
        <f t="shared" si="110"/>
        <v>87382680</v>
      </c>
      <c r="AI294" s="166">
        <v>0</v>
      </c>
      <c r="AJ294" s="166">
        <f t="shared" si="111"/>
        <v>0</v>
      </c>
      <c r="AK294" s="162"/>
      <c r="AL294" s="162">
        <f t="shared" si="95"/>
        <v>0</v>
      </c>
      <c r="AM294" s="173">
        <v>2800</v>
      </c>
      <c r="AN294" s="167">
        <f t="shared" si="96"/>
        <v>11348400</v>
      </c>
      <c r="AO294" s="163"/>
      <c r="AP294" s="163">
        <f t="shared" si="97"/>
        <v>0</v>
      </c>
      <c r="AQ294" s="168"/>
      <c r="AR294" s="168">
        <f t="shared" si="98"/>
        <v>0</v>
      </c>
      <c r="AS294" s="170">
        <v>9996</v>
      </c>
      <c r="AT294" s="170">
        <f t="shared" si="99"/>
        <v>40513788</v>
      </c>
      <c r="AU294" s="166"/>
      <c r="AV294" s="166">
        <f t="shared" si="100"/>
        <v>0</v>
      </c>
    </row>
    <row r="295" spans="1:48" ht="31.5">
      <c r="A295" s="172" t="s">
        <v>6558</v>
      </c>
      <c r="B295" s="149" t="s">
        <v>5874</v>
      </c>
      <c r="C295" s="149" t="s">
        <v>5875</v>
      </c>
      <c r="D295" s="240" t="s">
        <v>6559</v>
      </c>
      <c r="E295" s="590"/>
      <c r="F295" s="203" t="s">
        <v>683</v>
      </c>
      <c r="G295" s="204" t="s">
        <v>2554</v>
      </c>
      <c r="H295" s="204">
        <v>2</v>
      </c>
      <c r="I295" s="203" t="s">
        <v>6560</v>
      </c>
      <c r="J295" s="205" t="s">
        <v>6561</v>
      </c>
      <c r="K295" s="203" t="s">
        <v>253</v>
      </c>
      <c r="L295" s="205" t="s">
        <v>6562</v>
      </c>
      <c r="M295" s="205" t="s">
        <v>6563</v>
      </c>
      <c r="N295" s="204" t="s">
        <v>6564</v>
      </c>
      <c r="O295" s="204" t="s">
        <v>658</v>
      </c>
      <c r="P295" s="206">
        <v>38000</v>
      </c>
      <c r="Q295" s="206">
        <v>32970</v>
      </c>
      <c r="R295" s="207">
        <v>1000</v>
      </c>
      <c r="S295" s="207">
        <f t="shared" si="90"/>
        <v>32970000</v>
      </c>
      <c r="T295" s="589"/>
      <c r="U295" s="157">
        <v>1000</v>
      </c>
      <c r="V295" s="158">
        <f t="shared" si="107"/>
        <v>1000</v>
      </c>
      <c r="W295" s="159">
        <f t="shared" si="91"/>
        <v>0</v>
      </c>
      <c r="X295" s="159">
        <f t="shared" si="92"/>
        <v>0</v>
      </c>
      <c r="Y295" s="160"/>
      <c r="Z295" s="160">
        <f t="shared" si="93"/>
        <v>0</v>
      </c>
      <c r="AA295" s="165"/>
      <c r="AB295" s="161">
        <f t="shared" si="94"/>
        <v>0</v>
      </c>
      <c r="AC295" s="162"/>
      <c r="AD295" s="162">
        <f t="shared" si="108"/>
        <v>0</v>
      </c>
      <c r="AE295" s="163"/>
      <c r="AF295" s="164">
        <f t="shared" si="109"/>
        <v>0</v>
      </c>
      <c r="AG295" s="161"/>
      <c r="AH295" s="165">
        <f t="shared" si="110"/>
        <v>0</v>
      </c>
      <c r="AI295" s="160">
        <v>0</v>
      </c>
      <c r="AJ295" s="166">
        <f t="shared" si="111"/>
        <v>0</v>
      </c>
      <c r="AK295" s="162"/>
      <c r="AL295" s="162">
        <f t="shared" si="95"/>
        <v>0</v>
      </c>
      <c r="AM295" s="173"/>
      <c r="AN295" s="167">
        <f t="shared" si="96"/>
        <v>0</v>
      </c>
      <c r="AO295" s="163"/>
      <c r="AP295" s="163">
        <f t="shared" si="97"/>
        <v>0</v>
      </c>
      <c r="AQ295" s="162"/>
      <c r="AR295" s="168">
        <f t="shared" si="98"/>
        <v>0</v>
      </c>
      <c r="AS295" s="169"/>
      <c r="AT295" s="170">
        <f t="shared" si="99"/>
        <v>0</v>
      </c>
      <c r="AU295" s="160"/>
      <c r="AV295" s="166">
        <f t="shared" si="100"/>
        <v>0</v>
      </c>
    </row>
    <row r="296" spans="1:48">
      <c r="A296" s="148" t="s">
        <v>6917</v>
      </c>
      <c r="B296" s="149" t="s">
        <v>5874</v>
      </c>
      <c r="C296" s="149" t="s">
        <v>5875</v>
      </c>
      <c r="D296" s="240" t="s">
        <v>6918</v>
      </c>
      <c r="E296" s="590" t="s">
        <v>12642</v>
      </c>
      <c r="F296" s="203" t="s">
        <v>1480</v>
      </c>
      <c r="G296" s="204" t="s">
        <v>6919</v>
      </c>
      <c r="H296" s="204">
        <v>3</v>
      </c>
      <c r="I296" s="203" t="s">
        <v>6920</v>
      </c>
      <c r="J296" s="205" t="s">
        <v>6921</v>
      </c>
      <c r="K296" s="203" t="s">
        <v>253</v>
      </c>
      <c r="L296" s="205" t="s">
        <v>6922</v>
      </c>
      <c r="M296" s="205" t="s">
        <v>6923</v>
      </c>
      <c r="N296" s="204" t="s">
        <v>6694</v>
      </c>
      <c r="O296" s="204" t="s">
        <v>15</v>
      </c>
      <c r="P296" s="206">
        <v>51000</v>
      </c>
      <c r="Q296" s="206">
        <v>44982</v>
      </c>
      <c r="R296" s="207">
        <v>5000</v>
      </c>
      <c r="S296" s="207">
        <f t="shared" si="90"/>
        <v>224910000</v>
      </c>
      <c r="T296" s="589"/>
      <c r="U296" s="157">
        <v>5000</v>
      </c>
      <c r="V296" s="158">
        <f t="shared" si="107"/>
        <v>5000</v>
      </c>
      <c r="W296" s="159">
        <f t="shared" si="91"/>
        <v>0</v>
      </c>
      <c r="X296" s="159">
        <f t="shared" si="92"/>
        <v>0</v>
      </c>
      <c r="Y296" s="160"/>
      <c r="Z296" s="160">
        <f t="shared" si="93"/>
        <v>0</v>
      </c>
      <c r="AA296" s="165"/>
      <c r="AB296" s="161">
        <f t="shared" si="94"/>
        <v>0</v>
      </c>
      <c r="AC296" s="162"/>
      <c r="AD296" s="162">
        <f t="shared" si="108"/>
        <v>0</v>
      </c>
      <c r="AE296" s="164"/>
      <c r="AF296" s="164">
        <f t="shared" si="109"/>
        <v>0</v>
      </c>
      <c r="AG296" s="165"/>
      <c r="AH296" s="165">
        <f t="shared" si="110"/>
        <v>0</v>
      </c>
      <c r="AI296" s="166">
        <v>0</v>
      </c>
      <c r="AJ296" s="166">
        <f t="shared" si="111"/>
        <v>0</v>
      </c>
      <c r="AK296" s="162"/>
      <c r="AL296" s="162">
        <f t="shared" si="95"/>
        <v>0</v>
      </c>
      <c r="AM296" s="173"/>
      <c r="AN296" s="167">
        <f t="shared" si="96"/>
        <v>0</v>
      </c>
      <c r="AO296" s="163"/>
      <c r="AP296" s="163">
        <f t="shared" si="97"/>
        <v>0</v>
      </c>
      <c r="AQ296" s="168"/>
      <c r="AR296" s="168">
        <f t="shared" si="98"/>
        <v>0</v>
      </c>
      <c r="AS296" s="170"/>
      <c r="AT296" s="170">
        <f t="shared" si="99"/>
        <v>0</v>
      </c>
      <c r="AU296" s="166"/>
      <c r="AV296" s="166">
        <f t="shared" si="100"/>
        <v>0</v>
      </c>
    </row>
    <row r="297" spans="1:48">
      <c r="A297" s="172" t="s">
        <v>6930</v>
      </c>
      <c r="B297" s="149" t="s">
        <v>5874</v>
      </c>
      <c r="C297" s="149" t="s">
        <v>5875</v>
      </c>
      <c r="D297" s="240" t="s">
        <v>6931</v>
      </c>
      <c r="E297" s="590" t="s">
        <v>12642</v>
      </c>
      <c r="F297" s="203" t="s">
        <v>1480</v>
      </c>
      <c r="G297" s="204" t="s">
        <v>6932</v>
      </c>
      <c r="H297" s="204">
        <v>3</v>
      </c>
      <c r="I297" s="203" t="s">
        <v>6920</v>
      </c>
      <c r="J297" s="205" t="s">
        <v>6933</v>
      </c>
      <c r="K297" s="203" t="s">
        <v>253</v>
      </c>
      <c r="L297" s="205" t="s">
        <v>6922</v>
      </c>
      <c r="M297" s="205" t="s">
        <v>6923</v>
      </c>
      <c r="N297" s="204" t="s">
        <v>6694</v>
      </c>
      <c r="O297" s="204" t="s">
        <v>520</v>
      </c>
      <c r="P297" s="206">
        <v>7000</v>
      </c>
      <c r="Q297" s="206">
        <v>3800</v>
      </c>
      <c r="R297" s="207">
        <v>40000</v>
      </c>
      <c r="S297" s="207">
        <f t="shared" si="90"/>
        <v>152000000</v>
      </c>
      <c r="T297" s="589"/>
      <c r="U297" s="157">
        <v>40000</v>
      </c>
      <c r="V297" s="158">
        <f t="shared" si="107"/>
        <v>40000</v>
      </c>
      <c r="W297" s="159">
        <f t="shared" si="91"/>
        <v>0</v>
      </c>
      <c r="X297" s="159">
        <f t="shared" si="92"/>
        <v>0</v>
      </c>
      <c r="Y297" s="160"/>
      <c r="Z297" s="160">
        <f t="shared" si="93"/>
        <v>0</v>
      </c>
      <c r="AA297" s="165"/>
      <c r="AB297" s="161">
        <f t="shared" si="94"/>
        <v>0</v>
      </c>
      <c r="AC297" s="162"/>
      <c r="AD297" s="162">
        <f t="shared" si="108"/>
        <v>0</v>
      </c>
      <c r="AE297" s="164"/>
      <c r="AF297" s="164">
        <f t="shared" si="109"/>
        <v>0</v>
      </c>
      <c r="AG297" s="165"/>
      <c r="AH297" s="165">
        <f t="shared" si="110"/>
        <v>0</v>
      </c>
      <c r="AI297" s="166">
        <v>0</v>
      </c>
      <c r="AJ297" s="166">
        <f t="shared" si="111"/>
        <v>0</v>
      </c>
      <c r="AK297" s="162"/>
      <c r="AL297" s="162">
        <f t="shared" si="95"/>
        <v>0</v>
      </c>
      <c r="AM297" s="173"/>
      <c r="AN297" s="167">
        <f t="shared" si="96"/>
        <v>0</v>
      </c>
      <c r="AO297" s="163"/>
      <c r="AP297" s="163">
        <f t="shared" si="97"/>
        <v>0</v>
      </c>
      <c r="AQ297" s="168"/>
      <c r="AR297" s="168">
        <f t="shared" si="98"/>
        <v>0</v>
      </c>
      <c r="AS297" s="170"/>
      <c r="AT297" s="170">
        <f t="shared" si="99"/>
        <v>0</v>
      </c>
      <c r="AU297" s="166"/>
      <c r="AV297" s="166">
        <f t="shared" si="100"/>
        <v>0</v>
      </c>
    </row>
    <row r="298" spans="1:48" ht="47.25">
      <c r="A298" s="148" t="s">
        <v>8141</v>
      </c>
      <c r="B298" s="149" t="s">
        <v>8142</v>
      </c>
      <c r="C298" s="149" t="s">
        <v>8143</v>
      </c>
      <c r="D298" s="240" t="s">
        <v>8144</v>
      </c>
      <c r="E298" s="590"/>
      <c r="F298" s="203" t="s">
        <v>1647</v>
      </c>
      <c r="G298" s="204" t="s">
        <v>8145</v>
      </c>
      <c r="H298" s="204">
        <v>3</v>
      </c>
      <c r="I298" s="203" t="s">
        <v>8146</v>
      </c>
      <c r="J298" s="205" t="s">
        <v>8147</v>
      </c>
      <c r="K298" s="203" t="s">
        <v>253</v>
      </c>
      <c r="L298" s="205" t="s">
        <v>8148</v>
      </c>
      <c r="M298" s="205" t="s">
        <v>621</v>
      </c>
      <c r="N298" s="204" t="s">
        <v>213</v>
      </c>
      <c r="O298" s="204" t="s">
        <v>15</v>
      </c>
      <c r="P298" s="206">
        <v>35000</v>
      </c>
      <c r="Q298" s="206">
        <v>19950</v>
      </c>
      <c r="R298" s="207">
        <v>1000</v>
      </c>
      <c r="S298" s="207">
        <f t="shared" si="90"/>
        <v>19950000</v>
      </c>
      <c r="T298" s="589"/>
      <c r="U298" s="157">
        <v>1000</v>
      </c>
      <c r="V298" s="158">
        <f t="shared" si="107"/>
        <v>1000</v>
      </c>
      <c r="W298" s="159">
        <f t="shared" si="91"/>
        <v>0</v>
      </c>
      <c r="X298" s="159">
        <f t="shared" si="92"/>
        <v>0</v>
      </c>
      <c r="Y298" s="160"/>
      <c r="Z298" s="160">
        <f t="shared" si="93"/>
        <v>0</v>
      </c>
      <c r="AA298" s="165"/>
      <c r="AB298" s="161">
        <f t="shared" si="94"/>
        <v>0</v>
      </c>
      <c r="AC298" s="162"/>
      <c r="AD298" s="162">
        <f t="shared" si="108"/>
        <v>0</v>
      </c>
      <c r="AE298" s="164"/>
      <c r="AF298" s="164">
        <f t="shared" si="109"/>
        <v>0</v>
      </c>
      <c r="AG298" s="165"/>
      <c r="AH298" s="165">
        <f t="shared" si="110"/>
        <v>0</v>
      </c>
      <c r="AI298" s="166">
        <v>0</v>
      </c>
      <c r="AJ298" s="166">
        <f t="shared" si="111"/>
        <v>0</v>
      </c>
      <c r="AK298" s="162"/>
      <c r="AL298" s="162">
        <f t="shared" si="95"/>
        <v>0</v>
      </c>
      <c r="AM298" s="173"/>
      <c r="AN298" s="167">
        <f t="shared" si="96"/>
        <v>0</v>
      </c>
      <c r="AO298" s="163"/>
      <c r="AP298" s="163">
        <f t="shared" si="97"/>
        <v>0</v>
      </c>
      <c r="AQ298" s="168"/>
      <c r="AR298" s="168">
        <f t="shared" si="98"/>
        <v>0</v>
      </c>
      <c r="AS298" s="170"/>
      <c r="AT298" s="170">
        <f t="shared" si="99"/>
        <v>0</v>
      </c>
      <c r="AU298" s="166"/>
      <c r="AV298" s="166">
        <f t="shared" si="100"/>
        <v>0</v>
      </c>
    </row>
    <row r="299" spans="1:48">
      <c r="A299" s="172" t="s">
        <v>5408</v>
      </c>
      <c r="B299" s="149" t="s">
        <v>5409</v>
      </c>
      <c r="C299" s="150" t="s">
        <v>5410</v>
      </c>
      <c r="D299" s="634" t="s">
        <v>4893</v>
      </c>
      <c r="E299" s="631" t="s">
        <v>12642</v>
      </c>
      <c r="F299" s="175" t="s">
        <v>236</v>
      </c>
      <c r="G299" s="151" t="s">
        <v>238</v>
      </c>
      <c r="H299" s="174" t="s">
        <v>5325</v>
      </c>
      <c r="I299" s="150" t="s">
        <v>4894</v>
      </c>
      <c r="J299" s="153" t="s">
        <v>5103</v>
      </c>
      <c r="K299" s="151" t="s">
        <v>5104</v>
      </c>
      <c r="L299" s="151" t="s">
        <v>239</v>
      </c>
      <c r="M299" s="151" t="s">
        <v>240</v>
      </c>
      <c r="N299" s="152" t="s">
        <v>213</v>
      </c>
      <c r="O299" s="152" t="s">
        <v>10</v>
      </c>
      <c r="P299" s="176">
        <v>500</v>
      </c>
      <c r="Q299" s="177">
        <v>136</v>
      </c>
      <c r="R299" s="176">
        <v>182000</v>
      </c>
      <c r="S299" s="156">
        <f t="shared" si="90"/>
        <v>24752000</v>
      </c>
      <c r="T299" s="589"/>
      <c r="U299" s="157">
        <v>172000</v>
      </c>
      <c r="V299" s="158">
        <f t="shared" si="107"/>
        <v>156000</v>
      </c>
      <c r="W299" s="159">
        <f t="shared" si="91"/>
        <v>16000</v>
      </c>
      <c r="X299" s="159">
        <f t="shared" si="92"/>
        <v>2176000</v>
      </c>
      <c r="Y299" s="160"/>
      <c r="Z299" s="160">
        <f t="shared" si="93"/>
        <v>0</v>
      </c>
      <c r="AA299" s="161"/>
      <c r="AB299" s="161">
        <f t="shared" si="94"/>
        <v>0</v>
      </c>
      <c r="AC299" s="162"/>
      <c r="AD299" s="162">
        <f t="shared" si="108"/>
        <v>0</v>
      </c>
      <c r="AE299" s="163"/>
      <c r="AF299" s="164">
        <f t="shared" si="109"/>
        <v>0</v>
      </c>
      <c r="AG299" s="161">
        <v>6000</v>
      </c>
      <c r="AH299" s="165">
        <f t="shared" si="110"/>
        <v>816000</v>
      </c>
      <c r="AI299" s="160">
        <v>0</v>
      </c>
      <c r="AJ299" s="166">
        <f t="shared" si="111"/>
        <v>0</v>
      </c>
      <c r="AK299" s="162"/>
      <c r="AL299" s="162">
        <f t="shared" si="95"/>
        <v>0</v>
      </c>
      <c r="AM299" s="167"/>
      <c r="AN299" s="167">
        <f t="shared" si="96"/>
        <v>0</v>
      </c>
      <c r="AO299" s="163"/>
      <c r="AP299" s="163">
        <f t="shared" si="97"/>
        <v>0</v>
      </c>
      <c r="AQ299" s="162"/>
      <c r="AR299" s="168">
        <f t="shared" si="98"/>
        <v>0</v>
      </c>
      <c r="AS299" s="169"/>
      <c r="AT299" s="170">
        <f t="shared" si="99"/>
        <v>0</v>
      </c>
      <c r="AU299" s="160">
        <v>10000</v>
      </c>
      <c r="AV299" s="166">
        <f t="shared" si="100"/>
        <v>1360000</v>
      </c>
    </row>
    <row r="300" spans="1:48">
      <c r="A300" s="148" t="s">
        <v>5567</v>
      </c>
      <c r="B300" s="149" t="s">
        <v>5409</v>
      </c>
      <c r="C300" s="150" t="s">
        <v>5410</v>
      </c>
      <c r="D300" s="634" t="s">
        <v>5568</v>
      </c>
      <c r="E300" s="631" t="s">
        <v>12642</v>
      </c>
      <c r="F300" s="175" t="s">
        <v>236</v>
      </c>
      <c r="G300" s="151" t="s">
        <v>238</v>
      </c>
      <c r="H300" s="174" t="s">
        <v>5554</v>
      </c>
      <c r="I300" s="150" t="s">
        <v>4894</v>
      </c>
      <c r="J300" s="153" t="s">
        <v>5103</v>
      </c>
      <c r="K300" s="151" t="s">
        <v>5104</v>
      </c>
      <c r="L300" s="151" t="s">
        <v>239</v>
      </c>
      <c r="M300" s="151" t="s">
        <v>240</v>
      </c>
      <c r="N300" s="152" t="s">
        <v>213</v>
      </c>
      <c r="O300" s="152" t="s">
        <v>10</v>
      </c>
      <c r="P300" s="176">
        <v>500</v>
      </c>
      <c r="Q300" s="177">
        <v>136</v>
      </c>
      <c r="R300" s="176">
        <v>182000</v>
      </c>
      <c r="S300" s="156">
        <f t="shared" si="90"/>
        <v>24752000</v>
      </c>
      <c r="T300" s="589"/>
      <c r="U300" s="157">
        <v>182000</v>
      </c>
      <c r="V300" s="158">
        <f t="shared" si="107"/>
        <v>182000</v>
      </c>
      <c r="W300" s="159">
        <f t="shared" si="91"/>
        <v>0</v>
      </c>
      <c r="X300" s="159">
        <f t="shared" si="92"/>
        <v>0</v>
      </c>
      <c r="Y300" s="160"/>
      <c r="Z300" s="160">
        <f t="shared" si="93"/>
        <v>0</v>
      </c>
      <c r="AA300" s="161"/>
      <c r="AB300" s="161">
        <f t="shared" si="94"/>
        <v>0</v>
      </c>
      <c r="AC300" s="162"/>
      <c r="AD300" s="162">
        <f t="shared" si="108"/>
        <v>0</v>
      </c>
      <c r="AE300" s="163"/>
      <c r="AF300" s="164">
        <f t="shared" si="109"/>
        <v>0</v>
      </c>
      <c r="AG300" s="161"/>
      <c r="AH300" s="165">
        <f t="shared" si="110"/>
        <v>0</v>
      </c>
      <c r="AI300" s="160">
        <v>0</v>
      </c>
      <c r="AJ300" s="166">
        <f t="shared" si="111"/>
        <v>0</v>
      </c>
      <c r="AK300" s="162"/>
      <c r="AL300" s="162">
        <f t="shared" si="95"/>
        <v>0</v>
      </c>
      <c r="AM300" s="167"/>
      <c r="AN300" s="167">
        <f t="shared" si="96"/>
        <v>0</v>
      </c>
      <c r="AO300" s="163"/>
      <c r="AP300" s="163">
        <f t="shared" si="97"/>
        <v>0</v>
      </c>
      <c r="AQ300" s="162"/>
      <c r="AR300" s="168">
        <f t="shared" si="98"/>
        <v>0</v>
      </c>
      <c r="AS300" s="169"/>
      <c r="AT300" s="170">
        <f t="shared" si="99"/>
        <v>0</v>
      </c>
      <c r="AU300" s="160"/>
      <c r="AV300" s="166">
        <f t="shared" si="100"/>
        <v>0</v>
      </c>
    </row>
    <row r="301" spans="1:48" ht="31.5">
      <c r="A301" s="148" t="s">
        <v>8149</v>
      </c>
      <c r="B301" s="149" t="s">
        <v>5409</v>
      </c>
      <c r="C301" s="150" t="s">
        <v>5410</v>
      </c>
      <c r="D301" s="240" t="s">
        <v>4169</v>
      </c>
      <c r="E301" s="590" t="s">
        <v>12642</v>
      </c>
      <c r="F301" s="203" t="s">
        <v>4171</v>
      </c>
      <c r="G301" s="204" t="s">
        <v>291</v>
      </c>
      <c r="H301" s="204">
        <v>3</v>
      </c>
      <c r="I301" s="203" t="s">
        <v>4170</v>
      </c>
      <c r="J301" s="205" t="s">
        <v>8150</v>
      </c>
      <c r="K301" s="203" t="s">
        <v>5104</v>
      </c>
      <c r="L301" s="205" t="s">
        <v>8151</v>
      </c>
      <c r="M301" s="205" t="s">
        <v>8152</v>
      </c>
      <c r="N301" s="204" t="s">
        <v>213</v>
      </c>
      <c r="O301" s="204" t="s">
        <v>11</v>
      </c>
      <c r="P301" s="206">
        <v>2000</v>
      </c>
      <c r="Q301" s="206">
        <v>264</v>
      </c>
      <c r="R301" s="207">
        <v>40000</v>
      </c>
      <c r="S301" s="207">
        <f t="shared" si="90"/>
        <v>10560000</v>
      </c>
      <c r="T301" s="589"/>
      <c r="U301" s="157">
        <v>40000</v>
      </c>
      <c r="V301" s="158">
        <f t="shared" si="107"/>
        <v>39000</v>
      </c>
      <c r="W301" s="159">
        <f t="shared" si="91"/>
        <v>1000</v>
      </c>
      <c r="X301" s="159">
        <f t="shared" si="92"/>
        <v>264000</v>
      </c>
      <c r="Y301" s="160"/>
      <c r="Z301" s="160">
        <f t="shared" si="93"/>
        <v>0</v>
      </c>
      <c r="AA301" s="165"/>
      <c r="AB301" s="161">
        <f t="shared" si="94"/>
        <v>0</v>
      </c>
      <c r="AC301" s="162"/>
      <c r="AD301" s="162">
        <f t="shared" si="108"/>
        <v>0</v>
      </c>
      <c r="AE301" s="164"/>
      <c r="AF301" s="164">
        <f t="shared" si="109"/>
        <v>0</v>
      </c>
      <c r="AG301" s="165">
        <v>1000</v>
      </c>
      <c r="AH301" s="165">
        <f t="shared" si="110"/>
        <v>264000</v>
      </c>
      <c r="AI301" s="166">
        <v>0</v>
      </c>
      <c r="AJ301" s="166">
        <f t="shared" si="111"/>
        <v>0</v>
      </c>
      <c r="AK301" s="162"/>
      <c r="AL301" s="162">
        <f t="shared" si="95"/>
        <v>0</v>
      </c>
      <c r="AM301" s="173"/>
      <c r="AN301" s="167">
        <f t="shared" si="96"/>
        <v>0</v>
      </c>
      <c r="AO301" s="163"/>
      <c r="AP301" s="163">
        <f t="shared" si="97"/>
        <v>0</v>
      </c>
      <c r="AQ301" s="168"/>
      <c r="AR301" s="168">
        <f t="shared" si="98"/>
        <v>0</v>
      </c>
      <c r="AS301" s="170"/>
      <c r="AT301" s="170">
        <f t="shared" si="99"/>
        <v>0</v>
      </c>
      <c r="AU301" s="166"/>
      <c r="AV301" s="166">
        <f t="shared" si="100"/>
        <v>0</v>
      </c>
    </row>
    <row r="302" spans="1:48" ht="31.5">
      <c r="A302" s="148" t="s">
        <v>6081</v>
      </c>
      <c r="B302" s="149" t="s">
        <v>6082</v>
      </c>
      <c r="C302" s="149" t="s">
        <v>6083</v>
      </c>
      <c r="D302" s="240" t="s">
        <v>6084</v>
      </c>
      <c r="E302" s="590" t="s">
        <v>12642</v>
      </c>
      <c r="F302" s="203" t="s">
        <v>624</v>
      </c>
      <c r="G302" s="204" t="s">
        <v>327</v>
      </c>
      <c r="H302" s="204">
        <v>1</v>
      </c>
      <c r="I302" s="203" t="s">
        <v>6085</v>
      </c>
      <c r="J302" s="205" t="s">
        <v>6086</v>
      </c>
      <c r="K302" s="203" t="s">
        <v>253</v>
      </c>
      <c r="L302" s="205" t="s">
        <v>6087</v>
      </c>
      <c r="M302" s="205" t="s">
        <v>6088</v>
      </c>
      <c r="N302" s="204" t="s">
        <v>213</v>
      </c>
      <c r="O302" s="204" t="s">
        <v>11</v>
      </c>
      <c r="P302" s="206">
        <v>2000</v>
      </c>
      <c r="Q302" s="206">
        <v>1407</v>
      </c>
      <c r="R302" s="207">
        <v>20000</v>
      </c>
      <c r="S302" s="207">
        <f t="shared" si="90"/>
        <v>28140000</v>
      </c>
      <c r="T302" s="589"/>
      <c r="U302" s="157">
        <v>20000</v>
      </c>
      <c r="V302" s="158">
        <f t="shared" si="107"/>
        <v>20000</v>
      </c>
      <c r="W302" s="159">
        <f t="shared" si="91"/>
        <v>0</v>
      </c>
      <c r="X302" s="159">
        <f t="shared" si="92"/>
        <v>0</v>
      </c>
      <c r="Y302" s="160"/>
      <c r="Z302" s="160">
        <f t="shared" si="93"/>
        <v>0</v>
      </c>
      <c r="AA302" s="165"/>
      <c r="AB302" s="161">
        <f t="shared" si="94"/>
        <v>0</v>
      </c>
      <c r="AC302" s="162"/>
      <c r="AD302" s="162">
        <f t="shared" si="108"/>
        <v>0</v>
      </c>
      <c r="AE302" s="164"/>
      <c r="AF302" s="164">
        <f t="shared" si="109"/>
        <v>0</v>
      </c>
      <c r="AG302" s="165"/>
      <c r="AH302" s="165">
        <f t="shared" si="110"/>
        <v>0</v>
      </c>
      <c r="AI302" s="166">
        <v>0</v>
      </c>
      <c r="AJ302" s="166">
        <f t="shared" si="111"/>
        <v>0</v>
      </c>
      <c r="AK302" s="162"/>
      <c r="AL302" s="162">
        <f t="shared" si="95"/>
        <v>0</v>
      </c>
      <c r="AM302" s="173"/>
      <c r="AN302" s="167">
        <f t="shared" si="96"/>
        <v>0</v>
      </c>
      <c r="AO302" s="163"/>
      <c r="AP302" s="163">
        <f t="shared" si="97"/>
        <v>0</v>
      </c>
      <c r="AQ302" s="168"/>
      <c r="AR302" s="168">
        <f t="shared" si="98"/>
        <v>0</v>
      </c>
      <c r="AS302" s="170"/>
      <c r="AT302" s="170">
        <f t="shared" si="99"/>
        <v>0</v>
      </c>
      <c r="AU302" s="166"/>
      <c r="AV302" s="166">
        <f t="shared" si="100"/>
        <v>0</v>
      </c>
    </row>
    <row r="303" spans="1:48" ht="31.5">
      <c r="A303" s="148" t="s">
        <v>6690</v>
      </c>
      <c r="B303" s="149" t="s">
        <v>6691</v>
      </c>
      <c r="C303" s="149" t="s">
        <v>6692</v>
      </c>
      <c r="D303" s="240" t="s">
        <v>3830</v>
      </c>
      <c r="E303" s="590"/>
      <c r="F303" s="203" t="s">
        <v>1096</v>
      </c>
      <c r="G303" s="204" t="s">
        <v>1098</v>
      </c>
      <c r="H303" s="204">
        <v>2</v>
      </c>
      <c r="I303" s="203" t="s">
        <v>3831</v>
      </c>
      <c r="J303" s="205" t="s">
        <v>6693</v>
      </c>
      <c r="K303" s="203" t="s">
        <v>5104</v>
      </c>
      <c r="L303" s="205" t="s">
        <v>1099</v>
      </c>
      <c r="M303" s="205" t="s">
        <v>6532</v>
      </c>
      <c r="N303" s="204" t="s">
        <v>6694</v>
      </c>
      <c r="O303" s="204" t="s">
        <v>11</v>
      </c>
      <c r="P303" s="206">
        <v>2800</v>
      </c>
      <c r="Q303" s="206">
        <v>1800</v>
      </c>
      <c r="R303" s="207">
        <v>30000</v>
      </c>
      <c r="S303" s="207">
        <f t="shared" si="90"/>
        <v>54000000</v>
      </c>
      <c r="T303" s="589"/>
      <c r="U303" s="157">
        <v>30000</v>
      </c>
      <c r="V303" s="158">
        <f t="shared" si="107"/>
        <v>18000</v>
      </c>
      <c r="W303" s="159">
        <f t="shared" si="91"/>
        <v>12000</v>
      </c>
      <c r="X303" s="159">
        <f t="shared" si="92"/>
        <v>21600000</v>
      </c>
      <c r="Y303" s="160"/>
      <c r="Z303" s="160">
        <f t="shared" si="93"/>
        <v>0</v>
      </c>
      <c r="AA303" s="165">
        <v>6000</v>
      </c>
      <c r="AB303" s="161">
        <f t="shared" si="94"/>
        <v>10800000</v>
      </c>
      <c r="AC303" s="162"/>
      <c r="AD303" s="162">
        <f t="shared" si="108"/>
        <v>0</v>
      </c>
      <c r="AE303" s="164"/>
      <c r="AF303" s="164">
        <f t="shared" si="109"/>
        <v>0</v>
      </c>
      <c r="AG303" s="165"/>
      <c r="AH303" s="165">
        <f t="shared" si="110"/>
        <v>0</v>
      </c>
      <c r="AI303" s="166">
        <v>0</v>
      </c>
      <c r="AJ303" s="166">
        <f t="shared" si="111"/>
        <v>0</v>
      </c>
      <c r="AK303" s="162"/>
      <c r="AL303" s="162">
        <f t="shared" si="95"/>
        <v>0</v>
      </c>
      <c r="AM303" s="173">
        <v>6000</v>
      </c>
      <c r="AN303" s="167">
        <f t="shared" si="96"/>
        <v>10800000</v>
      </c>
      <c r="AO303" s="163"/>
      <c r="AP303" s="163">
        <f t="shared" si="97"/>
        <v>0</v>
      </c>
      <c r="AQ303" s="168"/>
      <c r="AR303" s="168">
        <f t="shared" si="98"/>
        <v>0</v>
      </c>
      <c r="AS303" s="170"/>
      <c r="AT303" s="170">
        <f t="shared" si="99"/>
        <v>0</v>
      </c>
      <c r="AU303" s="166"/>
      <c r="AV303" s="166">
        <f t="shared" si="100"/>
        <v>0</v>
      </c>
    </row>
    <row r="304" spans="1:48" ht="78.75">
      <c r="A304" s="148">
        <v>31</v>
      </c>
      <c r="B304" s="244" t="s">
        <v>8641</v>
      </c>
      <c r="C304" s="244" t="s">
        <v>6692</v>
      </c>
      <c r="D304" s="250" t="s">
        <v>8642</v>
      </c>
      <c r="E304" s="241"/>
      <c r="F304" s="242" t="s">
        <v>8643</v>
      </c>
      <c r="G304" s="244" t="s">
        <v>8644</v>
      </c>
      <c r="H304" s="244" t="s">
        <v>211</v>
      </c>
      <c r="I304" s="244" t="s">
        <v>8645</v>
      </c>
      <c r="J304" s="244" t="s">
        <v>8646</v>
      </c>
      <c r="K304" s="244" t="s">
        <v>253</v>
      </c>
      <c r="L304" s="241" t="s">
        <v>8647</v>
      </c>
      <c r="M304" s="244" t="s">
        <v>1268</v>
      </c>
      <c r="N304" s="241" t="s">
        <v>213</v>
      </c>
      <c r="O304" s="241" t="s">
        <v>11</v>
      </c>
      <c r="P304" s="245">
        <v>2390</v>
      </c>
      <c r="Q304" s="245">
        <v>2250</v>
      </c>
      <c r="R304" s="246">
        <v>20000</v>
      </c>
      <c r="S304" s="245">
        <f t="shared" si="90"/>
        <v>45000000</v>
      </c>
      <c r="T304" s="589"/>
      <c r="U304" s="244"/>
      <c r="V304" s="247">
        <f>R304-W304</f>
        <v>20000</v>
      </c>
      <c r="W304" s="159">
        <f t="shared" si="91"/>
        <v>0</v>
      </c>
      <c r="X304" s="159">
        <f t="shared" si="92"/>
        <v>0</v>
      </c>
      <c r="Y304" s="248"/>
      <c r="Z304" s="160">
        <f t="shared" si="93"/>
        <v>0</v>
      </c>
      <c r="AA304" s="248"/>
      <c r="AB304" s="161">
        <f t="shared" si="94"/>
        <v>0</v>
      </c>
      <c r="AC304" s="249"/>
      <c r="AD304" s="249"/>
      <c r="AE304" s="249"/>
      <c r="AF304" s="249"/>
      <c r="AG304" s="249"/>
      <c r="AH304" s="249"/>
      <c r="AI304" s="249"/>
      <c r="AJ304" s="249"/>
      <c r="AK304" s="249"/>
      <c r="AL304" s="162">
        <f t="shared" si="95"/>
        <v>0</v>
      </c>
      <c r="AM304" s="249"/>
      <c r="AN304" s="167">
        <f t="shared" si="96"/>
        <v>0</v>
      </c>
      <c r="AO304" s="249"/>
      <c r="AP304" s="163">
        <f t="shared" si="97"/>
        <v>0</v>
      </c>
      <c r="AQ304" s="249"/>
      <c r="AR304" s="168">
        <f t="shared" si="98"/>
        <v>0</v>
      </c>
      <c r="AS304" s="249"/>
      <c r="AT304" s="170">
        <f t="shared" si="99"/>
        <v>0</v>
      </c>
      <c r="AU304" s="249"/>
      <c r="AV304" s="166">
        <f t="shared" si="100"/>
        <v>0</v>
      </c>
    </row>
    <row r="305" spans="1:48" ht="78.75">
      <c r="A305" s="148">
        <v>46</v>
      </c>
      <c r="B305" s="244" t="s">
        <v>8641</v>
      </c>
      <c r="C305" s="244" t="s">
        <v>6692</v>
      </c>
      <c r="D305" s="250" t="s">
        <v>4746</v>
      </c>
      <c r="E305" s="592" t="s">
        <v>12644</v>
      </c>
      <c r="F305" s="242" t="s">
        <v>8722</v>
      </c>
      <c r="G305" s="244" t="s">
        <v>4749</v>
      </c>
      <c r="H305" s="244" t="s">
        <v>211</v>
      </c>
      <c r="I305" s="244" t="s">
        <v>4747</v>
      </c>
      <c r="J305" s="244" t="s">
        <v>8723</v>
      </c>
      <c r="K305" s="244" t="s">
        <v>5104</v>
      </c>
      <c r="L305" s="241" t="s">
        <v>8724</v>
      </c>
      <c r="M305" s="244" t="s">
        <v>8725</v>
      </c>
      <c r="N305" s="241" t="s">
        <v>213</v>
      </c>
      <c r="O305" s="241" t="s">
        <v>658</v>
      </c>
      <c r="P305" s="245">
        <v>40000</v>
      </c>
      <c r="Q305" s="245">
        <v>39900</v>
      </c>
      <c r="R305" s="246">
        <v>500</v>
      </c>
      <c r="S305" s="245">
        <f t="shared" si="90"/>
        <v>19950000</v>
      </c>
      <c r="T305" s="589"/>
      <c r="U305" s="244"/>
      <c r="V305" s="247">
        <f>R305-W305</f>
        <v>300</v>
      </c>
      <c r="W305" s="159">
        <f t="shared" si="91"/>
        <v>200</v>
      </c>
      <c r="X305" s="159">
        <f t="shared" si="92"/>
        <v>7980000</v>
      </c>
      <c r="Y305" s="248"/>
      <c r="Z305" s="160">
        <f t="shared" si="93"/>
        <v>0</v>
      </c>
      <c r="AA305" s="248"/>
      <c r="AB305" s="161">
        <f t="shared" si="94"/>
        <v>0</v>
      </c>
      <c r="AC305" s="249"/>
      <c r="AD305" s="249"/>
      <c r="AE305" s="249"/>
      <c r="AF305" s="249"/>
      <c r="AG305" s="249"/>
      <c r="AH305" s="249"/>
      <c r="AI305" s="249"/>
      <c r="AJ305" s="249"/>
      <c r="AK305" s="249"/>
      <c r="AL305" s="162">
        <f t="shared" si="95"/>
        <v>0</v>
      </c>
      <c r="AM305" s="249">
        <v>100</v>
      </c>
      <c r="AN305" s="167">
        <f t="shared" si="96"/>
        <v>3990000</v>
      </c>
      <c r="AO305" s="249"/>
      <c r="AP305" s="163">
        <f t="shared" si="97"/>
        <v>0</v>
      </c>
      <c r="AQ305" s="249"/>
      <c r="AR305" s="168">
        <f t="shared" si="98"/>
        <v>0</v>
      </c>
      <c r="AS305" s="249">
        <v>100</v>
      </c>
      <c r="AT305" s="170">
        <f t="shared" si="99"/>
        <v>3990000</v>
      </c>
      <c r="AU305" s="249"/>
      <c r="AV305" s="166">
        <f t="shared" si="100"/>
        <v>0</v>
      </c>
    </row>
    <row r="306" spans="1:48" ht="47.25">
      <c r="A306" s="250">
        <v>47</v>
      </c>
      <c r="B306" s="244" t="s">
        <v>8641</v>
      </c>
      <c r="C306" s="244" t="s">
        <v>6692</v>
      </c>
      <c r="D306" s="250" t="s">
        <v>4751</v>
      </c>
      <c r="E306" s="241"/>
      <c r="F306" s="242" t="s">
        <v>8726</v>
      </c>
      <c r="G306" s="244" t="s">
        <v>8727</v>
      </c>
      <c r="H306" s="244" t="s">
        <v>211</v>
      </c>
      <c r="I306" s="244" t="s">
        <v>4752</v>
      </c>
      <c r="J306" s="244" t="s">
        <v>8728</v>
      </c>
      <c r="K306" s="244" t="s">
        <v>5104</v>
      </c>
      <c r="L306" s="241" t="s">
        <v>8729</v>
      </c>
      <c r="M306" s="244" t="s">
        <v>8563</v>
      </c>
      <c r="N306" s="241" t="s">
        <v>213</v>
      </c>
      <c r="O306" s="241" t="s">
        <v>11</v>
      </c>
      <c r="P306" s="245">
        <v>1900</v>
      </c>
      <c r="Q306" s="245">
        <v>1900</v>
      </c>
      <c r="R306" s="246">
        <v>25000</v>
      </c>
      <c r="S306" s="245">
        <f t="shared" si="90"/>
        <v>47500000</v>
      </c>
      <c r="T306" s="589"/>
      <c r="U306" s="244"/>
      <c r="V306" s="247">
        <f>R306-W306</f>
        <v>20000</v>
      </c>
      <c r="W306" s="159">
        <f t="shared" si="91"/>
        <v>5000</v>
      </c>
      <c r="X306" s="159">
        <f t="shared" si="92"/>
        <v>9500000</v>
      </c>
      <c r="Y306" s="248"/>
      <c r="Z306" s="160">
        <f t="shared" si="93"/>
        <v>0</v>
      </c>
      <c r="AA306" s="248"/>
      <c r="AB306" s="161">
        <f t="shared" si="94"/>
        <v>0</v>
      </c>
      <c r="AC306" s="249"/>
      <c r="AD306" s="249"/>
      <c r="AE306" s="249"/>
      <c r="AF306" s="249"/>
      <c r="AG306" s="249"/>
      <c r="AH306" s="249"/>
      <c r="AI306" s="249"/>
      <c r="AJ306" s="249"/>
      <c r="AK306" s="249"/>
      <c r="AL306" s="162">
        <f t="shared" si="95"/>
        <v>0</v>
      </c>
      <c r="AM306" s="249">
        <v>5000</v>
      </c>
      <c r="AN306" s="167">
        <f t="shared" si="96"/>
        <v>9500000</v>
      </c>
      <c r="AO306" s="249"/>
      <c r="AP306" s="163">
        <f t="shared" si="97"/>
        <v>0</v>
      </c>
      <c r="AQ306" s="249"/>
      <c r="AR306" s="168">
        <f t="shared" si="98"/>
        <v>0</v>
      </c>
      <c r="AS306" s="249"/>
      <c r="AT306" s="170">
        <f t="shared" si="99"/>
        <v>0</v>
      </c>
      <c r="AU306" s="249"/>
      <c r="AV306" s="166">
        <f t="shared" si="100"/>
        <v>0</v>
      </c>
    </row>
    <row r="307" spans="1:48">
      <c r="A307" s="148" t="s">
        <v>6276</v>
      </c>
      <c r="B307" s="149" t="s">
        <v>2326</v>
      </c>
      <c r="C307" s="149" t="s">
        <v>6277</v>
      </c>
      <c r="D307" s="240" t="s">
        <v>6278</v>
      </c>
      <c r="E307" s="590" t="s">
        <v>12642</v>
      </c>
      <c r="F307" s="203" t="s">
        <v>1356</v>
      </c>
      <c r="G307" s="204" t="s">
        <v>238</v>
      </c>
      <c r="H307" s="204">
        <v>1</v>
      </c>
      <c r="I307" s="203" t="s">
        <v>2543</v>
      </c>
      <c r="J307" s="205" t="s">
        <v>6279</v>
      </c>
      <c r="K307" s="203" t="s">
        <v>5104</v>
      </c>
      <c r="L307" s="205" t="s">
        <v>3308</v>
      </c>
      <c r="M307" s="205" t="s">
        <v>6280</v>
      </c>
      <c r="N307" s="204" t="s">
        <v>5116</v>
      </c>
      <c r="O307" s="204" t="s">
        <v>11</v>
      </c>
      <c r="P307" s="206">
        <v>1843</v>
      </c>
      <c r="Q307" s="206">
        <v>1831</v>
      </c>
      <c r="R307" s="207">
        <v>10000</v>
      </c>
      <c r="S307" s="207">
        <f t="shared" si="90"/>
        <v>18310000</v>
      </c>
      <c r="T307" s="589"/>
      <c r="U307" s="157">
        <v>10000</v>
      </c>
      <c r="V307" s="158">
        <f>U307-W307</f>
        <v>10000</v>
      </c>
      <c r="W307" s="159">
        <f t="shared" si="91"/>
        <v>0</v>
      </c>
      <c r="X307" s="159">
        <f t="shared" si="92"/>
        <v>0</v>
      </c>
      <c r="Y307" s="160"/>
      <c r="Z307" s="160">
        <f t="shared" si="93"/>
        <v>0</v>
      </c>
      <c r="AA307" s="165"/>
      <c r="AB307" s="161">
        <f t="shared" si="94"/>
        <v>0</v>
      </c>
      <c r="AC307" s="162"/>
      <c r="AD307" s="162">
        <f>AC307*Q307</f>
        <v>0</v>
      </c>
      <c r="AE307" s="164"/>
      <c r="AF307" s="164">
        <f>AE307*Q307</f>
        <v>0</v>
      </c>
      <c r="AG307" s="165"/>
      <c r="AH307" s="165">
        <f>AG307*Q307</f>
        <v>0</v>
      </c>
      <c r="AI307" s="166">
        <v>0</v>
      </c>
      <c r="AJ307" s="166">
        <f>AI307*Q307</f>
        <v>0</v>
      </c>
      <c r="AK307" s="162"/>
      <c r="AL307" s="162">
        <f t="shared" si="95"/>
        <v>0</v>
      </c>
      <c r="AM307" s="173"/>
      <c r="AN307" s="167">
        <f t="shared" si="96"/>
        <v>0</v>
      </c>
      <c r="AO307" s="163"/>
      <c r="AP307" s="163">
        <f t="shared" si="97"/>
        <v>0</v>
      </c>
      <c r="AQ307" s="168"/>
      <c r="AR307" s="168">
        <f t="shared" si="98"/>
        <v>0</v>
      </c>
      <c r="AS307" s="170"/>
      <c r="AT307" s="170">
        <f t="shared" si="99"/>
        <v>0</v>
      </c>
      <c r="AU307" s="166"/>
      <c r="AV307" s="166">
        <f t="shared" si="100"/>
        <v>0</v>
      </c>
    </row>
    <row r="308" spans="1:48" ht="47.25">
      <c r="A308" s="148">
        <v>6</v>
      </c>
      <c r="B308" s="149" t="s">
        <v>2326</v>
      </c>
      <c r="C308" s="149" t="s">
        <v>6277</v>
      </c>
      <c r="D308" s="250" t="s">
        <v>4738</v>
      </c>
      <c r="E308" s="241"/>
      <c r="F308" s="242" t="s">
        <v>2323</v>
      </c>
      <c r="G308" s="244" t="s">
        <v>171</v>
      </c>
      <c r="H308" s="244" t="s">
        <v>211</v>
      </c>
      <c r="I308" s="244" t="s">
        <v>169</v>
      </c>
      <c r="J308" s="244" t="s">
        <v>8526</v>
      </c>
      <c r="K308" s="244" t="s">
        <v>5104</v>
      </c>
      <c r="L308" s="241" t="s">
        <v>2324</v>
      </c>
      <c r="M308" s="244" t="s">
        <v>2325</v>
      </c>
      <c r="N308" s="241" t="s">
        <v>213</v>
      </c>
      <c r="O308" s="241" t="s">
        <v>11</v>
      </c>
      <c r="P308" s="245">
        <v>4000</v>
      </c>
      <c r="Q308" s="245">
        <v>3450</v>
      </c>
      <c r="R308" s="246">
        <v>80000</v>
      </c>
      <c r="S308" s="245">
        <f t="shared" si="90"/>
        <v>276000000</v>
      </c>
      <c r="T308" s="589"/>
      <c r="U308" s="244"/>
      <c r="V308" s="247">
        <f>R308-W308</f>
        <v>64880</v>
      </c>
      <c r="W308" s="159">
        <f t="shared" si="91"/>
        <v>15120</v>
      </c>
      <c r="X308" s="159">
        <f t="shared" si="92"/>
        <v>52164000</v>
      </c>
      <c r="Y308" s="248"/>
      <c r="Z308" s="160">
        <f t="shared" si="93"/>
        <v>0</v>
      </c>
      <c r="AA308" s="248"/>
      <c r="AB308" s="161">
        <f t="shared" si="94"/>
        <v>0</v>
      </c>
      <c r="AC308" s="249"/>
      <c r="AD308" s="249"/>
      <c r="AE308" s="249"/>
      <c r="AF308" s="249"/>
      <c r="AG308" s="249"/>
      <c r="AH308" s="249"/>
      <c r="AI308" s="249"/>
      <c r="AJ308" s="249"/>
      <c r="AK308" s="249">
        <v>15120</v>
      </c>
      <c r="AL308" s="162">
        <f t="shared" si="95"/>
        <v>52164000</v>
      </c>
      <c r="AM308" s="249"/>
      <c r="AN308" s="167">
        <f t="shared" si="96"/>
        <v>0</v>
      </c>
      <c r="AO308" s="249"/>
      <c r="AP308" s="163">
        <f t="shared" si="97"/>
        <v>0</v>
      </c>
      <c r="AQ308" s="249"/>
      <c r="AR308" s="168">
        <f t="shared" si="98"/>
        <v>0</v>
      </c>
      <c r="AS308" s="249"/>
      <c r="AT308" s="170">
        <f t="shared" si="99"/>
        <v>0</v>
      </c>
      <c r="AU308" s="249"/>
      <c r="AV308" s="166">
        <f t="shared" si="100"/>
        <v>0</v>
      </c>
    </row>
    <row r="309" spans="1:48" ht="31.5">
      <c r="A309" s="148">
        <v>57</v>
      </c>
      <c r="B309" s="149" t="s">
        <v>2326</v>
      </c>
      <c r="C309" s="149" t="s">
        <v>6277</v>
      </c>
      <c r="D309" s="250" t="s">
        <v>4763</v>
      </c>
      <c r="E309" s="241"/>
      <c r="F309" s="242" t="s">
        <v>202</v>
      </c>
      <c r="G309" s="244" t="s">
        <v>8764</v>
      </c>
      <c r="H309" s="244" t="s">
        <v>211</v>
      </c>
      <c r="I309" s="244" t="s">
        <v>201</v>
      </c>
      <c r="J309" s="244" t="s">
        <v>8765</v>
      </c>
      <c r="K309" s="244" t="s">
        <v>5104</v>
      </c>
      <c r="L309" s="241" t="s">
        <v>8766</v>
      </c>
      <c r="M309" s="244" t="s">
        <v>2325</v>
      </c>
      <c r="N309" s="241" t="s">
        <v>213</v>
      </c>
      <c r="O309" s="241" t="s">
        <v>11</v>
      </c>
      <c r="P309" s="245">
        <v>1260</v>
      </c>
      <c r="Q309" s="245">
        <v>965</v>
      </c>
      <c r="R309" s="246">
        <v>100000</v>
      </c>
      <c r="S309" s="245">
        <f t="shared" si="90"/>
        <v>96500000</v>
      </c>
      <c r="T309" s="589"/>
      <c r="U309" s="244"/>
      <c r="V309" s="247">
        <f>R309-W309</f>
        <v>100000</v>
      </c>
      <c r="W309" s="159">
        <f t="shared" si="91"/>
        <v>0</v>
      </c>
      <c r="X309" s="159">
        <f t="shared" si="92"/>
        <v>0</v>
      </c>
      <c r="Y309" s="248"/>
      <c r="Z309" s="160">
        <f t="shared" si="93"/>
        <v>0</v>
      </c>
      <c r="AA309" s="248"/>
      <c r="AB309" s="161">
        <f t="shared" si="94"/>
        <v>0</v>
      </c>
      <c r="AC309" s="249"/>
      <c r="AD309" s="249"/>
      <c r="AE309" s="249"/>
      <c r="AF309" s="249"/>
      <c r="AG309" s="249"/>
      <c r="AH309" s="249"/>
      <c r="AI309" s="249"/>
      <c r="AJ309" s="249"/>
      <c r="AK309" s="249"/>
      <c r="AL309" s="162">
        <f t="shared" si="95"/>
        <v>0</v>
      </c>
      <c r="AM309" s="249"/>
      <c r="AN309" s="167">
        <f t="shared" si="96"/>
        <v>0</v>
      </c>
      <c r="AO309" s="249"/>
      <c r="AP309" s="163">
        <f t="shared" si="97"/>
        <v>0</v>
      </c>
      <c r="AQ309" s="249"/>
      <c r="AR309" s="168">
        <f t="shared" si="98"/>
        <v>0</v>
      </c>
      <c r="AS309" s="249"/>
      <c r="AT309" s="170">
        <f t="shared" si="99"/>
        <v>0</v>
      </c>
      <c r="AU309" s="249"/>
      <c r="AV309" s="166">
        <f t="shared" si="100"/>
        <v>0</v>
      </c>
    </row>
    <row r="310" spans="1:48" s="115" customFormat="1" ht="31.5">
      <c r="A310" s="148" t="s">
        <v>5189</v>
      </c>
      <c r="B310" s="150" t="s">
        <v>5190</v>
      </c>
      <c r="C310" s="150" t="s">
        <v>5191</v>
      </c>
      <c r="D310" s="634" t="s">
        <v>5192</v>
      </c>
      <c r="E310" s="631"/>
      <c r="F310" s="175" t="s">
        <v>260</v>
      </c>
      <c r="G310" s="151" t="s">
        <v>5193</v>
      </c>
      <c r="H310" s="174" t="s">
        <v>211</v>
      </c>
      <c r="I310" s="150" t="s">
        <v>5194</v>
      </c>
      <c r="J310" s="153" t="s">
        <v>5195</v>
      </c>
      <c r="K310" s="151" t="s">
        <v>253</v>
      </c>
      <c r="L310" s="151" t="s">
        <v>5196</v>
      </c>
      <c r="M310" s="151" t="s">
        <v>5197</v>
      </c>
      <c r="N310" s="152" t="s">
        <v>5198</v>
      </c>
      <c r="O310" s="152" t="s">
        <v>5141</v>
      </c>
      <c r="P310" s="176">
        <v>97000</v>
      </c>
      <c r="Q310" s="177">
        <v>96500</v>
      </c>
      <c r="R310" s="176">
        <v>750</v>
      </c>
      <c r="S310" s="156">
        <f t="shared" si="90"/>
        <v>72375000</v>
      </c>
      <c r="T310" s="589"/>
      <c r="U310" s="157">
        <v>750</v>
      </c>
      <c r="V310" s="158">
        <f t="shared" ref="V310:V354" si="112">U310-W310</f>
        <v>750</v>
      </c>
      <c r="W310" s="159">
        <f t="shared" si="91"/>
        <v>0</v>
      </c>
      <c r="X310" s="159">
        <f t="shared" si="92"/>
        <v>0</v>
      </c>
      <c r="Y310" s="160"/>
      <c r="Z310" s="160">
        <f t="shared" si="93"/>
        <v>0</v>
      </c>
      <c r="AA310" s="161"/>
      <c r="AB310" s="161">
        <f t="shared" si="94"/>
        <v>0</v>
      </c>
      <c r="AC310" s="162"/>
      <c r="AD310" s="162">
        <f t="shared" ref="AD310:AD354" si="113">AC310*Q310</f>
        <v>0</v>
      </c>
      <c r="AE310" s="164"/>
      <c r="AF310" s="164">
        <f t="shared" ref="AF310:AF354" si="114">AE310*Q310</f>
        <v>0</v>
      </c>
      <c r="AG310" s="165"/>
      <c r="AH310" s="165">
        <f t="shared" ref="AH310:AH354" si="115">AG310*Q310</f>
        <v>0</v>
      </c>
      <c r="AI310" s="166">
        <v>0</v>
      </c>
      <c r="AJ310" s="166">
        <f t="shared" ref="AJ310:AJ354" si="116">AI310*Q310</f>
        <v>0</v>
      </c>
      <c r="AK310" s="162"/>
      <c r="AL310" s="162">
        <f t="shared" si="95"/>
        <v>0</v>
      </c>
      <c r="AM310" s="167"/>
      <c r="AN310" s="167">
        <f t="shared" si="96"/>
        <v>0</v>
      </c>
      <c r="AO310" s="163"/>
      <c r="AP310" s="163">
        <f t="shared" si="97"/>
        <v>0</v>
      </c>
      <c r="AQ310" s="168"/>
      <c r="AR310" s="168">
        <f t="shared" si="98"/>
        <v>0</v>
      </c>
      <c r="AS310" s="170"/>
      <c r="AT310" s="170">
        <f t="shared" si="99"/>
        <v>0</v>
      </c>
      <c r="AU310" s="166"/>
      <c r="AV310" s="166">
        <f t="shared" si="100"/>
        <v>0</v>
      </c>
    </row>
    <row r="311" spans="1:48" ht="47.25">
      <c r="A311" s="148" t="s">
        <v>5926</v>
      </c>
      <c r="B311" s="149" t="s">
        <v>5927</v>
      </c>
      <c r="C311" s="149" t="s">
        <v>5928</v>
      </c>
      <c r="D311" s="240" t="s">
        <v>5929</v>
      </c>
      <c r="E311" s="590"/>
      <c r="F311" s="203" t="s">
        <v>1664</v>
      </c>
      <c r="G311" s="204" t="s">
        <v>5930</v>
      </c>
      <c r="H311" s="204">
        <v>1</v>
      </c>
      <c r="I311" s="203" t="s">
        <v>5931</v>
      </c>
      <c r="J311" s="205" t="s">
        <v>5932</v>
      </c>
      <c r="K311" s="203" t="s">
        <v>5104</v>
      </c>
      <c r="L311" s="205" t="s">
        <v>5933</v>
      </c>
      <c r="M311" s="205" t="s">
        <v>5934</v>
      </c>
      <c r="N311" s="204" t="s">
        <v>5911</v>
      </c>
      <c r="O311" s="204" t="s">
        <v>15</v>
      </c>
      <c r="P311" s="206">
        <v>325000</v>
      </c>
      <c r="Q311" s="206">
        <v>325000</v>
      </c>
      <c r="R311" s="207">
        <v>200</v>
      </c>
      <c r="S311" s="207">
        <f t="shared" si="90"/>
        <v>65000000</v>
      </c>
      <c r="T311" s="589"/>
      <c r="U311" s="157">
        <v>200</v>
      </c>
      <c r="V311" s="158">
        <f t="shared" si="112"/>
        <v>200</v>
      </c>
      <c r="W311" s="159">
        <f t="shared" si="91"/>
        <v>0</v>
      </c>
      <c r="X311" s="159">
        <f t="shared" si="92"/>
        <v>0</v>
      </c>
      <c r="Y311" s="160"/>
      <c r="Z311" s="160">
        <f t="shared" si="93"/>
        <v>0</v>
      </c>
      <c r="AA311" s="165"/>
      <c r="AB311" s="161">
        <f t="shared" si="94"/>
        <v>0</v>
      </c>
      <c r="AC311" s="162"/>
      <c r="AD311" s="162">
        <f t="shared" si="113"/>
        <v>0</v>
      </c>
      <c r="AE311" s="164"/>
      <c r="AF311" s="164">
        <f t="shared" si="114"/>
        <v>0</v>
      </c>
      <c r="AG311" s="165"/>
      <c r="AH311" s="165">
        <f t="shared" si="115"/>
        <v>0</v>
      </c>
      <c r="AI311" s="166">
        <v>0</v>
      </c>
      <c r="AJ311" s="166">
        <f t="shared" si="116"/>
        <v>0</v>
      </c>
      <c r="AK311" s="162"/>
      <c r="AL311" s="162">
        <f t="shared" si="95"/>
        <v>0</v>
      </c>
      <c r="AM311" s="173"/>
      <c r="AN311" s="167">
        <f t="shared" si="96"/>
        <v>0</v>
      </c>
      <c r="AO311" s="163"/>
      <c r="AP311" s="163">
        <f t="shared" si="97"/>
        <v>0</v>
      </c>
      <c r="AQ311" s="168"/>
      <c r="AR311" s="168">
        <f t="shared" si="98"/>
        <v>0</v>
      </c>
      <c r="AS311" s="170"/>
      <c r="AT311" s="170">
        <f t="shared" si="99"/>
        <v>0</v>
      </c>
      <c r="AU311" s="166"/>
      <c r="AV311" s="166">
        <f t="shared" si="100"/>
        <v>0</v>
      </c>
    </row>
    <row r="312" spans="1:48">
      <c r="A312" s="172" t="s">
        <v>6880</v>
      </c>
      <c r="B312" s="149" t="s">
        <v>5927</v>
      </c>
      <c r="C312" s="149" t="s">
        <v>5928</v>
      </c>
      <c r="D312" s="240" t="s">
        <v>6881</v>
      </c>
      <c r="E312" s="590" t="s">
        <v>12642</v>
      </c>
      <c r="F312" s="203" t="s">
        <v>939</v>
      </c>
      <c r="G312" s="204" t="s">
        <v>6882</v>
      </c>
      <c r="H312" s="204">
        <v>2</v>
      </c>
      <c r="I312" s="203" t="s">
        <v>6883</v>
      </c>
      <c r="J312" s="205" t="s">
        <v>6884</v>
      </c>
      <c r="K312" s="203" t="s">
        <v>253</v>
      </c>
      <c r="L312" s="205" t="s">
        <v>6885</v>
      </c>
      <c r="M312" s="205" t="s">
        <v>6886</v>
      </c>
      <c r="N312" s="204" t="s">
        <v>6658</v>
      </c>
      <c r="O312" s="204" t="s">
        <v>520</v>
      </c>
      <c r="P312" s="206">
        <v>33992</v>
      </c>
      <c r="Q312" s="206">
        <v>30870</v>
      </c>
      <c r="R312" s="207">
        <v>1000</v>
      </c>
      <c r="S312" s="207">
        <f t="shared" si="90"/>
        <v>30870000</v>
      </c>
      <c r="T312" s="589"/>
      <c r="U312" s="157">
        <v>1000</v>
      </c>
      <c r="V312" s="158">
        <f t="shared" si="112"/>
        <v>1000</v>
      </c>
      <c r="W312" s="159">
        <f t="shared" si="91"/>
        <v>0</v>
      </c>
      <c r="X312" s="159">
        <f t="shared" si="92"/>
        <v>0</v>
      </c>
      <c r="Y312" s="160"/>
      <c r="Z312" s="160">
        <f t="shared" si="93"/>
        <v>0</v>
      </c>
      <c r="AA312" s="165"/>
      <c r="AB312" s="161">
        <f t="shared" si="94"/>
        <v>0</v>
      </c>
      <c r="AC312" s="162"/>
      <c r="AD312" s="162">
        <f t="shared" si="113"/>
        <v>0</v>
      </c>
      <c r="AE312" s="163"/>
      <c r="AF312" s="164">
        <f t="shared" si="114"/>
        <v>0</v>
      </c>
      <c r="AG312" s="161"/>
      <c r="AH312" s="165">
        <f t="shared" si="115"/>
        <v>0</v>
      </c>
      <c r="AI312" s="160">
        <v>0</v>
      </c>
      <c r="AJ312" s="166">
        <f t="shared" si="116"/>
        <v>0</v>
      </c>
      <c r="AK312" s="162"/>
      <c r="AL312" s="162">
        <f t="shared" si="95"/>
        <v>0</v>
      </c>
      <c r="AM312" s="173"/>
      <c r="AN312" s="167">
        <f t="shared" si="96"/>
        <v>0</v>
      </c>
      <c r="AO312" s="163"/>
      <c r="AP312" s="163">
        <f t="shared" si="97"/>
        <v>0</v>
      </c>
      <c r="AQ312" s="162"/>
      <c r="AR312" s="168">
        <f t="shared" si="98"/>
        <v>0</v>
      </c>
      <c r="AS312" s="169"/>
      <c r="AT312" s="170">
        <f t="shared" si="99"/>
        <v>0</v>
      </c>
      <c r="AU312" s="160"/>
      <c r="AV312" s="166">
        <f t="shared" si="100"/>
        <v>0</v>
      </c>
    </row>
    <row r="313" spans="1:48" ht="31.5">
      <c r="A313" s="172" t="s">
        <v>7234</v>
      </c>
      <c r="B313" s="149" t="s">
        <v>5927</v>
      </c>
      <c r="C313" s="149" t="s">
        <v>5928</v>
      </c>
      <c r="D313" s="240" t="s">
        <v>7235</v>
      </c>
      <c r="E313" s="590" t="s">
        <v>12642</v>
      </c>
      <c r="F313" s="203" t="s">
        <v>683</v>
      </c>
      <c r="G313" s="204" t="s">
        <v>1792</v>
      </c>
      <c r="H313" s="204">
        <v>3</v>
      </c>
      <c r="I313" s="203" t="s">
        <v>7236</v>
      </c>
      <c r="J313" s="205" t="s">
        <v>7237</v>
      </c>
      <c r="K313" s="203" t="s">
        <v>253</v>
      </c>
      <c r="L313" s="205" t="s">
        <v>7238</v>
      </c>
      <c r="M313" s="205" t="s">
        <v>7239</v>
      </c>
      <c r="N313" s="204" t="s">
        <v>213</v>
      </c>
      <c r="O313" s="204" t="s">
        <v>11</v>
      </c>
      <c r="P313" s="206">
        <v>6930</v>
      </c>
      <c r="Q313" s="206">
        <v>6930</v>
      </c>
      <c r="R313" s="207">
        <v>40000</v>
      </c>
      <c r="S313" s="207">
        <f t="shared" si="90"/>
        <v>277200000</v>
      </c>
      <c r="T313" s="589"/>
      <c r="U313" s="157">
        <v>40000</v>
      </c>
      <c r="V313" s="158">
        <f t="shared" si="112"/>
        <v>40000</v>
      </c>
      <c r="W313" s="159">
        <f t="shared" si="91"/>
        <v>0</v>
      </c>
      <c r="X313" s="159">
        <f t="shared" si="92"/>
        <v>0</v>
      </c>
      <c r="Y313" s="160"/>
      <c r="Z313" s="160">
        <f t="shared" si="93"/>
        <v>0</v>
      </c>
      <c r="AA313" s="165"/>
      <c r="AB313" s="161">
        <f t="shared" si="94"/>
        <v>0</v>
      </c>
      <c r="AC313" s="162"/>
      <c r="AD313" s="162">
        <f t="shared" si="113"/>
        <v>0</v>
      </c>
      <c r="AE313" s="164"/>
      <c r="AF313" s="164">
        <f t="shared" si="114"/>
        <v>0</v>
      </c>
      <c r="AG313" s="165"/>
      <c r="AH313" s="165">
        <f t="shared" si="115"/>
        <v>0</v>
      </c>
      <c r="AI313" s="166">
        <v>0</v>
      </c>
      <c r="AJ313" s="166">
        <f t="shared" si="116"/>
        <v>0</v>
      </c>
      <c r="AK313" s="162"/>
      <c r="AL313" s="162">
        <f t="shared" si="95"/>
        <v>0</v>
      </c>
      <c r="AM313" s="173"/>
      <c r="AN313" s="167">
        <f t="shared" si="96"/>
        <v>0</v>
      </c>
      <c r="AO313" s="163"/>
      <c r="AP313" s="163">
        <f t="shared" si="97"/>
        <v>0</v>
      </c>
      <c r="AQ313" s="168"/>
      <c r="AR313" s="168">
        <f t="shared" si="98"/>
        <v>0</v>
      </c>
      <c r="AS313" s="170"/>
      <c r="AT313" s="170">
        <f t="shared" si="99"/>
        <v>0</v>
      </c>
      <c r="AU313" s="166"/>
      <c r="AV313" s="166">
        <f t="shared" si="100"/>
        <v>0</v>
      </c>
    </row>
    <row r="314" spans="1:48" ht="31.5">
      <c r="A314" s="148" t="s">
        <v>5854</v>
      </c>
      <c r="B314" s="149" t="s">
        <v>5855</v>
      </c>
      <c r="C314" s="149" t="s">
        <v>5856</v>
      </c>
      <c r="D314" s="240" t="s">
        <v>5857</v>
      </c>
      <c r="E314" s="590"/>
      <c r="F314" s="203" t="s">
        <v>1179</v>
      </c>
      <c r="G314" s="204" t="s">
        <v>232</v>
      </c>
      <c r="H314" s="204">
        <v>1</v>
      </c>
      <c r="I314" s="203" t="s">
        <v>5858</v>
      </c>
      <c r="J314" s="205" t="s">
        <v>5859</v>
      </c>
      <c r="K314" s="203" t="s">
        <v>5104</v>
      </c>
      <c r="L314" s="205" t="s">
        <v>5860</v>
      </c>
      <c r="M314" s="205" t="s">
        <v>5861</v>
      </c>
      <c r="N314" s="204" t="s">
        <v>5733</v>
      </c>
      <c r="O314" s="204" t="s">
        <v>11</v>
      </c>
      <c r="P314" s="206">
        <v>25000</v>
      </c>
      <c r="Q314" s="206">
        <v>23500</v>
      </c>
      <c r="R314" s="207">
        <v>10000</v>
      </c>
      <c r="S314" s="207">
        <f t="shared" si="90"/>
        <v>235000000</v>
      </c>
      <c r="T314" s="589" t="s">
        <v>11</v>
      </c>
      <c r="U314" s="157">
        <v>10000</v>
      </c>
      <c r="V314" s="158">
        <f t="shared" si="112"/>
        <v>10000</v>
      </c>
      <c r="W314" s="159">
        <f t="shared" si="91"/>
        <v>0</v>
      </c>
      <c r="X314" s="159">
        <f t="shared" si="92"/>
        <v>0</v>
      </c>
      <c r="Y314" s="160"/>
      <c r="Z314" s="160">
        <f t="shared" si="93"/>
        <v>0</v>
      </c>
      <c r="AA314" s="165"/>
      <c r="AB314" s="161">
        <f t="shared" si="94"/>
        <v>0</v>
      </c>
      <c r="AC314" s="162"/>
      <c r="AD314" s="162">
        <f t="shared" si="113"/>
        <v>0</v>
      </c>
      <c r="AE314" s="164"/>
      <c r="AF314" s="164">
        <f t="shared" si="114"/>
        <v>0</v>
      </c>
      <c r="AG314" s="165"/>
      <c r="AH314" s="165">
        <f t="shared" si="115"/>
        <v>0</v>
      </c>
      <c r="AI314" s="166">
        <v>0</v>
      </c>
      <c r="AJ314" s="166">
        <f t="shared" si="116"/>
        <v>0</v>
      </c>
      <c r="AK314" s="162"/>
      <c r="AL314" s="162">
        <f t="shared" si="95"/>
        <v>0</v>
      </c>
      <c r="AM314" s="173"/>
      <c r="AN314" s="167">
        <f t="shared" si="96"/>
        <v>0</v>
      </c>
      <c r="AO314" s="163"/>
      <c r="AP314" s="163">
        <f t="shared" si="97"/>
        <v>0</v>
      </c>
      <c r="AQ314" s="168"/>
      <c r="AR314" s="168">
        <f t="shared" si="98"/>
        <v>0</v>
      </c>
      <c r="AS314" s="170"/>
      <c r="AT314" s="170">
        <f t="shared" si="99"/>
        <v>0</v>
      </c>
      <c r="AU314" s="166"/>
      <c r="AV314" s="166">
        <f t="shared" si="100"/>
        <v>0</v>
      </c>
    </row>
    <row r="315" spans="1:48" ht="31.5">
      <c r="A315" s="148" t="s">
        <v>5862</v>
      </c>
      <c r="B315" s="149" t="s">
        <v>5855</v>
      </c>
      <c r="C315" s="149" t="s">
        <v>5856</v>
      </c>
      <c r="D315" s="240" t="s">
        <v>5863</v>
      </c>
      <c r="E315" s="590"/>
      <c r="F315" s="203" t="s">
        <v>1179</v>
      </c>
      <c r="G315" s="204" t="s">
        <v>1580</v>
      </c>
      <c r="H315" s="204">
        <v>1</v>
      </c>
      <c r="I315" s="203" t="s">
        <v>5858</v>
      </c>
      <c r="J315" s="205" t="s">
        <v>5859</v>
      </c>
      <c r="K315" s="203" t="s">
        <v>5104</v>
      </c>
      <c r="L315" s="205" t="s">
        <v>5864</v>
      </c>
      <c r="M315" s="205" t="s">
        <v>5861</v>
      </c>
      <c r="N315" s="204" t="s">
        <v>5733</v>
      </c>
      <c r="O315" s="204" t="s">
        <v>11</v>
      </c>
      <c r="P315" s="206">
        <v>16000</v>
      </c>
      <c r="Q315" s="206">
        <v>15500</v>
      </c>
      <c r="R315" s="207">
        <v>5000</v>
      </c>
      <c r="S315" s="207">
        <f t="shared" si="90"/>
        <v>77500000</v>
      </c>
      <c r="T315" s="589" t="s">
        <v>11</v>
      </c>
      <c r="U315" s="157">
        <v>5000</v>
      </c>
      <c r="V315" s="158">
        <f t="shared" si="112"/>
        <v>5000</v>
      </c>
      <c r="W315" s="159">
        <f t="shared" si="91"/>
        <v>0</v>
      </c>
      <c r="X315" s="159">
        <f t="shared" si="92"/>
        <v>0</v>
      </c>
      <c r="Y315" s="160"/>
      <c r="Z315" s="160">
        <f t="shared" si="93"/>
        <v>0</v>
      </c>
      <c r="AA315" s="165"/>
      <c r="AB315" s="161">
        <f t="shared" si="94"/>
        <v>0</v>
      </c>
      <c r="AC315" s="162"/>
      <c r="AD315" s="162">
        <f t="shared" si="113"/>
        <v>0</v>
      </c>
      <c r="AE315" s="164"/>
      <c r="AF315" s="164">
        <f t="shared" si="114"/>
        <v>0</v>
      </c>
      <c r="AG315" s="165"/>
      <c r="AH315" s="165">
        <f t="shared" si="115"/>
        <v>0</v>
      </c>
      <c r="AI315" s="166">
        <v>0</v>
      </c>
      <c r="AJ315" s="166">
        <f t="shared" si="116"/>
        <v>0</v>
      </c>
      <c r="AK315" s="162"/>
      <c r="AL315" s="162">
        <f t="shared" si="95"/>
        <v>0</v>
      </c>
      <c r="AM315" s="173"/>
      <c r="AN315" s="167">
        <f t="shared" si="96"/>
        <v>0</v>
      </c>
      <c r="AO315" s="163"/>
      <c r="AP315" s="163">
        <f t="shared" si="97"/>
        <v>0</v>
      </c>
      <c r="AQ315" s="168"/>
      <c r="AR315" s="168">
        <f t="shared" si="98"/>
        <v>0</v>
      </c>
      <c r="AS315" s="170"/>
      <c r="AT315" s="170">
        <f t="shared" si="99"/>
        <v>0</v>
      </c>
      <c r="AU315" s="166"/>
      <c r="AV315" s="166">
        <f t="shared" si="100"/>
        <v>0</v>
      </c>
    </row>
    <row r="316" spans="1:48">
      <c r="A316" s="148" t="s">
        <v>6103</v>
      </c>
      <c r="B316" s="149" t="s">
        <v>5855</v>
      </c>
      <c r="C316" s="149" t="s">
        <v>5856</v>
      </c>
      <c r="D316" s="240" t="s">
        <v>4262</v>
      </c>
      <c r="E316" s="590" t="s">
        <v>12642</v>
      </c>
      <c r="F316" s="203" t="s">
        <v>555</v>
      </c>
      <c r="G316" s="204" t="s">
        <v>262</v>
      </c>
      <c r="H316" s="204">
        <v>1</v>
      </c>
      <c r="I316" s="203" t="s">
        <v>4263</v>
      </c>
      <c r="J316" s="205" t="s">
        <v>6104</v>
      </c>
      <c r="K316" s="203" t="s">
        <v>5104</v>
      </c>
      <c r="L316" s="205" t="s">
        <v>6105</v>
      </c>
      <c r="M316" s="205" t="s">
        <v>6106</v>
      </c>
      <c r="N316" s="204" t="s">
        <v>5733</v>
      </c>
      <c r="O316" s="204" t="s">
        <v>11</v>
      </c>
      <c r="P316" s="206">
        <v>7753</v>
      </c>
      <c r="Q316" s="206">
        <v>6500</v>
      </c>
      <c r="R316" s="207">
        <v>10000</v>
      </c>
      <c r="S316" s="207">
        <f t="shared" si="90"/>
        <v>65000000</v>
      </c>
      <c r="T316" s="589"/>
      <c r="U316" s="157">
        <v>10000</v>
      </c>
      <c r="V316" s="158">
        <f t="shared" si="112"/>
        <v>0</v>
      </c>
      <c r="W316" s="159">
        <f t="shared" si="91"/>
        <v>10000</v>
      </c>
      <c r="X316" s="159">
        <f t="shared" si="92"/>
        <v>65000000</v>
      </c>
      <c r="Y316" s="160"/>
      <c r="Z316" s="160">
        <f t="shared" si="93"/>
        <v>0</v>
      </c>
      <c r="AA316" s="165"/>
      <c r="AB316" s="161">
        <f t="shared" si="94"/>
        <v>0</v>
      </c>
      <c r="AC316" s="162"/>
      <c r="AD316" s="162">
        <f t="shared" si="113"/>
        <v>0</v>
      </c>
      <c r="AE316" s="164"/>
      <c r="AF316" s="164">
        <f t="shared" si="114"/>
        <v>0</v>
      </c>
      <c r="AG316" s="165"/>
      <c r="AH316" s="165">
        <f t="shared" si="115"/>
        <v>0</v>
      </c>
      <c r="AI316" s="166">
        <v>0</v>
      </c>
      <c r="AJ316" s="166">
        <f t="shared" si="116"/>
        <v>0</v>
      </c>
      <c r="AK316" s="162"/>
      <c r="AL316" s="162">
        <f t="shared" si="95"/>
        <v>0</v>
      </c>
      <c r="AM316" s="173">
        <v>10000</v>
      </c>
      <c r="AN316" s="167">
        <f t="shared" si="96"/>
        <v>65000000</v>
      </c>
      <c r="AO316" s="163"/>
      <c r="AP316" s="163">
        <f t="shared" si="97"/>
        <v>0</v>
      </c>
      <c r="AQ316" s="168"/>
      <c r="AR316" s="168">
        <f t="shared" si="98"/>
        <v>0</v>
      </c>
      <c r="AS316" s="170"/>
      <c r="AT316" s="170">
        <f t="shared" si="99"/>
        <v>0</v>
      </c>
      <c r="AU316" s="166"/>
      <c r="AV316" s="166">
        <f t="shared" si="100"/>
        <v>0</v>
      </c>
    </row>
    <row r="317" spans="1:48" s="131" customFormat="1" ht="31.5">
      <c r="A317" s="148" t="s">
        <v>6715</v>
      </c>
      <c r="B317" s="149" t="s">
        <v>6716</v>
      </c>
      <c r="C317" s="149" t="s">
        <v>6717</v>
      </c>
      <c r="D317" s="240" t="s">
        <v>4305</v>
      </c>
      <c r="E317" s="590" t="s">
        <v>12642</v>
      </c>
      <c r="F317" s="203" t="s">
        <v>555</v>
      </c>
      <c r="G317" s="204" t="s">
        <v>262</v>
      </c>
      <c r="H317" s="204">
        <v>2</v>
      </c>
      <c r="I317" s="203" t="s">
        <v>4304</v>
      </c>
      <c r="J317" s="205" t="s">
        <v>5608</v>
      </c>
      <c r="K317" s="203" t="s">
        <v>5104</v>
      </c>
      <c r="L317" s="205" t="s">
        <v>6718</v>
      </c>
      <c r="M317" s="205" t="s">
        <v>6719</v>
      </c>
      <c r="N317" s="204" t="s">
        <v>213</v>
      </c>
      <c r="O317" s="204" t="s">
        <v>11</v>
      </c>
      <c r="P317" s="206">
        <v>6805</v>
      </c>
      <c r="Q317" s="206">
        <v>2480</v>
      </c>
      <c r="R317" s="207">
        <v>10000</v>
      </c>
      <c r="S317" s="207">
        <f t="shared" si="90"/>
        <v>24800000</v>
      </c>
      <c r="T317" s="589"/>
      <c r="U317" s="157">
        <v>10000</v>
      </c>
      <c r="V317" s="158">
        <f t="shared" si="112"/>
        <v>0</v>
      </c>
      <c r="W317" s="159">
        <f t="shared" si="91"/>
        <v>10000</v>
      </c>
      <c r="X317" s="159">
        <f t="shared" si="92"/>
        <v>24800000</v>
      </c>
      <c r="Y317" s="160"/>
      <c r="Z317" s="160">
        <f t="shared" si="93"/>
        <v>0</v>
      </c>
      <c r="AA317" s="165"/>
      <c r="AB317" s="161">
        <f t="shared" si="94"/>
        <v>0</v>
      </c>
      <c r="AC317" s="162"/>
      <c r="AD317" s="162">
        <f t="shared" si="113"/>
        <v>0</v>
      </c>
      <c r="AE317" s="164"/>
      <c r="AF317" s="164">
        <f t="shared" si="114"/>
        <v>0</v>
      </c>
      <c r="AG317" s="165">
        <v>10000</v>
      </c>
      <c r="AH317" s="165">
        <f t="shared" si="115"/>
        <v>24800000</v>
      </c>
      <c r="AI317" s="166">
        <v>0</v>
      </c>
      <c r="AJ317" s="166">
        <f t="shared" si="116"/>
        <v>0</v>
      </c>
      <c r="AK317" s="162"/>
      <c r="AL317" s="162">
        <f t="shared" si="95"/>
        <v>0</v>
      </c>
      <c r="AM317" s="173"/>
      <c r="AN317" s="167">
        <f t="shared" si="96"/>
        <v>0</v>
      </c>
      <c r="AO317" s="163"/>
      <c r="AP317" s="163">
        <f t="shared" si="97"/>
        <v>0</v>
      </c>
      <c r="AQ317" s="168"/>
      <c r="AR317" s="168">
        <f t="shared" si="98"/>
        <v>0</v>
      </c>
      <c r="AS317" s="170"/>
      <c r="AT317" s="170">
        <f t="shared" si="99"/>
        <v>0</v>
      </c>
      <c r="AU317" s="166"/>
      <c r="AV317" s="166">
        <f t="shared" si="100"/>
        <v>0</v>
      </c>
    </row>
    <row r="318" spans="1:48" s="131" customFormat="1" ht="31.5">
      <c r="A318" s="148" t="s">
        <v>6783</v>
      </c>
      <c r="B318" s="149" t="s">
        <v>6716</v>
      </c>
      <c r="C318" s="149" t="s">
        <v>6717</v>
      </c>
      <c r="D318" s="240" t="s">
        <v>3994</v>
      </c>
      <c r="E318" s="590" t="s">
        <v>12642</v>
      </c>
      <c r="F318" s="203" t="s">
        <v>634</v>
      </c>
      <c r="G318" s="204" t="s">
        <v>235</v>
      </c>
      <c r="H318" s="204">
        <v>2</v>
      </c>
      <c r="I318" s="203" t="s">
        <v>3995</v>
      </c>
      <c r="J318" s="205" t="s">
        <v>6784</v>
      </c>
      <c r="K318" s="203" t="s">
        <v>5104</v>
      </c>
      <c r="L318" s="205" t="s">
        <v>6785</v>
      </c>
      <c r="M318" s="205" t="s">
        <v>6719</v>
      </c>
      <c r="N318" s="204" t="s">
        <v>213</v>
      </c>
      <c r="O318" s="204" t="s">
        <v>11</v>
      </c>
      <c r="P318" s="206">
        <v>5200</v>
      </c>
      <c r="Q318" s="206">
        <v>1590</v>
      </c>
      <c r="R318" s="207">
        <v>30000</v>
      </c>
      <c r="S318" s="207">
        <f t="shared" si="90"/>
        <v>47700000</v>
      </c>
      <c r="T318" s="589"/>
      <c r="U318" s="157">
        <v>30000</v>
      </c>
      <c r="V318" s="158">
        <f t="shared" si="112"/>
        <v>23658</v>
      </c>
      <c r="W318" s="159">
        <f t="shared" si="91"/>
        <v>6342</v>
      </c>
      <c r="X318" s="159">
        <f t="shared" si="92"/>
        <v>10083780</v>
      </c>
      <c r="Y318" s="160"/>
      <c r="Z318" s="160">
        <f t="shared" si="93"/>
        <v>0</v>
      </c>
      <c r="AA318" s="165">
        <v>2100</v>
      </c>
      <c r="AB318" s="161">
        <f t="shared" si="94"/>
        <v>3339000</v>
      </c>
      <c r="AC318" s="162"/>
      <c r="AD318" s="162">
        <f t="shared" si="113"/>
        <v>0</v>
      </c>
      <c r="AE318" s="164"/>
      <c r="AF318" s="164">
        <f t="shared" si="114"/>
        <v>0</v>
      </c>
      <c r="AG318" s="165"/>
      <c r="AH318" s="165">
        <f t="shared" si="115"/>
        <v>0</v>
      </c>
      <c r="AI318" s="166">
        <v>0</v>
      </c>
      <c r="AJ318" s="166">
        <f t="shared" si="116"/>
        <v>0</v>
      </c>
      <c r="AK318" s="162"/>
      <c r="AL318" s="162">
        <f t="shared" si="95"/>
        <v>0</v>
      </c>
      <c r="AM318" s="173"/>
      <c r="AN318" s="167">
        <f t="shared" si="96"/>
        <v>0</v>
      </c>
      <c r="AO318" s="163">
        <v>4242</v>
      </c>
      <c r="AP318" s="163">
        <f t="shared" si="97"/>
        <v>6744780</v>
      </c>
      <c r="AQ318" s="168"/>
      <c r="AR318" s="168">
        <f t="shared" si="98"/>
        <v>0</v>
      </c>
      <c r="AS318" s="170"/>
      <c r="AT318" s="170">
        <f t="shared" si="99"/>
        <v>0</v>
      </c>
      <c r="AU318" s="166"/>
      <c r="AV318" s="166">
        <f t="shared" si="100"/>
        <v>0</v>
      </c>
    </row>
    <row r="319" spans="1:48" s="131" customFormat="1" ht="31.5">
      <c r="A319" s="172" t="s">
        <v>6860</v>
      </c>
      <c r="B319" s="149" t="s">
        <v>6716</v>
      </c>
      <c r="C319" s="149" t="s">
        <v>6717</v>
      </c>
      <c r="D319" s="240" t="s">
        <v>4307</v>
      </c>
      <c r="E319" s="590" t="s">
        <v>12642</v>
      </c>
      <c r="F319" s="203" t="s">
        <v>557</v>
      </c>
      <c r="G319" s="204" t="s">
        <v>272</v>
      </c>
      <c r="H319" s="204">
        <v>2</v>
      </c>
      <c r="I319" s="203" t="s">
        <v>4308</v>
      </c>
      <c r="J319" s="205" t="s">
        <v>6856</v>
      </c>
      <c r="K319" s="203" t="s">
        <v>5104</v>
      </c>
      <c r="L319" s="205" t="s">
        <v>6861</v>
      </c>
      <c r="M319" s="205" t="s">
        <v>6719</v>
      </c>
      <c r="N319" s="204" t="s">
        <v>213</v>
      </c>
      <c r="O319" s="204" t="s">
        <v>11</v>
      </c>
      <c r="P319" s="206">
        <v>930</v>
      </c>
      <c r="Q319" s="206">
        <v>725</v>
      </c>
      <c r="R319" s="207">
        <v>200000</v>
      </c>
      <c r="S319" s="207">
        <f t="shared" si="90"/>
        <v>145000000</v>
      </c>
      <c r="T319" s="589"/>
      <c r="U319" s="157">
        <v>200000</v>
      </c>
      <c r="V319" s="158">
        <f t="shared" si="112"/>
        <v>188500</v>
      </c>
      <c r="W319" s="159">
        <f t="shared" si="91"/>
        <v>11500</v>
      </c>
      <c r="X319" s="159">
        <f t="shared" si="92"/>
        <v>8337500</v>
      </c>
      <c r="Y319" s="160"/>
      <c r="Z319" s="160">
        <f t="shared" si="93"/>
        <v>0</v>
      </c>
      <c r="AA319" s="165"/>
      <c r="AB319" s="161">
        <f t="shared" si="94"/>
        <v>0</v>
      </c>
      <c r="AC319" s="162">
        <v>11500</v>
      </c>
      <c r="AD319" s="162">
        <f t="shared" si="113"/>
        <v>8337500</v>
      </c>
      <c r="AE319" s="164"/>
      <c r="AF319" s="164">
        <f t="shared" si="114"/>
        <v>0</v>
      </c>
      <c r="AG319" s="165"/>
      <c r="AH319" s="165">
        <f t="shared" si="115"/>
        <v>0</v>
      </c>
      <c r="AI319" s="166">
        <v>0</v>
      </c>
      <c r="AJ319" s="166">
        <f t="shared" si="116"/>
        <v>0</v>
      </c>
      <c r="AK319" s="162"/>
      <c r="AL319" s="162">
        <f t="shared" si="95"/>
        <v>0</v>
      </c>
      <c r="AM319" s="173"/>
      <c r="AN319" s="167">
        <f t="shared" si="96"/>
        <v>0</v>
      </c>
      <c r="AO319" s="163"/>
      <c r="AP319" s="163">
        <f t="shared" si="97"/>
        <v>0</v>
      </c>
      <c r="AQ319" s="168"/>
      <c r="AR319" s="168">
        <f t="shared" si="98"/>
        <v>0</v>
      </c>
      <c r="AS319" s="170"/>
      <c r="AT319" s="170">
        <f t="shared" si="99"/>
        <v>0</v>
      </c>
      <c r="AU319" s="166"/>
      <c r="AV319" s="166">
        <f t="shared" si="100"/>
        <v>0</v>
      </c>
    </row>
    <row r="320" spans="1:48" s="131" customFormat="1" ht="31.5">
      <c r="A320" s="148" t="s">
        <v>6862</v>
      </c>
      <c r="B320" s="149" t="s">
        <v>6716</v>
      </c>
      <c r="C320" s="149" t="s">
        <v>6717</v>
      </c>
      <c r="D320" s="240" t="s">
        <v>4309</v>
      </c>
      <c r="E320" s="590" t="s">
        <v>12642</v>
      </c>
      <c r="F320" s="203" t="s">
        <v>557</v>
      </c>
      <c r="G320" s="204" t="s">
        <v>225</v>
      </c>
      <c r="H320" s="204">
        <v>2</v>
      </c>
      <c r="I320" s="203" t="s">
        <v>4310</v>
      </c>
      <c r="J320" s="205" t="s">
        <v>5608</v>
      </c>
      <c r="K320" s="203" t="s">
        <v>5104</v>
      </c>
      <c r="L320" s="205" t="s">
        <v>6863</v>
      </c>
      <c r="M320" s="205" t="s">
        <v>6719</v>
      </c>
      <c r="N320" s="204" t="s">
        <v>213</v>
      </c>
      <c r="O320" s="204" t="s">
        <v>11</v>
      </c>
      <c r="P320" s="206">
        <v>1400</v>
      </c>
      <c r="Q320" s="206">
        <v>1390</v>
      </c>
      <c r="R320" s="207">
        <v>150000</v>
      </c>
      <c r="S320" s="207">
        <f t="shared" si="90"/>
        <v>208500000</v>
      </c>
      <c r="T320" s="589"/>
      <c r="U320" s="157">
        <v>150000</v>
      </c>
      <c r="V320" s="158">
        <f t="shared" si="112"/>
        <v>145860</v>
      </c>
      <c r="W320" s="159">
        <f t="shared" si="91"/>
        <v>4140</v>
      </c>
      <c r="X320" s="159">
        <f t="shared" si="92"/>
        <v>5754600</v>
      </c>
      <c r="Y320" s="160"/>
      <c r="Z320" s="160">
        <f t="shared" si="93"/>
        <v>0</v>
      </c>
      <c r="AA320" s="165">
        <v>4140</v>
      </c>
      <c r="AB320" s="161">
        <f t="shared" si="94"/>
        <v>5754600</v>
      </c>
      <c r="AC320" s="162"/>
      <c r="AD320" s="162">
        <f t="shared" si="113"/>
        <v>0</v>
      </c>
      <c r="AE320" s="164"/>
      <c r="AF320" s="164">
        <f t="shared" si="114"/>
        <v>0</v>
      </c>
      <c r="AG320" s="165"/>
      <c r="AH320" s="165">
        <f t="shared" si="115"/>
        <v>0</v>
      </c>
      <c r="AI320" s="166">
        <v>0</v>
      </c>
      <c r="AJ320" s="166">
        <f t="shared" si="116"/>
        <v>0</v>
      </c>
      <c r="AK320" s="162"/>
      <c r="AL320" s="162">
        <f t="shared" si="95"/>
        <v>0</v>
      </c>
      <c r="AM320" s="173"/>
      <c r="AN320" s="167">
        <f t="shared" si="96"/>
        <v>0</v>
      </c>
      <c r="AO320" s="163"/>
      <c r="AP320" s="163">
        <f t="shared" si="97"/>
        <v>0</v>
      </c>
      <c r="AQ320" s="168"/>
      <c r="AR320" s="168">
        <f t="shared" si="98"/>
        <v>0</v>
      </c>
      <c r="AS320" s="170"/>
      <c r="AT320" s="170">
        <f t="shared" si="99"/>
        <v>0</v>
      </c>
      <c r="AU320" s="166"/>
      <c r="AV320" s="166">
        <f t="shared" si="100"/>
        <v>0</v>
      </c>
    </row>
    <row r="321" spans="1:48" s="131" customFormat="1" ht="31.5">
      <c r="A321" s="148" t="s">
        <v>6864</v>
      </c>
      <c r="B321" s="149" t="s">
        <v>6716</v>
      </c>
      <c r="C321" s="149" t="s">
        <v>6717</v>
      </c>
      <c r="D321" s="240" t="s">
        <v>6865</v>
      </c>
      <c r="E321" s="590"/>
      <c r="F321" s="203" t="s">
        <v>6453</v>
      </c>
      <c r="G321" s="204" t="s">
        <v>238</v>
      </c>
      <c r="H321" s="204">
        <v>2</v>
      </c>
      <c r="I321" s="203" t="s">
        <v>6866</v>
      </c>
      <c r="J321" s="205" t="s">
        <v>5608</v>
      </c>
      <c r="K321" s="203" t="s">
        <v>5104</v>
      </c>
      <c r="L321" s="205" t="s">
        <v>6867</v>
      </c>
      <c r="M321" s="205" t="s">
        <v>6719</v>
      </c>
      <c r="N321" s="204" t="s">
        <v>213</v>
      </c>
      <c r="O321" s="204" t="s">
        <v>11</v>
      </c>
      <c r="P321" s="206">
        <v>5000</v>
      </c>
      <c r="Q321" s="206">
        <v>4400</v>
      </c>
      <c r="R321" s="207">
        <v>10000</v>
      </c>
      <c r="S321" s="207">
        <f t="shared" si="90"/>
        <v>44000000</v>
      </c>
      <c r="T321" s="589"/>
      <c r="U321" s="157">
        <v>10000</v>
      </c>
      <c r="V321" s="158">
        <f t="shared" si="112"/>
        <v>10000</v>
      </c>
      <c r="W321" s="159">
        <f t="shared" si="91"/>
        <v>0</v>
      </c>
      <c r="X321" s="159">
        <f t="shared" si="92"/>
        <v>0</v>
      </c>
      <c r="Y321" s="160"/>
      <c r="Z321" s="160">
        <f t="shared" si="93"/>
        <v>0</v>
      </c>
      <c r="AA321" s="165"/>
      <c r="AB321" s="161">
        <f t="shared" si="94"/>
        <v>0</v>
      </c>
      <c r="AC321" s="162"/>
      <c r="AD321" s="162">
        <f t="shared" si="113"/>
        <v>0</v>
      </c>
      <c r="AE321" s="163"/>
      <c r="AF321" s="164">
        <f t="shared" si="114"/>
        <v>0</v>
      </c>
      <c r="AG321" s="161"/>
      <c r="AH321" s="165">
        <f t="shared" si="115"/>
        <v>0</v>
      </c>
      <c r="AI321" s="160">
        <v>0</v>
      </c>
      <c r="AJ321" s="166">
        <f t="shared" si="116"/>
        <v>0</v>
      </c>
      <c r="AK321" s="162"/>
      <c r="AL321" s="162">
        <f t="shared" si="95"/>
        <v>0</v>
      </c>
      <c r="AM321" s="173"/>
      <c r="AN321" s="167">
        <f t="shared" si="96"/>
        <v>0</v>
      </c>
      <c r="AO321" s="163"/>
      <c r="AP321" s="163">
        <f t="shared" si="97"/>
        <v>0</v>
      </c>
      <c r="AQ321" s="162"/>
      <c r="AR321" s="168">
        <f t="shared" si="98"/>
        <v>0</v>
      </c>
      <c r="AS321" s="169"/>
      <c r="AT321" s="170">
        <f t="shared" si="99"/>
        <v>0</v>
      </c>
      <c r="AU321" s="160"/>
      <c r="AV321" s="166">
        <f t="shared" si="100"/>
        <v>0</v>
      </c>
    </row>
    <row r="322" spans="1:48" s="131" customFormat="1" ht="31.5">
      <c r="A322" s="172" t="s">
        <v>6247</v>
      </c>
      <c r="B322" s="149" t="s">
        <v>6248</v>
      </c>
      <c r="C322" s="149" t="s">
        <v>6249</v>
      </c>
      <c r="D322" s="240" t="s">
        <v>6250</v>
      </c>
      <c r="E322" s="590"/>
      <c r="F322" s="203" t="s">
        <v>634</v>
      </c>
      <c r="G322" s="204" t="s">
        <v>267</v>
      </c>
      <c r="H322" s="204">
        <v>1</v>
      </c>
      <c r="I322" s="203" t="s">
        <v>6251</v>
      </c>
      <c r="J322" s="205" t="s">
        <v>6252</v>
      </c>
      <c r="K322" s="203" t="s">
        <v>253</v>
      </c>
      <c r="L322" s="205" t="s">
        <v>6253</v>
      </c>
      <c r="M322" s="205" t="s">
        <v>6254</v>
      </c>
      <c r="N322" s="204" t="s">
        <v>5943</v>
      </c>
      <c r="O322" s="204" t="s">
        <v>658</v>
      </c>
      <c r="P322" s="206">
        <v>118000</v>
      </c>
      <c r="Q322" s="206">
        <v>79779</v>
      </c>
      <c r="R322" s="207">
        <v>500</v>
      </c>
      <c r="S322" s="207">
        <f t="shared" si="90"/>
        <v>39889500</v>
      </c>
      <c r="T322" s="589"/>
      <c r="U322" s="157">
        <v>500</v>
      </c>
      <c r="V322" s="158">
        <f t="shared" si="112"/>
        <v>500</v>
      </c>
      <c r="W322" s="159">
        <f t="shared" si="91"/>
        <v>0</v>
      </c>
      <c r="X322" s="159">
        <f t="shared" si="92"/>
        <v>0</v>
      </c>
      <c r="Y322" s="160"/>
      <c r="Z322" s="160">
        <f t="shared" si="93"/>
        <v>0</v>
      </c>
      <c r="AA322" s="165"/>
      <c r="AB322" s="161">
        <f t="shared" si="94"/>
        <v>0</v>
      </c>
      <c r="AC322" s="162"/>
      <c r="AD322" s="162">
        <f t="shared" si="113"/>
        <v>0</v>
      </c>
      <c r="AE322" s="164"/>
      <c r="AF322" s="164">
        <f t="shared" si="114"/>
        <v>0</v>
      </c>
      <c r="AG322" s="165"/>
      <c r="AH322" s="165">
        <f t="shared" si="115"/>
        <v>0</v>
      </c>
      <c r="AI322" s="166">
        <v>0</v>
      </c>
      <c r="AJ322" s="166">
        <f t="shared" si="116"/>
        <v>0</v>
      </c>
      <c r="AK322" s="162"/>
      <c r="AL322" s="162">
        <f t="shared" si="95"/>
        <v>0</v>
      </c>
      <c r="AM322" s="173"/>
      <c r="AN322" s="167">
        <f t="shared" si="96"/>
        <v>0</v>
      </c>
      <c r="AO322" s="163"/>
      <c r="AP322" s="163">
        <f t="shared" si="97"/>
        <v>0</v>
      </c>
      <c r="AQ322" s="168"/>
      <c r="AR322" s="168">
        <f t="shared" si="98"/>
        <v>0</v>
      </c>
      <c r="AS322" s="170"/>
      <c r="AT322" s="170">
        <f t="shared" si="99"/>
        <v>0</v>
      </c>
      <c r="AU322" s="166"/>
      <c r="AV322" s="166">
        <f t="shared" si="100"/>
        <v>0</v>
      </c>
    </row>
    <row r="323" spans="1:48" s="131" customFormat="1" ht="31.5">
      <c r="A323" s="172" t="s">
        <v>7622</v>
      </c>
      <c r="B323" s="149" t="s">
        <v>6248</v>
      </c>
      <c r="C323" s="149" t="s">
        <v>6249</v>
      </c>
      <c r="D323" s="240" t="s">
        <v>4246</v>
      </c>
      <c r="E323" s="590"/>
      <c r="F323" s="203" t="s">
        <v>4248</v>
      </c>
      <c r="G323" s="204" t="s">
        <v>4249</v>
      </c>
      <c r="H323" s="204">
        <v>3</v>
      </c>
      <c r="I323" s="203" t="s">
        <v>4247</v>
      </c>
      <c r="J323" s="205" t="s">
        <v>7623</v>
      </c>
      <c r="K323" s="203" t="s">
        <v>5104</v>
      </c>
      <c r="L323" s="205" t="s">
        <v>7624</v>
      </c>
      <c r="M323" s="205" t="s">
        <v>7625</v>
      </c>
      <c r="N323" s="204" t="s">
        <v>6694</v>
      </c>
      <c r="O323" s="204" t="s">
        <v>11</v>
      </c>
      <c r="P323" s="206">
        <v>2300</v>
      </c>
      <c r="Q323" s="206">
        <v>1974</v>
      </c>
      <c r="R323" s="207">
        <v>100000</v>
      </c>
      <c r="S323" s="207">
        <f t="shared" si="90"/>
        <v>197400000</v>
      </c>
      <c r="T323" s="589"/>
      <c r="U323" s="157">
        <v>100000</v>
      </c>
      <c r="V323" s="158">
        <f t="shared" si="112"/>
        <v>62500</v>
      </c>
      <c r="W323" s="159">
        <f t="shared" si="91"/>
        <v>37500</v>
      </c>
      <c r="X323" s="159">
        <f t="shared" si="92"/>
        <v>74025000</v>
      </c>
      <c r="Y323" s="160"/>
      <c r="Z323" s="160">
        <f t="shared" si="93"/>
        <v>0</v>
      </c>
      <c r="AA323" s="165"/>
      <c r="AB323" s="161">
        <f t="shared" si="94"/>
        <v>0</v>
      </c>
      <c r="AC323" s="162"/>
      <c r="AD323" s="162">
        <f t="shared" si="113"/>
        <v>0</v>
      </c>
      <c r="AE323" s="164"/>
      <c r="AF323" s="164">
        <f t="shared" si="114"/>
        <v>0</v>
      </c>
      <c r="AG323" s="165"/>
      <c r="AH323" s="165">
        <f t="shared" si="115"/>
        <v>0</v>
      </c>
      <c r="AI323" s="166">
        <v>0</v>
      </c>
      <c r="AJ323" s="166">
        <f t="shared" si="116"/>
        <v>0</v>
      </c>
      <c r="AK323" s="162"/>
      <c r="AL323" s="162">
        <f t="shared" si="95"/>
        <v>0</v>
      </c>
      <c r="AM323" s="173">
        <v>10000</v>
      </c>
      <c r="AN323" s="167">
        <f t="shared" si="96"/>
        <v>19740000</v>
      </c>
      <c r="AO323" s="163"/>
      <c r="AP323" s="163">
        <f t="shared" si="97"/>
        <v>0</v>
      </c>
      <c r="AQ323" s="168">
        <v>17500</v>
      </c>
      <c r="AR323" s="168">
        <f t="shared" si="98"/>
        <v>34545000</v>
      </c>
      <c r="AS323" s="170">
        <v>10000</v>
      </c>
      <c r="AT323" s="170">
        <f t="shared" si="99"/>
        <v>19740000</v>
      </c>
      <c r="AU323" s="166"/>
      <c r="AV323" s="166">
        <f t="shared" si="100"/>
        <v>0</v>
      </c>
    </row>
    <row r="324" spans="1:48" s="131" customFormat="1" ht="31.5">
      <c r="A324" s="172" t="s">
        <v>7758</v>
      </c>
      <c r="B324" s="149" t="s">
        <v>6248</v>
      </c>
      <c r="C324" s="149" t="s">
        <v>6249</v>
      </c>
      <c r="D324" s="240" t="s">
        <v>4175</v>
      </c>
      <c r="E324" s="590"/>
      <c r="F324" s="203" t="s">
        <v>1247</v>
      </c>
      <c r="G324" s="204" t="s">
        <v>1249</v>
      </c>
      <c r="H324" s="204">
        <v>3</v>
      </c>
      <c r="I324" s="203" t="s">
        <v>4176</v>
      </c>
      <c r="J324" s="205" t="s">
        <v>7759</v>
      </c>
      <c r="K324" s="203" t="s">
        <v>6705</v>
      </c>
      <c r="L324" s="205" t="s">
        <v>7760</v>
      </c>
      <c r="M324" s="205" t="s">
        <v>7761</v>
      </c>
      <c r="N324" s="204" t="s">
        <v>6694</v>
      </c>
      <c r="O324" s="204" t="s">
        <v>11</v>
      </c>
      <c r="P324" s="206">
        <v>8000</v>
      </c>
      <c r="Q324" s="232">
        <v>6800</v>
      </c>
      <c r="R324" s="207">
        <v>20000</v>
      </c>
      <c r="S324" s="207">
        <f t="shared" si="90"/>
        <v>136000000</v>
      </c>
      <c r="T324" s="589"/>
      <c r="U324" s="157">
        <v>20000</v>
      </c>
      <c r="V324" s="158">
        <f t="shared" si="112"/>
        <v>8000</v>
      </c>
      <c r="W324" s="159">
        <f t="shared" si="91"/>
        <v>12000</v>
      </c>
      <c r="X324" s="159">
        <f t="shared" si="92"/>
        <v>81600000</v>
      </c>
      <c r="Y324" s="160"/>
      <c r="Z324" s="160">
        <f t="shared" si="93"/>
        <v>0</v>
      </c>
      <c r="AA324" s="165"/>
      <c r="AB324" s="161">
        <f t="shared" si="94"/>
        <v>0</v>
      </c>
      <c r="AC324" s="162"/>
      <c r="AD324" s="162">
        <f t="shared" si="113"/>
        <v>0</v>
      </c>
      <c r="AE324" s="164"/>
      <c r="AF324" s="164">
        <f t="shared" si="114"/>
        <v>0</v>
      </c>
      <c r="AG324" s="165">
        <v>6000</v>
      </c>
      <c r="AH324" s="165">
        <f t="shared" si="115"/>
        <v>40800000</v>
      </c>
      <c r="AI324" s="166">
        <v>0</v>
      </c>
      <c r="AJ324" s="166">
        <f t="shared" si="116"/>
        <v>0</v>
      </c>
      <c r="AK324" s="162"/>
      <c r="AL324" s="162">
        <f t="shared" si="95"/>
        <v>0</v>
      </c>
      <c r="AM324" s="173"/>
      <c r="AN324" s="167">
        <f t="shared" si="96"/>
        <v>0</v>
      </c>
      <c r="AO324" s="163"/>
      <c r="AP324" s="163">
        <f t="shared" si="97"/>
        <v>0</v>
      </c>
      <c r="AQ324" s="233">
        <v>6000</v>
      </c>
      <c r="AR324" s="168">
        <f t="shared" si="98"/>
        <v>40800000</v>
      </c>
      <c r="AS324" s="170"/>
      <c r="AT324" s="170">
        <f t="shared" si="99"/>
        <v>0</v>
      </c>
      <c r="AU324" s="166"/>
      <c r="AV324" s="166">
        <f t="shared" si="100"/>
        <v>0</v>
      </c>
    </row>
    <row r="325" spans="1:48" s="131" customFormat="1" ht="31.5">
      <c r="A325" s="148" t="s">
        <v>8252</v>
      </c>
      <c r="B325" s="149" t="s">
        <v>6248</v>
      </c>
      <c r="C325" s="149" t="s">
        <v>6249</v>
      </c>
      <c r="D325" s="240" t="s">
        <v>4467</v>
      </c>
      <c r="E325" s="590" t="s">
        <v>12642</v>
      </c>
      <c r="F325" s="203" t="s">
        <v>802</v>
      </c>
      <c r="G325" s="204" t="s">
        <v>225</v>
      </c>
      <c r="H325" s="204">
        <v>4</v>
      </c>
      <c r="I325" s="203" t="s">
        <v>4468</v>
      </c>
      <c r="J325" s="205" t="s">
        <v>8253</v>
      </c>
      <c r="K325" s="203" t="s">
        <v>5104</v>
      </c>
      <c r="L325" s="205" t="s">
        <v>8254</v>
      </c>
      <c r="M325" s="205" t="s">
        <v>8255</v>
      </c>
      <c r="N325" s="204" t="s">
        <v>213</v>
      </c>
      <c r="O325" s="204" t="s">
        <v>16</v>
      </c>
      <c r="P325" s="206">
        <v>11000</v>
      </c>
      <c r="Q325" s="206">
        <v>9620</v>
      </c>
      <c r="R325" s="207">
        <v>30000</v>
      </c>
      <c r="S325" s="207">
        <f t="shared" ref="S325:S388" si="117">R325*Q325</f>
        <v>288600000</v>
      </c>
      <c r="T325" s="589"/>
      <c r="U325" s="157">
        <v>30000</v>
      </c>
      <c r="V325" s="158">
        <f t="shared" si="112"/>
        <v>29760</v>
      </c>
      <c r="W325" s="159">
        <f t="shared" ref="W325:W388" si="118">Y325+AA325+AC325+AE325+AG325+AI325+AK325+AM325+AO325+AQ325+AS325+AU325</f>
        <v>240</v>
      </c>
      <c r="X325" s="159">
        <f t="shared" ref="X325:X388" si="119">W325*Q325</f>
        <v>2308800</v>
      </c>
      <c r="Y325" s="160"/>
      <c r="Z325" s="160">
        <f t="shared" ref="Z325:Z388" si="120">Y325*Q325</f>
        <v>0</v>
      </c>
      <c r="AA325" s="165"/>
      <c r="AB325" s="161">
        <f t="shared" ref="AB325:AB388" si="121">AA325*Q325</f>
        <v>0</v>
      </c>
      <c r="AC325" s="162"/>
      <c r="AD325" s="162">
        <f t="shared" si="113"/>
        <v>0</v>
      </c>
      <c r="AE325" s="164"/>
      <c r="AF325" s="164">
        <f t="shared" si="114"/>
        <v>0</v>
      </c>
      <c r="AG325" s="165"/>
      <c r="AH325" s="165">
        <f t="shared" si="115"/>
        <v>0</v>
      </c>
      <c r="AI325" s="166">
        <v>0</v>
      </c>
      <c r="AJ325" s="166">
        <f t="shared" si="116"/>
        <v>0</v>
      </c>
      <c r="AK325" s="162"/>
      <c r="AL325" s="162">
        <f t="shared" ref="AL325:AL365" si="122">AK325*Q325</f>
        <v>0</v>
      </c>
      <c r="AM325" s="173">
        <v>240</v>
      </c>
      <c r="AN325" s="167">
        <f t="shared" ref="AN325:AN388" si="123">AM325*Q325</f>
        <v>2308800</v>
      </c>
      <c r="AO325" s="163"/>
      <c r="AP325" s="163">
        <f t="shared" ref="AP325:AP388" si="124">AO325*Q325</f>
        <v>0</v>
      </c>
      <c r="AQ325" s="168"/>
      <c r="AR325" s="168">
        <f t="shared" ref="AR325:AR388" si="125">AQ325*Q325</f>
        <v>0</v>
      </c>
      <c r="AS325" s="170"/>
      <c r="AT325" s="170">
        <f t="shared" ref="AT325:AT388" si="126">AS325*Q325</f>
        <v>0</v>
      </c>
      <c r="AU325" s="166"/>
      <c r="AV325" s="166">
        <f t="shared" ref="AV325:AV388" si="127">AU325*Q325</f>
        <v>0</v>
      </c>
    </row>
    <row r="326" spans="1:48" s="131" customFormat="1" ht="31.5">
      <c r="A326" s="172" t="s">
        <v>8437</v>
      </c>
      <c r="B326" s="149" t="s">
        <v>6248</v>
      </c>
      <c r="C326" s="149" t="s">
        <v>6249</v>
      </c>
      <c r="D326" s="240" t="s">
        <v>4250</v>
      </c>
      <c r="E326" s="590"/>
      <c r="F326" s="203" t="s">
        <v>4248</v>
      </c>
      <c r="G326" s="204" t="s">
        <v>4249</v>
      </c>
      <c r="H326" s="204">
        <v>5</v>
      </c>
      <c r="I326" s="203" t="s">
        <v>4247</v>
      </c>
      <c r="J326" s="205" t="s">
        <v>7623</v>
      </c>
      <c r="K326" s="203" t="s">
        <v>5104</v>
      </c>
      <c r="L326" s="205" t="s">
        <v>7624</v>
      </c>
      <c r="M326" s="205" t="s">
        <v>7625</v>
      </c>
      <c r="N326" s="204" t="s">
        <v>6694</v>
      </c>
      <c r="O326" s="204" t="s">
        <v>11</v>
      </c>
      <c r="P326" s="206">
        <v>2300</v>
      </c>
      <c r="Q326" s="206">
        <v>1974</v>
      </c>
      <c r="R326" s="207">
        <v>50000</v>
      </c>
      <c r="S326" s="207">
        <f t="shared" si="117"/>
        <v>98700000</v>
      </c>
      <c r="T326" s="589"/>
      <c r="U326" s="157">
        <v>50000</v>
      </c>
      <c r="V326" s="158">
        <f t="shared" si="112"/>
        <v>27500</v>
      </c>
      <c r="W326" s="159">
        <f t="shared" si="118"/>
        <v>22500</v>
      </c>
      <c r="X326" s="159">
        <f t="shared" si="119"/>
        <v>44415000</v>
      </c>
      <c r="Y326" s="160"/>
      <c r="Z326" s="160">
        <f t="shared" si="120"/>
        <v>0</v>
      </c>
      <c r="AA326" s="165"/>
      <c r="AB326" s="161">
        <f t="shared" si="121"/>
        <v>0</v>
      </c>
      <c r="AC326" s="162"/>
      <c r="AD326" s="162">
        <f t="shared" si="113"/>
        <v>0</v>
      </c>
      <c r="AE326" s="164"/>
      <c r="AF326" s="164">
        <f t="shared" si="114"/>
        <v>0</v>
      </c>
      <c r="AG326" s="165">
        <v>20000</v>
      </c>
      <c r="AH326" s="165">
        <f t="shared" si="115"/>
        <v>39480000</v>
      </c>
      <c r="AI326" s="166">
        <v>0</v>
      </c>
      <c r="AJ326" s="166">
        <f t="shared" si="116"/>
        <v>0</v>
      </c>
      <c r="AK326" s="162"/>
      <c r="AL326" s="162">
        <f t="shared" si="122"/>
        <v>0</v>
      </c>
      <c r="AM326" s="173"/>
      <c r="AN326" s="167">
        <f t="shared" si="123"/>
        <v>0</v>
      </c>
      <c r="AO326" s="163"/>
      <c r="AP326" s="163">
        <f t="shared" si="124"/>
        <v>0</v>
      </c>
      <c r="AQ326" s="168">
        <v>2500</v>
      </c>
      <c r="AR326" s="168">
        <f t="shared" si="125"/>
        <v>4935000</v>
      </c>
      <c r="AS326" s="170"/>
      <c r="AT326" s="170">
        <f t="shared" si="126"/>
        <v>0</v>
      </c>
      <c r="AU326" s="166"/>
      <c r="AV326" s="166">
        <f t="shared" si="127"/>
        <v>0</v>
      </c>
    </row>
    <row r="327" spans="1:48" s="131" customFormat="1" ht="31.5">
      <c r="A327" s="148" t="s">
        <v>5016</v>
      </c>
      <c r="B327" s="149" t="s">
        <v>6177</v>
      </c>
      <c r="C327" s="149" t="s">
        <v>6178</v>
      </c>
      <c r="D327" s="240" t="s">
        <v>4055</v>
      </c>
      <c r="E327" s="590"/>
      <c r="F327" s="203" t="s">
        <v>1220</v>
      </c>
      <c r="G327" s="204" t="s">
        <v>869</v>
      </c>
      <c r="H327" s="204">
        <v>1</v>
      </c>
      <c r="I327" s="203" t="s">
        <v>1814</v>
      </c>
      <c r="J327" s="205" t="s">
        <v>6179</v>
      </c>
      <c r="K327" s="203" t="s">
        <v>5104</v>
      </c>
      <c r="L327" s="205" t="s">
        <v>6180</v>
      </c>
      <c r="M327" s="205" t="s">
        <v>1817</v>
      </c>
      <c r="N327" s="204" t="s">
        <v>6181</v>
      </c>
      <c r="O327" s="204" t="s">
        <v>11</v>
      </c>
      <c r="P327" s="206">
        <v>6000</v>
      </c>
      <c r="Q327" s="206">
        <v>6000</v>
      </c>
      <c r="R327" s="207">
        <v>50000</v>
      </c>
      <c r="S327" s="207">
        <f t="shared" si="117"/>
        <v>300000000</v>
      </c>
      <c r="T327" s="589"/>
      <c r="U327" s="157">
        <v>50000</v>
      </c>
      <c r="V327" s="158">
        <f t="shared" si="112"/>
        <v>50000</v>
      </c>
      <c r="W327" s="159">
        <f t="shared" si="118"/>
        <v>0</v>
      </c>
      <c r="X327" s="159">
        <f t="shared" si="119"/>
        <v>0</v>
      </c>
      <c r="Y327" s="160"/>
      <c r="Z327" s="160">
        <f t="shared" si="120"/>
        <v>0</v>
      </c>
      <c r="AA327" s="165"/>
      <c r="AB327" s="161">
        <f t="shared" si="121"/>
        <v>0</v>
      </c>
      <c r="AC327" s="162"/>
      <c r="AD327" s="162">
        <f t="shared" si="113"/>
        <v>0</v>
      </c>
      <c r="AE327" s="164"/>
      <c r="AF327" s="164">
        <f t="shared" si="114"/>
        <v>0</v>
      </c>
      <c r="AG327" s="165"/>
      <c r="AH327" s="165">
        <f t="shared" si="115"/>
        <v>0</v>
      </c>
      <c r="AI327" s="166">
        <v>0</v>
      </c>
      <c r="AJ327" s="166">
        <f t="shared" si="116"/>
        <v>0</v>
      </c>
      <c r="AK327" s="162"/>
      <c r="AL327" s="162">
        <f t="shared" si="122"/>
        <v>0</v>
      </c>
      <c r="AM327" s="173"/>
      <c r="AN327" s="167">
        <f t="shared" si="123"/>
        <v>0</v>
      </c>
      <c r="AO327" s="163"/>
      <c r="AP327" s="163">
        <f t="shared" si="124"/>
        <v>0</v>
      </c>
      <c r="AQ327" s="168"/>
      <c r="AR327" s="168">
        <f t="shared" si="125"/>
        <v>0</v>
      </c>
      <c r="AS327" s="170"/>
      <c r="AT327" s="170">
        <f t="shared" si="126"/>
        <v>0</v>
      </c>
      <c r="AU327" s="166"/>
      <c r="AV327" s="166">
        <f t="shared" si="127"/>
        <v>0</v>
      </c>
    </row>
    <row r="328" spans="1:48" s="131" customFormat="1" ht="31.5">
      <c r="A328" s="172" t="s">
        <v>6542</v>
      </c>
      <c r="B328" s="149" t="s">
        <v>6177</v>
      </c>
      <c r="C328" s="149" t="s">
        <v>6178</v>
      </c>
      <c r="D328" s="240" t="s">
        <v>6543</v>
      </c>
      <c r="E328" s="590"/>
      <c r="F328" s="203" t="s">
        <v>1179</v>
      </c>
      <c r="G328" s="204" t="s">
        <v>291</v>
      </c>
      <c r="H328" s="204">
        <v>2</v>
      </c>
      <c r="I328" s="203" t="s">
        <v>6544</v>
      </c>
      <c r="J328" s="205" t="s">
        <v>6545</v>
      </c>
      <c r="K328" s="203" t="s">
        <v>5104</v>
      </c>
      <c r="L328" s="205" t="s">
        <v>6546</v>
      </c>
      <c r="M328" s="205" t="s">
        <v>1765</v>
      </c>
      <c r="N328" s="204" t="s">
        <v>5273</v>
      </c>
      <c r="O328" s="204" t="s">
        <v>11</v>
      </c>
      <c r="P328" s="206">
        <v>9500</v>
      </c>
      <c r="Q328" s="206">
        <v>9500</v>
      </c>
      <c r="R328" s="207">
        <v>10000</v>
      </c>
      <c r="S328" s="207">
        <f t="shared" si="117"/>
        <v>95000000</v>
      </c>
      <c r="T328" s="589"/>
      <c r="U328" s="157">
        <v>10000</v>
      </c>
      <c r="V328" s="158">
        <f t="shared" si="112"/>
        <v>10000</v>
      </c>
      <c r="W328" s="159">
        <f t="shared" si="118"/>
        <v>0</v>
      </c>
      <c r="X328" s="159">
        <f t="shared" si="119"/>
        <v>0</v>
      </c>
      <c r="Y328" s="160"/>
      <c r="Z328" s="160">
        <f t="shared" si="120"/>
        <v>0</v>
      </c>
      <c r="AA328" s="165"/>
      <c r="AB328" s="161">
        <f t="shared" si="121"/>
        <v>0</v>
      </c>
      <c r="AC328" s="162"/>
      <c r="AD328" s="162">
        <f t="shared" si="113"/>
        <v>0</v>
      </c>
      <c r="AE328" s="164"/>
      <c r="AF328" s="164">
        <f t="shared" si="114"/>
        <v>0</v>
      </c>
      <c r="AG328" s="165"/>
      <c r="AH328" s="165">
        <f t="shared" si="115"/>
        <v>0</v>
      </c>
      <c r="AI328" s="166">
        <v>0</v>
      </c>
      <c r="AJ328" s="166">
        <f t="shared" si="116"/>
        <v>0</v>
      </c>
      <c r="AK328" s="162"/>
      <c r="AL328" s="162">
        <f t="shared" si="122"/>
        <v>0</v>
      </c>
      <c r="AM328" s="173"/>
      <c r="AN328" s="167">
        <f t="shared" si="123"/>
        <v>0</v>
      </c>
      <c r="AO328" s="163"/>
      <c r="AP328" s="163">
        <f t="shared" si="124"/>
        <v>0</v>
      </c>
      <c r="AQ328" s="168"/>
      <c r="AR328" s="168">
        <f t="shared" si="125"/>
        <v>0</v>
      </c>
      <c r="AS328" s="170"/>
      <c r="AT328" s="170">
        <f t="shared" si="126"/>
        <v>0</v>
      </c>
      <c r="AU328" s="166"/>
      <c r="AV328" s="166">
        <f t="shared" si="127"/>
        <v>0</v>
      </c>
    </row>
    <row r="329" spans="1:48" s="131" customFormat="1" ht="31.5">
      <c r="A329" s="172" t="s">
        <v>6601</v>
      </c>
      <c r="B329" s="149" t="s">
        <v>6177</v>
      </c>
      <c r="C329" s="149" t="s">
        <v>6178</v>
      </c>
      <c r="D329" s="240" t="s">
        <v>6602</v>
      </c>
      <c r="E329" s="590" t="s">
        <v>12643</v>
      </c>
      <c r="F329" s="203" t="s">
        <v>1390</v>
      </c>
      <c r="G329" s="204" t="s">
        <v>3144</v>
      </c>
      <c r="H329" s="204">
        <v>2</v>
      </c>
      <c r="I329" s="203" t="s">
        <v>6603</v>
      </c>
      <c r="J329" s="205" t="s">
        <v>6604</v>
      </c>
      <c r="K329" s="203" t="s">
        <v>5104</v>
      </c>
      <c r="L329" s="205" t="s">
        <v>6605</v>
      </c>
      <c r="M329" s="205" t="s">
        <v>6606</v>
      </c>
      <c r="N329" s="204" t="s">
        <v>213</v>
      </c>
      <c r="O329" s="204" t="s">
        <v>11</v>
      </c>
      <c r="P329" s="206">
        <v>3180</v>
      </c>
      <c r="Q329" s="206">
        <v>3180</v>
      </c>
      <c r="R329" s="207">
        <v>60000</v>
      </c>
      <c r="S329" s="207">
        <f t="shared" si="117"/>
        <v>190800000</v>
      </c>
      <c r="T329" s="589"/>
      <c r="U329" s="157">
        <v>60000</v>
      </c>
      <c r="V329" s="158">
        <f t="shared" si="112"/>
        <v>60000</v>
      </c>
      <c r="W329" s="159">
        <f t="shared" si="118"/>
        <v>0</v>
      </c>
      <c r="X329" s="159">
        <f t="shared" si="119"/>
        <v>0</v>
      </c>
      <c r="Y329" s="160"/>
      <c r="Z329" s="160">
        <f t="shared" si="120"/>
        <v>0</v>
      </c>
      <c r="AA329" s="165"/>
      <c r="AB329" s="161">
        <f t="shared" si="121"/>
        <v>0</v>
      </c>
      <c r="AC329" s="162"/>
      <c r="AD329" s="162">
        <f t="shared" si="113"/>
        <v>0</v>
      </c>
      <c r="AE329" s="164"/>
      <c r="AF329" s="164">
        <f t="shared" si="114"/>
        <v>0</v>
      </c>
      <c r="AG329" s="165"/>
      <c r="AH329" s="165">
        <f t="shared" si="115"/>
        <v>0</v>
      </c>
      <c r="AI329" s="166">
        <v>0</v>
      </c>
      <c r="AJ329" s="166">
        <f t="shared" si="116"/>
        <v>0</v>
      </c>
      <c r="AK329" s="162"/>
      <c r="AL329" s="162">
        <f t="shared" si="122"/>
        <v>0</v>
      </c>
      <c r="AM329" s="173"/>
      <c r="AN329" s="167">
        <f t="shared" si="123"/>
        <v>0</v>
      </c>
      <c r="AO329" s="163"/>
      <c r="AP329" s="163">
        <f t="shared" si="124"/>
        <v>0</v>
      </c>
      <c r="AQ329" s="168"/>
      <c r="AR329" s="168">
        <f t="shared" si="125"/>
        <v>0</v>
      </c>
      <c r="AS329" s="170"/>
      <c r="AT329" s="170">
        <f t="shared" si="126"/>
        <v>0</v>
      </c>
      <c r="AU329" s="166"/>
      <c r="AV329" s="166">
        <f t="shared" si="127"/>
        <v>0</v>
      </c>
    </row>
    <row r="330" spans="1:48" s="131" customFormat="1" ht="31.5">
      <c r="A330" s="148" t="s">
        <v>6725</v>
      </c>
      <c r="B330" s="149" t="s">
        <v>6177</v>
      </c>
      <c r="C330" s="149" t="s">
        <v>6178</v>
      </c>
      <c r="D330" s="240" t="s">
        <v>6726</v>
      </c>
      <c r="E330" s="590" t="s">
        <v>12642</v>
      </c>
      <c r="F330" s="203" t="s">
        <v>645</v>
      </c>
      <c r="G330" s="204" t="s">
        <v>258</v>
      </c>
      <c r="H330" s="204">
        <v>2</v>
      </c>
      <c r="I330" s="203" t="s">
        <v>6727</v>
      </c>
      <c r="J330" s="205" t="s">
        <v>6604</v>
      </c>
      <c r="K330" s="203" t="s">
        <v>5104</v>
      </c>
      <c r="L330" s="205" t="s">
        <v>6728</v>
      </c>
      <c r="M330" s="205" t="s">
        <v>6606</v>
      </c>
      <c r="N330" s="204" t="s">
        <v>213</v>
      </c>
      <c r="O330" s="204" t="s">
        <v>11</v>
      </c>
      <c r="P330" s="206">
        <v>4200</v>
      </c>
      <c r="Q330" s="206">
        <v>3100</v>
      </c>
      <c r="R330" s="207">
        <v>50000</v>
      </c>
      <c r="S330" s="207">
        <f t="shared" si="117"/>
        <v>155000000</v>
      </c>
      <c r="T330" s="589"/>
      <c r="U330" s="157">
        <v>50000</v>
      </c>
      <c r="V330" s="158">
        <f t="shared" si="112"/>
        <v>50000</v>
      </c>
      <c r="W330" s="159">
        <f t="shared" si="118"/>
        <v>0</v>
      </c>
      <c r="X330" s="159">
        <f t="shared" si="119"/>
        <v>0</v>
      </c>
      <c r="Y330" s="160"/>
      <c r="Z330" s="160">
        <f t="shared" si="120"/>
        <v>0</v>
      </c>
      <c r="AA330" s="165"/>
      <c r="AB330" s="161">
        <f t="shared" si="121"/>
        <v>0</v>
      </c>
      <c r="AC330" s="162"/>
      <c r="AD330" s="162">
        <f t="shared" si="113"/>
        <v>0</v>
      </c>
      <c r="AE330" s="164"/>
      <c r="AF330" s="164">
        <f t="shared" si="114"/>
        <v>0</v>
      </c>
      <c r="AG330" s="165"/>
      <c r="AH330" s="165">
        <f t="shared" si="115"/>
        <v>0</v>
      </c>
      <c r="AI330" s="166">
        <v>0</v>
      </c>
      <c r="AJ330" s="166">
        <f t="shared" si="116"/>
        <v>0</v>
      </c>
      <c r="AK330" s="162"/>
      <c r="AL330" s="162">
        <f t="shared" si="122"/>
        <v>0</v>
      </c>
      <c r="AM330" s="173"/>
      <c r="AN330" s="167">
        <f t="shared" si="123"/>
        <v>0</v>
      </c>
      <c r="AO330" s="163"/>
      <c r="AP330" s="163">
        <f t="shared" si="124"/>
        <v>0</v>
      </c>
      <c r="AQ330" s="168"/>
      <c r="AR330" s="168">
        <f t="shared" si="125"/>
        <v>0</v>
      </c>
      <c r="AS330" s="170"/>
      <c r="AT330" s="170">
        <f t="shared" si="126"/>
        <v>0</v>
      </c>
      <c r="AU330" s="166"/>
      <c r="AV330" s="166">
        <f t="shared" si="127"/>
        <v>0</v>
      </c>
    </row>
    <row r="331" spans="1:48" s="131" customFormat="1" ht="31.5">
      <c r="A331" s="148" t="s">
        <v>6871</v>
      </c>
      <c r="B331" s="149" t="s">
        <v>6177</v>
      </c>
      <c r="C331" s="149" t="s">
        <v>6178</v>
      </c>
      <c r="D331" s="240" t="s">
        <v>6872</v>
      </c>
      <c r="E331" s="590"/>
      <c r="F331" s="203" t="s">
        <v>6873</v>
      </c>
      <c r="G331" s="204" t="s">
        <v>6874</v>
      </c>
      <c r="H331" s="204">
        <v>2</v>
      </c>
      <c r="I331" s="203" t="s">
        <v>6875</v>
      </c>
      <c r="J331" s="205" t="s">
        <v>6876</v>
      </c>
      <c r="K331" s="203" t="s">
        <v>253</v>
      </c>
      <c r="L331" s="205" t="s">
        <v>6877</v>
      </c>
      <c r="M331" s="205" t="s">
        <v>6878</v>
      </c>
      <c r="N331" s="204" t="s">
        <v>6879</v>
      </c>
      <c r="O331" s="204" t="s">
        <v>658</v>
      </c>
      <c r="P331" s="206">
        <v>150000</v>
      </c>
      <c r="Q331" s="206">
        <v>150000</v>
      </c>
      <c r="R331" s="207">
        <v>1000</v>
      </c>
      <c r="S331" s="207">
        <f t="shared" si="117"/>
        <v>150000000</v>
      </c>
      <c r="T331" s="589" t="s">
        <v>658</v>
      </c>
      <c r="U331" s="157">
        <v>1000</v>
      </c>
      <c r="V331" s="158">
        <f t="shared" si="112"/>
        <v>1000</v>
      </c>
      <c r="W331" s="159">
        <f t="shared" si="118"/>
        <v>0</v>
      </c>
      <c r="X331" s="159">
        <f t="shared" si="119"/>
        <v>0</v>
      </c>
      <c r="Y331" s="160"/>
      <c r="Z331" s="160">
        <f t="shared" si="120"/>
        <v>0</v>
      </c>
      <c r="AA331" s="165"/>
      <c r="AB331" s="161">
        <f t="shared" si="121"/>
        <v>0</v>
      </c>
      <c r="AC331" s="162"/>
      <c r="AD331" s="162">
        <f t="shared" si="113"/>
        <v>0</v>
      </c>
      <c r="AE331" s="164"/>
      <c r="AF331" s="164">
        <f t="shared" si="114"/>
        <v>0</v>
      </c>
      <c r="AG331" s="165"/>
      <c r="AH331" s="165">
        <f t="shared" si="115"/>
        <v>0</v>
      </c>
      <c r="AI331" s="166">
        <v>0</v>
      </c>
      <c r="AJ331" s="166">
        <f t="shared" si="116"/>
        <v>0</v>
      </c>
      <c r="AK331" s="162"/>
      <c r="AL331" s="162">
        <f t="shared" si="122"/>
        <v>0</v>
      </c>
      <c r="AM331" s="173"/>
      <c r="AN331" s="167">
        <f t="shared" si="123"/>
        <v>0</v>
      </c>
      <c r="AO331" s="163"/>
      <c r="AP331" s="163">
        <f t="shared" si="124"/>
        <v>0</v>
      </c>
      <c r="AQ331" s="168"/>
      <c r="AR331" s="168">
        <f t="shared" si="125"/>
        <v>0</v>
      </c>
      <c r="AS331" s="170"/>
      <c r="AT331" s="170">
        <f t="shared" si="126"/>
        <v>0</v>
      </c>
      <c r="AU331" s="166"/>
      <c r="AV331" s="166">
        <f t="shared" si="127"/>
        <v>0</v>
      </c>
    </row>
    <row r="332" spans="1:48" s="131" customFormat="1" ht="31.5">
      <c r="A332" s="148" t="s">
        <v>7384</v>
      </c>
      <c r="B332" s="149" t="s">
        <v>6177</v>
      </c>
      <c r="C332" s="149" t="s">
        <v>6178</v>
      </c>
      <c r="D332" s="240" t="s">
        <v>7385</v>
      </c>
      <c r="E332" s="590"/>
      <c r="F332" s="203" t="s">
        <v>1664</v>
      </c>
      <c r="G332" s="204" t="s">
        <v>7386</v>
      </c>
      <c r="H332" s="204">
        <v>3</v>
      </c>
      <c r="I332" s="203" t="s">
        <v>7387</v>
      </c>
      <c r="J332" s="205" t="s">
        <v>7388</v>
      </c>
      <c r="K332" s="203" t="s">
        <v>253</v>
      </c>
      <c r="L332" s="205" t="s">
        <v>7389</v>
      </c>
      <c r="M332" s="205" t="s">
        <v>7390</v>
      </c>
      <c r="N332" s="204" t="s">
        <v>213</v>
      </c>
      <c r="O332" s="204" t="s">
        <v>15</v>
      </c>
      <c r="P332" s="206">
        <v>250000</v>
      </c>
      <c r="Q332" s="206">
        <v>235000</v>
      </c>
      <c r="R332" s="207">
        <v>200</v>
      </c>
      <c r="S332" s="207">
        <f t="shared" si="117"/>
        <v>47000000</v>
      </c>
      <c r="T332" s="589" t="s">
        <v>15</v>
      </c>
      <c r="U332" s="157">
        <v>200</v>
      </c>
      <c r="V332" s="158">
        <f t="shared" si="112"/>
        <v>200</v>
      </c>
      <c r="W332" s="159">
        <f t="shared" si="118"/>
        <v>0</v>
      </c>
      <c r="X332" s="159">
        <f t="shared" si="119"/>
        <v>0</v>
      </c>
      <c r="Y332" s="160"/>
      <c r="Z332" s="160">
        <f t="shared" si="120"/>
        <v>0</v>
      </c>
      <c r="AA332" s="165"/>
      <c r="AB332" s="161">
        <f t="shared" si="121"/>
        <v>0</v>
      </c>
      <c r="AC332" s="162"/>
      <c r="AD332" s="162">
        <f t="shared" si="113"/>
        <v>0</v>
      </c>
      <c r="AE332" s="164"/>
      <c r="AF332" s="164">
        <f t="shared" si="114"/>
        <v>0</v>
      </c>
      <c r="AG332" s="165"/>
      <c r="AH332" s="165">
        <f t="shared" si="115"/>
        <v>0</v>
      </c>
      <c r="AI332" s="166">
        <v>0</v>
      </c>
      <c r="AJ332" s="166">
        <f t="shared" si="116"/>
        <v>0</v>
      </c>
      <c r="AK332" s="162"/>
      <c r="AL332" s="162">
        <f t="shared" si="122"/>
        <v>0</v>
      </c>
      <c r="AM332" s="173"/>
      <c r="AN332" s="167">
        <f t="shared" si="123"/>
        <v>0</v>
      </c>
      <c r="AO332" s="163"/>
      <c r="AP332" s="163">
        <f t="shared" si="124"/>
        <v>0</v>
      </c>
      <c r="AQ332" s="168"/>
      <c r="AR332" s="168">
        <f t="shared" si="125"/>
        <v>0</v>
      </c>
      <c r="AS332" s="170"/>
      <c r="AT332" s="170">
        <f t="shared" si="126"/>
        <v>0</v>
      </c>
      <c r="AU332" s="166"/>
      <c r="AV332" s="166">
        <f t="shared" si="127"/>
        <v>0</v>
      </c>
    </row>
    <row r="333" spans="1:48" s="131" customFormat="1" ht="31.5">
      <c r="A333" s="210" t="s">
        <v>4352</v>
      </c>
      <c r="B333" s="211" t="s">
        <v>8106</v>
      </c>
      <c r="C333" s="149" t="s">
        <v>8107</v>
      </c>
      <c r="D333" s="606" t="s">
        <v>3770</v>
      </c>
      <c r="E333" s="590" t="s">
        <v>12642</v>
      </c>
      <c r="F333" s="213" t="s">
        <v>583</v>
      </c>
      <c r="G333" s="214" t="s">
        <v>390</v>
      </c>
      <c r="H333" s="204">
        <v>3</v>
      </c>
      <c r="I333" s="213" t="s">
        <v>8108</v>
      </c>
      <c r="J333" s="205" t="s">
        <v>8109</v>
      </c>
      <c r="K333" s="203" t="s">
        <v>5104</v>
      </c>
      <c r="L333" s="205" t="s">
        <v>8110</v>
      </c>
      <c r="M333" s="205" t="s">
        <v>8111</v>
      </c>
      <c r="N333" s="214" t="s">
        <v>213</v>
      </c>
      <c r="O333" s="214" t="s">
        <v>11</v>
      </c>
      <c r="P333" s="206">
        <v>3000</v>
      </c>
      <c r="Q333" s="215">
        <v>260</v>
      </c>
      <c r="R333" s="216">
        <v>20000</v>
      </c>
      <c r="S333" s="216">
        <f t="shared" si="117"/>
        <v>5200000</v>
      </c>
      <c r="T333" s="589"/>
      <c r="U333" s="217">
        <v>20000</v>
      </c>
      <c r="V333" s="218">
        <f t="shared" si="112"/>
        <v>20000</v>
      </c>
      <c r="W333" s="159">
        <f t="shared" si="118"/>
        <v>0</v>
      </c>
      <c r="X333" s="159">
        <f t="shared" si="119"/>
        <v>0</v>
      </c>
      <c r="Y333" s="219"/>
      <c r="Z333" s="160">
        <f t="shared" si="120"/>
        <v>0</v>
      </c>
      <c r="AA333" s="216"/>
      <c r="AB333" s="161">
        <f t="shared" si="121"/>
        <v>0</v>
      </c>
      <c r="AC333" s="219"/>
      <c r="AD333" s="219">
        <f t="shared" si="113"/>
        <v>0</v>
      </c>
      <c r="AE333" s="216"/>
      <c r="AF333" s="216">
        <f t="shared" si="114"/>
        <v>0</v>
      </c>
      <c r="AG333" s="216"/>
      <c r="AH333" s="216">
        <f t="shared" si="115"/>
        <v>0</v>
      </c>
      <c r="AI333" s="216">
        <v>0</v>
      </c>
      <c r="AJ333" s="216">
        <f t="shared" si="116"/>
        <v>0</v>
      </c>
      <c r="AK333" s="219"/>
      <c r="AL333" s="219">
        <f t="shared" si="122"/>
        <v>0</v>
      </c>
      <c r="AM333" s="216"/>
      <c r="AN333" s="167">
        <f t="shared" si="123"/>
        <v>0</v>
      </c>
      <c r="AO333" s="219"/>
      <c r="AP333" s="163">
        <f t="shared" si="124"/>
        <v>0</v>
      </c>
      <c r="AQ333" s="216"/>
      <c r="AR333" s="168">
        <f t="shared" si="125"/>
        <v>0</v>
      </c>
      <c r="AS333" s="216"/>
      <c r="AT333" s="170">
        <f t="shared" si="126"/>
        <v>0</v>
      </c>
      <c r="AU333" s="216"/>
      <c r="AV333" s="166">
        <f t="shared" si="127"/>
        <v>0</v>
      </c>
    </row>
    <row r="334" spans="1:48" s="131" customFormat="1">
      <c r="A334" s="172" t="s">
        <v>6096</v>
      </c>
      <c r="B334" s="149" t="s">
        <v>6097</v>
      </c>
      <c r="C334" s="149" t="s">
        <v>6098</v>
      </c>
      <c r="D334" s="240" t="s">
        <v>3907</v>
      </c>
      <c r="E334" s="590"/>
      <c r="F334" s="203" t="s">
        <v>1481</v>
      </c>
      <c r="G334" s="204" t="s">
        <v>1690</v>
      </c>
      <c r="H334" s="204">
        <v>1</v>
      </c>
      <c r="I334" s="203" t="s">
        <v>3908</v>
      </c>
      <c r="J334" s="205" t="s">
        <v>6099</v>
      </c>
      <c r="K334" s="203" t="s">
        <v>5104</v>
      </c>
      <c r="L334" s="205" t="s">
        <v>1691</v>
      </c>
      <c r="M334" s="205" t="s">
        <v>854</v>
      </c>
      <c r="N334" s="204" t="s">
        <v>5222</v>
      </c>
      <c r="O334" s="204" t="s">
        <v>11</v>
      </c>
      <c r="P334" s="206">
        <v>4400</v>
      </c>
      <c r="Q334" s="206">
        <v>3450</v>
      </c>
      <c r="R334" s="207">
        <v>60000</v>
      </c>
      <c r="S334" s="207">
        <f t="shared" si="117"/>
        <v>207000000</v>
      </c>
      <c r="T334" s="589"/>
      <c r="U334" s="157">
        <v>60000</v>
      </c>
      <c r="V334" s="158">
        <f t="shared" si="112"/>
        <v>45030</v>
      </c>
      <c r="W334" s="159">
        <f t="shared" si="118"/>
        <v>14970</v>
      </c>
      <c r="X334" s="159">
        <f t="shared" si="119"/>
        <v>51646500</v>
      </c>
      <c r="Y334" s="160"/>
      <c r="Z334" s="160">
        <f t="shared" si="120"/>
        <v>0</v>
      </c>
      <c r="AA334" s="165">
        <v>9990</v>
      </c>
      <c r="AB334" s="161">
        <f t="shared" si="121"/>
        <v>34465500</v>
      </c>
      <c r="AC334" s="162"/>
      <c r="AD334" s="162">
        <f t="shared" si="113"/>
        <v>0</v>
      </c>
      <c r="AE334" s="164"/>
      <c r="AF334" s="164">
        <f t="shared" si="114"/>
        <v>0</v>
      </c>
      <c r="AG334" s="165"/>
      <c r="AH334" s="165">
        <f t="shared" si="115"/>
        <v>0</v>
      </c>
      <c r="AI334" s="166">
        <v>0</v>
      </c>
      <c r="AJ334" s="166">
        <f t="shared" si="116"/>
        <v>0</v>
      </c>
      <c r="AK334" s="162"/>
      <c r="AL334" s="162">
        <f t="shared" si="122"/>
        <v>0</v>
      </c>
      <c r="AM334" s="173"/>
      <c r="AN334" s="167">
        <f t="shared" si="123"/>
        <v>0</v>
      </c>
      <c r="AO334" s="163"/>
      <c r="AP334" s="163">
        <f t="shared" si="124"/>
        <v>0</v>
      </c>
      <c r="AQ334" s="168"/>
      <c r="AR334" s="168">
        <f t="shared" si="125"/>
        <v>0</v>
      </c>
      <c r="AS334" s="170">
        <v>4980</v>
      </c>
      <c r="AT334" s="170">
        <f t="shared" si="126"/>
        <v>17181000</v>
      </c>
      <c r="AU334" s="166"/>
      <c r="AV334" s="166">
        <f t="shared" si="127"/>
        <v>0</v>
      </c>
    </row>
    <row r="335" spans="1:48" s="131" customFormat="1">
      <c r="A335" s="148" t="s">
        <v>8243</v>
      </c>
      <c r="B335" s="149" t="s">
        <v>6097</v>
      </c>
      <c r="C335" s="149" t="s">
        <v>6098</v>
      </c>
      <c r="D335" s="240" t="s">
        <v>8244</v>
      </c>
      <c r="E335" s="590"/>
      <c r="F335" s="203" t="s">
        <v>8245</v>
      </c>
      <c r="G335" s="204" t="s">
        <v>248</v>
      </c>
      <c r="H335" s="204">
        <v>3</v>
      </c>
      <c r="I335" s="203" t="s">
        <v>8246</v>
      </c>
      <c r="J335" s="205" t="s">
        <v>6099</v>
      </c>
      <c r="K335" s="203" t="s">
        <v>5104</v>
      </c>
      <c r="L335" s="205" t="s">
        <v>8247</v>
      </c>
      <c r="M335" s="205" t="s">
        <v>8248</v>
      </c>
      <c r="N335" s="204" t="s">
        <v>213</v>
      </c>
      <c r="O335" s="204" t="s">
        <v>11</v>
      </c>
      <c r="P335" s="206">
        <v>2500</v>
      </c>
      <c r="Q335" s="206">
        <v>2050</v>
      </c>
      <c r="R335" s="207">
        <v>10000</v>
      </c>
      <c r="S335" s="207">
        <f t="shared" si="117"/>
        <v>20500000</v>
      </c>
      <c r="T335" s="589"/>
      <c r="U335" s="157">
        <v>10000</v>
      </c>
      <c r="V335" s="158">
        <f t="shared" si="112"/>
        <v>10000</v>
      </c>
      <c r="W335" s="159">
        <f t="shared" si="118"/>
        <v>0</v>
      </c>
      <c r="X335" s="159">
        <f t="shared" si="119"/>
        <v>0</v>
      </c>
      <c r="Y335" s="160"/>
      <c r="Z335" s="160">
        <f t="shared" si="120"/>
        <v>0</v>
      </c>
      <c r="AA335" s="165"/>
      <c r="AB335" s="161">
        <f t="shared" si="121"/>
        <v>0</v>
      </c>
      <c r="AC335" s="162"/>
      <c r="AD335" s="162">
        <f t="shared" si="113"/>
        <v>0</v>
      </c>
      <c r="AE335" s="164"/>
      <c r="AF335" s="164">
        <f t="shared" si="114"/>
        <v>0</v>
      </c>
      <c r="AG335" s="165"/>
      <c r="AH335" s="165">
        <f t="shared" si="115"/>
        <v>0</v>
      </c>
      <c r="AI335" s="166">
        <v>0</v>
      </c>
      <c r="AJ335" s="166">
        <f t="shared" si="116"/>
        <v>0</v>
      </c>
      <c r="AK335" s="162"/>
      <c r="AL335" s="162">
        <f t="shared" si="122"/>
        <v>0</v>
      </c>
      <c r="AM335" s="173"/>
      <c r="AN335" s="167">
        <f t="shared" si="123"/>
        <v>0</v>
      </c>
      <c r="AO335" s="163"/>
      <c r="AP335" s="163">
        <f t="shared" si="124"/>
        <v>0</v>
      </c>
      <c r="AQ335" s="168"/>
      <c r="AR335" s="168">
        <f t="shared" si="125"/>
        <v>0</v>
      </c>
      <c r="AS335" s="170"/>
      <c r="AT335" s="170">
        <f t="shared" si="126"/>
        <v>0</v>
      </c>
      <c r="AU335" s="166"/>
      <c r="AV335" s="166">
        <f t="shared" si="127"/>
        <v>0</v>
      </c>
    </row>
    <row r="336" spans="1:48" s="131" customFormat="1">
      <c r="A336" s="172" t="s">
        <v>7408</v>
      </c>
      <c r="B336" s="149" t="s">
        <v>7409</v>
      </c>
      <c r="C336" s="149" t="s">
        <v>7410</v>
      </c>
      <c r="D336" s="240" t="s">
        <v>4238</v>
      </c>
      <c r="E336" s="590" t="s">
        <v>12642</v>
      </c>
      <c r="F336" s="203" t="s">
        <v>639</v>
      </c>
      <c r="G336" s="204" t="s">
        <v>2435</v>
      </c>
      <c r="H336" s="204">
        <v>3</v>
      </c>
      <c r="I336" s="203" t="s">
        <v>4239</v>
      </c>
      <c r="J336" s="205" t="s">
        <v>7411</v>
      </c>
      <c r="K336" s="203" t="s">
        <v>253</v>
      </c>
      <c r="L336" s="205" t="s">
        <v>7412</v>
      </c>
      <c r="M336" s="205" t="s">
        <v>7413</v>
      </c>
      <c r="N336" s="204" t="s">
        <v>213</v>
      </c>
      <c r="O336" s="204" t="s">
        <v>4240</v>
      </c>
      <c r="P336" s="206">
        <v>13000</v>
      </c>
      <c r="Q336" s="206">
        <v>4095</v>
      </c>
      <c r="R336" s="207">
        <v>2000</v>
      </c>
      <c r="S336" s="207">
        <f t="shared" si="117"/>
        <v>8190000</v>
      </c>
      <c r="T336" s="589"/>
      <c r="U336" s="157">
        <v>2000</v>
      </c>
      <c r="V336" s="158">
        <f t="shared" si="112"/>
        <v>1870</v>
      </c>
      <c r="W336" s="159">
        <f t="shared" si="118"/>
        <v>130</v>
      </c>
      <c r="X336" s="159">
        <f t="shared" si="119"/>
        <v>532350</v>
      </c>
      <c r="Y336" s="160"/>
      <c r="Z336" s="160">
        <f t="shared" si="120"/>
        <v>0</v>
      </c>
      <c r="AA336" s="165">
        <v>40</v>
      </c>
      <c r="AB336" s="161">
        <f t="shared" si="121"/>
        <v>163800</v>
      </c>
      <c r="AC336" s="162"/>
      <c r="AD336" s="162">
        <f t="shared" si="113"/>
        <v>0</v>
      </c>
      <c r="AE336" s="164"/>
      <c r="AF336" s="164">
        <f t="shared" si="114"/>
        <v>0</v>
      </c>
      <c r="AG336" s="165"/>
      <c r="AH336" s="165">
        <f t="shared" si="115"/>
        <v>0</v>
      </c>
      <c r="AI336" s="166">
        <v>0</v>
      </c>
      <c r="AJ336" s="166">
        <f t="shared" si="116"/>
        <v>0</v>
      </c>
      <c r="AK336" s="162"/>
      <c r="AL336" s="162">
        <f t="shared" si="122"/>
        <v>0</v>
      </c>
      <c r="AM336" s="173"/>
      <c r="AN336" s="167">
        <f t="shared" si="123"/>
        <v>0</v>
      </c>
      <c r="AO336" s="163"/>
      <c r="AP336" s="163">
        <f t="shared" si="124"/>
        <v>0</v>
      </c>
      <c r="AQ336" s="168"/>
      <c r="AR336" s="168">
        <f t="shared" si="125"/>
        <v>0</v>
      </c>
      <c r="AS336" s="170">
        <v>90</v>
      </c>
      <c r="AT336" s="170">
        <f t="shared" si="126"/>
        <v>368550</v>
      </c>
      <c r="AU336" s="166"/>
      <c r="AV336" s="166">
        <f t="shared" si="127"/>
        <v>0</v>
      </c>
    </row>
    <row r="337" spans="1:48" s="131" customFormat="1">
      <c r="A337" s="172" t="s">
        <v>7454</v>
      </c>
      <c r="B337" s="149" t="s">
        <v>7409</v>
      </c>
      <c r="C337" s="149" t="s">
        <v>7410</v>
      </c>
      <c r="D337" s="240" t="s">
        <v>4518</v>
      </c>
      <c r="E337" s="590" t="s">
        <v>12642</v>
      </c>
      <c r="F337" s="203" t="s">
        <v>1140</v>
      </c>
      <c r="G337" s="204" t="s">
        <v>4520</v>
      </c>
      <c r="H337" s="204">
        <v>3</v>
      </c>
      <c r="I337" s="203" t="s">
        <v>4519</v>
      </c>
      <c r="J337" s="205" t="s">
        <v>7455</v>
      </c>
      <c r="K337" s="203" t="s">
        <v>253</v>
      </c>
      <c r="L337" s="205" t="s">
        <v>7456</v>
      </c>
      <c r="M337" s="205" t="s">
        <v>7413</v>
      </c>
      <c r="N337" s="204" t="s">
        <v>213</v>
      </c>
      <c r="O337" s="204" t="s">
        <v>4240</v>
      </c>
      <c r="P337" s="206">
        <v>11000</v>
      </c>
      <c r="Q337" s="206">
        <v>6500</v>
      </c>
      <c r="R337" s="207">
        <v>1000</v>
      </c>
      <c r="S337" s="207">
        <f t="shared" si="117"/>
        <v>6500000</v>
      </c>
      <c r="T337" s="589"/>
      <c r="U337" s="157">
        <v>1000</v>
      </c>
      <c r="V337" s="158">
        <f t="shared" si="112"/>
        <v>770</v>
      </c>
      <c r="W337" s="159">
        <f t="shared" si="118"/>
        <v>230</v>
      </c>
      <c r="X337" s="159">
        <f t="shared" si="119"/>
        <v>1495000</v>
      </c>
      <c r="Y337" s="160"/>
      <c r="Z337" s="160">
        <f t="shared" si="120"/>
        <v>0</v>
      </c>
      <c r="AA337" s="165">
        <v>100</v>
      </c>
      <c r="AB337" s="161">
        <f t="shared" si="121"/>
        <v>650000</v>
      </c>
      <c r="AC337" s="162"/>
      <c r="AD337" s="162">
        <f t="shared" si="113"/>
        <v>0</v>
      </c>
      <c r="AE337" s="164"/>
      <c r="AF337" s="164">
        <f t="shared" si="114"/>
        <v>0</v>
      </c>
      <c r="AG337" s="165">
        <v>100</v>
      </c>
      <c r="AH337" s="165">
        <f t="shared" si="115"/>
        <v>650000</v>
      </c>
      <c r="AI337" s="166">
        <v>0</v>
      </c>
      <c r="AJ337" s="166">
        <f t="shared" si="116"/>
        <v>0</v>
      </c>
      <c r="AK337" s="162"/>
      <c r="AL337" s="162">
        <f t="shared" si="122"/>
        <v>0</v>
      </c>
      <c r="AM337" s="173"/>
      <c r="AN337" s="167">
        <f t="shared" si="123"/>
        <v>0</v>
      </c>
      <c r="AO337" s="163"/>
      <c r="AP337" s="163">
        <f t="shared" si="124"/>
        <v>0</v>
      </c>
      <c r="AQ337" s="168"/>
      <c r="AR337" s="168">
        <f t="shared" si="125"/>
        <v>0</v>
      </c>
      <c r="AS337" s="170">
        <v>30</v>
      </c>
      <c r="AT337" s="170">
        <f t="shared" si="126"/>
        <v>195000</v>
      </c>
      <c r="AU337" s="166"/>
      <c r="AV337" s="166">
        <f t="shared" si="127"/>
        <v>0</v>
      </c>
    </row>
    <row r="338" spans="1:48" s="131" customFormat="1" ht="31.5">
      <c r="A338" s="148" t="s">
        <v>6671</v>
      </c>
      <c r="B338" s="149" t="s">
        <v>6672</v>
      </c>
      <c r="C338" s="149" t="s">
        <v>6673</v>
      </c>
      <c r="D338" s="240" t="s">
        <v>4129</v>
      </c>
      <c r="E338" s="590"/>
      <c r="F338" s="203" t="s">
        <v>4131</v>
      </c>
      <c r="G338" s="204" t="s">
        <v>753</v>
      </c>
      <c r="H338" s="204">
        <v>2</v>
      </c>
      <c r="I338" s="203" t="s">
        <v>4130</v>
      </c>
      <c r="J338" s="205" t="s">
        <v>6674</v>
      </c>
      <c r="K338" s="203" t="s">
        <v>5104</v>
      </c>
      <c r="L338" s="205" t="s">
        <v>6675</v>
      </c>
      <c r="M338" s="205" t="s">
        <v>6676</v>
      </c>
      <c r="N338" s="204" t="s">
        <v>5551</v>
      </c>
      <c r="O338" s="204" t="s">
        <v>11</v>
      </c>
      <c r="P338" s="206">
        <v>5300</v>
      </c>
      <c r="Q338" s="206">
        <v>4200</v>
      </c>
      <c r="R338" s="207">
        <v>60000</v>
      </c>
      <c r="S338" s="207">
        <f t="shared" si="117"/>
        <v>252000000</v>
      </c>
      <c r="T338" s="589"/>
      <c r="U338" s="157">
        <v>60000</v>
      </c>
      <c r="V338" s="158">
        <f t="shared" si="112"/>
        <v>55000</v>
      </c>
      <c r="W338" s="159">
        <f t="shared" si="118"/>
        <v>5000</v>
      </c>
      <c r="X338" s="159">
        <f t="shared" si="119"/>
        <v>21000000</v>
      </c>
      <c r="Y338" s="160"/>
      <c r="Z338" s="160">
        <f t="shared" si="120"/>
        <v>0</v>
      </c>
      <c r="AA338" s="165"/>
      <c r="AB338" s="161">
        <f t="shared" si="121"/>
        <v>0</v>
      </c>
      <c r="AC338" s="162"/>
      <c r="AD338" s="162">
        <f t="shared" si="113"/>
        <v>0</v>
      </c>
      <c r="AE338" s="164"/>
      <c r="AF338" s="164">
        <f t="shared" si="114"/>
        <v>0</v>
      </c>
      <c r="AG338" s="165"/>
      <c r="AH338" s="165">
        <f t="shared" si="115"/>
        <v>0</v>
      </c>
      <c r="AI338" s="166">
        <v>0</v>
      </c>
      <c r="AJ338" s="166">
        <f t="shared" si="116"/>
        <v>0</v>
      </c>
      <c r="AK338" s="162"/>
      <c r="AL338" s="162">
        <f t="shared" si="122"/>
        <v>0</v>
      </c>
      <c r="AM338" s="173">
        <v>5000</v>
      </c>
      <c r="AN338" s="167">
        <f t="shared" si="123"/>
        <v>21000000</v>
      </c>
      <c r="AO338" s="163"/>
      <c r="AP338" s="163">
        <f t="shared" si="124"/>
        <v>0</v>
      </c>
      <c r="AQ338" s="168"/>
      <c r="AR338" s="168">
        <f t="shared" si="125"/>
        <v>0</v>
      </c>
      <c r="AS338" s="170"/>
      <c r="AT338" s="170">
        <f t="shared" si="126"/>
        <v>0</v>
      </c>
      <c r="AU338" s="166"/>
      <c r="AV338" s="166">
        <f t="shared" si="127"/>
        <v>0</v>
      </c>
    </row>
    <row r="339" spans="1:48" s="131" customFormat="1" ht="31.5">
      <c r="A339" s="172" t="s">
        <v>5747</v>
      </c>
      <c r="B339" s="149" t="s">
        <v>5748</v>
      </c>
      <c r="C339" s="149" t="s">
        <v>5749</v>
      </c>
      <c r="D339" s="240" t="s">
        <v>5750</v>
      </c>
      <c r="E339" s="590"/>
      <c r="F339" s="203" t="s">
        <v>1241</v>
      </c>
      <c r="G339" s="204" t="s">
        <v>238</v>
      </c>
      <c r="H339" s="204">
        <v>1</v>
      </c>
      <c r="I339" s="203" t="s">
        <v>5751</v>
      </c>
      <c r="J339" s="205" t="s">
        <v>5752</v>
      </c>
      <c r="K339" s="203" t="s">
        <v>253</v>
      </c>
      <c r="L339" s="205" t="s">
        <v>5753</v>
      </c>
      <c r="M339" s="205" t="s">
        <v>1418</v>
      </c>
      <c r="N339" s="204" t="s">
        <v>5217</v>
      </c>
      <c r="O339" s="204" t="s">
        <v>11</v>
      </c>
      <c r="P339" s="206">
        <v>11000</v>
      </c>
      <c r="Q339" s="206">
        <v>10899</v>
      </c>
      <c r="R339" s="207">
        <v>10000</v>
      </c>
      <c r="S339" s="207">
        <f t="shared" si="117"/>
        <v>108990000</v>
      </c>
      <c r="T339" s="589" t="s">
        <v>11</v>
      </c>
      <c r="U339" s="157">
        <v>10000</v>
      </c>
      <c r="V339" s="158">
        <f t="shared" si="112"/>
        <v>10000</v>
      </c>
      <c r="W339" s="159">
        <f t="shared" si="118"/>
        <v>0</v>
      </c>
      <c r="X339" s="159">
        <f t="shared" si="119"/>
        <v>0</v>
      </c>
      <c r="Y339" s="160"/>
      <c r="Z339" s="160">
        <f t="shared" si="120"/>
        <v>0</v>
      </c>
      <c r="AA339" s="165"/>
      <c r="AB339" s="161">
        <f t="shared" si="121"/>
        <v>0</v>
      </c>
      <c r="AC339" s="162"/>
      <c r="AD339" s="162">
        <f t="shared" si="113"/>
        <v>0</v>
      </c>
      <c r="AE339" s="164"/>
      <c r="AF339" s="164">
        <f t="shared" si="114"/>
        <v>0</v>
      </c>
      <c r="AG339" s="165"/>
      <c r="AH339" s="165">
        <f t="shared" si="115"/>
        <v>0</v>
      </c>
      <c r="AI339" s="166">
        <v>0</v>
      </c>
      <c r="AJ339" s="166">
        <f t="shared" si="116"/>
        <v>0</v>
      </c>
      <c r="AK339" s="162"/>
      <c r="AL339" s="162">
        <f t="shared" si="122"/>
        <v>0</v>
      </c>
      <c r="AM339" s="173"/>
      <c r="AN339" s="167">
        <f t="shared" si="123"/>
        <v>0</v>
      </c>
      <c r="AO339" s="163"/>
      <c r="AP339" s="163">
        <f t="shared" si="124"/>
        <v>0</v>
      </c>
      <c r="AQ339" s="168"/>
      <c r="AR339" s="168">
        <f t="shared" si="125"/>
        <v>0</v>
      </c>
      <c r="AS339" s="170"/>
      <c r="AT339" s="170">
        <f t="shared" si="126"/>
        <v>0</v>
      </c>
      <c r="AU339" s="166"/>
      <c r="AV339" s="166">
        <f t="shared" si="127"/>
        <v>0</v>
      </c>
    </row>
    <row r="340" spans="1:48" s="131" customFormat="1" ht="31.5">
      <c r="A340" s="172" t="s">
        <v>7091</v>
      </c>
      <c r="B340" s="149" t="s">
        <v>5748</v>
      </c>
      <c r="C340" s="149" t="s">
        <v>5749</v>
      </c>
      <c r="D340" s="240" t="s">
        <v>4975</v>
      </c>
      <c r="E340" s="590" t="s">
        <v>12642</v>
      </c>
      <c r="F340" s="203" t="s">
        <v>702</v>
      </c>
      <c r="G340" s="204" t="s">
        <v>4977</v>
      </c>
      <c r="H340" s="204">
        <v>3</v>
      </c>
      <c r="I340" s="203" t="s">
        <v>4976</v>
      </c>
      <c r="J340" s="205" t="s">
        <v>7092</v>
      </c>
      <c r="K340" s="203" t="s">
        <v>253</v>
      </c>
      <c r="L340" s="205" t="s">
        <v>7093</v>
      </c>
      <c r="M340" s="205" t="s">
        <v>7094</v>
      </c>
      <c r="N340" s="204" t="s">
        <v>213</v>
      </c>
      <c r="O340" s="204" t="s">
        <v>15</v>
      </c>
      <c r="P340" s="206">
        <v>29000</v>
      </c>
      <c r="Q340" s="206">
        <v>21000</v>
      </c>
      <c r="R340" s="207">
        <v>4000</v>
      </c>
      <c r="S340" s="207">
        <f t="shared" si="117"/>
        <v>84000000</v>
      </c>
      <c r="T340" s="589"/>
      <c r="U340" s="157">
        <v>4000</v>
      </c>
      <c r="V340" s="158">
        <f t="shared" si="112"/>
        <v>3950</v>
      </c>
      <c r="W340" s="159">
        <f t="shared" si="118"/>
        <v>50</v>
      </c>
      <c r="X340" s="159">
        <f t="shared" si="119"/>
        <v>1050000</v>
      </c>
      <c r="Y340" s="160"/>
      <c r="Z340" s="160">
        <f t="shared" si="120"/>
        <v>0</v>
      </c>
      <c r="AA340" s="165">
        <v>50</v>
      </c>
      <c r="AB340" s="161">
        <f t="shared" si="121"/>
        <v>1050000</v>
      </c>
      <c r="AC340" s="162"/>
      <c r="AD340" s="162">
        <f t="shared" si="113"/>
        <v>0</v>
      </c>
      <c r="AE340" s="164"/>
      <c r="AF340" s="164">
        <f t="shared" si="114"/>
        <v>0</v>
      </c>
      <c r="AG340" s="165"/>
      <c r="AH340" s="165">
        <f t="shared" si="115"/>
        <v>0</v>
      </c>
      <c r="AI340" s="166">
        <v>0</v>
      </c>
      <c r="AJ340" s="166">
        <f t="shared" si="116"/>
        <v>0</v>
      </c>
      <c r="AK340" s="162"/>
      <c r="AL340" s="162">
        <f t="shared" si="122"/>
        <v>0</v>
      </c>
      <c r="AM340" s="173"/>
      <c r="AN340" s="167">
        <f t="shared" si="123"/>
        <v>0</v>
      </c>
      <c r="AO340" s="163"/>
      <c r="AP340" s="163">
        <f t="shared" si="124"/>
        <v>0</v>
      </c>
      <c r="AQ340" s="168"/>
      <c r="AR340" s="168">
        <f t="shared" si="125"/>
        <v>0</v>
      </c>
      <c r="AS340" s="170"/>
      <c r="AT340" s="170">
        <f t="shared" si="126"/>
        <v>0</v>
      </c>
      <c r="AU340" s="166"/>
      <c r="AV340" s="166">
        <f t="shared" si="127"/>
        <v>0</v>
      </c>
    </row>
    <row r="341" spans="1:48" s="131" customFormat="1" ht="31.5">
      <c r="A341" s="148" t="s">
        <v>6350</v>
      </c>
      <c r="B341" s="149" t="s">
        <v>6351</v>
      </c>
      <c r="C341" s="149" t="s">
        <v>6352</v>
      </c>
      <c r="D341" s="240" t="s">
        <v>3833</v>
      </c>
      <c r="E341" s="590" t="s">
        <v>12642</v>
      </c>
      <c r="F341" s="203" t="s">
        <v>1318</v>
      </c>
      <c r="G341" s="204" t="s">
        <v>238</v>
      </c>
      <c r="H341" s="204">
        <v>1</v>
      </c>
      <c r="I341" s="203" t="s">
        <v>6353</v>
      </c>
      <c r="J341" s="205" t="s">
        <v>6354</v>
      </c>
      <c r="K341" s="203" t="s">
        <v>5104</v>
      </c>
      <c r="L341" s="205" t="s">
        <v>6355</v>
      </c>
      <c r="M341" s="205" t="s">
        <v>6356</v>
      </c>
      <c r="N341" s="204" t="s">
        <v>6357</v>
      </c>
      <c r="O341" s="204" t="s">
        <v>16</v>
      </c>
      <c r="P341" s="206">
        <v>4200</v>
      </c>
      <c r="Q341" s="206">
        <v>4150</v>
      </c>
      <c r="R341" s="207">
        <v>50000</v>
      </c>
      <c r="S341" s="207">
        <f t="shared" si="117"/>
        <v>207500000</v>
      </c>
      <c r="T341" s="589"/>
      <c r="U341" s="157">
        <v>50000</v>
      </c>
      <c r="V341" s="158">
        <f t="shared" si="112"/>
        <v>50000</v>
      </c>
      <c r="W341" s="159">
        <f t="shared" si="118"/>
        <v>0</v>
      </c>
      <c r="X341" s="159">
        <f t="shared" si="119"/>
        <v>0</v>
      </c>
      <c r="Y341" s="160"/>
      <c r="Z341" s="160">
        <f t="shared" si="120"/>
        <v>0</v>
      </c>
      <c r="AA341" s="165"/>
      <c r="AB341" s="161">
        <f t="shared" si="121"/>
        <v>0</v>
      </c>
      <c r="AC341" s="162"/>
      <c r="AD341" s="162">
        <f t="shared" si="113"/>
        <v>0</v>
      </c>
      <c r="AE341" s="164"/>
      <c r="AF341" s="164">
        <f t="shared" si="114"/>
        <v>0</v>
      </c>
      <c r="AG341" s="165"/>
      <c r="AH341" s="165">
        <f t="shared" si="115"/>
        <v>0</v>
      </c>
      <c r="AI341" s="166">
        <v>0</v>
      </c>
      <c r="AJ341" s="166">
        <f t="shared" si="116"/>
        <v>0</v>
      </c>
      <c r="AK341" s="162"/>
      <c r="AL341" s="162">
        <f t="shared" si="122"/>
        <v>0</v>
      </c>
      <c r="AM341" s="173"/>
      <c r="AN341" s="167">
        <f t="shared" si="123"/>
        <v>0</v>
      </c>
      <c r="AO341" s="163"/>
      <c r="AP341" s="163">
        <f t="shared" si="124"/>
        <v>0</v>
      </c>
      <c r="AQ341" s="168"/>
      <c r="AR341" s="168">
        <f t="shared" si="125"/>
        <v>0</v>
      </c>
      <c r="AS341" s="170"/>
      <c r="AT341" s="170">
        <f t="shared" si="126"/>
        <v>0</v>
      </c>
      <c r="AU341" s="166"/>
      <c r="AV341" s="166">
        <f t="shared" si="127"/>
        <v>0</v>
      </c>
    </row>
    <row r="342" spans="1:48" s="131" customFormat="1" ht="31.5">
      <c r="A342" s="148" t="s">
        <v>6482</v>
      </c>
      <c r="B342" s="149" t="s">
        <v>6351</v>
      </c>
      <c r="C342" s="149" t="s">
        <v>6352</v>
      </c>
      <c r="D342" s="240" t="s">
        <v>5018</v>
      </c>
      <c r="E342" s="590"/>
      <c r="F342" s="203" t="s">
        <v>4993</v>
      </c>
      <c r="G342" s="204" t="s">
        <v>1472</v>
      </c>
      <c r="H342" s="204">
        <v>2</v>
      </c>
      <c r="I342" s="203" t="s">
        <v>1471</v>
      </c>
      <c r="J342" s="205" t="s">
        <v>6483</v>
      </c>
      <c r="K342" s="203" t="s">
        <v>5104</v>
      </c>
      <c r="L342" s="205" t="s">
        <v>6484</v>
      </c>
      <c r="M342" s="205" t="s">
        <v>357</v>
      </c>
      <c r="N342" s="204" t="s">
        <v>5296</v>
      </c>
      <c r="O342" s="204" t="s">
        <v>520</v>
      </c>
      <c r="P342" s="206">
        <v>14900</v>
      </c>
      <c r="Q342" s="206">
        <v>13300</v>
      </c>
      <c r="R342" s="207">
        <v>1000</v>
      </c>
      <c r="S342" s="207">
        <f t="shared" si="117"/>
        <v>13300000</v>
      </c>
      <c r="T342" s="589"/>
      <c r="U342" s="157">
        <v>1000</v>
      </c>
      <c r="V342" s="158">
        <f t="shared" si="112"/>
        <v>1000</v>
      </c>
      <c r="W342" s="159">
        <f t="shared" si="118"/>
        <v>0</v>
      </c>
      <c r="X342" s="159">
        <f t="shared" si="119"/>
        <v>0</v>
      </c>
      <c r="Y342" s="160"/>
      <c r="Z342" s="160">
        <f t="shared" si="120"/>
        <v>0</v>
      </c>
      <c r="AA342" s="165"/>
      <c r="AB342" s="161">
        <f t="shared" si="121"/>
        <v>0</v>
      </c>
      <c r="AC342" s="162"/>
      <c r="AD342" s="162">
        <f t="shared" si="113"/>
        <v>0</v>
      </c>
      <c r="AE342" s="164"/>
      <c r="AF342" s="164">
        <f t="shared" si="114"/>
        <v>0</v>
      </c>
      <c r="AG342" s="165"/>
      <c r="AH342" s="165">
        <f t="shared" si="115"/>
        <v>0</v>
      </c>
      <c r="AI342" s="166">
        <v>0</v>
      </c>
      <c r="AJ342" s="166">
        <f t="shared" si="116"/>
        <v>0</v>
      </c>
      <c r="AK342" s="162"/>
      <c r="AL342" s="162">
        <f t="shared" si="122"/>
        <v>0</v>
      </c>
      <c r="AM342" s="173"/>
      <c r="AN342" s="167">
        <f t="shared" si="123"/>
        <v>0</v>
      </c>
      <c r="AO342" s="163"/>
      <c r="AP342" s="163">
        <f t="shared" si="124"/>
        <v>0</v>
      </c>
      <c r="AQ342" s="168"/>
      <c r="AR342" s="168">
        <f t="shared" si="125"/>
        <v>0</v>
      </c>
      <c r="AS342" s="170"/>
      <c r="AT342" s="170">
        <f t="shared" si="126"/>
        <v>0</v>
      </c>
      <c r="AU342" s="166"/>
      <c r="AV342" s="166">
        <f t="shared" si="127"/>
        <v>0</v>
      </c>
    </row>
    <row r="343" spans="1:48" s="131" customFormat="1" ht="31.5">
      <c r="A343" s="172" t="s">
        <v>6653</v>
      </c>
      <c r="B343" s="149" t="s">
        <v>6351</v>
      </c>
      <c r="C343" s="149" t="s">
        <v>6352</v>
      </c>
      <c r="D343" s="240" t="s">
        <v>4099</v>
      </c>
      <c r="E343" s="590"/>
      <c r="F343" s="203" t="s">
        <v>765</v>
      </c>
      <c r="G343" s="204" t="s">
        <v>767</v>
      </c>
      <c r="H343" s="204">
        <v>2</v>
      </c>
      <c r="I343" s="203" t="s">
        <v>6654</v>
      </c>
      <c r="J343" s="205" t="s">
        <v>6655</v>
      </c>
      <c r="K343" s="203" t="s">
        <v>5108</v>
      </c>
      <c r="L343" s="205" t="s">
        <v>6656</v>
      </c>
      <c r="M343" s="205" t="s">
        <v>6657</v>
      </c>
      <c r="N343" s="204" t="s">
        <v>6658</v>
      </c>
      <c r="O343" s="204" t="s">
        <v>520</v>
      </c>
      <c r="P343" s="206">
        <v>9500</v>
      </c>
      <c r="Q343" s="206">
        <v>7690</v>
      </c>
      <c r="R343" s="207">
        <v>500</v>
      </c>
      <c r="S343" s="207">
        <f t="shared" si="117"/>
        <v>3845000</v>
      </c>
      <c r="T343" s="589"/>
      <c r="U343" s="157">
        <v>500</v>
      </c>
      <c r="V343" s="158">
        <f t="shared" si="112"/>
        <v>500</v>
      </c>
      <c r="W343" s="159">
        <f t="shared" si="118"/>
        <v>0</v>
      </c>
      <c r="X343" s="159">
        <f t="shared" si="119"/>
        <v>0</v>
      </c>
      <c r="Y343" s="160"/>
      <c r="Z343" s="160">
        <f t="shared" si="120"/>
        <v>0</v>
      </c>
      <c r="AA343" s="165"/>
      <c r="AB343" s="161">
        <f t="shared" si="121"/>
        <v>0</v>
      </c>
      <c r="AC343" s="162"/>
      <c r="AD343" s="162">
        <f t="shared" si="113"/>
        <v>0</v>
      </c>
      <c r="AE343" s="164"/>
      <c r="AF343" s="164">
        <f t="shared" si="114"/>
        <v>0</v>
      </c>
      <c r="AG343" s="165"/>
      <c r="AH343" s="165">
        <f t="shared" si="115"/>
        <v>0</v>
      </c>
      <c r="AI343" s="166">
        <v>0</v>
      </c>
      <c r="AJ343" s="166">
        <f t="shared" si="116"/>
        <v>0</v>
      </c>
      <c r="AK343" s="162"/>
      <c r="AL343" s="162">
        <f t="shared" si="122"/>
        <v>0</v>
      </c>
      <c r="AM343" s="173"/>
      <c r="AN343" s="167">
        <f t="shared" si="123"/>
        <v>0</v>
      </c>
      <c r="AO343" s="163"/>
      <c r="AP343" s="163">
        <f t="shared" si="124"/>
        <v>0</v>
      </c>
      <c r="AQ343" s="168"/>
      <c r="AR343" s="168">
        <f t="shared" si="125"/>
        <v>0</v>
      </c>
      <c r="AS343" s="170"/>
      <c r="AT343" s="170">
        <f t="shared" si="126"/>
        <v>0</v>
      </c>
      <c r="AU343" s="166"/>
      <c r="AV343" s="166">
        <f t="shared" si="127"/>
        <v>0</v>
      </c>
    </row>
    <row r="344" spans="1:48" s="131" customFormat="1" ht="31.5">
      <c r="A344" s="172" t="s">
        <v>6762</v>
      </c>
      <c r="B344" s="149" t="s">
        <v>6351</v>
      </c>
      <c r="C344" s="149" t="s">
        <v>6352</v>
      </c>
      <c r="D344" s="240" t="s">
        <v>4054</v>
      </c>
      <c r="E344" s="590"/>
      <c r="F344" s="203" t="s">
        <v>1220</v>
      </c>
      <c r="G344" s="204" t="s">
        <v>267</v>
      </c>
      <c r="H344" s="204">
        <v>2</v>
      </c>
      <c r="I344" s="203" t="s">
        <v>4059</v>
      </c>
      <c r="J344" s="205" t="s">
        <v>6763</v>
      </c>
      <c r="K344" s="203" t="s">
        <v>5108</v>
      </c>
      <c r="L344" s="205" t="s">
        <v>6764</v>
      </c>
      <c r="M344" s="205" t="s">
        <v>6765</v>
      </c>
      <c r="N344" s="204" t="s">
        <v>6658</v>
      </c>
      <c r="O344" s="204" t="s">
        <v>16</v>
      </c>
      <c r="P344" s="206">
        <v>2600</v>
      </c>
      <c r="Q344" s="206">
        <v>2600</v>
      </c>
      <c r="R344" s="207">
        <v>50000</v>
      </c>
      <c r="S344" s="207">
        <f t="shared" si="117"/>
        <v>130000000</v>
      </c>
      <c r="T344" s="589"/>
      <c r="U344" s="157">
        <v>50000</v>
      </c>
      <c r="V344" s="158">
        <f t="shared" si="112"/>
        <v>44000</v>
      </c>
      <c r="W344" s="159">
        <f t="shared" si="118"/>
        <v>6000</v>
      </c>
      <c r="X344" s="159">
        <f t="shared" si="119"/>
        <v>15600000</v>
      </c>
      <c r="Y344" s="160"/>
      <c r="Z344" s="160">
        <f t="shared" si="120"/>
        <v>0</v>
      </c>
      <c r="AA344" s="165"/>
      <c r="AB344" s="161">
        <f t="shared" si="121"/>
        <v>0</v>
      </c>
      <c r="AC344" s="162"/>
      <c r="AD344" s="162">
        <f t="shared" si="113"/>
        <v>0</v>
      </c>
      <c r="AE344" s="164"/>
      <c r="AF344" s="164">
        <f t="shared" si="114"/>
        <v>0</v>
      </c>
      <c r="AG344" s="165"/>
      <c r="AH344" s="165">
        <f t="shared" si="115"/>
        <v>0</v>
      </c>
      <c r="AI344" s="166">
        <v>0</v>
      </c>
      <c r="AJ344" s="166">
        <f t="shared" si="116"/>
        <v>0</v>
      </c>
      <c r="AK344" s="162"/>
      <c r="AL344" s="162">
        <f t="shared" si="122"/>
        <v>0</v>
      </c>
      <c r="AM344" s="173">
        <v>6000</v>
      </c>
      <c r="AN344" s="167">
        <f t="shared" si="123"/>
        <v>15600000</v>
      </c>
      <c r="AO344" s="163"/>
      <c r="AP344" s="163">
        <f t="shared" si="124"/>
        <v>0</v>
      </c>
      <c r="AQ344" s="168"/>
      <c r="AR344" s="168">
        <f t="shared" si="125"/>
        <v>0</v>
      </c>
      <c r="AS344" s="170"/>
      <c r="AT344" s="170">
        <f t="shared" si="126"/>
        <v>0</v>
      </c>
      <c r="AU344" s="166"/>
      <c r="AV344" s="166">
        <f t="shared" si="127"/>
        <v>0</v>
      </c>
    </row>
    <row r="345" spans="1:48" s="131" customFormat="1" ht="31.5">
      <c r="A345" s="172" t="s">
        <v>6823</v>
      </c>
      <c r="B345" s="149" t="s">
        <v>6351</v>
      </c>
      <c r="C345" s="149" t="s">
        <v>6352</v>
      </c>
      <c r="D345" s="240" t="s">
        <v>3934</v>
      </c>
      <c r="E345" s="590" t="s">
        <v>12642</v>
      </c>
      <c r="F345" s="203" t="s">
        <v>3936</v>
      </c>
      <c r="G345" s="204" t="s">
        <v>3937</v>
      </c>
      <c r="H345" s="204">
        <v>2</v>
      </c>
      <c r="I345" s="203" t="s">
        <v>3935</v>
      </c>
      <c r="J345" s="205" t="s">
        <v>6824</v>
      </c>
      <c r="K345" s="203" t="s">
        <v>5104</v>
      </c>
      <c r="L345" s="205" t="s">
        <v>6825</v>
      </c>
      <c r="M345" s="205" t="s">
        <v>1890</v>
      </c>
      <c r="N345" s="204" t="s">
        <v>6694</v>
      </c>
      <c r="O345" s="204" t="s">
        <v>16</v>
      </c>
      <c r="P345" s="206">
        <v>5950</v>
      </c>
      <c r="Q345" s="206">
        <v>5950</v>
      </c>
      <c r="R345" s="207">
        <v>50000</v>
      </c>
      <c r="S345" s="207">
        <f t="shared" si="117"/>
        <v>297500000</v>
      </c>
      <c r="T345" s="589"/>
      <c r="U345" s="157">
        <v>50000</v>
      </c>
      <c r="V345" s="158">
        <f t="shared" si="112"/>
        <v>46400</v>
      </c>
      <c r="W345" s="159">
        <f t="shared" si="118"/>
        <v>3600</v>
      </c>
      <c r="X345" s="159">
        <f t="shared" si="119"/>
        <v>21420000</v>
      </c>
      <c r="Y345" s="160"/>
      <c r="Z345" s="160">
        <f t="shared" si="120"/>
        <v>0</v>
      </c>
      <c r="AA345" s="165"/>
      <c r="AB345" s="161">
        <f t="shared" si="121"/>
        <v>0</v>
      </c>
      <c r="AC345" s="162"/>
      <c r="AD345" s="162">
        <f t="shared" si="113"/>
        <v>0</v>
      </c>
      <c r="AE345" s="163"/>
      <c r="AF345" s="164">
        <f t="shared" si="114"/>
        <v>0</v>
      </c>
      <c r="AG345" s="161"/>
      <c r="AH345" s="165">
        <f t="shared" si="115"/>
        <v>0</v>
      </c>
      <c r="AI345" s="160">
        <v>0</v>
      </c>
      <c r="AJ345" s="166">
        <f t="shared" si="116"/>
        <v>0</v>
      </c>
      <c r="AK345" s="162"/>
      <c r="AL345" s="162">
        <f t="shared" si="122"/>
        <v>0</v>
      </c>
      <c r="AM345" s="173">
        <v>3600</v>
      </c>
      <c r="AN345" s="167">
        <f t="shared" si="123"/>
        <v>21420000</v>
      </c>
      <c r="AO345" s="163"/>
      <c r="AP345" s="163">
        <f t="shared" si="124"/>
        <v>0</v>
      </c>
      <c r="AQ345" s="162"/>
      <c r="AR345" s="168">
        <f t="shared" si="125"/>
        <v>0</v>
      </c>
      <c r="AS345" s="169"/>
      <c r="AT345" s="170">
        <f t="shared" si="126"/>
        <v>0</v>
      </c>
      <c r="AU345" s="160"/>
      <c r="AV345" s="166">
        <f t="shared" si="127"/>
        <v>0</v>
      </c>
    </row>
    <row r="346" spans="1:48" s="131" customFormat="1" ht="31.5">
      <c r="A346" s="172" t="s">
        <v>8357</v>
      </c>
      <c r="B346" s="149" t="s">
        <v>6351</v>
      </c>
      <c r="C346" s="149" t="s">
        <v>6352</v>
      </c>
      <c r="D346" s="240" t="s">
        <v>8358</v>
      </c>
      <c r="E346" s="590"/>
      <c r="F346" s="203" t="s">
        <v>4993</v>
      </c>
      <c r="G346" s="204" t="s">
        <v>1472</v>
      </c>
      <c r="H346" s="204">
        <v>5</v>
      </c>
      <c r="I346" s="203" t="s">
        <v>1471</v>
      </c>
      <c r="J346" s="205" t="s">
        <v>6483</v>
      </c>
      <c r="K346" s="203" t="s">
        <v>5104</v>
      </c>
      <c r="L346" s="205" t="s">
        <v>6484</v>
      </c>
      <c r="M346" s="205" t="s">
        <v>357</v>
      </c>
      <c r="N346" s="204" t="s">
        <v>5296</v>
      </c>
      <c r="O346" s="204" t="s">
        <v>520</v>
      </c>
      <c r="P346" s="206">
        <v>14900</v>
      </c>
      <c r="Q346" s="206">
        <v>13300</v>
      </c>
      <c r="R346" s="207">
        <v>1000</v>
      </c>
      <c r="S346" s="207">
        <f t="shared" si="117"/>
        <v>13300000</v>
      </c>
      <c r="T346" s="589"/>
      <c r="U346" s="157">
        <v>1000</v>
      </c>
      <c r="V346" s="158">
        <f t="shared" si="112"/>
        <v>1000</v>
      </c>
      <c r="W346" s="159">
        <f t="shared" si="118"/>
        <v>0</v>
      </c>
      <c r="X346" s="159">
        <f t="shared" si="119"/>
        <v>0</v>
      </c>
      <c r="Y346" s="160"/>
      <c r="Z346" s="160">
        <f t="shared" si="120"/>
        <v>0</v>
      </c>
      <c r="AA346" s="165"/>
      <c r="AB346" s="161">
        <f t="shared" si="121"/>
        <v>0</v>
      </c>
      <c r="AC346" s="162"/>
      <c r="AD346" s="162">
        <f t="shared" si="113"/>
        <v>0</v>
      </c>
      <c r="AE346" s="163"/>
      <c r="AF346" s="164">
        <f t="shared" si="114"/>
        <v>0</v>
      </c>
      <c r="AG346" s="161"/>
      <c r="AH346" s="165">
        <f t="shared" si="115"/>
        <v>0</v>
      </c>
      <c r="AI346" s="160">
        <v>0</v>
      </c>
      <c r="AJ346" s="166">
        <f t="shared" si="116"/>
        <v>0</v>
      </c>
      <c r="AK346" s="162"/>
      <c r="AL346" s="162">
        <f t="shared" si="122"/>
        <v>0</v>
      </c>
      <c r="AM346" s="173"/>
      <c r="AN346" s="167">
        <f t="shared" si="123"/>
        <v>0</v>
      </c>
      <c r="AO346" s="163"/>
      <c r="AP346" s="163">
        <f t="shared" si="124"/>
        <v>0</v>
      </c>
      <c r="AQ346" s="162"/>
      <c r="AR346" s="168">
        <f t="shared" si="125"/>
        <v>0</v>
      </c>
      <c r="AS346" s="169"/>
      <c r="AT346" s="170">
        <f t="shared" si="126"/>
        <v>0</v>
      </c>
      <c r="AU346" s="160"/>
      <c r="AV346" s="166">
        <f t="shared" si="127"/>
        <v>0</v>
      </c>
    </row>
    <row r="347" spans="1:48" s="131" customFormat="1">
      <c r="A347" s="172" t="s">
        <v>7345</v>
      </c>
      <c r="B347" s="149" t="s">
        <v>7346</v>
      </c>
      <c r="C347" s="149" t="s">
        <v>7347</v>
      </c>
      <c r="D347" s="240" t="s">
        <v>7348</v>
      </c>
      <c r="E347" s="590" t="s">
        <v>12643</v>
      </c>
      <c r="F347" s="203" t="s">
        <v>7349</v>
      </c>
      <c r="G347" s="204" t="s">
        <v>225</v>
      </c>
      <c r="H347" s="204">
        <v>3</v>
      </c>
      <c r="I347" s="203" t="s">
        <v>7350</v>
      </c>
      <c r="J347" s="205" t="s">
        <v>7351</v>
      </c>
      <c r="K347" s="203" t="s">
        <v>5784</v>
      </c>
      <c r="L347" s="205" t="s">
        <v>7352</v>
      </c>
      <c r="M347" s="205" t="s">
        <v>7353</v>
      </c>
      <c r="N347" s="204" t="s">
        <v>213</v>
      </c>
      <c r="O347" s="204" t="s">
        <v>11</v>
      </c>
      <c r="P347" s="206">
        <v>3000</v>
      </c>
      <c r="Q347" s="206">
        <v>3000</v>
      </c>
      <c r="R347" s="207">
        <v>5000</v>
      </c>
      <c r="S347" s="207">
        <f t="shared" si="117"/>
        <v>15000000</v>
      </c>
      <c r="T347" s="589"/>
      <c r="U347" s="157">
        <v>5000</v>
      </c>
      <c r="V347" s="158">
        <f t="shared" si="112"/>
        <v>5000</v>
      </c>
      <c r="W347" s="159">
        <f t="shared" si="118"/>
        <v>0</v>
      </c>
      <c r="X347" s="159">
        <f t="shared" si="119"/>
        <v>0</v>
      </c>
      <c r="Y347" s="160"/>
      <c r="Z347" s="160">
        <f t="shared" si="120"/>
        <v>0</v>
      </c>
      <c r="AA347" s="165"/>
      <c r="AB347" s="161">
        <f t="shared" si="121"/>
        <v>0</v>
      </c>
      <c r="AC347" s="162"/>
      <c r="AD347" s="162">
        <f t="shared" si="113"/>
        <v>0</v>
      </c>
      <c r="AE347" s="164"/>
      <c r="AF347" s="164">
        <f t="shared" si="114"/>
        <v>0</v>
      </c>
      <c r="AG347" s="165"/>
      <c r="AH347" s="165">
        <f t="shared" si="115"/>
        <v>0</v>
      </c>
      <c r="AI347" s="166">
        <v>0</v>
      </c>
      <c r="AJ347" s="166">
        <f t="shared" si="116"/>
        <v>0</v>
      </c>
      <c r="AK347" s="162"/>
      <c r="AL347" s="162">
        <f t="shared" si="122"/>
        <v>0</v>
      </c>
      <c r="AM347" s="173"/>
      <c r="AN347" s="167">
        <f t="shared" si="123"/>
        <v>0</v>
      </c>
      <c r="AO347" s="163"/>
      <c r="AP347" s="163">
        <f t="shared" si="124"/>
        <v>0</v>
      </c>
      <c r="AQ347" s="168"/>
      <c r="AR347" s="168">
        <f t="shared" si="125"/>
        <v>0</v>
      </c>
      <c r="AS347" s="170"/>
      <c r="AT347" s="170">
        <f t="shared" si="126"/>
        <v>0</v>
      </c>
      <c r="AU347" s="166"/>
      <c r="AV347" s="166">
        <f t="shared" si="127"/>
        <v>0</v>
      </c>
    </row>
    <row r="348" spans="1:48" s="131" customFormat="1">
      <c r="A348" s="172" t="s">
        <v>7830</v>
      </c>
      <c r="B348" s="149" t="s">
        <v>7346</v>
      </c>
      <c r="C348" s="149" t="s">
        <v>7347</v>
      </c>
      <c r="D348" s="240" t="s">
        <v>7831</v>
      </c>
      <c r="E348" s="590"/>
      <c r="F348" s="203" t="s">
        <v>729</v>
      </c>
      <c r="G348" s="204" t="s">
        <v>7832</v>
      </c>
      <c r="H348" s="204">
        <v>3</v>
      </c>
      <c r="I348" s="203" t="s">
        <v>7833</v>
      </c>
      <c r="J348" s="205" t="s">
        <v>7834</v>
      </c>
      <c r="K348" s="203" t="s">
        <v>7151</v>
      </c>
      <c r="L348" s="205" t="s">
        <v>7835</v>
      </c>
      <c r="M348" s="205" t="s">
        <v>7353</v>
      </c>
      <c r="N348" s="204" t="s">
        <v>213</v>
      </c>
      <c r="O348" s="204" t="s">
        <v>11</v>
      </c>
      <c r="P348" s="206">
        <v>6000</v>
      </c>
      <c r="Q348" s="206">
        <v>4000</v>
      </c>
      <c r="R348" s="207">
        <v>20000</v>
      </c>
      <c r="S348" s="207">
        <f t="shared" si="117"/>
        <v>80000000</v>
      </c>
      <c r="T348" s="589"/>
      <c r="U348" s="157">
        <v>20000</v>
      </c>
      <c r="V348" s="158">
        <f t="shared" si="112"/>
        <v>20000</v>
      </c>
      <c r="W348" s="159">
        <f t="shared" si="118"/>
        <v>0</v>
      </c>
      <c r="X348" s="159">
        <f t="shared" si="119"/>
        <v>0</v>
      </c>
      <c r="Y348" s="160"/>
      <c r="Z348" s="160">
        <f t="shared" si="120"/>
        <v>0</v>
      </c>
      <c r="AA348" s="165"/>
      <c r="AB348" s="161">
        <f t="shared" si="121"/>
        <v>0</v>
      </c>
      <c r="AC348" s="162"/>
      <c r="AD348" s="162">
        <f t="shared" si="113"/>
        <v>0</v>
      </c>
      <c r="AE348" s="164"/>
      <c r="AF348" s="164">
        <f t="shared" si="114"/>
        <v>0</v>
      </c>
      <c r="AG348" s="165"/>
      <c r="AH348" s="165">
        <f t="shared" si="115"/>
        <v>0</v>
      </c>
      <c r="AI348" s="166">
        <v>0</v>
      </c>
      <c r="AJ348" s="166">
        <f t="shared" si="116"/>
        <v>0</v>
      </c>
      <c r="AK348" s="162"/>
      <c r="AL348" s="162">
        <f t="shared" si="122"/>
        <v>0</v>
      </c>
      <c r="AM348" s="173"/>
      <c r="AN348" s="167">
        <f t="shared" si="123"/>
        <v>0</v>
      </c>
      <c r="AO348" s="163"/>
      <c r="AP348" s="163">
        <f t="shared" si="124"/>
        <v>0</v>
      </c>
      <c r="AQ348" s="168"/>
      <c r="AR348" s="168">
        <f t="shared" si="125"/>
        <v>0</v>
      </c>
      <c r="AS348" s="170"/>
      <c r="AT348" s="170">
        <f t="shared" si="126"/>
        <v>0</v>
      </c>
      <c r="AU348" s="166"/>
      <c r="AV348" s="166">
        <f t="shared" si="127"/>
        <v>0</v>
      </c>
    </row>
    <row r="349" spans="1:48" ht="47.25">
      <c r="A349" s="172" t="s">
        <v>8384</v>
      </c>
      <c r="B349" s="149" t="s">
        <v>8385</v>
      </c>
      <c r="C349" s="149" t="s">
        <v>8386</v>
      </c>
      <c r="D349" s="240" t="s">
        <v>8387</v>
      </c>
      <c r="E349" s="590"/>
      <c r="F349" s="203" t="s">
        <v>8388</v>
      </c>
      <c r="G349" s="204" t="s">
        <v>225</v>
      </c>
      <c r="H349" s="204">
        <v>5</v>
      </c>
      <c r="I349" s="203" t="s">
        <v>8389</v>
      </c>
      <c r="J349" s="205" t="s">
        <v>8390</v>
      </c>
      <c r="K349" s="203" t="s">
        <v>5104</v>
      </c>
      <c r="L349" s="205" t="s">
        <v>8391</v>
      </c>
      <c r="M349" s="205" t="s">
        <v>8392</v>
      </c>
      <c r="N349" s="204" t="s">
        <v>5551</v>
      </c>
      <c r="O349" s="204" t="s">
        <v>658</v>
      </c>
      <c r="P349" s="206">
        <v>55462</v>
      </c>
      <c r="Q349" s="206">
        <v>55000</v>
      </c>
      <c r="R349" s="207">
        <v>500</v>
      </c>
      <c r="S349" s="207">
        <f t="shared" si="117"/>
        <v>27500000</v>
      </c>
      <c r="T349" s="589"/>
      <c r="U349" s="157">
        <v>500</v>
      </c>
      <c r="V349" s="158">
        <f t="shared" si="112"/>
        <v>500</v>
      </c>
      <c r="W349" s="159">
        <f t="shared" si="118"/>
        <v>0</v>
      </c>
      <c r="X349" s="159">
        <f t="shared" si="119"/>
        <v>0</v>
      </c>
      <c r="Y349" s="160"/>
      <c r="Z349" s="160">
        <f t="shared" si="120"/>
        <v>0</v>
      </c>
      <c r="AA349" s="165"/>
      <c r="AB349" s="161">
        <f t="shared" si="121"/>
        <v>0</v>
      </c>
      <c r="AC349" s="162"/>
      <c r="AD349" s="162">
        <f t="shared" si="113"/>
        <v>0</v>
      </c>
      <c r="AE349" s="164"/>
      <c r="AF349" s="164">
        <f t="shared" si="114"/>
        <v>0</v>
      </c>
      <c r="AG349" s="165"/>
      <c r="AH349" s="165">
        <f t="shared" si="115"/>
        <v>0</v>
      </c>
      <c r="AI349" s="166">
        <v>0</v>
      </c>
      <c r="AJ349" s="166">
        <f t="shared" si="116"/>
        <v>0</v>
      </c>
      <c r="AK349" s="162"/>
      <c r="AL349" s="162">
        <f t="shared" si="122"/>
        <v>0</v>
      </c>
      <c r="AM349" s="173"/>
      <c r="AN349" s="167">
        <f t="shared" si="123"/>
        <v>0</v>
      </c>
      <c r="AO349" s="163"/>
      <c r="AP349" s="163">
        <f t="shared" si="124"/>
        <v>0</v>
      </c>
      <c r="AQ349" s="168"/>
      <c r="AR349" s="168">
        <f t="shared" si="125"/>
        <v>0</v>
      </c>
      <c r="AS349" s="170"/>
      <c r="AT349" s="170">
        <f t="shared" si="126"/>
        <v>0</v>
      </c>
      <c r="AU349" s="166"/>
      <c r="AV349" s="166">
        <f t="shared" si="127"/>
        <v>0</v>
      </c>
    </row>
    <row r="350" spans="1:48" ht="31.5">
      <c r="A350" s="148" t="s">
        <v>6258</v>
      </c>
      <c r="B350" s="149" t="s">
        <v>6259</v>
      </c>
      <c r="C350" s="150" t="s">
        <v>6260</v>
      </c>
      <c r="D350" s="240" t="s">
        <v>6261</v>
      </c>
      <c r="E350" s="590"/>
      <c r="F350" s="203" t="s">
        <v>572</v>
      </c>
      <c r="G350" s="204" t="s">
        <v>235</v>
      </c>
      <c r="H350" s="204">
        <v>1</v>
      </c>
      <c r="I350" s="203" t="s">
        <v>6262</v>
      </c>
      <c r="J350" s="205" t="s">
        <v>6263</v>
      </c>
      <c r="K350" s="203" t="s">
        <v>253</v>
      </c>
      <c r="L350" s="205" t="s">
        <v>6264</v>
      </c>
      <c r="M350" s="205" t="s">
        <v>954</v>
      </c>
      <c r="N350" s="204" t="s">
        <v>6012</v>
      </c>
      <c r="O350" s="204" t="s">
        <v>11</v>
      </c>
      <c r="P350" s="206">
        <v>12500</v>
      </c>
      <c r="Q350" s="206">
        <v>11550</v>
      </c>
      <c r="R350" s="207">
        <v>20000</v>
      </c>
      <c r="S350" s="207">
        <f t="shared" si="117"/>
        <v>231000000</v>
      </c>
      <c r="T350" s="589"/>
      <c r="U350" s="157">
        <v>20000</v>
      </c>
      <c r="V350" s="158">
        <f t="shared" si="112"/>
        <v>20000</v>
      </c>
      <c r="W350" s="159">
        <f t="shared" si="118"/>
        <v>0</v>
      </c>
      <c r="X350" s="159">
        <f t="shared" si="119"/>
        <v>0</v>
      </c>
      <c r="Y350" s="160"/>
      <c r="Z350" s="160">
        <f t="shared" si="120"/>
        <v>0</v>
      </c>
      <c r="AA350" s="165"/>
      <c r="AB350" s="161">
        <f t="shared" si="121"/>
        <v>0</v>
      </c>
      <c r="AC350" s="162"/>
      <c r="AD350" s="162">
        <f t="shared" si="113"/>
        <v>0</v>
      </c>
      <c r="AE350" s="164"/>
      <c r="AF350" s="164">
        <f t="shared" si="114"/>
        <v>0</v>
      </c>
      <c r="AG350" s="165"/>
      <c r="AH350" s="165">
        <f t="shared" si="115"/>
        <v>0</v>
      </c>
      <c r="AI350" s="166">
        <v>0</v>
      </c>
      <c r="AJ350" s="166">
        <f t="shared" si="116"/>
        <v>0</v>
      </c>
      <c r="AK350" s="162"/>
      <c r="AL350" s="162">
        <f t="shared" si="122"/>
        <v>0</v>
      </c>
      <c r="AM350" s="173"/>
      <c r="AN350" s="167">
        <f t="shared" si="123"/>
        <v>0</v>
      </c>
      <c r="AO350" s="163"/>
      <c r="AP350" s="163">
        <f t="shared" si="124"/>
        <v>0</v>
      </c>
      <c r="AQ350" s="168"/>
      <c r="AR350" s="168">
        <f t="shared" si="125"/>
        <v>0</v>
      </c>
      <c r="AS350" s="170"/>
      <c r="AT350" s="170">
        <f t="shared" si="126"/>
        <v>0</v>
      </c>
      <c r="AU350" s="166"/>
      <c r="AV350" s="166">
        <f t="shared" si="127"/>
        <v>0</v>
      </c>
    </row>
    <row r="351" spans="1:48" ht="31.5">
      <c r="A351" s="148" t="s">
        <v>6523</v>
      </c>
      <c r="B351" s="149" t="s">
        <v>6259</v>
      </c>
      <c r="C351" s="150" t="s">
        <v>6260</v>
      </c>
      <c r="D351" s="240" t="s">
        <v>4161</v>
      </c>
      <c r="E351" s="590"/>
      <c r="F351" s="203" t="s">
        <v>1289</v>
      </c>
      <c r="G351" s="204" t="s">
        <v>1290</v>
      </c>
      <c r="H351" s="204">
        <v>2</v>
      </c>
      <c r="I351" s="203" t="s">
        <v>3146</v>
      </c>
      <c r="J351" s="205" t="s">
        <v>6524</v>
      </c>
      <c r="K351" s="203" t="s">
        <v>253</v>
      </c>
      <c r="L351" s="205" t="s">
        <v>6525</v>
      </c>
      <c r="M351" s="205" t="s">
        <v>6526</v>
      </c>
      <c r="N351" s="204" t="s">
        <v>6527</v>
      </c>
      <c r="O351" s="204" t="s">
        <v>11</v>
      </c>
      <c r="P351" s="206">
        <v>2400</v>
      </c>
      <c r="Q351" s="206">
        <v>1500</v>
      </c>
      <c r="R351" s="207">
        <v>20000</v>
      </c>
      <c r="S351" s="207">
        <f t="shared" si="117"/>
        <v>30000000</v>
      </c>
      <c r="T351" s="589"/>
      <c r="U351" s="157">
        <v>20000</v>
      </c>
      <c r="V351" s="158">
        <f t="shared" si="112"/>
        <v>15020</v>
      </c>
      <c r="W351" s="159">
        <f t="shared" si="118"/>
        <v>4980</v>
      </c>
      <c r="X351" s="159">
        <f t="shared" si="119"/>
        <v>7470000</v>
      </c>
      <c r="Y351" s="160"/>
      <c r="Z351" s="160">
        <f t="shared" si="120"/>
        <v>0</v>
      </c>
      <c r="AA351" s="165">
        <v>4980</v>
      </c>
      <c r="AB351" s="161">
        <f t="shared" si="121"/>
        <v>7470000</v>
      </c>
      <c r="AC351" s="162"/>
      <c r="AD351" s="162">
        <f t="shared" si="113"/>
        <v>0</v>
      </c>
      <c r="AE351" s="164"/>
      <c r="AF351" s="164">
        <f t="shared" si="114"/>
        <v>0</v>
      </c>
      <c r="AG351" s="165"/>
      <c r="AH351" s="165">
        <f t="shared" si="115"/>
        <v>0</v>
      </c>
      <c r="AI351" s="166">
        <v>0</v>
      </c>
      <c r="AJ351" s="166">
        <f t="shared" si="116"/>
        <v>0</v>
      </c>
      <c r="AK351" s="162"/>
      <c r="AL351" s="162">
        <f t="shared" si="122"/>
        <v>0</v>
      </c>
      <c r="AM351" s="173"/>
      <c r="AN351" s="167">
        <f t="shared" si="123"/>
        <v>0</v>
      </c>
      <c r="AO351" s="163"/>
      <c r="AP351" s="163">
        <f t="shared" si="124"/>
        <v>0</v>
      </c>
      <c r="AQ351" s="168"/>
      <c r="AR351" s="168">
        <f t="shared" si="125"/>
        <v>0</v>
      </c>
      <c r="AS351" s="170"/>
      <c r="AT351" s="170">
        <f t="shared" si="126"/>
        <v>0</v>
      </c>
      <c r="AU351" s="166"/>
      <c r="AV351" s="166">
        <f t="shared" si="127"/>
        <v>0</v>
      </c>
    </row>
    <row r="352" spans="1:48" ht="31.5">
      <c r="A352" s="148" t="s">
        <v>6537</v>
      </c>
      <c r="B352" s="149" t="s">
        <v>6259</v>
      </c>
      <c r="C352" s="150" t="s">
        <v>6260</v>
      </c>
      <c r="D352" s="240" t="s">
        <v>6538</v>
      </c>
      <c r="E352" s="590"/>
      <c r="F352" s="203" t="s">
        <v>659</v>
      </c>
      <c r="G352" s="204" t="s">
        <v>334</v>
      </c>
      <c r="H352" s="204">
        <v>2</v>
      </c>
      <c r="I352" s="203" t="s">
        <v>6539</v>
      </c>
      <c r="J352" s="205" t="s">
        <v>6540</v>
      </c>
      <c r="K352" s="203" t="s">
        <v>5104</v>
      </c>
      <c r="L352" s="205" t="s">
        <v>6541</v>
      </c>
      <c r="M352" s="205" t="s">
        <v>6526</v>
      </c>
      <c r="N352" s="204" t="s">
        <v>6527</v>
      </c>
      <c r="O352" s="204" t="s">
        <v>11</v>
      </c>
      <c r="P352" s="206">
        <v>6400</v>
      </c>
      <c r="Q352" s="206">
        <v>6400</v>
      </c>
      <c r="R352" s="207">
        <v>30000</v>
      </c>
      <c r="S352" s="207">
        <f t="shared" si="117"/>
        <v>192000000</v>
      </c>
      <c r="T352" s="589"/>
      <c r="U352" s="157">
        <v>30000</v>
      </c>
      <c r="V352" s="158">
        <f t="shared" si="112"/>
        <v>30000</v>
      </c>
      <c r="W352" s="159">
        <f t="shared" si="118"/>
        <v>0</v>
      </c>
      <c r="X352" s="159">
        <f t="shared" si="119"/>
        <v>0</v>
      </c>
      <c r="Y352" s="160"/>
      <c r="Z352" s="160">
        <f t="shared" si="120"/>
        <v>0</v>
      </c>
      <c r="AA352" s="165"/>
      <c r="AB352" s="161">
        <f t="shared" si="121"/>
        <v>0</v>
      </c>
      <c r="AC352" s="162"/>
      <c r="AD352" s="162">
        <f t="shared" si="113"/>
        <v>0</v>
      </c>
      <c r="AE352" s="164"/>
      <c r="AF352" s="164">
        <f t="shared" si="114"/>
        <v>0</v>
      </c>
      <c r="AG352" s="165"/>
      <c r="AH352" s="165">
        <f t="shared" si="115"/>
        <v>0</v>
      </c>
      <c r="AI352" s="166">
        <v>0</v>
      </c>
      <c r="AJ352" s="166">
        <f t="shared" si="116"/>
        <v>0</v>
      </c>
      <c r="AK352" s="162"/>
      <c r="AL352" s="162">
        <f t="shared" si="122"/>
        <v>0</v>
      </c>
      <c r="AM352" s="173"/>
      <c r="AN352" s="167">
        <f t="shared" si="123"/>
        <v>0</v>
      </c>
      <c r="AO352" s="163"/>
      <c r="AP352" s="163">
        <f t="shared" si="124"/>
        <v>0</v>
      </c>
      <c r="AQ352" s="168"/>
      <c r="AR352" s="168">
        <f t="shared" si="125"/>
        <v>0</v>
      </c>
      <c r="AS352" s="170"/>
      <c r="AT352" s="170">
        <f t="shared" si="126"/>
        <v>0</v>
      </c>
      <c r="AU352" s="166"/>
      <c r="AV352" s="166">
        <f t="shared" si="127"/>
        <v>0</v>
      </c>
    </row>
    <row r="353" spans="1:48" ht="31.5">
      <c r="A353" s="172" t="s">
        <v>6697</v>
      </c>
      <c r="B353" s="149" t="s">
        <v>6259</v>
      </c>
      <c r="C353" s="150" t="s">
        <v>6260</v>
      </c>
      <c r="D353" s="240" t="s">
        <v>6698</v>
      </c>
      <c r="E353" s="590"/>
      <c r="F353" s="203" t="s">
        <v>706</v>
      </c>
      <c r="G353" s="204" t="s">
        <v>369</v>
      </c>
      <c r="H353" s="204">
        <v>2</v>
      </c>
      <c r="I353" s="203" t="s">
        <v>2442</v>
      </c>
      <c r="J353" s="205" t="s">
        <v>6699</v>
      </c>
      <c r="K353" s="203" t="s">
        <v>5104</v>
      </c>
      <c r="L353" s="205" t="s">
        <v>6700</v>
      </c>
      <c r="M353" s="205" t="s">
        <v>6526</v>
      </c>
      <c r="N353" s="204" t="s">
        <v>6527</v>
      </c>
      <c r="O353" s="204" t="s">
        <v>11</v>
      </c>
      <c r="P353" s="206">
        <v>3000</v>
      </c>
      <c r="Q353" s="206">
        <v>2680</v>
      </c>
      <c r="R353" s="207">
        <v>10000</v>
      </c>
      <c r="S353" s="207">
        <f t="shared" si="117"/>
        <v>26800000</v>
      </c>
      <c r="T353" s="589"/>
      <c r="U353" s="157">
        <v>10000</v>
      </c>
      <c r="V353" s="158">
        <f t="shared" si="112"/>
        <v>10000</v>
      </c>
      <c r="W353" s="159">
        <f t="shared" si="118"/>
        <v>0</v>
      </c>
      <c r="X353" s="159">
        <f t="shared" si="119"/>
        <v>0</v>
      </c>
      <c r="Y353" s="160"/>
      <c r="Z353" s="160">
        <f t="shared" si="120"/>
        <v>0</v>
      </c>
      <c r="AA353" s="165"/>
      <c r="AB353" s="161">
        <f t="shared" si="121"/>
        <v>0</v>
      </c>
      <c r="AC353" s="162"/>
      <c r="AD353" s="162">
        <f t="shared" si="113"/>
        <v>0</v>
      </c>
      <c r="AE353" s="164"/>
      <c r="AF353" s="164">
        <f t="shared" si="114"/>
        <v>0</v>
      </c>
      <c r="AG353" s="165"/>
      <c r="AH353" s="165">
        <f t="shared" si="115"/>
        <v>0</v>
      </c>
      <c r="AI353" s="166">
        <v>0</v>
      </c>
      <c r="AJ353" s="166">
        <f t="shared" si="116"/>
        <v>0</v>
      </c>
      <c r="AK353" s="162"/>
      <c r="AL353" s="162">
        <f t="shared" si="122"/>
        <v>0</v>
      </c>
      <c r="AM353" s="173"/>
      <c r="AN353" s="167">
        <f t="shared" si="123"/>
        <v>0</v>
      </c>
      <c r="AO353" s="163"/>
      <c r="AP353" s="163">
        <f t="shared" si="124"/>
        <v>0</v>
      </c>
      <c r="AQ353" s="168"/>
      <c r="AR353" s="168">
        <f t="shared" si="125"/>
        <v>0</v>
      </c>
      <c r="AS353" s="170"/>
      <c r="AT353" s="170">
        <f t="shared" si="126"/>
        <v>0</v>
      </c>
      <c r="AU353" s="166"/>
      <c r="AV353" s="166">
        <f t="shared" si="127"/>
        <v>0</v>
      </c>
    </row>
    <row r="354" spans="1:48" ht="31.5">
      <c r="A354" s="148" t="s">
        <v>8427</v>
      </c>
      <c r="B354" s="149" t="s">
        <v>6259</v>
      </c>
      <c r="C354" s="150" t="s">
        <v>6260</v>
      </c>
      <c r="D354" s="240" t="s">
        <v>8428</v>
      </c>
      <c r="E354" s="590"/>
      <c r="F354" s="203" t="s">
        <v>8429</v>
      </c>
      <c r="G354" s="204" t="s">
        <v>8430</v>
      </c>
      <c r="H354" s="204">
        <v>5</v>
      </c>
      <c r="I354" s="203" t="s">
        <v>8431</v>
      </c>
      <c r="J354" s="205" t="s">
        <v>8432</v>
      </c>
      <c r="K354" s="203" t="s">
        <v>253</v>
      </c>
      <c r="L354" s="205" t="s">
        <v>8433</v>
      </c>
      <c r="M354" s="205" t="s">
        <v>8434</v>
      </c>
      <c r="N354" s="204" t="s">
        <v>5605</v>
      </c>
      <c r="O354" s="204" t="s">
        <v>11</v>
      </c>
      <c r="P354" s="206">
        <v>5300</v>
      </c>
      <c r="Q354" s="206">
        <v>5300</v>
      </c>
      <c r="R354" s="207">
        <v>30000</v>
      </c>
      <c r="S354" s="207">
        <f t="shared" si="117"/>
        <v>159000000</v>
      </c>
      <c r="T354" s="589"/>
      <c r="U354" s="157">
        <v>30000</v>
      </c>
      <c r="V354" s="158">
        <f t="shared" si="112"/>
        <v>30000</v>
      </c>
      <c r="W354" s="159">
        <f t="shared" si="118"/>
        <v>0</v>
      </c>
      <c r="X354" s="159">
        <f t="shared" si="119"/>
        <v>0</v>
      </c>
      <c r="Y354" s="160"/>
      <c r="Z354" s="160">
        <f t="shared" si="120"/>
        <v>0</v>
      </c>
      <c r="AA354" s="165"/>
      <c r="AB354" s="161">
        <f t="shared" si="121"/>
        <v>0</v>
      </c>
      <c r="AC354" s="162"/>
      <c r="AD354" s="162">
        <f t="shared" si="113"/>
        <v>0</v>
      </c>
      <c r="AE354" s="164"/>
      <c r="AF354" s="164">
        <f t="shared" si="114"/>
        <v>0</v>
      </c>
      <c r="AG354" s="165"/>
      <c r="AH354" s="165">
        <f t="shared" si="115"/>
        <v>0</v>
      </c>
      <c r="AI354" s="166">
        <v>0</v>
      </c>
      <c r="AJ354" s="166">
        <f t="shared" si="116"/>
        <v>0</v>
      </c>
      <c r="AK354" s="162"/>
      <c r="AL354" s="162">
        <f t="shared" si="122"/>
        <v>0</v>
      </c>
      <c r="AM354" s="173"/>
      <c r="AN354" s="167">
        <f t="shared" si="123"/>
        <v>0</v>
      </c>
      <c r="AO354" s="163"/>
      <c r="AP354" s="163">
        <f t="shared" si="124"/>
        <v>0</v>
      </c>
      <c r="AQ354" s="168"/>
      <c r="AR354" s="168">
        <f t="shared" si="125"/>
        <v>0</v>
      </c>
      <c r="AS354" s="170"/>
      <c r="AT354" s="170">
        <f t="shared" si="126"/>
        <v>0</v>
      </c>
      <c r="AU354" s="166"/>
      <c r="AV354" s="166">
        <f t="shared" si="127"/>
        <v>0</v>
      </c>
    </row>
    <row r="355" spans="1:48" ht="78.75">
      <c r="A355" s="148">
        <v>4</v>
      </c>
      <c r="B355" s="149" t="s">
        <v>6259</v>
      </c>
      <c r="C355" s="150" t="s">
        <v>6260</v>
      </c>
      <c r="D355" s="250" t="s">
        <v>8514</v>
      </c>
      <c r="E355" s="241"/>
      <c r="F355" s="242" t="s">
        <v>4659</v>
      </c>
      <c r="G355" s="244" t="s">
        <v>8515</v>
      </c>
      <c r="H355" s="244" t="s">
        <v>211</v>
      </c>
      <c r="I355" s="244" t="s">
        <v>8516</v>
      </c>
      <c r="J355" s="244" t="s">
        <v>8517</v>
      </c>
      <c r="K355" s="244" t="s">
        <v>5535</v>
      </c>
      <c r="L355" s="241" t="s">
        <v>8518</v>
      </c>
      <c r="M355" s="244" t="s">
        <v>8519</v>
      </c>
      <c r="N355" s="241" t="s">
        <v>6694</v>
      </c>
      <c r="O355" s="241" t="s">
        <v>520</v>
      </c>
      <c r="P355" s="245">
        <v>5500</v>
      </c>
      <c r="Q355" s="245">
        <v>5500</v>
      </c>
      <c r="R355" s="246">
        <v>10000</v>
      </c>
      <c r="S355" s="245">
        <f t="shared" si="117"/>
        <v>55000000</v>
      </c>
      <c r="T355" s="589"/>
      <c r="U355" s="244"/>
      <c r="V355" s="247">
        <f>R355-W355</f>
        <v>10000</v>
      </c>
      <c r="W355" s="159">
        <f t="shared" si="118"/>
        <v>0</v>
      </c>
      <c r="X355" s="159">
        <f t="shared" si="119"/>
        <v>0</v>
      </c>
      <c r="Y355" s="248"/>
      <c r="Z355" s="160">
        <f t="shared" si="120"/>
        <v>0</v>
      </c>
      <c r="AA355" s="248"/>
      <c r="AB355" s="161">
        <f t="shared" si="121"/>
        <v>0</v>
      </c>
      <c r="AC355" s="249"/>
      <c r="AD355" s="249"/>
      <c r="AE355" s="249"/>
      <c r="AF355" s="249"/>
      <c r="AG355" s="249"/>
      <c r="AH355" s="249"/>
      <c r="AI355" s="249"/>
      <c r="AJ355" s="249"/>
      <c r="AK355" s="249"/>
      <c r="AL355" s="162">
        <f t="shared" si="122"/>
        <v>0</v>
      </c>
      <c r="AM355" s="249"/>
      <c r="AN355" s="167">
        <f t="shared" si="123"/>
        <v>0</v>
      </c>
      <c r="AO355" s="249"/>
      <c r="AP355" s="163">
        <f t="shared" si="124"/>
        <v>0</v>
      </c>
      <c r="AQ355" s="249"/>
      <c r="AR355" s="168">
        <f t="shared" si="125"/>
        <v>0</v>
      </c>
      <c r="AS355" s="249"/>
      <c r="AT355" s="170">
        <f t="shared" si="126"/>
        <v>0</v>
      </c>
      <c r="AU355" s="249"/>
      <c r="AV355" s="166">
        <f t="shared" si="127"/>
        <v>0</v>
      </c>
    </row>
    <row r="356" spans="1:48" ht="63">
      <c r="A356" s="250">
        <v>65</v>
      </c>
      <c r="B356" s="244" t="s">
        <v>8788</v>
      </c>
      <c r="C356" s="244" t="s">
        <v>8789</v>
      </c>
      <c r="D356" s="250" t="s">
        <v>8790</v>
      </c>
      <c r="E356" s="241"/>
      <c r="F356" s="242" t="s">
        <v>8791</v>
      </c>
      <c r="G356" s="244" t="s">
        <v>106</v>
      </c>
      <c r="H356" s="244" t="s">
        <v>211</v>
      </c>
      <c r="I356" s="244" t="s">
        <v>104</v>
      </c>
      <c r="J356" s="244" t="s">
        <v>8792</v>
      </c>
      <c r="K356" s="244" t="s">
        <v>5104</v>
      </c>
      <c r="L356" s="241" t="s">
        <v>8793</v>
      </c>
      <c r="M356" s="244" t="s">
        <v>2413</v>
      </c>
      <c r="N356" s="241" t="s">
        <v>213</v>
      </c>
      <c r="O356" s="241" t="s">
        <v>11</v>
      </c>
      <c r="P356" s="245">
        <v>3500</v>
      </c>
      <c r="Q356" s="245">
        <v>2780</v>
      </c>
      <c r="R356" s="246">
        <v>80000</v>
      </c>
      <c r="S356" s="245">
        <f t="shared" si="117"/>
        <v>222400000</v>
      </c>
      <c r="T356" s="589"/>
      <c r="U356" s="244"/>
      <c r="V356" s="247">
        <f>R356-W356</f>
        <v>80000</v>
      </c>
      <c r="W356" s="159">
        <f t="shared" si="118"/>
        <v>0</v>
      </c>
      <c r="X356" s="159">
        <f t="shared" si="119"/>
        <v>0</v>
      </c>
      <c r="Y356" s="248"/>
      <c r="Z356" s="160">
        <f t="shared" si="120"/>
        <v>0</v>
      </c>
      <c r="AA356" s="248"/>
      <c r="AB356" s="161">
        <f t="shared" si="121"/>
        <v>0</v>
      </c>
      <c r="AC356" s="249"/>
      <c r="AD356" s="249"/>
      <c r="AE356" s="249"/>
      <c r="AF356" s="249"/>
      <c r="AG356" s="249"/>
      <c r="AH356" s="249"/>
      <c r="AI356" s="249"/>
      <c r="AJ356" s="249"/>
      <c r="AK356" s="249"/>
      <c r="AL356" s="162">
        <f t="shared" si="122"/>
        <v>0</v>
      </c>
      <c r="AM356" s="249"/>
      <c r="AN356" s="167">
        <f t="shared" si="123"/>
        <v>0</v>
      </c>
      <c r="AO356" s="249"/>
      <c r="AP356" s="163">
        <f t="shared" si="124"/>
        <v>0</v>
      </c>
      <c r="AQ356" s="249"/>
      <c r="AR356" s="168">
        <f t="shared" si="125"/>
        <v>0</v>
      </c>
      <c r="AS356" s="249"/>
      <c r="AT356" s="170">
        <f t="shared" si="126"/>
        <v>0</v>
      </c>
      <c r="AU356" s="249"/>
      <c r="AV356" s="166">
        <f t="shared" si="127"/>
        <v>0</v>
      </c>
    </row>
    <row r="357" spans="1:48" ht="78.75">
      <c r="A357" s="250">
        <v>68</v>
      </c>
      <c r="B357" s="244" t="s">
        <v>8788</v>
      </c>
      <c r="C357" s="244" t="s">
        <v>8789</v>
      </c>
      <c r="D357" s="250" t="s">
        <v>8798</v>
      </c>
      <c r="E357" s="241"/>
      <c r="F357" s="242" t="s">
        <v>8799</v>
      </c>
      <c r="G357" s="244" t="s">
        <v>8800</v>
      </c>
      <c r="H357" s="244" t="s">
        <v>211</v>
      </c>
      <c r="I357" s="244" t="s">
        <v>189</v>
      </c>
      <c r="J357" s="244" t="s">
        <v>8792</v>
      </c>
      <c r="K357" s="244" t="s">
        <v>5104</v>
      </c>
      <c r="L357" s="241" t="s">
        <v>8801</v>
      </c>
      <c r="M357" s="244" t="s">
        <v>2413</v>
      </c>
      <c r="N357" s="241" t="s">
        <v>213</v>
      </c>
      <c r="O357" s="241" t="s">
        <v>11</v>
      </c>
      <c r="P357" s="245">
        <v>5000</v>
      </c>
      <c r="Q357" s="245">
        <v>2975</v>
      </c>
      <c r="R357" s="246">
        <v>80000</v>
      </c>
      <c r="S357" s="245">
        <f t="shared" si="117"/>
        <v>238000000</v>
      </c>
      <c r="T357" s="589"/>
      <c r="U357" s="244"/>
      <c r="V357" s="247">
        <f>R357-W357</f>
        <v>70000</v>
      </c>
      <c r="W357" s="159">
        <f t="shared" si="118"/>
        <v>10000</v>
      </c>
      <c r="X357" s="159">
        <f t="shared" si="119"/>
        <v>29750000</v>
      </c>
      <c r="Y357" s="248"/>
      <c r="Z357" s="160">
        <f t="shared" si="120"/>
        <v>0</v>
      </c>
      <c r="AA357" s="248"/>
      <c r="AB357" s="161">
        <f t="shared" si="121"/>
        <v>0</v>
      </c>
      <c r="AC357" s="249"/>
      <c r="AD357" s="249"/>
      <c r="AE357" s="249"/>
      <c r="AF357" s="249"/>
      <c r="AG357" s="249"/>
      <c r="AH357" s="249"/>
      <c r="AI357" s="249"/>
      <c r="AJ357" s="249"/>
      <c r="AK357" s="249"/>
      <c r="AL357" s="162">
        <f t="shared" si="122"/>
        <v>0</v>
      </c>
      <c r="AM357" s="249"/>
      <c r="AN357" s="167">
        <f t="shared" si="123"/>
        <v>0</v>
      </c>
      <c r="AO357" s="249"/>
      <c r="AP357" s="163">
        <f t="shared" si="124"/>
        <v>0</v>
      </c>
      <c r="AQ357" s="249"/>
      <c r="AR357" s="168">
        <f t="shared" si="125"/>
        <v>0</v>
      </c>
      <c r="AS357" s="249">
        <v>10000</v>
      </c>
      <c r="AT357" s="170">
        <f t="shared" si="126"/>
        <v>29750000</v>
      </c>
      <c r="AU357" s="249"/>
      <c r="AV357" s="166">
        <f t="shared" si="127"/>
        <v>0</v>
      </c>
    </row>
    <row r="358" spans="1:48" ht="31.5">
      <c r="A358" s="172" t="s">
        <v>5935</v>
      </c>
      <c r="B358" s="149" t="s">
        <v>5936</v>
      </c>
      <c r="C358" s="149" t="s">
        <v>5937</v>
      </c>
      <c r="D358" s="240" t="s">
        <v>5938</v>
      </c>
      <c r="E358" s="590"/>
      <c r="F358" s="203" t="s">
        <v>1664</v>
      </c>
      <c r="G358" s="204" t="s">
        <v>334</v>
      </c>
      <c r="H358" s="204">
        <v>1</v>
      </c>
      <c r="I358" s="203" t="s">
        <v>5939</v>
      </c>
      <c r="J358" s="205" t="s">
        <v>5940</v>
      </c>
      <c r="K358" s="203" t="s">
        <v>253</v>
      </c>
      <c r="L358" s="205" t="s">
        <v>5941</v>
      </c>
      <c r="M358" s="205" t="s">
        <v>5942</v>
      </c>
      <c r="N358" s="204" t="s">
        <v>5943</v>
      </c>
      <c r="O358" s="204" t="s">
        <v>11</v>
      </c>
      <c r="P358" s="206">
        <v>49000</v>
      </c>
      <c r="Q358" s="206">
        <v>48300</v>
      </c>
      <c r="R358" s="207">
        <v>5000</v>
      </c>
      <c r="S358" s="207">
        <f t="shared" si="117"/>
        <v>241500000</v>
      </c>
      <c r="T358" s="589"/>
      <c r="U358" s="157">
        <v>5000</v>
      </c>
      <c r="V358" s="158">
        <f>U358-W358</f>
        <v>5000</v>
      </c>
      <c r="W358" s="159">
        <f t="shared" si="118"/>
        <v>0</v>
      </c>
      <c r="X358" s="159">
        <f t="shared" si="119"/>
        <v>0</v>
      </c>
      <c r="Y358" s="160"/>
      <c r="Z358" s="160">
        <f t="shared" si="120"/>
        <v>0</v>
      </c>
      <c r="AA358" s="165"/>
      <c r="AB358" s="161">
        <f t="shared" si="121"/>
        <v>0</v>
      </c>
      <c r="AC358" s="162"/>
      <c r="AD358" s="162">
        <f>AC358*Q358</f>
        <v>0</v>
      </c>
      <c r="AE358" s="164"/>
      <c r="AF358" s="164">
        <f>AE358*Q358</f>
        <v>0</v>
      </c>
      <c r="AG358" s="165"/>
      <c r="AH358" s="165">
        <f>AG358*Q358</f>
        <v>0</v>
      </c>
      <c r="AI358" s="166">
        <v>0</v>
      </c>
      <c r="AJ358" s="166">
        <f>AI358*Q358</f>
        <v>0</v>
      </c>
      <c r="AK358" s="162"/>
      <c r="AL358" s="162">
        <f t="shared" si="122"/>
        <v>0</v>
      </c>
      <c r="AM358" s="173"/>
      <c r="AN358" s="167">
        <f t="shared" si="123"/>
        <v>0</v>
      </c>
      <c r="AO358" s="163"/>
      <c r="AP358" s="163">
        <f t="shared" si="124"/>
        <v>0</v>
      </c>
      <c r="AQ358" s="168"/>
      <c r="AR358" s="168">
        <f t="shared" si="125"/>
        <v>0</v>
      </c>
      <c r="AS358" s="170"/>
      <c r="AT358" s="170">
        <f t="shared" si="126"/>
        <v>0</v>
      </c>
      <c r="AU358" s="166"/>
      <c r="AV358" s="166">
        <f t="shared" si="127"/>
        <v>0</v>
      </c>
    </row>
    <row r="359" spans="1:48" ht="47.25">
      <c r="A359" s="148">
        <v>76</v>
      </c>
      <c r="B359" s="149" t="s">
        <v>5936</v>
      </c>
      <c r="C359" s="149" t="s">
        <v>5937</v>
      </c>
      <c r="D359" s="250" t="s">
        <v>8816</v>
      </c>
      <c r="E359" s="241"/>
      <c r="F359" s="242" t="s">
        <v>8817</v>
      </c>
      <c r="G359" s="244" t="s">
        <v>8818</v>
      </c>
      <c r="H359" s="244" t="s">
        <v>211</v>
      </c>
      <c r="I359" s="244" t="s">
        <v>8819</v>
      </c>
      <c r="J359" s="244" t="s">
        <v>8616</v>
      </c>
      <c r="K359" s="244" t="s">
        <v>5104</v>
      </c>
      <c r="L359" s="241" t="s">
        <v>8820</v>
      </c>
      <c r="M359" s="244" t="s">
        <v>8821</v>
      </c>
      <c r="N359" s="241" t="s">
        <v>213</v>
      </c>
      <c r="O359" s="241" t="s">
        <v>11</v>
      </c>
      <c r="P359" s="245">
        <v>2090</v>
      </c>
      <c r="Q359" s="245">
        <v>1045</v>
      </c>
      <c r="R359" s="246">
        <v>50000</v>
      </c>
      <c r="S359" s="245">
        <f t="shared" si="117"/>
        <v>52250000</v>
      </c>
      <c r="T359" s="589"/>
      <c r="U359" s="244"/>
      <c r="V359" s="247">
        <f>R359-W359</f>
        <v>50000</v>
      </c>
      <c r="W359" s="159">
        <f t="shared" si="118"/>
        <v>0</v>
      </c>
      <c r="X359" s="159">
        <f t="shared" si="119"/>
        <v>0</v>
      </c>
      <c r="Y359" s="248"/>
      <c r="Z359" s="160">
        <f t="shared" si="120"/>
        <v>0</v>
      </c>
      <c r="AA359" s="248"/>
      <c r="AB359" s="161">
        <f t="shared" si="121"/>
        <v>0</v>
      </c>
      <c r="AC359" s="249"/>
      <c r="AD359" s="249"/>
      <c r="AE359" s="249"/>
      <c r="AF359" s="249"/>
      <c r="AG359" s="249"/>
      <c r="AH359" s="249"/>
      <c r="AI359" s="249"/>
      <c r="AJ359" s="249"/>
      <c r="AK359" s="249"/>
      <c r="AL359" s="162">
        <f t="shared" si="122"/>
        <v>0</v>
      </c>
      <c r="AM359" s="249"/>
      <c r="AN359" s="167">
        <f t="shared" si="123"/>
        <v>0</v>
      </c>
      <c r="AO359" s="249"/>
      <c r="AP359" s="163">
        <f t="shared" si="124"/>
        <v>0</v>
      </c>
      <c r="AQ359" s="249"/>
      <c r="AR359" s="168">
        <f t="shared" si="125"/>
        <v>0</v>
      </c>
      <c r="AS359" s="249"/>
      <c r="AT359" s="170">
        <f t="shared" si="126"/>
        <v>0</v>
      </c>
      <c r="AU359" s="249"/>
      <c r="AV359" s="166">
        <f t="shared" si="127"/>
        <v>0</v>
      </c>
    </row>
    <row r="360" spans="1:48" s="115" customFormat="1" ht="31.5">
      <c r="A360" s="148" t="s">
        <v>5180</v>
      </c>
      <c r="B360" s="150" t="s">
        <v>5181</v>
      </c>
      <c r="C360" s="150" t="s">
        <v>5182</v>
      </c>
      <c r="D360" s="634" t="s">
        <v>5183</v>
      </c>
      <c r="E360" s="631"/>
      <c r="F360" s="175" t="s">
        <v>274</v>
      </c>
      <c r="G360" s="151" t="s">
        <v>276</v>
      </c>
      <c r="H360" s="174" t="s">
        <v>211</v>
      </c>
      <c r="I360" s="150" t="s">
        <v>275</v>
      </c>
      <c r="J360" s="153" t="s">
        <v>5184</v>
      </c>
      <c r="K360" s="151" t="s">
        <v>5104</v>
      </c>
      <c r="L360" s="151" t="s">
        <v>278</v>
      </c>
      <c r="M360" s="151" t="s">
        <v>279</v>
      </c>
      <c r="N360" s="152" t="s">
        <v>5185</v>
      </c>
      <c r="O360" s="152" t="s">
        <v>5141</v>
      </c>
      <c r="P360" s="176">
        <v>90000</v>
      </c>
      <c r="Q360" s="177">
        <v>53950</v>
      </c>
      <c r="R360" s="176">
        <v>1850</v>
      </c>
      <c r="S360" s="156">
        <f t="shared" si="117"/>
        <v>99807500</v>
      </c>
      <c r="T360" s="589"/>
      <c r="U360" s="157">
        <v>1850</v>
      </c>
      <c r="V360" s="158">
        <f>U360-W360</f>
        <v>1850</v>
      </c>
      <c r="W360" s="159">
        <f t="shared" si="118"/>
        <v>0</v>
      </c>
      <c r="X360" s="159">
        <f t="shared" si="119"/>
        <v>0</v>
      </c>
      <c r="Y360" s="160"/>
      <c r="Z360" s="160">
        <f t="shared" si="120"/>
        <v>0</v>
      </c>
      <c r="AA360" s="161"/>
      <c r="AB360" s="161">
        <f t="shared" si="121"/>
        <v>0</v>
      </c>
      <c r="AC360" s="162"/>
      <c r="AD360" s="162">
        <f>AC360*Q360</f>
        <v>0</v>
      </c>
      <c r="AE360" s="164"/>
      <c r="AF360" s="164">
        <f>AE360*Q360</f>
        <v>0</v>
      </c>
      <c r="AG360" s="165"/>
      <c r="AH360" s="165">
        <f>AG360*Q360</f>
        <v>0</v>
      </c>
      <c r="AI360" s="166">
        <v>0</v>
      </c>
      <c r="AJ360" s="166">
        <f>AI360*Q360</f>
        <v>0</v>
      </c>
      <c r="AK360" s="162"/>
      <c r="AL360" s="162">
        <f t="shared" si="122"/>
        <v>0</v>
      </c>
      <c r="AM360" s="167"/>
      <c r="AN360" s="167">
        <f t="shared" si="123"/>
        <v>0</v>
      </c>
      <c r="AO360" s="163"/>
      <c r="AP360" s="163">
        <f t="shared" si="124"/>
        <v>0</v>
      </c>
      <c r="AQ360" s="168"/>
      <c r="AR360" s="168">
        <f t="shared" si="125"/>
        <v>0</v>
      </c>
      <c r="AS360" s="170"/>
      <c r="AT360" s="170">
        <f t="shared" si="126"/>
        <v>0</v>
      </c>
      <c r="AU360" s="166"/>
      <c r="AV360" s="166">
        <f t="shared" si="127"/>
        <v>0</v>
      </c>
    </row>
    <row r="361" spans="1:48" ht="94.5">
      <c r="A361" s="250">
        <v>89</v>
      </c>
      <c r="B361" s="150" t="s">
        <v>8882</v>
      </c>
      <c r="C361" s="150" t="s">
        <v>8883</v>
      </c>
      <c r="D361" s="250" t="s">
        <v>4600</v>
      </c>
      <c r="E361" s="241"/>
      <c r="F361" s="242" t="s">
        <v>8884</v>
      </c>
      <c r="G361" s="244" t="s">
        <v>8885</v>
      </c>
      <c r="H361" s="244" t="s">
        <v>210</v>
      </c>
      <c r="I361" s="244" t="s">
        <v>8886</v>
      </c>
      <c r="J361" s="244" t="s">
        <v>8887</v>
      </c>
      <c r="K361" s="244" t="s">
        <v>5104</v>
      </c>
      <c r="L361" s="241" t="s">
        <v>8888</v>
      </c>
      <c r="M361" s="244" t="s">
        <v>8889</v>
      </c>
      <c r="N361" s="241" t="s">
        <v>213</v>
      </c>
      <c r="O361" s="241" t="s">
        <v>15</v>
      </c>
      <c r="P361" s="245">
        <v>90000</v>
      </c>
      <c r="Q361" s="245">
        <v>55000</v>
      </c>
      <c r="R361" s="246">
        <v>3000</v>
      </c>
      <c r="S361" s="245">
        <f t="shared" si="117"/>
        <v>165000000</v>
      </c>
      <c r="T361" s="589"/>
      <c r="U361" s="244"/>
      <c r="V361" s="247">
        <f>R361-W361</f>
        <v>2100</v>
      </c>
      <c r="W361" s="159">
        <f t="shared" si="118"/>
        <v>900</v>
      </c>
      <c r="X361" s="159">
        <f t="shared" si="119"/>
        <v>49500000</v>
      </c>
      <c r="Y361" s="248"/>
      <c r="Z361" s="160">
        <f t="shared" si="120"/>
        <v>0</v>
      </c>
      <c r="AA361" s="248"/>
      <c r="AB361" s="161">
        <f t="shared" si="121"/>
        <v>0</v>
      </c>
      <c r="AC361" s="249"/>
      <c r="AD361" s="249"/>
      <c r="AE361" s="249"/>
      <c r="AF361" s="249"/>
      <c r="AG361" s="249"/>
      <c r="AH361" s="249"/>
      <c r="AI361" s="249"/>
      <c r="AJ361" s="249"/>
      <c r="AK361" s="249">
        <v>900</v>
      </c>
      <c r="AL361" s="162">
        <f t="shared" si="122"/>
        <v>49500000</v>
      </c>
      <c r="AM361" s="249"/>
      <c r="AN361" s="167">
        <f t="shared" si="123"/>
        <v>0</v>
      </c>
      <c r="AO361" s="249"/>
      <c r="AP361" s="163">
        <f t="shared" si="124"/>
        <v>0</v>
      </c>
      <c r="AQ361" s="249"/>
      <c r="AR361" s="168">
        <f t="shared" si="125"/>
        <v>0</v>
      </c>
      <c r="AS361" s="249"/>
      <c r="AT361" s="170">
        <f t="shared" si="126"/>
        <v>0</v>
      </c>
      <c r="AU361" s="249"/>
      <c r="AV361" s="166">
        <f t="shared" si="127"/>
        <v>0</v>
      </c>
    </row>
    <row r="362" spans="1:48" ht="63">
      <c r="A362" s="148">
        <v>90</v>
      </c>
      <c r="B362" s="150" t="s">
        <v>8882</v>
      </c>
      <c r="C362" s="150" t="s">
        <v>8883</v>
      </c>
      <c r="D362" s="250" t="s">
        <v>4622</v>
      </c>
      <c r="E362" s="241"/>
      <c r="F362" s="242" t="s">
        <v>52</v>
      </c>
      <c r="G362" s="244" t="s">
        <v>8890</v>
      </c>
      <c r="H362" s="244" t="s">
        <v>210</v>
      </c>
      <c r="I362" s="244" t="s">
        <v>3138</v>
      </c>
      <c r="J362" s="244" t="s">
        <v>8887</v>
      </c>
      <c r="K362" s="244" t="s">
        <v>5104</v>
      </c>
      <c r="L362" s="241" t="s">
        <v>2238</v>
      </c>
      <c r="M362" s="244" t="s">
        <v>8889</v>
      </c>
      <c r="N362" s="241" t="s">
        <v>213</v>
      </c>
      <c r="O362" s="241" t="s">
        <v>15</v>
      </c>
      <c r="P362" s="245">
        <v>90000</v>
      </c>
      <c r="Q362" s="245">
        <v>70000</v>
      </c>
      <c r="R362" s="246">
        <v>3000</v>
      </c>
      <c r="S362" s="245">
        <f t="shared" si="117"/>
        <v>210000000</v>
      </c>
      <c r="T362" s="589"/>
      <c r="U362" s="244"/>
      <c r="V362" s="247">
        <f>R362-W362</f>
        <v>3000</v>
      </c>
      <c r="W362" s="159">
        <f t="shared" si="118"/>
        <v>0</v>
      </c>
      <c r="X362" s="159">
        <f t="shared" si="119"/>
        <v>0</v>
      </c>
      <c r="Y362" s="248"/>
      <c r="Z362" s="160">
        <f t="shared" si="120"/>
        <v>0</v>
      </c>
      <c r="AA362" s="248"/>
      <c r="AB362" s="161">
        <f t="shared" si="121"/>
        <v>0</v>
      </c>
      <c r="AC362" s="249"/>
      <c r="AD362" s="249"/>
      <c r="AE362" s="249"/>
      <c r="AF362" s="249"/>
      <c r="AG362" s="249"/>
      <c r="AH362" s="249"/>
      <c r="AI362" s="249"/>
      <c r="AJ362" s="249"/>
      <c r="AK362" s="249"/>
      <c r="AL362" s="162">
        <f t="shared" si="122"/>
        <v>0</v>
      </c>
      <c r="AM362" s="249"/>
      <c r="AN362" s="167">
        <f t="shared" si="123"/>
        <v>0</v>
      </c>
      <c r="AO362" s="249"/>
      <c r="AP362" s="163">
        <f t="shared" si="124"/>
        <v>0</v>
      </c>
      <c r="AQ362" s="249"/>
      <c r="AR362" s="168">
        <f t="shared" si="125"/>
        <v>0</v>
      </c>
      <c r="AS362" s="249"/>
      <c r="AT362" s="170">
        <f t="shared" si="126"/>
        <v>0</v>
      </c>
      <c r="AU362" s="249"/>
      <c r="AV362" s="166">
        <f t="shared" si="127"/>
        <v>0</v>
      </c>
    </row>
    <row r="363" spans="1:48" ht="94.5">
      <c r="A363" s="148">
        <v>91</v>
      </c>
      <c r="B363" s="150" t="s">
        <v>8882</v>
      </c>
      <c r="C363" s="150" t="s">
        <v>8883</v>
      </c>
      <c r="D363" s="250" t="s">
        <v>4624</v>
      </c>
      <c r="E363" s="241"/>
      <c r="F363" s="242" t="s">
        <v>8891</v>
      </c>
      <c r="G363" s="244" t="s">
        <v>8892</v>
      </c>
      <c r="H363" s="244" t="s">
        <v>210</v>
      </c>
      <c r="I363" s="244" t="s">
        <v>54</v>
      </c>
      <c r="J363" s="244" t="s">
        <v>8887</v>
      </c>
      <c r="K363" s="244" t="s">
        <v>5104</v>
      </c>
      <c r="L363" s="241" t="s">
        <v>8893</v>
      </c>
      <c r="M363" s="244" t="s">
        <v>8889</v>
      </c>
      <c r="N363" s="241" t="s">
        <v>213</v>
      </c>
      <c r="O363" s="241" t="s">
        <v>15</v>
      </c>
      <c r="P363" s="245">
        <v>90000</v>
      </c>
      <c r="Q363" s="245">
        <v>55000</v>
      </c>
      <c r="R363" s="246">
        <v>2500</v>
      </c>
      <c r="S363" s="245">
        <f t="shared" si="117"/>
        <v>137500000</v>
      </c>
      <c r="T363" s="589"/>
      <c r="U363" s="244"/>
      <c r="V363" s="247">
        <f>R363-W363</f>
        <v>1600</v>
      </c>
      <c r="W363" s="159">
        <f t="shared" si="118"/>
        <v>900</v>
      </c>
      <c r="X363" s="159">
        <f t="shared" si="119"/>
        <v>49500000</v>
      </c>
      <c r="Y363" s="248"/>
      <c r="Z363" s="160">
        <f t="shared" si="120"/>
        <v>0</v>
      </c>
      <c r="AA363" s="248"/>
      <c r="AB363" s="161">
        <f t="shared" si="121"/>
        <v>0</v>
      </c>
      <c r="AC363" s="249"/>
      <c r="AD363" s="249"/>
      <c r="AE363" s="249"/>
      <c r="AF363" s="249"/>
      <c r="AG363" s="249"/>
      <c r="AH363" s="249"/>
      <c r="AI363" s="249"/>
      <c r="AJ363" s="249"/>
      <c r="AK363" s="249"/>
      <c r="AL363" s="162">
        <f t="shared" si="122"/>
        <v>0</v>
      </c>
      <c r="AM363" s="249"/>
      <c r="AN363" s="167">
        <f t="shared" si="123"/>
        <v>0</v>
      </c>
      <c r="AO363" s="249">
        <v>300</v>
      </c>
      <c r="AP363" s="163">
        <f t="shared" si="124"/>
        <v>16500000</v>
      </c>
      <c r="AQ363" s="249">
        <v>600</v>
      </c>
      <c r="AR363" s="168">
        <f t="shared" si="125"/>
        <v>33000000</v>
      </c>
      <c r="AS363" s="249"/>
      <c r="AT363" s="170">
        <f t="shared" si="126"/>
        <v>0</v>
      </c>
      <c r="AU363" s="249"/>
      <c r="AV363" s="166">
        <f t="shared" si="127"/>
        <v>0</v>
      </c>
    </row>
    <row r="364" spans="1:48">
      <c r="A364" s="172" t="s">
        <v>6229</v>
      </c>
      <c r="B364" s="149" t="s">
        <v>6230</v>
      </c>
      <c r="C364" s="149" t="s">
        <v>6231</v>
      </c>
      <c r="D364" s="240" t="s">
        <v>4038</v>
      </c>
      <c r="E364" s="590"/>
      <c r="F364" s="203" t="s">
        <v>1109</v>
      </c>
      <c r="G364" s="204" t="s">
        <v>4040</v>
      </c>
      <c r="H364" s="204">
        <v>1</v>
      </c>
      <c r="I364" s="203" t="s">
        <v>1486</v>
      </c>
      <c r="J364" s="205" t="s">
        <v>6232</v>
      </c>
      <c r="K364" s="203" t="s">
        <v>5104</v>
      </c>
      <c r="L364" s="205" t="s">
        <v>1487</v>
      </c>
      <c r="M364" s="205" t="s">
        <v>6233</v>
      </c>
      <c r="N364" s="204" t="s">
        <v>6234</v>
      </c>
      <c r="O364" s="204" t="s">
        <v>11</v>
      </c>
      <c r="P364" s="206">
        <v>9500</v>
      </c>
      <c r="Q364" s="206">
        <v>9500</v>
      </c>
      <c r="R364" s="207">
        <v>30000</v>
      </c>
      <c r="S364" s="207">
        <f t="shared" si="117"/>
        <v>285000000</v>
      </c>
      <c r="T364" s="589"/>
      <c r="U364" s="157">
        <v>30000</v>
      </c>
      <c r="V364" s="158">
        <f>U364-W364</f>
        <v>7600</v>
      </c>
      <c r="W364" s="159">
        <f t="shared" si="118"/>
        <v>22400</v>
      </c>
      <c r="X364" s="159">
        <f t="shared" si="119"/>
        <v>212800000</v>
      </c>
      <c r="Y364" s="160"/>
      <c r="Z364" s="160">
        <f t="shared" si="120"/>
        <v>0</v>
      </c>
      <c r="AA364" s="165">
        <v>9800</v>
      </c>
      <c r="AB364" s="161">
        <f t="shared" si="121"/>
        <v>93100000</v>
      </c>
      <c r="AC364" s="162"/>
      <c r="AD364" s="162">
        <f>AC364*Q364</f>
        <v>0</v>
      </c>
      <c r="AE364" s="164"/>
      <c r="AF364" s="164">
        <f>AE364*Q364</f>
        <v>0</v>
      </c>
      <c r="AG364" s="165"/>
      <c r="AH364" s="165">
        <f>AG364*Q364</f>
        <v>0</v>
      </c>
      <c r="AI364" s="166">
        <v>0</v>
      </c>
      <c r="AJ364" s="166">
        <f>AI364*Q364</f>
        <v>0</v>
      </c>
      <c r="AK364" s="162"/>
      <c r="AL364" s="162">
        <f t="shared" si="122"/>
        <v>0</v>
      </c>
      <c r="AM364" s="173">
        <v>5600</v>
      </c>
      <c r="AN364" s="167">
        <f t="shared" si="123"/>
        <v>53200000</v>
      </c>
      <c r="AO364" s="163">
        <v>2800</v>
      </c>
      <c r="AP364" s="163">
        <f t="shared" si="124"/>
        <v>26600000</v>
      </c>
      <c r="AQ364" s="168">
        <v>4200</v>
      </c>
      <c r="AR364" s="168">
        <f t="shared" si="125"/>
        <v>39900000</v>
      </c>
      <c r="AS364" s="170"/>
      <c r="AT364" s="170">
        <f t="shared" si="126"/>
        <v>0</v>
      </c>
      <c r="AU364" s="166"/>
      <c r="AV364" s="166">
        <f t="shared" si="127"/>
        <v>0</v>
      </c>
    </row>
    <row r="365" spans="1:48" ht="31.5">
      <c r="A365" s="148" t="s">
        <v>6270</v>
      </c>
      <c r="B365" s="149" t="s">
        <v>6230</v>
      </c>
      <c r="C365" s="149" t="s">
        <v>6231</v>
      </c>
      <c r="D365" s="240" t="s">
        <v>4423</v>
      </c>
      <c r="E365" s="590" t="s">
        <v>12643</v>
      </c>
      <c r="F365" s="203" t="s">
        <v>638</v>
      </c>
      <c r="G365" s="204" t="s">
        <v>429</v>
      </c>
      <c r="H365" s="204">
        <v>1</v>
      </c>
      <c r="I365" s="203" t="s">
        <v>1491</v>
      </c>
      <c r="J365" s="205" t="s">
        <v>6271</v>
      </c>
      <c r="K365" s="203" t="s">
        <v>5104</v>
      </c>
      <c r="L365" s="205" t="s">
        <v>6272</v>
      </c>
      <c r="M365" s="205" t="s">
        <v>6233</v>
      </c>
      <c r="N365" s="204" t="s">
        <v>6234</v>
      </c>
      <c r="O365" s="204" t="s">
        <v>12</v>
      </c>
      <c r="P365" s="206">
        <v>5080</v>
      </c>
      <c r="Q365" s="206">
        <v>4840</v>
      </c>
      <c r="R365" s="207">
        <v>50000</v>
      </c>
      <c r="S365" s="207">
        <f t="shared" si="117"/>
        <v>242000000</v>
      </c>
      <c r="T365" s="589"/>
      <c r="U365" s="157">
        <v>50000</v>
      </c>
      <c r="V365" s="158">
        <f>U365-W365</f>
        <v>50000</v>
      </c>
      <c r="W365" s="159">
        <f t="shared" si="118"/>
        <v>0</v>
      </c>
      <c r="X365" s="159">
        <f t="shared" si="119"/>
        <v>0</v>
      </c>
      <c r="Y365" s="160"/>
      <c r="Z365" s="160">
        <f t="shared" si="120"/>
        <v>0</v>
      </c>
      <c r="AA365" s="165"/>
      <c r="AB365" s="161">
        <f t="shared" si="121"/>
        <v>0</v>
      </c>
      <c r="AC365" s="162"/>
      <c r="AD365" s="162">
        <f>AC365*Q365</f>
        <v>0</v>
      </c>
      <c r="AE365" s="164"/>
      <c r="AF365" s="164">
        <f>AE365*Q365</f>
        <v>0</v>
      </c>
      <c r="AG365" s="165"/>
      <c r="AH365" s="165">
        <f>AG365*Q365</f>
        <v>0</v>
      </c>
      <c r="AI365" s="166">
        <v>0</v>
      </c>
      <c r="AJ365" s="166">
        <f>AI365*Q365</f>
        <v>0</v>
      </c>
      <c r="AK365" s="162"/>
      <c r="AL365" s="162">
        <f t="shared" si="122"/>
        <v>0</v>
      </c>
      <c r="AM365" s="173"/>
      <c r="AN365" s="167">
        <f t="shared" si="123"/>
        <v>0</v>
      </c>
      <c r="AO365" s="163"/>
      <c r="AP365" s="163">
        <f t="shared" si="124"/>
        <v>0</v>
      </c>
      <c r="AQ365" s="168"/>
      <c r="AR365" s="168">
        <f t="shared" si="125"/>
        <v>0</v>
      </c>
      <c r="AS365" s="170"/>
      <c r="AT365" s="170">
        <f t="shared" si="126"/>
        <v>0</v>
      </c>
      <c r="AU365" s="166"/>
      <c r="AV365" s="166">
        <f t="shared" si="127"/>
        <v>0</v>
      </c>
    </row>
    <row r="366" spans="1:48" ht="47.25">
      <c r="A366" s="255">
        <v>2</v>
      </c>
      <c r="B366" s="256" t="s">
        <v>8918</v>
      </c>
      <c r="C366" s="256" t="s">
        <v>8919</v>
      </c>
      <c r="D366" s="609" t="s">
        <v>8920</v>
      </c>
      <c r="E366" s="257"/>
      <c r="F366" s="262" t="s">
        <v>596</v>
      </c>
      <c r="G366" s="151" t="s">
        <v>8921</v>
      </c>
      <c r="H366" s="257" t="s">
        <v>5073</v>
      </c>
      <c r="I366" s="256" t="s">
        <v>8922</v>
      </c>
      <c r="J366" s="151" t="s">
        <v>8923</v>
      </c>
      <c r="K366" s="94" t="s">
        <v>5104</v>
      </c>
      <c r="L366" s="257" t="s">
        <v>600</v>
      </c>
      <c r="M366" s="151" t="s">
        <v>8924</v>
      </c>
      <c r="N366" s="151" t="s">
        <v>8925</v>
      </c>
      <c r="O366" s="151" t="s">
        <v>14</v>
      </c>
      <c r="P366" s="257"/>
      <c r="Q366" s="261">
        <v>66800</v>
      </c>
      <c r="R366" s="94">
        <v>500</v>
      </c>
      <c r="S366" s="259">
        <f t="shared" si="117"/>
        <v>33400000</v>
      </c>
      <c r="T366" s="589"/>
      <c r="U366" s="257"/>
      <c r="V366" s="247">
        <f>R366-W366</f>
        <v>500</v>
      </c>
      <c r="W366" s="159">
        <f t="shared" si="118"/>
        <v>0</v>
      </c>
      <c r="X366" s="159">
        <f t="shared" si="119"/>
        <v>0</v>
      </c>
      <c r="Y366" s="257"/>
      <c r="Z366" s="160">
        <f t="shared" si="120"/>
        <v>0</v>
      </c>
      <c r="AA366" s="257"/>
      <c r="AB366" s="161">
        <f t="shared" si="121"/>
        <v>0</v>
      </c>
      <c r="AC366" s="257"/>
      <c r="AD366" s="257"/>
      <c r="AE366" s="257"/>
      <c r="AF366" s="257"/>
      <c r="AG366" s="257"/>
      <c r="AH366" s="257"/>
      <c r="AI366" s="257"/>
      <c r="AJ366" s="257"/>
      <c r="AK366" s="257"/>
      <c r="AL366" s="257"/>
      <c r="AM366" s="257"/>
      <c r="AN366" s="167">
        <f t="shared" si="123"/>
        <v>0</v>
      </c>
      <c r="AO366" s="257"/>
      <c r="AP366" s="163">
        <f t="shared" si="124"/>
        <v>0</v>
      </c>
      <c r="AQ366" s="257"/>
      <c r="AR366" s="168">
        <f t="shared" si="125"/>
        <v>0</v>
      </c>
      <c r="AS366" s="257"/>
      <c r="AT366" s="170">
        <f t="shared" si="126"/>
        <v>0</v>
      </c>
      <c r="AU366" s="257"/>
      <c r="AV366" s="166">
        <f t="shared" si="127"/>
        <v>0</v>
      </c>
    </row>
    <row r="367" spans="1:48" ht="47.25">
      <c r="A367" s="172" t="s">
        <v>6402</v>
      </c>
      <c r="B367" s="150" t="s">
        <v>6403</v>
      </c>
      <c r="C367" s="150" t="s">
        <v>6404</v>
      </c>
      <c r="D367" s="240" t="s">
        <v>4179</v>
      </c>
      <c r="E367" s="590"/>
      <c r="F367" s="203" t="s">
        <v>6405</v>
      </c>
      <c r="G367" s="204" t="s">
        <v>6406</v>
      </c>
      <c r="H367" s="204">
        <v>1</v>
      </c>
      <c r="I367" s="203" t="s">
        <v>6407</v>
      </c>
      <c r="J367" s="205" t="s">
        <v>6408</v>
      </c>
      <c r="K367" s="203" t="s">
        <v>5104</v>
      </c>
      <c r="L367" s="205" t="s">
        <v>6409</v>
      </c>
      <c r="M367" s="205" t="s">
        <v>6410</v>
      </c>
      <c r="N367" s="204" t="s">
        <v>5116</v>
      </c>
      <c r="O367" s="204" t="s">
        <v>4139</v>
      </c>
      <c r="P367" s="206">
        <v>162500</v>
      </c>
      <c r="Q367" s="206">
        <v>123400</v>
      </c>
      <c r="R367" s="207">
        <v>5000</v>
      </c>
      <c r="S367" s="207">
        <f t="shared" si="117"/>
        <v>617000000</v>
      </c>
      <c r="T367" s="589"/>
      <c r="U367" s="157">
        <v>5000</v>
      </c>
      <c r="V367" s="158">
        <f t="shared" ref="V367:V386" si="128">U367-W367</f>
        <v>5000</v>
      </c>
      <c r="W367" s="159">
        <f t="shared" si="118"/>
        <v>0</v>
      </c>
      <c r="X367" s="159">
        <f t="shared" si="119"/>
        <v>0</v>
      </c>
      <c r="Y367" s="160"/>
      <c r="Z367" s="160">
        <f t="shared" si="120"/>
        <v>0</v>
      </c>
      <c r="AA367" s="165"/>
      <c r="AB367" s="161">
        <f t="shared" si="121"/>
        <v>0</v>
      </c>
      <c r="AC367" s="162"/>
      <c r="AD367" s="162">
        <f t="shared" ref="AD367:AD386" si="129">AC367*Q367</f>
        <v>0</v>
      </c>
      <c r="AE367" s="164"/>
      <c r="AF367" s="164">
        <f t="shared" ref="AF367:AF386" si="130">AE367*Q367</f>
        <v>0</v>
      </c>
      <c r="AG367" s="165"/>
      <c r="AH367" s="165">
        <f t="shared" ref="AH367:AH386" si="131">AG367*Q367</f>
        <v>0</v>
      </c>
      <c r="AI367" s="166">
        <v>0</v>
      </c>
      <c r="AJ367" s="166">
        <f t="shared" ref="AJ367:AJ386" si="132">AI367*Q367</f>
        <v>0</v>
      </c>
      <c r="AK367" s="162"/>
      <c r="AL367" s="162">
        <f t="shared" ref="AL367:AL386" si="133">AK367*Q367</f>
        <v>0</v>
      </c>
      <c r="AM367" s="173"/>
      <c r="AN367" s="167">
        <f t="shared" si="123"/>
        <v>0</v>
      </c>
      <c r="AO367" s="163"/>
      <c r="AP367" s="163">
        <f t="shared" si="124"/>
        <v>0</v>
      </c>
      <c r="AQ367" s="168"/>
      <c r="AR367" s="168">
        <f t="shared" si="125"/>
        <v>0</v>
      </c>
      <c r="AS367" s="170"/>
      <c r="AT367" s="170">
        <f t="shared" si="126"/>
        <v>0</v>
      </c>
      <c r="AU367" s="166"/>
      <c r="AV367" s="166">
        <f t="shared" si="127"/>
        <v>0</v>
      </c>
    </row>
    <row r="368" spans="1:48" ht="31.5">
      <c r="A368" s="148" t="s">
        <v>5282</v>
      </c>
      <c r="B368" s="150" t="s">
        <v>5283</v>
      </c>
      <c r="C368" s="150" t="s">
        <v>5284</v>
      </c>
      <c r="D368" s="634" t="s">
        <v>4939</v>
      </c>
      <c r="E368" s="631" t="s">
        <v>12642</v>
      </c>
      <c r="F368" s="175" t="s">
        <v>531</v>
      </c>
      <c r="G368" s="151" t="s">
        <v>533</v>
      </c>
      <c r="H368" s="174" t="s">
        <v>210</v>
      </c>
      <c r="I368" s="150" t="s">
        <v>535</v>
      </c>
      <c r="J368" s="153" t="s">
        <v>5285</v>
      </c>
      <c r="K368" s="151" t="s">
        <v>5108</v>
      </c>
      <c r="L368" s="151" t="s">
        <v>536</v>
      </c>
      <c r="M368" s="151" t="s">
        <v>537</v>
      </c>
      <c r="N368" s="152" t="s">
        <v>5286</v>
      </c>
      <c r="O368" s="152" t="s">
        <v>5141</v>
      </c>
      <c r="P368" s="176">
        <v>4500</v>
      </c>
      <c r="Q368" s="177">
        <v>4500</v>
      </c>
      <c r="R368" s="176">
        <v>8600</v>
      </c>
      <c r="S368" s="156">
        <f t="shared" si="117"/>
        <v>38700000</v>
      </c>
      <c r="T368" s="589"/>
      <c r="U368" s="157">
        <v>7800</v>
      </c>
      <c r="V368" s="158">
        <f t="shared" si="128"/>
        <v>7800</v>
      </c>
      <c r="W368" s="159">
        <f t="shared" si="118"/>
        <v>0</v>
      </c>
      <c r="X368" s="159">
        <f t="shared" si="119"/>
        <v>0</v>
      </c>
      <c r="Y368" s="160"/>
      <c r="Z368" s="160">
        <f t="shared" si="120"/>
        <v>0</v>
      </c>
      <c r="AA368" s="161"/>
      <c r="AB368" s="161">
        <f t="shared" si="121"/>
        <v>0</v>
      </c>
      <c r="AC368" s="162"/>
      <c r="AD368" s="162">
        <f t="shared" si="129"/>
        <v>0</v>
      </c>
      <c r="AE368" s="164"/>
      <c r="AF368" s="164">
        <f t="shared" si="130"/>
        <v>0</v>
      </c>
      <c r="AG368" s="165"/>
      <c r="AH368" s="165">
        <f t="shared" si="131"/>
        <v>0</v>
      </c>
      <c r="AI368" s="166">
        <v>0</v>
      </c>
      <c r="AJ368" s="166">
        <f t="shared" si="132"/>
        <v>0</v>
      </c>
      <c r="AK368" s="162"/>
      <c r="AL368" s="162">
        <f t="shared" si="133"/>
        <v>0</v>
      </c>
      <c r="AM368" s="167"/>
      <c r="AN368" s="167">
        <f t="shared" si="123"/>
        <v>0</v>
      </c>
      <c r="AO368" s="163"/>
      <c r="AP368" s="163">
        <f t="shared" si="124"/>
        <v>0</v>
      </c>
      <c r="AQ368" s="168"/>
      <c r="AR368" s="168">
        <f t="shared" si="125"/>
        <v>0</v>
      </c>
      <c r="AS368" s="170"/>
      <c r="AT368" s="170">
        <f t="shared" si="126"/>
        <v>0</v>
      </c>
      <c r="AU368" s="166"/>
      <c r="AV368" s="166">
        <f t="shared" si="127"/>
        <v>0</v>
      </c>
    </row>
    <row r="369" spans="1:48" s="115" customFormat="1" ht="31.5">
      <c r="A369" s="172" t="s">
        <v>5287</v>
      </c>
      <c r="B369" s="150" t="s">
        <v>5283</v>
      </c>
      <c r="C369" s="150" t="s">
        <v>5284</v>
      </c>
      <c r="D369" s="634" t="s">
        <v>5288</v>
      </c>
      <c r="E369" s="631"/>
      <c r="F369" s="175" t="s">
        <v>515</v>
      </c>
      <c r="G369" s="151" t="s">
        <v>517</v>
      </c>
      <c r="H369" s="174" t="s">
        <v>210</v>
      </c>
      <c r="I369" s="150" t="s">
        <v>5289</v>
      </c>
      <c r="J369" s="153" t="s">
        <v>5290</v>
      </c>
      <c r="K369" s="151" t="s">
        <v>5108</v>
      </c>
      <c r="L369" s="151" t="s">
        <v>5291</v>
      </c>
      <c r="M369" s="151" t="s">
        <v>537</v>
      </c>
      <c r="N369" s="152" t="s">
        <v>5286</v>
      </c>
      <c r="O369" s="152" t="s">
        <v>5141</v>
      </c>
      <c r="P369" s="176">
        <v>6200</v>
      </c>
      <c r="Q369" s="177">
        <v>6200</v>
      </c>
      <c r="R369" s="176">
        <v>7500</v>
      </c>
      <c r="S369" s="156">
        <f t="shared" si="117"/>
        <v>46500000</v>
      </c>
      <c r="T369" s="589"/>
      <c r="U369" s="157">
        <v>7500</v>
      </c>
      <c r="V369" s="158">
        <f t="shared" si="128"/>
        <v>7500</v>
      </c>
      <c r="W369" s="159">
        <f t="shared" si="118"/>
        <v>0</v>
      </c>
      <c r="X369" s="159">
        <f t="shared" si="119"/>
        <v>0</v>
      </c>
      <c r="Y369" s="160"/>
      <c r="Z369" s="160">
        <f t="shared" si="120"/>
        <v>0</v>
      </c>
      <c r="AA369" s="161"/>
      <c r="AB369" s="161">
        <f t="shared" si="121"/>
        <v>0</v>
      </c>
      <c r="AC369" s="162"/>
      <c r="AD369" s="162">
        <f t="shared" si="129"/>
        <v>0</v>
      </c>
      <c r="AE369" s="164"/>
      <c r="AF369" s="164">
        <f t="shared" si="130"/>
        <v>0</v>
      </c>
      <c r="AG369" s="165"/>
      <c r="AH369" s="165">
        <f t="shared" si="131"/>
        <v>0</v>
      </c>
      <c r="AI369" s="166">
        <v>0</v>
      </c>
      <c r="AJ369" s="166">
        <f t="shared" si="132"/>
        <v>0</v>
      </c>
      <c r="AK369" s="162"/>
      <c r="AL369" s="162">
        <f t="shared" si="133"/>
        <v>0</v>
      </c>
      <c r="AM369" s="167"/>
      <c r="AN369" s="167">
        <f t="shared" si="123"/>
        <v>0</v>
      </c>
      <c r="AO369" s="163"/>
      <c r="AP369" s="163">
        <f t="shared" si="124"/>
        <v>0</v>
      </c>
      <c r="AQ369" s="168"/>
      <c r="AR369" s="168">
        <f t="shared" si="125"/>
        <v>0</v>
      </c>
      <c r="AS369" s="170"/>
      <c r="AT369" s="170">
        <f t="shared" si="126"/>
        <v>0</v>
      </c>
      <c r="AU369" s="166"/>
      <c r="AV369" s="166">
        <f t="shared" si="127"/>
        <v>0</v>
      </c>
    </row>
    <row r="370" spans="1:48" s="115" customFormat="1" ht="31.5">
      <c r="A370" s="172" t="s">
        <v>5313</v>
      </c>
      <c r="B370" s="150" t="s">
        <v>5283</v>
      </c>
      <c r="C370" s="150" t="s">
        <v>5284</v>
      </c>
      <c r="D370" s="634" t="s">
        <v>5314</v>
      </c>
      <c r="E370" s="631"/>
      <c r="F370" s="175" t="s">
        <v>400</v>
      </c>
      <c r="G370" s="151" t="s">
        <v>517</v>
      </c>
      <c r="H370" s="174" t="s">
        <v>210</v>
      </c>
      <c r="I370" s="150" t="s">
        <v>5315</v>
      </c>
      <c r="J370" s="153" t="s">
        <v>5316</v>
      </c>
      <c r="K370" s="151" t="s">
        <v>5108</v>
      </c>
      <c r="L370" s="151" t="s">
        <v>5317</v>
      </c>
      <c r="M370" s="151" t="s">
        <v>537</v>
      </c>
      <c r="N370" s="152" t="s">
        <v>5286</v>
      </c>
      <c r="O370" s="152" t="s">
        <v>5141</v>
      </c>
      <c r="P370" s="176">
        <v>3500</v>
      </c>
      <c r="Q370" s="177">
        <v>3500</v>
      </c>
      <c r="R370" s="176">
        <v>740</v>
      </c>
      <c r="S370" s="156">
        <f t="shared" si="117"/>
        <v>2590000</v>
      </c>
      <c r="T370" s="589"/>
      <c r="U370" s="157">
        <v>740</v>
      </c>
      <c r="V370" s="158">
        <f t="shared" si="128"/>
        <v>740</v>
      </c>
      <c r="W370" s="159">
        <f t="shared" si="118"/>
        <v>0</v>
      </c>
      <c r="X370" s="159">
        <f t="shared" si="119"/>
        <v>0</v>
      </c>
      <c r="Y370" s="160"/>
      <c r="Z370" s="160">
        <f t="shared" si="120"/>
        <v>0</v>
      </c>
      <c r="AA370" s="165"/>
      <c r="AB370" s="161">
        <f t="shared" si="121"/>
        <v>0</v>
      </c>
      <c r="AC370" s="162"/>
      <c r="AD370" s="162">
        <f t="shared" si="129"/>
        <v>0</v>
      </c>
      <c r="AE370" s="164"/>
      <c r="AF370" s="164">
        <f t="shared" si="130"/>
        <v>0</v>
      </c>
      <c r="AG370" s="165"/>
      <c r="AH370" s="165">
        <f t="shared" si="131"/>
        <v>0</v>
      </c>
      <c r="AI370" s="166">
        <v>0</v>
      </c>
      <c r="AJ370" s="166">
        <f t="shared" si="132"/>
        <v>0</v>
      </c>
      <c r="AK370" s="162"/>
      <c r="AL370" s="162">
        <f t="shared" si="133"/>
        <v>0</v>
      </c>
      <c r="AM370" s="173"/>
      <c r="AN370" s="167">
        <f t="shared" si="123"/>
        <v>0</v>
      </c>
      <c r="AO370" s="163"/>
      <c r="AP370" s="163">
        <f t="shared" si="124"/>
        <v>0</v>
      </c>
      <c r="AQ370" s="168"/>
      <c r="AR370" s="168">
        <f t="shared" si="125"/>
        <v>0</v>
      </c>
      <c r="AS370" s="170"/>
      <c r="AT370" s="170">
        <f t="shared" si="126"/>
        <v>0</v>
      </c>
      <c r="AU370" s="166"/>
      <c r="AV370" s="166">
        <f t="shared" si="127"/>
        <v>0</v>
      </c>
    </row>
    <row r="371" spans="1:48" s="115" customFormat="1" ht="31.5">
      <c r="A371" s="148" t="s">
        <v>7424</v>
      </c>
      <c r="B371" s="150" t="s">
        <v>5283</v>
      </c>
      <c r="C371" s="150" t="s">
        <v>5284</v>
      </c>
      <c r="D371" s="240" t="s">
        <v>3738</v>
      </c>
      <c r="E371" s="590"/>
      <c r="F371" s="203" t="s">
        <v>3739</v>
      </c>
      <c r="G371" s="204" t="s">
        <v>235</v>
      </c>
      <c r="H371" s="204">
        <v>3</v>
      </c>
      <c r="I371" s="203" t="s">
        <v>1885</v>
      </c>
      <c r="J371" s="205" t="s">
        <v>7425</v>
      </c>
      <c r="K371" s="203" t="s">
        <v>5104</v>
      </c>
      <c r="L371" s="205" t="s">
        <v>1886</v>
      </c>
      <c r="M371" s="205" t="s">
        <v>7426</v>
      </c>
      <c r="N371" s="204" t="s">
        <v>213</v>
      </c>
      <c r="O371" s="204" t="s">
        <v>11</v>
      </c>
      <c r="P371" s="206">
        <v>3000</v>
      </c>
      <c r="Q371" s="206">
        <v>2980</v>
      </c>
      <c r="R371" s="207">
        <v>80000</v>
      </c>
      <c r="S371" s="207">
        <f t="shared" si="117"/>
        <v>238400000</v>
      </c>
      <c r="T371" s="589"/>
      <c r="U371" s="157">
        <v>80000</v>
      </c>
      <c r="V371" s="158">
        <f t="shared" si="128"/>
        <v>61010</v>
      </c>
      <c r="W371" s="159">
        <f t="shared" si="118"/>
        <v>18990</v>
      </c>
      <c r="X371" s="159">
        <f t="shared" si="119"/>
        <v>56590200</v>
      </c>
      <c r="Y371" s="160"/>
      <c r="Z371" s="160">
        <f t="shared" si="120"/>
        <v>0</v>
      </c>
      <c r="AA371" s="161">
        <v>9990</v>
      </c>
      <c r="AB371" s="161">
        <f t="shared" si="121"/>
        <v>29770200</v>
      </c>
      <c r="AC371" s="162"/>
      <c r="AD371" s="162">
        <f t="shared" si="129"/>
        <v>0</v>
      </c>
      <c r="AE371" s="164"/>
      <c r="AF371" s="164">
        <f t="shared" si="130"/>
        <v>0</v>
      </c>
      <c r="AG371" s="165"/>
      <c r="AH371" s="165">
        <f t="shared" si="131"/>
        <v>0</v>
      </c>
      <c r="AI371" s="166">
        <v>0</v>
      </c>
      <c r="AJ371" s="166">
        <f t="shared" si="132"/>
        <v>0</v>
      </c>
      <c r="AK371" s="162"/>
      <c r="AL371" s="162">
        <f t="shared" si="133"/>
        <v>0</v>
      </c>
      <c r="AM371" s="167">
        <v>9000</v>
      </c>
      <c r="AN371" s="167">
        <f t="shared" si="123"/>
        <v>26820000</v>
      </c>
      <c r="AO371" s="163"/>
      <c r="AP371" s="163">
        <f t="shared" si="124"/>
        <v>0</v>
      </c>
      <c r="AQ371" s="168"/>
      <c r="AR371" s="168">
        <f t="shared" si="125"/>
        <v>0</v>
      </c>
      <c r="AS371" s="170"/>
      <c r="AT371" s="170">
        <f t="shared" si="126"/>
        <v>0</v>
      </c>
      <c r="AU371" s="166"/>
      <c r="AV371" s="166">
        <f t="shared" si="127"/>
        <v>0</v>
      </c>
    </row>
    <row r="372" spans="1:48" ht="31.5">
      <c r="A372" s="148" t="s">
        <v>8286</v>
      </c>
      <c r="B372" s="150" t="s">
        <v>5283</v>
      </c>
      <c r="C372" s="150" t="s">
        <v>5284</v>
      </c>
      <c r="D372" s="240" t="s">
        <v>8287</v>
      </c>
      <c r="E372" s="590" t="s">
        <v>12642</v>
      </c>
      <c r="F372" s="203" t="s">
        <v>555</v>
      </c>
      <c r="G372" s="204" t="s">
        <v>232</v>
      </c>
      <c r="H372" s="204">
        <v>4</v>
      </c>
      <c r="I372" s="203" t="s">
        <v>8288</v>
      </c>
      <c r="J372" s="205" t="s">
        <v>5690</v>
      </c>
      <c r="K372" s="203" t="s">
        <v>5104</v>
      </c>
      <c r="L372" s="205" t="s">
        <v>8289</v>
      </c>
      <c r="M372" s="205" t="s">
        <v>8290</v>
      </c>
      <c r="N372" s="204" t="s">
        <v>213</v>
      </c>
      <c r="O372" s="204" t="s">
        <v>11</v>
      </c>
      <c r="P372" s="206">
        <v>4800</v>
      </c>
      <c r="Q372" s="206">
        <v>3490</v>
      </c>
      <c r="R372" s="207">
        <v>50000</v>
      </c>
      <c r="S372" s="207">
        <f t="shared" si="117"/>
        <v>174500000</v>
      </c>
      <c r="T372" s="589" t="s">
        <v>11</v>
      </c>
      <c r="U372" s="157">
        <v>50000</v>
      </c>
      <c r="V372" s="158">
        <f t="shared" si="128"/>
        <v>50000</v>
      </c>
      <c r="W372" s="159">
        <f t="shared" si="118"/>
        <v>0</v>
      </c>
      <c r="X372" s="159">
        <f t="shared" si="119"/>
        <v>0</v>
      </c>
      <c r="Y372" s="160"/>
      <c r="Z372" s="160">
        <f t="shared" si="120"/>
        <v>0</v>
      </c>
      <c r="AA372" s="165"/>
      <c r="AB372" s="161">
        <f t="shared" si="121"/>
        <v>0</v>
      </c>
      <c r="AC372" s="162"/>
      <c r="AD372" s="162">
        <f t="shared" si="129"/>
        <v>0</v>
      </c>
      <c r="AE372" s="164"/>
      <c r="AF372" s="164">
        <f t="shared" si="130"/>
        <v>0</v>
      </c>
      <c r="AG372" s="165"/>
      <c r="AH372" s="165">
        <f t="shared" si="131"/>
        <v>0</v>
      </c>
      <c r="AI372" s="166">
        <v>0</v>
      </c>
      <c r="AJ372" s="166">
        <f t="shared" si="132"/>
        <v>0</v>
      </c>
      <c r="AK372" s="162"/>
      <c r="AL372" s="162">
        <f t="shared" si="133"/>
        <v>0</v>
      </c>
      <c r="AM372" s="173"/>
      <c r="AN372" s="167">
        <f t="shared" si="123"/>
        <v>0</v>
      </c>
      <c r="AO372" s="163"/>
      <c r="AP372" s="163">
        <f t="shared" si="124"/>
        <v>0</v>
      </c>
      <c r="AQ372" s="168"/>
      <c r="AR372" s="168">
        <f t="shared" si="125"/>
        <v>0</v>
      </c>
      <c r="AS372" s="170"/>
      <c r="AT372" s="170">
        <f t="shared" si="126"/>
        <v>0</v>
      </c>
      <c r="AU372" s="166"/>
      <c r="AV372" s="166">
        <f t="shared" si="127"/>
        <v>0</v>
      </c>
    </row>
    <row r="373" spans="1:48" ht="31.5">
      <c r="A373" s="148" t="s">
        <v>5035</v>
      </c>
      <c r="B373" s="149" t="s">
        <v>5336</v>
      </c>
      <c r="C373" s="150" t="s">
        <v>322</v>
      </c>
      <c r="D373" s="634" t="s">
        <v>4840</v>
      </c>
      <c r="E373" s="631" t="s">
        <v>12642</v>
      </c>
      <c r="F373" s="175" t="s">
        <v>246</v>
      </c>
      <c r="G373" s="151" t="s">
        <v>248</v>
      </c>
      <c r="H373" s="174" t="s">
        <v>5325</v>
      </c>
      <c r="I373" s="150" t="s">
        <v>3578</v>
      </c>
      <c r="J373" s="153" t="s">
        <v>5337</v>
      </c>
      <c r="K373" s="151" t="s">
        <v>5104</v>
      </c>
      <c r="L373" s="151" t="s">
        <v>5338</v>
      </c>
      <c r="M373" s="151" t="s">
        <v>324</v>
      </c>
      <c r="N373" s="152" t="s">
        <v>213</v>
      </c>
      <c r="O373" s="152" t="s">
        <v>10</v>
      </c>
      <c r="P373" s="176">
        <v>1550</v>
      </c>
      <c r="Q373" s="177">
        <v>798</v>
      </c>
      <c r="R373" s="176">
        <v>19000</v>
      </c>
      <c r="S373" s="156">
        <f t="shared" si="117"/>
        <v>15162000</v>
      </c>
      <c r="T373" s="589"/>
      <c r="U373" s="157">
        <v>17500</v>
      </c>
      <c r="V373" s="158">
        <f t="shared" si="128"/>
        <v>17500</v>
      </c>
      <c r="W373" s="159">
        <f t="shared" si="118"/>
        <v>0</v>
      </c>
      <c r="X373" s="159">
        <f t="shared" si="119"/>
        <v>0</v>
      </c>
      <c r="Y373" s="160"/>
      <c r="Z373" s="160">
        <f t="shared" si="120"/>
        <v>0</v>
      </c>
      <c r="AA373" s="165"/>
      <c r="AB373" s="161">
        <f t="shared" si="121"/>
        <v>0</v>
      </c>
      <c r="AC373" s="162"/>
      <c r="AD373" s="162">
        <f t="shared" si="129"/>
        <v>0</v>
      </c>
      <c r="AE373" s="164"/>
      <c r="AF373" s="164">
        <f t="shared" si="130"/>
        <v>0</v>
      </c>
      <c r="AG373" s="165"/>
      <c r="AH373" s="165">
        <f t="shared" si="131"/>
        <v>0</v>
      </c>
      <c r="AI373" s="166">
        <v>0</v>
      </c>
      <c r="AJ373" s="166">
        <f t="shared" si="132"/>
        <v>0</v>
      </c>
      <c r="AK373" s="162"/>
      <c r="AL373" s="162">
        <f t="shared" si="133"/>
        <v>0</v>
      </c>
      <c r="AM373" s="173"/>
      <c r="AN373" s="167">
        <f t="shared" si="123"/>
        <v>0</v>
      </c>
      <c r="AO373" s="163"/>
      <c r="AP373" s="163">
        <f t="shared" si="124"/>
        <v>0</v>
      </c>
      <c r="AQ373" s="168"/>
      <c r="AR373" s="168">
        <f t="shared" si="125"/>
        <v>0</v>
      </c>
      <c r="AS373" s="170"/>
      <c r="AT373" s="170">
        <f t="shared" si="126"/>
        <v>0</v>
      </c>
      <c r="AU373" s="166"/>
      <c r="AV373" s="166">
        <f t="shared" si="127"/>
        <v>0</v>
      </c>
    </row>
    <row r="374" spans="1:48" ht="31.5">
      <c r="A374" s="148" t="s">
        <v>5394</v>
      </c>
      <c r="B374" s="149" t="s">
        <v>5336</v>
      </c>
      <c r="C374" s="150" t="s">
        <v>322</v>
      </c>
      <c r="D374" s="634" t="s">
        <v>5395</v>
      </c>
      <c r="E374" s="631"/>
      <c r="F374" s="175" t="s">
        <v>323</v>
      </c>
      <c r="G374" s="151" t="s">
        <v>272</v>
      </c>
      <c r="H374" s="174" t="s">
        <v>5325</v>
      </c>
      <c r="I374" s="150" t="s">
        <v>5396</v>
      </c>
      <c r="J374" s="153" t="s">
        <v>5397</v>
      </c>
      <c r="K374" s="151" t="s">
        <v>5104</v>
      </c>
      <c r="L374" s="151" t="s">
        <v>5398</v>
      </c>
      <c r="M374" s="151" t="s">
        <v>324</v>
      </c>
      <c r="N374" s="152" t="s">
        <v>213</v>
      </c>
      <c r="O374" s="152" t="s">
        <v>10</v>
      </c>
      <c r="P374" s="176">
        <v>3020</v>
      </c>
      <c r="Q374" s="177">
        <v>1239</v>
      </c>
      <c r="R374" s="176">
        <v>75000</v>
      </c>
      <c r="S374" s="156">
        <f t="shared" si="117"/>
        <v>92925000</v>
      </c>
      <c r="T374" s="589"/>
      <c r="U374" s="157">
        <v>75000</v>
      </c>
      <c r="V374" s="158">
        <f t="shared" si="128"/>
        <v>75000</v>
      </c>
      <c r="W374" s="159">
        <f t="shared" si="118"/>
        <v>0</v>
      </c>
      <c r="X374" s="159">
        <f t="shared" si="119"/>
        <v>0</v>
      </c>
      <c r="Y374" s="160"/>
      <c r="Z374" s="160">
        <f t="shared" si="120"/>
        <v>0</v>
      </c>
      <c r="AA374" s="161"/>
      <c r="AB374" s="161">
        <f t="shared" si="121"/>
        <v>0</v>
      </c>
      <c r="AC374" s="162"/>
      <c r="AD374" s="162">
        <f t="shared" si="129"/>
        <v>0</v>
      </c>
      <c r="AE374" s="164"/>
      <c r="AF374" s="164">
        <f t="shared" si="130"/>
        <v>0</v>
      </c>
      <c r="AG374" s="165"/>
      <c r="AH374" s="165">
        <f t="shared" si="131"/>
        <v>0</v>
      </c>
      <c r="AI374" s="166">
        <v>0</v>
      </c>
      <c r="AJ374" s="166">
        <f t="shared" si="132"/>
        <v>0</v>
      </c>
      <c r="AK374" s="162"/>
      <c r="AL374" s="162">
        <f t="shared" si="133"/>
        <v>0</v>
      </c>
      <c r="AM374" s="167"/>
      <c r="AN374" s="167">
        <f t="shared" si="123"/>
        <v>0</v>
      </c>
      <c r="AO374" s="163"/>
      <c r="AP374" s="163">
        <f t="shared" si="124"/>
        <v>0</v>
      </c>
      <c r="AQ374" s="168"/>
      <c r="AR374" s="168">
        <f t="shared" si="125"/>
        <v>0</v>
      </c>
      <c r="AS374" s="170"/>
      <c r="AT374" s="170">
        <f t="shared" si="126"/>
        <v>0</v>
      </c>
      <c r="AU374" s="166"/>
      <c r="AV374" s="166">
        <f t="shared" si="127"/>
        <v>0</v>
      </c>
    </row>
    <row r="375" spans="1:48" ht="31.5">
      <c r="A375" s="148" t="s">
        <v>5428</v>
      </c>
      <c r="B375" s="149" t="s">
        <v>5336</v>
      </c>
      <c r="C375" s="150" t="s">
        <v>322</v>
      </c>
      <c r="D375" s="634" t="s">
        <v>4852</v>
      </c>
      <c r="E375" s="631"/>
      <c r="F375" s="175" t="s">
        <v>325</v>
      </c>
      <c r="G375" s="151" t="s">
        <v>327</v>
      </c>
      <c r="H375" s="174" t="s">
        <v>5325</v>
      </c>
      <c r="I375" s="150" t="s">
        <v>326</v>
      </c>
      <c r="J375" s="153" t="s">
        <v>5429</v>
      </c>
      <c r="K375" s="151" t="s">
        <v>5104</v>
      </c>
      <c r="L375" s="151" t="s">
        <v>328</v>
      </c>
      <c r="M375" s="151" t="s">
        <v>324</v>
      </c>
      <c r="N375" s="152" t="s">
        <v>213</v>
      </c>
      <c r="O375" s="152" t="s">
        <v>10</v>
      </c>
      <c r="P375" s="176">
        <v>395</v>
      </c>
      <c r="Q375" s="177">
        <v>231</v>
      </c>
      <c r="R375" s="176">
        <v>182000</v>
      </c>
      <c r="S375" s="156">
        <f t="shared" si="117"/>
        <v>42042000</v>
      </c>
      <c r="T375" s="589"/>
      <c r="U375" s="157">
        <v>167000</v>
      </c>
      <c r="V375" s="158">
        <f t="shared" si="128"/>
        <v>167000</v>
      </c>
      <c r="W375" s="159">
        <f t="shared" si="118"/>
        <v>0</v>
      </c>
      <c r="X375" s="159">
        <f t="shared" si="119"/>
        <v>0</v>
      </c>
      <c r="Y375" s="160"/>
      <c r="Z375" s="160">
        <f t="shared" si="120"/>
        <v>0</v>
      </c>
      <c r="AA375" s="161"/>
      <c r="AB375" s="161">
        <f t="shared" si="121"/>
        <v>0</v>
      </c>
      <c r="AC375" s="162"/>
      <c r="AD375" s="162">
        <f t="shared" si="129"/>
        <v>0</v>
      </c>
      <c r="AE375" s="164"/>
      <c r="AF375" s="164">
        <f t="shared" si="130"/>
        <v>0</v>
      </c>
      <c r="AG375" s="165"/>
      <c r="AH375" s="165">
        <f t="shared" si="131"/>
        <v>0</v>
      </c>
      <c r="AI375" s="166">
        <v>0</v>
      </c>
      <c r="AJ375" s="166">
        <f t="shared" si="132"/>
        <v>0</v>
      </c>
      <c r="AK375" s="162"/>
      <c r="AL375" s="162">
        <f t="shared" si="133"/>
        <v>0</v>
      </c>
      <c r="AM375" s="167"/>
      <c r="AN375" s="167">
        <f t="shared" si="123"/>
        <v>0</v>
      </c>
      <c r="AO375" s="163"/>
      <c r="AP375" s="163">
        <f t="shared" si="124"/>
        <v>0</v>
      </c>
      <c r="AQ375" s="168"/>
      <c r="AR375" s="168">
        <f t="shared" si="125"/>
        <v>0</v>
      </c>
      <c r="AS375" s="170"/>
      <c r="AT375" s="170">
        <f t="shared" si="126"/>
        <v>0</v>
      </c>
      <c r="AU375" s="166"/>
      <c r="AV375" s="166">
        <f t="shared" si="127"/>
        <v>0</v>
      </c>
    </row>
    <row r="376" spans="1:48" ht="31.5">
      <c r="A376" s="148" t="s">
        <v>5518</v>
      </c>
      <c r="B376" s="149" t="s">
        <v>5336</v>
      </c>
      <c r="C376" s="150" t="s">
        <v>322</v>
      </c>
      <c r="D376" s="634" t="s">
        <v>4919</v>
      </c>
      <c r="E376" s="631" t="s">
        <v>12642</v>
      </c>
      <c r="F376" s="175" t="s">
        <v>329</v>
      </c>
      <c r="G376" s="151" t="s">
        <v>262</v>
      </c>
      <c r="H376" s="174" t="s">
        <v>5325</v>
      </c>
      <c r="I376" s="150" t="s">
        <v>330</v>
      </c>
      <c r="J376" s="153" t="s">
        <v>5519</v>
      </c>
      <c r="K376" s="151" t="s">
        <v>5104</v>
      </c>
      <c r="L376" s="151" t="s">
        <v>331</v>
      </c>
      <c r="M376" s="151" t="s">
        <v>324</v>
      </c>
      <c r="N376" s="152" t="s">
        <v>213</v>
      </c>
      <c r="O376" s="152" t="s">
        <v>10</v>
      </c>
      <c r="P376" s="176">
        <v>670</v>
      </c>
      <c r="Q376" s="177">
        <v>400</v>
      </c>
      <c r="R376" s="176">
        <v>120000</v>
      </c>
      <c r="S376" s="156">
        <f t="shared" si="117"/>
        <v>48000000</v>
      </c>
      <c r="T376" s="589"/>
      <c r="U376" s="157">
        <v>106020</v>
      </c>
      <c r="V376" s="158">
        <f t="shared" si="128"/>
        <v>102060</v>
      </c>
      <c r="W376" s="159">
        <f t="shared" si="118"/>
        <v>3960</v>
      </c>
      <c r="X376" s="159">
        <f t="shared" si="119"/>
        <v>1584000</v>
      </c>
      <c r="Y376" s="160"/>
      <c r="Z376" s="160">
        <f t="shared" si="120"/>
        <v>0</v>
      </c>
      <c r="AA376" s="165">
        <v>1980</v>
      </c>
      <c r="AB376" s="161">
        <f t="shared" si="121"/>
        <v>792000</v>
      </c>
      <c r="AC376" s="162"/>
      <c r="AD376" s="162">
        <f t="shared" si="129"/>
        <v>0</v>
      </c>
      <c r="AE376" s="164"/>
      <c r="AF376" s="164">
        <f t="shared" si="130"/>
        <v>0</v>
      </c>
      <c r="AG376" s="165">
        <v>990</v>
      </c>
      <c r="AH376" s="165">
        <f t="shared" si="131"/>
        <v>396000</v>
      </c>
      <c r="AI376" s="166">
        <v>0</v>
      </c>
      <c r="AJ376" s="166">
        <f t="shared" si="132"/>
        <v>0</v>
      </c>
      <c r="AK376" s="162"/>
      <c r="AL376" s="162">
        <f t="shared" si="133"/>
        <v>0</v>
      </c>
      <c r="AM376" s="173"/>
      <c r="AN376" s="167">
        <f t="shared" si="123"/>
        <v>0</v>
      </c>
      <c r="AO376" s="163"/>
      <c r="AP376" s="163">
        <f t="shared" si="124"/>
        <v>0</v>
      </c>
      <c r="AQ376" s="168"/>
      <c r="AR376" s="168">
        <f t="shared" si="125"/>
        <v>0</v>
      </c>
      <c r="AS376" s="170">
        <v>990</v>
      </c>
      <c r="AT376" s="170">
        <f t="shared" si="126"/>
        <v>396000</v>
      </c>
      <c r="AU376" s="166"/>
      <c r="AV376" s="166">
        <f t="shared" si="127"/>
        <v>0</v>
      </c>
    </row>
    <row r="377" spans="1:48" ht="31.5">
      <c r="A377" s="148" t="s">
        <v>5557</v>
      </c>
      <c r="B377" s="149" t="s">
        <v>5336</v>
      </c>
      <c r="C377" s="150" t="s">
        <v>322</v>
      </c>
      <c r="D377" s="634" t="s">
        <v>5558</v>
      </c>
      <c r="E377" s="631" t="s">
        <v>12642</v>
      </c>
      <c r="F377" s="175" t="s">
        <v>246</v>
      </c>
      <c r="G377" s="151" t="s">
        <v>248</v>
      </c>
      <c r="H377" s="174" t="s">
        <v>5554</v>
      </c>
      <c r="I377" s="150" t="s">
        <v>3578</v>
      </c>
      <c r="J377" s="153" t="s">
        <v>5337</v>
      </c>
      <c r="K377" s="151" t="s">
        <v>5104</v>
      </c>
      <c r="L377" s="151" t="s">
        <v>5338</v>
      </c>
      <c r="M377" s="151" t="s">
        <v>324</v>
      </c>
      <c r="N377" s="152" t="s">
        <v>213</v>
      </c>
      <c r="O377" s="152" t="s">
        <v>10</v>
      </c>
      <c r="P377" s="176">
        <v>1550</v>
      </c>
      <c r="Q377" s="177">
        <v>798</v>
      </c>
      <c r="R377" s="176">
        <v>18000</v>
      </c>
      <c r="S377" s="156">
        <f t="shared" si="117"/>
        <v>14364000</v>
      </c>
      <c r="T377" s="589"/>
      <c r="U377" s="157">
        <v>18000</v>
      </c>
      <c r="V377" s="158">
        <f t="shared" si="128"/>
        <v>18000</v>
      </c>
      <c r="W377" s="159">
        <f t="shared" si="118"/>
        <v>0</v>
      </c>
      <c r="X377" s="159">
        <f t="shared" si="119"/>
        <v>0</v>
      </c>
      <c r="Y377" s="160"/>
      <c r="Z377" s="160">
        <f t="shared" si="120"/>
        <v>0</v>
      </c>
      <c r="AA377" s="165"/>
      <c r="AB377" s="161">
        <f t="shared" si="121"/>
        <v>0</v>
      </c>
      <c r="AC377" s="162"/>
      <c r="AD377" s="162">
        <f t="shared" si="129"/>
        <v>0</v>
      </c>
      <c r="AE377" s="164"/>
      <c r="AF377" s="164">
        <f t="shared" si="130"/>
        <v>0</v>
      </c>
      <c r="AG377" s="165"/>
      <c r="AH377" s="165">
        <f t="shared" si="131"/>
        <v>0</v>
      </c>
      <c r="AI377" s="166">
        <v>0</v>
      </c>
      <c r="AJ377" s="166">
        <f t="shared" si="132"/>
        <v>0</v>
      </c>
      <c r="AK377" s="162"/>
      <c r="AL377" s="162">
        <f t="shared" si="133"/>
        <v>0</v>
      </c>
      <c r="AM377" s="173"/>
      <c r="AN377" s="167">
        <f t="shared" si="123"/>
        <v>0</v>
      </c>
      <c r="AO377" s="163"/>
      <c r="AP377" s="163">
        <f t="shared" si="124"/>
        <v>0</v>
      </c>
      <c r="AQ377" s="168"/>
      <c r="AR377" s="168">
        <f t="shared" si="125"/>
        <v>0</v>
      </c>
      <c r="AS377" s="170"/>
      <c r="AT377" s="170">
        <f t="shared" si="126"/>
        <v>0</v>
      </c>
      <c r="AU377" s="166"/>
      <c r="AV377" s="166">
        <f t="shared" si="127"/>
        <v>0</v>
      </c>
    </row>
    <row r="378" spans="1:48" ht="31.5">
      <c r="A378" s="148" t="s">
        <v>5572</v>
      </c>
      <c r="B378" s="149" t="s">
        <v>5336</v>
      </c>
      <c r="C378" s="150" t="s">
        <v>322</v>
      </c>
      <c r="D378" s="634" t="s">
        <v>5573</v>
      </c>
      <c r="E378" s="631"/>
      <c r="F378" s="175" t="s">
        <v>325</v>
      </c>
      <c r="G378" s="151" t="s">
        <v>327</v>
      </c>
      <c r="H378" s="174" t="s">
        <v>5554</v>
      </c>
      <c r="I378" s="150" t="s">
        <v>326</v>
      </c>
      <c r="J378" s="153" t="s">
        <v>5429</v>
      </c>
      <c r="K378" s="151" t="s">
        <v>5104</v>
      </c>
      <c r="L378" s="151" t="s">
        <v>5574</v>
      </c>
      <c r="M378" s="151" t="s">
        <v>324</v>
      </c>
      <c r="N378" s="152" t="s">
        <v>213</v>
      </c>
      <c r="O378" s="152" t="s">
        <v>10</v>
      </c>
      <c r="P378" s="176">
        <v>395</v>
      </c>
      <c r="Q378" s="177">
        <v>231</v>
      </c>
      <c r="R378" s="176">
        <v>182000</v>
      </c>
      <c r="S378" s="156">
        <f t="shared" si="117"/>
        <v>42042000</v>
      </c>
      <c r="T378" s="589"/>
      <c r="U378" s="157">
        <v>182000</v>
      </c>
      <c r="V378" s="158">
        <f t="shared" si="128"/>
        <v>182000</v>
      </c>
      <c r="W378" s="159">
        <f t="shared" si="118"/>
        <v>0</v>
      </c>
      <c r="X378" s="159">
        <f t="shared" si="119"/>
        <v>0</v>
      </c>
      <c r="Y378" s="160"/>
      <c r="Z378" s="160">
        <f t="shared" si="120"/>
        <v>0</v>
      </c>
      <c r="AA378" s="161"/>
      <c r="AB378" s="161">
        <f t="shared" si="121"/>
        <v>0</v>
      </c>
      <c r="AC378" s="162"/>
      <c r="AD378" s="162">
        <f t="shared" si="129"/>
        <v>0</v>
      </c>
      <c r="AE378" s="164"/>
      <c r="AF378" s="164">
        <f t="shared" si="130"/>
        <v>0</v>
      </c>
      <c r="AG378" s="165"/>
      <c r="AH378" s="165">
        <f t="shared" si="131"/>
        <v>0</v>
      </c>
      <c r="AI378" s="166">
        <v>0</v>
      </c>
      <c r="AJ378" s="166">
        <f t="shared" si="132"/>
        <v>0</v>
      </c>
      <c r="AK378" s="162"/>
      <c r="AL378" s="162">
        <f t="shared" si="133"/>
        <v>0</v>
      </c>
      <c r="AM378" s="167"/>
      <c r="AN378" s="167">
        <f t="shared" si="123"/>
        <v>0</v>
      </c>
      <c r="AO378" s="163"/>
      <c r="AP378" s="163">
        <f t="shared" si="124"/>
        <v>0</v>
      </c>
      <c r="AQ378" s="168"/>
      <c r="AR378" s="168">
        <f t="shared" si="125"/>
        <v>0</v>
      </c>
      <c r="AS378" s="170"/>
      <c r="AT378" s="170">
        <f t="shared" si="126"/>
        <v>0</v>
      </c>
      <c r="AU378" s="166"/>
      <c r="AV378" s="166">
        <f t="shared" si="127"/>
        <v>0</v>
      </c>
    </row>
    <row r="379" spans="1:48" ht="31.5">
      <c r="A379" s="172" t="s">
        <v>6971</v>
      </c>
      <c r="B379" s="149" t="s">
        <v>5336</v>
      </c>
      <c r="C379" s="150" t="s">
        <v>322</v>
      </c>
      <c r="D379" s="240" t="s">
        <v>3964</v>
      </c>
      <c r="E379" s="590"/>
      <c r="F379" s="203" t="s">
        <v>3967</v>
      </c>
      <c r="G379" s="204" t="s">
        <v>2005</v>
      </c>
      <c r="H379" s="204">
        <v>3</v>
      </c>
      <c r="I379" s="203" t="s">
        <v>1052</v>
      </c>
      <c r="J379" s="205" t="s">
        <v>6972</v>
      </c>
      <c r="K379" s="203" t="s">
        <v>5104</v>
      </c>
      <c r="L379" s="205" t="s">
        <v>6973</v>
      </c>
      <c r="M379" s="205" t="s">
        <v>324</v>
      </c>
      <c r="N379" s="204" t="s">
        <v>213</v>
      </c>
      <c r="O379" s="204" t="s">
        <v>11</v>
      </c>
      <c r="P379" s="206">
        <v>1750</v>
      </c>
      <c r="Q379" s="206">
        <v>1743</v>
      </c>
      <c r="R379" s="207">
        <v>100000</v>
      </c>
      <c r="S379" s="207">
        <f t="shared" si="117"/>
        <v>174300000</v>
      </c>
      <c r="T379" s="589"/>
      <c r="U379" s="157">
        <v>100000</v>
      </c>
      <c r="V379" s="158">
        <f t="shared" si="128"/>
        <v>70000</v>
      </c>
      <c r="W379" s="159">
        <f t="shared" si="118"/>
        <v>30000</v>
      </c>
      <c r="X379" s="159">
        <f t="shared" si="119"/>
        <v>52290000</v>
      </c>
      <c r="Y379" s="160"/>
      <c r="Z379" s="160">
        <f t="shared" si="120"/>
        <v>0</v>
      </c>
      <c r="AA379" s="161">
        <v>20000</v>
      </c>
      <c r="AB379" s="161">
        <f t="shared" si="121"/>
        <v>34860000</v>
      </c>
      <c r="AC379" s="162"/>
      <c r="AD379" s="162">
        <f t="shared" si="129"/>
        <v>0</v>
      </c>
      <c r="AE379" s="164"/>
      <c r="AF379" s="164">
        <f t="shared" si="130"/>
        <v>0</v>
      </c>
      <c r="AG379" s="165"/>
      <c r="AH379" s="165">
        <f t="shared" si="131"/>
        <v>0</v>
      </c>
      <c r="AI379" s="166">
        <v>0</v>
      </c>
      <c r="AJ379" s="166">
        <f t="shared" si="132"/>
        <v>0</v>
      </c>
      <c r="AK379" s="162"/>
      <c r="AL379" s="162">
        <f t="shared" si="133"/>
        <v>0</v>
      </c>
      <c r="AM379" s="167">
        <v>10000</v>
      </c>
      <c r="AN379" s="167">
        <f t="shared" si="123"/>
        <v>17430000</v>
      </c>
      <c r="AO379" s="163"/>
      <c r="AP379" s="163">
        <f t="shared" si="124"/>
        <v>0</v>
      </c>
      <c r="AQ379" s="168"/>
      <c r="AR379" s="168">
        <f t="shared" si="125"/>
        <v>0</v>
      </c>
      <c r="AS379" s="170"/>
      <c r="AT379" s="170">
        <f t="shared" si="126"/>
        <v>0</v>
      </c>
      <c r="AU379" s="166"/>
      <c r="AV379" s="166">
        <f t="shared" si="127"/>
        <v>0</v>
      </c>
    </row>
    <row r="380" spans="1:48" ht="31.5">
      <c r="A380" s="148" t="s">
        <v>7399</v>
      </c>
      <c r="B380" s="149" t="s">
        <v>5336</v>
      </c>
      <c r="C380" s="150" t="s">
        <v>322</v>
      </c>
      <c r="D380" s="240" t="s">
        <v>7400</v>
      </c>
      <c r="E380" s="590"/>
      <c r="F380" s="203" t="s">
        <v>7401</v>
      </c>
      <c r="G380" s="204" t="s">
        <v>334</v>
      </c>
      <c r="H380" s="204">
        <v>3</v>
      </c>
      <c r="I380" s="203" t="s">
        <v>7402</v>
      </c>
      <c r="J380" s="205" t="s">
        <v>7403</v>
      </c>
      <c r="K380" s="203" t="s">
        <v>5111</v>
      </c>
      <c r="L380" s="205" t="s">
        <v>7404</v>
      </c>
      <c r="M380" s="205" t="s">
        <v>324</v>
      </c>
      <c r="N380" s="204" t="s">
        <v>213</v>
      </c>
      <c r="O380" s="204" t="s">
        <v>11</v>
      </c>
      <c r="P380" s="206">
        <v>4200</v>
      </c>
      <c r="Q380" s="206">
        <v>1785</v>
      </c>
      <c r="R380" s="207">
        <v>10000</v>
      </c>
      <c r="S380" s="207">
        <f t="shared" si="117"/>
        <v>17850000</v>
      </c>
      <c r="T380" s="589"/>
      <c r="U380" s="157">
        <v>10000</v>
      </c>
      <c r="V380" s="158">
        <f t="shared" si="128"/>
        <v>10000</v>
      </c>
      <c r="W380" s="159">
        <f t="shared" si="118"/>
        <v>0</v>
      </c>
      <c r="X380" s="159">
        <f t="shared" si="119"/>
        <v>0</v>
      </c>
      <c r="Y380" s="160"/>
      <c r="Z380" s="160">
        <f t="shared" si="120"/>
        <v>0</v>
      </c>
      <c r="AA380" s="165"/>
      <c r="AB380" s="161">
        <f t="shared" si="121"/>
        <v>0</v>
      </c>
      <c r="AC380" s="162"/>
      <c r="AD380" s="162">
        <f t="shared" si="129"/>
        <v>0</v>
      </c>
      <c r="AE380" s="164"/>
      <c r="AF380" s="164">
        <f t="shared" si="130"/>
        <v>0</v>
      </c>
      <c r="AG380" s="165"/>
      <c r="AH380" s="165">
        <f t="shared" si="131"/>
        <v>0</v>
      </c>
      <c r="AI380" s="166">
        <v>0</v>
      </c>
      <c r="AJ380" s="166">
        <f t="shared" si="132"/>
        <v>0</v>
      </c>
      <c r="AK380" s="162"/>
      <c r="AL380" s="162">
        <f t="shared" si="133"/>
        <v>0</v>
      </c>
      <c r="AM380" s="173"/>
      <c r="AN380" s="167">
        <f t="shared" si="123"/>
        <v>0</v>
      </c>
      <c r="AO380" s="163"/>
      <c r="AP380" s="163">
        <f t="shared" si="124"/>
        <v>0</v>
      </c>
      <c r="AQ380" s="168"/>
      <c r="AR380" s="168">
        <f t="shared" si="125"/>
        <v>0</v>
      </c>
      <c r="AS380" s="170"/>
      <c r="AT380" s="170">
        <f t="shared" si="126"/>
        <v>0</v>
      </c>
      <c r="AU380" s="166"/>
      <c r="AV380" s="166">
        <f t="shared" si="127"/>
        <v>0</v>
      </c>
    </row>
    <row r="381" spans="1:48" ht="31.5">
      <c r="A381" s="148" t="s">
        <v>7417</v>
      </c>
      <c r="B381" s="149" t="s">
        <v>5336</v>
      </c>
      <c r="C381" s="150" t="s">
        <v>322</v>
      </c>
      <c r="D381" s="240" t="s">
        <v>3968</v>
      </c>
      <c r="E381" s="590" t="s">
        <v>12642</v>
      </c>
      <c r="F381" s="203" t="s">
        <v>639</v>
      </c>
      <c r="G381" s="204" t="s">
        <v>334</v>
      </c>
      <c r="H381" s="204">
        <v>3</v>
      </c>
      <c r="I381" s="203" t="s">
        <v>3969</v>
      </c>
      <c r="J381" s="205" t="s">
        <v>7418</v>
      </c>
      <c r="K381" s="203" t="s">
        <v>5111</v>
      </c>
      <c r="L381" s="205" t="s">
        <v>7419</v>
      </c>
      <c r="M381" s="205" t="s">
        <v>324</v>
      </c>
      <c r="N381" s="204" t="s">
        <v>213</v>
      </c>
      <c r="O381" s="204" t="s">
        <v>11</v>
      </c>
      <c r="P381" s="206">
        <v>3000</v>
      </c>
      <c r="Q381" s="206">
        <v>1300</v>
      </c>
      <c r="R381" s="207">
        <v>20000</v>
      </c>
      <c r="S381" s="207">
        <f t="shared" si="117"/>
        <v>26000000</v>
      </c>
      <c r="T381" s="589"/>
      <c r="U381" s="157">
        <v>20000</v>
      </c>
      <c r="V381" s="158">
        <f t="shared" si="128"/>
        <v>19000</v>
      </c>
      <c r="W381" s="159">
        <f t="shared" si="118"/>
        <v>1000</v>
      </c>
      <c r="X381" s="159">
        <f t="shared" si="119"/>
        <v>1300000</v>
      </c>
      <c r="Y381" s="160"/>
      <c r="Z381" s="160">
        <f t="shared" si="120"/>
        <v>0</v>
      </c>
      <c r="AA381" s="161">
        <v>600</v>
      </c>
      <c r="AB381" s="161">
        <f t="shared" si="121"/>
        <v>780000</v>
      </c>
      <c r="AC381" s="162"/>
      <c r="AD381" s="162">
        <f t="shared" si="129"/>
        <v>0</v>
      </c>
      <c r="AE381" s="164"/>
      <c r="AF381" s="164">
        <f t="shared" si="130"/>
        <v>0</v>
      </c>
      <c r="AG381" s="165"/>
      <c r="AH381" s="165">
        <f t="shared" si="131"/>
        <v>0</v>
      </c>
      <c r="AI381" s="166">
        <v>0</v>
      </c>
      <c r="AJ381" s="166">
        <f t="shared" si="132"/>
        <v>0</v>
      </c>
      <c r="AK381" s="162"/>
      <c r="AL381" s="162">
        <f t="shared" si="133"/>
        <v>0</v>
      </c>
      <c r="AM381" s="167"/>
      <c r="AN381" s="167">
        <f t="shared" si="123"/>
        <v>0</v>
      </c>
      <c r="AO381" s="163"/>
      <c r="AP381" s="163">
        <f t="shared" si="124"/>
        <v>0</v>
      </c>
      <c r="AQ381" s="168"/>
      <c r="AR381" s="168">
        <f t="shared" si="125"/>
        <v>0</v>
      </c>
      <c r="AS381" s="170">
        <v>400</v>
      </c>
      <c r="AT381" s="170">
        <f t="shared" si="126"/>
        <v>520000</v>
      </c>
      <c r="AU381" s="166"/>
      <c r="AV381" s="166">
        <f t="shared" si="127"/>
        <v>0</v>
      </c>
    </row>
    <row r="382" spans="1:48" ht="31.5">
      <c r="A382" s="148" t="s">
        <v>8123</v>
      </c>
      <c r="B382" s="149" t="s">
        <v>5336</v>
      </c>
      <c r="C382" s="150" t="s">
        <v>322</v>
      </c>
      <c r="D382" s="240" t="s">
        <v>8124</v>
      </c>
      <c r="E382" s="590" t="s">
        <v>12642</v>
      </c>
      <c r="F382" s="203" t="s">
        <v>1618</v>
      </c>
      <c r="G382" s="204" t="s">
        <v>1232</v>
      </c>
      <c r="H382" s="204">
        <v>3</v>
      </c>
      <c r="I382" s="203" t="s">
        <v>2493</v>
      </c>
      <c r="J382" s="205" t="s">
        <v>8125</v>
      </c>
      <c r="K382" s="203" t="s">
        <v>5104</v>
      </c>
      <c r="L382" s="205" t="s">
        <v>8126</v>
      </c>
      <c r="M382" s="205" t="s">
        <v>324</v>
      </c>
      <c r="N382" s="204" t="s">
        <v>213</v>
      </c>
      <c r="O382" s="204" t="s">
        <v>11</v>
      </c>
      <c r="P382" s="206">
        <v>1415</v>
      </c>
      <c r="Q382" s="206">
        <v>567</v>
      </c>
      <c r="R382" s="207">
        <v>50000</v>
      </c>
      <c r="S382" s="207">
        <f t="shared" si="117"/>
        <v>28350000</v>
      </c>
      <c r="T382" s="589"/>
      <c r="U382" s="157">
        <v>50000</v>
      </c>
      <c r="V382" s="158">
        <f t="shared" si="128"/>
        <v>50000</v>
      </c>
      <c r="W382" s="159">
        <f t="shared" si="118"/>
        <v>0</v>
      </c>
      <c r="X382" s="159">
        <f t="shared" si="119"/>
        <v>0</v>
      </c>
      <c r="Y382" s="160"/>
      <c r="Z382" s="160">
        <f t="shared" si="120"/>
        <v>0</v>
      </c>
      <c r="AA382" s="161"/>
      <c r="AB382" s="161">
        <f t="shared" si="121"/>
        <v>0</v>
      </c>
      <c r="AC382" s="162"/>
      <c r="AD382" s="162">
        <f t="shared" si="129"/>
        <v>0</v>
      </c>
      <c r="AE382" s="164"/>
      <c r="AF382" s="164">
        <f t="shared" si="130"/>
        <v>0</v>
      </c>
      <c r="AG382" s="165"/>
      <c r="AH382" s="165">
        <f t="shared" si="131"/>
        <v>0</v>
      </c>
      <c r="AI382" s="166">
        <v>0</v>
      </c>
      <c r="AJ382" s="166">
        <f t="shared" si="132"/>
        <v>0</v>
      </c>
      <c r="AK382" s="162"/>
      <c r="AL382" s="162">
        <f t="shared" si="133"/>
        <v>0</v>
      </c>
      <c r="AM382" s="167"/>
      <c r="AN382" s="167">
        <f t="shared" si="123"/>
        <v>0</v>
      </c>
      <c r="AO382" s="163"/>
      <c r="AP382" s="163">
        <f t="shared" si="124"/>
        <v>0</v>
      </c>
      <c r="AQ382" s="168"/>
      <c r="AR382" s="168">
        <f t="shared" si="125"/>
        <v>0</v>
      </c>
      <c r="AS382" s="170"/>
      <c r="AT382" s="170">
        <f t="shared" si="126"/>
        <v>0</v>
      </c>
      <c r="AU382" s="166"/>
      <c r="AV382" s="166">
        <f t="shared" si="127"/>
        <v>0</v>
      </c>
    </row>
    <row r="383" spans="1:48">
      <c r="A383" s="148" t="s">
        <v>6116</v>
      </c>
      <c r="B383" s="149" t="s">
        <v>6117</v>
      </c>
      <c r="C383" s="149" t="s">
        <v>6118</v>
      </c>
      <c r="D383" s="240" t="s">
        <v>6119</v>
      </c>
      <c r="E383" s="590" t="s">
        <v>12642</v>
      </c>
      <c r="F383" s="203" t="s">
        <v>556</v>
      </c>
      <c r="G383" s="204" t="s">
        <v>327</v>
      </c>
      <c r="H383" s="204">
        <v>1</v>
      </c>
      <c r="I383" s="203" t="s">
        <v>6120</v>
      </c>
      <c r="J383" s="205" t="s">
        <v>6121</v>
      </c>
      <c r="K383" s="203" t="s">
        <v>5104</v>
      </c>
      <c r="L383" s="205" t="s">
        <v>6122</v>
      </c>
      <c r="M383" s="205" t="s">
        <v>6123</v>
      </c>
      <c r="N383" s="204" t="s">
        <v>5717</v>
      </c>
      <c r="O383" s="204" t="s">
        <v>11</v>
      </c>
      <c r="P383" s="206">
        <v>3360</v>
      </c>
      <c r="Q383" s="206">
        <v>3360</v>
      </c>
      <c r="R383" s="207">
        <v>40000</v>
      </c>
      <c r="S383" s="207">
        <f t="shared" si="117"/>
        <v>134400000</v>
      </c>
      <c r="T383" s="589"/>
      <c r="U383" s="157">
        <v>40000</v>
      </c>
      <c r="V383" s="158">
        <f t="shared" si="128"/>
        <v>40000</v>
      </c>
      <c r="W383" s="159">
        <f t="shared" si="118"/>
        <v>0</v>
      </c>
      <c r="X383" s="159">
        <f t="shared" si="119"/>
        <v>0</v>
      </c>
      <c r="Y383" s="160"/>
      <c r="Z383" s="160">
        <f t="shared" si="120"/>
        <v>0</v>
      </c>
      <c r="AA383" s="165"/>
      <c r="AB383" s="161">
        <f t="shared" si="121"/>
        <v>0</v>
      </c>
      <c r="AC383" s="162"/>
      <c r="AD383" s="162">
        <f t="shared" si="129"/>
        <v>0</v>
      </c>
      <c r="AE383" s="163"/>
      <c r="AF383" s="164">
        <f t="shared" si="130"/>
        <v>0</v>
      </c>
      <c r="AG383" s="161"/>
      <c r="AH383" s="165">
        <f t="shared" si="131"/>
        <v>0</v>
      </c>
      <c r="AI383" s="160">
        <v>0</v>
      </c>
      <c r="AJ383" s="166">
        <f t="shared" si="132"/>
        <v>0</v>
      </c>
      <c r="AK383" s="162"/>
      <c r="AL383" s="162">
        <f t="shared" si="133"/>
        <v>0</v>
      </c>
      <c r="AM383" s="173"/>
      <c r="AN383" s="167">
        <f t="shared" si="123"/>
        <v>0</v>
      </c>
      <c r="AO383" s="163"/>
      <c r="AP383" s="163">
        <f t="shared" si="124"/>
        <v>0</v>
      </c>
      <c r="AQ383" s="162"/>
      <c r="AR383" s="168">
        <f t="shared" si="125"/>
        <v>0</v>
      </c>
      <c r="AS383" s="169"/>
      <c r="AT383" s="170">
        <f t="shared" si="126"/>
        <v>0</v>
      </c>
      <c r="AU383" s="160"/>
      <c r="AV383" s="166">
        <f t="shared" si="127"/>
        <v>0</v>
      </c>
    </row>
    <row r="384" spans="1:48" ht="31.5">
      <c r="A384" s="148" t="s">
        <v>6294</v>
      </c>
      <c r="B384" s="149" t="s">
        <v>6117</v>
      </c>
      <c r="C384" s="149" t="s">
        <v>6118</v>
      </c>
      <c r="D384" s="240" t="s">
        <v>3976</v>
      </c>
      <c r="E384" s="590" t="s">
        <v>12642</v>
      </c>
      <c r="F384" s="203" t="s">
        <v>2083</v>
      </c>
      <c r="G384" s="204" t="s">
        <v>6295</v>
      </c>
      <c r="H384" s="204">
        <v>1</v>
      </c>
      <c r="I384" s="203" t="s">
        <v>6296</v>
      </c>
      <c r="J384" s="205" t="s">
        <v>6297</v>
      </c>
      <c r="K384" s="203" t="s">
        <v>253</v>
      </c>
      <c r="L384" s="205" t="s">
        <v>6298</v>
      </c>
      <c r="M384" s="205" t="s">
        <v>5806</v>
      </c>
      <c r="N384" s="204" t="s">
        <v>6299</v>
      </c>
      <c r="O384" s="204" t="s">
        <v>12</v>
      </c>
      <c r="P384" s="206">
        <v>4500</v>
      </c>
      <c r="Q384" s="206">
        <v>2688</v>
      </c>
      <c r="R384" s="207">
        <v>15000</v>
      </c>
      <c r="S384" s="207">
        <f t="shared" si="117"/>
        <v>40320000</v>
      </c>
      <c r="T384" s="589"/>
      <c r="U384" s="157">
        <v>15000</v>
      </c>
      <c r="V384" s="158">
        <f t="shared" si="128"/>
        <v>15000</v>
      </c>
      <c r="W384" s="159">
        <f t="shared" si="118"/>
        <v>0</v>
      </c>
      <c r="X384" s="159">
        <f t="shared" si="119"/>
        <v>0</v>
      </c>
      <c r="Y384" s="160"/>
      <c r="Z384" s="160">
        <f t="shared" si="120"/>
        <v>0</v>
      </c>
      <c r="AA384" s="165"/>
      <c r="AB384" s="161">
        <f t="shared" si="121"/>
        <v>0</v>
      </c>
      <c r="AC384" s="162"/>
      <c r="AD384" s="162">
        <f t="shared" si="129"/>
        <v>0</v>
      </c>
      <c r="AE384" s="164"/>
      <c r="AF384" s="164">
        <f t="shared" si="130"/>
        <v>0</v>
      </c>
      <c r="AG384" s="165"/>
      <c r="AH384" s="165">
        <f t="shared" si="131"/>
        <v>0</v>
      </c>
      <c r="AI384" s="166">
        <v>0</v>
      </c>
      <c r="AJ384" s="166">
        <f t="shared" si="132"/>
        <v>0</v>
      </c>
      <c r="AK384" s="162"/>
      <c r="AL384" s="162">
        <f t="shared" si="133"/>
        <v>0</v>
      </c>
      <c r="AM384" s="173"/>
      <c r="AN384" s="167">
        <f t="shared" si="123"/>
        <v>0</v>
      </c>
      <c r="AO384" s="163"/>
      <c r="AP384" s="163">
        <f t="shared" si="124"/>
        <v>0</v>
      </c>
      <c r="AQ384" s="168"/>
      <c r="AR384" s="168">
        <f t="shared" si="125"/>
        <v>0</v>
      </c>
      <c r="AS384" s="170"/>
      <c r="AT384" s="170">
        <f t="shared" si="126"/>
        <v>0</v>
      </c>
      <c r="AU384" s="166"/>
      <c r="AV384" s="166">
        <f t="shared" si="127"/>
        <v>0</v>
      </c>
    </row>
    <row r="385" spans="1:49" ht="31.5">
      <c r="A385" s="148" t="s">
        <v>6326</v>
      </c>
      <c r="B385" s="149" t="s">
        <v>6117</v>
      </c>
      <c r="C385" s="149" t="s">
        <v>6118</v>
      </c>
      <c r="D385" s="240" t="s">
        <v>4219</v>
      </c>
      <c r="E385" s="590"/>
      <c r="F385" s="203" t="s">
        <v>4220</v>
      </c>
      <c r="G385" s="204" t="s">
        <v>4221</v>
      </c>
      <c r="H385" s="204">
        <v>1</v>
      </c>
      <c r="I385" s="203" t="s">
        <v>913</v>
      </c>
      <c r="J385" s="205" t="s">
        <v>6327</v>
      </c>
      <c r="K385" s="203" t="s">
        <v>5104</v>
      </c>
      <c r="L385" s="205" t="s">
        <v>6328</v>
      </c>
      <c r="M385" s="205" t="s">
        <v>6329</v>
      </c>
      <c r="N385" s="204" t="s">
        <v>6330</v>
      </c>
      <c r="O385" s="204" t="s">
        <v>520</v>
      </c>
      <c r="P385" s="206">
        <v>189500</v>
      </c>
      <c r="Q385" s="206">
        <v>88788</v>
      </c>
      <c r="R385" s="207">
        <v>200</v>
      </c>
      <c r="S385" s="207">
        <f t="shared" si="117"/>
        <v>17757600</v>
      </c>
      <c r="T385" s="589"/>
      <c r="U385" s="157">
        <v>200</v>
      </c>
      <c r="V385" s="158">
        <f t="shared" si="128"/>
        <v>180</v>
      </c>
      <c r="W385" s="159">
        <f t="shared" si="118"/>
        <v>20</v>
      </c>
      <c r="X385" s="159">
        <f t="shared" si="119"/>
        <v>1775760</v>
      </c>
      <c r="Y385" s="160"/>
      <c r="Z385" s="160">
        <f t="shared" si="120"/>
        <v>0</v>
      </c>
      <c r="AA385" s="165"/>
      <c r="AB385" s="161">
        <f t="shared" si="121"/>
        <v>0</v>
      </c>
      <c r="AC385" s="162"/>
      <c r="AD385" s="162">
        <f t="shared" si="129"/>
        <v>0</v>
      </c>
      <c r="AE385" s="164"/>
      <c r="AF385" s="164">
        <f t="shared" si="130"/>
        <v>0</v>
      </c>
      <c r="AG385" s="165"/>
      <c r="AH385" s="165">
        <f t="shared" si="131"/>
        <v>0</v>
      </c>
      <c r="AI385" s="166">
        <v>20</v>
      </c>
      <c r="AJ385" s="166">
        <f t="shared" si="132"/>
        <v>1775760</v>
      </c>
      <c r="AK385" s="162"/>
      <c r="AL385" s="162">
        <f t="shared" si="133"/>
        <v>0</v>
      </c>
      <c r="AM385" s="173"/>
      <c r="AN385" s="167">
        <f t="shared" si="123"/>
        <v>0</v>
      </c>
      <c r="AO385" s="163"/>
      <c r="AP385" s="163">
        <f t="shared" si="124"/>
        <v>0</v>
      </c>
      <c r="AQ385" s="168"/>
      <c r="AR385" s="168">
        <f t="shared" si="125"/>
        <v>0</v>
      </c>
      <c r="AS385" s="170"/>
      <c r="AT385" s="170">
        <f t="shared" si="126"/>
        <v>0</v>
      </c>
      <c r="AU385" s="166"/>
      <c r="AV385" s="166">
        <f t="shared" si="127"/>
        <v>0</v>
      </c>
    </row>
    <row r="386" spans="1:49" ht="31.5">
      <c r="A386" s="148" t="s">
        <v>6444</v>
      </c>
      <c r="B386" s="149" t="s">
        <v>6117</v>
      </c>
      <c r="C386" s="149" t="s">
        <v>6118</v>
      </c>
      <c r="D386" s="240" t="s">
        <v>6445</v>
      </c>
      <c r="E386" s="590"/>
      <c r="F386" s="203" t="s">
        <v>797</v>
      </c>
      <c r="G386" s="204" t="s">
        <v>799</v>
      </c>
      <c r="H386" s="204">
        <v>1</v>
      </c>
      <c r="I386" s="203" t="s">
        <v>6446</v>
      </c>
      <c r="J386" s="205" t="s">
        <v>6447</v>
      </c>
      <c r="K386" s="203" t="s">
        <v>5104</v>
      </c>
      <c r="L386" s="205" t="s">
        <v>6448</v>
      </c>
      <c r="M386" s="205" t="s">
        <v>6449</v>
      </c>
      <c r="N386" s="204" t="s">
        <v>6450</v>
      </c>
      <c r="O386" s="204" t="s">
        <v>658</v>
      </c>
      <c r="P386" s="206">
        <v>24000</v>
      </c>
      <c r="Q386" s="206">
        <v>16002</v>
      </c>
      <c r="R386" s="207">
        <v>200</v>
      </c>
      <c r="S386" s="207">
        <f t="shared" si="117"/>
        <v>3200400</v>
      </c>
      <c r="T386" s="589"/>
      <c r="U386" s="157">
        <v>200</v>
      </c>
      <c r="V386" s="158">
        <f t="shared" si="128"/>
        <v>200</v>
      </c>
      <c r="W386" s="159">
        <f t="shared" si="118"/>
        <v>0</v>
      </c>
      <c r="X386" s="159">
        <f t="shared" si="119"/>
        <v>0</v>
      </c>
      <c r="Y386" s="160"/>
      <c r="Z386" s="160">
        <f t="shared" si="120"/>
        <v>0</v>
      </c>
      <c r="AA386" s="165"/>
      <c r="AB386" s="161">
        <f t="shared" si="121"/>
        <v>0</v>
      </c>
      <c r="AC386" s="162"/>
      <c r="AD386" s="162">
        <f t="shared" si="129"/>
        <v>0</v>
      </c>
      <c r="AE386" s="164"/>
      <c r="AF386" s="164">
        <f t="shared" si="130"/>
        <v>0</v>
      </c>
      <c r="AG386" s="165"/>
      <c r="AH386" s="165">
        <f t="shared" si="131"/>
        <v>0</v>
      </c>
      <c r="AI386" s="166">
        <v>0</v>
      </c>
      <c r="AJ386" s="166">
        <f t="shared" si="132"/>
        <v>0</v>
      </c>
      <c r="AK386" s="162"/>
      <c r="AL386" s="162">
        <f t="shared" si="133"/>
        <v>0</v>
      </c>
      <c r="AM386" s="173"/>
      <c r="AN386" s="167">
        <f t="shared" si="123"/>
        <v>0</v>
      </c>
      <c r="AO386" s="163"/>
      <c r="AP386" s="163">
        <f t="shared" si="124"/>
        <v>0</v>
      </c>
      <c r="AQ386" s="168"/>
      <c r="AR386" s="168">
        <f t="shared" si="125"/>
        <v>0</v>
      </c>
      <c r="AS386" s="170"/>
      <c r="AT386" s="170">
        <f t="shared" si="126"/>
        <v>0</v>
      </c>
      <c r="AU386" s="166"/>
      <c r="AV386" s="166">
        <f t="shared" si="127"/>
        <v>0</v>
      </c>
    </row>
    <row r="387" spans="1:49" s="115" customFormat="1" ht="31.5">
      <c r="A387" s="255">
        <v>3</v>
      </c>
      <c r="B387" s="256" t="s">
        <v>8909</v>
      </c>
      <c r="C387" s="256" t="s">
        <v>8910</v>
      </c>
      <c r="D387" s="605" t="s">
        <v>8911</v>
      </c>
      <c r="E387" s="257"/>
      <c r="F387" s="260" t="s">
        <v>8912</v>
      </c>
      <c r="G387" s="151" t="s">
        <v>8913</v>
      </c>
      <c r="H387" s="257" t="s">
        <v>5073</v>
      </c>
      <c r="I387" s="256" t="s">
        <v>8914</v>
      </c>
      <c r="J387" s="151" t="s">
        <v>8915</v>
      </c>
      <c r="K387" s="152" t="s">
        <v>253</v>
      </c>
      <c r="L387" s="257" t="s">
        <v>8916</v>
      </c>
      <c r="M387" s="151" t="s">
        <v>8917</v>
      </c>
      <c r="N387" s="151" t="s">
        <v>213</v>
      </c>
      <c r="O387" s="151" t="s">
        <v>14</v>
      </c>
      <c r="P387" s="257"/>
      <c r="Q387" s="261">
        <v>49815</v>
      </c>
      <c r="R387" s="94">
        <v>200</v>
      </c>
      <c r="S387" s="259">
        <f t="shared" si="117"/>
        <v>9963000</v>
      </c>
      <c r="T387" s="589"/>
      <c r="U387" s="257"/>
      <c r="V387" s="247">
        <f t="shared" ref="V387:V395" si="134">R387-W387</f>
        <v>200</v>
      </c>
      <c r="W387" s="159">
        <f t="shared" si="118"/>
        <v>0</v>
      </c>
      <c r="X387" s="159">
        <f t="shared" si="119"/>
        <v>0</v>
      </c>
      <c r="Y387" s="257"/>
      <c r="Z387" s="160">
        <f t="shared" si="120"/>
        <v>0</v>
      </c>
      <c r="AA387" s="257"/>
      <c r="AB387" s="161">
        <f t="shared" si="121"/>
        <v>0</v>
      </c>
      <c r="AC387" s="257"/>
      <c r="AD387" s="257"/>
      <c r="AE387" s="257"/>
      <c r="AF387" s="257"/>
      <c r="AG387" s="257"/>
      <c r="AH387" s="257"/>
      <c r="AI387" s="257"/>
      <c r="AJ387" s="257"/>
      <c r="AK387" s="257"/>
      <c r="AL387" s="257"/>
      <c r="AM387" s="257"/>
      <c r="AN387" s="167">
        <f t="shared" si="123"/>
        <v>0</v>
      </c>
      <c r="AO387" s="257"/>
      <c r="AP387" s="163">
        <f t="shared" si="124"/>
        <v>0</v>
      </c>
      <c r="AQ387" s="257"/>
      <c r="AR387" s="168">
        <f t="shared" si="125"/>
        <v>0</v>
      </c>
      <c r="AS387" s="257"/>
      <c r="AT387" s="170">
        <f t="shared" si="126"/>
        <v>0</v>
      </c>
      <c r="AU387" s="257"/>
      <c r="AV387" s="166">
        <f t="shared" si="127"/>
        <v>0</v>
      </c>
    </row>
    <row r="388" spans="1:49" s="115" customFormat="1" ht="31.5">
      <c r="A388" s="255">
        <v>6</v>
      </c>
      <c r="B388" s="256" t="s">
        <v>8909</v>
      </c>
      <c r="C388" s="256" t="s">
        <v>8910</v>
      </c>
      <c r="D388" s="609" t="s">
        <v>8926</v>
      </c>
      <c r="E388" s="257"/>
      <c r="F388" s="184" t="s">
        <v>8927</v>
      </c>
      <c r="G388" s="94" t="s">
        <v>8928</v>
      </c>
      <c r="H388" s="257" t="s">
        <v>5073</v>
      </c>
      <c r="I388" s="94" t="s">
        <v>8929</v>
      </c>
      <c r="J388" s="94" t="s">
        <v>8930</v>
      </c>
      <c r="K388" s="94" t="s">
        <v>5104</v>
      </c>
      <c r="L388" s="257" t="s">
        <v>8931</v>
      </c>
      <c r="M388" s="94" t="s">
        <v>8932</v>
      </c>
      <c r="N388" s="94" t="s">
        <v>8933</v>
      </c>
      <c r="O388" s="94" t="s">
        <v>14</v>
      </c>
      <c r="P388" s="257"/>
      <c r="Q388" s="261">
        <v>151200</v>
      </c>
      <c r="R388" s="94">
        <v>400</v>
      </c>
      <c r="S388" s="259">
        <f t="shared" si="117"/>
        <v>60480000</v>
      </c>
      <c r="T388" s="589"/>
      <c r="U388" s="257"/>
      <c r="V388" s="247">
        <f t="shared" si="134"/>
        <v>400</v>
      </c>
      <c r="W388" s="159">
        <f t="shared" si="118"/>
        <v>0</v>
      </c>
      <c r="X388" s="159">
        <f t="shared" si="119"/>
        <v>0</v>
      </c>
      <c r="Y388" s="257"/>
      <c r="Z388" s="160">
        <f t="shared" si="120"/>
        <v>0</v>
      </c>
      <c r="AA388" s="257"/>
      <c r="AB388" s="161">
        <f t="shared" si="121"/>
        <v>0</v>
      </c>
      <c r="AC388" s="257"/>
      <c r="AD388" s="257"/>
      <c r="AE388" s="257"/>
      <c r="AF388" s="257"/>
      <c r="AG388" s="257"/>
      <c r="AH388" s="257"/>
      <c r="AI388" s="257"/>
      <c r="AJ388" s="257"/>
      <c r="AK388" s="257"/>
      <c r="AL388" s="257"/>
      <c r="AM388" s="257"/>
      <c r="AN388" s="167">
        <f t="shared" si="123"/>
        <v>0</v>
      </c>
      <c r="AO388" s="257"/>
      <c r="AP388" s="163">
        <f t="shared" si="124"/>
        <v>0</v>
      </c>
      <c r="AQ388" s="257"/>
      <c r="AR388" s="168">
        <f t="shared" si="125"/>
        <v>0</v>
      </c>
      <c r="AS388" s="257"/>
      <c r="AT388" s="170">
        <f t="shared" si="126"/>
        <v>0</v>
      </c>
      <c r="AU388" s="257"/>
      <c r="AV388" s="166">
        <f t="shared" si="127"/>
        <v>0</v>
      </c>
    </row>
    <row r="389" spans="1:49" s="115" customFormat="1" ht="47.25">
      <c r="A389" s="263">
        <v>4</v>
      </c>
      <c r="B389" s="256" t="s">
        <v>8909</v>
      </c>
      <c r="C389" s="256" t="s">
        <v>8910</v>
      </c>
      <c r="D389" s="609" t="s">
        <v>4967</v>
      </c>
      <c r="E389" s="257"/>
      <c r="F389" s="184" t="s">
        <v>4969</v>
      </c>
      <c r="G389" s="94" t="s">
        <v>8934</v>
      </c>
      <c r="H389" s="257" t="s">
        <v>5073</v>
      </c>
      <c r="I389" s="94" t="s">
        <v>4968</v>
      </c>
      <c r="J389" s="94" t="s">
        <v>8935</v>
      </c>
      <c r="K389" s="94" t="s">
        <v>253</v>
      </c>
      <c r="L389" s="257" t="s">
        <v>8936</v>
      </c>
      <c r="M389" s="94" t="s">
        <v>8937</v>
      </c>
      <c r="N389" s="94" t="s">
        <v>5605</v>
      </c>
      <c r="O389" s="94" t="s">
        <v>14</v>
      </c>
      <c r="P389" s="257"/>
      <c r="Q389" s="261">
        <v>137550</v>
      </c>
      <c r="R389" s="94">
        <v>100</v>
      </c>
      <c r="S389" s="259">
        <f t="shared" ref="S389:S452" si="135">R389*Q389</f>
        <v>13755000</v>
      </c>
      <c r="T389" s="589"/>
      <c r="U389" s="257"/>
      <c r="V389" s="247">
        <f t="shared" si="134"/>
        <v>0</v>
      </c>
      <c r="W389" s="159">
        <f t="shared" ref="W389:W452" si="136">Y389+AA389+AC389+AE389+AG389+AI389+AK389+AM389+AO389+AQ389+AS389+AU389</f>
        <v>100</v>
      </c>
      <c r="X389" s="159">
        <f t="shared" ref="X389:X452" si="137">W389*Q389</f>
        <v>13755000</v>
      </c>
      <c r="Y389" s="257"/>
      <c r="Z389" s="160">
        <f t="shared" ref="Z389:Z452" si="138">Y389*Q389</f>
        <v>0</v>
      </c>
      <c r="AA389" s="257"/>
      <c r="AB389" s="161">
        <f t="shared" ref="AB389:AB452" si="139">AA389*Q389</f>
        <v>0</v>
      </c>
      <c r="AC389" s="257"/>
      <c r="AD389" s="257"/>
      <c r="AE389" s="257"/>
      <c r="AF389" s="257"/>
      <c r="AG389" s="257"/>
      <c r="AH389" s="257"/>
      <c r="AI389" s="257"/>
      <c r="AJ389" s="257"/>
      <c r="AK389" s="257"/>
      <c r="AL389" s="257"/>
      <c r="AM389" s="257">
        <v>100</v>
      </c>
      <c r="AN389" s="167">
        <f t="shared" ref="AN389:AN452" si="140">AM389*Q389</f>
        <v>13755000</v>
      </c>
      <c r="AO389" s="257"/>
      <c r="AP389" s="163">
        <f t="shared" ref="AP389:AP452" si="141">AO389*Q389</f>
        <v>0</v>
      </c>
      <c r="AQ389" s="257"/>
      <c r="AR389" s="168">
        <f t="shared" ref="AR389:AR452" si="142">AQ389*Q389</f>
        <v>0</v>
      </c>
      <c r="AS389" s="257"/>
      <c r="AT389" s="170">
        <f t="shared" ref="AT389:AT452" si="143">AS389*Q389</f>
        <v>0</v>
      </c>
      <c r="AU389" s="257"/>
      <c r="AV389" s="166">
        <f t="shared" ref="AV389:AV452" si="144">AU389*Q389</f>
        <v>0</v>
      </c>
    </row>
    <row r="390" spans="1:49" s="115" customFormat="1" ht="47.25">
      <c r="A390" s="263">
        <v>5</v>
      </c>
      <c r="B390" s="256" t="s">
        <v>8909</v>
      </c>
      <c r="C390" s="256" t="s">
        <v>8910</v>
      </c>
      <c r="D390" s="609" t="s">
        <v>8938</v>
      </c>
      <c r="E390" s="257"/>
      <c r="F390" s="184" t="s">
        <v>8939</v>
      </c>
      <c r="G390" s="94" t="s">
        <v>8940</v>
      </c>
      <c r="H390" s="257" t="s">
        <v>5073</v>
      </c>
      <c r="I390" s="150" t="s">
        <v>8941</v>
      </c>
      <c r="J390" s="94" t="s">
        <v>8942</v>
      </c>
      <c r="K390" s="94" t="s">
        <v>253</v>
      </c>
      <c r="L390" s="257" t="s">
        <v>8943</v>
      </c>
      <c r="M390" s="94" t="s">
        <v>8944</v>
      </c>
      <c r="N390" s="94" t="s">
        <v>8945</v>
      </c>
      <c r="O390" s="94" t="s">
        <v>14</v>
      </c>
      <c r="P390" s="257"/>
      <c r="Q390" s="261">
        <v>501000</v>
      </c>
      <c r="R390" s="94">
        <v>200</v>
      </c>
      <c r="S390" s="259">
        <f t="shared" si="135"/>
        <v>100200000</v>
      </c>
      <c r="T390" s="589"/>
      <c r="U390" s="257"/>
      <c r="V390" s="247">
        <f t="shared" si="134"/>
        <v>200</v>
      </c>
      <c r="W390" s="159">
        <f t="shared" si="136"/>
        <v>0</v>
      </c>
      <c r="X390" s="159">
        <f t="shared" si="137"/>
        <v>0</v>
      </c>
      <c r="Y390" s="257"/>
      <c r="Z390" s="160">
        <f t="shared" si="138"/>
        <v>0</v>
      </c>
      <c r="AA390" s="257"/>
      <c r="AB390" s="161">
        <f t="shared" si="139"/>
        <v>0</v>
      </c>
      <c r="AC390" s="257"/>
      <c r="AD390" s="257"/>
      <c r="AE390" s="257"/>
      <c r="AF390" s="257"/>
      <c r="AG390" s="257"/>
      <c r="AH390" s="257"/>
      <c r="AI390" s="257"/>
      <c r="AJ390" s="257"/>
      <c r="AK390" s="257"/>
      <c r="AL390" s="257"/>
      <c r="AM390" s="257"/>
      <c r="AN390" s="167">
        <f t="shared" si="140"/>
        <v>0</v>
      </c>
      <c r="AO390" s="257"/>
      <c r="AP390" s="163">
        <f t="shared" si="141"/>
        <v>0</v>
      </c>
      <c r="AQ390" s="257"/>
      <c r="AR390" s="168">
        <f t="shared" si="142"/>
        <v>0</v>
      </c>
      <c r="AS390" s="257"/>
      <c r="AT390" s="170">
        <f t="shared" si="143"/>
        <v>0</v>
      </c>
      <c r="AU390" s="257"/>
      <c r="AV390" s="166">
        <f t="shared" si="144"/>
        <v>0</v>
      </c>
    </row>
    <row r="391" spans="1:49" s="115" customFormat="1" ht="47.25">
      <c r="A391" s="148">
        <v>7</v>
      </c>
      <c r="B391" s="150" t="s">
        <v>8527</v>
      </c>
      <c r="C391" s="150" t="s">
        <v>8528</v>
      </c>
      <c r="D391" s="250" t="s">
        <v>8529</v>
      </c>
      <c r="E391" s="241"/>
      <c r="F391" s="242" t="s">
        <v>8530</v>
      </c>
      <c r="G391" s="244" t="s">
        <v>8531</v>
      </c>
      <c r="H391" s="244" t="s">
        <v>211</v>
      </c>
      <c r="I391" s="244" t="s">
        <v>8532</v>
      </c>
      <c r="J391" s="244" t="s">
        <v>8533</v>
      </c>
      <c r="K391" s="244" t="s">
        <v>5784</v>
      </c>
      <c r="L391" s="241" t="s">
        <v>8534</v>
      </c>
      <c r="M391" s="244" t="s">
        <v>8535</v>
      </c>
      <c r="N391" s="241" t="s">
        <v>8536</v>
      </c>
      <c r="O391" s="241" t="s">
        <v>13</v>
      </c>
      <c r="P391" s="245">
        <v>2200</v>
      </c>
      <c r="Q391" s="245">
        <v>1800</v>
      </c>
      <c r="R391" s="246">
        <v>20000</v>
      </c>
      <c r="S391" s="245">
        <f t="shared" si="135"/>
        <v>36000000</v>
      </c>
      <c r="T391" s="589"/>
      <c r="U391" s="244"/>
      <c r="V391" s="247">
        <f t="shared" si="134"/>
        <v>20000</v>
      </c>
      <c r="W391" s="159">
        <f t="shared" si="136"/>
        <v>0</v>
      </c>
      <c r="X391" s="159">
        <f t="shared" si="137"/>
        <v>0</v>
      </c>
      <c r="Y391" s="248"/>
      <c r="Z391" s="160">
        <f t="shared" si="138"/>
        <v>0</v>
      </c>
      <c r="AA391" s="248"/>
      <c r="AB391" s="161">
        <f t="shared" si="139"/>
        <v>0</v>
      </c>
      <c r="AC391" s="249"/>
      <c r="AD391" s="249"/>
      <c r="AE391" s="249"/>
      <c r="AF391" s="249"/>
      <c r="AG391" s="249"/>
      <c r="AH391" s="249"/>
      <c r="AI391" s="249"/>
      <c r="AJ391" s="249"/>
      <c r="AK391" s="249"/>
      <c r="AL391" s="162">
        <f t="shared" ref="AL391:AL454" si="145">AK391*Q391</f>
        <v>0</v>
      </c>
      <c r="AM391" s="249"/>
      <c r="AN391" s="167">
        <f t="shared" si="140"/>
        <v>0</v>
      </c>
      <c r="AO391" s="249"/>
      <c r="AP391" s="163">
        <f t="shared" si="141"/>
        <v>0</v>
      </c>
      <c r="AQ391" s="249"/>
      <c r="AR391" s="168">
        <f t="shared" si="142"/>
        <v>0</v>
      </c>
      <c r="AS391" s="249"/>
      <c r="AT391" s="170">
        <f t="shared" si="143"/>
        <v>0</v>
      </c>
      <c r="AU391" s="249"/>
      <c r="AV391" s="166">
        <f t="shared" si="144"/>
        <v>0</v>
      </c>
    </row>
    <row r="392" spans="1:49" s="115" customFormat="1" ht="31.5">
      <c r="A392" s="148">
        <v>39</v>
      </c>
      <c r="B392" s="150" t="s">
        <v>8527</v>
      </c>
      <c r="C392" s="150" t="s">
        <v>8528</v>
      </c>
      <c r="D392" s="250" t="s">
        <v>8683</v>
      </c>
      <c r="E392" s="241"/>
      <c r="F392" s="242" t="s">
        <v>8684</v>
      </c>
      <c r="G392" s="244" t="s">
        <v>8685</v>
      </c>
      <c r="H392" s="244" t="s">
        <v>211</v>
      </c>
      <c r="I392" s="244" t="s">
        <v>8686</v>
      </c>
      <c r="J392" s="244" t="s">
        <v>8687</v>
      </c>
      <c r="K392" s="244" t="s">
        <v>5784</v>
      </c>
      <c r="L392" s="241" t="s">
        <v>8688</v>
      </c>
      <c r="M392" s="244" t="s">
        <v>8535</v>
      </c>
      <c r="N392" s="241" t="s">
        <v>8536</v>
      </c>
      <c r="O392" s="241" t="s">
        <v>11</v>
      </c>
      <c r="P392" s="245">
        <v>4800</v>
      </c>
      <c r="Q392" s="245">
        <v>4000</v>
      </c>
      <c r="R392" s="246">
        <v>15000</v>
      </c>
      <c r="S392" s="245">
        <f t="shared" si="135"/>
        <v>60000000</v>
      </c>
      <c r="T392" s="589"/>
      <c r="U392" s="244"/>
      <c r="V392" s="247">
        <f t="shared" si="134"/>
        <v>15000</v>
      </c>
      <c r="W392" s="159">
        <f t="shared" si="136"/>
        <v>0</v>
      </c>
      <c r="X392" s="159">
        <f t="shared" si="137"/>
        <v>0</v>
      </c>
      <c r="Y392" s="248"/>
      <c r="Z392" s="160">
        <f t="shared" si="138"/>
        <v>0</v>
      </c>
      <c r="AA392" s="248"/>
      <c r="AB392" s="161">
        <f t="shared" si="139"/>
        <v>0</v>
      </c>
      <c r="AC392" s="249"/>
      <c r="AD392" s="249"/>
      <c r="AE392" s="249"/>
      <c r="AF392" s="249"/>
      <c r="AG392" s="249"/>
      <c r="AH392" s="249"/>
      <c r="AI392" s="249"/>
      <c r="AJ392" s="249"/>
      <c r="AK392" s="249"/>
      <c r="AL392" s="162">
        <f t="shared" si="145"/>
        <v>0</v>
      </c>
      <c r="AM392" s="249"/>
      <c r="AN392" s="167">
        <f t="shared" si="140"/>
        <v>0</v>
      </c>
      <c r="AO392" s="249"/>
      <c r="AP392" s="163">
        <f t="shared" si="141"/>
        <v>0</v>
      </c>
      <c r="AQ392" s="249"/>
      <c r="AR392" s="168">
        <f t="shared" si="142"/>
        <v>0</v>
      </c>
      <c r="AS392" s="249"/>
      <c r="AT392" s="170">
        <f t="shared" si="143"/>
        <v>0</v>
      </c>
      <c r="AU392" s="249"/>
      <c r="AV392" s="166">
        <f t="shared" si="144"/>
        <v>0</v>
      </c>
    </row>
    <row r="393" spans="1:49" s="115" customFormat="1" ht="94.5">
      <c r="A393" s="148">
        <v>51</v>
      </c>
      <c r="B393" s="150" t="s">
        <v>8527</v>
      </c>
      <c r="C393" s="150" t="s">
        <v>8528</v>
      </c>
      <c r="D393" s="250" t="s">
        <v>8739</v>
      </c>
      <c r="E393" s="241"/>
      <c r="F393" s="242" t="s">
        <v>8740</v>
      </c>
      <c r="G393" s="244" t="s">
        <v>8741</v>
      </c>
      <c r="H393" s="244" t="s">
        <v>211</v>
      </c>
      <c r="I393" s="244" t="s">
        <v>8742</v>
      </c>
      <c r="J393" s="244" t="s">
        <v>8743</v>
      </c>
      <c r="K393" s="244" t="s">
        <v>5784</v>
      </c>
      <c r="L393" s="241" t="s">
        <v>8744</v>
      </c>
      <c r="M393" s="244" t="s">
        <v>8535</v>
      </c>
      <c r="N393" s="241" t="s">
        <v>8536</v>
      </c>
      <c r="O393" s="241" t="s">
        <v>11</v>
      </c>
      <c r="P393" s="245">
        <v>780</v>
      </c>
      <c r="Q393" s="245">
        <v>650</v>
      </c>
      <c r="R393" s="246">
        <v>25000</v>
      </c>
      <c r="S393" s="245">
        <f t="shared" si="135"/>
        <v>16250000</v>
      </c>
      <c r="T393" s="589"/>
      <c r="U393" s="244"/>
      <c r="V393" s="247">
        <f t="shared" si="134"/>
        <v>25000</v>
      </c>
      <c r="W393" s="159">
        <f t="shared" si="136"/>
        <v>0</v>
      </c>
      <c r="X393" s="159">
        <f t="shared" si="137"/>
        <v>0</v>
      </c>
      <c r="Y393" s="248"/>
      <c r="Z393" s="160">
        <f t="shared" si="138"/>
        <v>0</v>
      </c>
      <c r="AA393" s="248"/>
      <c r="AB393" s="161">
        <f t="shared" si="139"/>
        <v>0</v>
      </c>
      <c r="AC393" s="249"/>
      <c r="AD393" s="249"/>
      <c r="AE393" s="249"/>
      <c r="AF393" s="249"/>
      <c r="AG393" s="249"/>
      <c r="AH393" s="249"/>
      <c r="AI393" s="249"/>
      <c r="AJ393" s="249"/>
      <c r="AK393" s="249"/>
      <c r="AL393" s="162">
        <f t="shared" si="145"/>
        <v>0</v>
      </c>
      <c r="AM393" s="249"/>
      <c r="AN393" s="167">
        <f t="shared" si="140"/>
        <v>0</v>
      </c>
      <c r="AO393" s="249"/>
      <c r="AP393" s="163">
        <f t="shared" si="141"/>
        <v>0</v>
      </c>
      <c r="AQ393" s="249"/>
      <c r="AR393" s="168">
        <f t="shared" si="142"/>
        <v>0</v>
      </c>
      <c r="AS393" s="249"/>
      <c r="AT393" s="170">
        <f t="shared" si="143"/>
        <v>0</v>
      </c>
      <c r="AU393" s="249"/>
      <c r="AV393" s="166">
        <f t="shared" si="144"/>
        <v>0</v>
      </c>
    </row>
    <row r="394" spans="1:49" ht="63">
      <c r="A394" s="148">
        <v>52</v>
      </c>
      <c r="B394" s="150" t="s">
        <v>8527</v>
      </c>
      <c r="C394" s="150" t="s">
        <v>8528</v>
      </c>
      <c r="D394" s="250" t="s">
        <v>4727</v>
      </c>
      <c r="E394" s="241"/>
      <c r="F394" s="242" t="s">
        <v>8745</v>
      </c>
      <c r="G394" s="244" t="s">
        <v>4730</v>
      </c>
      <c r="H394" s="244" t="s">
        <v>211</v>
      </c>
      <c r="I394" s="244" t="s">
        <v>8742</v>
      </c>
      <c r="J394" s="244" t="s">
        <v>8746</v>
      </c>
      <c r="K394" s="244" t="s">
        <v>7151</v>
      </c>
      <c r="L394" s="241" t="s">
        <v>8747</v>
      </c>
      <c r="M394" s="244" t="s">
        <v>8535</v>
      </c>
      <c r="N394" s="241" t="s">
        <v>8536</v>
      </c>
      <c r="O394" s="241" t="s">
        <v>11</v>
      </c>
      <c r="P394" s="245">
        <v>2500</v>
      </c>
      <c r="Q394" s="245">
        <v>2067</v>
      </c>
      <c r="R394" s="246">
        <v>20000</v>
      </c>
      <c r="S394" s="245">
        <f t="shared" si="135"/>
        <v>41340000</v>
      </c>
      <c r="T394" s="589"/>
      <c r="U394" s="244"/>
      <c r="V394" s="247">
        <f t="shared" si="134"/>
        <v>17000</v>
      </c>
      <c r="W394" s="159">
        <f t="shared" si="136"/>
        <v>3000</v>
      </c>
      <c r="X394" s="159">
        <f t="shared" si="137"/>
        <v>6201000</v>
      </c>
      <c r="Y394" s="248"/>
      <c r="Z394" s="160">
        <f t="shared" si="138"/>
        <v>0</v>
      </c>
      <c r="AA394" s="248"/>
      <c r="AB394" s="161">
        <f t="shared" si="139"/>
        <v>0</v>
      </c>
      <c r="AC394" s="249"/>
      <c r="AD394" s="249"/>
      <c r="AE394" s="249"/>
      <c r="AF394" s="249"/>
      <c r="AG394" s="249"/>
      <c r="AH394" s="249"/>
      <c r="AI394" s="249"/>
      <c r="AJ394" s="249"/>
      <c r="AK394" s="249">
        <v>3000</v>
      </c>
      <c r="AL394" s="162">
        <f t="shared" si="145"/>
        <v>6201000</v>
      </c>
      <c r="AM394" s="249"/>
      <c r="AN394" s="167">
        <f t="shared" si="140"/>
        <v>0</v>
      </c>
      <c r="AO394" s="249"/>
      <c r="AP394" s="163">
        <f t="shared" si="141"/>
        <v>0</v>
      </c>
      <c r="AQ394" s="249"/>
      <c r="AR394" s="168">
        <f t="shared" si="142"/>
        <v>0</v>
      </c>
      <c r="AS394" s="249"/>
      <c r="AT394" s="170">
        <f t="shared" si="143"/>
        <v>0</v>
      </c>
      <c r="AU394" s="249"/>
      <c r="AV394" s="166">
        <f t="shared" si="144"/>
        <v>0</v>
      </c>
    </row>
    <row r="395" spans="1:49" ht="63">
      <c r="A395" s="148">
        <v>67</v>
      </c>
      <c r="B395" s="150" t="s">
        <v>8527</v>
      </c>
      <c r="C395" s="150" t="s">
        <v>8528</v>
      </c>
      <c r="D395" s="250" t="s">
        <v>4650</v>
      </c>
      <c r="E395" s="241"/>
      <c r="F395" s="242" t="s">
        <v>8795</v>
      </c>
      <c r="G395" s="244" t="s">
        <v>79</v>
      </c>
      <c r="H395" s="244" t="s">
        <v>211</v>
      </c>
      <c r="I395" s="244" t="s">
        <v>77</v>
      </c>
      <c r="J395" s="244" t="s">
        <v>8796</v>
      </c>
      <c r="K395" s="244" t="s">
        <v>5784</v>
      </c>
      <c r="L395" s="241" t="s">
        <v>8797</v>
      </c>
      <c r="M395" s="244" t="s">
        <v>8535</v>
      </c>
      <c r="N395" s="241" t="s">
        <v>8536</v>
      </c>
      <c r="O395" s="241" t="s">
        <v>4652</v>
      </c>
      <c r="P395" s="245">
        <v>4400</v>
      </c>
      <c r="Q395" s="245">
        <v>3500</v>
      </c>
      <c r="R395" s="246">
        <v>50000</v>
      </c>
      <c r="S395" s="245">
        <f t="shared" si="135"/>
        <v>175000000</v>
      </c>
      <c r="T395" s="589"/>
      <c r="U395" s="244"/>
      <c r="V395" s="247">
        <f t="shared" si="134"/>
        <v>29140</v>
      </c>
      <c r="W395" s="159">
        <f t="shared" si="136"/>
        <v>20860</v>
      </c>
      <c r="X395" s="159">
        <f t="shared" si="137"/>
        <v>73010000</v>
      </c>
      <c r="Y395" s="248"/>
      <c r="Z395" s="160">
        <f t="shared" si="138"/>
        <v>0</v>
      </c>
      <c r="AA395" s="248"/>
      <c r="AB395" s="161">
        <f t="shared" si="139"/>
        <v>0</v>
      </c>
      <c r="AC395" s="249"/>
      <c r="AD395" s="249"/>
      <c r="AE395" s="249"/>
      <c r="AF395" s="249"/>
      <c r="AG395" s="249"/>
      <c r="AH395" s="249"/>
      <c r="AI395" s="249"/>
      <c r="AJ395" s="249"/>
      <c r="AK395" s="249">
        <v>18860</v>
      </c>
      <c r="AL395" s="162">
        <f t="shared" si="145"/>
        <v>66010000</v>
      </c>
      <c r="AM395" s="249"/>
      <c r="AN395" s="167">
        <f t="shared" si="140"/>
        <v>0</v>
      </c>
      <c r="AO395" s="249"/>
      <c r="AP395" s="163">
        <f t="shared" si="141"/>
        <v>0</v>
      </c>
      <c r="AQ395" s="249"/>
      <c r="AR395" s="168">
        <f t="shared" si="142"/>
        <v>0</v>
      </c>
      <c r="AS395" s="249">
        <v>2000</v>
      </c>
      <c r="AT395" s="170">
        <f t="shared" si="143"/>
        <v>7000000</v>
      </c>
      <c r="AU395" s="249"/>
      <c r="AV395" s="166">
        <f t="shared" si="144"/>
        <v>0</v>
      </c>
    </row>
    <row r="396" spans="1:49" ht="31.5">
      <c r="A396" s="172" t="s">
        <v>6050</v>
      </c>
      <c r="B396" s="149" t="s">
        <v>6051</v>
      </c>
      <c r="C396" s="149" t="s">
        <v>6052</v>
      </c>
      <c r="D396" s="240" t="s">
        <v>6053</v>
      </c>
      <c r="E396" s="590" t="s">
        <v>12643</v>
      </c>
      <c r="F396" s="203" t="s">
        <v>592</v>
      </c>
      <c r="G396" s="204" t="s">
        <v>235</v>
      </c>
      <c r="H396" s="204">
        <v>1</v>
      </c>
      <c r="I396" s="203" t="s">
        <v>6054</v>
      </c>
      <c r="J396" s="205" t="s">
        <v>6055</v>
      </c>
      <c r="K396" s="203" t="s">
        <v>5104</v>
      </c>
      <c r="L396" s="205" t="s">
        <v>6056</v>
      </c>
      <c r="M396" s="205" t="s">
        <v>6057</v>
      </c>
      <c r="N396" s="204" t="s">
        <v>6058</v>
      </c>
      <c r="O396" s="204" t="s">
        <v>11</v>
      </c>
      <c r="P396" s="206">
        <v>1890</v>
      </c>
      <c r="Q396" s="206">
        <v>1890</v>
      </c>
      <c r="R396" s="207">
        <v>20000</v>
      </c>
      <c r="S396" s="207">
        <f t="shared" si="135"/>
        <v>37800000</v>
      </c>
      <c r="T396" s="589" t="s">
        <v>11</v>
      </c>
      <c r="U396" s="157">
        <v>20000</v>
      </c>
      <c r="V396" s="158">
        <f>U396-W396</f>
        <v>20000</v>
      </c>
      <c r="W396" s="159">
        <f t="shared" si="136"/>
        <v>0</v>
      </c>
      <c r="X396" s="159">
        <f t="shared" si="137"/>
        <v>0</v>
      </c>
      <c r="Y396" s="160"/>
      <c r="Z396" s="160">
        <f t="shared" si="138"/>
        <v>0</v>
      </c>
      <c r="AA396" s="165"/>
      <c r="AB396" s="161">
        <f t="shared" si="139"/>
        <v>0</v>
      </c>
      <c r="AC396" s="162"/>
      <c r="AD396" s="162">
        <f>AC396*Q396</f>
        <v>0</v>
      </c>
      <c r="AE396" s="164"/>
      <c r="AF396" s="164">
        <f>AE396*Q396</f>
        <v>0</v>
      </c>
      <c r="AG396" s="165"/>
      <c r="AH396" s="165">
        <f>AG396*Q396</f>
        <v>0</v>
      </c>
      <c r="AI396" s="166">
        <v>0</v>
      </c>
      <c r="AJ396" s="166">
        <f>AI396*Q396</f>
        <v>0</v>
      </c>
      <c r="AK396" s="162"/>
      <c r="AL396" s="162">
        <f t="shared" si="145"/>
        <v>0</v>
      </c>
      <c r="AM396" s="173"/>
      <c r="AN396" s="167">
        <f t="shared" si="140"/>
        <v>0</v>
      </c>
      <c r="AO396" s="163"/>
      <c r="AP396" s="163">
        <f t="shared" si="141"/>
        <v>0</v>
      </c>
      <c r="AQ396" s="168"/>
      <c r="AR396" s="168">
        <f t="shared" si="142"/>
        <v>0</v>
      </c>
      <c r="AS396" s="170"/>
      <c r="AT396" s="170">
        <f t="shared" si="143"/>
        <v>0</v>
      </c>
      <c r="AU396" s="166"/>
      <c r="AV396" s="166">
        <f t="shared" si="144"/>
        <v>0</v>
      </c>
    </row>
    <row r="397" spans="1:49" s="131" customFormat="1" ht="31.5">
      <c r="A397" s="148" t="s">
        <v>6424</v>
      </c>
      <c r="B397" s="149" t="s">
        <v>6051</v>
      </c>
      <c r="C397" s="149" t="s">
        <v>6052</v>
      </c>
      <c r="D397" s="240" t="s">
        <v>6425</v>
      </c>
      <c r="E397" s="590" t="s">
        <v>12642</v>
      </c>
      <c r="F397" s="203" t="s">
        <v>1618</v>
      </c>
      <c r="G397" s="204" t="s">
        <v>225</v>
      </c>
      <c r="H397" s="204">
        <v>1</v>
      </c>
      <c r="I397" s="203" t="s">
        <v>6426</v>
      </c>
      <c r="J397" s="205" t="s">
        <v>6427</v>
      </c>
      <c r="K397" s="203" t="s">
        <v>5108</v>
      </c>
      <c r="L397" s="205" t="s">
        <v>6428</v>
      </c>
      <c r="M397" s="205" t="s">
        <v>6429</v>
      </c>
      <c r="N397" s="204" t="s">
        <v>213</v>
      </c>
      <c r="O397" s="204" t="s">
        <v>11</v>
      </c>
      <c r="P397" s="206">
        <v>930</v>
      </c>
      <c r="Q397" s="206">
        <v>589</v>
      </c>
      <c r="R397" s="207">
        <v>50000</v>
      </c>
      <c r="S397" s="207">
        <f t="shared" si="135"/>
        <v>29450000</v>
      </c>
      <c r="T397" s="589"/>
      <c r="U397" s="157">
        <v>50000</v>
      </c>
      <c r="V397" s="158">
        <f>U397-W397</f>
        <v>50000</v>
      </c>
      <c r="W397" s="159">
        <f t="shared" si="136"/>
        <v>0</v>
      </c>
      <c r="X397" s="159">
        <f t="shared" si="137"/>
        <v>0</v>
      </c>
      <c r="Y397" s="160"/>
      <c r="Z397" s="160">
        <f t="shared" si="138"/>
        <v>0</v>
      </c>
      <c r="AA397" s="165"/>
      <c r="AB397" s="161">
        <f t="shared" si="139"/>
        <v>0</v>
      </c>
      <c r="AC397" s="162"/>
      <c r="AD397" s="162">
        <f>AC397*Q397</f>
        <v>0</v>
      </c>
      <c r="AE397" s="164"/>
      <c r="AF397" s="164">
        <f>AE397*Q397</f>
        <v>0</v>
      </c>
      <c r="AG397" s="165"/>
      <c r="AH397" s="165">
        <f>AG397*Q397</f>
        <v>0</v>
      </c>
      <c r="AI397" s="166">
        <v>0</v>
      </c>
      <c r="AJ397" s="166">
        <f>AI397*Q397</f>
        <v>0</v>
      </c>
      <c r="AK397" s="162"/>
      <c r="AL397" s="162">
        <f t="shared" si="145"/>
        <v>0</v>
      </c>
      <c r="AM397" s="173"/>
      <c r="AN397" s="167">
        <f t="shared" si="140"/>
        <v>0</v>
      </c>
      <c r="AO397" s="163"/>
      <c r="AP397" s="163">
        <f t="shared" si="141"/>
        <v>0</v>
      </c>
      <c r="AQ397" s="168"/>
      <c r="AR397" s="168">
        <f t="shared" si="142"/>
        <v>0</v>
      </c>
      <c r="AS397" s="170"/>
      <c r="AT397" s="170">
        <f t="shared" si="143"/>
        <v>0</v>
      </c>
      <c r="AU397" s="166"/>
      <c r="AV397" s="166">
        <f t="shared" si="144"/>
        <v>0</v>
      </c>
    </row>
    <row r="398" spans="1:49" s="131" customFormat="1" ht="31.5">
      <c r="A398" s="148" t="s">
        <v>7590</v>
      </c>
      <c r="B398" s="149" t="s">
        <v>7591</v>
      </c>
      <c r="C398" s="149" t="s">
        <v>7592</v>
      </c>
      <c r="D398" s="240" t="s">
        <v>7593</v>
      </c>
      <c r="E398" s="590"/>
      <c r="F398" s="203" t="s">
        <v>607</v>
      </c>
      <c r="G398" s="204" t="s">
        <v>327</v>
      </c>
      <c r="H398" s="204">
        <v>3</v>
      </c>
      <c r="I398" s="203" t="s">
        <v>7594</v>
      </c>
      <c r="J398" s="205" t="s">
        <v>7595</v>
      </c>
      <c r="K398" s="203" t="s">
        <v>253</v>
      </c>
      <c r="L398" s="205" t="s">
        <v>7596</v>
      </c>
      <c r="M398" s="205" t="s">
        <v>1698</v>
      </c>
      <c r="N398" s="204" t="s">
        <v>213</v>
      </c>
      <c r="O398" s="204" t="s">
        <v>11</v>
      </c>
      <c r="P398" s="206">
        <v>3500</v>
      </c>
      <c r="Q398" s="232">
        <v>2940</v>
      </c>
      <c r="R398" s="207">
        <v>10000</v>
      </c>
      <c r="S398" s="207">
        <f t="shared" si="135"/>
        <v>29400000</v>
      </c>
      <c r="T398" s="589" t="s">
        <v>11</v>
      </c>
      <c r="U398" s="157">
        <v>10000</v>
      </c>
      <c r="V398" s="158">
        <f>U398-W398</f>
        <v>10</v>
      </c>
      <c r="W398" s="159">
        <f t="shared" si="136"/>
        <v>9990</v>
      </c>
      <c r="X398" s="159">
        <f t="shared" si="137"/>
        <v>29370600</v>
      </c>
      <c r="Y398" s="160"/>
      <c r="Z398" s="160">
        <f t="shared" si="138"/>
        <v>0</v>
      </c>
      <c r="AA398" s="165"/>
      <c r="AB398" s="161">
        <f t="shared" si="139"/>
        <v>0</v>
      </c>
      <c r="AC398" s="162"/>
      <c r="AD398" s="162">
        <f>AC398*Q398</f>
        <v>0</v>
      </c>
      <c r="AE398" s="164"/>
      <c r="AF398" s="164">
        <f>AE398*Q398</f>
        <v>0</v>
      </c>
      <c r="AG398" s="165"/>
      <c r="AH398" s="165">
        <f>AG398*Q398</f>
        <v>0</v>
      </c>
      <c r="AI398" s="166">
        <v>0</v>
      </c>
      <c r="AJ398" s="166">
        <f>AI398*Q398</f>
        <v>0</v>
      </c>
      <c r="AK398" s="162"/>
      <c r="AL398" s="162">
        <f t="shared" si="145"/>
        <v>0</v>
      </c>
      <c r="AM398" s="173"/>
      <c r="AN398" s="167">
        <f t="shared" si="140"/>
        <v>0</v>
      </c>
      <c r="AO398" s="163"/>
      <c r="AP398" s="163">
        <f t="shared" si="141"/>
        <v>0</v>
      </c>
      <c r="AQ398" s="168"/>
      <c r="AR398" s="168">
        <f t="shared" si="142"/>
        <v>0</v>
      </c>
      <c r="AS398" s="170"/>
      <c r="AT398" s="170">
        <f t="shared" si="143"/>
        <v>0</v>
      </c>
      <c r="AU398" s="166">
        <f>4590+5400</f>
        <v>9990</v>
      </c>
      <c r="AV398" s="166">
        <f t="shared" si="144"/>
        <v>29370600</v>
      </c>
      <c r="AW398" s="131">
        <f>13494600+15876000</f>
        <v>29370600</v>
      </c>
    </row>
    <row r="399" spans="1:49" s="131" customFormat="1" ht="31.5">
      <c r="A399" s="148" t="s">
        <v>6786</v>
      </c>
      <c r="B399" s="149" t="s">
        <v>6787</v>
      </c>
      <c r="C399" s="149" t="s">
        <v>6788</v>
      </c>
      <c r="D399" s="240" t="s">
        <v>6789</v>
      </c>
      <c r="E399" s="590"/>
      <c r="F399" s="203" t="s">
        <v>6790</v>
      </c>
      <c r="G399" s="204" t="s">
        <v>258</v>
      </c>
      <c r="H399" s="204">
        <v>2</v>
      </c>
      <c r="I399" s="203" t="s">
        <v>6791</v>
      </c>
      <c r="J399" s="205" t="s">
        <v>6792</v>
      </c>
      <c r="K399" s="203" t="s">
        <v>5104</v>
      </c>
      <c r="L399" s="205" t="s">
        <v>6793</v>
      </c>
      <c r="M399" s="205" t="s">
        <v>6794</v>
      </c>
      <c r="N399" s="204" t="s">
        <v>6795</v>
      </c>
      <c r="O399" s="204" t="s">
        <v>11</v>
      </c>
      <c r="P399" s="206">
        <v>3400</v>
      </c>
      <c r="Q399" s="206">
        <v>2560</v>
      </c>
      <c r="R399" s="207">
        <v>30000</v>
      </c>
      <c r="S399" s="207">
        <f t="shared" si="135"/>
        <v>76800000</v>
      </c>
      <c r="T399" s="589"/>
      <c r="U399" s="157">
        <v>30000</v>
      </c>
      <c r="V399" s="158">
        <f>U399-W399</f>
        <v>30000</v>
      </c>
      <c r="W399" s="159">
        <f t="shared" si="136"/>
        <v>0</v>
      </c>
      <c r="X399" s="159">
        <f t="shared" si="137"/>
        <v>0</v>
      </c>
      <c r="Y399" s="160"/>
      <c r="Z399" s="160">
        <f t="shared" si="138"/>
        <v>0</v>
      </c>
      <c r="AA399" s="165"/>
      <c r="AB399" s="161">
        <f t="shared" si="139"/>
        <v>0</v>
      </c>
      <c r="AC399" s="162"/>
      <c r="AD399" s="162">
        <f>AC399*Q399</f>
        <v>0</v>
      </c>
      <c r="AE399" s="164"/>
      <c r="AF399" s="164">
        <f>AE399*Q399</f>
        <v>0</v>
      </c>
      <c r="AG399" s="165"/>
      <c r="AH399" s="165">
        <f>AG399*Q399</f>
        <v>0</v>
      </c>
      <c r="AI399" s="166">
        <v>0</v>
      </c>
      <c r="AJ399" s="166">
        <f>AI399*Q399</f>
        <v>0</v>
      </c>
      <c r="AK399" s="162"/>
      <c r="AL399" s="162">
        <f t="shared" si="145"/>
        <v>0</v>
      </c>
      <c r="AM399" s="173"/>
      <c r="AN399" s="167">
        <f t="shared" si="140"/>
        <v>0</v>
      </c>
      <c r="AO399" s="163"/>
      <c r="AP399" s="163">
        <f t="shared" si="141"/>
        <v>0</v>
      </c>
      <c r="AQ399" s="168"/>
      <c r="AR399" s="168">
        <f t="shared" si="142"/>
        <v>0</v>
      </c>
      <c r="AS399" s="170"/>
      <c r="AT399" s="170">
        <f t="shared" si="143"/>
        <v>0</v>
      </c>
      <c r="AU399" s="166"/>
      <c r="AV399" s="166">
        <f t="shared" si="144"/>
        <v>0</v>
      </c>
    </row>
    <row r="400" spans="1:49" s="131" customFormat="1" ht="31.5">
      <c r="A400" s="148" t="s">
        <v>8185</v>
      </c>
      <c r="B400" s="149" t="s">
        <v>6787</v>
      </c>
      <c r="C400" s="149" t="s">
        <v>6788</v>
      </c>
      <c r="D400" s="240" t="s">
        <v>4189</v>
      </c>
      <c r="E400" s="590"/>
      <c r="F400" s="203" t="s">
        <v>747</v>
      </c>
      <c r="G400" s="204" t="s">
        <v>4191</v>
      </c>
      <c r="H400" s="204">
        <v>3</v>
      </c>
      <c r="I400" s="203" t="s">
        <v>4190</v>
      </c>
      <c r="J400" s="205" t="s">
        <v>8186</v>
      </c>
      <c r="K400" s="203" t="s">
        <v>5104</v>
      </c>
      <c r="L400" s="205" t="s">
        <v>8187</v>
      </c>
      <c r="M400" s="205" t="s">
        <v>8188</v>
      </c>
      <c r="N400" s="204" t="s">
        <v>213</v>
      </c>
      <c r="O400" s="204" t="s">
        <v>15</v>
      </c>
      <c r="P400" s="206">
        <v>52000</v>
      </c>
      <c r="Q400" s="206">
        <v>23400</v>
      </c>
      <c r="R400" s="207">
        <v>5000</v>
      </c>
      <c r="S400" s="207">
        <f t="shared" si="135"/>
        <v>117000000</v>
      </c>
      <c r="T400" s="589"/>
      <c r="U400" s="157">
        <v>5000</v>
      </c>
      <c r="V400" s="158">
        <f>U400-W400</f>
        <v>4500</v>
      </c>
      <c r="W400" s="159">
        <f t="shared" si="136"/>
        <v>500</v>
      </c>
      <c r="X400" s="159">
        <f t="shared" si="137"/>
        <v>11700000</v>
      </c>
      <c r="Y400" s="160"/>
      <c r="Z400" s="160">
        <f t="shared" si="138"/>
        <v>0</v>
      </c>
      <c r="AA400" s="165"/>
      <c r="AB400" s="161">
        <f t="shared" si="139"/>
        <v>0</v>
      </c>
      <c r="AC400" s="162"/>
      <c r="AD400" s="162">
        <f>AC400*Q400</f>
        <v>0</v>
      </c>
      <c r="AE400" s="164"/>
      <c r="AF400" s="164">
        <f>AE400*Q400</f>
        <v>0</v>
      </c>
      <c r="AG400" s="165"/>
      <c r="AH400" s="165">
        <f>AG400*Q400</f>
        <v>0</v>
      </c>
      <c r="AI400" s="166">
        <v>0</v>
      </c>
      <c r="AJ400" s="166">
        <f>AI400*Q400</f>
        <v>0</v>
      </c>
      <c r="AK400" s="162"/>
      <c r="AL400" s="162">
        <f t="shared" si="145"/>
        <v>0</v>
      </c>
      <c r="AM400" s="173">
        <v>500</v>
      </c>
      <c r="AN400" s="167">
        <f t="shared" si="140"/>
        <v>11700000</v>
      </c>
      <c r="AO400" s="163"/>
      <c r="AP400" s="163">
        <f t="shared" si="141"/>
        <v>0</v>
      </c>
      <c r="AQ400" s="168"/>
      <c r="AR400" s="168">
        <f t="shared" si="142"/>
        <v>0</v>
      </c>
      <c r="AS400" s="170"/>
      <c r="AT400" s="170">
        <f t="shared" si="143"/>
        <v>0</v>
      </c>
      <c r="AU400" s="166"/>
      <c r="AV400" s="166">
        <f t="shared" si="144"/>
        <v>0</v>
      </c>
    </row>
    <row r="401" spans="1:49" s="131" customFormat="1" ht="31.5">
      <c r="A401" s="250">
        <v>5</v>
      </c>
      <c r="B401" s="244" t="s">
        <v>8520</v>
      </c>
      <c r="C401" s="244" t="s">
        <v>8521</v>
      </c>
      <c r="D401" s="250" t="s">
        <v>4629</v>
      </c>
      <c r="E401" s="241"/>
      <c r="F401" s="242" t="s">
        <v>8522</v>
      </c>
      <c r="G401" s="244" t="s">
        <v>272</v>
      </c>
      <c r="H401" s="244" t="s">
        <v>211</v>
      </c>
      <c r="I401" s="244" t="s">
        <v>4630</v>
      </c>
      <c r="J401" s="244" t="s">
        <v>8523</v>
      </c>
      <c r="K401" s="244" t="s">
        <v>5104</v>
      </c>
      <c r="L401" s="241" t="s">
        <v>8524</v>
      </c>
      <c r="M401" s="244" t="s">
        <v>8525</v>
      </c>
      <c r="N401" s="241" t="s">
        <v>213</v>
      </c>
      <c r="O401" s="241" t="s">
        <v>11</v>
      </c>
      <c r="P401" s="245">
        <v>4000</v>
      </c>
      <c r="Q401" s="245">
        <v>3600</v>
      </c>
      <c r="R401" s="246">
        <v>20000</v>
      </c>
      <c r="S401" s="245">
        <f t="shared" si="135"/>
        <v>72000000</v>
      </c>
      <c r="T401" s="589"/>
      <c r="U401" s="244"/>
      <c r="V401" s="247">
        <f>R401-W401</f>
        <v>11000</v>
      </c>
      <c r="W401" s="159">
        <f t="shared" si="136"/>
        <v>9000</v>
      </c>
      <c r="X401" s="159">
        <f t="shared" si="137"/>
        <v>32400000</v>
      </c>
      <c r="Y401" s="248"/>
      <c r="Z401" s="160">
        <f t="shared" si="138"/>
        <v>0</v>
      </c>
      <c r="AA401" s="248"/>
      <c r="AB401" s="161">
        <f t="shared" si="139"/>
        <v>0</v>
      </c>
      <c r="AC401" s="249"/>
      <c r="AD401" s="249"/>
      <c r="AE401" s="249"/>
      <c r="AF401" s="249"/>
      <c r="AG401" s="249"/>
      <c r="AH401" s="249"/>
      <c r="AI401" s="249"/>
      <c r="AJ401" s="249"/>
      <c r="AK401" s="249"/>
      <c r="AL401" s="162">
        <f t="shared" si="145"/>
        <v>0</v>
      </c>
      <c r="AM401" s="249">
        <v>9000</v>
      </c>
      <c r="AN401" s="167">
        <f t="shared" si="140"/>
        <v>32400000</v>
      </c>
      <c r="AO401" s="249"/>
      <c r="AP401" s="163">
        <f t="shared" si="141"/>
        <v>0</v>
      </c>
      <c r="AQ401" s="249"/>
      <c r="AR401" s="168">
        <f t="shared" si="142"/>
        <v>0</v>
      </c>
      <c r="AS401" s="249"/>
      <c r="AT401" s="170">
        <f t="shared" si="143"/>
        <v>0</v>
      </c>
      <c r="AU401" s="249"/>
      <c r="AV401" s="166">
        <f t="shared" si="144"/>
        <v>0</v>
      </c>
    </row>
    <row r="402" spans="1:49" s="131" customFormat="1" ht="31.5">
      <c r="A402" s="148">
        <v>42</v>
      </c>
      <c r="B402" s="244" t="s">
        <v>8520</v>
      </c>
      <c r="C402" s="244" t="s">
        <v>8521</v>
      </c>
      <c r="D402" s="250" t="s">
        <v>8702</v>
      </c>
      <c r="E402" s="241"/>
      <c r="F402" s="242" t="s">
        <v>8703</v>
      </c>
      <c r="G402" s="244" t="s">
        <v>8704</v>
      </c>
      <c r="H402" s="244" t="s">
        <v>211</v>
      </c>
      <c r="I402" s="244" t="s">
        <v>8705</v>
      </c>
      <c r="J402" s="244" t="s">
        <v>8706</v>
      </c>
      <c r="K402" s="244" t="s">
        <v>5104</v>
      </c>
      <c r="L402" s="241" t="s">
        <v>8707</v>
      </c>
      <c r="M402" s="244" t="s">
        <v>8525</v>
      </c>
      <c r="N402" s="241" t="s">
        <v>213</v>
      </c>
      <c r="O402" s="241" t="s">
        <v>15</v>
      </c>
      <c r="P402" s="245">
        <v>25000</v>
      </c>
      <c r="Q402" s="245">
        <v>21000</v>
      </c>
      <c r="R402" s="246">
        <v>1000</v>
      </c>
      <c r="S402" s="245">
        <f t="shared" si="135"/>
        <v>21000000</v>
      </c>
      <c r="T402" s="589"/>
      <c r="U402" s="244"/>
      <c r="V402" s="247">
        <f>R402-W402</f>
        <v>1000</v>
      </c>
      <c r="W402" s="159">
        <f t="shared" si="136"/>
        <v>0</v>
      </c>
      <c r="X402" s="159">
        <f t="shared" si="137"/>
        <v>0</v>
      </c>
      <c r="Y402" s="248"/>
      <c r="Z402" s="160">
        <f t="shared" si="138"/>
        <v>0</v>
      </c>
      <c r="AA402" s="248"/>
      <c r="AB402" s="161">
        <f t="shared" si="139"/>
        <v>0</v>
      </c>
      <c r="AC402" s="249"/>
      <c r="AD402" s="249"/>
      <c r="AE402" s="249"/>
      <c r="AF402" s="249"/>
      <c r="AG402" s="249"/>
      <c r="AH402" s="249"/>
      <c r="AI402" s="249"/>
      <c r="AJ402" s="249"/>
      <c r="AK402" s="249"/>
      <c r="AL402" s="162">
        <f t="shared" si="145"/>
        <v>0</v>
      </c>
      <c r="AM402" s="249"/>
      <c r="AN402" s="167">
        <f t="shared" si="140"/>
        <v>0</v>
      </c>
      <c r="AO402" s="249"/>
      <c r="AP402" s="163">
        <f t="shared" si="141"/>
        <v>0</v>
      </c>
      <c r="AQ402" s="249"/>
      <c r="AR402" s="168">
        <f t="shared" si="142"/>
        <v>0</v>
      </c>
      <c r="AS402" s="249"/>
      <c r="AT402" s="170">
        <f t="shared" si="143"/>
        <v>0</v>
      </c>
      <c r="AU402" s="249"/>
      <c r="AV402" s="166">
        <f t="shared" si="144"/>
        <v>0</v>
      </c>
    </row>
    <row r="403" spans="1:49" s="131" customFormat="1">
      <c r="A403" s="172" t="s">
        <v>5274</v>
      </c>
      <c r="B403" s="149" t="s">
        <v>5275</v>
      </c>
      <c r="C403" s="150" t="s">
        <v>463</v>
      </c>
      <c r="D403" s="634" t="s">
        <v>5276</v>
      </c>
      <c r="E403" s="631" t="s">
        <v>12642</v>
      </c>
      <c r="F403" s="175" t="s">
        <v>433</v>
      </c>
      <c r="G403" s="151" t="s">
        <v>272</v>
      </c>
      <c r="H403" s="174" t="s">
        <v>210</v>
      </c>
      <c r="I403" s="150" t="s">
        <v>5277</v>
      </c>
      <c r="J403" s="153" t="s">
        <v>5278</v>
      </c>
      <c r="K403" s="151">
        <v>36</v>
      </c>
      <c r="L403" s="151" t="s">
        <v>5279</v>
      </c>
      <c r="M403" s="151" t="s">
        <v>463</v>
      </c>
      <c r="N403" s="152" t="s">
        <v>213</v>
      </c>
      <c r="O403" s="152" t="s">
        <v>10</v>
      </c>
      <c r="P403" s="176">
        <v>8120</v>
      </c>
      <c r="Q403" s="177">
        <v>4350</v>
      </c>
      <c r="R403" s="176">
        <v>150000</v>
      </c>
      <c r="S403" s="156">
        <f t="shared" si="135"/>
        <v>652500000</v>
      </c>
      <c r="T403" s="589"/>
      <c r="U403" s="157">
        <v>150000</v>
      </c>
      <c r="V403" s="158">
        <f t="shared" ref="V403:V433" si="146">U403-W403</f>
        <v>150000</v>
      </c>
      <c r="W403" s="159">
        <f t="shared" si="136"/>
        <v>0</v>
      </c>
      <c r="X403" s="159">
        <f t="shared" si="137"/>
        <v>0</v>
      </c>
      <c r="Y403" s="160"/>
      <c r="Z403" s="160">
        <f t="shared" si="138"/>
        <v>0</v>
      </c>
      <c r="AA403" s="165"/>
      <c r="AB403" s="161">
        <f t="shared" si="139"/>
        <v>0</v>
      </c>
      <c r="AC403" s="162"/>
      <c r="AD403" s="162">
        <f t="shared" ref="AD403:AD433" si="147">AC403*Q403</f>
        <v>0</v>
      </c>
      <c r="AE403" s="164"/>
      <c r="AF403" s="164">
        <f t="shared" ref="AF403:AF433" si="148">AE403*Q403</f>
        <v>0</v>
      </c>
      <c r="AG403" s="165"/>
      <c r="AH403" s="165">
        <f t="shared" ref="AH403:AH433" si="149">AG403*Q403</f>
        <v>0</v>
      </c>
      <c r="AI403" s="166">
        <v>0</v>
      </c>
      <c r="AJ403" s="166">
        <f t="shared" ref="AJ403:AJ433" si="150">AI403*Q403</f>
        <v>0</v>
      </c>
      <c r="AK403" s="162"/>
      <c r="AL403" s="162">
        <f t="shared" si="145"/>
        <v>0</v>
      </c>
      <c r="AM403" s="173"/>
      <c r="AN403" s="167">
        <f t="shared" si="140"/>
        <v>0</v>
      </c>
      <c r="AO403" s="163"/>
      <c r="AP403" s="163">
        <f t="shared" si="141"/>
        <v>0</v>
      </c>
      <c r="AQ403" s="168"/>
      <c r="AR403" s="168">
        <f t="shared" si="142"/>
        <v>0</v>
      </c>
      <c r="AS403" s="170"/>
      <c r="AT403" s="170">
        <f t="shared" si="143"/>
        <v>0</v>
      </c>
      <c r="AU403" s="166"/>
      <c r="AV403" s="166">
        <f t="shared" si="144"/>
        <v>0</v>
      </c>
    </row>
    <row r="404" spans="1:49" s="131" customFormat="1">
      <c r="A404" s="148" t="s">
        <v>5280</v>
      </c>
      <c r="B404" s="149" t="s">
        <v>5275</v>
      </c>
      <c r="C404" s="150" t="s">
        <v>463</v>
      </c>
      <c r="D404" s="634" t="s">
        <v>5281</v>
      </c>
      <c r="E404" s="631" t="s">
        <v>12642</v>
      </c>
      <c r="F404" s="175" t="s">
        <v>433</v>
      </c>
      <c r="G404" s="151" t="s">
        <v>225</v>
      </c>
      <c r="H404" s="174" t="s">
        <v>210</v>
      </c>
      <c r="I404" s="150" t="s">
        <v>4537</v>
      </c>
      <c r="J404" s="153" t="s">
        <v>5278</v>
      </c>
      <c r="K404" s="151">
        <v>36</v>
      </c>
      <c r="L404" s="151" t="s">
        <v>465</v>
      </c>
      <c r="M404" s="151" t="s">
        <v>463</v>
      </c>
      <c r="N404" s="152" t="s">
        <v>213</v>
      </c>
      <c r="O404" s="152" t="s">
        <v>10</v>
      </c>
      <c r="P404" s="176">
        <v>15870</v>
      </c>
      <c r="Q404" s="177">
        <v>9600</v>
      </c>
      <c r="R404" s="176">
        <v>150000</v>
      </c>
      <c r="S404" s="156">
        <f t="shared" si="135"/>
        <v>1440000000</v>
      </c>
      <c r="T404" s="589"/>
      <c r="U404" s="157">
        <v>30000</v>
      </c>
      <c r="V404" s="158">
        <f t="shared" si="146"/>
        <v>30000</v>
      </c>
      <c r="W404" s="159">
        <f t="shared" si="136"/>
        <v>0</v>
      </c>
      <c r="X404" s="159">
        <f t="shared" si="137"/>
        <v>0</v>
      </c>
      <c r="Y404" s="160"/>
      <c r="Z404" s="160">
        <f t="shared" si="138"/>
        <v>0</v>
      </c>
      <c r="AA404" s="165"/>
      <c r="AB404" s="161">
        <f t="shared" si="139"/>
        <v>0</v>
      </c>
      <c r="AC404" s="162"/>
      <c r="AD404" s="162">
        <f t="shared" si="147"/>
        <v>0</v>
      </c>
      <c r="AE404" s="164"/>
      <c r="AF404" s="164">
        <f t="shared" si="148"/>
        <v>0</v>
      </c>
      <c r="AG404" s="165"/>
      <c r="AH404" s="165">
        <f t="shared" si="149"/>
        <v>0</v>
      </c>
      <c r="AI404" s="166">
        <v>0</v>
      </c>
      <c r="AJ404" s="166">
        <f t="shared" si="150"/>
        <v>0</v>
      </c>
      <c r="AK404" s="162"/>
      <c r="AL404" s="162">
        <f t="shared" si="145"/>
        <v>0</v>
      </c>
      <c r="AM404" s="173"/>
      <c r="AN404" s="167">
        <f t="shared" si="140"/>
        <v>0</v>
      </c>
      <c r="AO404" s="163"/>
      <c r="AP404" s="163">
        <f t="shared" si="141"/>
        <v>0</v>
      </c>
      <c r="AQ404" s="168"/>
      <c r="AR404" s="168">
        <f t="shared" si="142"/>
        <v>0</v>
      </c>
      <c r="AS404" s="170"/>
      <c r="AT404" s="170">
        <f t="shared" si="143"/>
        <v>0</v>
      </c>
      <c r="AU404" s="166"/>
      <c r="AV404" s="166">
        <f t="shared" si="144"/>
        <v>0</v>
      </c>
    </row>
    <row r="405" spans="1:49" s="131" customFormat="1" ht="31.5">
      <c r="A405" s="148" t="s">
        <v>5430</v>
      </c>
      <c r="B405" s="149" t="s">
        <v>5275</v>
      </c>
      <c r="C405" s="150" t="s">
        <v>463</v>
      </c>
      <c r="D405" s="634" t="s">
        <v>4915</v>
      </c>
      <c r="E405" s="631" t="s">
        <v>12642</v>
      </c>
      <c r="F405" s="175" t="s">
        <v>309</v>
      </c>
      <c r="G405" s="151" t="s">
        <v>310</v>
      </c>
      <c r="H405" s="174" t="s">
        <v>5325</v>
      </c>
      <c r="I405" s="150" t="s">
        <v>4916</v>
      </c>
      <c r="J405" s="153" t="s">
        <v>5431</v>
      </c>
      <c r="K405" s="151">
        <v>36</v>
      </c>
      <c r="L405" s="151" t="s">
        <v>468</v>
      </c>
      <c r="M405" s="151" t="s">
        <v>463</v>
      </c>
      <c r="N405" s="152" t="s">
        <v>213</v>
      </c>
      <c r="O405" s="152" t="s">
        <v>10</v>
      </c>
      <c r="P405" s="176">
        <v>1450</v>
      </c>
      <c r="Q405" s="177">
        <v>420</v>
      </c>
      <c r="R405" s="176">
        <v>546000</v>
      </c>
      <c r="S405" s="156">
        <f t="shared" si="135"/>
        <v>229320000</v>
      </c>
      <c r="T405" s="589"/>
      <c r="U405" s="157">
        <v>486000</v>
      </c>
      <c r="V405" s="158">
        <f t="shared" si="146"/>
        <v>396000</v>
      </c>
      <c r="W405" s="159">
        <f t="shared" si="136"/>
        <v>90000</v>
      </c>
      <c r="X405" s="159">
        <f t="shared" si="137"/>
        <v>37800000</v>
      </c>
      <c r="Y405" s="160"/>
      <c r="Z405" s="160">
        <f t="shared" si="138"/>
        <v>0</v>
      </c>
      <c r="AA405" s="165"/>
      <c r="AB405" s="161">
        <f t="shared" si="139"/>
        <v>0</v>
      </c>
      <c r="AC405" s="162"/>
      <c r="AD405" s="162">
        <f t="shared" si="147"/>
        <v>0</v>
      </c>
      <c r="AE405" s="164"/>
      <c r="AF405" s="164">
        <f t="shared" si="148"/>
        <v>0</v>
      </c>
      <c r="AG405" s="165">
        <v>30000</v>
      </c>
      <c r="AH405" s="165">
        <f t="shared" si="149"/>
        <v>12600000</v>
      </c>
      <c r="AI405" s="166">
        <v>0</v>
      </c>
      <c r="AJ405" s="166">
        <f t="shared" si="150"/>
        <v>0</v>
      </c>
      <c r="AK405" s="162"/>
      <c r="AL405" s="162">
        <f t="shared" si="145"/>
        <v>0</v>
      </c>
      <c r="AM405" s="173"/>
      <c r="AN405" s="167">
        <f t="shared" si="140"/>
        <v>0</v>
      </c>
      <c r="AO405" s="163"/>
      <c r="AP405" s="163">
        <f t="shared" si="141"/>
        <v>0</v>
      </c>
      <c r="AQ405" s="168"/>
      <c r="AR405" s="168">
        <f t="shared" si="142"/>
        <v>0</v>
      </c>
      <c r="AS405" s="170"/>
      <c r="AT405" s="170">
        <f t="shared" si="143"/>
        <v>0</v>
      </c>
      <c r="AU405" s="166">
        <v>60000</v>
      </c>
      <c r="AV405" s="166">
        <f t="shared" si="144"/>
        <v>25200000</v>
      </c>
      <c r="AW405" s="131">
        <f>980000+3920000</f>
        <v>4900000</v>
      </c>
    </row>
    <row r="406" spans="1:49" s="131" customFormat="1">
      <c r="A406" s="148" t="s">
        <v>5479</v>
      </c>
      <c r="B406" s="149" t="s">
        <v>5275</v>
      </c>
      <c r="C406" s="150" t="s">
        <v>463</v>
      </c>
      <c r="D406" s="634" t="s">
        <v>4917</v>
      </c>
      <c r="E406" s="631" t="s">
        <v>12642</v>
      </c>
      <c r="F406" s="175" t="s">
        <v>313</v>
      </c>
      <c r="G406" s="151" t="s">
        <v>238</v>
      </c>
      <c r="H406" s="174" t="s">
        <v>5325</v>
      </c>
      <c r="I406" s="150" t="s">
        <v>4918</v>
      </c>
      <c r="J406" s="153" t="s">
        <v>5480</v>
      </c>
      <c r="K406" s="151">
        <v>36</v>
      </c>
      <c r="L406" s="151" t="s">
        <v>5481</v>
      </c>
      <c r="M406" s="151" t="s">
        <v>463</v>
      </c>
      <c r="N406" s="152" t="s">
        <v>213</v>
      </c>
      <c r="O406" s="152" t="s">
        <v>10</v>
      </c>
      <c r="P406" s="176">
        <v>1000</v>
      </c>
      <c r="Q406" s="177">
        <v>980</v>
      </c>
      <c r="R406" s="176">
        <v>74000</v>
      </c>
      <c r="S406" s="156">
        <f t="shared" si="135"/>
        <v>72520000</v>
      </c>
      <c r="T406" s="589"/>
      <c r="U406" s="157">
        <v>71500</v>
      </c>
      <c r="V406" s="158">
        <f t="shared" si="146"/>
        <v>65500</v>
      </c>
      <c r="W406" s="159">
        <f t="shared" si="136"/>
        <v>6000</v>
      </c>
      <c r="X406" s="159">
        <f t="shared" si="137"/>
        <v>5880000</v>
      </c>
      <c r="Y406" s="160"/>
      <c r="Z406" s="160">
        <f t="shared" si="138"/>
        <v>0</v>
      </c>
      <c r="AA406" s="165"/>
      <c r="AB406" s="161">
        <f t="shared" si="139"/>
        <v>0</v>
      </c>
      <c r="AC406" s="162"/>
      <c r="AD406" s="162">
        <f t="shared" si="147"/>
        <v>0</v>
      </c>
      <c r="AE406" s="164"/>
      <c r="AF406" s="164">
        <f t="shared" si="148"/>
        <v>0</v>
      </c>
      <c r="AG406" s="165">
        <v>1000</v>
      </c>
      <c r="AH406" s="165">
        <f t="shared" si="149"/>
        <v>980000</v>
      </c>
      <c r="AI406" s="166">
        <v>0</v>
      </c>
      <c r="AJ406" s="166">
        <f t="shared" si="150"/>
        <v>0</v>
      </c>
      <c r="AK406" s="162"/>
      <c r="AL406" s="162">
        <f t="shared" si="145"/>
        <v>0</v>
      </c>
      <c r="AM406" s="173"/>
      <c r="AN406" s="167">
        <f t="shared" si="140"/>
        <v>0</v>
      </c>
      <c r="AO406" s="163"/>
      <c r="AP406" s="163">
        <f t="shared" si="141"/>
        <v>0</v>
      </c>
      <c r="AQ406" s="168"/>
      <c r="AR406" s="168">
        <f t="shared" si="142"/>
        <v>0</v>
      </c>
      <c r="AS406" s="170"/>
      <c r="AT406" s="170">
        <f t="shared" si="143"/>
        <v>0</v>
      </c>
      <c r="AU406" s="166">
        <f>4000+1000</f>
        <v>5000</v>
      </c>
      <c r="AV406" s="166">
        <f t="shared" si="144"/>
        <v>4900000</v>
      </c>
    </row>
    <row r="407" spans="1:49" s="131" customFormat="1">
      <c r="A407" s="172" t="s">
        <v>5523</v>
      </c>
      <c r="B407" s="149" t="s">
        <v>5275</v>
      </c>
      <c r="C407" s="150" t="s">
        <v>463</v>
      </c>
      <c r="D407" s="634" t="s">
        <v>5524</v>
      </c>
      <c r="E407" s="631" t="s">
        <v>12642</v>
      </c>
      <c r="F407" s="175" t="s">
        <v>363</v>
      </c>
      <c r="G407" s="151" t="s">
        <v>291</v>
      </c>
      <c r="H407" s="174" t="s">
        <v>5525</v>
      </c>
      <c r="I407" s="150" t="s">
        <v>5526</v>
      </c>
      <c r="J407" s="153" t="s">
        <v>5527</v>
      </c>
      <c r="K407" s="151">
        <v>36</v>
      </c>
      <c r="L407" s="151" t="s">
        <v>5528</v>
      </c>
      <c r="M407" s="151" t="s">
        <v>463</v>
      </c>
      <c r="N407" s="152" t="s">
        <v>213</v>
      </c>
      <c r="O407" s="152" t="s">
        <v>10</v>
      </c>
      <c r="P407" s="176">
        <v>790</v>
      </c>
      <c r="Q407" s="177">
        <v>590</v>
      </c>
      <c r="R407" s="176">
        <v>75000</v>
      </c>
      <c r="S407" s="156">
        <f t="shared" si="135"/>
        <v>44250000</v>
      </c>
      <c r="T407" s="589"/>
      <c r="U407" s="157">
        <v>75000</v>
      </c>
      <c r="V407" s="158">
        <f t="shared" si="146"/>
        <v>75000</v>
      </c>
      <c r="W407" s="159">
        <f t="shared" si="136"/>
        <v>0</v>
      </c>
      <c r="X407" s="159">
        <f t="shared" si="137"/>
        <v>0</v>
      </c>
      <c r="Y407" s="160"/>
      <c r="Z407" s="160">
        <f t="shared" si="138"/>
        <v>0</v>
      </c>
      <c r="AA407" s="161"/>
      <c r="AB407" s="161">
        <f t="shared" si="139"/>
        <v>0</v>
      </c>
      <c r="AC407" s="162"/>
      <c r="AD407" s="162">
        <f t="shared" si="147"/>
        <v>0</v>
      </c>
      <c r="AE407" s="164"/>
      <c r="AF407" s="164">
        <f t="shared" si="148"/>
        <v>0</v>
      </c>
      <c r="AG407" s="165"/>
      <c r="AH407" s="165">
        <f t="shared" si="149"/>
        <v>0</v>
      </c>
      <c r="AI407" s="166">
        <v>0</v>
      </c>
      <c r="AJ407" s="166">
        <f t="shared" si="150"/>
        <v>0</v>
      </c>
      <c r="AK407" s="162"/>
      <c r="AL407" s="162">
        <f t="shared" si="145"/>
        <v>0</v>
      </c>
      <c r="AM407" s="167"/>
      <c r="AN407" s="167">
        <f t="shared" si="140"/>
        <v>0</v>
      </c>
      <c r="AO407" s="163"/>
      <c r="AP407" s="163">
        <f t="shared" si="141"/>
        <v>0</v>
      </c>
      <c r="AQ407" s="168"/>
      <c r="AR407" s="168">
        <f t="shared" si="142"/>
        <v>0</v>
      </c>
      <c r="AS407" s="170"/>
      <c r="AT407" s="170">
        <f t="shared" si="143"/>
        <v>0</v>
      </c>
      <c r="AU407" s="166"/>
      <c r="AV407" s="166">
        <f t="shared" si="144"/>
        <v>0</v>
      </c>
    </row>
    <row r="408" spans="1:49" s="131" customFormat="1">
      <c r="A408" s="172" t="s">
        <v>5540</v>
      </c>
      <c r="B408" s="149" t="s">
        <v>5275</v>
      </c>
      <c r="C408" s="150" t="s">
        <v>463</v>
      </c>
      <c r="D408" s="634" t="s">
        <v>5541</v>
      </c>
      <c r="E408" s="631" t="s">
        <v>12642</v>
      </c>
      <c r="F408" s="175" t="s">
        <v>265</v>
      </c>
      <c r="G408" s="151" t="s">
        <v>390</v>
      </c>
      <c r="H408" s="174" t="s">
        <v>5525</v>
      </c>
      <c r="I408" s="150" t="s">
        <v>4882</v>
      </c>
      <c r="J408" s="153" t="s">
        <v>5542</v>
      </c>
      <c r="K408" s="151">
        <v>36</v>
      </c>
      <c r="L408" s="151" t="s">
        <v>470</v>
      </c>
      <c r="M408" s="151" t="s">
        <v>463</v>
      </c>
      <c r="N408" s="152" t="s">
        <v>213</v>
      </c>
      <c r="O408" s="152" t="s">
        <v>10</v>
      </c>
      <c r="P408" s="176">
        <v>1000</v>
      </c>
      <c r="Q408" s="177">
        <v>900</v>
      </c>
      <c r="R408" s="176">
        <v>546000</v>
      </c>
      <c r="S408" s="156">
        <f t="shared" si="135"/>
        <v>491400000</v>
      </c>
      <c r="T408" s="589"/>
      <c r="U408" s="157">
        <v>488010</v>
      </c>
      <c r="V408" s="158">
        <f t="shared" si="146"/>
        <v>480000</v>
      </c>
      <c r="W408" s="159">
        <f t="shared" si="136"/>
        <v>8010</v>
      </c>
      <c r="X408" s="159">
        <f t="shared" si="137"/>
        <v>7209000</v>
      </c>
      <c r="Y408" s="160"/>
      <c r="Z408" s="160">
        <f t="shared" si="138"/>
        <v>0</v>
      </c>
      <c r="AA408" s="165"/>
      <c r="AB408" s="161">
        <f t="shared" si="139"/>
        <v>0</v>
      </c>
      <c r="AC408" s="162"/>
      <c r="AD408" s="162">
        <f t="shared" si="147"/>
        <v>0</v>
      </c>
      <c r="AE408" s="164"/>
      <c r="AF408" s="164">
        <f t="shared" si="148"/>
        <v>0</v>
      </c>
      <c r="AG408" s="165">
        <v>1020</v>
      </c>
      <c r="AH408" s="165">
        <f t="shared" si="149"/>
        <v>918000</v>
      </c>
      <c r="AI408" s="166">
        <v>0</v>
      </c>
      <c r="AJ408" s="166">
        <f t="shared" si="150"/>
        <v>0</v>
      </c>
      <c r="AK408" s="162"/>
      <c r="AL408" s="162">
        <f t="shared" si="145"/>
        <v>0</v>
      </c>
      <c r="AM408" s="173">
        <v>6990</v>
      </c>
      <c r="AN408" s="167">
        <f t="shared" si="140"/>
        <v>6291000</v>
      </c>
      <c r="AO408" s="163"/>
      <c r="AP408" s="163">
        <f t="shared" si="141"/>
        <v>0</v>
      </c>
      <c r="AQ408" s="168"/>
      <c r="AR408" s="168">
        <f t="shared" si="142"/>
        <v>0</v>
      </c>
      <c r="AS408" s="170"/>
      <c r="AT408" s="170">
        <f t="shared" si="143"/>
        <v>0</v>
      </c>
      <c r="AU408" s="166"/>
      <c r="AV408" s="166">
        <f t="shared" si="144"/>
        <v>0</v>
      </c>
    </row>
    <row r="409" spans="1:49" s="131" customFormat="1" ht="31.5">
      <c r="A409" s="148" t="s">
        <v>5543</v>
      </c>
      <c r="B409" s="149" t="s">
        <v>5275</v>
      </c>
      <c r="C409" s="150" t="s">
        <v>463</v>
      </c>
      <c r="D409" s="634" t="s">
        <v>4941</v>
      </c>
      <c r="E409" s="631" t="s">
        <v>12642</v>
      </c>
      <c r="F409" s="175" t="s">
        <v>227</v>
      </c>
      <c r="G409" s="151" t="s">
        <v>225</v>
      </c>
      <c r="H409" s="174" t="s">
        <v>5525</v>
      </c>
      <c r="I409" s="150" t="s">
        <v>4942</v>
      </c>
      <c r="J409" s="153" t="s">
        <v>5544</v>
      </c>
      <c r="K409" s="151">
        <v>60</v>
      </c>
      <c r="L409" s="151" t="s">
        <v>472</v>
      </c>
      <c r="M409" s="151" t="s">
        <v>463</v>
      </c>
      <c r="N409" s="152" t="s">
        <v>213</v>
      </c>
      <c r="O409" s="152" t="s">
        <v>10</v>
      </c>
      <c r="P409" s="176">
        <v>470</v>
      </c>
      <c r="Q409" s="177">
        <v>420</v>
      </c>
      <c r="R409" s="176">
        <v>740000</v>
      </c>
      <c r="S409" s="156">
        <f t="shared" si="135"/>
        <v>310800000</v>
      </c>
      <c r="T409" s="589"/>
      <c r="U409" s="157">
        <v>107600</v>
      </c>
      <c r="V409" s="158">
        <f t="shared" si="146"/>
        <v>0</v>
      </c>
      <c r="W409" s="159">
        <f t="shared" si="136"/>
        <v>107600</v>
      </c>
      <c r="X409" s="159">
        <f t="shared" si="137"/>
        <v>45192000</v>
      </c>
      <c r="Y409" s="160"/>
      <c r="Z409" s="160">
        <f t="shared" si="138"/>
        <v>0</v>
      </c>
      <c r="AA409" s="165"/>
      <c r="AB409" s="161">
        <f t="shared" si="139"/>
        <v>0</v>
      </c>
      <c r="AC409" s="162"/>
      <c r="AD409" s="162">
        <f t="shared" si="147"/>
        <v>0</v>
      </c>
      <c r="AE409" s="164"/>
      <c r="AF409" s="164">
        <f t="shared" si="148"/>
        <v>0</v>
      </c>
      <c r="AG409" s="165">
        <f>17000+26000</f>
        <v>43000</v>
      </c>
      <c r="AH409" s="165">
        <f t="shared" si="149"/>
        <v>18060000</v>
      </c>
      <c r="AI409" s="166">
        <v>0</v>
      </c>
      <c r="AJ409" s="166">
        <f t="shared" si="150"/>
        <v>0</v>
      </c>
      <c r="AK409" s="162"/>
      <c r="AL409" s="162">
        <f t="shared" si="145"/>
        <v>0</v>
      </c>
      <c r="AM409" s="173">
        <v>64600</v>
      </c>
      <c r="AN409" s="167">
        <f t="shared" si="140"/>
        <v>27132000</v>
      </c>
      <c r="AO409" s="163"/>
      <c r="AP409" s="163">
        <f t="shared" si="141"/>
        <v>0</v>
      </c>
      <c r="AQ409" s="168"/>
      <c r="AR409" s="168">
        <f t="shared" si="142"/>
        <v>0</v>
      </c>
      <c r="AS409" s="170"/>
      <c r="AT409" s="170">
        <f t="shared" si="143"/>
        <v>0</v>
      </c>
      <c r="AU409" s="166"/>
      <c r="AV409" s="166">
        <f t="shared" si="144"/>
        <v>0</v>
      </c>
    </row>
    <row r="410" spans="1:49" s="131" customFormat="1">
      <c r="A410" s="148" t="s">
        <v>6565</v>
      </c>
      <c r="B410" s="149" t="s">
        <v>5275</v>
      </c>
      <c r="C410" s="150" t="s">
        <v>463</v>
      </c>
      <c r="D410" s="240" t="s">
        <v>4556</v>
      </c>
      <c r="E410" s="590" t="s">
        <v>12642</v>
      </c>
      <c r="F410" s="203" t="s">
        <v>802</v>
      </c>
      <c r="G410" s="204" t="s">
        <v>272</v>
      </c>
      <c r="H410" s="204">
        <v>2</v>
      </c>
      <c r="I410" s="203" t="s">
        <v>6566</v>
      </c>
      <c r="J410" s="205" t="s">
        <v>6567</v>
      </c>
      <c r="K410" s="203" t="s">
        <v>5104</v>
      </c>
      <c r="L410" s="205" t="s">
        <v>6568</v>
      </c>
      <c r="M410" s="205" t="s">
        <v>463</v>
      </c>
      <c r="N410" s="204" t="s">
        <v>213</v>
      </c>
      <c r="O410" s="204" t="s">
        <v>11</v>
      </c>
      <c r="P410" s="206">
        <v>5180</v>
      </c>
      <c r="Q410" s="206">
        <v>3100</v>
      </c>
      <c r="R410" s="207">
        <v>30000</v>
      </c>
      <c r="S410" s="207">
        <f t="shared" si="135"/>
        <v>93000000</v>
      </c>
      <c r="T410" s="589"/>
      <c r="U410" s="157">
        <v>30000</v>
      </c>
      <c r="V410" s="158">
        <f t="shared" si="146"/>
        <v>30000</v>
      </c>
      <c r="W410" s="159">
        <f t="shared" si="136"/>
        <v>0</v>
      </c>
      <c r="X410" s="159">
        <f t="shared" si="137"/>
        <v>0</v>
      </c>
      <c r="Y410" s="160"/>
      <c r="Z410" s="160">
        <f t="shared" si="138"/>
        <v>0</v>
      </c>
      <c r="AA410" s="161"/>
      <c r="AB410" s="161">
        <f t="shared" si="139"/>
        <v>0</v>
      </c>
      <c r="AC410" s="162"/>
      <c r="AD410" s="162">
        <f t="shared" si="147"/>
        <v>0</v>
      </c>
      <c r="AE410" s="164"/>
      <c r="AF410" s="164">
        <f t="shared" si="148"/>
        <v>0</v>
      </c>
      <c r="AG410" s="165"/>
      <c r="AH410" s="165">
        <f t="shared" si="149"/>
        <v>0</v>
      </c>
      <c r="AI410" s="166">
        <v>0</v>
      </c>
      <c r="AJ410" s="166">
        <f t="shared" si="150"/>
        <v>0</v>
      </c>
      <c r="AK410" s="162"/>
      <c r="AL410" s="162">
        <f t="shared" si="145"/>
        <v>0</v>
      </c>
      <c r="AM410" s="167"/>
      <c r="AN410" s="167">
        <f t="shared" si="140"/>
        <v>0</v>
      </c>
      <c r="AO410" s="163"/>
      <c r="AP410" s="163">
        <f t="shared" si="141"/>
        <v>0</v>
      </c>
      <c r="AQ410" s="168"/>
      <c r="AR410" s="168">
        <f t="shared" si="142"/>
        <v>0</v>
      </c>
      <c r="AS410" s="170"/>
      <c r="AT410" s="170">
        <f t="shared" si="143"/>
        <v>0</v>
      </c>
      <c r="AU410" s="166"/>
      <c r="AV410" s="166">
        <f t="shared" si="144"/>
        <v>0</v>
      </c>
    </row>
    <row r="411" spans="1:49" s="131" customFormat="1">
      <c r="A411" s="148" t="s">
        <v>6569</v>
      </c>
      <c r="B411" s="149" t="s">
        <v>5275</v>
      </c>
      <c r="C411" s="150" t="s">
        <v>463</v>
      </c>
      <c r="D411" s="240" t="s">
        <v>4479</v>
      </c>
      <c r="E411" s="590" t="s">
        <v>12642</v>
      </c>
      <c r="F411" s="203" t="s">
        <v>847</v>
      </c>
      <c r="G411" s="204" t="s">
        <v>272</v>
      </c>
      <c r="H411" s="204">
        <v>2</v>
      </c>
      <c r="I411" s="203" t="s">
        <v>4480</v>
      </c>
      <c r="J411" s="205" t="s">
        <v>6570</v>
      </c>
      <c r="K411" s="203" t="s">
        <v>5104</v>
      </c>
      <c r="L411" s="205" t="s">
        <v>6571</v>
      </c>
      <c r="M411" s="205" t="s">
        <v>463</v>
      </c>
      <c r="N411" s="204" t="s">
        <v>213</v>
      </c>
      <c r="O411" s="204" t="s">
        <v>11</v>
      </c>
      <c r="P411" s="206">
        <v>1450</v>
      </c>
      <c r="Q411" s="206">
        <v>1380</v>
      </c>
      <c r="R411" s="207">
        <v>40000</v>
      </c>
      <c r="S411" s="207">
        <f t="shared" si="135"/>
        <v>55200000</v>
      </c>
      <c r="T411" s="589"/>
      <c r="U411" s="157">
        <v>40000</v>
      </c>
      <c r="V411" s="158">
        <f t="shared" si="146"/>
        <v>35000</v>
      </c>
      <c r="W411" s="159">
        <f t="shared" si="136"/>
        <v>5000</v>
      </c>
      <c r="X411" s="159">
        <f t="shared" si="137"/>
        <v>6900000</v>
      </c>
      <c r="Y411" s="160"/>
      <c r="Z411" s="160">
        <f t="shared" si="138"/>
        <v>0</v>
      </c>
      <c r="AA411" s="161"/>
      <c r="AB411" s="161">
        <f t="shared" si="139"/>
        <v>0</v>
      </c>
      <c r="AC411" s="162"/>
      <c r="AD411" s="162">
        <f t="shared" si="147"/>
        <v>0</v>
      </c>
      <c r="AE411" s="164"/>
      <c r="AF411" s="164">
        <f t="shared" si="148"/>
        <v>0</v>
      </c>
      <c r="AG411" s="165">
        <f>1500+1500</f>
        <v>3000</v>
      </c>
      <c r="AH411" s="165">
        <f t="shared" si="149"/>
        <v>4140000</v>
      </c>
      <c r="AI411" s="166">
        <v>0</v>
      </c>
      <c r="AJ411" s="166">
        <f t="shared" si="150"/>
        <v>0</v>
      </c>
      <c r="AK411" s="162"/>
      <c r="AL411" s="162">
        <f t="shared" si="145"/>
        <v>0</v>
      </c>
      <c r="AM411" s="167">
        <v>500</v>
      </c>
      <c r="AN411" s="167">
        <f t="shared" si="140"/>
        <v>690000</v>
      </c>
      <c r="AO411" s="163"/>
      <c r="AP411" s="163">
        <f t="shared" si="141"/>
        <v>0</v>
      </c>
      <c r="AQ411" s="168"/>
      <c r="AR411" s="168">
        <f t="shared" si="142"/>
        <v>0</v>
      </c>
      <c r="AS411" s="170">
        <v>1500</v>
      </c>
      <c r="AT411" s="170">
        <f t="shared" si="143"/>
        <v>2070000</v>
      </c>
      <c r="AU411" s="166"/>
      <c r="AV411" s="166">
        <f t="shared" si="144"/>
        <v>0</v>
      </c>
    </row>
    <row r="412" spans="1:49" s="131" customFormat="1">
      <c r="A412" s="172" t="s">
        <v>6572</v>
      </c>
      <c r="B412" s="149" t="s">
        <v>5275</v>
      </c>
      <c r="C412" s="150" t="s">
        <v>463</v>
      </c>
      <c r="D412" s="240" t="s">
        <v>6573</v>
      </c>
      <c r="E412" s="590" t="s">
        <v>12642</v>
      </c>
      <c r="F412" s="203" t="s">
        <v>847</v>
      </c>
      <c r="G412" s="204" t="s">
        <v>225</v>
      </c>
      <c r="H412" s="204">
        <v>2</v>
      </c>
      <c r="I412" s="203" t="s">
        <v>6574</v>
      </c>
      <c r="J412" s="205" t="s">
        <v>6570</v>
      </c>
      <c r="K412" s="203" t="s">
        <v>5104</v>
      </c>
      <c r="L412" s="205" t="s">
        <v>6575</v>
      </c>
      <c r="M412" s="205" t="s">
        <v>463</v>
      </c>
      <c r="N412" s="204" t="s">
        <v>213</v>
      </c>
      <c r="O412" s="204" t="s">
        <v>11</v>
      </c>
      <c r="P412" s="206">
        <v>2600</v>
      </c>
      <c r="Q412" s="215">
        <v>2300</v>
      </c>
      <c r="R412" s="207">
        <v>30000</v>
      </c>
      <c r="S412" s="207">
        <f t="shared" si="135"/>
        <v>69000000</v>
      </c>
      <c r="T412" s="589" t="s">
        <v>11</v>
      </c>
      <c r="U412" s="157">
        <v>30000</v>
      </c>
      <c r="V412" s="158">
        <f t="shared" si="146"/>
        <v>28000</v>
      </c>
      <c r="W412" s="159">
        <f t="shared" si="136"/>
        <v>2000</v>
      </c>
      <c r="X412" s="159">
        <f t="shared" si="137"/>
        <v>4600000</v>
      </c>
      <c r="Y412" s="160"/>
      <c r="Z412" s="160">
        <f t="shared" si="138"/>
        <v>0</v>
      </c>
      <c r="AA412" s="165"/>
      <c r="AB412" s="161">
        <f t="shared" si="139"/>
        <v>0</v>
      </c>
      <c r="AC412" s="162"/>
      <c r="AD412" s="162">
        <f t="shared" si="147"/>
        <v>0</v>
      </c>
      <c r="AE412" s="164"/>
      <c r="AF412" s="164">
        <f t="shared" si="148"/>
        <v>0</v>
      </c>
      <c r="AG412" s="165"/>
      <c r="AH412" s="165">
        <f t="shared" si="149"/>
        <v>0</v>
      </c>
      <c r="AI412" s="166">
        <v>0</v>
      </c>
      <c r="AJ412" s="166">
        <f t="shared" si="150"/>
        <v>0</v>
      </c>
      <c r="AK412" s="162"/>
      <c r="AL412" s="162">
        <f t="shared" si="145"/>
        <v>0</v>
      </c>
      <c r="AM412" s="173"/>
      <c r="AN412" s="167">
        <f t="shared" si="140"/>
        <v>0</v>
      </c>
      <c r="AO412" s="163"/>
      <c r="AP412" s="163">
        <f t="shared" si="141"/>
        <v>0</v>
      </c>
      <c r="AQ412" s="168"/>
      <c r="AR412" s="168">
        <f t="shared" si="142"/>
        <v>0</v>
      </c>
      <c r="AS412" s="170">
        <v>2000</v>
      </c>
      <c r="AT412" s="170">
        <f t="shared" si="143"/>
        <v>4600000</v>
      </c>
      <c r="AU412" s="166"/>
      <c r="AV412" s="166">
        <f t="shared" si="144"/>
        <v>0</v>
      </c>
    </row>
    <row r="413" spans="1:49" s="131" customFormat="1">
      <c r="A413" s="148" t="s">
        <v>6576</v>
      </c>
      <c r="B413" s="149" t="s">
        <v>5275</v>
      </c>
      <c r="C413" s="150" t="s">
        <v>463</v>
      </c>
      <c r="D413" s="240" t="s">
        <v>6577</v>
      </c>
      <c r="E413" s="590"/>
      <c r="F413" s="203" t="s">
        <v>1235</v>
      </c>
      <c r="G413" s="204" t="s">
        <v>900</v>
      </c>
      <c r="H413" s="204">
        <v>2</v>
      </c>
      <c r="I413" s="203" t="s">
        <v>1610</v>
      </c>
      <c r="J413" s="205" t="s">
        <v>6578</v>
      </c>
      <c r="K413" s="203" t="s">
        <v>5104</v>
      </c>
      <c r="L413" s="205" t="s">
        <v>1611</v>
      </c>
      <c r="M413" s="205" t="s">
        <v>463</v>
      </c>
      <c r="N413" s="204" t="s">
        <v>213</v>
      </c>
      <c r="O413" s="204" t="s">
        <v>11</v>
      </c>
      <c r="P413" s="206">
        <v>12000</v>
      </c>
      <c r="Q413" s="206">
        <v>8950</v>
      </c>
      <c r="R413" s="207">
        <v>30000</v>
      </c>
      <c r="S413" s="207">
        <f t="shared" si="135"/>
        <v>268500000</v>
      </c>
      <c r="T413" s="589" t="s">
        <v>11</v>
      </c>
      <c r="U413" s="157">
        <v>30000</v>
      </c>
      <c r="V413" s="158">
        <f t="shared" si="146"/>
        <v>30000</v>
      </c>
      <c r="W413" s="159">
        <f t="shared" si="136"/>
        <v>0</v>
      </c>
      <c r="X413" s="159">
        <f t="shared" si="137"/>
        <v>0</v>
      </c>
      <c r="Y413" s="160"/>
      <c r="Z413" s="160">
        <f t="shared" si="138"/>
        <v>0</v>
      </c>
      <c r="AA413" s="165"/>
      <c r="AB413" s="161">
        <f t="shared" si="139"/>
        <v>0</v>
      </c>
      <c r="AC413" s="162"/>
      <c r="AD413" s="162">
        <f t="shared" si="147"/>
        <v>0</v>
      </c>
      <c r="AE413" s="164"/>
      <c r="AF413" s="164">
        <f t="shared" si="148"/>
        <v>0</v>
      </c>
      <c r="AG413" s="165"/>
      <c r="AH413" s="165">
        <f t="shared" si="149"/>
        <v>0</v>
      </c>
      <c r="AI413" s="166">
        <v>0</v>
      </c>
      <c r="AJ413" s="166">
        <f t="shared" si="150"/>
        <v>0</v>
      </c>
      <c r="AK413" s="162"/>
      <c r="AL413" s="162">
        <f t="shared" si="145"/>
        <v>0</v>
      </c>
      <c r="AM413" s="173"/>
      <c r="AN413" s="167">
        <f t="shared" si="140"/>
        <v>0</v>
      </c>
      <c r="AO413" s="163"/>
      <c r="AP413" s="163">
        <f t="shared" si="141"/>
        <v>0</v>
      </c>
      <c r="AQ413" s="168"/>
      <c r="AR413" s="168">
        <f t="shared" si="142"/>
        <v>0</v>
      </c>
      <c r="AS413" s="170"/>
      <c r="AT413" s="170">
        <f t="shared" si="143"/>
        <v>0</v>
      </c>
      <c r="AU413" s="166"/>
      <c r="AV413" s="166">
        <f t="shared" si="144"/>
        <v>0</v>
      </c>
    </row>
    <row r="414" spans="1:49" s="131" customFormat="1" ht="31.5">
      <c r="A414" s="148" t="s">
        <v>6579</v>
      </c>
      <c r="B414" s="149" t="s">
        <v>5275</v>
      </c>
      <c r="C414" s="150" t="s">
        <v>463</v>
      </c>
      <c r="D414" s="240" t="s">
        <v>4536</v>
      </c>
      <c r="E414" s="590"/>
      <c r="F414" s="203" t="s">
        <v>256</v>
      </c>
      <c r="G414" s="204" t="s">
        <v>334</v>
      </c>
      <c r="H414" s="204">
        <v>2</v>
      </c>
      <c r="I414" s="203" t="s">
        <v>3639</v>
      </c>
      <c r="J414" s="205" t="s">
        <v>6580</v>
      </c>
      <c r="K414" s="203" t="s">
        <v>5104</v>
      </c>
      <c r="L414" s="205" t="s">
        <v>1614</v>
      </c>
      <c r="M414" s="205" t="s">
        <v>463</v>
      </c>
      <c r="N414" s="204" t="s">
        <v>213</v>
      </c>
      <c r="O414" s="204" t="s">
        <v>11</v>
      </c>
      <c r="P414" s="206">
        <v>16000</v>
      </c>
      <c r="Q414" s="206">
        <v>12600</v>
      </c>
      <c r="R414" s="207">
        <v>10000</v>
      </c>
      <c r="S414" s="207">
        <f t="shared" si="135"/>
        <v>126000000</v>
      </c>
      <c r="T414" s="589" t="s">
        <v>11</v>
      </c>
      <c r="U414" s="157">
        <v>10000</v>
      </c>
      <c r="V414" s="158">
        <f t="shared" si="146"/>
        <v>10000</v>
      </c>
      <c r="W414" s="159">
        <f t="shared" si="136"/>
        <v>0</v>
      </c>
      <c r="X414" s="159">
        <f t="shared" si="137"/>
        <v>0</v>
      </c>
      <c r="Y414" s="160"/>
      <c r="Z414" s="160">
        <f t="shared" si="138"/>
        <v>0</v>
      </c>
      <c r="AA414" s="165"/>
      <c r="AB414" s="161">
        <f t="shared" si="139"/>
        <v>0</v>
      </c>
      <c r="AC414" s="162"/>
      <c r="AD414" s="162">
        <f t="shared" si="147"/>
        <v>0</v>
      </c>
      <c r="AE414" s="164"/>
      <c r="AF414" s="164">
        <f t="shared" si="148"/>
        <v>0</v>
      </c>
      <c r="AG414" s="165"/>
      <c r="AH414" s="165">
        <f t="shared" si="149"/>
        <v>0</v>
      </c>
      <c r="AI414" s="166">
        <v>0</v>
      </c>
      <c r="AJ414" s="166">
        <f t="shared" si="150"/>
        <v>0</v>
      </c>
      <c r="AK414" s="162"/>
      <c r="AL414" s="162">
        <f t="shared" si="145"/>
        <v>0</v>
      </c>
      <c r="AM414" s="173"/>
      <c r="AN414" s="167">
        <f t="shared" si="140"/>
        <v>0</v>
      </c>
      <c r="AO414" s="163"/>
      <c r="AP414" s="163">
        <f t="shared" si="141"/>
        <v>0</v>
      </c>
      <c r="AQ414" s="168"/>
      <c r="AR414" s="168">
        <f t="shared" si="142"/>
        <v>0</v>
      </c>
      <c r="AS414" s="170"/>
      <c r="AT414" s="170">
        <f t="shared" si="143"/>
        <v>0</v>
      </c>
      <c r="AU414" s="166"/>
      <c r="AV414" s="166">
        <f t="shared" si="144"/>
        <v>0</v>
      </c>
    </row>
    <row r="415" spans="1:49" s="131" customFormat="1">
      <c r="A415" s="172" t="s">
        <v>6581</v>
      </c>
      <c r="B415" s="149" t="s">
        <v>5275</v>
      </c>
      <c r="C415" s="150" t="s">
        <v>463</v>
      </c>
      <c r="D415" s="240" t="s">
        <v>6582</v>
      </c>
      <c r="E415" s="590" t="s">
        <v>12643</v>
      </c>
      <c r="F415" s="203" t="s">
        <v>6583</v>
      </c>
      <c r="G415" s="204" t="s">
        <v>6584</v>
      </c>
      <c r="H415" s="204">
        <v>2</v>
      </c>
      <c r="I415" s="203" t="s">
        <v>6585</v>
      </c>
      <c r="J415" s="205" t="s">
        <v>6586</v>
      </c>
      <c r="K415" s="203" t="s">
        <v>5104</v>
      </c>
      <c r="L415" s="205" t="s">
        <v>6587</v>
      </c>
      <c r="M415" s="205" t="s">
        <v>463</v>
      </c>
      <c r="N415" s="204" t="s">
        <v>213</v>
      </c>
      <c r="O415" s="204" t="s">
        <v>11</v>
      </c>
      <c r="P415" s="206">
        <v>2500</v>
      </c>
      <c r="Q415" s="206">
        <v>2500</v>
      </c>
      <c r="R415" s="207">
        <v>40000</v>
      </c>
      <c r="S415" s="207">
        <f t="shared" si="135"/>
        <v>100000000</v>
      </c>
      <c r="T415" s="589" t="s">
        <v>11</v>
      </c>
      <c r="U415" s="157">
        <v>40000</v>
      </c>
      <c r="V415" s="158">
        <f t="shared" si="146"/>
        <v>40000</v>
      </c>
      <c r="W415" s="159">
        <f t="shared" si="136"/>
        <v>0</v>
      </c>
      <c r="X415" s="159">
        <f t="shared" si="137"/>
        <v>0</v>
      </c>
      <c r="Y415" s="160"/>
      <c r="Z415" s="160">
        <f t="shared" si="138"/>
        <v>0</v>
      </c>
      <c r="AA415" s="165"/>
      <c r="AB415" s="161">
        <f t="shared" si="139"/>
        <v>0</v>
      </c>
      <c r="AC415" s="162"/>
      <c r="AD415" s="162">
        <f t="shared" si="147"/>
        <v>0</v>
      </c>
      <c r="AE415" s="164"/>
      <c r="AF415" s="164">
        <f t="shared" si="148"/>
        <v>0</v>
      </c>
      <c r="AG415" s="165"/>
      <c r="AH415" s="165">
        <f t="shared" si="149"/>
        <v>0</v>
      </c>
      <c r="AI415" s="166">
        <v>0</v>
      </c>
      <c r="AJ415" s="166">
        <f t="shared" si="150"/>
        <v>0</v>
      </c>
      <c r="AK415" s="162"/>
      <c r="AL415" s="162">
        <f t="shared" si="145"/>
        <v>0</v>
      </c>
      <c r="AM415" s="173"/>
      <c r="AN415" s="167">
        <f t="shared" si="140"/>
        <v>0</v>
      </c>
      <c r="AO415" s="163"/>
      <c r="AP415" s="163">
        <f t="shared" si="141"/>
        <v>0</v>
      </c>
      <c r="AQ415" s="168"/>
      <c r="AR415" s="168">
        <f t="shared" si="142"/>
        <v>0</v>
      </c>
      <c r="AS415" s="170"/>
      <c r="AT415" s="170">
        <f t="shared" si="143"/>
        <v>0</v>
      </c>
      <c r="AU415" s="166"/>
      <c r="AV415" s="166">
        <f t="shared" si="144"/>
        <v>0</v>
      </c>
    </row>
    <row r="416" spans="1:49" s="131" customFormat="1">
      <c r="A416" s="148" t="s">
        <v>6969</v>
      </c>
      <c r="B416" s="149" t="s">
        <v>5275</v>
      </c>
      <c r="C416" s="150" t="s">
        <v>463</v>
      </c>
      <c r="D416" s="240" t="s">
        <v>3853</v>
      </c>
      <c r="E416" s="590"/>
      <c r="F416" s="203" t="s">
        <v>708</v>
      </c>
      <c r="G416" s="204" t="s">
        <v>965</v>
      </c>
      <c r="H416" s="204">
        <v>3</v>
      </c>
      <c r="I416" s="203" t="s">
        <v>1601</v>
      </c>
      <c r="J416" s="205" t="s">
        <v>6970</v>
      </c>
      <c r="K416" s="203" t="s">
        <v>5104</v>
      </c>
      <c r="L416" s="205" t="s">
        <v>1602</v>
      </c>
      <c r="M416" s="205" t="s">
        <v>463</v>
      </c>
      <c r="N416" s="204" t="s">
        <v>213</v>
      </c>
      <c r="O416" s="204" t="s">
        <v>11</v>
      </c>
      <c r="P416" s="206">
        <v>1260</v>
      </c>
      <c r="Q416" s="206">
        <v>798</v>
      </c>
      <c r="R416" s="207">
        <v>100000</v>
      </c>
      <c r="S416" s="207">
        <f t="shared" si="135"/>
        <v>79800000</v>
      </c>
      <c r="T416" s="589"/>
      <c r="U416" s="157">
        <v>100000</v>
      </c>
      <c r="V416" s="158">
        <f t="shared" si="146"/>
        <v>89980</v>
      </c>
      <c r="W416" s="159">
        <f t="shared" si="136"/>
        <v>10020</v>
      </c>
      <c r="X416" s="159">
        <f t="shared" si="137"/>
        <v>7995960</v>
      </c>
      <c r="Y416" s="160"/>
      <c r="Z416" s="160">
        <f t="shared" si="138"/>
        <v>0</v>
      </c>
      <c r="AA416" s="161"/>
      <c r="AB416" s="161">
        <f t="shared" si="139"/>
        <v>0</v>
      </c>
      <c r="AC416" s="162"/>
      <c r="AD416" s="162">
        <f t="shared" si="147"/>
        <v>0</v>
      </c>
      <c r="AE416" s="164"/>
      <c r="AF416" s="164">
        <f t="shared" si="148"/>
        <v>0</v>
      </c>
      <c r="AG416" s="165"/>
      <c r="AH416" s="165">
        <f t="shared" si="149"/>
        <v>0</v>
      </c>
      <c r="AI416" s="166">
        <v>0</v>
      </c>
      <c r="AJ416" s="166">
        <f t="shared" si="150"/>
        <v>0</v>
      </c>
      <c r="AK416" s="162"/>
      <c r="AL416" s="162">
        <f t="shared" si="145"/>
        <v>0</v>
      </c>
      <c r="AM416" s="167"/>
      <c r="AN416" s="167">
        <f t="shared" si="140"/>
        <v>0</v>
      </c>
      <c r="AO416" s="163"/>
      <c r="AP416" s="163">
        <f t="shared" si="141"/>
        <v>0</v>
      </c>
      <c r="AQ416" s="168"/>
      <c r="AR416" s="168">
        <f t="shared" si="142"/>
        <v>0</v>
      </c>
      <c r="AS416" s="170">
        <f>3540+6480</f>
        <v>10020</v>
      </c>
      <c r="AT416" s="170">
        <f t="shared" si="143"/>
        <v>7995960</v>
      </c>
      <c r="AU416" s="166"/>
      <c r="AV416" s="166">
        <f t="shared" si="144"/>
        <v>0</v>
      </c>
    </row>
    <row r="417" spans="1:48" s="131" customFormat="1">
      <c r="A417" s="148" t="s">
        <v>7546</v>
      </c>
      <c r="B417" s="149" t="s">
        <v>5275</v>
      </c>
      <c r="C417" s="150" t="s">
        <v>463</v>
      </c>
      <c r="D417" s="240" t="s">
        <v>7547</v>
      </c>
      <c r="E417" s="590" t="s">
        <v>12643</v>
      </c>
      <c r="F417" s="203" t="s">
        <v>7548</v>
      </c>
      <c r="G417" s="204" t="s">
        <v>7549</v>
      </c>
      <c r="H417" s="204">
        <v>3</v>
      </c>
      <c r="I417" s="203" t="s">
        <v>7550</v>
      </c>
      <c r="J417" s="205" t="s">
        <v>7551</v>
      </c>
      <c r="K417" s="203" t="s">
        <v>5104</v>
      </c>
      <c r="L417" s="205" t="s">
        <v>7552</v>
      </c>
      <c r="M417" s="205" t="s">
        <v>463</v>
      </c>
      <c r="N417" s="204" t="s">
        <v>213</v>
      </c>
      <c r="O417" s="204" t="s">
        <v>11</v>
      </c>
      <c r="P417" s="206">
        <v>920</v>
      </c>
      <c r="Q417" s="206">
        <v>520</v>
      </c>
      <c r="R417" s="207">
        <v>80000</v>
      </c>
      <c r="S417" s="207">
        <f t="shared" si="135"/>
        <v>41600000</v>
      </c>
      <c r="T417" s="589"/>
      <c r="U417" s="157">
        <v>80000</v>
      </c>
      <c r="V417" s="158">
        <f t="shared" si="146"/>
        <v>80000</v>
      </c>
      <c r="W417" s="159">
        <f t="shared" si="136"/>
        <v>0</v>
      </c>
      <c r="X417" s="159">
        <f t="shared" si="137"/>
        <v>0</v>
      </c>
      <c r="Y417" s="160"/>
      <c r="Z417" s="160">
        <f t="shared" si="138"/>
        <v>0</v>
      </c>
      <c r="AA417" s="165"/>
      <c r="AB417" s="161">
        <f t="shared" si="139"/>
        <v>0</v>
      </c>
      <c r="AC417" s="162"/>
      <c r="AD417" s="162">
        <f t="shared" si="147"/>
        <v>0</v>
      </c>
      <c r="AE417" s="164"/>
      <c r="AF417" s="164">
        <f t="shared" si="148"/>
        <v>0</v>
      </c>
      <c r="AG417" s="165"/>
      <c r="AH417" s="165">
        <f t="shared" si="149"/>
        <v>0</v>
      </c>
      <c r="AI417" s="166">
        <v>0</v>
      </c>
      <c r="AJ417" s="166">
        <f t="shared" si="150"/>
        <v>0</v>
      </c>
      <c r="AK417" s="162"/>
      <c r="AL417" s="162">
        <f t="shared" si="145"/>
        <v>0</v>
      </c>
      <c r="AM417" s="173"/>
      <c r="AN417" s="167">
        <f t="shared" si="140"/>
        <v>0</v>
      </c>
      <c r="AO417" s="163"/>
      <c r="AP417" s="163">
        <f t="shared" si="141"/>
        <v>0</v>
      </c>
      <c r="AQ417" s="168"/>
      <c r="AR417" s="168">
        <f t="shared" si="142"/>
        <v>0</v>
      </c>
      <c r="AS417" s="170"/>
      <c r="AT417" s="170">
        <f t="shared" si="143"/>
        <v>0</v>
      </c>
      <c r="AU417" s="166"/>
      <c r="AV417" s="166">
        <f t="shared" si="144"/>
        <v>0</v>
      </c>
    </row>
    <row r="418" spans="1:48" s="131" customFormat="1">
      <c r="A418" s="148" t="s">
        <v>7636</v>
      </c>
      <c r="B418" s="149" t="s">
        <v>5275</v>
      </c>
      <c r="C418" s="150" t="s">
        <v>463</v>
      </c>
      <c r="D418" s="240" t="s">
        <v>7637</v>
      </c>
      <c r="E418" s="590"/>
      <c r="F418" s="203" t="s">
        <v>7638</v>
      </c>
      <c r="G418" s="204" t="s">
        <v>7639</v>
      </c>
      <c r="H418" s="204">
        <v>3</v>
      </c>
      <c r="I418" s="203" t="s">
        <v>7640</v>
      </c>
      <c r="J418" s="205" t="s">
        <v>7641</v>
      </c>
      <c r="K418" s="203" t="s">
        <v>5104</v>
      </c>
      <c r="L418" s="205" t="s">
        <v>7642</v>
      </c>
      <c r="M418" s="205" t="s">
        <v>463</v>
      </c>
      <c r="N418" s="204" t="s">
        <v>213</v>
      </c>
      <c r="O418" s="204" t="s">
        <v>11</v>
      </c>
      <c r="P418" s="206">
        <v>3690</v>
      </c>
      <c r="Q418" s="206">
        <v>3150</v>
      </c>
      <c r="R418" s="207">
        <v>10000</v>
      </c>
      <c r="S418" s="207">
        <f t="shared" si="135"/>
        <v>31500000</v>
      </c>
      <c r="T418" s="589"/>
      <c r="U418" s="157">
        <v>10000</v>
      </c>
      <c r="V418" s="158">
        <f t="shared" si="146"/>
        <v>10000</v>
      </c>
      <c r="W418" s="159">
        <f t="shared" si="136"/>
        <v>0</v>
      </c>
      <c r="X418" s="159">
        <f t="shared" si="137"/>
        <v>0</v>
      </c>
      <c r="Y418" s="160"/>
      <c r="Z418" s="160">
        <f t="shared" si="138"/>
        <v>0</v>
      </c>
      <c r="AA418" s="161"/>
      <c r="AB418" s="161">
        <f t="shared" si="139"/>
        <v>0</v>
      </c>
      <c r="AC418" s="162"/>
      <c r="AD418" s="162">
        <f t="shared" si="147"/>
        <v>0</v>
      </c>
      <c r="AE418" s="164"/>
      <c r="AF418" s="164">
        <f t="shared" si="148"/>
        <v>0</v>
      </c>
      <c r="AG418" s="165"/>
      <c r="AH418" s="165">
        <f t="shared" si="149"/>
        <v>0</v>
      </c>
      <c r="AI418" s="166">
        <v>0</v>
      </c>
      <c r="AJ418" s="166">
        <f t="shared" si="150"/>
        <v>0</v>
      </c>
      <c r="AK418" s="162"/>
      <c r="AL418" s="162">
        <f t="shared" si="145"/>
        <v>0</v>
      </c>
      <c r="AM418" s="167"/>
      <c r="AN418" s="167">
        <f t="shared" si="140"/>
        <v>0</v>
      </c>
      <c r="AO418" s="163"/>
      <c r="AP418" s="163">
        <f t="shared" si="141"/>
        <v>0</v>
      </c>
      <c r="AQ418" s="168"/>
      <c r="AR418" s="168">
        <f t="shared" si="142"/>
        <v>0</v>
      </c>
      <c r="AS418" s="170"/>
      <c r="AT418" s="170">
        <f t="shared" si="143"/>
        <v>0</v>
      </c>
      <c r="AU418" s="166"/>
      <c r="AV418" s="166">
        <f t="shared" si="144"/>
        <v>0</v>
      </c>
    </row>
    <row r="419" spans="1:48" s="131" customFormat="1">
      <c r="A419" s="172" t="s">
        <v>7746</v>
      </c>
      <c r="B419" s="149" t="s">
        <v>5275</v>
      </c>
      <c r="C419" s="150" t="s">
        <v>463</v>
      </c>
      <c r="D419" s="240" t="s">
        <v>7747</v>
      </c>
      <c r="E419" s="590"/>
      <c r="F419" s="203" t="s">
        <v>7748</v>
      </c>
      <c r="G419" s="204" t="s">
        <v>327</v>
      </c>
      <c r="H419" s="204">
        <v>3</v>
      </c>
      <c r="I419" s="203" t="s">
        <v>7749</v>
      </c>
      <c r="J419" s="205" t="s">
        <v>7750</v>
      </c>
      <c r="K419" s="203" t="s">
        <v>5104</v>
      </c>
      <c r="L419" s="205" t="s">
        <v>7751</v>
      </c>
      <c r="M419" s="205" t="s">
        <v>463</v>
      </c>
      <c r="N419" s="204" t="s">
        <v>213</v>
      </c>
      <c r="O419" s="204" t="s">
        <v>11</v>
      </c>
      <c r="P419" s="206">
        <v>2900</v>
      </c>
      <c r="Q419" s="206">
        <v>1449</v>
      </c>
      <c r="R419" s="207">
        <v>20000</v>
      </c>
      <c r="S419" s="207">
        <f t="shared" si="135"/>
        <v>28980000</v>
      </c>
      <c r="T419" s="589"/>
      <c r="U419" s="157">
        <v>20000</v>
      </c>
      <c r="V419" s="158">
        <f t="shared" si="146"/>
        <v>20000</v>
      </c>
      <c r="W419" s="159">
        <f t="shared" si="136"/>
        <v>0</v>
      </c>
      <c r="X419" s="159">
        <f t="shared" si="137"/>
        <v>0</v>
      </c>
      <c r="Y419" s="160"/>
      <c r="Z419" s="160">
        <f t="shared" si="138"/>
        <v>0</v>
      </c>
      <c r="AA419" s="165"/>
      <c r="AB419" s="161">
        <f t="shared" si="139"/>
        <v>0</v>
      </c>
      <c r="AC419" s="162"/>
      <c r="AD419" s="162">
        <f t="shared" si="147"/>
        <v>0</v>
      </c>
      <c r="AE419" s="164"/>
      <c r="AF419" s="164">
        <f t="shared" si="148"/>
        <v>0</v>
      </c>
      <c r="AG419" s="165"/>
      <c r="AH419" s="165">
        <f t="shared" si="149"/>
        <v>0</v>
      </c>
      <c r="AI419" s="166">
        <v>0</v>
      </c>
      <c r="AJ419" s="166">
        <f t="shared" si="150"/>
        <v>0</v>
      </c>
      <c r="AK419" s="162"/>
      <c r="AL419" s="162">
        <f t="shared" si="145"/>
        <v>0</v>
      </c>
      <c r="AM419" s="173"/>
      <c r="AN419" s="167">
        <f t="shared" si="140"/>
        <v>0</v>
      </c>
      <c r="AO419" s="163"/>
      <c r="AP419" s="163">
        <f t="shared" si="141"/>
        <v>0</v>
      </c>
      <c r="AQ419" s="168"/>
      <c r="AR419" s="168">
        <f t="shared" si="142"/>
        <v>0</v>
      </c>
      <c r="AS419" s="170"/>
      <c r="AT419" s="170">
        <f t="shared" si="143"/>
        <v>0</v>
      </c>
      <c r="AU419" s="166"/>
      <c r="AV419" s="166">
        <f t="shared" si="144"/>
        <v>0</v>
      </c>
    </row>
    <row r="420" spans="1:48" s="131" customFormat="1" ht="31.5">
      <c r="A420" s="172" t="s">
        <v>7979</v>
      </c>
      <c r="B420" s="149" t="s">
        <v>5275</v>
      </c>
      <c r="C420" s="150" t="s">
        <v>463</v>
      </c>
      <c r="D420" s="240" t="s">
        <v>7980</v>
      </c>
      <c r="E420" s="590"/>
      <c r="F420" s="203" t="s">
        <v>3974</v>
      </c>
      <c r="G420" s="204" t="s">
        <v>2510</v>
      </c>
      <c r="H420" s="204">
        <v>3</v>
      </c>
      <c r="I420" s="203" t="s">
        <v>7981</v>
      </c>
      <c r="J420" s="205" t="s">
        <v>7982</v>
      </c>
      <c r="K420" s="203" t="s">
        <v>5111</v>
      </c>
      <c r="L420" s="205" t="s">
        <v>7983</v>
      </c>
      <c r="M420" s="205" t="s">
        <v>463</v>
      </c>
      <c r="N420" s="204" t="s">
        <v>213</v>
      </c>
      <c r="O420" s="204" t="s">
        <v>5655</v>
      </c>
      <c r="P420" s="206">
        <v>6040</v>
      </c>
      <c r="Q420" s="206">
        <v>2600</v>
      </c>
      <c r="R420" s="207">
        <v>2000</v>
      </c>
      <c r="S420" s="207">
        <f t="shared" si="135"/>
        <v>5200000</v>
      </c>
      <c r="T420" s="589"/>
      <c r="U420" s="157">
        <v>2000</v>
      </c>
      <c r="V420" s="158">
        <f t="shared" si="146"/>
        <v>2000</v>
      </c>
      <c r="W420" s="159">
        <f t="shared" si="136"/>
        <v>0</v>
      </c>
      <c r="X420" s="159">
        <f t="shared" si="137"/>
        <v>0</v>
      </c>
      <c r="Y420" s="160"/>
      <c r="Z420" s="160">
        <f t="shared" si="138"/>
        <v>0</v>
      </c>
      <c r="AA420" s="165"/>
      <c r="AB420" s="161">
        <f t="shared" si="139"/>
        <v>0</v>
      </c>
      <c r="AC420" s="162"/>
      <c r="AD420" s="162">
        <f t="shared" si="147"/>
        <v>0</v>
      </c>
      <c r="AE420" s="163"/>
      <c r="AF420" s="164">
        <f t="shared" si="148"/>
        <v>0</v>
      </c>
      <c r="AG420" s="161"/>
      <c r="AH420" s="165">
        <f t="shared" si="149"/>
        <v>0</v>
      </c>
      <c r="AI420" s="160">
        <v>0</v>
      </c>
      <c r="AJ420" s="166">
        <f t="shared" si="150"/>
        <v>0</v>
      </c>
      <c r="AK420" s="162"/>
      <c r="AL420" s="162">
        <f t="shared" si="145"/>
        <v>0</v>
      </c>
      <c r="AM420" s="173"/>
      <c r="AN420" s="167">
        <f t="shared" si="140"/>
        <v>0</v>
      </c>
      <c r="AO420" s="163"/>
      <c r="AP420" s="163">
        <f t="shared" si="141"/>
        <v>0</v>
      </c>
      <c r="AQ420" s="162"/>
      <c r="AR420" s="168">
        <f t="shared" si="142"/>
        <v>0</v>
      </c>
      <c r="AS420" s="169"/>
      <c r="AT420" s="170">
        <f t="shared" si="143"/>
        <v>0</v>
      </c>
      <c r="AU420" s="160"/>
      <c r="AV420" s="166">
        <f t="shared" si="144"/>
        <v>0</v>
      </c>
    </row>
    <row r="421" spans="1:48" s="131" customFormat="1">
      <c r="A421" s="172" t="s">
        <v>8274</v>
      </c>
      <c r="B421" s="149" t="s">
        <v>5275</v>
      </c>
      <c r="C421" s="150" t="s">
        <v>463</v>
      </c>
      <c r="D421" s="240" t="s">
        <v>3824</v>
      </c>
      <c r="E421" s="590" t="s">
        <v>12642</v>
      </c>
      <c r="F421" s="203" t="s">
        <v>624</v>
      </c>
      <c r="G421" s="204" t="s">
        <v>625</v>
      </c>
      <c r="H421" s="204">
        <v>4</v>
      </c>
      <c r="I421" s="203" t="s">
        <v>3825</v>
      </c>
      <c r="J421" s="205" t="s">
        <v>8275</v>
      </c>
      <c r="K421" s="203" t="s">
        <v>5104</v>
      </c>
      <c r="L421" s="205" t="s">
        <v>8276</v>
      </c>
      <c r="M421" s="205" t="s">
        <v>463</v>
      </c>
      <c r="N421" s="204" t="s">
        <v>213</v>
      </c>
      <c r="O421" s="204" t="s">
        <v>11</v>
      </c>
      <c r="P421" s="206">
        <v>1000</v>
      </c>
      <c r="Q421" s="206">
        <v>380</v>
      </c>
      <c r="R421" s="207">
        <v>60000</v>
      </c>
      <c r="S421" s="207">
        <f t="shared" si="135"/>
        <v>22800000</v>
      </c>
      <c r="T421" s="589"/>
      <c r="U421" s="157">
        <v>60000</v>
      </c>
      <c r="V421" s="158">
        <f t="shared" si="146"/>
        <v>34996</v>
      </c>
      <c r="W421" s="159">
        <f t="shared" si="136"/>
        <v>25004</v>
      </c>
      <c r="X421" s="159">
        <f t="shared" si="137"/>
        <v>9501520</v>
      </c>
      <c r="Y421" s="160"/>
      <c r="Z421" s="160">
        <f t="shared" si="138"/>
        <v>0</v>
      </c>
      <c r="AA421" s="161"/>
      <c r="AB421" s="161">
        <f t="shared" si="139"/>
        <v>0</v>
      </c>
      <c r="AC421" s="162"/>
      <c r="AD421" s="162">
        <f t="shared" si="147"/>
        <v>0</v>
      </c>
      <c r="AE421" s="164"/>
      <c r="AF421" s="164">
        <f t="shared" si="148"/>
        <v>0</v>
      </c>
      <c r="AG421" s="165">
        <v>10024</v>
      </c>
      <c r="AH421" s="165">
        <f t="shared" si="149"/>
        <v>3809120</v>
      </c>
      <c r="AI421" s="166">
        <v>0</v>
      </c>
      <c r="AJ421" s="166">
        <f t="shared" si="150"/>
        <v>0</v>
      </c>
      <c r="AK421" s="162"/>
      <c r="AL421" s="162">
        <f t="shared" si="145"/>
        <v>0</v>
      </c>
      <c r="AM421" s="167"/>
      <c r="AN421" s="167">
        <f t="shared" si="140"/>
        <v>0</v>
      </c>
      <c r="AO421" s="163"/>
      <c r="AP421" s="163">
        <f t="shared" si="141"/>
        <v>0</v>
      </c>
      <c r="AQ421" s="168"/>
      <c r="AR421" s="168">
        <f t="shared" si="142"/>
        <v>0</v>
      </c>
      <c r="AS421" s="170">
        <v>14980</v>
      </c>
      <c r="AT421" s="170">
        <f t="shared" si="143"/>
        <v>5692400</v>
      </c>
      <c r="AU421" s="166"/>
      <c r="AV421" s="166">
        <f t="shared" si="144"/>
        <v>0</v>
      </c>
    </row>
    <row r="422" spans="1:48" s="131" customFormat="1">
      <c r="A422" s="148" t="s">
        <v>8277</v>
      </c>
      <c r="B422" s="149" t="s">
        <v>5275</v>
      </c>
      <c r="C422" s="150" t="s">
        <v>463</v>
      </c>
      <c r="D422" s="240" t="s">
        <v>3812</v>
      </c>
      <c r="E422" s="590" t="s">
        <v>12642</v>
      </c>
      <c r="F422" s="203" t="s">
        <v>624</v>
      </c>
      <c r="G422" s="204" t="s">
        <v>327</v>
      </c>
      <c r="H422" s="204">
        <v>4</v>
      </c>
      <c r="I422" s="203" t="s">
        <v>3827</v>
      </c>
      <c r="J422" s="205" t="s">
        <v>8278</v>
      </c>
      <c r="K422" s="203" t="s">
        <v>5104</v>
      </c>
      <c r="L422" s="205" t="s">
        <v>8279</v>
      </c>
      <c r="M422" s="205" t="s">
        <v>463</v>
      </c>
      <c r="N422" s="204" t="s">
        <v>213</v>
      </c>
      <c r="O422" s="204" t="s">
        <v>11</v>
      </c>
      <c r="P422" s="206">
        <v>1800</v>
      </c>
      <c r="Q422" s="206">
        <v>480</v>
      </c>
      <c r="R422" s="207">
        <v>40000</v>
      </c>
      <c r="S422" s="207">
        <f t="shared" si="135"/>
        <v>19200000</v>
      </c>
      <c r="T422" s="589"/>
      <c r="U422" s="157">
        <v>40000</v>
      </c>
      <c r="V422" s="158">
        <f t="shared" si="146"/>
        <v>31000</v>
      </c>
      <c r="W422" s="159">
        <f t="shared" si="136"/>
        <v>9000</v>
      </c>
      <c r="X422" s="159">
        <f t="shared" si="137"/>
        <v>4320000</v>
      </c>
      <c r="Y422" s="160"/>
      <c r="Z422" s="160">
        <f t="shared" si="138"/>
        <v>0</v>
      </c>
      <c r="AA422" s="161"/>
      <c r="AB422" s="161">
        <f t="shared" si="139"/>
        <v>0</v>
      </c>
      <c r="AC422" s="162"/>
      <c r="AD422" s="162">
        <f t="shared" si="147"/>
        <v>0</v>
      </c>
      <c r="AE422" s="164"/>
      <c r="AF422" s="164">
        <f t="shared" si="148"/>
        <v>0</v>
      </c>
      <c r="AG422" s="165"/>
      <c r="AH422" s="165">
        <f t="shared" si="149"/>
        <v>0</v>
      </c>
      <c r="AI422" s="166">
        <v>0</v>
      </c>
      <c r="AJ422" s="166">
        <f t="shared" si="150"/>
        <v>0</v>
      </c>
      <c r="AK422" s="162"/>
      <c r="AL422" s="162">
        <f t="shared" si="145"/>
        <v>0</v>
      </c>
      <c r="AM422" s="167">
        <v>9000</v>
      </c>
      <c r="AN422" s="167">
        <f t="shared" si="140"/>
        <v>4320000</v>
      </c>
      <c r="AO422" s="163"/>
      <c r="AP422" s="163">
        <f t="shared" si="141"/>
        <v>0</v>
      </c>
      <c r="AQ422" s="168"/>
      <c r="AR422" s="168">
        <f t="shared" si="142"/>
        <v>0</v>
      </c>
      <c r="AS422" s="170"/>
      <c r="AT422" s="170">
        <f t="shared" si="143"/>
        <v>0</v>
      </c>
      <c r="AU422" s="166"/>
      <c r="AV422" s="166">
        <f t="shared" si="144"/>
        <v>0</v>
      </c>
    </row>
    <row r="423" spans="1:48" s="227" customFormat="1">
      <c r="A423" s="172" t="s">
        <v>8295</v>
      </c>
      <c r="B423" s="149" t="s">
        <v>5275</v>
      </c>
      <c r="C423" s="150" t="s">
        <v>463</v>
      </c>
      <c r="D423" s="240" t="s">
        <v>4281</v>
      </c>
      <c r="E423" s="590" t="s">
        <v>12642</v>
      </c>
      <c r="F423" s="203" t="s">
        <v>645</v>
      </c>
      <c r="G423" s="204" t="s">
        <v>248</v>
      </c>
      <c r="H423" s="204">
        <v>4</v>
      </c>
      <c r="I423" s="203" t="s">
        <v>4282</v>
      </c>
      <c r="J423" s="205" t="s">
        <v>8296</v>
      </c>
      <c r="K423" s="203" t="s">
        <v>5104</v>
      </c>
      <c r="L423" s="205" t="s">
        <v>8297</v>
      </c>
      <c r="M423" s="205" t="s">
        <v>463</v>
      </c>
      <c r="N423" s="204" t="s">
        <v>213</v>
      </c>
      <c r="O423" s="204" t="s">
        <v>11</v>
      </c>
      <c r="P423" s="206">
        <v>2100</v>
      </c>
      <c r="Q423" s="206">
        <v>2090</v>
      </c>
      <c r="R423" s="207">
        <v>100000</v>
      </c>
      <c r="S423" s="207">
        <f t="shared" si="135"/>
        <v>209000000</v>
      </c>
      <c r="T423" s="589"/>
      <c r="U423" s="157">
        <v>100000</v>
      </c>
      <c r="V423" s="158">
        <f t="shared" si="146"/>
        <v>70000</v>
      </c>
      <c r="W423" s="159">
        <f t="shared" si="136"/>
        <v>30000</v>
      </c>
      <c r="X423" s="159">
        <f t="shared" si="137"/>
        <v>62700000</v>
      </c>
      <c r="Y423" s="160"/>
      <c r="Z423" s="160">
        <f t="shared" si="138"/>
        <v>0</v>
      </c>
      <c r="AA423" s="165"/>
      <c r="AB423" s="161">
        <f t="shared" si="139"/>
        <v>0</v>
      </c>
      <c r="AC423" s="162"/>
      <c r="AD423" s="162">
        <f t="shared" si="147"/>
        <v>0</v>
      </c>
      <c r="AE423" s="164"/>
      <c r="AF423" s="164">
        <f t="shared" si="148"/>
        <v>0</v>
      </c>
      <c r="AG423" s="165"/>
      <c r="AH423" s="165">
        <f t="shared" si="149"/>
        <v>0</v>
      </c>
      <c r="AI423" s="166">
        <v>0</v>
      </c>
      <c r="AJ423" s="166">
        <f t="shared" si="150"/>
        <v>0</v>
      </c>
      <c r="AK423" s="162"/>
      <c r="AL423" s="162">
        <f t="shared" si="145"/>
        <v>0</v>
      </c>
      <c r="AM423" s="173">
        <v>9000</v>
      </c>
      <c r="AN423" s="167">
        <f t="shared" si="140"/>
        <v>18810000</v>
      </c>
      <c r="AO423" s="163"/>
      <c r="AP423" s="163">
        <f t="shared" si="141"/>
        <v>0</v>
      </c>
      <c r="AQ423" s="168">
        <v>6000</v>
      </c>
      <c r="AR423" s="168">
        <f t="shared" si="142"/>
        <v>12540000</v>
      </c>
      <c r="AS423" s="170">
        <v>15000</v>
      </c>
      <c r="AT423" s="170">
        <f t="shared" si="143"/>
        <v>31350000</v>
      </c>
      <c r="AU423" s="166"/>
      <c r="AV423" s="166">
        <f t="shared" si="144"/>
        <v>0</v>
      </c>
    </row>
    <row r="424" spans="1:48" s="131" customFormat="1">
      <c r="A424" s="148" t="s">
        <v>8333</v>
      </c>
      <c r="B424" s="149" t="s">
        <v>5275</v>
      </c>
      <c r="C424" s="150" t="s">
        <v>463</v>
      </c>
      <c r="D424" s="240" t="s">
        <v>3919</v>
      </c>
      <c r="E424" s="590" t="s">
        <v>12642</v>
      </c>
      <c r="F424" s="203" t="s">
        <v>583</v>
      </c>
      <c r="G424" s="204" t="s">
        <v>390</v>
      </c>
      <c r="H424" s="204">
        <v>4</v>
      </c>
      <c r="I424" s="203" t="s">
        <v>3920</v>
      </c>
      <c r="J424" s="205" t="s">
        <v>8334</v>
      </c>
      <c r="K424" s="203" t="s">
        <v>5104</v>
      </c>
      <c r="L424" s="205" t="s">
        <v>8335</v>
      </c>
      <c r="M424" s="205" t="s">
        <v>463</v>
      </c>
      <c r="N424" s="204" t="s">
        <v>213</v>
      </c>
      <c r="O424" s="204" t="s">
        <v>11</v>
      </c>
      <c r="P424" s="206">
        <v>3990</v>
      </c>
      <c r="Q424" s="206">
        <v>1575</v>
      </c>
      <c r="R424" s="207">
        <v>80000</v>
      </c>
      <c r="S424" s="207">
        <f t="shared" si="135"/>
        <v>126000000</v>
      </c>
      <c r="T424" s="589"/>
      <c r="U424" s="157">
        <v>80000</v>
      </c>
      <c r="V424" s="158">
        <f t="shared" si="146"/>
        <v>50000</v>
      </c>
      <c r="W424" s="159">
        <f t="shared" si="136"/>
        <v>30000</v>
      </c>
      <c r="X424" s="159">
        <f t="shared" si="137"/>
        <v>47250000</v>
      </c>
      <c r="Y424" s="160"/>
      <c r="Z424" s="160">
        <f t="shared" si="138"/>
        <v>0</v>
      </c>
      <c r="AA424" s="165"/>
      <c r="AB424" s="161">
        <f t="shared" si="139"/>
        <v>0</v>
      </c>
      <c r="AC424" s="162"/>
      <c r="AD424" s="162">
        <f t="shared" si="147"/>
        <v>0</v>
      </c>
      <c r="AE424" s="164"/>
      <c r="AF424" s="164">
        <f t="shared" si="148"/>
        <v>0</v>
      </c>
      <c r="AG424" s="165">
        <f>11490+18510</f>
        <v>30000</v>
      </c>
      <c r="AH424" s="165">
        <f t="shared" si="149"/>
        <v>47250000</v>
      </c>
      <c r="AI424" s="166">
        <v>0</v>
      </c>
      <c r="AJ424" s="166">
        <f t="shared" si="150"/>
        <v>0</v>
      </c>
      <c r="AK424" s="162"/>
      <c r="AL424" s="162">
        <f t="shared" si="145"/>
        <v>0</v>
      </c>
      <c r="AM424" s="173"/>
      <c r="AN424" s="167">
        <f t="shared" si="140"/>
        <v>0</v>
      </c>
      <c r="AO424" s="163"/>
      <c r="AP424" s="163">
        <f t="shared" si="141"/>
        <v>0</v>
      </c>
      <c r="AQ424" s="168"/>
      <c r="AR424" s="168">
        <f t="shared" si="142"/>
        <v>0</v>
      </c>
      <c r="AS424" s="170"/>
      <c r="AT424" s="170">
        <f t="shared" si="143"/>
        <v>0</v>
      </c>
      <c r="AU424" s="166"/>
      <c r="AV424" s="166">
        <f t="shared" si="144"/>
        <v>0</v>
      </c>
    </row>
    <row r="425" spans="1:48" s="131" customFormat="1">
      <c r="A425" s="148" t="s">
        <v>8352</v>
      </c>
      <c r="B425" s="149" t="s">
        <v>5275</v>
      </c>
      <c r="C425" s="150" t="s">
        <v>463</v>
      </c>
      <c r="D425" s="240" t="s">
        <v>8353</v>
      </c>
      <c r="E425" s="590"/>
      <c r="F425" s="203" t="s">
        <v>868</v>
      </c>
      <c r="G425" s="204" t="s">
        <v>1343</v>
      </c>
      <c r="H425" s="204">
        <v>4</v>
      </c>
      <c r="I425" s="203" t="s">
        <v>8354</v>
      </c>
      <c r="J425" s="205" t="s">
        <v>8355</v>
      </c>
      <c r="K425" s="203" t="s">
        <v>5104</v>
      </c>
      <c r="L425" s="205" t="s">
        <v>8356</v>
      </c>
      <c r="M425" s="205" t="s">
        <v>463</v>
      </c>
      <c r="N425" s="204" t="s">
        <v>213</v>
      </c>
      <c r="O425" s="204" t="s">
        <v>11</v>
      </c>
      <c r="P425" s="206">
        <v>5200</v>
      </c>
      <c r="Q425" s="206">
        <v>4900</v>
      </c>
      <c r="R425" s="207">
        <v>40000</v>
      </c>
      <c r="S425" s="207">
        <f t="shared" si="135"/>
        <v>196000000</v>
      </c>
      <c r="T425" s="589"/>
      <c r="U425" s="157">
        <v>40000</v>
      </c>
      <c r="V425" s="158">
        <f t="shared" si="146"/>
        <v>40000</v>
      </c>
      <c r="W425" s="159">
        <f t="shared" si="136"/>
        <v>0</v>
      </c>
      <c r="X425" s="159">
        <f t="shared" si="137"/>
        <v>0</v>
      </c>
      <c r="Y425" s="160"/>
      <c r="Z425" s="160">
        <f t="shared" si="138"/>
        <v>0</v>
      </c>
      <c r="AA425" s="165"/>
      <c r="AB425" s="161">
        <f t="shared" si="139"/>
        <v>0</v>
      </c>
      <c r="AC425" s="162"/>
      <c r="AD425" s="162">
        <f t="shared" si="147"/>
        <v>0</v>
      </c>
      <c r="AE425" s="164"/>
      <c r="AF425" s="164">
        <f t="shared" si="148"/>
        <v>0</v>
      </c>
      <c r="AG425" s="165"/>
      <c r="AH425" s="165">
        <f t="shared" si="149"/>
        <v>0</v>
      </c>
      <c r="AI425" s="166">
        <v>0</v>
      </c>
      <c r="AJ425" s="166">
        <f t="shared" si="150"/>
        <v>0</v>
      </c>
      <c r="AK425" s="162"/>
      <c r="AL425" s="162">
        <f t="shared" si="145"/>
        <v>0</v>
      </c>
      <c r="AM425" s="173"/>
      <c r="AN425" s="167">
        <f t="shared" si="140"/>
        <v>0</v>
      </c>
      <c r="AO425" s="163"/>
      <c r="AP425" s="163">
        <f t="shared" si="141"/>
        <v>0</v>
      </c>
      <c r="AQ425" s="168"/>
      <c r="AR425" s="168">
        <f t="shared" si="142"/>
        <v>0</v>
      </c>
      <c r="AS425" s="170"/>
      <c r="AT425" s="170">
        <f t="shared" si="143"/>
        <v>0</v>
      </c>
      <c r="AU425" s="166"/>
      <c r="AV425" s="166">
        <f t="shared" si="144"/>
        <v>0</v>
      </c>
    </row>
    <row r="426" spans="1:48" s="131" customFormat="1" ht="31.5">
      <c r="A426" s="148" t="s">
        <v>6701</v>
      </c>
      <c r="B426" s="149" t="s">
        <v>6702</v>
      </c>
      <c r="C426" s="149" t="s">
        <v>6703</v>
      </c>
      <c r="D426" s="240" t="s">
        <v>3977</v>
      </c>
      <c r="E426" s="590" t="s">
        <v>12642</v>
      </c>
      <c r="F426" s="203" t="s">
        <v>3980</v>
      </c>
      <c r="G426" s="204" t="s">
        <v>3981</v>
      </c>
      <c r="H426" s="204">
        <v>2</v>
      </c>
      <c r="I426" s="203" t="s">
        <v>1278</v>
      </c>
      <c r="J426" s="205" t="s">
        <v>6704</v>
      </c>
      <c r="K426" s="203" t="s">
        <v>6705</v>
      </c>
      <c r="L426" s="205" t="s">
        <v>1280</v>
      </c>
      <c r="M426" s="205" t="s">
        <v>357</v>
      </c>
      <c r="N426" s="204" t="s">
        <v>5296</v>
      </c>
      <c r="O426" s="204" t="s">
        <v>11</v>
      </c>
      <c r="P426" s="206">
        <v>3550</v>
      </c>
      <c r="Q426" s="206">
        <v>3485</v>
      </c>
      <c r="R426" s="207">
        <v>20000</v>
      </c>
      <c r="S426" s="207">
        <f t="shared" si="135"/>
        <v>69700000</v>
      </c>
      <c r="T426" s="589"/>
      <c r="U426" s="157">
        <v>20000</v>
      </c>
      <c r="V426" s="158">
        <f t="shared" si="146"/>
        <v>10000</v>
      </c>
      <c r="W426" s="159">
        <f t="shared" si="136"/>
        <v>10000</v>
      </c>
      <c r="X426" s="159">
        <f t="shared" si="137"/>
        <v>34850000</v>
      </c>
      <c r="Y426" s="160"/>
      <c r="Z426" s="160">
        <f t="shared" si="138"/>
        <v>0</v>
      </c>
      <c r="AA426" s="165"/>
      <c r="AB426" s="161">
        <f t="shared" si="139"/>
        <v>0</v>
      </c>
      <c r="AC426" s="162"/>
      <c r="AD426" s="162">
        <f t="shared" si="147"/>
        <v>0</v>
      </c>
      <c r="AE426" s="163"/>
      <c r="AF426" s="164">
        <f t="shared" si="148"/>
        <v>0</v>
      </c>
      <c r="AG426" s="161"/>
      <c r="AH426" s="165">
        <f t="shared" si="149"/>
        <v>0</v>
      </c>
      <c r="AI426" s="160">
        <v>0</v>
      </c>
      <c r="AJ426" s="166">
        <f t="shared" si="150"/>
        <v>0</v>
      </c>
      <c r="AK426" s="162"/>
      <c r="AL426" s="162">
        <f t="shared" si="145"/>
        <v>0</v>
      </c>
      <c r="AM426" s="173">
        <v>5000</v>
      </c>
      <c r="AN426" s="167">
        <f t="shared" si="140"/>
        <v>17425000</v>
      </c>
      <c r="AO426" s="163"/>
      <c r="AP426" s="163">
        <f t="shared" si="141"/>
        <v>0</v>
      </c>
      <c r="AQ426" s="162"/>
      <c r="AR426" s="168">
        <f t="shared" si="142"/>
        <v>0</v>
      </c>
      <c r="AS426" s="169">
        <v>5000</v>
      </c>
      <c r="AT426" s="170">
        <f t="shared" si="143"/>
        <v>17425000</v>
      </c>
      <c r="AU426" s="160"/>
      <c r="AV426" s="166">
        <f t="shared" si="144"/>
        <v>0</v>
      </c>
    </row>
    <row r="427" spans="1:48" s="131" customFormat="1" ht="31.5">
      <c r="A427" s="148" t="s">
        <v>8321</v>
      </c>
      <c r="B427" s="149" t="s">
        <v>6702</v>
      </c>
      <c r="C427" s="149" t="s">
        <v>6703</v>
      </c>
      <c r="D427" s="240" t="s">
        <v>4090</v>
      </c>
      <c r="E427" s="590" t="s">
        <v>12642</v>
      </c>
      <c r="F427" s="203" t="s">
        <v>309</v>
      </c>
      <c r="G427" s="204" t="s">
        <v>229</v>
      </c>
      <c r="H427" s="204">
        <v>4</v>
      </c>
      <c r="I427" s="203" t="s">
        <v>4091</v>
      </c>
      <c r="J427" s="205" t="s">
        <v>8322</v>
      </c>
      <c r="K427" s="203" t="s">
        <v>5104</v>
      </c>
      <c r="L427" s="205" t="s">
        <v>8323</v>
      </c>
      <c r="M427" s="205" t="s">
        <v>8324</v>
      </c>
      <c r="N427" s="204" t="s">
        <v>5605</v>
      </c>
      <c r="O427" s="204" t="s">
        <v>11</v>
      </c>
      <c r="P427" s="206">
        <v>3000</v>
      </c>
      <c r="Q427" s="206">
        <v>2880</v>
      </c>
      <c r="R427" s="207">
        <v>80000</v>
      </c>
      <c r="S427" s="207">
        <f t="shared" si="135"/>
        <v>230400000</v>
      </c>
      <c r="T427" s="589"/>
      <c r="U427" s="157">
        <v>80000</v>
      </c>
      <c r="V427" s="158">
        <f t="shared" si="146"/>
        <v>50000</v>
      </c>
      <c r="W427" s="159">
        <f t="shared" si="136"/>
        <v>30000</v>
      </c>
      <c r="X427" s="159">
        <f t="shared" si="137"/>
        <v>86400000</v>
      </c>
      <c r="Y427" s="160"/>
      <c r="Z427" s="160">
        <f t="shared" si="138"/>
        <v>0</v>
      </c>
      <c r="AA427" s="165">
        <v>30000</v>
      </c>
      <c r="AB427" s="161">
        <f t="shared" si="139"/>
        <v>86400000</v>
      </c>
      <c r="AC427" s="162"/>
      <c r="AD427" s="162">
        <f t="shared" si="147"/>
        <v>0</v>
      </c>
      <c r="AE427" s="164"/>
      <c r="AF427" s="164">
        <f t="shared" si="148"/>
        <v>0</v>
      </c>
      <c r="AG427" s="165"/>
      <c r="AH427" s="165">
        <f t="shared" si="149"/>
        <v>0</v>
      </c>
      <c r="AI427" s="166">
        <v>0</v>
      </c>
      <c r="AJ427" s="166">
        <f t="shared" si="150"/>
        <v>0</v>
      </c>
      <c r="AK427" s="162"/>
      <c r="AL427" s="162">
        <f t="shared" si="145"/>
        <v>0</v>
      </c>
      <c r="AM427" s="173"/>
      <c r="AN427" s="167">
        <f t="shared" si="140"/>
        <v>0</v>
      </c>
      <c r="AO427" s="163"/>
      <c r="AP427" s="163">
        <f t="shared" si="141"/>
        <v>0</v>
      </c>
      <c r="AQ427" s="168"/>
      <c r="AR427" s="168">
        <f t="shared" si="142"/>
        <v>0</v>
      </c>
      <c r="AS427" s="170"/>
      <c r="AT427" s="170">
        <f t="shared" si="143"/>
        <v>0</v>
      </c>
      <c r="AU427" s="166"/>
      <c r="AV427" s="166">
        <f t="shared" si="144"/>
        <v>0</v>
      </c>
    </row>
    <row r="428" spans="1:48" s="131" customFormat="1" ht="31.5">
      <c r="A428" s="148" t="s">
        <v>8325</v>
      </c>
      <c r="B428" s="149" t="s">
        <v>6702</v>
      </c>
      <c r="C428" s="149" t="s">
        <v>6703</v>
      </c>
      <c r="D428" s="240" t="s">
        <v>8326</v>
      </c>
      <c r="E428" s="590" t="s">
        <v>12642</v>
      </c>
      <c r="F428" s="203" t="s">
        <v>1678</v>
      </c>
      <c r="G428" s="204" t="s">
        <v>1680</v>
      </c>
      <c r="H428" s="204">
        <v>4</v>
      </c>
      <c r="I428" s="203" t="s">
        <v>8327</v>
      </c>
      <c r="J428" s="205" t="s">
        <v>6478</v>
      </c>
      <c r="K428" s="203" t="s">
        <v>5535</v>
      </c>
      <c r="L428" s="205" t="s">
        <v>8328</v>
      </c>
      <c r="M428" s="205" t="s">
        <v>8329</v>
      </c>
      <c r="N428" s="204" t="s">
        <v>5605</v>
      </c>
      <c r="O428" s="204" t="s">
        <v>11</v>
      </c>
      <c r="P428" s="206">
        <v>3800</v>
      </c>
      <c r="Q428" s="206">
        <v>3800</v>
      </c>
      <c r="R428" s="207">
        <v>50000</v>
      </c>
      <c r="S428" s="207">
        <f t="shared" si="135"/>
        <v>190000000</v>
      </c>
      <c r="T428" s="589" t="s">
        <v>11</v>
      </c>
      <c r="U428" s="157">
        <v>50000</v>
      </c>
      <c r="V428" s="158">
        <f t="shared" si="146"/>
        <v>50000</v>
      </c>
      <c r="W428" s="159">
        <f t="shared" si="136"/>
        <v>0</v>
      </c>
      <c r="X428" s="159">
        <f t="shared" si="137"/>
        <v>0</v>
      </c>
      <c r="Y428" s="160"/>
      <c r="Z428" s="160">
        <f t="shared" si="138"/>
        <v>0</v>
      </c>
      <c r="AA428" s="165"/>
      <c r="AB428" s="161">
        <f t="shared" si="139"/>
        <v>0</v>
      </c>
      <c r="AC428" s="162"/>
      <c r="AD428" s="162">
        <f t="shared" si="147"/>
        <v>0</v>
      </c>
      <c r="AE428" s="164"/>
      <c r="AF428" s="164">
        <f t="shared" si="148"/>
        <v>0</v>
      </c>
      <c r="AG428" s="165"/>
      <c r="AH428" s="165">
        <f t="shared" si="149"/>
        <v>0</v>
      </c>
      <c r="AI428" s="166">
        <v>0</v>
      </c>
      <c r="AJ428" s="166">
        <f t="shared" si="150"/>
        <v>0</v>
      </c>
      <c r="AK428" s="162"/>
      <c r="AL428" s="162">
        <f t="shared" si="145"/>
        <v>0</v>
      </c>
      <c r="AM428" s="173"/>
      <c r="AN428" s="167">
        <f t="shared" si="140"/>
        <v>0</v>
      </c>
      <c r="AO428" s="163"/>
      <c r="AP428" s="163">
        <f t="shared" si="141"/>
        <v>0</v>
      </c>
      <c r="AQ428" s="168"/>
      <c r="AR428" s="168">
        <f t="shared" si="142"/>
        <v>0</v>
      </c>
      <c r="AS428" s="170"/>
      <c r="AT428" s="170">
        <f t="shared" si="143"/>
        <v>0</v>
      </c>
      <c r="AU428" s="166"/>
      <c r="AV428" s="166">
        <f t="shared" si="144"/>
        <v>0</v>
      </c>
    </row>
    <row r="429" spans="1:48" s="131" customFormat="1" ht="31.5">
      <c r="A429" s="172" t="s">
        <v>8447</v>
      </c>
      <c r="B429" s="149" t="s">
        <v>6702</v>
      </c>
      <c r="C429" s="149" t="s">
        <v>6703</v>
      </c>
      <c r="D429" s="240" t="s">
        <v>3979</v>
      </c>
      <c r="E429" s="590" t="s">
        <v>12642</v>
      </c>
      <c r="F429" s="203" t="s">
        <v>3980</v>
      </c>
      <c r="G429" s="204" t="s">
        <v>3981</v>
      </c>
      <c r="H429" s="204">
        <v>5</v>
      </c>
      <c r="I429" s="203" t="s">
        <v>1278</v>
      </c>
      <c r="J429" s="205" t="s">
        <v>6704</v>
      </c>
      <c r="K429" s="203" t="s">
        <v>6705</v>
      </c>
      <c r="L429" s="205" t="s">
        <v>1280</v>
      </c>
      <c r="M429" s="205" t="s">
        <v>357</v>
      </c>
      <c r="N429" s="204" t="s">
        <v>5296</v>
      </c>
      <c r="O429" s="204" t="s">
        <v>11</v>
      </c>
      <c r="P429" s="206">
        <v>3550</v>
      </c>
      <c r="Q429" s="206">
        <v>3485</v>
      </c>
      <c r="R429" s="207">
        <v>20000</v>
      </c>
      <c r="S429" s="207">
        <f t="shared" si="135"/>
        <v>69700000</v>
      </c>
      <c r="T429" s="589"/>
      <c r="U429" s="157">
        <v>20000</v>
      </c>
      <c r="V429" s="158">
        <f t="shared" si="146"/>
        <v>20000</v>
      </c>
      <c r="W429" s="159">
        <f t="shared" si="136"/>
        <v>0</v>
      </c>
      <c r="X429" s="159">
        <f t="shared" si="137"/>
        <v>0</v>
      </c>
      <c r="Y429" s="160"/>
      <c r="Z429" s="160">
        <f t="shared" si="138"/>
        <v>0</v>
      </c>
      <c r="AA429" s="165"/>
      <c r="AB429" s="161">
        <f t="shared" si="139"/>
        <v>0</v>
      </c>
      <c r="AC429" s="162"/>
      <c r="AD429" s="162">
        <f t="shared" si="147"/>
        <v>0</v>
      </c>
      <c r="AE429" s="163"/>
      <c r="AF429" s="164">
        <f t="shared" si="148"/>
        <v>0</v>
      </c>
      <c r="AG429" s="161"/>
      <c r="AH429" s="165">
        <f t="shared" si="149"/>
        <v>0</v>
      </c>
      <c r="AI429" s="160">
        <v>0</v>
      </c>
      <c r="AJ429" s="166">
        <f t="shared" si="150"/>
        <v>0</v>
      </c>
      <c r="AK429" s="162"/>
      <c r="AL429" s="162">
        <f t="shared" si="145"/>
        <v>0</v>
      </c>
      <c r="AM429" s="173"/>
      <c r="AN429" s="167">
        <f t="shared" si="140"/>
        <v>0</v>
      </c>
      <c r="AO429" s="163"/>
      <c r="AP429" s="163">
        <f t="shared" si="141"/>
        <v>0</v>
      </c>
      <c r="AQ429" s="162"/>
      <c r="AR429" s="168">
        <f t="shared" si="142"/>
        <v>0</v>
      </c>
      <c r="AS429" s="169"/>
      <c r="AT429" s="170">
        <f t="shared" si="143"/>
        <v>0</v>
      </c>
      <c r="AU429" s="160"/>
      <c r="AV429" s="166">
        <f t="shared" si="144"/>
        <v>0</v>
      </c>
    </row>
    <row r="430" spans="1:48" s="131" customFormat="1">
      <c r="A430" s="148" t="s">
        <v>7666</v>
      </c>
      <c r="B430" s="149" t="s">
        <v>7667</v>
      </c>
      <c r="C430" s="149" t="s">
        <v>7668</v>
      </c>
      <c r="D430" s="240" t="s">
        <v>3842</v>
      </c>
      <c r="E430" s="590"/>
      <c r="F430" s="203" t="s">
        <v>706</v>
      </c>
      <c r="G430" s="204" t="s">
        <v>390</v>
      </c>
      <c r="H430" s="204">
        <v>3</v>
      </c>
      <c r="I430" s="203" t="s">
        <v>3843</v>
      </c>
      <c r="J430" s="205" t="s">
        <v>6143</v>
      </c>
      <c r="K430" s="203" t="s">
        <v>253</v>
      </c>
      <c r="L430" s="205" t="s">
        <v>7669</v>
      </c>
      <c r="M430" s="205" t="s">
        <v>7670</v>
      </c>
      <c r="N430" s="204" t="s">
        <v>213</v>
      </c>
      <c r="O430" s="204" t="s">
        <v>11</v>
      </c>
      <c r="P430" s="206">
        <v>2000</v>
      </c>
      <c r="Q430" s="206">
        <v>1533</v>
      </c>
      <c r="R430" s="207">
        <v>10000</v>
      </c>
      <c r="S430" s="207">
        <f t="shared" si="135"/>
        <v>15330000</v>
      </c>
      <c r="T430" s="589"/>
      <c r="U430" s="157">
        <v>10000</v>
      </c>
      <c r="V430" s="158">
        <f t="shared" si="146"/>
        <v>10</v>
      </c>
      <c r="W430" s="159">
        <f t="shared" si="136"/>
        <v>9990</v>
      </c>
      <c r="X430" s="159">
        <f t="shared" si="137"/>
        <v>15314670</v>
      </c>
      <c r="Y430" s="160"/>
      <c r="Z430" s="160">
        <f t="shared" si="138"/>
        <v>0</v>
      </c>
      <c r="AA430" s="165">
        <v>6000</v>
      </c>
      <c r="AB430" s="161">
        <f t="shared" si="139"/>
        <v>9198000</v>
      </c>
      <c r="AC430" s="162"/>
      <c r="AD430" s="162">
        <f t="shared" si="147"/>
        <v>0</v>
      </c>
      <c r="AE430" s="164"/>
      <c r="AF430" s="164">
        <f t="shared" si="148"/>
        <v>0</v>
      </c>
      <c r="AG430" s="165">
        <v>3990</v>
      </c>
      <c r="AH430" s="165">
        <f t="shared" si="149"/>
        <v>6116670</v>
      </c>
      <c r="AI430" s="166">
        <v>0</v>
      </c>
      <c r="AJ430" s="166">
        <f t="shared" si="150"/>
        <v>0</v>
      </c>
      <c r="AK430" s="162"/>
      <c r="AL430" s="162">
        <f t="shared" si="145"/>
        <v>0</v>
      </c>
      <c r="AM430" s="173"/>
      <c r="AN430" s="167">
        <f t="shared" si="140"/>
        <v>0</v>
      </c>
      <c r="AO430" s="163"/>
      <c r="AP430" s="163">
        <f t="shared" si="141"/>
        <v>0</v>
      </c>
      <c r="AQ430" s="168"/>
      <c r="AR430" s="168">
        <f t="shared" si="142"/>
        <v>0</v>
      </c>
      <c r="AS430" s="170"/>
      <c r="AT430" s="170">
        <f t="shared" si="143"/>
        <v>0</v>
      </c>
      <c r="AU430" s="166"/>
      <c r="AV430" s="166">
        <f t="shared" si="144"/>
        <v>0</v>
      </c>
    </row>
    <row r="431" spans="1:48" s="131" customFormat="1" ht="31.5">
      <c r="A431" s="148" t="s">
        <v>5503</v>
      </c>
      <c r="B431" s="150" t="s">
        <v>5504</v>
      </c>
      <c r="C431" s="149" t="s">
        <v>449</v>
      </c>
      <c r="D431" s="634" t="s">
        <v>4913</v>
      </c>
      <c r="E431" s="631" t="s">
        <v>12642</v>
      </c>
      <c r="F431" s="175" t="s">
        <v>227</v>
      </c>
      <c r="G431" s="151" t="s">
        <v>272</v>
      </c>
      <c r="H431" s="174" t="s">
        <v>5325</v>
      </c>
      <c r="I431" s="150" t="s">
        <v>450</v>
      </c>
      <c r="J431" s="153" t="s">
        <v>5505</v>
      </c>
      <c r="K431" s="151" t="s">
        <v>253</v>
      </c>
      <c r="L431" s="151" t="s">
        <v>452</v>
      </c>
      <c r="M431" s="151" t="s">
        <v>449</v>
      </c>
      <c r="N431" s="152" t="s">
        <v>213</v>
      </c>
      <c r="O431" s="152" t="s">
        <v>12</v>
      </c>
      <c r="P431" s="176">
        <v>2020</v>
      </c>
      <c r="Q431" s="177">
        <v>1235</v>
      </c>
      <c r="R431" s="176">
        <v>296000</v>
      </c>
      <c r="S431" s="156">
        <f t="shared" si="135"/>
        <v>365560000</v>
      </c>
      <c r="T431" s="589"/>
      <c r="U431" s="157">
        <v>275408</v>
      </c>
      <c r="V431" s="158">
        <f t="shared" si="146"/>
        <v>275408</v>
      </c>
      <c r="W431" s="159">
        <f t="shared" si="136"/>
        <v>0</v>
      </c>
      <c r="X431" s="159">
        <f t="shared" si="137"/>
        <v>0</v>
      </c>
      <c r="Y431" s="160"/>
      <c r="Z431" s="160">
        <f t="shared" si="138"/>
        <v>0</v>
      </c>
      <c r="AA431" s="161"/>
      <c r="AB431" s="161">
        <f t="shared" si="139"/>
        <v>0</v>
      </c>
      <c r="AC431" s="162"/>
      <c r="AD431" s="162">
        <f t="shared" si="147"/>
        <v>0</v>
      </c>
      <c r="AE431" s="164"/>
      <c r="AF431" s="164">
        <f t="shared" si="148"/>
        <v>0</v>
      </c>
      <c r="AG431" s="165"/>
      <c r="AH431" s="165">
        <f t="shared" si="149"/>
        <v>0</v>
      </c>
      <c r="AI431" s="166">
        <v>0</v>
      </c>
      <c r="AJ431" s="166">
        <f t="shared" si="150"/>
        <v>0</v>
      </c>
      <c r="AK431" s="162"/>
      <c r="AL431" s="162">
        <f t="shared" si="145"/>
        <v>0</v>
      </c>
      <c r="AM431" s="167"/>
      <c r="AN431" s="167">
        <f t="shared" si="140"/>
        <v>0</v>
      </c>
      <c r="AO431" s="163"/>
      <c r="AP431" s="163">
        <f t="shared" si="141"/>
        <v>0</v>
      </c>
      <c r="AQ431" s="168"/>
      <c r="AR431" s="168">
        <f t="shared" si="142"/>
        <v>0</v>
      </c>
      <c r="AS431" s="170"/>
      <c r="AT431" s="170">
        <f t="shared" si="143"/>
        <v>0</v>
      </c>
      <c r="AU431" s="166"/>
      <c r="AV431" s="166">
        <f t="shared" si="144"/>
        <v>0</v>
      </c>
    </row>
    <row r="432" spans="1:48" s="131" customFormat="1" ht="31.5">
      <c r="A432" s="172" t="s">
        <v>7144</v>
      </c>
      <c r="B432" s="150" t="s">
        <v>5504</v>
      </c>
      <c r="C432" s="149" t="s">
        <v>449</v>
      </c>
      <c r="D432" s="240" t="s">
        <v>7145</v>
      </c>
      <c r="E432" s="590" t="s">
        <v>12643</v>
      </c>
      <c r="F432" s="203" t="s">
        <v>5059</v>
      </c>
      <c r="G432" s="204" t="s">
        <v>291</v>
      </c>
      <c r="H432" s="204">
        <v>3</v>
      </c>
      <c r="I432" s="203" t="s">
        <v>7146</v>
      </c>
      <c r="J432" s="205" t="s">
        <v>7147</v>
      </c>
      <c r="K432" s="203" t="s">
        <v>5104</v>
      </c>
      <c r="L432" s="205" t="s">
        <v>7148</v>
      </c>
      <c r="M432" s="205" t="s">
        <v>1429</v>
      </c>
      <c r="N432" s="204" t="s">
        <v>213</v>
      </c>
      <c r="O432" s="204" t="s">
        <v>11</v>
      </c>
      <c r="P432" s="206">
        <v>400</v>
      </c>
      <c r="Q432" s="206">
        <v>180</v>
      </c>
      <c r="R432" s="207">
        <v>10000</v>
      </c>
      <c r="S432" s="207">
        <f t="shared" si="135"/>
        <v>1800000</v>
      </c>
      <c r="T432" s="589"/>
      <c r="U432" s="157">
        <v>10000</v>
      </c>
      <c r="V432" s="158">
        <f t="shared" si="146"/>
        <v>10000</v>
      </c>
      <c r="W432" s="159">
        <f t="shared" si="136"/>
        <v>0</v>
      </c>
      <c r="X432" s="159">
        <f t="shared" si="137"/>
        <v>0</v>
      </c>
      <c r="Y432" s="160"/>
      <c r="Z432" s="160">
        <f t="shared" si="138"/>
        <v>0</v>
      </c>
      <c r="AA432" s="165"/>
      <c r="AB432" s="161">
        <f t="shared" si="139"/>
        <v>0</v>
      </c>
      <c r="AC432" s="162"/>
      <c r="AD432" s="162">
        <f t="shared" si="147"/>
        <v>0</v>
      </c>
      <c r="AE432" s="164"/>
      <c r="AF432" s="164">
        <f t="shared" si="148"/>
        <v>0</v>
      </c>
      <c r="AG432" s="165"/>
      <c r="AH432" s="165">
        <f t="shared" si="149"/>
        <v>0</v>
      </c>
      <c r="AI432" s="166">
        <v>0</v>
      </c>
      <c r="AJ432" s="166">
        <f t="shared" si="150"/>
        <v>0</v>
      </c>
      <c r="AK432" s="162"/>
      <c r="AL432" s="162">
        <f t="shared" si="145"/>
        <v>0</v>
      </c>
      <c r="AM432" s="173"/>
      <c r="AN432" s="167">
        <f t="shared" si="140"/>
        <v>0</v>
      </c>
      <c r="AO432" s="163"/>
      <c r="AP432" s="163">
        <f t="shared" si="141"/>
        <v>0</v>
      </c>
      <c r="AQ432" s="168"/>
      <c r="AR432" s="168">
        <f t="shared" si="142"/>
        <v>0</v>
      </c>
      <c r="AS432" s="170"/>
      <c r="AT432" s="170">
        <f t="shared" si="143"/>
        <v>0</v>
      </c>
      <c r="AU432" s="166"/>
      <c r="AV432" s="166">
        <f t="shared" si="144"/>
        <v>0</v>
      </c>
    </row>
    <row r="433" spans="1:48" s="131" customFormat="1" ht="31.5">
      <c r="A433" s="172" t="s">
        <v>7363</v>
      </c>
      <c r="B433" s="150" t="s">
        <v>5504</v>
      </c>
      <c r="C433" s="149" t="s">
        <v>449</v>
      </c>
      <c r="D433" s="240" t="s">
        <v>7364</v>
      </c>
      <c r="E433" s="590" t="s">
        <v>12642</v>
      </c>
      <c r="F433" s="203" t="s">
        <v>1335</v>
      </c>
      <c r="G433" s="204" t="s">
        <v>272</v>
      </c>
      <c r="H433" s="204">
        <v>3</v>
      </c>
      <c r="I433" s="203" t="s">
        <v>1921</v>
      </c>
      <c r="J433" s="205" t="s">
        <v>6792</v>
      </c>
      <c r="K433" s="203" t="s">
        <v>5104</v>
      </c>
      <c r="L433" s="205" t="s">
        <v>7365</v>
      </c>
      <c r="M433" s="205" t="s">
        <v>1429</v>
      </c>
      <c r="N433" s="204" t="s">
        <v>213</v>
      </c>
      <c r="O433" s="204" t="s">
        <v>11</v>
      </c>
      <c r="P433" s="206">
        <v>2200</v>
      </c>
      <c r="Q433" s="206">
        <v>737</v>
      </c>
      <c r="R433" s="207">
        <v>20000</v>
      </c>
      <c r="S433" s="207">
        <f t="shared" si="135"/>
        <v>14740000</v>
      </c>
      <c r="T433" s="589"/>
      <c r="U433" s="157">
        <v>20000</v>
      </c>
      <c r="V433" s="158">
        <f t="shared" si="146"/>
        <v>20000</v>
      </c>
      <c r="W433" s="159">
        <f t="shared" si="136"/>
        <v>0</v>
      </c>
      <c r="X433" s="159">
        <f t="shared" si="137"/>
        <v>0</v>
      </c>
      <c r="Y433" s="160"/>
      <c r="Z433" s="160">
        <f t="shared" si="138"/>
        <v>0</v>
      </c>
      <c r="AA433" s="165"/>
      <c r="AB433" s="161">
        <f t="shared" si="139"/>
        <v>0</v>
      </c>
      <c r="AC433" s="162"/>
      <c r="AD433" s="162">
        <f t="shared" si="147"/>
        <v>0</v>
      </c>
      <c r="AE433" s="164"/>
      <c r="AF433" s="164">
        <f t="shared" si="148"/>
        <v>0</v>
      </c>
      <c r="AG433" s="165"/>
      <c r="AH433" s="165">
        <f t="shared" si="149"/>
        <v>0</v>
      </c>
      <c r="AI433" s="166">
        <v>0</v>
      </c>
      <c r="AJ433" s="166">
        <f t="shared" si="150"/>
        <v>0</v>
      </c>
      <c r="AK433" s="162"/>
      <c r="AL433" s="162">
        <f t="shared" si="145"/>
        <v>0</v>
      </c>
      <c r="AM433" s="173"/>
      <c r="AN433" s="167">
        <f t="shared" si="140"/>
        <v>0</v>
      </c>
      <c r="AO433" s="163"/>
      <c r="AP433" s="163">
        <f t="shared" si="141"/>
        <v>0</v>
      </c>
      <c r="AQ433" s="168"/>
      <c r="AR433" s="168">
        <f t="shared" si="142"/>
        <v>0</v>
      </c>
      <c r="AS433" s="170"/>
      <c r="AT433" s="170">
        <f t="shared" si="143"/>
        <v>0</v>
      </c>
      <c r="AU433" s="166"/>
      <c r="AV433" s="166">
        <f t="shared" si="144"/>
        <v>0</v>
      </c>
    </row>
    <row r="434" spans="1:48" s="131" customFormat="1" ht="63">
      <c r="A434" s="148">
        <v>60</v>
      </c>
      <c r="B434" s="150" t="s">
        <v>5504</v>
      </c>
      <c r="C434" s="149" t="s">
        <v>449</v>
      </c>
      <c r="D434" s="250" t="s">
        <v>8774</v>
      </c>
      <c r="E434" s="241"/>
      <c r="F434" s="242" t="s">
        <v>8775</v>
      </c>
      <c r="G434" s="244" t="s">
        <v>1340</v>
      </c>
      <c r="H434" s="244" t="s">
        <v>211</v>
      </c>
      <c r="I434" s="244" t="s">
        <v>8776</v>
      </c>
      <c r="J434" s="244" t="s">
        <v>8777</v>
      </c>
      <c r="K434" s="244" t="s">
        <v>253</v>
      </c>
      <c r="L434" s="241" t="s">
        <v>8778</v>
      </c>
      <c r="M434" s="244" t="s">
        <v>1429</v>
      </c>
      <c r="N434" s="241" t="s">
        <v>213</v>
      </c>
      <c r="O434" s="241" t="s">
        <v>11</v>
      </c>
      <c r="P434" s="245">
        <v>650</v>
      </c>
      <c r="Q434" s="245">
        <v>370</v>
      </c>
      <c r="R434" s="246">
        <v>30000</v>
      </c>
      <c r="S434" s="245">
        <f t="shared" si="135"/>
        <v>11100000</v>
      </c>
      <c r="T434" s="589"/>
      <c r="U434" s="244"/>
      <c r="V434" s="247">
        <f>R434-W434</f>
        <v>30000</v>
      </c>
      <c r="W434" s="159">
        <f t="shared" si="136"/>
        <v>0</v>
      </c>
      <c r="X434" s="159">
        <f t="shared" si="137"/>
        <v>0</v>
      </c>
      <c r="Y434" s="248"/>
      <c r="Z434" s="160">
        <f t="shared" si="138"/>
        <v>0</v>
      </c>
      <c r="AA434" s="248"/>
      <c r="AB434" s="161">
        <f t="shared" si="139"/>
        <v>0</v>
      </c>
      <c r="AC434" s="249"/>
      <c r="AD434" s="249"/>
      <c r="AE434" s="249"/>
      <c r="AF434" s="249"/>
      <c r="AG434" s="249"/>
      <c r="AH434" s="249"/>
      <c r="AI434" s="249"/>
      <c r="AJ434" s="249"/>
      <c r="AK434" s="249"/>
      <c r="AL434" s="162">
        <f t="shared" si="145"/>
        <v>0</v>
      </c>
      <c r="AM434" s="249"/>
      <c r="AN434" s="167">
        <f t="shared" si="140"/>
        <v>0</v>
      </c>
      <c r="AO434" s="249"/>
      <c r="AP434" s="163">
        <f t="shared" si="141"/>
        <v>0</v>
      </c>
      <c r="AQ434" s="249"/>
      <c r="AR434" s="168">
        <f t="shared" si="142"/>
        <v>0</v>
      </c>
      <c r="AS434" s="249"/>
      <c r="AT434" s="170">
        <f t="shared" si="143"/>
        <v>0</v>
      </c>
      <c r="AU434" s="249"/>
      <c r="AV434" s="166">
        <f t="shared" si="144"/>
        <v>0</v>
      </c>
    </row>
    <row r="435" spans="1:48" s="131" customFormat="1" ht="31.5">
      <c r="A435" s="250">
        <v>86</v>
      </c>
      <c r="B435" s="150" t="s">
        <v>5504</v>
      </c>
      <c r="C435" s="149" t="s">
        <v>449</v>
      </c>
      <c r="D435" s="250" t="s">
        <v>8866</v>
      </c>
      <c r="E435" s="241"/>
      <c r="F435" s="242" t="s">
        <v>8867</v>
      </c>
      <c r="G435" s="244" t="s">
        <v>8868</v>
      </c>
      <c r="H435" s="244" t="s">
        <v>211</v>
      </c>
      <c r="I435" s="244" t="s">
        <v>8869</v>
      </c>
      <c r="J435" s="244" t="s">
        <v>8870</v>
      </c>
      <c r="K435" s="244" t="s">
        <v>253</v>
      </c>
      <c r="L435" s="241" t="s">
        <v>8871</v>
      </c>
      <c r="M435" s="244" t="s">
        <v>1429</v>
      </c>
      <c r="N435" s="241" t="s">
        <v>213</v>
      </c>
      <c r="O435" s="241" t="s">
        <v>11</v>
      </c>
      <c r="P435" s="245">
        <v>464</v>
      </c>
      <c r="Q435" s="245">
        <v>360</v>
      </c>
      <c r="R435" s="246">
        <v>30000</v>
      </c>
      <c r="S435" s="245">
        <f t="shared" si="135"/>
        <v>10800000</v>
      </c>
      <c r="T435" s="589"/>
      <c r="U435" s="244"/>
      <c r="V435" s="247">
        <f>R435-W435</f>
        <v>30000</v>
      </c>
      <c r="W435" s="159">
        <f t="shared" si="136"/>
        <v>0</v>
      </c>
      <c r="X435" s="159">
        <f t="shared" si="137"/>
        <v>0</v>
      </c>
      <c r="Y435" s="248"/>
      <c r="Z435" s="160">
        <f t="shared" si="138"/>
        <v>0</v>
      </c>
      <c r="AA435" s="248"/>
      <c r="AB435" s="161">
        <f t="shared" si="139"/>
        <v>0</v>
      </c>
      <c r="AC435" s="249"/>
      <c r="AD435" s="249"/>
      <c r="AE435" s="249"/>
      <c r="AF435" s="249"/>
      <c r="AG435" s="249"/>
      <c r="AH435" s="249"/>
      <c r="AI435" s="249"/>
      <c r="AJ435" s="249"/>
      <c r="AK435" s="249"/>
      <c r="AL435" s="162">
        <f t="shared" si="145"/>
        <v>0</v>
      </c>
      <c r="AM435" s="249"/>
      <c r="AN435" s="167">
        <f t="shared" si="140"/>
        <v>0</v>
      </c>
      <c r="AO435" s="249"/>
      <c r="AP435" s="163">
        <f t="shared" si="141"/>
        <v>0</v>
      </c>
      <c r="AQ435" s="249"/>
      <c r="AR435" s="168">
        <f t="shared" si="142"/>
        <v>0</v>
      </c>
      <c r="AS435" s="249"/>
      <c r="AT435" s="170">
        <f t="shared" si="143"/>
        <v>0</v>
      </c>
      <c r="AU435" s="249"/>
      <c r="AV435" s="166">
        <f t="shared" si="144"/>
        <v>0</v>
      </c>
    </row>
    <row r="436" spans="1:48" s="131" customFormat="1" ht="47.25">
      <c r="A436" s="148" t="s">
        <v>5668</v>
      </c>
      <c r="B436" s="149" t="s">
        <v>5669</v>
      </c>
      <c r="C436" s="149" t="s">
        <v>5670</v>
      </c>
      <c r="D436" s="603" t="s">
        <v>5671</v>
      </c>
      <c r="E436" s="588"/>
      <c r="F436" s="183" t="s">
        <v>5672</v>
      </c>
      <c r="G436" s="182" t="s">
        <v>327</v>
      </c>
      <c r="H436" s="182" t="s">
        <v>5325</v>
      </c>
      <c r="I436" s="184" t="s">
        <v>5673</v>
      </c>
      <c r="J436" s="182" t="s">
        <v>5674</v>
      </c>
      <c r="K436" s="153" t="s">
        <v>5104</v>
      </c>
      <c r="L436" s="153" t="s">
        <v>5675</v>
      </c>
      <c r="M436" s="153" t="s">
        <v>5676</v>
      </c>
      <c r="N436" s="94" t="s">
        <v>213</v>
      </c>
      <c r="O436" s="185" t="s">
        <v>10</v>
      </c>
      <c r="P436" s="186"/>
      <c r="Q436" s="186">
        <v>2068</v>
      </c>
      <c r="R436" s="187">
        <v>4000</v>
      </c>
      <c r="S436" s="186">
        <f t="shared" si="135"/>
        <v>8272000</v>
      </c>
      <c r="T436" s="589"/>
      <c r="U436" s="157">
        <v>4000</v>
      </c>
      <c r="V436" s="158">
        <f t="shared" ref="V436:V452" si="151">U436-W436</f>
        <v>4000</v>
      </c>
      <c r="W436" s="159">
        <f t="shared" si="136"/>
        <v>0</v>
      </c>
      <c r="X436" s="159">
        <f t="shared" si="137"/>
        <v>0</v>
      </c>
      <c r="Y436" s="160"/>
      <c r="Z436" s="160">
        <f t="shared" si="138"/>
        <v>0</v>
      </c>
      <c r="AA436" s="161"/>
      <c r="AB436" s="161">
        <f t="shared" si="139"/>
        <v>0</v>
      </c>
      <c r="AC436" s="162"/>
      <c r="AD436" s="162">
        <f t="shared" ref="AD436:AD452" si="152">AC436*Q436</f>
        <v>0</v>
      </c>
      <c r="AE436" s="164"/>
      <c r="AF436" s="164">
        <f t="shared" ref="AF436:AF452" si="153">AE436*Q436</f>
        <v>0</v>
      </c>
      <c r="AG436" s="165"/>
      <c r="AH436" s="165">
        <f t="shared" ref="AH436:AH452" si="154">AG436*Q436</f>
        <v>0</v>
      </c>
      <c r="AI436" s="166">
        <v>0</v>
      </c>
      <c r="AJ436" s="166">
        <f t="shared" ref="AJ436:AJ452" si="155">AI436*Q436</f>
        <v>0</v>
      </c>
      <c r="AK436" s="162"/>
      <c r="AL436" s="162">
        <f t="shared" si="145"/>
        <v>0</v>
      </c>
      <c r="AM436" s="167"/>
      <c r="AN436" s="167">
        <f t="shared" si="140"/>
        <v>0</v>
      </c>
      <c r="AO436" s="163"/>
      <c r="AP436" s="163">
        <f t="shared" si="141"/>
        <v>0</v>
      </c>
      <c r="AQ436" s="168"/>
      <c r="AR436" s="168">
        <f t="shared" si="142"/>
        <v>0</v>
      </c>
      <c r="AS436" s="170"/>
      <c r="AT436" s="170">
        <f t="shared" si="143"/>
        <v>0</v>
      </c>
      <c r="AU436" s="166"/>
      <c r="AV436" s="166">
        <f t="shared" si="144"/>
        <v>0</v>
      </c>
    </row>
    <row r="437" spans="1:48" s="131" customFormat="1" ht="31.5">
      <c r="A437" s="148" t="s">
        <v>5677</v>
      </c>
      <c r="B437" s="149" t="s">
        <v>5669</v>
      </c>
      <c r="C437" s="149" t="s">
        <v>5670</v>
      </c>
      <c r="D437" s="603" t="s">
        <v>5678</v>
      </c>
      <c r="E437" s="588"/>
      <c r="F437" s="183" t="s">
        <v>5672</v>
      </c>
      <c r="G437" s="182" t="s">
        <v>381</v>
      </c>
      <c r="H437" s="182" t="s">
        <v>5325</v>
      </c>
      <c r="I437" s="184" t="s">
        <v>5679</v>
      </c>
      <c r="J437" s="182" t="s">
        <v>5674</v>
      </c>
      <c r="K437" s="153" t="s">
        <v>5104</v>
      </c>
      <c r="L437" s="153" t="s">
        <v>5680</v>
      </c>
      <c r="M437" s="153" t="s">
        <v>5676</v>
      </c>
      <c r="N437" s="94" t="s">
        <v>213</v>
      </c>
      <c r="O437" s="185" t="s">
        <v>10</v>
      </c>
      <c r="P437" s="186"/>
      <c r="Q437" s="186">
        <v>4369</v>
      </c>
      <c r="R437" s="187">
        <v>4000</v>
      </c>
      <c r="S437" s="186">
        <f t="shared" si="135"/>
        <v>17476000</v>
      </c>
      <c r="T437" s="589"/>
      <c r="U437" s="157">
        <v>4000</v>
      </c>
      <c r="V437" s="158">
        <f t="shared" si="151"/>
        <v>4000</v>
      </c>
      <c r="W437" s="159">
        <f t="shared" si="136"/>
        <v>0</v>
      </c>
      <c r="X437" s="159">
        <f t="shared" si="137"/>
        <v>0</v>
      </c>
      <c r="Y437" s="160"/>
      <c r="Z437" s="160">
        <f t="shared" si="138"/>
        <v>0</v>
      </c>
      <c r="AA437" s="161"/>
      <c r="AB437" s="161">
        <f t="shared" si="139"/>
        <v>0</v>
      </c>
      <c r="AC437" s="162"/>
      <c r="AD437" s="162">
        <f t="shared" si="152"/>
        <v>0</v>
      </c>
      <c r="AE437" s="164"/>
      <c r="AF437" s="164">
        <f t="shared" si="153"/>
        <v>0</v>
      </c>
      <c r="AG437" s="165"/>
      <c r="AH437" s="165">
        <f t="shared" si="154"/>
        <v>0</v>
      </c>
      <c r="AI437" s="166">
        <v>0</v>
      </c>
      <c r="AJ437" s="166">
        <f t="shared" si="155"/>
        <v>0</v>
      </c>
      <c r="AK437" s="162"/>
      <c r="AL437" s="162">
        <f t="shared" si="145"/>
        <v>0</v>
      </c>
      <c r="AM437" s="167"/>
      <c r="AN437" s="167">
        <f t="shared" si="140"/>
        <v>0</v>
      </c>
      <c r="AO437" s="163"/>
      <c r="AP437" s="163">
        <f t="shared" si="141"/>
        <v>0</v>
      </c>
      <c r="AQ437" s="168"/>
      <c r="AR437" s="168">
        <f t="shared" si="142"/>
        <v>0</v>
      </c>
      <c r="AS437" s="170"/>
      <c r="AT437" s="170">
        <f t="shared" si="143"/>
        <v>0</v>
      </c>
      <c r="AU437" s="166"/>
      <c r="AV437" s="166">
        <f t="shared" si="144"/>
        <v>0</v>
      </c>
    </row>
    <row r="438" spans="1:48" s="131" customFormat="1" ht="31.5">
      <c r="A438" s="172" t="s">
        <v>5768</v>
      </c>
      <c r="B438" s="149" t="s">
        <v>5669</v>
      </c>
      <c r="C438" s="149" t="s">
        <v>5670</v>
      </c>
      <c r="D438" s="240" t="s">
        <v>5769</v>
      </c>
      <c r="E438" s="590" t="s">
        <v>12642</v>
      </c>
      <c r="F438" s="203" t="s">
        <v>1480</v>
      </c>
      <c r="G438" s="204" t="s">
        <v>310</v>
      </c>
      <c r="H438" s="204">
        <v>1</v>
      </c>
      <c r="I438" s="203" t="s">
        <v>5770</v>
      </c>
      <c r="J438" s="205" t="s">
        <v>5771</v>
      </c>
      <c r="K438" s="203" t="s">
        <v>5108</v>
      </c>
      <c r="L438" s="205" t="s">
        <v>5772</v>
      </c>
      <c r="M438" s="205" t="s">
        <v>1812</v>
      </c>
      <c r="N438" s="204" t="s">
        <v>5156</v>
      </c>
      <c r="O438" s="204" t="s">
        <v>11</v>
      </c>
      <c r="P438" s="206">
        <v>1500</v>
      </c>
      <c r="Q438" s="206">
        <v>1100</v>
      </c>
      <c r="R438" s="207">
        <v>80000</v>
      </c>
      <c r="S438" s="207">
        <f t="shared" si="135"/>
        <v>88000000</v>
      </c>
      <c r="T438" s="589" t="s">
        <v>11</v>
      </c>
      <c r="U438" s="157">
        <v>80000</v>
      </c>
      <c r="V438" s="158">
        <f t="shared" si="151"/>
        <v>71000</v>
      </c>
      <c r="W438" s="159">
        <f t="shared" si="136"/>
        <v>9000</v>
      </c>
      <c r="X438" s="159">
        <f t="shared" si="137"/>
        <v>9900000</v>
      </c>
      <c r="Y438" s="160"/>
      <c r="Z438" s="160">
        <f t="shared" si="138"/>
        <v>0</v>
      </c>
      <c r="AA438" s="165"/>
      <c r="AB438" s="161">
        <f t="shared" si="139"/>
        <v>0</v>
      </c>
      <c r="AC438" s="162"/>
      <c r="AD438" s="162">
        <f t="shared" si="152"/>
        <v>0</v>
      </c>
      <c r="AE438" s="164"/>
      <c r="AF438" s="164">
        <f t="shared" si="153"/>
        <v>0</v>
      </c>
      <c r="AG438" s="165"/>
      <c r="AH438" s="165">
        <f t="shared" si="154"/>
        <v>0</v>
      </c>
      <c r="AI438" s="166">
        <v>0</v>
      </c>
      <c r="AJ438" s="166">
        <f t="shared" si="155"/>
        <v>0</v>
      </c>
      <c r="AK438" s="162"/>
      <c r="AL438" s="162">
        <f t="shared" si="145"/>
        <v>0</v>
      </c>
      <c r="AM438" s="173"/>
      <c r="AN438" s="167">
        <f t="shared" si="140"/>
        <v>0</v>
      </c>
      <c r="AO438" s="163"/>
      <c r="AP438" s="163">
        <f t="shared" si="141"/>
        <v>0</v>
      </c>
      <c r="AQ438" s="168">
        <v>2000</v>
      </c>
      <c r="AR438" s="168">
        <f t="shared" si="142"/>
        <v>2200000</v>
      </c>
      <c r="AS438" s="170">
        <f>6500+500</f>
        <v>7000</v>
      </c>
      <c r="AT438" s="170">
        <f t="shared" si="143"/>
        <v>7700000</v>
      </c>
      <c r="AU438" s="166"/>
      <c r="AV438" s="166">
        <f t="shared" si="144"/>
        <v>0</v>
      </c>
    </row>
    <row r="439" spans="1:48" s="131" customFormat="1" ht="31.5">
      <c r="A439" s="148" t="s">
        <v>6111</v>
      </c>
      <c r="B439" s="149" t="s">
        <v>5669</v>
      </c>
      <c r="C439" s="149" t="s">
        <v>5670</v>
      </c>
      <c r="D439" s="240" t="s">
        <v>6112</v>
      </c>
      <c r="E439" s="590" t="s">
        <v>12642</v>
      </c>
      <c r="F439" s="203" t="s">
        <v>556</v>
      </c>
      <c r="G439" s="204" t="s">
        <v>238</v>
      </c>
      <c r="H439" s="204">
        <v>1</v>
      </c>
      <c r="I439" s="203" t="s">
        <v>3622</v>
      </c>
      <c r="J439" s="205" t="s">
        <v>6113</v>
      </c>
      <c r="K439" s="203" t="s">
        <v>5104</v>
      </c>
      <c r="L439" s="205" t="s">
        <v>6114</v>
      </c>
      <c r="M439" s="205" t="s">
        <v>6115</v>
      </c>
      <c r="N439" s="204" t="s">
        <v>213</v>
      </c>
      <c r="O439" s="204" t="s">
        <v>11</v>
      </c>
      <c r="P439" s="206">
        <v>2300</v>
      </c>
      <c r="Q439" s="206">
        <v>1990</v>
      </c>
      <c r="R439" s="207">
        <v>40000</v>
      </c>
      <c r="S439" s="207">
        <f t="shared" si="135"/>
        <v>79600000</v>
      </c>
      <c r="T439" s="589"/>
      <c r="U439" s="157">
        <v>40000</v>
      </c>
      <c r="V439" s="158">
        <f t="shared" si="151"/>
        <v>40000</v>
      </c>
      <c r="W439" s="159">
        <f t="shared" si="136"/>
        <v>0</v>
      </c>
      <c r="X439" s="159">
        <f t="shared" si="137"/>
        <v>0</v>
      </c>
      <c r="Y439" s="160"/>
      <c r="Z439" s="160">
        <f t="shared" si="138"/>
        <v>0</v>
      </c>
      <c r="AA439" s="165"/>
      <c r="AB439" s="161">
        <f t="shared" si="139"/>
        <v>0</v>
      </c>
      <c r="AC439" s="162"/>
      <c r="AD439" s="162">
        <f t="shared" si="152"/>
        <v>0</v>
      </c>
      <c r="AE439" s="163"/>
      <c r="AF439" s="164">
        <f t="shared" si="153"/>
        <v>0</v>
      </c>
      <c r="AG439" s="161"/>
      <c r="AH439" s="165">
        <f t="shared" si="154"/>
        <v>0</v>
      </c>
      <c r="AI439" s="160">
        <v>0</v>
      </c>
      <c r="AJ439" s="166">
        <f t="shared" si="155"/>
        <v>0</v>
      </c>
      <c r="AK439" s="162"/>
      <c r="AL439" s="162">
        <f t="shared" si="145"/>
        <v>0</v>
      </c>
      <c r="AM439" s="173"/>
      <c r="AN439" s="167">
        <f t="shared" si="140"/>
        <v>0</v>
      </c>
      <c r="AO439" s="163"/>
      <c r="AP439" s="163">
        <f t="shared" si="141"/>
        <v>0</v>
      </c>
      <c r="AQ439" s="162"/>
      <c r="AR439" s="168">
        <f t="shared" si="142"/>
        <v>0</v>
      </c>
      <c r="AS439" s="169"/>
      <c r="AT439" s="170">
        <f t="shared" si="143"/>
        <v>0</v>
      </c>
      <c r="AU439" s="160"/>
      <c r="AV439" s="166">
        <f t="shared" si="144"/>
        <v>0</v>
      </c>
    </row>
    <row r="440" spans="1:48" s="131" customFormat="1" ht="31.5">
      <c r="A440" s="172" t="s">
        <v>6186</v>
      </c>
      <c r="B440" s="149" t="s">
        <v>5669</v>
      </c>
      <c r="C440" s="149" t="s">
        <v>5670</v>
      </c>
      <c r="D440" s="240" t="s">
        <v>6187</v>
      </c>
      <c r="E440" s="590" t="s">
        <v>12642</v>
      </c>
      <c r="F440" s="203" t="s">
        <v>855</v>
      </c>
      <c r="G440" s="204" t="s">
        <v>1177</v>
      </c>
      <c r="H440" s="204">
        <v>1</v>
      </c>
      <c r="I440" s="203" t="s">
        <v>1176</v>
      </c>
      <c r="J440" s="205" t="s">
        <v>6188</v>
      </c>
      <c r="K440" s="203" t="s">
        <v>5104</v>
      </c>
      <c r="L440" s="205" t="s">
        <v>6189</v>
      </c>
      <c r="M440" s="205" t="s">
        <v>6190</v>
      </c>
      <c r="N440" s="204" t="s">
        <v>213</v>
      </c>
      <c r="O440" s="204" t="s">
        <v>11</v>
      </c>
      <c r="P440" s="206">
        <v>3000</v>
      </c>
      <c r="Q440" s="206">
        <v>2290</v>
      </c>
      <c r="R440" s="207">
        <v>50000</v>
      </c>
      <c r="S440" s="207">
        <f t="shared" si="135"/>
        <v>114500000</v>
      </c>
      <c r="T440" s="589"/>
      <c r="U440" s="157">
        <v>50000</v>
      </c>
      <c r="V440" s="158">
        <f t="shared" si="151"/>
        <v>50000</v>
      </c>
      <c r="W440" s="159">
        <f t="shared" si="136"/>
        <v>0</v>
      </c>
      <c r="X440" s="159">
        <f t="shared" si="137"/>
        <v>0</v>
      </c>
      <c r="Y440" s="160"/>
      <c r="Z440" s="160">
        <f t="shared" si="138"/>
        <v>0</v>
      </c>
      <c r="AA440" s="165"/>
      <c r="AB440" s="161">
        <f t="shared" si="139"/>
        <v>0</v>
      </c>
      <c r="AC440" s="162"/>
      <c r="AD440" s="162">
        <f t="shared" si="152"/>
        <v>0</v>
      </c>
      <c r="AE440" s="164"/>
      <c r="AF440" s="164">
        <f t="shared" si="153"/>
        <v>0</v>
      </c>
      <c r="AG440" s="165"/>
      <c r="AH440" s="165">
        <f t="shared" si="154"/>
        <v>0</v>
      </c>
      <c r="AI440" s="166">
        <v>0</v>
      </c>
      <c r="AJ440" s="166">
        <f t="shared" si="155"/>
        <v>0</v>
      </c>
      <c r="AK440" s="162"/>
      <c r="AL440" s="162">
        <f t="shared" si="145"/>
        <v>0</v>
      </c>
      <c r="AM440" s="173"/>
      <c r="AN440" s="167">
        <f t="shared" si="140"/>
        <v>0</v>
      </c>
      <c r="AO440" s="163"/>
      <c r="AP440" s="163">
        <f t="shared" si="141"/>
        <v>0</v>
      </c>
      <c r="AQ440" s="168"/>
      <c r="AR440" s="168">
        <f t="shared" si="142"/>
        <v>0</v>
      </c>
      <c r="AS440" s="170"/>
      <c r="AT440" s="170">
        <f t="shared" si="143"/>
        <v>0</v>
      </c>
      <c r="AU440" s="166"/>
      <c r="AV440" s="166">
        <f t="shared" si="144"/>
        <v>0</v>
      </c>
    </row>
    <row r="441" spans="1:48" s="131" customFormat="1" ht="31.5">
      <c r="A441" s="172" t="s">
        <v>6512</v>
      </c>
      <c r="B441" s="149" t="s">
        <v>5669</v>
      </c>
      <c r="C441" s="149" t="s">
        <v>5670</v>
      </c>
      <c r="D441" s="240" t="s">
        <v>5000</v>
      </c>
      <c r="E441" s="590" t="s">
        <v>12642</v>
      </c>
      <c r="F441" s="203" t="s">
        <v>1514</v>
      </c>
      <c r="G441" s="204" t="s">
        <v>1959</v>
      </c>
      <c r="H441" s="204">
        <v>2</v>
      </c>
      <c r="I441" s="203" t="s">
        <v>5001</v>
      </c>
      <c r="J441" s="205" t="s">
        <v>6513</v>
      </c>
      <c r="K441" s="203" t="s">
        <v>253</v>
      </c>
      <c r="L441" s="205" t="s">
        <v>6514</v>
      </c>
      <c r="M441" s="205" t="s">
        <v>6515</v>
      </c>
      <c r="N441" s="204" t="s">
        <v>213</v>
      </c>
      <c r="O441" s="204" t="s">
        <v>11</v>
      </c>
      <c r="P441" s="206">
        <v>3520</v>
      </c>
      <c r="Q441" s="206">
        <v>3500</v>
      </c>
      <c r="R441" s="207">
        <v>100000</v>
      </c>
      <c r="S441" s="207">
        <f t="shared" si="135"/>
        <v>350000000</v>
      </c>
      <c r="T441" s="589"/>
      <c r="U441" s="157">
        <v>100000</v>
      </c>
      <c r="V441" s="158">
        <f t="shared" si="151"/>
        <v>95700</v>
      </c>
      <c r="W441" s="159">
        <f t="shared" si="136"/>
        <v>4300</v>
      </c>
      <c r="X441" s="159">
        <f t="shared" si="137"/>
        <v>15050000</v>
      </c>
      <c r="Y441" s="160"/>
      <c r="Z441" s="160">
        <f t="shared" si="138"/>
        <v>0</v>
      </c>
      <c r="AA441" s="165">
        <f>1400+2900</f>
        <v>4300</v>
      </c>
      <c r="AB441" s="161">
        <f t="shared" si="139"/>
        <v>15050000</v>
      </c>
      <c r="AC441" s="162"/>
      <c r="AD441" s="162">
        <f t="shared" si="152"/>
        <v>0</v>
      </c>
      <c r="AE441" s="163"/>
      <c r="AF441" s="164">
        <f t="shared" si="153"/>
        <v>0</v>
      </c>
      <c r="AG441" s="161"/>
      <c r="AH441" s="165">
        <f t="shared" si="154"/>
        <v>0</v>
      </c>
      <c r="AI441" s="160">
        <v>0</v>
      </c>
      <c r="AJ441" s="166">
        <f t="shared" si="155"/>
        <v>0</v>
      </c>
      <c r="AK441" s="162"/>
      <c r="AL441" s="162">
        <f t="shared" si="145"/>
        <v>0</v>
      </c>
      <c r="AM441" s="173"/>
      <c r="AN441" s="167">
        <f t="shared" si="140"/>
        <v>0</v>
      </c>
      <c r="AO441" s="163"/>
      <c r="AP441" s="163">
        <f t="shared" si="141"/>
        <v>0</v>
      </c>
      <c r="AQ441" s="162"/>
      <c r="AR441" s="168">
        <f t="shared" si="142"/>
        <v>0</v>
      </c>
      <c r="AS441" s="169"/>
      <c r="AT441" s="170">
        <f t="shared" si="143"/>
        <v>0</v>
      </c>
      <c r="AU441" s="160"/>
      <c r="AV441" s="166">
        <f t="shared" si="144"/>
        <v>0</v>
      </c>
    </row>
    <row r="442" spans="1:48" s="131" customFormat="1" ht="31.5">
      <c r="A442" s="148" t="s">
        <v>6629</v>
      </c>
      <c r="B442" s="149" t="s">
        <v>5669</v>
      </c>
      <c r="C442" s="149" t="s">
        <v>5670</v>
      </c>
      <c r="D442" s="240" t="s">
        <v>6630</v>
      </c>
      <c r="E442" s="590"/>
      <c r="F442" s="203" t="s">
        <v>6006</v>
      </c>
      <c r="G442" s="204" t="s">
        <v>310</v>
      </c>
      <c r="H442" s="204">
        <v>2</v>
      </c>
      <c r="I442" s="203" t="s">
        <v>6631</v>
      </c>
      <c r="J442" s="205" t="s">
        <v>6632</v>
      </c>
      <c r="K442" s="203" t="s">
        <v>5104</v>
      </c>
      <c r="L442" s="205" t="s">
        <v>6633</v>
      </c>
      <c r="M442" s="205" t="s">
        <v>6634</v>
      </c>
      <c r="N442" s="204" t="s">
        <v>213</v>
      </c>
      <c r="O442" s="204" t="s">
        <v>11</v>
      </c>
      <c r="P442" s="206">
        <v>4000</v>
      </c>
      <c r="Q442" s="206">
        <v>4000</v>
      </c>
      <c r="R442" s="207">
        <v>10000</v>
      </c>
      <c r="S442" s="207">
        <f t="shared" si="135"/>
        <v>40000000</v>
      </c>
      <c r="T442" s="589"/>
      <c r="U442" s="157">
        <v>10000</v>
      </c>
      <c r="V442" s="158">
        <f t="shared" si="151"/>
        <v>10000</v>
      </c>
      <c r="W442" s="159">
        <f t="shared" si="136"/>
        <v>0</v>
      </c>
      <c r="X442" s="159">
        <f t="shared" si="137"/>
        <v>0</v>
      </c>
      <c r="Y442" s="160"/>
      <c r="Z442" s="160">
        <f t="shared" si="138"/>
        <v>0</v>
      </c>
      <c r="AA442" s="165"/>
      <c r="AB442" s="161">
        <f t="shared" si="139"/>
        <v>0</v>
      </c>
      <c r="AC442" s="162"/>
      <c r="AD442" s="162">
        <f t="shared" si="152"/>
        <v>0</v>
      </c>
      <c r="AE442" s="164"/>
      <c r="AF442" s="164">
        <f t="shared" si="153"/>
        <v>0</v>
      </c>
      <c r="AG442" s="165"/>
      <c r="AH442" s="165">
        <f t="shared" si="154"/>
        <v>0</v>
      </c>
      <c r="AI442" s="166">
        <v>0</v>
      </c>
      <c r="AJ442" s="166">
        <f t="shared" si="155"/>
        <v>0</v>
      </c>
      <c r="AK442" s="162"/>
      <c r="AL442" s="162">
        <f t="shared" si="145"/>
        <v>0</v>
      </c>
      <c r="AM442" s="173"/>
      <c r="AN442" s="167">
        <f t="shared" si="140"/>
        <v>0</v>
      </c>
      <c r="AO442" s="163"/>
      <c r="AP442" s="163">
        <f t="shared" si="141"/>
        <v>0</v>
      </c>
      <c r="AQ442" s="168"/>
      <c r="AR442" s="168">
        <f t="shared" si="142"/>
        <v>0</v>
      </c>
      <c r="AS442" s="170"/>
      <c r="AT442" s="170">
        <f t="shared" si="143"/>
        <v>0</v>
      </c>
      <c r="AU442" s="166"/>
      <c r="AV442" s="166">
        <f t="shared" si="144"/>
        <v>0</v>
      </c>
    </row>
    <row r="443" spans="1:48" s="131" customFormat="1" ht="31.5">
      <c r="A443" s="148" t="s">
        <v>7650</v>
      </c>
      <c r="B443" s="149" t="s">
        <v>5669</v>
      </c>
      <c r="C443" s="149" t="s">
        <v>5670</v>
      </c>
      <c r="D443" s="240" t="s">
        <v>4342</v>
      </c>
      <c r="E443" s="590" t="s">
        <v>12642</v>
      </c>
      <c r="F443" s="203" t="s">
        <v>750</v>
      </c>
      <c r="G443" s="204" t="s">
        <v>7651</v>
      </c>
      <c r="H443" s="204">
        <v>3</v>
      </c>
      <c r="I443" s="203" t="s">
        <v>7652</v>
      </c>
      <c r="J443" s="205" t="s">
        <v>7653</v>
      </c>
      <c r="K443" s="203" t="s">
        <v>5104</v>
      </c>
      <c r="L443" s="205" t="s">
        <v>7654</v>
      </c>
      <c r="M443" s="205" t="s">
        <v>7655</v>
      </c>
      <c r="N443" s="204" t="s">
        <v>213</v>
      </c>
      <c r="O443" s="204" t="s">
        <v>12</v>
      </c>
      <c r="P443" s="206">
        <v>1800</v>
      </c>
      <c r="Q443" s="206">
        <v>1800</v>
      </c>
      <c r="R443" s="207">
        <v>40000</v>
      </c>
      <c r="S443" s="207">
        <f t="shared" si="135"/>
        <v>72000000</v>
      </c>
      <c r="T443" s="589"/>
      <c r="U443" s="157">
        <v>40000</v>
      </c>
      <c r="V443" s="158">
        <f t="shared" si="151"/>
        <v>40000</v>
      </c>
      <c r="W443" s="159">
        <f t="shared" si="136"/>
        <v>0</v>
      </c>
      <c r="X443" s="159">
        <f t="shared" si="137"/>
        <v>0</v>
      </c>
      <c r="Y443" s="160"/>
      <c r="Z443" s="160">
        <f t="shared" si="138"/>
        <v>0</v>
      </c>
      <c r="AA443" s="165"/>
      <c r="AB443" s="161">
        <f t="shared" si="139"/>
        <v>0</v>
      </c>
      <c r="AC443" s="162"/>
      <c r="AD443" s="162">
        <f t="shared" si="152"/>
        <v>0</v>
      </c>
      <c r="AE443" s="163"/>
      <c r="AF443" s="164">
        <f t="shared" si="153"/>
        <v>0</v>
      </c>
      <c r="AG443" s="161"/>
      <c r="AH443" s="165">
        <f t="shared" si="154"/>
        <v>0</v>
      </c>
      <c r="AI443" s="160">
        <v>0</v>
      </c>
      <c r="AJ443" s="166">
        <f t="shared" si="155"/>
        <v>0</v>
      </c>
      <c r="AK443" s="162"/>
      <c r="AL443" s="162">
        <f t="shared" si="145"/>
        <v>0</v>
      </c>
      <c r="AM443" s="173"/>
      <c r="AN443" s="167">
        <f t="shared" si="140"/>
        <v>0</v>
      </c>
      <c r="AO443" s="163"/>
      <c r="AP443" s="163">
        <f t="shared" si="141"/>
        <v>0</v>
      </c>
      <c r="AQ443" s="162"/>
      <c r="AR443" s="168">
        <f t="shared" si="142"/>
        <v>0</v>
      </c>
      <c r="AS443" s="169"/>
      <c r="AT443" s="170">
        <f t="shared" si="143"/>
        <v>0</v>
      </c>
      <c r="AU443" s="160"/>
      <c r="AV443" s="166">
        <f t="shared" si="144"/>
        <v>0</v>
      </c>
    </row>
    <row r="444" spans="1:48" s="131" customFormat="1" ht="31.5">
      <c r="A444" s="172" t="s">
        <v>7671</v>
      </c>
      <c r="B444" s="149" t="s">
        <v>5669</v>
      </c>
      <c r="C444" s="149" t="s">
        <v>5670</v>
      </c>
      <c r="D444" s="240" t="s">
        <v>4097</v>
      </c>
      <c r="E444" s="590"/>
      <c r="F444" s="203" t="s">
        <v>706</v>
      </c>
      <c r="G444" s="204" t="s">
        <v>369</v>
      </c>
      <c r="H444" s="204">
        <v>3</v>
      </c>
      <c r="I444" s="203" t="s">
        <v>4098</v>
      </c>
      <c r="J444" s="205" t="s">
        <v>7672</v>
      </c>
      <c r="K444" s="203" t="s">
        <v>5104</v>
      </c>
      <c r="L444" s="205" t="s">
        <v>7673</v>
      </c>
      <c r="M444" s="205" t="s">
        <v>7674</v>
      </c>
      <c r="N444" s="204" t="s">
        <v>213</v>
      </c>
      <c r="O444" s="204" t="s">
        <v>11</v>
      </c>
      <c r="P444" s="206">
        <v>3500</v>
      </c>
      <c r="Q444" s="206">
        <v>639</v>
      </c>
      <c r="R444" s="207">
        <v>10000</v>
      </c>
      <c r="S444" s="207">
        <f t="shared" si="135"/>
        <v>6390000</v>
      </c>
      <c r="T444" s="589"/>
      <c r="U444" s="157">
        <v>10000</v>
      </c>
      <c r="V444" s="158">
        <f t="shared" si="151"/>
        <v>10</v>
      </c>
      <c r="W444" s="159">
        <f t="shared" si="136"/>
        <v>9990</v>
      </c>
      <c r="X444" s="159">
        <f t="shared" si="137"/>
        <v>6383610</v>
      </c>
      <c r="Y444" s="160"/>
      <c r="Z444" s="160">
        <f t="shared" si="138"/>
        <v>0</v>
      </c>
      <c r="AA444" s="165">
        <v>3000</v>
      </c>
      <c r="AB444" s="161">
        <f t="shared" si="139"/>
        <v>1917000</v>
      </c>
      <c r="AC444" s="162"/>
      <c r="AD444" s="162">
        <f t="shared" si="152"/>
        <v>0</v>
      </c>
      <c r="AE444" s="164"/>
      <c r="AF444" s="164">
        <f t="shared" si="153"/>
        <v>0</v>
      </c>
      <c r="AG444" s="165">
        <v>6990</v>
      </c>
      <c r="AH444" s="165">
        <f t="shared" si="154"/>
        <v>4466610</v>
      </c>
      <c r="AI444" s="166">
        <v>0</v>
      </c>
      <c r="AJ444" s="166">
        <f t="shared" si="155"/>
        <v>0</v>
      </c>
      <c r="AK444" s="162"/>
      <c r="AL444" s="162">
        <f t="shared" si="145"/>
        <v>0</v>
      </c>
      <c r="AM444" s="173"/>
      <c r="AN444" s="167">
        <f t="shared" si="140"/>
        <v>0</v>
      </c>
      <c r="AO444" s="163"/>
      <c r="AP444" s="163">
        <f t="shared" si="141"/>
        <v>0</v>
      </c>
      <c r="AQ444" s="168"/>
      <c r="AR444" s="168">
        <f t="shared" si="142"/>
        <v>0</v>
      </c>
      <c r="AS444" s="170"/>
      <c r="AT444" s="170">
        <f t="shared" si="143"/>
        <v>0</v>
      </c>
      <c r="AU444" s="166"/>
      <c r="AV444" s="166">
        <f t="shared" si="144"/>
        <v>0</v>
      </c>
    </row>
    <row r="445" spans="1:48" ht="31.5">
      <c r="A445" s="172" t="s">
        <v>7823</v>
      </c>
      <c r="B445" s="149" t="s">
        <v>5669</v>
      </c>
      <c r="C445" s="149" t="s">
        <v>5670</v>
      </c>
      <c r="D445" s="240" t="s">
        <v>4298</v>
      </c>
      <c r="E445" s="590"/>
      <c r="F445" s="203" t="s">
        <v>1167</v>
      </c>
      <c r="G445" s="204" t="s">
        <v>258</v>
      </c>
      <c r="H445" s="204">
        <v>3</v>
      </c>
      <c r="I445" s="203" t="s">
        <v>1168</v>
      </c>
      <c r="J445" s="205" t="s">
        <v>7824</v>
      </c>
      <c r="K445" s="203" t="s">
        <v>5104</v>
      </c>
      <c r="L445" s="205" t="s">
        <v>7825</v>
      </c>
      <c r="M445" s="205" t="s">
        <v>7674</v>
      </c>
      <c r="N445" s="204" t="s">
        <v>213</v>
      </c>
      <c r="O445" s="204" t="s">
        <v>11</v>
      </c>
      <c r="P445" s="206">
        <v>7000</v>
      </c>
      <c r="Q445" s="206">
        <v>3990</v>
      </c>
      <c r="R445" s="207">
        <v>10000</v>
      </c>
      <c r="S445" s="207">
        <f t="shared" si="135"/>
        <v>39900000</v>
      </c>
      <c r="T445" s="589"/>
      <c r="U445" s="157">
        <v>10000</v>
      </c>
      <c r="V445" s="158">
        <f t="shared" si="151"/>
        <v>7000</v>
      </c>
      <c r="W445" s="159">
        <f t="shared" si="136"/>
        <v>3000</v>
      </c>
      <c r="X445" s="159">
        <f t="shared" si="137"/>
        <v>11970000</v>
      </c>
      <c r="Y445" s="160"/>
      <c r="Z445" s="160">
        <f t="shared" si="138"/>
        <v>0</v>
      </c>
      <c r="AA445" s="165"/>
      <c r="AB445" s="161">
        <f t="shared" si="139"/>
        <v>0</v>
      </c>
      <c r="AC445" s="162"/>
      <c r="AD445" s="162">
        <f t="shared" si="152"/>
        <v>0</v>
      </c>
      <c r="AE445" s="164"/>
      <c r="AF445" s="164">
        <f t="shared" si="153"/>
        <v>0</v>
      </c>
      <c r="AG445" s="165"/>
      <c r="AH445" s="165">
        <f t="shared" si="154"/>
        <v>0</v>
      </c>
      <c r="AI445" s="166">
        <v>3000</v>
      </c>
      <c r="AJ445" s="166">
        <f t="shared" si="155"/>
        <v>11970000</v>
      </c>
      <c r="AK445" s="162"/>
      <c r="AL445" s="162">
        <f t="shared" si="145"/>
        <v>0</v>
      </c>
      <c r="AM445" s="173"/>
      <c r="AN445" s="167">
        <f t="shared" si="140"/>
        <v>0</v>
      </c>
      <c r="AO445" s="163"/>
      <c r="AP445" s="163">
        <f t="shared" si="141"/>
        <v>0</v>
      </c>
      <c r="AQ445" s="168"/>
      <c r="AR445" s="168">
        <f t="shared" si="142"/>
        <v>0</v>
      </c>
      <c r="AS445" s="170"/>
      <c r="AT445" s="170">
        <f t="shared" si="143"/>
        <v>0</v>
      </c>
      <c r="AU445" s="166"/>
      <c r="AV445" s="166">
        <f t="shared" si="144"/>
        <v>0</v>
      </c>
    </row>
    <row r="446" spans="1:48" ht="31.5">
      <c r="A446" s="148" t="s">
        <v>7880</v>
      </c>
      <c r="B446" s="149" t="s">
        <v>5669</v>
      </c>
      <c r="C446" s="149" t="s">
        <v>5670</v>
      </c>
      <c r="D446" s="240" t="s">
        <v>4108</v>
      </c>
      <c r="E446" s="590" t="s">
        <v>12642</v>
      </c>
      <c r="F446" s="203" t="s">
        <v>1982</v>
      </c>
      <c r="G446" s="204" t="s">
        <v>7881</v>
      </c>
      <c r="H446" s="204">
        <v>3</v>
      </c>
      <c r="I446" s="203" t="s">
        <v>7882</v>
      </c>
      <c r="J446" s="205" t="s">
        <v>7883</v>
      </c>
      <c r="K446" s="203" t="s">
        <v>253</v>
      </c>
      <c r="L446" s="205" t="s">
        <v>7884</v>
      </c>
      <c r="M446" s="205" t="s">
        <v>7103</v>
      </c>
      <c r="N446" s="204" t="s">
        <v>213</v>
      </c>
      <c r="O446" s="204" t="s">
        <v>12</v>
      </c>
      <c r="P446" s="206">
        <v>3500</v>
      </c>
      <c r="Q446" s="206">
        <v>2690</v>
      </c>
      <c r="R446" s="207">
        <v>60000</v>
      </c>
      <c r="S446" s="207">
        <f t="shared" si="135"/>
        <v>161400000</v>
      </c>
      <c r="T446" s="589"/>
      <c r="U446" s="157">
        <v>60000</v>
      </c>
      <c r="V446" s="158">
        <f t="shared" si="151"/>
        <v>60000</v>
      </c>
      <c r="W446" s="159">
        <f t="shared" si="136"/>
        <v>0</v>
      </c>
      <c r="X446" s="159">
        <f t="shared" si="137"/>
        <v>0</v>
      </c>
      <c r="Y446" s="160"/>
      <c r="Z446" s="160">
        <f t="shared" si="138"/>
        <v>0</v>
      </c>
      <c r="AA446" s="165"/>
      <c r="AB446" s="161">
        <f t="shared" si="139"/>
        <v>0</v>
      </c>
      <c r="AC446" s="162"/>
      <c r="AD446" s="162">
        <f t="shared" si="152"/>
        <v>0</v>
      </c>
      <c r="AE446" s="163"/>
      <c r="AF446" s="164">
        <f t="shared" si="153"/>
        <v>0</v>
      </c>
      <c r="AG446" s="161"/>
      <c r="AH446" s="165">
        <f t="shared" si="154"/>
        <v>0</v>
      </c>
      <c r="AI446" s="160">
        <v>0</v>
      </c>
      <c r="AJ446" s="166">
        <f t="shared" si="155"/>
        <v>0</v>
      </c>
      <c r="AK446" s="162"/>
      <c r="AL446" s="162">
        <f t="shared" si="145"/>
        <v>0</v>
      </c>
      <c r="AM446" s="173"/>
      <c r="AN446" s="167">
        <f t="shared" si="140"/>
        <v>0</v>
      </c>
      <c r="AO446" s="163"/>
      <c r="AP446" s="163">
        <f t="shared" si="141"/>
        <v>0</v>
      </c>
      <c r="AQ446" s="162"/>
      <c r="AR446" s="168">
        <f t="shared" si="142"/>
        <v>0</v>
      </c>
      <c r="AS446" s="169"/>
      <c r="AT446" s="170">
        <f t="shared" si="143"/>
        <v>0</v>
      </c>
      <c r="AU446" s="160"/>
      <c r="AV446" s="166">
        <f t="shared" si="144"/>
        <v>0</v>
      </c>
    </row>
    <row r="447" spans="1:48" ht="31.5">
      <c r="A447" s="172" t="s">
        <v>8005</v>
      </c>
      <c r="B447" s="149" t="s">
        <v>5669</v>
      </c>
      <c r="C447" s="149" t="s">
        <v>5670</v>
      </c>
      <c r="D447" s="240" t="s">
        <v>3951</v>
      </c>
      <c r="E447" s="590" t="s">
        <v>12642</v>
      </c>
      <c r="F447" s="203" t="s">
        <v>3953</v>
      </c>
      <c r="G447" s="204" t="s">
        <v>3954</v>
      </c>
      <c r="H447" s="204">
        <v>3</v>
      </c>
      <c r="I447" s="203" t="s">
        <v>3952</v>
      </c>
      <c r="J447" s="205" t="s">
        <v>8006</v>
      </c>
      <c r="K447" s="203" t="s">
        <v>253</v>
      </c>
      <c r="L447" s="205" t="s">
        <v>8007</v>
      </c>
      <c r="M447" s="205" t="s">
        <v>1151</v>
      </c>
      <c r="N447" s="204" t="s">
        <v>213</v>
      </c>
      <c r="O447" s="204" t="s">
        <v>520</v>
      </c>
      <c r="P447" s="206">
        <v>5565</v>
      </c>
      <c r="Q447" s="206">
        <v>5500</v>
      </c>
      <c r="R447" s="207">
        <v>50000</v>
      </c>
      <c r="S447" s="207">
        <f t="shared" si="135"/>
        <v>275000000</v>
      </c>
      <c r="T447" s="589"/>
      <c r="U447" s="157">
        <v>50000</v>
      </c>
      <c r="V447" s="158">
        <f t="shared" si="151"/>
        <v>44800</v>
      </c>
      <c r="W447" s="159">
        <f t="shared" si="136"/>
        <v>5200</v>
      </c>
      <c r="X447" s="159">
        <f t="shared" si="137"/>
        <v>28600000</v>
      </c>
      <c r="Y447" s="160"/>
      <c r="Z447" s="160">
        <f t="shared" si="138"/>
        <v>0</v>
      </c>
      <c r="AA447" s="165"/>
      <c r="AB447" s="161">
        <f t="shared" si="139"/>
        <v>0</v>
      </c>
      <c r="AC447" s="162"/>
      <c r="AD447" s="162">
        <f t="shared" si="152"/>
        <v>0</v>
      </c>
      <c r="AE447" s="163"/>
      <c r="AF447" s="164">
        <f t="shared" si="153"/>
        <v>0</v>
      </c>
      <c r="AG447" s="161"/>
      <c r="AH447" s="165">
        <f t="shared" si="154"/>
        <v>0</v>
      </c>
      <c r="AI447" s="160">
        <v>0</v>
      </c>
      <c r="AJ447" s="166">
        <f t="shared" si="155"/>
        <v>0</v>
      </c>
      <c r="AK447" s="162"/>
      <c r="AL447" s="162">
        <f t="shared" si="145"/>
        <v>0</v>
      </c>
      <c r="AM447" s="173"/>
      <c r="AN447" s="167">
        <f t="shared" si="140"/>
        <v>0</v>
      </c>
      <c r="AO447" s="163">
        <v>3200</v>
      </c>
      <c r="AP447" s="163">
        <f t="shared" si="141"/>
        <v>17600000</v>
      </c>
      <c r="AQ447" s="162"/>
      <c r="AR447" s="168">
        <f t="shared" si="142"/>
        <v>0</v>
      </c>
      <c r="AS447" s="169">
        <v>2000</v>
      </c>
      <c r="AT447" s="170">
        <f t="shared" si="143"/>
        <v>11000000</v>
      </c>
      <c r="AU447" s="160"/>
      <c r="AV447" s="166">
        <f t="shared" si="144"/>
        <v>0</v>
      </c>
    </row>
    <row r="448" spans="1:48" ht="31.5">
      <c r="A448" s="172" t="s">
        <v>8016</v>
      </c>
      <c r="B448" s="149" t="s">
        <v>5669</v>
      </c>
      <c r="C448" s="149" t="s">
        <v>5670</v>
      </c>
      <c r="D448" s="240" t="s">
        <v>8017</v>
      </c>
      <c r="E448" s="590" t="s">
        <v>12642</v>
      </c>
      <c r="F448" s="203" t="s">
        <v>1585</v>
      </c>
      <c r="G448" s="204" t="s">
        <v>1587</v>
      </c>
      <c r="H448" s="204">
        <v>3</v>
      </c>
      <c r="I448" s="203" t="s">
        <v>8018</v>
      </c>
      <c r="J448" s="205" t="s">
        <v>8019</v>
      </c>
      <c r="K448" s="203" t="s">
        <v>5104</v>
      </c>
      <c r="L448" s="205" t="s">
        <v>8020</v>
      </c>
      <c r="M448" s="205" t="s">
        <v>7674</v>
      </c>
      <c r="N448" s="204" t="s">
        <v>213</v>
      </c>
      <c r="O448" s="204" t="s">
        <v>12</v>
      </c>
      <c r="P448" s="206">
        <v>6500</v>
      </c>
      <c r="Q448" s="206">
        <v>6450</v>
      </c>
      <c r="R448" s="207">
        <v>20000</v>
      </c>
      <c r="S448" s="207">
        <f t="shared" si="135"/>
        <v>129000000</v>
      </c>
      <c r="T448" s="589" t="s">
        <v>12</v>
      </c>
      <c r="U448" s="157">
        <v>20000</v>
      </c>
      <c r="V448" s="158">
        <f t="shared" si="151"/>
        <v>20000</v>
      </c>
      <c r="W448" s="159">
        <f t="shared" si="136"/>
        <v>0</v>
      </c>
      <c r="X448" s="159">
        <f t="shared" si="137"/>
        <v>0</v>
      </c>
      <c r="Y448" s="160"/>
      <c r="Z448" s="160">
        <f t="shared" si="138"/>
        <v>0</v>
      </c>
      <c r="AA448" s="165"/>
      <c r="AB448" s="161">
        <f t="shared" si="139"/>
        <v>0</v>
      </c>
      <c r="AC448" s="162"/>
      <c r="AD448" s="162">
        <f t="shared" si="152"/>
        <v>0</v>
      </c>
      <c r="AE448" s="164"/>
      <c r="AF448" s="164">
        <f t="shared" si="153"/>
        <v>0</v>
      </c>
      <c r="AG448" s="165"/>
      <c r="AH448" s="165">
        <f t="shared" si="154"/>
        <v>0</v>
      </c>
      <c r="AI448" s="166">
        <v>0</v>
      </c>
      <c r="AJ448" s="166">
        <f t="shared" si="155"/>
        <v>0</v>
      </c>
      <c r="AK448" s="162"/>
      <c r="AL448" s="162">
        <f t="shared" si="145"/>
        <v>0</v>
      </c>
      <c r="AM448" s="173"/>
      <c r="AN448" s="167">
        <f t="shared" si="140"/>
        <v>0</v>
      </c>
      <c r="AO448" s="163"/>
      <c r="AP448" s="163">
        <f t="shared" si="141"/>
        <v>0</v>
      </c>
      <c r="AQ448" s="168"/>
      <c r="AR448" s="168">
        <f t="shared" si="142"/>
        <v>0</v>
      </c>
      <c r="AS448" s="170"/>
      <c r="AT448" s="170">
        <f t="shared" si="143"/>
        <v>0</v>
      </c>
      <c r="AU448" s="166"/>
      <c r="AV448" s="166">
        <f t="shared" si="144"/>
        <v>0</v>
      </c>
    </row>
    <row r="449" spans="1:48" ht="31.5">
      <c r="A449" s="148" t="s">
        <v>8062</v>
      </c>
      <c r="B449" s="149" t="s">
        <v>5669</v>
      </c>
      <c r="C449" s="149" t="s">
        <v>5670</v>
      </c>
      <c r="D449" s="240" t="s">
        <v>8063</v>
      </c>
      <c r="E449" s="590" t="s">
        <v>12643</v>
      </c>
      <c r="F449" s="203" t="s">
        <v>576</v>
      </c>
      <c r="G449" s="204" t="s">
        <v>2050</v>
      </c>
      <c r="H449" s="204">
        <v>3</v>
      </c>
      <c r="I449" s="203" t="s">
        <v>8064</v>
      </c>
      <c r="J449" s="205" t="s">
        <v>8065</v>
      </c>
      <c r="K449" s="203" t="s">
        <v>5104</v>
      </c>
      <c r="L449" s="205" t="s">
        <v>8066</v>
      </c>
      <c r="M449" s="205" t="s">
        <v>336</v>
      </c>
      <c r="N449" s="204" t="s">
        <v>213</v>
      </c>
      <c r="O449" s="204" t="s">
        <v>12</v>
      </c>
      <c r="P449" s="206">
        <v>2100</v>
      </c>
      <c r="Q449" s="206">
        <v>2100</v>
      </c>
      <c r="R449" s="207">
        <v>10000</v>
      </c>
      <c r="S449" s="207">
        <f t="shared" si="135"/>
        <v>21000000</v>
      </c>
      <c r="T449" s="589"/>
      <c r="U449" s="157">
        <v>10000</v>
      </c>
      <c r="V449" s="158">
        <f t="shared" si="151"/>
        <v>10000</v>
      </c>
      <c r="W449" s="159">
        <f t="shared" si="136"/>
        <v>0</v>
      </c>
      <c r="X449" s="159">
        <f t="shared" si="137"/>
        <v>0</v>
      </c>
      <c r="Y449" s="160"/>
      <c r="Z449" s="160">
        <f t="shared" si="138"/>
        <v>0</v>
      </c>
      <c r="AA449" s="165"/>
      <c r="AB449" s="161">
        <f t="shared" si="139"/>
        <v>0</v>
      </c>
      <c r="AC449" s="162"/>
      <c r="AD449" s="162">
        <f t="shared" si="152"/>
        <v>0</v>
      </c>
      <c r="AE449" s="164"/>
      <c r="AF449" s="164">
        <f t="shared" si="153"/>
        <v>0</v>
      </c>
      <c r="AG449" s="165"/>
      <c r="AH449" s="165">
        <f t="shared" si="154"/>
        <v>0</v>
      </c>
      <c r="AI449" s="166">
        <v>0</v>
      </c>
      <c r="AJ449" s="166">
        <f t="shared" si="155"/>
        <v>0</v>
      </c>
      <c r="AK449" s="162"/>
      <c r="AL449" s="162">
        <f t="shared" si="145"/>
        <v>0</v>
      </c>
      <c r="AM449" s="173"/>
      <c r="AN449" s="167">
        <f t="shared" si="140"/>
        <v>0</v>
      </c>
      <c r="AO449" s="163"/>
      <c r="AP449" s="163">
        <f t="shared" si="141"/>
        <v>0</v>
      </c>
      <c r="AQ449" s="168"/>
      <c r="AR449" s="168">
        <f t="shared" si="142"/>
        <v>0</v>
      </c>
      <c r="AS449" s="170"/>
      <c r="AT449" s="170">
        <f t="shared" si="143"/>
        <v>0</v>
      </c>
      <c r="AU449" s="166"/>
      <c r="AV449" s="166">
        <f t="shared" si="144"/>
        <v>0</v>
      </c>
    </row>
    <row r="450" spans="1:48" ht="31.5">
      <c r="A450" s="148" t="s">
        <v>8291</v>
      </c>
      <c r="B450" s="149" t="s">
        <v>5669</v>
      </c>
      <c r="C450" s="149" t="s">
        <v>5670</v>
      </c>
      <c r="D450" s="240" t="s">
        <v>4118</v>
      </c>
      <c r="E450" s="590" t="s">
        <v>12642</v>
      </c>
      <c r="F450" s="203" t="s">
        <v>555</v>
      </c>
      <c r="G450" s="204" t="s">
        <v>262</v>
      </c>
      <c r="H450" s="204">
        <v>4</v>
      </c>
      <c r="I450" s="203" t="s">
        <v>4119</v>
      </c>
      <c r="J450" s="205" t="s">
        <v>8292</v>
      </c>
      <c r="K450" s="203" t="s">
        <v>5104</v>
      </c>
      <c r="L450" s="205" t="s">
        <v>8293</v>
      </c>
      <c r="M450" s="205" t="s">
        <v>8294</v>
      </c>
      <c r="N450" s="204" t="s">
        <v>213</v>
      </c>
      <c r="O450" s="204" t="s">
        <v>11</v>
      </c>
      <c r="P450" s="206">
        <v>6800</v>
      </c>
      <c r="Q450" s="206">
        <v>6800</v>
      </c>
      <c r="R450" s="207">
        <v>10000</v>
      </c>
      <c r="S450" s="207">
        <f t="shared" si="135"/>
        <v>68000000</v>
      </c>
      <c r="T450" s="589"/>
      <c r="U450" s="157">
        <v>10000</v>
      </c>
      <c r="V450" s="158">
        <f t="shared" si="151"/>
        <v>4</v>
      </c>
      <c r="W450" s="159">
        <f t="shared" si="136"/>
        <v>9996</v>
      </c>
      <c r="X450" s="159">
        <f t="shared" si="137"/>
        <v>67972800</v>
      </c>
      <c r="Y450" s="160"/>
      <c r="Z450" s="160">
        <f t="shared" si="138"/>
        <v>0</v>
      </c>
      <c r="AA450" s="165"/>
      <c r="AB450" s="161">
        <f t="shared" si="139"/>
        <v>0</v>
      </c>
      <c r="AC450" s="162"/>
      <c r="AD450" s="162">
        <f t="shared" si="152"/>
        <v>0</v>
      </c>
      <c r="AE450" s="164"/>
      <c r="AF450" s="164">
        <f t="shared" si="153"/>
        <v>0</v>
      </c>
      <c r="AG450" s="165">
        <v>1400</v>
      </c>
      <c r="AH450" s="165">
        <f t="shared" si="154"/>
        <v>9520000</v>
      </c>
      <c r="AI450" s="166">
        <v>8596</v>
      </c>
      <c r="AJ450" s="166">
        <f t="shared" si="155"/>
        <v>58452800</v>
      </c>
      <c r="AK450" s="162"/>
      <c r="AL450" s="162">
        <f t="shared" si="145"/>
        <v>0</v>
      </c>
      <c r="AM450" s="173"/>
      <c r="AN450" s="167">
        <f t="shared" si="140"/>
        <v>0</v>
      </c>
      <c r="AO450" s="163"/>
      <c r="AP450" s="163">
        <f t="shared" si="141"/>
        <v>0</v>
      </c>
      <c r="AQ450" s="168"/>
      <c r="AR450" s="168">
        <f t="shared" si="142"/>
        <v>0</v>
      </c>
      <c r="AS450" s="170"/>
      <c r="AT450" s="170">
        <f t="shared" si="143"/>
        <v>0</v>
      </c>
      <c r="AU450" s="166"/>
      <c r="AV450" s="166">
        <f t="shared" si="144"/>
        <v>0</v>
      </c>
    </row>
    <row r="451" spans="1:48" ht="31.5">
      <c r="A451" s="148" t="s">
        <v>8308</v>
      </c>
      <c r="B451" s="149" t="s">
        <v>5669</v>
      </c>
      <c r="C451" s="149" t="s">
        <v>5670</v>
      </c>
      <c r="D451" s="240" t="s">
        <v>8309</v>
      </c>
      <c r="E451" s="590" t="s">
        <v>12642</v>
      </c>
      <c r="F451" s="203" t="s">
        <v>634</v>
      </c>
      <c r="G451" s="204" t="s">
        <v>267</v>
      </c>
      <c r="H451" s="204">
        <v>4</v>
      </c>
      <c r="I451" s="203" t="s">
        <v>8310</v>
      </c>
      <c r="J451" s="205" t="s">
        <v>8311</v>
      </c>
      <c r="K451" s="203" t="s">
        <v>253</v>
      </c>
      <c r="L451" s="205" t="s">
        <v>8312</v>
      </c>
      <c r="M451" s="205" t="s">
        <v>8294</v>
      </c>
      <c r="N451" s="204" t="s">
        <v>213</v>
      </c>
      <c r="O451" s="204" t="s">
        <v>11</v>
      </c>
      <c r="P451" s="206">
        <v>7500</v>
      </c>
      <c r="Q451" s="206">
        <v>7500</v>
      </c>
      <c r="R451" s="207">
        <v>40000</v>
      </c>
      <c r="S451" s="207">
        <f t="shared" si="135"/>
        <v>300000000</v>
      </c>
      <c r="T451" s="589"/>
      <c r="U451" s="157">
        <v>40000</v>
      </c>
      <c r="V451" s="158">
        <f t="shared" si="151"/>
        <v>37200</v>
      </c>
      <c r="W451" s="159">
        <f t="shared" si="136"/>
        <v>2800</v>
      </c>
      <c r="X451" s="159">
        <f t="shared" si="137"/>
        <v>21000000</v>
      </c>
      <c r="Y451" s="160"/>
      <c r="Z451" s="160">
        <f t="shared" si="138"/>
        <v>0</v>
      </c>
      <c r="AA451" s="165"/>
      <c r="AB451" s="161">
        <f t="shared" si="139"/>
        <v>0</v>
      </c>
      <c r="AC451" s="162"/>
      <c r="AD451" s="162">
        <f t="shared" si="152"/>
        <v>0</v>
      </c>
      <c r="AE451" s="164"/>
      <c r="AF451" s="164">
        <f t="shared" si="153"/>
        <v>0</v>
      </c>
      <c r="AG451" s="165"/>
      <c r="AH451" s="165">
        <f t="shared" si="154"/>
        <v>0</v>
      </c>
      <c r="AI451" s="166">
        <v>0</v>
      </c>
      <c r="AJ451" s="166">
        <f t="shared" si="155"/>
        <v>0</v>
      </c>
      <c r="AK451" s="162"/>
      <c r="AL451" s="162">
        <f t="shared" si="145"/>
        <v>0</v>
      </c>
      <c r="AM451" s="173"/>
      <c r="AN451" s="167">
        <f t="shared" si="140"/>
        <v>0</v>
      </c>
      <c r="AO451" s="163"/>
      <c r="AP451" s="163">
        <f t="shared" si="141"/>
        <v>0</v>
      </c>
      <c r="AQ451" s="168">
        <f>1316+1484</f>
        <v>2800</v>
      </c>
      <c r="AR451" s="168">
        <f t="shared" si="142"/>
        <v>21000000</v>
      </c>
      <c r="AS451" s="170"/>
      <c r="AT451" s="170">
        <f t="shared" si="143"/>
        <v>0</v>
      </c>
      <c r="AU451" s="166"/>
      <c r="AV451" s="166">
        <f t="shared" si="144"/>
        <v>0</v>
      </c>
    </row>
    <row r="452" spans="1:48" ht="31.5">
      <c r="A452" s="148" t="s">
        <v>8313</v>
      </c>
      <c r="B452" s="149" t="s">
        <v>5669</v>
      </c>
      <c r="C452" s="149" t="s">
        <v>5670</v>
      </c>
      <c r="D452" s="240" t="s">
        <v>8314</v>
      </c>
      <c r="E452" s="590"/>
      <c r="F452" s="203" t="s">
        <v>6790</v>
      </c>
      <c r="G452" s="204" t="s">
        <v>258</v>
      </c>
      <c r="H452" s="204">
        <v>4</v>
      </c>
      <c r="I452" s="203" t="s">
        <v>8315</v>
      </c>
      <c r="J452" s="205" t="s">
        <v>8316</v>
      </c>
      <c r="K452" s="203" t="s">
        <v>5104</v>
      </c>
      <c r="L452" s="205" t="s">
        <v>8317</v>
      </c>
      <c r="M452" s="205" t="s">
        <v>7674</v>
      </c>
      <c r="N452" s="204" t="s">
        <v>213</v>
      </c>
      <c r="O452" s="204" t="s">
        <v>11</v>
      </c>
      <c r="P452" s="206">
        <v>4000</v>
      </c>
      <c r="Q452" s="206">
        <v>3000</v>
      </c>
      <c r="R452" s="207">
        <v>30000</v>
      </c>
      <c r="S452" s="207">
        <f t="shared" si="135"/>
        <v>90000000</v>
      </c>
      <c r="T452" s="589"/>
      <c r="U452" s="157">
        <v>30000</v>
      </c>
      <c r="V452" s="158">
        <f t="shared" si="151"/>
        <v>30000</v>
      </c>
      <c r="W452" s="159">
        <f t="shared" si="136"/>
        <v>0</v>
      </c>
      <c r="X452" s="159">
        <f t="shared" si="137"/>
        <v>0</v>
      </c>
      <c r="Y452" s="160"/>
      <c r="Z452" s="160">
        <f t="shared" si="138"/>
        <v>0</v>
      </c>
      <c r="AA452" s="165"/>
      <c r="AB452" s="161">
        <f t="shared" si="139"/>
        <v>0</v>
      </c>
      <c r="AC452" s="162"/>
      <c r="AD452" s="162">
        <f t="shared" si="152"/>
        <v>0</v>
      </c>
      <c r="AE452" s="164"/>
      <c r="AF452" s="164">
        <f t="shared" si="153"/>
        <v>0</v>
      </c>
      <c r="AG452" s="165"/>
      <c r="AH452" s="165">
        <f t="shared" si="154"/>
        <v>0</v>
      </c>
      <c r="AI452" s="166">
        <v>0</v>
      </c>
      <c r="AJ452" s="166">
        <f t="shared" si="155"/>
        <v>0</v>
      </c>
      <c r="AK452" s="162"/>
      <c r="AL452" s="162">
        <f t="shared" si="145"/>
        <v>0</v>
      </c>
      <c r="AM452" s="173"/>
      <c r="AN452" s="167">
        <f t="shared" si="140"/>
        <v>0</v>
      </c>
      <c r="AO452" s="163"/>
      <c r="AP452" s="163">
        <f t="shared" si="141"/>
        <v>0</v>
      </c>
      <c r="AQ452" s="168"/>
      <c r="AR452" s="168">
        <f t="shared" si="142"/>
        <v>0</v>
      </c>
      <c r="AS452" s="170"/>
      <c r="AT452" s="170">
        <f t="shared" si="143"/>
        <v>0</v>
      </c>
      <c r="AU452" s="166"/>
      <c r="AV452" s="166">
        <f t="shared" si="144"/>
        <v>0</v>
      </c>
    </row>
    <row r="453" spans="1:48" ht="63">
      <c r="A453" s="148">
        <v>28</v>
      </c>
      <c r="B453" s="149" t="s">
        <v>5669</v>
      </c>
      <c r="C453" s="149" t="s">
        <v>5670</v>
      </c>
      <c r="D453" s="250" t="s">
        <v>8625</v>
      </c>
      <c r="E453" s="241"/>
      <c r="F453" s="242" t="s">
        <v>8626</v>
      </c>
      <c r="G453" s="244" t="s">
        <v>8627</v>
      </c>
      <c r="H453" s="244" t="s">
        <v>211</v>
      </c>
      <c r="I453" s="244" t="s">
        <v>8628</v>
      </c>
      <c r="J453" s="244" t="s">
        <v>8629</v>
      </c>
      <c r="K453" s="244" t="s">
        <v>5104</v>
      </c>
      <c r="L453" s="241" t="s">
        <v>8630</v>
      </c>
      <c r="M453" s="244" t="s">
        <v>8290</v>
      </c>
      <c r="N453" s="241" t="s">
        <v>213</v>
      </c>
      <c r="O453" s="241" t="s">
        <v>11</v>
      </c>
      <c r="P453" s="245">
        <v>2700</v>
      </c>
      <c r="Q453" s="245">
        <v>2700</v>
      </c>
      <c r="R453" s="246">
        <v>35000</v>
      </c>
      <c r="S453" s="245">
        <f t="shared" ref="S453:S516" si="156">R453*Q453</f>
        <v>94500000</v>
      </c>
      <c r="T453" s="589"/>
      <c r="U453" s="244"/>
      <c r="V453" s="247">
        <f t="shared" ref="V453:V460" si="157">R453-W453</f>
        <v>35000</v>
      </c>
      <c r="W453" s="159">
        <f t="shared" ref="W453:W516" si="158">Y453+AA453+AC453+AE453+AG453+AI453+AK453+AM453+AO453+AQ453+AS453+AU453</f>
        <v>0</v>
      </c>
      <c r="X453" s="159">
        <f t="shared" ref="X453:X516" si="159">W453*Q453</f>
        <v>0</v>
      </c>
      <c r="Y453" s="248"/>
      <c r="Z453" s="160">
        <f t="shared" ref="Z453:Z516" si="160">Y453*Q453</f>
        <v>0</v>
      </c>
      <c r="AA453" s="248"/>
      <c r="AB453" s="161">
        <f t="shared" ref="AB453:AB516" si="161">AA453*Q453</f>
        <v>0</v>
      </c>
      <c r="AC453" s="249"/>
      <c r="AD453" s="249"/>
      <c r="AE453" s="249"/>
      <c r="AF453" s="249"/>
      <c r="AG453" s="249"/>
      <c r="AH453" s="249"/>
      <c r="AI453" s="249"/>
      <c r="AJ453" s="249"/>
      <c r="AK453" s="249"/>
      <c r="AL453" s="162">
        <f t="shared" si="145"/>
        <v>0</v>
      </c>
      <c r="AM453" s="249"/>
      <c r="AN453" s="167">
        <f t="shared" ref="AN453:AN516" si="162">AM453*Q453</f>
        <v>0</v>
      </c>
      <c r="AO453" s="249"/>
      <c r="AP453" s="163">
        <f t="shared" ref="AP453:AP516" si="163">AO453*Q453</f>
        <v>0</v>
      </c>
      <c r="AQ453" s="249"/>
      <c r="AR453" s="168">
        <f t="shared" ref="AR453:AR516" si="164">AQ453*Q453</f>
        <v>0</v>
      </c>
      <c r="AS453" s="249"/>
      <c r="AT453" s="170">
        <f t="shared" ref="AT453:AT516" si="165">AS453*Q453</f>
        <v>0</v>
      </c>
      <c r="AU453" s="249"/>
      <c r="AV453" s="166">
        <f t="shared" ref="AV453:AV516" si="166">AU453*Q453</f>
        <v>0</v>
      </c>
    </row>
    <row r="454" spans="1:48" ht="63">
      <c r="A454" s="148">
        <v>37</v>
      </c>
      <c r="B454" s="149" t="s">
        <v>5669</v>
      </c>
      <c r="C454" s="149" t="s">
        <v>5670</v>
      </c>
      <c r="D454" s="250" t="s">
        <v>8673</v>
      </c>
      <c r="E454" s="241"/>
      <c r="F454" s="242" t="s">
        <v>8674</v>
      </c>
      <c r="G454" s="244" t="s">
        <v>8675</v>
      </c>
      <c r="H454" s="244" t="s">
        <v>211</v>
      </c>
      <c r="I454" s="244" t="s">
        <v>8676</v>
      </c>
      <c r="J454" s="244" t="s">
        <v>8677</v>
      </c>
      <c r="K454" s="244" t="s">
        <v>5104</v>
      </c>
      <c r="L454" s="241" t="s">
        <v>8678</v>
      </c>
      <c r="M454" s="244" t="s">
        <v>2310</v>
      </c>
      <c r="N454" s="241" t="s">
        <v>213</v>
      </c>
      <c r="O454" s="241" t="s">
        <v>11</v>
      </c>
      <c r="P454" s="245">
        <v>4500</v>
      </c>
      <c r="Q454" s="245">
        <v>3400</v>
      </c>
      <c r="R454" s="246">
        <v>15000</v>
      </c>
      <c r="S454" s="245">
        <f t="shared" si="156"/>
        <v>51000000</v>
      </c>
      <c r="T454" s="589"/>
      <c r="U454" s="244"/>
      <c r="V454" s="247">
        <f t="shared" si="157"/>
        <v>15000</v>
      </c>
      <c r="W454" s="159">
        <f t="shared" si="158"/>
        <v>0</v>
      </c>
      <c r="X454" s="159">
        <f t="shared" si="159"/>
        <v>0</v>
      </c>
      <c r="Y454" s="248"/>
      <c r="Z454" s="160">
        <f t="shared" si="160"/>
        <v>0</v>
      </c>
      <c r="AA454" s="248"/>
      <c r="AB454" s="161">
        <f t="shared" si="161"/>
        <v>0</v>
      </c>
      <c r="AC454" s="249"/>
      <c r="AD454" s="249"/>
      <c r="AE454" s="249"/>
      <c r="AF454" s="249"/>
      <c r="AG454" s="249"/>
      <c r="AH454" s="249"/>
      <c r="AI454" s="249"/>
      <c r="AJ454" s="249"/>
      <c r="AK454" s="249"/>
      <c r="AL454" s="162">
        <f t="shared" si="145"/>
        <v>0</v>
      </c>
      <c r="AM454" s="249"/>
      <c r="AN454" s="167">
        <f t="shared" si="162"/>
        <v>0</v>
      </c>
      <c r="AO454" s="249"/>
      <c r="AP454" s="163">
        <f t="shared" si="163"/>
        <v>0</v>
      </c>
      <c r="AQ454" s="249"/>
      <c r="AR454" s="168">
        <f t="shared" si="164"/>
        <v>0</v>
      </c>
      <c r="AS454" s="249"/>
      <c r="AT454" s="170">
        <f t="shared" si="165"/>
        <v>0</v>
      </c>
      <c r="AU454" s="249"/>
      <c r="AV454" s="166">
        <f t="shared" si="166"/>
        <v>0</v>
      </c>
    </row>
    <row r="455" spans="1:48" ht="47.25">
      <c r="A455" s="148">
        <v>43</v>
      </c>
      <c r="B455" s="149" t="s">
        <v>5669</v>
      </c>
      <c r="C455" s="149" t="s">
        <v>5670</v>
      </c>
      <c r="D455" s="250" t="s">
        <v>4702</v>
      </c>
      <c r="E455" s="241"/>
      <c r="F455" s="242" t="s">
        <v>8708</v>
      </c>
      <c r="G455" s="244" t="s">
        <v>8709</v>
      </c>
      <c r="H455" s="244" t="s">
        <v>211</v>
      </c>
      <c r="I455" s="244" t="s">
        <v>8710</v>
      </c>
      <c r="J455" s="244" t="s">
        <v>8711</v>
      </c>
      <c r="K455" s="244" t="s">
        <v>5104</v>
      </c>
      <c r="L455" s="241" t="s">
        <v>8712</v>
      </c>
      <c r="M455" s="244" t="s">
        <v>2310</v>
      </c>
      <c r="N455" s="241" t="s">
        <v>213</v>
      </c>
      <c r="O455" s="241" t="s">
        <v>13</v>
      </c>
      <c r="P455" s="245">
        <v>7500</v>
      </c>
      <c r="Q455" s="245">
        <v>7000</v>
      </c>
      <c r="R455" s="246">
        <v>15000</v>
      </c>
      <c r="S455" s="245">
        <f t="shared" si="156"/>
        <v>105000000</v>
      </c>
      <c r="T455" s="589"/>
      <c r="U455" s="244"/>
      <c r="V455" s="247">
        <f t="shared" si="157"/>
        <v>12000</v>
      </c>
      <c r="W455" s="159">
        <f t="shared" si="158"/>
        <v>3000</v>
      </c>
      <c r="X455" s="159">
        <f t="shared" si="159"/>
        <v>21000000</v>
      </c>
      <c r="Y455" s="248"/>
      <c r="Z455" s="160">
        <f t="shared" si="160"/>
        <v>0</v>
      </c>
      <c r="AA455" s="248"/>
      <c r="AB455" s="161">
        <f t="shared" si="161"/>
        <v>0</v>
      </c>
      <c r="AC455" s="249"/>
      <c r="AD455" s="249"/>
      <c r="AE455" s="249"/>
      <c r="AF455" s="249"/>
      <c r="AG455" s="249"/>
      <c r="AH455" s="249"/>
      <c r="AI455" s="249"/>
      <c r="AJ455" s="249"/>
      <c r="AK455" s="249">
        <v>3000</v>
      </c>
      <c r="AL455" s="162">
        <f t="shared" ref="AL455:AL518" si="167">AK455*Q455</f>
        <v>21000000</v>
      </c>
      <c r="AM455" s="249"/>
      <c r="AN455" s="167">
        <f t="shared" si="162"/>
        <v>0</v>
      </c>
      <c r="AO455" s="249"/>
      <c r="AP455" s="163">
        <f t="shared" si="163"/>
        <v>0</v>
      </c>
      <c r="AQ455" s="249"/>
      <c r="AR455" s="168">
        <f t="shared" si="164"/>
        <v>0</v>
      </c>
      <c r="AS455" s="249"/>
      <c r="AT455" s="170">
        <f t="shared" si="165"/>
        <v>0</v>
      </c>
      <c r="AU455" s="249"/>
      <c r="AV455" s="166">
        <f t="shared" si="166"/>
        <v>0</v>
      </c>
    </row>
    <row r="456" spans="1:48" ht="63">
      <c r="A456" s="148">
        <v>45</v>
      </c>
      <c r="B456" s="149" t="s">
        <v>5669</v>
      </c>
      <c r="C456" s="149" t="s">
        <v>5670</v>
      </c>
      <c r="D456" s="250" t="s">
        <v>8715</v>
      </c>
      <c r="E456" s="241"/>
      <c r="F456" s="242" t="s">
        <v>8716</v>
      </c>
      <c r="G456" s="244" t="s">
        <v>8717</v>
      </c>
      <c r="H456" s="244" t="s">
        <v>211</v>
      </c>
      <c r="I456" s="244" t="s">
        <v>8718</v>
      </c>
      <c r="J456" s="244" t="s">
        <v>8719</v>
      </c>
      <c r="K456" s="244" t="s">
        <v>253</v>
      </c>
      <c r="L456" s="241" t="s">
        <v>8720</v>
      </c>
      <c r="M456" s="244" t="s">
        <v>8721</v>
      </c>
      <c r="N456" s="241" t="s">
        <v>213</v>
      </c>
      <c r="O456" s="241" t="s">
        <v>15</v>
      </c>
      <c r="P456" s="245">
        <v>47000</v>
      </c>
      <c r="Q456" s="245">
        <v>40000</v>
      </c>
      <c r="R456" s="246">
        <v>500</v>
      </c>
      <c r="S456" s="245">
        <f t="shared" si="156"/>
        <v>20000000</v>
      </c>
      <c r="T456" s="589"/>
      <c r="U456" s="244"/>
      <c r="V456" s="247">
        <f t="shared" si="157"/>
        <v>500</v>
      </c>
      <c r="W456" s="159">
        <f t="shared" si="158"/>
        <v>0</v>
      </c>
      <c r="X456" s="159">
        <f t="shared" si="159"/>
        <v>0</v>
      </c>
      <c r="Y456" s="248"/>
      <c r="Z456" s="160">
        <f t="shared" si="160"/>
        <v>0</v>
      </c>
      <c r="AA456" s="248"/>
      <c r="AB456" s="161">
        <f t="shared" si="161"/>
        <v>0</v>
      </c>
      <c r="AC456" s="249"/>
      <c r="AD456" s="249"/>
      <c r="AE456" s="249"/>
      <c r="AF456" s="249"/>
      <c r="AG456" s="249"/>
      <c r="AH456" s="249"/>
      <c r="AI456" s="249"/>
      <c r="AJ456" s="249"/>
      <c r="AK456" s="249"/>
      <c r="AL456" s="162">
        <f t="shared" si="167"/>
        <v>0</v>
      </c>
      <c r="AM456" s="249"/>
      <c r="AN456" s="167">
        <f t="shared" si="162"/>
        <v>0</v>
      </c>
      <c r="AO456" s="249"/>
      <c r="AP456" s="163">
        <f t="shared" si="163"/>
        <v>0</v>
      </c>
      <c r="AQ456" s="249"/>
      <c r="AR456" s="168">
        <f t="shared" si="164"/>
        <v>0</v>
      </c>
      <c r="AS456" s="249"/>
      <c r="AT456" s="170">
        <f t="shared" si="165"/>
        <v>0</v>
      </c>
      <c r="AU456" s="249"/>
      <c r="AV456" s="166">
        <f t="shared" si="166"/>
        <v>0</v>
      </c>
    </row>
    <row r="457" spans="1:48" s="115" customFormat="1" ht="31.5">
      <c r="A457" s="148">
        <v>48</v>
      </c>
      <c r="B457" s="149" t="s">
        <v>5669</v>
      </c>
      <c r="C457" s="149" t="s">
        <v>5670</v>
      </c>
      <c r="D457" s="250" t="s">
        <v>4697</v>
      </c>
      <c r="E457" s="241"/>
      <c r="F457" s="242" t="s">
        <v>2313</v>
      </c>
      <c r="G457" s="244" t="s">
        <v>8730</v>
      </c>
      <c r="H457" s="244" t="s">
        <v>211</v>
      </c>
      <c r="I457" s="244" t="s">
        <v>8731</v>
      </c>
      <c r="J457" s="244" t="s">
        <v>8732</v>
      </c>
      <c r="K457" s="244" t="s">
        <v>5104</v>
      </c>
      <c r="L457" s="241" t="s">
        <v>8733</v>
      </c>
      <c r="M457" s="244" t="s">
        <v>2310</v>
      </c>
      <c r="N457" s="241" t="s">
        <v>213</v>
      </c>
      <c r="O457" s="241" t="s">
        <v>11</v>
      </c>
      <c r="P457" s="245">
        <v>2280</v>
      </c>
      <c r="Q457" s="245">
        <v>2280</v>
      </c>
      <c r="R457" s="246">
        <v>40000</v>
      </c>
      <c r="S457" s="245">
        <f t="shared" si="156"/>
        <v>91200000</v>
      </c>
      <c r="T457" s="589"/>
      <c r="U457" s="244"/>
      <c r="V457" s="247">
        <f t="shared" si="157"/>
        <v>30000</v>
      </c>
      <c r="W457" s="159">
        <f t="shared" si="158"/>
        <v>10000</v>
      </c>
      <c r="X457" s="159">
        <f t="shared" si="159"/>
        <v>22800000</v>
      </c>
      <c r="Y457" s="248"/>
      <c r="Z457" s="160">
        <f t="shared" si="160"/>
        <v>0</v>
      </c>
      <c r="AA457" s="248"/>
      <c r="AB457" s="161">
        <f t="shared" si="161"/>
        <v>0</v>
      </c>
      <c r="AC457" s="249"/>
      <c r="AD457" s="249"/>
      <c r="AE457" s="249"/>
      <c r="AF457" s="249"/>
      <c r="AG457" s="249"/>
      <c r="AH457" s="249"/>
      <c r="AI457" s="249"/>
      <c r="AJ457" s="249"/>
      <c r="AK457" s="249">
        <v>5000</v>
      </c>
      <c r="AL457" s="162">
        <f t="shared" si="167"/>
        <v>11400000</v>
      </c>
      <c r="AM457" s="249"/>
      <c r="AN457" s="167">
        <f t="shared" si="162"/>
        <v>0</v>
      </c>
      <c r="AO457" s="249">
        <v>5000</v>
      </c>
      <c r="AP457" s="163">
        <f t="shared" si="163"/>
        <v>11400000</v>
      </c>
      <c r="AQ457" s="249"/>
      <c r="AR457" s="168">
        <f t="shared" si="164"/>
        <v>0</v>
      </c>
      <c r="AS457" s="249"/>
      <c r="AT457" s="170">
        <f t="shared" si="165"/>
        <v>0</v>
      </c>
      <c r="AU457" s="249"/>
      <c r="AV457" s="166">
        <f t="shared" si="166"/>
        <v>0</v>
      </c>
    </row>
    <row r="458" spans="1:48" s="115" customFormat="1" ht="31.5">
      <c r="A458" s="148">
        <v>58</v>
      </c>
      <c r="B458" s="149" t="s">
        <v>5669</v>
      </c>
      <c r="C458" s="149" t="s">
        <v>5670</v>
      </c>
      <c r="D458" s="250" t="s">
        <v>4596</v>
      </c>
      <c r="E458" s="241"/>
      <c r="F458" s="242" t="s">
        <v>8767</v>
      </c>
      <c r="G458" s="244" t="s">
        <v>8768</v>
      </c>
      <c r="H458" s="244" t="s">
        <v>211</v>
      </c>
      <c r="I458" s="244" t="s">
        <v>8769</v>
      </c>
      <c r="J458" s="244" t="s">
        <v>8732</v>
      </c>
      <c r="K458" s="244" t="s">
        <v>5104</v>
      </c>
      <c r="L458" s="241" t="s">
        <v>8770</v>
      </c>
      <c r="M458" s="244" t="s">
        <v>2310</v>
      </c>
      <c r="N458" s="241" t="s">
        <v>213</v>
      </c>
      <c r="O458" s="241" t="s">
        <v>11</v>
      </c>
      <c r="P458" s="245">
        <v>2335</v>
      </c>
      <c r="Q458" s="245">
        <v>1945</v>
      </c>
      <c r="R458" s="246">
        <v>30000</v>
      </c>
      <c r="S458" s="245">
        <f t="shared" si="156"/>
        <v>58350000</v>
      </c>
      <c r="T458" s="589"/>
      <c r="U458" s="244"/>
      <c r="V458" s="247">
        <f t="shared" si="157"/>
        <v>29000</v>
      </c>
      <c r="W458" s="159">
        <f t="shared" si="158"/>
        <v>1000</v>
      </c>
      <c r="X458" s="159">
        <f t="shared" si="159"/>
        <v>1945000</v>
      </c>
      <c r="Y458" s="248"/>
      <c r="Z458" s="160">
        <f t="shared" si="160"/>
        <v>0</v>
      </c>
      <c r="AA458" s="248"/>
      <c r="AB458" s="161">
        <f t="shared" si="161"/>
        <v>0</v>
      </c>
      <c r="AC458" s="249"/>
      <c r="AD458" s="249"/>
      <c r="AE458" s="249"/>
      <c r="AF458" s="249"/>
      <c r="AG458" s="249"/>
      <c r="AH458" s="249"/>
      <c r="AI458" s="249"/>
      <c r="AJ458" s="249"/>
      <c r="AK458" s="249">
        <v>1000</v>
      </c>
      <c r="AL458" s="162">
        <f t="shared" si="167"/>
        <v>1945000</v>
      </c>
      <c r="AM458" s="249"/>
      <c r="AN458" s="167">
        <f t="shared" si="162"/>
        <v>0</v>
      </c>
      <c r="AO458" s="249"/>
      <c r="AP458" s="163">
        <f t="shared" si="163"/>
        <v>0</v>
      </c>
      <c r="AQ458" s="249"/>
      <c r="AR458" s="168">
        <f t="shared" si="164"/>
        <v>0</v>
      </c>
      <c r="AS458" s="249"/>
      <c r="AT458" s="170">
        <f t="shared" si="165"/>
        <v>0</v>
      </c>
      <c r="AU458" s="249"/>
      <c r="AV458" s="166">
        <f t="shared" si="166"/>
        <v>0</v>
      </c>
    </row>
    <row r="459" spans="1:48" ht="31.5">
      <c r="A459" s="148">
        <v>64</v>
      </c>
      <c r="B459" s="149" t="s">
        <v>5669</v>
      </c>
      <c r="C459" s="149" t="s">
        <v>5670</v>
      </c>
      <c r="D459" s="250" t="s">
        <v>4700</v>
      </c>
      <c r="E459" s="241"/>
      <c r="F459" s="242" t="s">
        <v>2311</v>
      </c>
      <c r="G459" s="244" t="s">
        <v>142</v>
      </c>
      <c r="H459" s="244" t="s">
        <v>211</v>
      </c>
      <c r="I459" s="244" t="s">
        <v>3090</v>
      </c>
      <c r="J459" s="244" t="s">
        <v>8732</v>
      </c>
      <c r="K459" s="244" t="s">
        <v>5104</v>
      </c>
      <c r="L459" s="241" t="s">
        <v>2312</v>
      </c>
      <c r="M459" s="244" t="s">
        <v>2310</v>
      </c>
      <c r="N459" s="241" t="s">
        <v>213</v>
      </c>
      <c r="O459" s="241" t="s">
        <v>11</v>
      </c>
      <c r="P459" s="245">
        <v>1780</v>
      </c>
      <c r="Q459" s="245">
        <v>1490</v>
      </c>
      <c r="R459" s="246">
        <v>50000</v>
      </c>
      <c r="S459" s="245">
        <f t="shared" si="156"/>
        <v>74500000</v>
      </c>
      <c r="T459" s="589"/>
      <c r="U459" s="244"/>
      <c r="V459" s="247">
        <f t="shared" si="157"/>
        <v>50000</v>
      </c>
      <c r="W459" s="159">
        <f t="shared" si="158"/>
        <v>0</v>
      </c>
      <c r="X459" s="159">
        <f t="shared" si="159"/>
        <v>0</v>
      </c>
      <c r="Y459" s="248"/>
      <c r="Z459" s="160">
        <f t="shared" si="160"/>
        <v>0</v>
      </c>
      <c r="AA459" s="248"/>
      <c r="AB459" s="161">
        <f t="shared" si="161"/>
        <v>0</v>
      </c>
      <c r="AC459" s="249"/>
      <c r="AD459" s="249"/>
      <c r="AE459" s="249"/>
      <c r="AF459" s="249"/>
      <c r="AG459" s="249"/>
      <c r="AH459" s="249"/>
      <c r="AI459" s="249"/>
      <c r="AJ459" s="249"/>
      <c r="AK459" s="249"/>
      <c r="AL459" s="162">
        <f t="shared" si="167"/>
        <v>0</v>
      </c>
      <c r="AM459" s="249"/>
      <c r="AN459" s="167">
        <f t="shared" si="162"/>
        <v>0</v>
      </c>
      <c r="AO459" s="249"/>
      <c r="AP459" s="163">
        <f t="shared" si="163"/>
        <v>0</v>
      </c>
      <c r="AQ459" s="249"/>
      <c r="AR459" s="168">
        <f t="shared" si="164"/>
        <v>0</v>
      </c>
      <c r="AS459" s="249"/>
      <c r="AT459" s="170">
        <f t="shared" si="165"/>
        <v>0</v>
      </c>
      <c r="AU459" s="249"/>
      <c r="AV459" s="166">
        <f t="shared" si="166"/>
        <v>0</v>
      </c>
    </row>
    <row r="460" spans="1:48" s="131" customFormat="1" ht="31.5">
      <c r="A460" s="148">
        <v>75</v>
      </c>
      <c r="B460" s="149" t="s">
        <v>5669</v>
      </c>
      <c r="C460" s="149" t="s">
        <v>5670</v>
      </c>
      <c r="D460" s="250" t="s">
        <v>4694</v>
      </c>
      <c r="E460" s="241"/>
      <c r="F460" s="242" t="s">
        <v>2308</v>
      </c>
      <c r="G460" s="244" t="s">
        <v>137</v>
      </c>
      <c r="H460" s="244" t="s">
        <v>211</v>
      </c>
      <c r="I460" s="244" t="s">
        <v>135</v>
      </c>
      <c r="J460" s="244" t="s">
        <v>8732</v>
      </c>
      <c r="K460" s="244" t="s">
        <v>5104</v>
      </c>
      <c r="L460" s="241" t="s">
        <v>2309</v>
      </c>
      <c r="M460" s="244" t="s">
        <v>2310</v>
      </c>
      <c r="N460" s="241" t="s">
        <v>213</v>
      </c>
      <c r="O460" s="241" t="s">
        <v>11</v>
      </c>
      <c r="P460" s="245">
        <v>2610</v>
      </c>
      <c r="Q460" s="245">
        <v>2047</v>
      </c>
      <c r="R460" s="246">
        <v>50000</v>
      </c>
      <c r="S460" s="245">
        <f t="shared" si="156"/>
        <v>102350000</v>
      </c>
      <c r="T460" s="589"/>
      <c r="U460" s="244"/>
      <c r="V460" s="247">
        <f t="shared" si="157"/>
        <v>24900</v>
      </c>
      <c r="W460" s="159">
        <f t="shared" si="158"/>
        <v>25100</v>
      </c>
      <c r="X460" s="159">
        <f t="shared" si="159"/>
        <v>51379700</v>
      </c>
      <c r="Y460" s="248"/>
      <c r="Z460" s="160">
        <f t="shared" si="160"/>
        <v>0</v>
      </c>
      <c r="AA460" s="248"/>
      <c r="AB460" s="161">
        <f t="shared" si="161"/>
        <v>0</v>
      </c>
      <c r="AC460" s="249"/>
      <c r="AD460" s="249"/>
      <c r="AE460" s="249"/>
      <c r="AF460" s="249"/>
      <c r="AG460" s="249"/>
      <c r="AH460" s="249"/>
      <c r="AI460" s="249"/>
      <c r="AJ460" s="249"/>
      <c r="AK460" s="249">
        <v>5000</v>
      </c>
      <c r="AL460" s="162">
        <f t="shared" si="167"/>
        <v>10235000</v>
      </c>
      <c r="AM460" s="249"/>
      <c r="AN460" s="167">
        <f t="shared" si="162"/>
        <v>0</v>
      </c>
      <c r="AO460" s="249"/>
      <c r="AP460" s="163">
        <f t="shared" si="163"/>
        <v>0</v>
      </c>
      <c r="AQ460" s="249">
        <v>10000</v>
      </c>
      <c r="AR460" s="168">
        <f t="shared" si="164"/>
        <v>20470000</v>
      </c>
      <c r="AS460" s="249">
        <f>10000+100</f>
        <v>10100</v>
      </c>
      <c r="AT460" s="170">
        <f t="shared" si="165"/>
        <v>20674700</v>
      </c>
      <c r="AU460" s="249"/>
      <c r="AV460" s="166">
        <f t="shared" si="166"/>
        <v>0</v>
      </c>
    </row>
    <row r="461" spans="1:48" s="131" customFormat="1" ht="31.5">
      <c r="A461" s="148" t="s">
        <v>7225</v>
      </c>
      <c r="B461" s="149" t="s">
        <v>7226</v>
      </c>
      <c r="C461" s="149" t="s">
        <v>7227</v>
      </c>
      <c r="D461" s="240" t="s">
        <v>7228</v>
      </c>
      <c r="E461" s="590"/>
      <c r="F461" s="203" t="s">
        <v>1179</v>
      </c>
      <c r="G461" s="204" t="s">
        <v>232</v>
      </c>
      <c r="H461" s="204">
        <v>3</v>
      </c>
      <c r="I461" s="203" t="s">
        <v>7229</v>
      </c>
      <c r="J461" s="205" t="s">
        <v>6321</v>
      </c>
      <c r="K461" s="203" t="s">
        <v>5104</v>
      </c>
      <c r="L461" s="205" t="s">
        <v>7230</v>
      </c>
      <c r="M461" s="205" t="s">
        <v>7231</v>
      </c>
      <c r="N461" s="204" t="s">
        <v>213</v>
      </c>
      <c r="O461" s="204" t="s">
        <v>11</v>
      </c>
      <c r="P461" s="206">
        <v>10000</v>
      </c>
      <c r="Q461" s="206">
        <v>1680</v>
      </c>
      <c r="R461" s="207">
        <v>10000</v>
      </c>
      <c r="S461" s="207">
        <f t="shared" si="156"/>
        <v>16800000</v>
      </c>
      <c r="T461" s="589"/>
      <c r="U461" s="157">
        <v>10000</v>
      </c>
      <c r="V461" s="158">
        <f t="shared" ref="V461:V486" si="168">U461-W461</f>
        <v>10000</v>
      </c>
      <c r="W461" s="159">
        <f t="shared" si="158"/>
        <v>0</v>
      </c>
      <c r="X461" s="159">
        <f t="shared" si="159"/>
        <v>0</v>
      </c>
      <c r="Y461" s="160"/>
      <c r="Z461" s="160">
        <f t="shared" si="160"/>
        <v>0</v>
      </c>
      <c r="AA461" s="165"/>
      <c r="AB461" s="161">
        <f t="shared" si="161"/>
        <v>0</v>
      </c>
      <c r="AC461" s="162"/>
      <c r="AD461" s="162">
        <f t="shared" ref="AD461:AD486" si="169">AC461*Q461</f>
        <v>0</v>
      </c>
      <c r="AE461" s="164"/>
      <c r="AF461" s="164">
        <f t="shared" ref="AF461:AF486" si="170">AE461*Q461</f>
        <v>0</v>
      </c>
      <c r="AG461" s="165"/>
      <c r="AH461" s="165">
        <f t="shared" ref="AH461:AH486" si="171">AG461*Q461</f>
        <v>0</v>
      </c>
      <c r="AI461" s="166">
        <v>0</v>
      </c>
      <c r="AJ461" s="166">
        <f t="shared" ref="AJ461:AJ486" si="172">AI461*Q461</f>
        <v>0</v>
      </c>
      <c r="AK461" s="162"/>
      <c r="AL461" s="162">
        <f t="shared" si="167"/>
        <v>0</v>
      </c>
      <c r="AM461" s="173"/>
      <c r="AN461" s="167">
        <f t="shared" si="162"/>
        <v>0</v>
      </c>
      <c r="AO461" s="163"/>
      <c r="AP461" s="163">
        <f t="shared" si="163"/>
        <v>0</v>
      </c>
      <c r="AQ461" s="168"/>
      <c r="AR461" s="168">
        <f t="shared" si="164"/>
        <v>0</v>
      </c>
      <c r="AS461" s="170"/>
      <c r="AT461" s="170">
        <f t="shared" si="165"/>
        <v>0</v>
      </c>
      <c r="AU461" s="166"/>
      <c r="AV461" s="166">
        <f t="shared" si="166"/>
        <v>0</v>
      </c>
    </row>
    <row r="462" spans="1:48" s="131" customFormat="1" ht="31.5">
      <c r="A462" s="172" t="s">
        <v>6685</v>
      </c>
      <c r="B462" s="149" t="s">
        <v>2385</v>
      </c>
      <c r="C462" s="150" t="s">
        <v>2380</v>
      </c>
      <c r="D462" s="240" t="s">
        <v>6686</v>
      </c>
      <c r="E462" s="590" t="s">
        <v>12642</v>
      </c>
      <c r="F462" s="203" t="s">
        <v>624</v>
      </c>
      <c r="G462" s="204" t="s">
        <v>238</v>
      </c>
      <c r="H462" s="204">
        <v>2</v>
      </c>
      <c r="I462" s="203" t="s">
        <v>6687</v>
      </c>
      <c r="J462" s="205" t="s">
        <v>6009</v>
      </c>
      <c r="K462" s="203" t="s">
        <v>5104</v>
      </c>
      <c r="L462" s="205" t="s">
        <v>6688</v>
      </c>
      <c r="M462" s="205" t="s">
        <v>6689</v>
      </c>
      <c r="N462" s="204" t="s">
        <v>213</v>
      </c>
      <c r="O462" s="204" t="s">
        <v>11</v>
      </c>
      <c r="P462" s="206">
        <v>3000</v>
      </c>
      <c r="Q462" s="206">
        <v>2950</v>
      </c>
      <c r="R462" s="207">
        <v>10000</v>
      </c>
      <c r="S462" s="207">
        <f t="shared" si="156"/>
        <v>29500000</v>
      </c>
      <c r="T462" s="589"/>
      <c r="U462" s="157">
        <v>10000</v>
      </c>
      <c r="V462" s="158">
        <f t="shared" si="168"/>
        <v>10000</v>
      </c>
      <c r="W462" s="159">
        <f t="shared" si="158"/>
        <v>0</v>
      </c>
      <c r="X462" s="159">
        <f t="shared" si="159"/>
        <v>0</v>
      </c>
      <c r="Y462" s="160"/>
      <c r="Z462" s="160">
        <f t="shared" si="160"/>
        <v>0</v>
      </c>
      <c r="AA462" s="165"/>
      <c r="AB462" s="161">
        <f t="shared" si="161"/>
        <v>0</v>
      </c>
      <c r="AC462" s="162"/>
      <c r="AD462" s="162">
        <f t="shared" si="169"/>
        <v>0</v>
      </c>
      <c r="AE462" s="164"/>
      <c r="AF462" s="164">
        <f t="shared" si="170"/>
        <v>0</v>
      </c>
      <c r="AG462" s="165"/>
      <c r="AH462" s="165">
        <f t="shared" si="171"/>
        <v>0</v>
      </c>
      <c r="AI462" s="166">
        <v>0</v>
      </c>
      <c r="AJ462" s="166">
        <f t="shared" si="172"/>
        <v>0</v>
      </c>
      <c r="AK462" s="162"/>
      <c r="AL462" s="162">
        <f t="shared" si="167"/>
        <v>0</v>
      </c>
      <c r="AM462" s="173"/>
      <c r="AN462" s="167">
        <f t="shared" si="162"/>
        <v>0</v>
      </c>
      <c r="AO462" s="163"/>
      <c r="AP462" s="163">
        <f t="shared" si="163"/>
        <v>0</v>
      </c>
      <c r="AQ462" s="168"/>
      <c r="AR462" s="168">
        <f t="shared" si="164"/>
        <v>0</v>
      </c>
      <c r="AS462" s="170"/>
      <c r="AT462" s="170">
        <f t="shared" si="165"/>
        <v>0</v>
      </c>
      <c r="AU462" s="166"/>
      <c r="AV462" s="166">
        <f t="shared" si="166"/>
        <v>0</v>
      </c>
    </row>
    <row r="463" spans="1:48" s="131" customFormat="1" ht="31.5">
      <c r="A463" s="148" t="s">
        <v>6801</v>
      </c>
      <c r="B463" s="149" t="s">
        <v>2385</v>
      </c>
      <c r="C463" s="150" t="s">
        <v>2380</v>
      </c>
      <c r="D463" s="240" t="s">
        <v>6802</v>
      </c>
      <c r="E463" s="590" t="s">
        <v>12642</v>
      </c>
      <c r="F463" s="203" t="s">
        <v>2445</v>
      </c>
      <c r="G463" s="204" t="s">
        <v>6803</v>
      </c>
      <c r="H463" s="204">
        <v>2</v>
      </c>
      <c r="I463" s="203" t="s">
        <v>6804</v>
      </c>
      <c r="J463" s="205" t="s">
        <v>6805</v>
      </c>
      <c r="K463" s="203" t="s">
        <v>5104</v>
      </c>
      <c r="L463" s="205" t="s">
        <v>6806</v>
      </c>
      <c r="M463" s="205" t="s">
        <v>485</v>
      </c>
      <c r="N463" s="204" t="s">
        <v>213</v>
      </c>
      <c r="O463" s="204" t="s">
        <v>11</v>
      </c>
      <c r="P463" s="206">
        <v>2600</v>
      </c>
      <c r="Q463" s="215">
        <v>2380</v>
      </c>
      <c r="R463" s="207">
        <v>50000</v>
      </c>
      <c r="S463" s="207">
        <f t="shared" si="156"/>
        <v>119000000</v>
      </c>
      <c r="T463" s="589" t="s">
        <v>11</v>
      </c>
      <c r="U463" s="157">
        <v>50000</v>
      </c>
      <c r="V463" s="158">
        <f t="shared" si="168"/>
        <v>49400</v>
      </c>
      <c r="W463" s="159">
        <f t="shared" si="158"/>
        <v>600</v>
      </c>
      <c r="X463" s="159">
        <f t="shared" si="159"/>
        <v>1428000</v>
      </c>
      <c r="Y463" s="160"/>
      <c r="Z463" s="160">
        <f t="shared" si="160"/>
        <v>0</v>
      </c>
      <c r="AA463" s="165"/>
      <c r="AB463" s="161">
        <f t="shared" si="161"/>
        <v>0</v>
      </c>
      <c r="AC463" s="162"/>
      <c r="AD463" s="162">
        <f t="shared" si="169"/>
        <v>0</v>
      </c>
      <c r="AE463" s="164"/>
      <c r="AF463" s="164">
        <f t="shared" si="170"/>
        <v>0</v>
      </c>
      <c r="AG463" s="165"/>
      <c r="AH463" s="165">
        <f t="shared" si="171"/>
        <v>0</v>
      </c>
      <c r="AI463" s="166">
        <v>0</v>
      </c>
      <c r="AJ463" s="166">
        <f t="shared" si="172"/>
        <v>0</v>
      </c>
      <c r="AK463" s="162"/>
      <c r="AL463" s="162">
        <f t="shared" si="167"/>
        <v>0</v>
      </c>
      <c r="AM463" s="173"/>
      <c r="AN463" s="167">
        <f t="shared" si="162"/>
        <v>0</v>
      </c>
      <c r="AO463" s="163"/>
      <c r="AP463" s="163">
        <f t="shared" si="163"/>
        <v>0</v>
      </c>
      <c r="AQ463" s="168"/>
      <c r="AR463" s="168">
        <f t="shared" si="164"/>
        <v>0</v>
      </c>
      <c r="AS463" s="170">
        <v>600</v>
      </c>
      <c r="AT463" s="170">
        <f t="shared" si="165"/>
        <v>1428000</v>
      </c>
      <c r="AU463" s="166"/>
      <c r="AV463" s="166">
        <f t="shared" si="166"/>
        <v>0</v>
      </c>
    </row>
    <row r="464" spans="1:48" s="131" customFormat="1" ht="31.5">
      <c r="A464" s="148" t="s">
        <v>6849</v>
      </c>
      <c r="B464" s="149" t="s">
        <v>2385</v>
      </c>
      <c r="C464" s="150" t="s">
        <v>2380</v>
      </c>
      <c r="D464" s="240" t="s">
        <v>4313</v>
      </c>
      <c r="E464" s="590"/>
      <c r="F464" s="203" t="s">
        <v>1647</v>
      </c>
      <c r="G464" s="204" t="s">
        <v>1004</v>
      </c>
      <c r="H464" s="204">
        <v>2</v>
      </c>
      <c r="I464" s="203" t="s">
        <v>6850</v>
      </c>
      <c r="J464" s="205" t="s">
        <v>6009</v>
      </c>
      <c r="K464" s="203" t="s">
        <v>5104</v>
      </c>
      <c r="L464" s="205" t="s">
        <v>6851</v>
      </c>
      <c r="M464" s="205" t="s">
        <v>6689</v>
      </c>
      <c r="N464" s="204" t="s">
        <v>213</v>
      </c>
      <c r="O464" s="204" t="s">
        <v>11</v>
      </c>
      <c r="P464" s="206">
        <v>1700</v>
      </c>
      <c r="Q464" s="206">
        <v>640</v>
      </c>
      <c r="R464" s="207">
        <v>30000</v>
      </c>
      <c r="S464" s="207">
        <f t="shared" si="156"/>
        <v>19200000</v>
      </c>
      <c r="T464" s="589"/>
      <c r="U464" s="157">
        <v>30000</v>
      </c>
      <c r="V464" s="158">
        <f t="shared" si="168"/>
        <v>30000</v>
      </c>
      <c r="W464" s="159">
        <f t="shared" si="158"/>
        <v>0</v>
      </c>
      <c r="X464" s="159">
        <f t="shared" si="159"/>
        <v>0</v>
      </c>
      <c r="Y464" s="160"/>
      <c r="Z464" s="160">
        <f t="shared" si="160"/>
        <v>0</v>
      </c>
      <c r="AA464" s="165"/>
      <c r="AB464" s="161">
        <f t="shared" si="161"/>
        <v>0</v>
      </c>
      <c r="AC464" s="162"/>
      <c r="AD464" s="162">
        <f t="shared" si="169"/>
        <v>0</v>
      </c>
      <c r="AE464" s="164"/>
      <c r="AF464" s="164">
        <f t="shared" si="170"/>
        <v>0</v>
      </c>
      <c r="AG464" s="165"/>
      <c r="AH464" s="165">
        <f t="shared" si="171"/>
        <v>0</v>
      </c>
      <c r="AI464" s="166">
        <v>0</v>
      </c>
      <c r="AJ464" s="166">
        <f t="shared" si="172"/>
        <v>0</v>
      </c>
      <c r="AK464" s="162"/>
      <c r="AL464" s="162">
        <f t="shared" si="167"/>
        <v>0</v>
      </c>
      <c r="AM464" s="173"/>
      <c r="AN464" s="167">
        <f t="shared" si="162"/>
        <v>0</v>
      </c>
      <c r="AO464" s="163"/>
      <c r="AP464" s="163">
        <f t="shared" si="163"/>
        <v>0</v>
      </c>
      <c r="AQ464" s="168"/>
      <c r="AR464" s="168">
        <f t="shared" si="164"/>
        <v>0</v>
      </c>
      <c r="AS464" s="170"/>
      <c r="AT464" s="170">
        <f t="shared" si="165"/>
        <v>0</v>
      </c>
      <c r="AU464" s="166"/>
      <c r="AV464" s="166">
        <f t="shared" si="166"/>
        <v>0</v>
      </c>
    </row>
    <row r="465" spans="1:48" s="131" customFormat="1">
      <c r="A465" s="148" t="s">
        <v>6934</v>
      </c>
      <c r="B465" s="149" t="s">
        <v>2385</v>
      </c>
      <c r="C465" s="150" t="s">
        <v>2380</v>
      </c>
      <c r="D465" s="240" t="s">
        <v>3768</v>
      </c>
      <c r="E465" s="590" t="s">
        <v>12642</v>
      </c>
      <c r="F465" s="203" t="s">
        <v>1480</v>
      </c>
      <c r="G465" s="204" t="s">
        <v>310</v>
      </c>
      <c r="H465" s="204">
        <v>3</v>
      </c>
      <c r="I465" s="203" t="s">
        <v>3769</v>
      </c>
      <c r="J465" s="205" t="s">
        <v>6935</v>
      </c>
      <c r="K465" s="203" t="s">
        <v>5104</v>
      </c>
      <c r="L465" s="205" t="s">
        <v>6936</v>
      </c>
      <c r="M465" s="205" t="s">
        <v>2385</v>
      </c>
      <c r="N465" s="204" t="s">
        <v>213</v>
      </c>
      <c r="O465" s="204" t="s">
        <v>11</v>
      </c>
      <c r="P465" s="206">
        <v>380</v>
      </c>
      <c r="Q465" s="206">
        <v>127</v>
      </c>
      <c r="R465" s="207">
        <v>20000</v>
      </c>
      <c r="S465" s="207">
        <f t="shared" si="156"/>
        <v>2540000</v>
      </c>
      <c r="T465" s="589"/>
      <c r="U465" s="157">
        <v>20000</v>
      </c>
      <c r="V465" s="158">
        <f t="shared" si="168"/>
        <v>3200</v>
      </c>
      <c r="W465" s="159">
        <f t="shared" si="158"/>
        <v>16800</v>
      </c>
      <c r="X465" s="159">
        <f t="shared" si="159"/>
        <v>2133600</v>
      </c>
      <c r="Y465" s="160"/>
      <c r="Z465" s="160">
        <f t="shared" si="160"/>
        <v>0</v>
      </c>
      <c r="AA465" s="165">
        <v>8000</v>
      </c>
      <c r="AB465" s="161">
        <f t="shared" si="161"/>
        <v>1016000</v>
      </c>
      <c r="AC465" s="162"/>
      <c r="AD465" s="162">
        <f t="shared" si="169"/>
        <v>0</v>
      </c>
      <c r="AE465" s="164"/>
      <c r="AF465" s="164">
        <f t="shared" si="170"/>
        <v>0</v>
      </c>
      <c r="AG465" s="165">
        <v>5300</v>
      </c>
      <c r="AH465" s="165">
        <f t="shared" si="171"/>
        <v>673100</v>
      </c>
      <c r="AI465" s="166">
        <v>0</v>
      </c>
      <c r="AJ465" s="166">
        <f t="shared" si="172"/>
        <v>0</v>
      </c>
      <c r="AK465" s="162"/>
      <c r="AL465" s="162">
        <f t="shared" si="167"/>
        <v>0</v>
      </c>
      <c r="AM465" s="173">
        <v>3500</v>
      </c>
      <c r="AN465" s="167">
        <f t="shared" si="162"/>
        <v>444500</v>
      </c>
      <c r="AO465" s="163"/>
      <c r="AP465" s="163">
        <f t="shared" si="163"/>
        <v>0</v>
      </c>
      <c r="AQ465" s="168"/>
      <c r="AR465" s="168">
        <f t="shared" si="164"/>
        <v>0</v>
      </c>
      <c r="AS465" s="170"/>
      <c r="AT465" s="170">
        <f t="shared" si="165"/>
        <v>0</v>
      </c>
      <c r="AU465" s="166"/>
      <c r="AV465" s="166">
        <f t="shared" si="166"/>
        <v>0</v>
      </c>
    </row>
    <row r="466" spans="1:48" s="131" customFormat="1">
      <c r="A466" s="148" t="s">
        <v>6980</v>
      </c>
      <c r="B466" s="149" t="s">
        <v>2385</v>
      </c>
      <c r="C466" s="150" t="s">
        <v>2380</v>
      </c>
      <c r="D466" s="240" t="s">
        <v>3914</v>
      </c>
      <c r="E466" s="590" t="s">
        <v>12642</v>
      </c>
      <c r="F466" s="203" t="s">
        <v>2470</v>
      </c>
      <c r="G466" s="204" t="s">
        <v>384</v>
      </c>
      <c r="H466" s="204">
        <v>3</v>
      </c>
      <c r="I466" s="203" t="s">
        <v>6981</v>
      </c>
      <c r="J466" s="205" t="s">
        <v>6982</v>
      </c>
      <c r="K466" s="203" t="s">
        <v>5111</v>
      </c>
      <c r="L466" s="205" t="s">
        <v>6983</v>
      </c>
      <c r="M466" s="205" t="s">
        <v>2385</v>
      </c>
      <c r="N466" s="204" t="s">
        <v>213</v>
      </c>
      <c r="O466" s="204" t="s">
        <v>11</v>
      </c>
      <c r="P466" s="206">
        <v>500</v>
      </c>
      <c r="Q466" s="206">
        <v>129</v>
      </c>
      <c r="R466" s="207">
        <v>200000</v>
      </c>
      <c r="S466" s="207">
        <f t="shared" si="156"/>
        <v>25800000</v>
      </c>
      <c r="T466" s="589" t="s">
        <v>11</v>
      </c>
      <c r="U466" s="157">
        <v>200000</v>
      </c>
      <c r="V466" s="158">
        <f t="shared" si="168"/>
        <v>200000</v>
      </c>
      <c r="W466" s="159">
        <f t="shared" si="158"/>
        <v>0</v>
      </c>
      <c r="X466" s="159">
        <f t="shared" si="159"/>
        <v>0</v>
      </c>
      <c r="Y466" s="160"/>
      <c r="Z466" s="160">
        <f t="shared" si="160"/>
        <v>0</v>
      </c>
      <c r="AA466" s="165"/>
      <c r="AB466" s="161">
        <f t="shared" si="161"/>
        <v>0</v>
      </c>
      <c r="AC466" s="162"/>
      <c r="AD466" s="162">
        <f t="shared" si="169"/>
        <v>0</v>
      </c>
      <c r="AE466" s="164"/>
      <c r="AF466" s="164">
        <f t="shared" si="170"/>
        <v>0</v>
      </c>
      <c r="AG466" s="165"/>
      <c r="AH466" s="165">
        <f t="shared" si="171"/>
        <v>0</v>
      </c>
      <c r="AI466" s="166">
        <v>0</v>
      </c>
      <c r="AJ466" s="166">
        <f t="shared" si="172"/>
        <v>0</v>
      </c>
      <c r="AK466" s="162"/>
      <c r="AL466" s="162">
        <f t="shared" si="167"/>
        <v>0</v>
      </c>
      <c r="AM466" s="173"/>
      <c r="AN466" s="167">
        <f t="shared" si="162"/>
        <v>0</v>
      </c>
      <c r="AO466" s="163"/>
      <c r="AP466" s="163">
        <f t="shared" si="163"/>
        <v>0</v>
      </c>
      <c r="AQ466" s="168"/>
      <c r="AR466" s="168">
        <f t="shared" si="164"/>
        <v>0</v>
      </c>
      <c r="AS466" s="170"/>
      <c r="AT466" s="170">
        <f t="shared" si="165"/>
        <v>0</v>
      </c>
      <c r="AU466" s="166"/>
      <c r="AV466" s="166">
        <f t="shared" si="166"/>
        <v>0</v>
      </c>
    </row>
    <row r="467" spans="1:48" s="131" customFormat="1">
      <c r="A467" s="172" t="s">
        <v>6984</v>
      </c>
      <c r="B467" s="149" t="s">
        <v>2385</v>
      </c>
      <c r="C467" s="150" t="s">
        <v>2380</v>
      </c>
      <c r="D467" s="240" t="s">
        <v>4391</v>
      </c>
      <c r="E467" s="590" t="s">
        <v>12642</v>
      </c>
      <c r="F467" s="203" t="s">
        <v>4392</v>
      </c>
      <c r="G467" s="204" t="s">
        <v>291</v>
      </c>
      <c r="H467" s="204">
        <v>3</v>
      </c>
      <c r="I467" s="203" t="s">
        <v>1882</v>
      </c>
      <c r="J467" s="205" t="s">
        <v>6982</v>
      </c>
      <c r="K467" s="203" t="s">
        <v>5104</v>
      </c>
      <c r="L467" s="205" t="s">
        <v>1883</v>
      </c>
      <c r="M467" s="205" t="s">
        <v>2385</v>
      </c>
      <c r="N467" s="204" t="s">
        <v>213</v>
      </c>
      <c r="O467" s="204" t="s">
        <v>11</v>
      </c>
      <c r="P467" s="206">
        <v>770</v>
      </c>
      <c r="Q467" s="206">
        <v>508</v>
      </c>
      <c r="R467" s="207">
        <v>30000</v>
      </c>
      <c r="S467" s="207">
        <f t="shared" si="156"/>
        <v>15240000</v>
      </c>
      <c r="T467" s="589"/>
      <c r="U467" s="157">
        <v>30000</v>
      </c>
      <c r="V467" s="158">
        <f t="shared" si="168"/>
        <v>27500</v>
      </c>
      <c r="W467" s="159">
        <f t="shared" si="158"/>
        <v>2500</v>
      </c>
      <c r="X467" s="159">
        <f t="shared" si="159"/>
        <v>1270000</v>
      </c>
      <c r="Y467" s="160"/>
      <c r="Z467" s="160">
        <f t="shared" si="160"/>
        <v>0</v>
      </c>
      <c r="AA467" s="165">
        <v>2000</v>
      </c>
      <c r="AB467" s="161">
        <f t="shared" si="161"/>
        <v>1016000</v>
      </c>
      <c r="AC467" s="162"/>
      <c r="AD467" s="162">
        <f t="shared" si="169"/>
        <v>0</v>
      </c>
      <c r="AE467" s="164"/>
      <c r="AF467" s="164">
        <f t="shared" si="170"/>
        <v>0</v>
      </c>
      <c r="AG467" s="165">
        <v>500</v>
      </c>
      <c r="AH467" s="165">
        <f t="shared" si="171"/>
        <v>254000</v>
      </c>
      <c r="AI467" s="166">
        <v>0</v>
      </c>
      <c r="AJ467" s="166">
        <f t="shared" si="172"/>
        <v>0</v>
      </c>
      <c r="AK467" s="162"/>
      <c r="AL467" s="162">
        <f t="shared" si="167"/>
        <v>0</v>
      </c>
      <c r="AM467" s="173"/>
      <c r="AN467" s="167">
        <f t="shared" si="162"/>
        <v>0</v>
      </c>
      <c r="AO467" s="163"/>
      <c r="AP467" s="163">
        <f t="shared" si="163"/>
        <v>0</v>
      </c>
      <c r="AQ467" s="168"/>
      <c r="AR467" s="168">
        <f t="shared" si="164"/>
        <v>0</v>
      </c>
      <c r="AS467" s="170"/>
      <c r="AT467" s="170">
        <f t="shared" si="165"/>
        <v>0</v>
      </c>
      <c r="AU467" s="166"/>
      <c r="AV467" s="166">
        <f t="shared" si="166"/>
        <v>0</v>
      </c>
    </row>
    <row r="468" spans="1:48" s="131" customFormat="1" ht="31.5">
      <c r="A468" s="148" t="s">
        <v>7130</v>
      </c>
      <c r="B468" s="149" t="s">
        <v>2385</v>
      </c>
      <c r="C468" s="150" t="s">
        <v>2380</v>
      </c>
      <c r="D468" s="240" t="s">
        <v>4408</v>
      </c>
      <c r="E468" s="590"/>
      <c r="F468" s="203" t="s">
        <v>1289</v>
      </c>
      <c r="G468" s="204" t="s">
        <v>1290</v>
      </c>
      <c r="H468" s="204">
        <v>3</v>
      </c>
      <c r="I468" s="203" t="s">
        <v>4409</v>
      </c>
      <c r="J468" s="205" t="s">
        <v>7131</v>
      </c>
      <c r="K468" s="203" t="s">
        <v>5104</v>
      </c>
      <c r="L468" s="205" t="s">
        <v>7132</v>
      </c>
      <c r="M468" s="205" t="s">
        <v>2385</v>
      </c>
      <c r="N468" s="204" t="s">
        <v>213</v>
      </c>
      <c r="O468" s="204" t="s">
        <v>11</v>
      </c>
      <c r="P468" s="206">
        <v>2600</v>
      </c>
      <c r="Q468" s="206">
        <v>434</v>
      </c>
      <c r="R468" s="207">
        <v>20000</v>
      </c>
      <c r="S468" s="207">
        <f t="shared" si="156"/>
        <v>8680000</v>
      </c>
      <c r="T468" s="589"/>
      <c r="U468" s="157">
        <v>20000</v>
      </c>
      <c r="V468" s="158">
        <f t="shared" si="168"/>
        <v>10000</v>
      </c>
      <c r="W468" s="159">
        <f t="shared" si="158"/>
        <v>10000</v>
      </c>
      <c r="X468" s="159">
        <f t="shared" si="159"/>
        <v>4340000</v>
      </c>
      <c r="Y468" s="160"/>
      <c r="Z468" s="160">
        <f t="shared" si="160"/>
        <v>0</v>
      </c>
      <c r="AA468" s="165"/>
      <c r="AB468" s="161">
        <f t="shared" si="161"/>
        <v>0</v>
      </c>
      <c r="AC468" s="162"/>
      <c r="AD468" s="162">
        <f t="shared" si="169"/>
        <v>0</v>
      </c>
      <c r="AE468" s="164"/>
      <c r="AF468" s="164">
        <f t="shared" si="170"/>
        <v>0</v>
      </c>
      <c r="AG468" s="165">
        <v>5000</v>
      </c>
      <c r="AH468" s="165">
        <f t="shared" si="171"/>
        <v>2170000</v>
      </c>
      <c r="AI468" s="166">
        <v>0</v>
      </c>
      <c r="AJ468" s="166">
        <f t="shared" si="172"/>
        <v>0</v>
      </c>
      <c r="AK468" s="162"/>
      <c r="AL468" s="162">
        <f t="shared" si="167"/>
        <v>0</v>
      </c>
      <c r="AM468" s="173">
        <v>5000</v>
      </c>
      <c r="AN468" s="167">
        <f t="shared" si="162"/>
        <v>2170000</v>
      </c>
      <c r="AO468" s="163"/>
      <c r="AP468" s="163">
        <f t="shared" si="163"/>
        <v>0</v>
      </c>
      <c r="AQ468" s="168"/>
      <c r="AR468" s="168">
        <f t="shared" si="164"/>
        <v>0</v>
      </c>
      <c r="AS468" s="170"/>
      <c r="AT468" s="170">
        <f t="shared" si="165"/>
        <v>0</v>
      </c>
      <c r="AU468" s="166"/>
      <c r="AV468" s="166">
        <f t="shared" si="166"/>
        <v>0</v>
      </c>
    </row>
    <row r="469" spans="1:48" s="131" customFormat="1" ht="31.5">
      <c r="A469" s="148" t="s">
        <v>7149</v>
      </c>
      <c r="B469" s="149" t="s">
        <v>2385</v>
      </c>
      <c r="C469" s="150" t="s">
        <v>2380</v>
      </c>
      <c r="D469" s="240" t="s">
        <v>5044</v>
      </c>
      <c r="E469" s="590" t="s">
        <v>12643</v>
      </c>
      <c r="F469" s="203" t="s">
        <v>1127</v>
      </c>
      <c r="G469" s="204" t="s">
        <v>5046</v>
      </c>
      <c r="H469" s="204">
        <v>3</v>
      </c>
      <c r="I469" s="203" t="s">
        <v>5045</v>
      </c>
      <c r="J469" s="205" t="s">
        <v>7150</v>
      </c>
      <c r="K469" s="203" t="s">
        <v>7151</v>
      </c>
      <c r="L469" s="205" t="s">
        <v>7152</v>
      </c>
      <c r="M469" s="205" t="s">
        <v>2385</v>
      </c>
      <c r="N469" s="204" t="s">
        <v>213</v>
      </c>
      <c r="O469" s="204" t="s">
        <v>11</v>
      </c>
      <c r="P469" s="206">
        <v>1200</v>
      </c>
      <c r="Q469" s="206">
        <v>378</v>
      </c>
      <c r="R469" s="207">
        <v>50000</v>
      </c>
      <c r="S469" s="207">
        <f t="shared" si="156"/>
        <v>18900000</v>
      </c>
      <c r="T469" s="589"/>
      <c r="U469" s="157">
        <v>50000</v>
      </c>
      <c r="V469" s="158">
        <f t="shared" si="168"/>
        <v>19000</v>
      </c>
      <c r="W469" s="159">
        <f t="shared" si="158"/>
        <v>31000</v>
      </c>
      <c r="X469" s="159">
        <f t="shared" si="159"/>
        <v>11718000</v>
      </c>
      <c r="Y469" s="160"/>
      <c r="Z469" s="160">
        <f t="shared" si="160"/>
        <v>0</v>
      </c>
      <c r="AA469" s="165"/>
      <c r="AB469" s="161">
        <f t="shared" si="161"/>
        <v>0</v>
      </c>
      <c r="AC469" s="162">
        <v>21000</v>
      </c>
      <c r="AD469" s="162">
        <f t="shared" si="169"/>
        <v>7938000</v>
      </c>
      <c r="AE469" s="164"/>
      <c r="AF469" s="164">
        <f t="shared" si="170"/>
        <v>0</v>
      </c>
      <c r="AG469" s="165">
        <v>7000</v>
      </c>
      <c r="AH469" s="165">
        <f t="shared" si="171"/>
        <v>2646000</v>
      </c>
      <c r="AI469" s="166">
        <v>0</v>
      </c>
      <c r="AJ469" s="166">
        <f t="shared" si="172"/>
        <v>0</v>
      </c>
      <c r="AK469" s="162"/>
      <c r="AL469" s="162">
        <f t="shared" si="167"/>
        <v>0</v>
      </c>
      <c r="AM469" s="173">
        <v>3000</v>
      </c>
      <c r="AN469" s="167">
        <f t="shared" si="162"/>
        <v>1134000</v>
      </c>
      <c r="AO469" s="163"/>
      <c r="AP469" s="163">
        <f t="shared" si="163"/>
        <v>0</v>
      </c>
      <c r="AQ469" s="168"/>
      <c r="AR469" s="168">
        <f t="shared" si="164"/>
        <v>0</v>
      </c>
      <c r="AS469" s="170"/>
      <c r="AT469" s="170">
        <f t="shared" si="165"/>
        <v>0</v>
      </c>
      <c r="AU469" s="166"/>
      <c r="AV469" s="166">
        <f t="shared" si="166"/>
        <v>0</v>
      </c>
    </row>
    <row r="470" spans="1:48" s="131" customFormat="1" ht="31.5">
      <c r="A470" s="148" t="s">
        <v>7162</v>
      </c>
      <c r="B470" s="149" t="s">
        <v>2385</v>
      </c>
      <c r="C470" s="150" t="s">
        <v>2380</v>
      </c>
      <c r="D470" s="240" t="s">
        <v>5062</v>
      </c>
      <c r="E470" s="590" t="s">
        <v>12643</v>
      </c>
      <c r="F470" s="203" t="s">
        <v>1443</v>
      </c>
      <c r="G470" s="204" t="s">
        <v>272</v>
      </c>
      <c r="H470" s="204">
        <v>3</v>
      </c>
      <c r="I470" s="203" t="s">
        <v>5063</v>
      </c>
      <c r="J470" s="205" t="s">
        <v>7131</v>
      </c>
      <c r="K470" s="203" t="s">
        <v>5104</v>
      </c>
      <c r="L470" s="205" t="s">
        <v>7163</v>
      </c>
      <c r="M470" s="205" t="s">
        <v>2385</v>
      </c>
      <c r="N470" s="204" t="s">
        <v>213</v>
      </c>
      <c r="O470" s="204" t="s">
        <v>11</v>
      </c>
      <c r="P470" s="206">
        <v>900</v>
      </c>
      <c r="Q470" s="206">
        <v>343</v>
      </c>
      <c r="R470" s="207">
        <v>120000</v>
      </c>
      <c r="S470" s="207">
        <f t="shared" si="156"/>
        <v>41160000</v>
      </c>
      <c r="T470" s="589"/>
      <c r="U470" s="157">
        <v>120000</v>
      </c>
      <c r="V470" s="158">
        <f t="shared" si="168"/>
        <v>101500</v>
      </c>
      <c r="W470" s="159">
        <f t="shared" si="158"/>
        <v>18500</v>
      </c>
      <c r="X470" s="159">
        <f t="shared" si="159"/>
        <v>6345500</v>
      </c>
      <c r="Y470" s="160"/>
      <c r="Z470" s="160">
        <f t="shared" si="160"/>
        <v>0</v>
      </c>
      <c r="AA470" s="165">
        <v>9000</v>
      </c>
      <c r="AB470" s="161">
        <f t="shared" si="161"/>
        <v>3087000</v>
      </c>
      <c r="AC470" s="162"/>
      <c r="AD470" s="162">
        <f t="shared" si="169"/>
        <v>0</v>
      </c>
      <c r="AE470" s="164"/>
      <c r="AF470" s="164">
        <f t="shared" si="170"/>
        <v>0</v>
      </c>
      <c r="AG470" s="165"/>
      <c r="AH470" s="165">
        <f t="shared" si="171"/>
        <v>0</v>
      </c>
      <c r="AI470" s="166">
        <v>7500</v>
      </c>
      <c r="AJ470" s="166">
        <f t="shared" si="172"/>
        <v>2572500</v>
      </c>
      <c r="AK470" s="162"/>
      <c r="AL470" s="162">
        <f t="shared" si="167"/>
        <v>0</v>
      </c>
      <c r="AM470" s="173">
        <v>2000</v>
      </c>
      <c r="AN470" s="167">
        <f t="shared" si="162"/>
        <v>686000</v>
      </c>
      <c r="AO470" s="163"/>
      <c r="AP470" s="163">
        <f t="shared" si="163"/>
        <v>0</v>
      </c>
      <c r="AQ470" s="168"/>
      <c r="AR470" s="168">
        <f t="shared" si="164"/>
        <v>0</v>
      </c>
      <c r="AS470" s="170"/>
      <c r="AT470" s="170">
        <f t="shared" si="165"/>
        <v>0</v>
      </c>
      <c r="AU470" s="166"/>
      <c r="AV470" s="166">
        <f t="shared" si="166"/>
        <v>0</v>
      </c>
    </row>
    <row r="471" spans="1:48" s="131" customFormat="1" ht="31.5">
      <c r="A471" s="148" t="s">
        <v>7178</v>
      </c>
      <c r="B471" s="149" t="s">
        <v>2385</v>
      </c>
      <c r="C471" s="150" t="s">
        <v>2380</v>
      </c>
      <c r="D471" s="240" t="s">
        <v>5006</v>
      </c>
      <c r="E471" s="590" t="s">
        <v>12643</v>
      </c>
      <c r="F471" s="203" t="s">
        <v>1636</v>
      </c>
      <c r="G471" s="204" t="s">
        <v>5007</v>
      </c>
      <c r="H471" s="204">
        <v>3</v>
      </c>
      <c r="I471" s="203" t="s">
        <v>1895</v>
      </c>
      <c r="J471" s="205" t="s">
        <v>7179</v>
      </c>
      <c r="K471" s="203" t="s">
        <v>5104</v>
      </c>
      <c r="L471" s="205" t="s">
        <v>1898</v>
      </c>
      <c r="M471" s="205" t="s">
        <v>7180</v>
      </c>
      <c r="N471" s="204" t="s">
        <v>213</v>
      </c>
      <c r="O471" s="204" t="s">
        <v>11</v>
      </c>
      <c r="P471" s="206">
        <v>2600</v>
      </c>
      <c r="Q471" s="206">
        <v>2600</v>
      </c>
      <c r="R471" s="207">
        <v>100000</v>
      </c>
      <c r="S471" s="207">
        <f t="shared" si="156"/>
        <v>260000000</v>
      </c>
      <c r="T471" s="589"/>
      <c r="U471" s="157">
        <v>100000</v>
      </c>
      <c r="V471" s="158">
        <f t="shared" si="168"/>
        <v>94900</v>
      </c>
      <c r="W471" s="159">
        <f t="shared" si="158"/>
        <v>5100</v>
      </c>
      <c r="X471" s="159">
        <f t="shared" si="159"/>
        <v>13260000</v>
      </c>
      <c r="Y471" s="160"/>
      <c r="Z471" s="160">
        <f t="shared" si="160"/>
        <v>0</v>
      </c>
      <c r="AA471" s="165">
        <v>5100</v>
      </c>
      <c r="AB471" s="161">
        <f t="shared" si="161"/>
        <v>13260000</v>
      </c>
      <c r="AC471" s="162"/>
      <c r="AD471" s="162">
        <f t="shared" si="169"/>
        <v>0</v>
      </c>
      <c r="AE471" s="164"/>
      <c r="AF471" s="164">
        <f t="shared" si="170"/>
        <v>0</v>
      </c>
      <c r="AG471" s="165"/>
      <c r="AH471" s="165">
        <f t="shared" si="171"/>
        <v>0</v>
      </c>
      <c r="AI471" s="166">
        <v>0</v>
      </c>
      <c r="AJ471" s="166">
        <f t="shared" si="172"/>
        <v>0</v>
      </c>
      <c r="AK471" s="162"/>
      <c r="AL471" s="162">
        <f t="shared" si="167"/>
        <v>0</v>
      </c>
      <c r="AM471" s="173"/>
      <c r="AN471" s="167">
        <f t="shared" si="162"/>
        <v>0</v>
      </c>
      <c r="AO471" s="163"/>
      <c r="AP471" s="163">
        <f t="shared" si="163"/>
        <v>0</v>
      </c>
      <c r="AQ471" s="168"/>
      <c r="AR471" s="168">
        <f t="shared" si="164"/>
        <v>0</v>
      </c>
      <c r="AS471" s="170"/>
      <c r="AT471" s="170">
        <f t="shared" si="165"/>
        <v>0</v>
      </c>
      <c r="AU471" s="166"/>
      <c r="AV471" s="166">
        <f t="shared" si="166"/>
        <v>0</v>
      </c>
    </row>
    <row r="472" spans="1:48" s="131" customFormat="1" ht="31.5">
      <c r="A472" s="148" t="s">
        <v>7486</v>
      </c>
      <c r="B472" s="149" t="s">
        <v>2385</v>
      </c>
      <c r="C472" s="150" t="s">
        <v>2380</v>
      </c>
      <c r="D472" s="240" t="s">
        <v>3928</v>
      </c>
      <c r="E472" s="590" t="s">
        <v>12642</v>
      </c>
      <c r="F472" s="203" t="s">
        <v>1330</v>
      </c>
      <c r="G472" s="204" t="s">
        <v>1580</v>
      </c>
      <c r="H472" s="204">
        <v>3</v>
      </c>
      <c r="I472" s="203" t="s">
        <v>3929</v>
      </c>
      <c r="J472" s="205" t="s">
        <v>7487</v>
      </c>
      <c r="K472" s="203" t="s">
        <v>5784</v>
      </c>
      <c r="L472" s="205" t="s">
        <v>7488</v>
      </c>
      <c r="M472" s="205" t="s">
        <v>2385</v>
      </c>
      <c r="N472" s="204" t="s">
        <v>213</v>
      </c>
      <c r="O472" s="204" t="s">
        <v>11</v>
      </c>
      <c r="P472" s="206">
        <v>250</v>
      </c>
      <c r="Q472" s="206">
        <v>140</v>
      </c>
      <c r="R472" s="207">
        <v>100000</v>
      </c>
      <c r="S472" s="207">
        <f t="shared" si="156"/>
        <v>14000000</v>
      </c>
      <c r="T472" s="589"/>
      <c r="U472" s="157">
        <v>100000</v>
      </c>
      <c r="V472" s="158">
        <f t="shared" si="168"/>
        <v>85000</v>
      </c>
      <c r="W472" s="159">
        <f t="shared" si="158"/>
        <v>15000</v>
      </c>
      <c r="X472" s="159">
        <f t="shared" si="159"/>
        <v>2100000</v>
      </c>
      <c r="Y472" s="160"/>
      <c r="Z472" s="160">
        <f t="shared" si="160"/>
        <v>0</v>
      </c>
      <c r="AA472" s="165">
        <v>5000</v>
      </c>
      <c r="AB472" s="161">
        <f t="shared" si="161"/>
        <v>700000</v>
      </c>
      <c r="AC472" s="162"/>
      <c r="AD472" s="162">
        <f t="shared" si="169"/>
        <v>0</v>
      </c>
      <c r="AE472" s="164"/>
      <c r="AF472" s="164">
        <f t="shared" si="170"/>
        <v>0</v>
      </c>
      <c r="AG472" s="165">
        <v>9000</v>
      </c>
      <c r="AH472" s="165">
        <f t="shared" si="171"/>
        <v>1260000</v>
      </c>
      <c r="AI472" s="166">
        <v>0</v>
      </c>
      <c r="AJ472" s="166">
        <f t="shared" si="172"/>
        <v>0</v>
      </c>
      <c r="AK472" s="162"/>
      <c r="AL472" s="162">
        <f t="shared" si="167"/>
        <v>0</v>
      </c>
      <c r="AM472" s="173">
        <v>1000</v>
      </c>
      <c r="AN472" s="167">
        <f t="shared" si="162"/>
        <v>140000</v>
      </c>
      <c r="AO472" s="163"/>
      <c r="AP472" s="163">
        <f t="shared" si="163"/>
        <v>0</v>
      </c>
      <c r="AQ472" s="168"/>
      <c r="AR472" s="168">
        <f t="shared" si="164"/>
        <v>0</v>
      </c>
      <c r="AS472" s="170"/>
      <c r="AT472" s="170">
        <f t="shared" si="165"/>
        <v>0</v>
      </c>
      <c r="AU472" s="166"/>
      <c r="AV472" s="166">
        <f t="shared" si="166"/>
        <v>0</v>
      </c>
    </row>
    <row r="473" spans="1:48" s="131" customFormat="1" ht="31.5">
      <c r="A473" s="148" t="s">
        <v>7612</v>
      </c>
      <c r="B473" s="149" t="s">
        <v>2385</v>
      </c>
      <c r="C473" s="150" t="s">
        <v>2380</v>
      </c>
      <c r="D473" s="240" t="s">
        <v>4412</v>
      </c>
      <c r="E473" s="590" t="s">
        <v>12642</v>
      </c>
      <c r="F473" s="203" t="s">
        <v>7613</v>
      </c>
      <c r="G473" s="204" t="s">
        <v>4415</v>
      </c>
      <c r="H473" s="204">
        <v>3</v>
      </c>
      <c r="I473" s="203" t="s">
        <v>4413</v>
      </c>
      <c r="J473" s="205" t="s">
        <v>6935</v>
      </c>
      <c r="K473" s="203" t="s">
        <v>5104</v>
      </c>
      <c r="L473" s="205" t="s">
        <v>7614</v>
      </c>
      <c r="M473" s="205" t="s">
        <v>2385</v>
      </c>
      <c r="N473" s="204" t="s">
        <v>213</v>
      </c>
      <c r="O473" s="204" t="s">
        <v>11</v>
      </c>
      <c r="P473" s="206">
        <v>600</v>
      </c>
      <c r="Q473" s="206">
        <v>348</v>
      </c>
      <c r="R473" s="207">
        <v>100000</v>
      </c>
      <c r="S473" s="207">
        <f t="shared" si="156"/>
        <v>34800000</v>
      </c>
      <c r="T473" s="589"/>
      <c r="U473" s="157">
        <v>100000</v>
      </c>
      <c r="V473" s="158">
        <f t="shared" si="168"/>
        <v>78000</v>
      </c>
      <c r="W473" s="159">
        <f t="shared" si="158"/>
        <v>22000</v>
      </c>
      <c r="X473" s="159">
        <f t="shared" si="159"/>
        <v>7656000</v>
      </c>
      <c r="Y473" s="160"/>
      <c r="Z473" s="160">
        <f t="shared" si="160"/>
        <v>0</v>
      </c>
      <c r="AA473" s="165">
        <v>22000</v>
      </c>
      <c r="AB473" s="161">
        <f t="shared" si="161"/>
        <v>7656000</v>
      </c>
      <c r="AC473" s="162"/>
      <c r="AD473" s="162">
        <f t="shared" si="169"/>
        <v>0</v>
      </c>
      <c r="AE473" s="164"/>
      <c r="AF473" s="164">
        <f t="shared" si="170"/>
        <v>0</v>
      </c>
      <c r="AG473" s="165"/>
      <c r="AH473" s="165">
        <f t="shared" si="171"/>
        <v>0</v>
      </c>
      <c r="AI473" s="166">
        <v>0</v>
      </c>
      <c r="AJ473" s="166">
        <f t="shared" si="172"/>
        <v>0</v>
      </c>
      <c r="AK473" s="162"/>
      <c r="AL473" s="162">
        <f t="shared" si="167"/>
        <v>0</v>
      </c>
      <c r="AM473" s="173"/>
      <c r="AN473" s="167">
        <f t="shared" si="162"/>
        <v>0</v>
      </c>
      <c r="AO473" s="163"/>
      <c r="AP473" s="163">
        <f t="shared" si="163"/>
        <v>0</v>
      </c>
      <c r="AQ473" s="168"/>
      <c r="AR473" s="168">
        <f t="shared" si="164"/>
        <v>0</v>
      </c>
      <c r="AS473" s="170"/>
      <c r="AT473" s="170">
        <f t="shared" si="165"/>
        <v>0</v>
      </c>
      <c r="AU473" s="166"/>
      <c r="AV473" s="166">
        <f t="shared" si="166"/>
        <v>0</v>
      </c>
    </row>
    <row r="474" spans="1:48" s="131" customFormat="1">
      <c r="A474" s="148" t="s">
        <v>7716</v>
      </c>
      <c r="B474" s="149" t="s">
        <v>2385</v>
      </c>
      <c r="C474" s="150" t="s">
        <v>2380</v>
      </c>
      <c r="D474" s="240" t="s">
        <v>4147</v>
      </c>
      <c r="E474" s="590" t="s">
        <v>12642</v>
      </c>
      <c r="F474" s="203" t="s">
        <v>645</v>
      </c>
      <c r="G474" s="204" t="s">
        <v>248</v>
      </c>
      <c r="H474" s="204">
        <v>3</v>
      </c>
      <c r="I474" s="203" t="s">
        <v>646</v>
      </c>
      <c r="J474" s="205" t="s">
        <v>7717</v>
      </c>
      <c r="K474" s="203" t="s">
        <v>5104</v>
      </c>
      <c r="L474" s="205" t="s">
        <v>7718</v>
      </c>
      <c r="M474" s="205" t="s">
        <v>2385</v>
      </c>
      <c r="N474" s="204" t="s">
        <v>213</v>
      </c>
      <c r="O474" s="204" t="s">
        <v>11</v>
      </c>
      <c r="P474" s="206">
        <v>1600</v>
      </c>
      <c r="Q474" s="206">
        <v>198</v>
      </c>
      <c r="R474" s="207">
        <v>30000</v>
      </c>
      <c r="S474" s="207">
        <f t="shared" si="156"/>
        <v>5940000</v>
      </c>
      <c r="T474" s="589"/>
      <c r="U474" s="157">
        <v>30000</v>
      </c>
      <c r="V474" s="158">
        <f t="shared" si="168"/>
        <v>30000</v>
      </c>
      <c r="W474" s="159">
        <f t="shared" si="158"/>
        <v>0</v>
      </c>
      <c r="X474" s="159">
        <f t="shared" si="159"/>
        <v>0</v>
      </c>
      <c r="Y474" s="160"/>
      <c r="Z474" s="160">
        <f t="shared" si="160"/>
        <v>0</v>
      </c>
      <c r="AA474" s="165"/>
      <c r="AB474" s="161">
        <f t="shared" si="161"/>
        <v>0</v>
      </c>
      <c r="AC474" s="162"/>
      <c r="AD474" s="162">
        <f t="shared" si="169"/>
        <v>0</v>
      </c>
      <c r="AE474" s="164"/>
      <c r="AF474" s="164">
        <f t="shared" si="170"/>
        <v>0</v>
      </c>
      <c r="AG474" s="165"/>
      <c r="AH474" s="165">
        <f t="shared" si="171"/>
        <v>0</v>
      </c>
      <c r="AI474" s="166">
        <v>0</v>
      </c>
      <c r="AJ474" s="166">
        <f t="shared" si="172"/>
        <v>0</v>
      </c>
      <c r="AK474" s="162"/>
      <c r="AL474" s="162">
        <f t="shared" si="167"/>
        <v>0</v>
      </c>
      <c r="AM474" s="173"/>
      <c r="AN474" s="167">
        <f t="shared" si="162"/>
        <v>0</v>
      </c>
      <c r="AO474" s="163"/>
      <c r="AP474" s="163">
        <f t="shared" si="163"/>
        <v>0</v>
      </c>
      <c r="AQ474" s="168"/>
      <c r="AR474" s="168">
        <f t="shared" si="164"/>
        <v>0</v>
      </c>
      <c r="AS474" s="170"/>
      <c r="AT474" s="170">
        <f t="shared" si="165"/>
        <v>0</v>
      </c>
      <c r="AU474" s="166"/>
      <c r="AV474" s="166">
        <f t="shared" si="166"/>
        <v>0</v>
      </c>
    </row>
    <row r="475" spans="1:48" s="131" customFormat="1" ht="31.5">
      <c r="A475" s="148" t="s">
        <v>7828</v>
      </c>
      <c r="B475" s="149" t="s">
        <v>2385</v>
      </c>
      <c r="C475" s="150" t="s">
        <v>2380</v>
      </c>
      <c r="D475" s="240" t="s">
        <v>4418</v>
      </c>
      <c r="E475" s="590"/>
      <c r="F475" s="203" t="s">
        <v>729</v>
      </c>
      <c r="G475" s="204" t="s">
        <v>17</v>
      </c>
      <c r="H475" s="204">
        <v>3</v>
      </c>
      <c r="I475" s="203" t="s">
        <v>4419</v>
      </c>
      <c r="J475" s="205" t="s">
        <v>7131</v>
      </c>
      <c r="K475" s="203" t="s">
        <v>5104</v>
      </c>
      <c r="L475" s="205" t="s">
        <v>7829</v>
      </c>
      <c r="M475" s="205" t="s">
        <v>2385</v>
      </c>
      <c r="N475" s="204" t="s">
        <v>213</v>
      </c>
      <c r="O475" s="204" t="s">
        <v>11</v>
      </c>
      <c r="P475" s="206">
        <v>900</v>
      </c>
      <c r="Q475" s="206">
        <v>443</v>
      </c>
      <c r="R475" s="207">
        <v>100000</v>
      </c>
      <c r="S475" s="207">
        <f t="shared" si="156"/>
        <v>44300000</v>
      </c>
      <c r="T475" s="589"/>
      <c r="U475" s="157">
        <v>100000</v>
      </c>
      <c r="V475" s="158">
        <f t="shared" si="168"/>
        <v>90000</v>
      </c>
      <c r="W475" s="159">
        <f t="shared" si="158"/>
        <v>10000</v>
      </c>
      <c r="X475" s="159">
        <f t="shared" si="159"/>
        <v>4430000</v>
      </c>
      <c r="Y475" s="160"/>
      <c r="Z475" s="160">
        <f t="shared" si="160"/>
        <v>0</v>
      </c>
      <c r="AA475" s="165"/>
      <c r="AB475" s="161">
        <f t="shared" si="161"/>
        <v>0</v>
      </c>
      <c r="AC475" s="162"/>
      <c r="AD475" s="162">
        <f t="shared" si="169"/>
        <v>0</v>
      </c>
      <c r="AE475" s="164"/>
      <c r="AF475" s="164">
        <f t="shared" si="170"/>
        <v>0</v>
      </c>
      <c r="AG475" s="165"/>
      <c r="AH475" s="165">
        <f t="shared" si="171"/>
        <v>0</v>
      </c>
      <c r="AI475" s="166">
        <v>0</v>
      </c>
      <c r="AJ475" s="166">
        <f t="shared" si="172"/>
        <v>0</v>
      </c>
      <c r="AK475" s="162"/>
      <c r="AL475" s="162">
        <f t="shared" si="167"/>
        <v>0</v>
      </c>
      <c r="AM475" s="173">
        <v>10000</v>
      </c>
      <c r="AN475" s="167">
        <f t="shared" si="162"/>
        <v>4430000</v>
      </c>
      <c r="AO475" s="163"/>
      <c r="AP475" s="163">
        <f t="shared" si="163"/>
        <v>0</v>
      </c>
      <c r="AQ475" s="168"/>
      <c r="AR475" s="168">
        <f t="shared" si="164"/>
        <v>0</v>
      </c>
      <c r="AS475" s="170"/>
      <c r="AT475" s="170">
        <f t="shared" si="165"/>
        <v>0</v>
      </c>
      <c r="AU475" s="166"/>
      <c r="AV475" s="166">
        <f t="shared" si="166"/>
        <v>0</v>
      </c>
    </row>
    <row r="476" spans="1:48" ht="31.5">
      <c r="A476" s="148" t="s">
        <v>7906</v>
      </c>
      <c r="B476" s="149" t="s">
        <v>2385</v>
      </c>
      <c r="C476" s="150" t="s">
        <v>2380</v>
      </c>
      <c r="D476" s="240" t="s">
        <v>7907</v>
      </c>
      <c r="E476" s="590" t="s">
        <v>12642</v>
      </c>
      <c r="F476" s="203" t="s">
        <v>736</v>
      </c>
      <c r="G476" s="204" t="s">
        <v>7908</v>
      </c>
      <c r="H476" s="204">
        <v>3</v>
      </c>
      <c r="I476" s="203" t="s">
        <v>7909</v>
      </c>
      <c r="J476" s="205" t="s">
        <v>7910</v>
      </c>
      <c r="K476" s="203" t="s">
        <v>5784</v>
      </c>
      <c r="L476" s="205" t="s">
        <v>7911</v>
      </c>
      <c r="M476" s="205" t="s">
        <v>7180</v>
      </c>
      <c r="N476" s="204" t="s">
        <v>213</v>
      </c>
      <c r="O476" s="204" t="s">
        <v>12</v>
      </c>
      <c r="P476" s="206">
        <v>3400</v>
      </c>
      <c r="Q476" s="206">
        <v>2540</v>
      </c>
      <c r="R476" s="207">
        <v>80000</v>
      </c>
      <c r="S476" s="207">
        <f t="shared" si="156"/>
        <v>203200000</v>
      </c>
      <c r="T476" s="589"/>
      <c r="U476" s="157">
        <v>80000</v>
      </c>
      <c r="V476" s="158">
        <f t="shared" si="168"/>
        <v>80000</v>
      </c>
      <c r="W476" s="159">
        <f t="shared" si="158"/>
        <v>0</v>
      </c>
      <c r="X476" s="159">
        <f t="shared" si="159"/>
        <v>0</v>
      </c>
      <c r="Y476" s="160"/>
      <c r="Z476" s="160">
        <f t="shared" si="160"/>
        <v>0</v>
      </c>
      <c r="AA476" s="165"/>
      <c r="AB476" s="161">
        <f t="shared" si="161"/>
        <v>0</v>
      </c>
      <c r="AC476" s="162"/>
      <c r="AD476" s="162">
        <f t="shared" si="169"/>
        <v>0</v>
      </c>
      <c r="AE476" s="164"/>
      <c r="AF476" s="164">
        <f t="shared" si="170"/>
        <v>0</v>
      </c>
      <c r="AG476" s="165"/>
      <c r="AH476" s="165">
        <f t="shared" si="171"/>
        <v>0</v>
      </c>
      <c r="AI476" s="166">
        <v>0</v>
      </c>
      <c r="AJ476" s="166">
        <f t="shared" si="172"/>
        <v>0</v>
      </c>
      <c r="AK476" s="162"/>
      <c r="AL476" s="162">
        <f t="shared" si="167"/>
        <v>0</v>
      </c>
      <c r="AM476" s="173"/>
      <c r="AN476" s="167">
        <f t="shared" si="162"/>
        <v>0</v>
      </c>
      <c r="AO476" s="163"/>
      <c r="AP476" s="163">
        <f t="shared" si="163"/>
        <v>0</v>
      </c>
      <c r="AQ476" s="168"/>
      <c r="AR476" s="168">
        <f t="shared" si="164"/>
        <v>0</v>
      </c>
      <c r="AS476" s="170"/>
      <c r="AT476" s="170">
        <f t="shared" si="165"/>
        <v>0</v>
      </c>
      <c r="AU476" s="166"/>
      <c r="AV476" s="166">
        <f t="shared" si="166"/>
        <v>0</v>
      </c>
    </row>
    <row r="477" spans="1:48" ht="31.5">
      <c r="A477" s="148" t="s">
        <v>7933</v>
      </c>
      <c r="B477" s="149" t="s">
        <v>2385</v>
      </c>
      <c r="C477" s="150" t="s">
        <v>2380</v>
      </c>
      <c r="D477" s="240" t="s">
        <v>4411</v>
      </c>
      <c r="E477" s="590" t="s">
        <v>12642</v>
      </c>
      <c r="F477" s="203" t="s">
        <v>392</v>
      </c>
      <c r="G477" s="204" t="s">
        <v>267</v>
      </c>
      <c r="H477" s="204">
        <v>3</v>
      </c>
      <c r="I477" s="203" t="s">
        <v>3472</v>
      </c>
      <c r="J477" s="205" t="s">
        <v>7934</v>
      </c>
      <c r="K477" s="203" t="s">
        <v>253</v>
      </c>
      <c r="L477" s="205" t="s">
        <v>7935</v>
      </c>
      <c r="M477" s="205" t="s">
        <v>2385</v>
      </c>
      <c r="N477" s="204" t="s">
        <v>213</v>
      </c>
      <c r="O477" s="204" t="s">
        <v>11</v>
      </c>
      <c r="P477" s="206">
        <v>1200</v>
      </c>
      <c r="Q477" s="206">
        <v>287</v>
      </c>
      <c r="R477" s="207">
        <v>50000</v>
      </c>
      <c r="S477" s="207">
        <f t="shared" si="156"/>
        <v>14350000</v>
      </c>
      <c r="T477" s="589"/>
      <c r="U477" s="157">
        <v>50000</v>
      </c>
      <c r="V477" s="158">
        <f t="shared" si="168"/>
        <v>49500</v>
      </c>
      <c r="W477" s="159">
        <f t="shared" si="158"/>
        <v>500</v>
      </c>
      <c r="X477" s="159">
        <f t="shared" si="159"/>
        <v>143500</v>
      </c>
      <c r="Y477" s="160"/>
      <c r="Z477" s="160">
        <f t="shared" si="160"/>
        <v>0</v>
      </c>
      <c r="AA477" s="165"/>
      <c r="AB477" s="161">
        <f t="shared" si="161"/>
        <v>0</v>
      </c>
      <c r="AC477" s="162"/>
      <c r="AD477" s="162">
        <f t="shared" si="169"/>
        <v>0</v>
      </c>
      <c r="AE477" s="164"/>
      <c r="AF477" s="164">
        <f t="shared" si="170"/>
        <v>0</v>
      </c>
      <c r="AG477" s="165">
        <v>500</v>
      </c>
      <c r="AH477" s="165">
        <f t="shared" si="171"/>
        <v>143500</v>
      </c>
      <c r="AI477" s="166">
        <v>0</v>
      </c>
      <c r="AJ477" s="166">
        <f t="shared" si="172"/>
        <v>0</v>
      </c>
      <c r="AK477" s="162"/>
      <c r="AL477" s="162">
        <f t="shared" si="167"/>
        <v>0</v>
      </c>
      <c r="AM477" s="173"/>
      <c r="AN477" s="167">
        <f t="shared" si="162"/>
        <v>0</v>
      </c>
      <c r="AO477" s="163"/>
      <c r="AP477" s="163">
        <f t="shared" si="163"/>
        <v>0</v>
      </c>
      <c r="AQ477" s="168"/>
      <c r="AR477" s="168">
        <f t="shared" si="164"/>
        <v>0</v>
      </c>
      <c r="AS477" s="170"/>
      <c r="AT477" s="170">
        <f t="shared" si="165"/>
        <v>0</v>
      </c>
      <c r="AU477" s="166"/>
      <c r="AV477" s="166">
        <f t="shared" si="166"/>
        <v>0</v>
      </c>
    </row>
    <row r="478" spans="1:48">
      <c r="A478" s="172" t="s">
        <v>7959</v>
      </c>
      <c r="B478" s="149" t="s">
        <v>2385</v>
      </c>
      <c r="C478" s="150" t="s">
        <v>2380</v>
      </c>
      <c r="D478" s="240" t="s">
        <v>3947</v>
      </c>
      <c r="E478" s="590" t="s">
        <v>12642</v>
      </c>
      <c r="F478" s="203" t="s">
        <v>1333</v>
      </c>
      <c r="G478" s="204" t="s">
        <v>238</v>
      </c>
      <c r="H478" s="204">
        <v>3</v>
      </c>
      <c r="I478" s="203" t="s">
        <v>3945</v>
      </c>
      <c r="J478" s="205" t="s">
        <v>7960</v>
      </c>
      <c r="K478" s="203" t="s">
        <v>5104</v>
      </c>
      <c r="L478" s="205" t="s">
        <v>7961</v>
      </c>
      <c r="M478" s="205" t="s">
        <v>2385</v>
      </c>
      <c r="N478" s="204" t="s">
        <v>213</v>
      </c>
      <c r="O478" s="204" t="s">
        <v>11</v>
      </c>
      <c r="P478" s="206">
        <v>260</v>
      </c>
      <c r="Q478" s="206">
        <v>53</v>
      </c>
      <c r="R478" s="207">
        <v>10000</v>
      </c>
      <c r="S478" s="207">
        <f t="shared" si="156"/>
        <v>530000</v>
      </c>
      <c r="T478" s="589"/>
      <c r="U478" s="157">
        <v>10000</v>
      </c>
      <c r="V478" s="158">
        <f t="shared" si="168"/>
        <v>0</v>
      </c>
      <c r="W478" s="159">
        <f t="shared" si="158"/>
        <v>10000</v>
      </c>
      <c r="X478" s="159">
        <f t="shared" si="159"/>
        <v>530000</v>
      </c>
      <c r="Y478" s="160"/>
      <c r="Z478" s="160">
        <f t="shared" si="160"/>
        <v>0</v>
      </c>
      <c r="AA478" s="165">
        <v>10000</v>
      </c>
      <c r="AB478" s="161">
        <f t="shared" si="161"/>
        <v>530000</v>
      </c>
      <c r="AC478" s="162"/>
      <c r="AD478" s="162">
        <f t="shared" si="169"/>
        <v>0</v>
      </c>
      <c r="AE478" s="163"/>
      <c r="AF478" s="164">
        <f t="shared" si="170"/>
        <v>0</v>
      </c>
      <c r="AG478" s="161"/>
      <c r="AH478" s="165">
        <f t="shared" si="171"/>
        <v>0</v>
      </c>
      <c r="AI478" s="160">
        <v>0</v>
      </c>
      <c r="AJ478" s="166">
        <f t="shared" si="172"/>
        <v>0</v>
      </c>
      <c r="AK478" s="162"/>
      <c r="AL478" s="162">
        <f t="shared" si="167"/>
        <v>0</v>
      </c>
      <c r="AM478" s="173"/>
      <c r="AN478" s="167">
        <f t="shared" si="162"/>
        <v>0</v>
      </c>
      <c r="AO478" s="163"/>
      <c r="AP478" s="163">
        <f t="shared" si="163"/>
        <v>0</v>
      </c>
      <c r="AQ478" s="162"/>
      <c r="AR478" s="168">
        <f t="shared" si="164"/>
        <v>0</v>
      </c>
      <c r="AS478" s="169"/>
      <c r="AT478" s="170">
        <f t="shared" si="165"/>
        <v>0</v>
      </c>
      <c r="AU478" s="160"/>
      <c r="AV478" s="166">
        <f t="shared" si="166"/>
        <v>0</v>
      </c>
    </row>
    <row r="479" spans="1:48">
      <c r="A479" s="148" t="s">
        <v>8021</v>
      </c>
      <c r="B479" s="149" t="s">
        <v>2385</v>
      </c>
      <c r="C479" s="150" t="s">
        <v>2380</v>
      </c>
      <c r="D479" s="240" t="s">
        <v>4406</v>
      </c>
      <c r="E479" s="590" t="s">
        <v>12642</v>
      </c>
      <c r="F479" s="203" t="s">
        <v>1212</v>
      </c>
      <c r="G479" s="204" t="s">
        <v>945</v>
      </c>
      <c r="H479" s="204">
        <v>3</v>
      </c>
      <c r="I479" s="203" t="s">
        <v>4407</v>
      </c>
      <c r="J479" s="205" t="s">
        <v>8022</v>
      </c>
      <c r="K479" s="203" t="s">
        <v>253</v>
      </c>
      <c r="L479" s="205" t="s">
        <v>8023</v>
      </c>
      <c r="M479" s="205" t="s">
        <v>2385</v>
      </c>
      <c r="N479" s="204" t="s">
        <v>213</v>
      </c>
      <c r="O479" s="204" t="s">
        <v>12</v>
      </c>
      <c r="P479" s="206">
        <v>2100</v>
      </c>
      <c r="Q479" s="206">
        <v>728</v>
      </c>
      <c r="R479" s="207">
        <v>35000</v>
      </c>
      <c r="S479" s="207">
        <f t="shared" si="156"/>
        <v>25480000</v>
      </c>
      <c r="T479" s="589"/>
      <c r="U479" s="157">
        <v>35000</v>
      </c>
      <c r="V479" s="158">
        <f t="shared" si="168"/>
        <v>28600</v>
      </c>
      <c r="W479" s="159">
        <f t="shared" si="158"/>
        <v>6400</v>
      </c>
      <c r="X479" s="159">
        <f t="shared" si="159"/>
        <v>4659200</v>
      </c>
      <c r="Y479" s="160"/>
      <c r="Z479" s="160">
        <f t="shared" si="160"/>
        <v>0</v>
      </c>
      <c r="AA479" s="165">
        <v>4600</v>
      </c>
      <c r="AB479" s="161">
        <f t="shared" si="161"/>
        <v>3348800</v>
      </c>
      <c r="AC479" s="162"/>
      <c r="AD479" s="162">
        <f t="shared" si="169"/>
        <v>0</v>
      </c>
      <c r="AE479" s="163"/>
      <c r="AF479" s="164">
        <f t="shared" si="170"/>
        <v>0</v>
      </c>
      <c r="AG479" s="161">
        <v>1800</v>
      </c>
      <c r="AH479" s="165">
        <f t="shared" si="171"/>
        <v>1310400</v>
      </c>
      <c r="AI479" s="160">
        <v>0</v>
      </c>
      <c r="AJ479" s="166">
        <f t="shared" si="172"/>
        <v>0</v>
      </c>
      <c r="AK479" s="162"/>
      <c r="AL479" s="162">
        <f t="shared" si="167"/>
        <v>0</v>
      </c>
      <c r="AM479" s="173"/>
      <c r="AN479" s="167">
        <f t="shared" si="162"/>
        <v>0</v>
      </c>
      <c r="AO479" s="163"/>
      <c r="AP479" s="163">
        <f t="shared" si="163"/>
        <v>0</v>
      </c>
      <c r="AQ479" s="162"/>
      <c r="AR479" s="168">
        <f t="shared" si="164"/>
        <v>0</v>
      </c>
      <c r="AS479" s="169"/>
      <c r="AT479" s="170">
        <f t="shared" si="165"/>
        <v>0</v>
      </c>
      <c r="AU479" s="160"/>
      <c r="AV479" s="166">
        <f t="shared" si="166"/>
        <v>0</v>
      </c>
    </row>
    <row r="480" spans="1:48">
      <c r="A480" s="172" t="s">
        <v>8078</v>
      </c>
      <c r="B480" s="149" t="s">
        <v>2385</v>
      </c>
      <c r="C480" s="150" t="s">
        <v>2380</v>
      </c>
      <c r="D480" s="240" t="s">
        <v>4781</v>
      </c>
      <c r="E480" s="590" t="s">
        <v>12642</v>
      </c>
      <c r="F480" s="203" t="s">
        <v>2469</v>
      </c>
      <c r="G480" s="204" t="s">
        <v>4782</v>
      </c>
      <c r="H480" s="204">
        <v>3</v>
      </c>
      <c r="I480" s="203" t="s">
        <v>2469</v>
      </c>
      <c r="J480" s="205" t="s">
        <v>8079</v>
      </c>
      <c r="K480" s="203" t="s">
        <v>253</v>
      </c>
      <c r="L480" s="205" t="s">
        <v>8080</v>
      </c>
      <c r="M480" s="205" t="s">
        <v>2385</v>
      </c>
      <c r="N480" s="204" t="s">
        <v>213</v>
      </c>
      <c r="O480" s="204" t="s">
        <v>11</v>
      </c>
      <c r="P480" s="206">
        <v>200</v>
      </c>
      <c r="Q480" s="206">
        <v>100</v>
      </c>
      <c r="R480" s="207">
        <v>30000</v>
      </c>
      <c r="S480" s="207">
        <f t="shared" si="156"/>
        <v>3000000</v>
      </c>
      <c r="T480" s="589"/>
      <c r="U480" s="157">
        <v>30000</v>
      </c>
      <c r="V480" s="158">
        <f t="shared" si="168"/>
        <v>25000</v>
      </c>
      <c r="W480" s="159">
        <f t="shared" si="158"/>
        <v>5000</v>
      </c>
      <c r="X480" s="159">
        <f t="shared" si="159"/>
        <v>500000</v>
      </c>
      <c r="Y480" s="160"/>
      <c r="Z480" s="160">
        <f t="shared" si="160"/>
        <v>0</v>
      </c>
      <c r="AA480" s="165">
        <v>5000</v>
      </c>
      <c r="AB480" s="161">
        <f t="shared" si="161"/>
        <v>500000</v>
      </c>
      <c r="AC480" s="162"/>
      <c r="AD480" s="162">
        <f t="shared" si="169"/>
        <v>0</v>
      </c>
      <c r="AE480" s="164"/>
      <c r="AF480" s="164">
        <f t="shared" si="170"/>
        <v>0</v>
      </c>
      <c r="AG480" s="165"/>
      <c r="AH480" s="165">
        <f t="shared" si="171"/>
        <v>0</v>
      </c>
      <c r="AI480" s="166">
        <v>0</v>
      </c>
      <c r="AJ480" s="166">
        <f t="shared" si="172"/>
        <v>0</v>
      </c>
      <c r="AK480" s="162"/>
      <c r="AL480" s="162">
        <f t="shared" si="167"/>
        <v>0</v>
      </c>
      <c r="AM480" s="173"/>
      <c r="AN480" s="167">
        <f t="shared" si="162"/>
        <v>0</v>
      </c>
      <c r="AO480" s="163"/>
      <c r="AP480" s="163">
        <f t="shared" si="163"/>
        <v>0</v>
      </c>
      <c r="AQ480" s="168"/>
      <c r="AR480" s="168">
        <f t="shared" si="164"/>
        <v>0</v>
      </c>
      <c r="AS480" s="170"/>
      <c r="AT480" s="170">
        <f t="shared" si="165"/>
        <v>0</v>
      </c>
      <c r="AU480" s="166"/>
      <c r="AV480" s="166">
        <f t="shared" si="166"/>
        <v>0</v>
      </c>
    </row>
    <row r="481" spans="1:48" s="115" customFormat="1" ht="31.5">
      <c r="A481" s="172" t="s">
        <v>8089</v>
      </c>
      <c r="B481" s="149" t="s">
        <v>2385</v>
      </c>
      <c r="C481" s="150" t="s">
        <v>2380</v>
      </c>
      <c r="D481" s="240" t="s">
        <v>4368</v>
      </c>
      <c r="E481" s="590" t="s">
        <v>12642</v>
      </c>
      <c r="F481" s="203" t="s">
        <v>1307</v>
      </c>
      <c r="G481" s="204" t="s">
        <v>1004</v>
      </c>
      <c r="H481" s="204">
        <v>3</v>
      </c>
      <c r="I481" s="203" t="s">
        <v>4394</v>
      </c>
      <c r="J481" s="205" t="s">
        <v>8090</v>
      </c>
      <c r="K481" s="203" t="s">
        <v>5104</v>
      </c>
      <c r="L481" s="205" t="s">
        <v>8091</v>
      </c>
      <c r="M481" s="205" t="s">
        <v>2385</v>
      </c>
      <c r="N481" s="204" t="s">
        <v>213</v>
      </c>
      <c r="O481" s="204" t="s">
        <v>11</v>
      </c>
      <c r="P481" s="206">
        <v>240</v>
      </c>
      <c r="Q481" s="206">
        <v>72</v>
      </c>
      <c r="R481" s="207">
        <v>150000</v>
      </c>
      <c r="S481" s="207">
        <f t="shared" si="156"/>
        <v>10800000</v>
      </c>
      <c r="T481" s="589"/>
      <c r="U481" s="157">
        <v>150000</v>
      </c>
      <c r="V481" s="158">
        <f t="shared" si="168"/>
        <v>113000</v>
      </c>
      <c r="W481" s="159">
        <f t="shared" si="158"/>
        <v>37000</v>
      </c>
      <c r="X481" s="159">
        <f t="shared" si="159"/>
        <v>2664000</v>
      </c>
      <c r="Y481" s="160"/>
      <c r="Z481" s="160">
        <f t="shared" si="160"/>
        <v>0</v>
      </c>
      <c r="AA481" s="165">
        <v>16000</v>
      </c>
      <c r="AB481" s="161">
        <f t="shared" si="161"/>
        <v>1152000</v>
      </c>
      <c r="AC481" s="162"/>
      <c r="AD481" s="162">
        <f t="shared" si="169"/>
        <v>0</v>
      </c>
      <c r="AE481" s="164"/>
      <c r="AF481" s="164">
        <f t="shared" si="170"/>
        <v>0</v>
      </c>
      <c r="AG481" s="165">
        <v>20000</v>
      </c>
      <c r="AH481" s="165">
        <f t="shared" si="171"/>
        <v>1440000</v>
      </c>
      <c r="AI481" s="166">
        <v>0</v>
      </c>
      <c r="AJ481" s="166">
        <f t="shared" si="172"/>
        <v>0</v>
      </c>
      <c r="AK481" s="162"/>
      <c r="AL481" s="162">
        <f t="shared" si="167"/>
        <v>0</v>
      </c>
      <c r="AM481" s="173">
        <v>1000</v>
      </c>
      <c r="AN481" s="167">
        <f t="shared" si="162"/>
        <v>72000</v>
      </c>
      <c r="AO481" s="163"/>
      <c r="AP481" s="163">
        <f t="shared" si="163"/>
        <v>0</v>
      </c>
      <c r="AQ481" s="168"/>
      <c r="AR481" s="168">
        <f t="shared" si="164"/>
        <v>0</v>
      </c>
      <c r="AS481" s="170"/>
      <c r="AT481" s="170">
        <f t="shared" si="165"/>
        <v>0</v>
      </c>
      <c r="AU481" s="166"/>
      <c r="AV481" s="166">
        <f t="shared" si="166"/>
        <v>0</v>
      </c>
    </row>
    <row r="482" spans="1:48" ht="31.5">
      <c r="A482" s="148" t="s">
        <v>8092</v>
      </c>
      <c r="B482" s="149" t="s">
        <v>2385</v>
      </c>
      <c r="C482" s="150" t="s">
        <v>2380</v>
      </c>
      <c r="D482" s="240" t="s">
        <v>3868</v>
      </c>
      <c r="E482" s="590" t="s">
        <v>12642</v>
      </c>
      <c r="F482" s="203" t="s">
        <v>1318</v>
      </c>
      <c r="G482" s="204" t="s">
        <v>238</v>
      </c>
      <c r="H482" s="204">
        <v>3</v>
      </c>
      <c r="I482" s="203" t="s">
        <v>2809</v>
      </c>
      <c r="J482" s="205" t="s">
        <v>8093</v>
      </c>
      <c r="K482" s="203" t="s">
        <v>5104</v>
      </c>
      <c r="L482" s="205" t="s">
        <v>2810</v>
      </c>
      <c r="M482" s="205" t="s">
        <v>2385</v>
      </c>
      <c r="N482" s="204" t="s">
        <v>213</v>
      </c>
      <c r="O482" s="204" t="s">
        <v>11</v>
      </c>
      <c r="P482" s="206">
        <v>240</v>
      </c>
      <c r="Q482" s="206">
        <v>51</v>
      </c>
      <c r="R482" s="207">
        <v>70000</v>
      </c>
      <c r="S482" s="207">
        <f t="shared" si="156"/>
        <v>3570000</v>
      </c>
      <c r="T482" s="589"/>
      <c r="U482" s="157">
        <v>70000</v>
      </c>
      <c r="V482" s="158">
        <f t="shared" si="168"/>
        <v>26500</v>
      </c>
      <c r="W482" s="159">
        <f t="shared" si="158"/>
        <v>43500</v>
      </c>
      <c r="X482" s="159">
        <f t="shared" si="159"/>
        <v>2218500</v>
      </c>
      <c r="Y482" s="160"/>
      <c r="Z482" s="160">
        <f t="shared" si="160"/>
        <v>0</v>
      </c>
      <c r="AA482" s="165">
        <v>32000</v>
      </c>
      <c r="AB482" s="161">
        <f t="shared" si="161"/>
        <v>1632000</v>
      </c>
      <c r="AC482" s="162"/>
      <c r="AD482" s="162">
        <f t="shared" si="169"/>
        <v>0</v>
      </c>
      <c r="AE482" s="164"/>
      <c r="AF482" s="164">
        <f t="shared" si="170"/>
        <v>0</v>
      </c>
      <c r="AG482" s="165">
        <v>8000</v>
      </c>
      <c r="AH482" s="165">
        <f t="shared" si="171"/>
        <v>408000</v>
      </c>
      <c r="AI482" s="166">
        <v>0</v>
      </c>
      <c r="AJ482" s="166">
        <f t="shared" si="172"/>
        <v>0</v>
      </c>
      <c r="AK482" s="162"/>
      <c r="AL482" s="162">
        <f t="shared" si="167"/>
        <v>0</v>
      </c>
      <c r="AM482" s="173">
        <v>3500</v>
      </c>
      <c r="AN482" s="167">
        <f t="shared" si="162"/>
        <v>178500</v>
      </c>
      <c r="AO482" s="163"/>
      <c r="AP482" s="163">
        <f t="shared" si="163"/>
        <v>0</v>
      </c>
      <c r="AQ482" s="168"/>
      <c r="AR482" s="168">
        <f t="shared" si="164"/>
        <v>0</v>
      </c>
      <c r="AS482" s="170"/>
      <c r="AT482" s="170">
        <f t="shared" si="165"/>
        <v>0</v>
      </c>
      <c r="AU482" s="166"/>
      <c r="AV482" s="166">
        <f t="shared" si="166"/>
        <v>0</v>
      </c>
    </row>
    <row r="483" spans="1:48">
      <c r="A483" s="172" t="s">
        <v>8153</v>
      </c>
      <c r="B483" s="149" t="s">
        <v>2385</v>
      </c>
      <c r="C483" s="150" t="s">
        <v>2380</v>
      </c>
      <c r="D483" s="240" t="s">
        <v>3913</v>
      </c>
      <c r="E483" s="590" t="s">
        <v>12642</v>
      </c>
      <c r="F483" s="203" t="s">
        <v>1326</v>
      </c>
      <c r="G483" s="204" t="s">
        <v>222</v>
      </c>
      <c r="H483" s="204">
        <v>3</v>
      </c>
      <c r="I483" s="203" t="s">
        <v>4405</v>
      </c>
      <c r="J483" s="205" t="s">
        <v>6982</v>
      </c>
      <c r="K483" s="203" t="s">
        <v>5111</v>
      </c>
      <c r="L483" s="205" t="s">
        <v>8154</v>
      </c>
      <c r="M483" s="205" t="s">
        <v>2385</v>
      </c>
      <c r="N483" s="204" t="s">
        <v>213</v>
      </c>
      <c r="O483" s="204" t="s">
        <v>11</v>
      </c>
      <c r="P483" s="206">
        <v>145</v>
      </c>
      <c r="Q483" s="206">
        <v>47</v>
      </c>
      <c r="R483" s="207">
        <v>100000</v>
      </c>
      <c r="S483" s="207">
        <f t="shared" si="156"/>
        <v>4700000</v>
      </c>
      <c r="T483" s="589"/>
      <c r="U483" s="157">
        <v>100000</v>
      </c>
      <c r="V483" s="158">
        <f t="shared" si="168"/>
        <v>77000</v>
      </c>
      <c r="W483" s="159">
        <f t="shared" si="158"/>
        <v>23000</v>
      </c>
      <c r="X483" s="159">
        <f t="shared" si="159"/>
        <v>1081000</v>
      </c>
      <c r="Y483" s="160"/>
      <c r="Z483" s="160">
        <f t="shared" si="160"/>
        <v>0</v>
      </c>
      <c r="AA483" s="165">
        <v>13000</v>
      </c>
      <c r="AB483" s="161">
        <f t="shared" si="161"/>
        <v>611000</v>
      </c>
      <c r="AC483" s="162"/>
      <c r="AD483" s="162">
        <f t="shared" si="169"/>
        <v>0</v>
      </c>
      <c r="AE483" s="164"/>
      <c r="AF483" s="164">
        <f t="shared" si="170"/>
        <v>0</v>
      </c>
      <c r="AG483" s="165">
        <v>4000</v>
      </c>
      <c r="AH483" s="165">
        <f t="shared" si="171"/>
        <v>188000</v>
      </c>
      <c r="AI483" s="166">
        <v>0</v>
      </c>
      <c r="AJ483" s="166">
        <f t="shared" si="172"/>
        <v>0</v>
      </c>
      <c r="AK483" s="162"/>
      <c r="AL483" s="162">
        <f t="shared" si="167"/>
        <v>0</v>
      </c>
      <c r="AM483" s="173">
        <v>6000</v>
      </c>
      <c r="AN483" s="167">
        <f t="shared" si="162"/>
        <v>282000</v>
      </c>
      <c r="AO483" s="163"/>
      <c r="AP483" s="163">
        <f t="shared" si="163"/>
        <v>0</v>
      </c>
      <c r="AQ483" s="168"/>
      <c r="AR483" s="168">
        <f t="shared" si="164"/>
        <v>0</v>
      </c>
      <c r="AS483" s="170"/>
      <c r="AT483" s="170">
        <f t="shared" si="165"/>
        <v>0</v>
      </c>
      <c r="AU483" s="166"/>
      <c r="AV483" s="166">
        <f t="shared" si="166"/>
        <v>0</v>
      </c>
    </row>
    <row r="484" spans="1:48" ht="47.25">
      <c r="A484" s="148" t="s">
        <v>8256</v>
      </c>
      <c r="B484" s="149" t="s">
        <v>2385</v>
      </c>
      <c r="C484" s="150" t="s">
        <v>2380</v>
      </c>
      <c r="D484" s="240" t="s">
        <v>4554</v>
      </c>
      <c r="E484" s="590" t="s">
        <v>12642</v>
      </c>
      <c r="F484" s="203" t="s">
        <v>847</v>
      </c>
      <c r="G484" s="204" t="s">
        <v>225</v>
      </c>
      <c r="H484" s="204">
        <v>4</v>
      </c>
      <c r="I484" s="203" t="s">
        <v>4555</v>
      </c>
      <c r="J484" s="205" t="s">
        <v>8257</v>
      </c>
      <c r="K484" s="203" t="s">
        <v>5104</v>
      </c>
      <c r="L484" s="205" t="s">
        <v>1875</v>
      </c>
      <c r="M484" s="205" t="s">
        <v>8258</v>
      </c>
      <c r="N484" s="204" t="s">
        <v>213</v>
      </c>
      <c r="O484" s="204" t="s">
        <v>11</v>
      </c>
      <c r="P484" s="206">
        <v>3750</v>
      </c>
      <c r="Q484" s="206">
        <v>2510</v>
      </c>
      <c r="R484" s="207">
        <v>30000</v>
      </c>
      <c r="S484" s="207">
        <f t="shared" si="156"/>
        <v>75300000</v>
      </c>
      <c r="T484" s="589"/>
      <c r="U484" s="157">
        <v>30000</v>
      </c>
      <c r="V484" s="158">
        <f t="shared" si="168"/>
        <v>5616</v>
      </c>
      <c r="W484" s="159">
        <f t="shared" si="158"/>
        <v>24384</v>
      </c>
      <c r="X484" s="159">
        <f t="shared" si="159"/>
        <v>61203840</v>
      </c>
      <c r="Y484" s="160"/>
      <c r="Z484" s="160">
        <f t="shared" si="160"/>
        <v>0</v>
      </c>
      <c r="AA484" s="165">
        <v>2592</v>
      </c>
      <c r="AB484" s="161">
        <f t="shared" si="161"/>
        <v>6505920</v>
      </c>
      <c r="AC484" s="162"/>
      <c r="AD484" s="162">
        <f t="shared" si="169"/>
        <v>0</v>
      </c>
      <c r="AE484" s="164"/>
      <c r="AF484" s="164">
        <f t="shared" si="170"/>
        <v>0</v>
      </c>
      <c r="AG484" s="165"/>
      <c r="AH484" s="165">
        <f t="shared" si="171"/>
        <v>0</v>
      </c>
      <c r="AI484" s="166">
        <v>16800</v>
      </c>
      <c r="AJ484" s="166">
        <f t="shared" si="172"/>
        <v>42168000</v>
      </c>
      <c r="AK484" s="162"/>
      <c r="AL484" s="162">
        <f t="shared" si="167"/>
        <v>0</v>
      </c>
      <c r="AM484" s="173"/>
      <c r="AN484" s="167">
        <f t="shared" si="162"/>
        <v>0</v>
      </c>
      <c r="AO484" s="163"/>
      <c r="AP484" s="163">
        <f t="shared" si="163"/>
        <v>0</v>
      </c>
      <c r="AQ484" s="168"/>
      <c r="AR484" s="168">
        <f t="shared" si="164"/>
        <v>0</v>
      </c>
      <c r="AS484" s="170"/>
      <c r="AT484" s="170">
        <f t="shared" si="165"/>
        <v>0</v>
      </c>
      <c r="AU484" s="166">
        <v>4992</v>
      </c>
      <c r="AV484" s="166">
        <f t="shared" si="166"/>
        <v>12529920</v>
      </c>
    </row>
    <row r="485" spans="1:48" ht="47.25">
      <c r="A485" s="172" t="s">
        <v>8344</v>
      </c>
      <c r="B485" s="149" t="s">
        <v>2385</v>
      </c>
      <c r="C485" s="150" t="s">
        <v>2380</v>
      </c>
      <c r="D485" s="240" t="s">
        <v>4066</v>
      </c>
      <c r="E485" s="590" t="s">
        <v>12642</v>
      </c>
      <c r="F485" s="203" t="s">
        <v>1240</v>
      </c>
      <c r="G485" s="204" t="s">
        <v>4068</v>
      </c>
      <c r="H485" s="204">
        <v>4</v>
      </c>
      <c r="I485" s="203" t="s">
        <v>4067</v>
      </c>
      <c r="J485" s="205" t="s">
        <v>6009</v>
      </c>
      <c r="K485" s="203" t="s">
        <v>5104</v>
      </c>
      <c r="L485" s="205" t="s">
        <v>8345</v>
      </c>
      <c r="M485" s="205" t="s">
        <v>8346</v>
      </c>
      <c r="N485" s="204" t="s">
        <v>213</v>
      </c>
      <c r="O485" s="204" t="s">
        <v>11</v>
      </c>
      <c r="P485" s="206">
        <v>2730</v>
      </c>
      <c r="Q485" s="206">
        <v>2690</v>
      </c>
      <c r="R485" s="207">
        <v>120000</v>
      </c>
      <c r="S485" s="207">
        <f t="shared" si="156"/>
        <v>322800000</v>
      </c>
      <c r="T485" s="589"/>
      <c r="U485" s="157">
        <v>120000</v>
      </c>
      <c r="V485" s="158">
        <f t="shared" si="168"/>
        <v>20070</v>
      </c>
      <c r="W485" s="159">
        <f t="shared" si="158"/>
        <v>99930</v>
      </c>
      <c r="X485" s="159">
        <f t="shared" si="159"/>
        <v>268811700</v>
      </c>
      <c r="Y485" s="160"/>
      <c r="Z485" s="160">
        <f t="shared" si="160"/>
        <v>0</v>
      </c>
      <c r="AA485" s="165">
        <v>19980</v>
      </c>
      <c r="AB485" s="161">
        <f t="shared" si="161"/>
        <v>53746200</v>
      </c>
      <c r="AC485" s="162"/>
      <c r="AD485" s="162">
        <f t="shared" si="169"/>
        <v>0</v>
      </c>
      <c r="AE485" s="164"/>
      <c r="AF485" s="164">
        <f t="shared" si="170"/>
        <v>0</v>
      </c>
      <c r="AG485" s="165">
        <v>19980</v>
      </c>
      <c r="AH485" s="165">
        <f t="shared" si="171"/>
        <v>53746200</v>
      </c>
      <c r="AI485" s="166">
        <v>19980</v>
      </c>
      <c r="AJ485" s="166">
        <f t="shared" si="172"/>
        <v>53746200</v>
      </c>
      <c r="AK485" s="162"/>
      <c r="AL485" s="162">
        <f t="shared" si="167"/>
        <v>0</v>
      </c>
      <c r="AM485" s="173"/>
      <c r="AN485" s="167">
        <f t="shared" si="162"/>
        <v>0</v>
      </c>
      <c r="AO485" s="163"/>
      <c r="AP485" s="163">
        <f t="shared" si="163"/>
        <v>0</v>
      </c>
      <c r="AQ485" s="168">
        <v>9990</v>
      </c>
      <c r="AR485" s="168">
        <f t="shared" si="164"/>
        <v>26873100</v>
      </c>
      <c r="AS485" s="170">
        <v>30000</v>
      </c>
      <c r="AT485" s="170">
        <f t="shared" si="165"/>
        <v>80700000</v>
      </c>
      <c r="AU485" s="166"/>
      <c r="AV485" s="166">
        <f t="shared" si="166"/>
        <v>0</v>
      </c>
    </row>
    <row r="486" spans="1:48">
      <c r="A486" s="148" t="s">
        <v>8463</v>
      </c>
      <c r="B486" s="149" t="s">
        <v>2385</v>
      </c>
      <c r="C486" s="150" t="s">
        <v>2380</v>
      </c>
      <c r="D486" s="240" t="s">
        <v>3944</v>
      </c>
      <c r="E486" s="590" t="s">
        <v>12642</v>
      </c>
      <c r="F486" s="203" t="s">
        <v>1333</v>
      </c>
      <c r="G486" s="204" t="s">
        <v>238</v>
      </c>
      <c r="H486" s="204">
        <v>5</v>
      </c>
      <c r="I486" s="203" t="s">
        <v>3945</v>
      </c>
      <c r="J486" s="205" t="s">
        <v>7960</v>
      </c>
      <c r="K486" s="203" t="s">
        <v>5104</v>
      </c>
      <c r="L486" s="205" t="s">
        <v>7961</v>
      </c>
      <c r="M486" s="205" t="s">
        <v>2385</v>
      </c>
      <c r="N486" s="204" t="s">
        <v>213</v>
      </c>
      <c r="O486" s="204" t="s">
        <v>11</v>
      </c>
      <c r="P486" s="206">
        <v>260</v>
      </c>
      <c r="Q486" s="206">
        <v>53</v>
      </c>
      <c r="R486" s="207">
        <v>10000</v>
      </c>
      <c r="S486" s="207">
        <f t="shared" si="156"/>
        <v>530000</v>
      </c>
      <c r="T486" s="589"/>
      <c r="U486" s="157">
        <v>10000</v>
      </c>
      <c r="V486" s="158">
        <f t="shared" si="168"/>
        <v>500</v>
      </c>
      <c r="W486" s="159">
        <f t="shared" si="158"/>
        <v>9500</v>
      </c>
      <c r="X486" s="159">
        <f t="shared" si="159"/>
        <v>503500</v>
      </c>
      <c r="Y486" s="160"/>
      <c r="Z486" s="160">
        <f t="shared" si="160"/>
        <v>0</v>
      </c>
      <c r="AA486" s="165">
        <v>5000</v>
      </c>
      <c r="AB486" s="161">
        <f t="shared" si="161"/>
        <v>265000</v>
      </c>
      <c r="AC486" s="162"/>
      <c r="AD486" s="162">
        <f t="shared" si="169"/>
        <v>0</v>
      </c>
      <c r="AE486" s="163"/>
      <c r="AF486" s="164">
        <f t="shared" si="170"/>
        <v>0</v>
      </c>
      <c r="AG486" s="161">
        <v>4500</v>
      </c>
      <c r="AH486" s="165">
        <f t="shared" si="171"/>
        <v>238500</v>
      </c>
      <c r="AI486" s="160">
        <v>0</v>
      </c>
      <c r="AJ486" s="166">
        <f t="shared" si="172"/>
        <v>0</v>
      </c>
      <c r="AK486" s="162"/>
      <c r="AL486" s="162">
        <f t="shared" si="167"/>
        <v>0</v>
      </c>
      <c r="AM486" s="173"/>
      <c r="AN486" s="167">
        <f t="shared" si="162"/>
        <v>0</v>
      </c>
      <c r="AO486" s="163"/>
      <c r="AP486" s="163">
        <f t="shared" si="163"/>
        <v>0</v>
      </c>
      <c r="AQ486" s="162"/>
      <c r="AR486" s="168">
        <f t="shared" si="164"/>
        <v>0</v>
      </c>
      <c r="AS486" s="169"/>
      <c r="AT486" s="170">
        <f t="shared" si="165"/>
        <v>0</v>
      </c>
      <c r="AU486" s="160"/>
      <c r="AV486" s="166">
        <f t="shared" si="166"/>
        <v>0</v>
      </c>
    </row>
    <row r="487" spans="1:48" ht="63">
      <c r="A487" s="250">
        <v>17</v>
      </c>
      <c r="B487" s="149" t="s">
        <v>2385</v>
      </c>
      <c r="C487" s="150" t="s">
        <v>2380</v>
      </c>
      <c r="D487" s="250" t="s">
        <v>8590</v>
      </c>
      <c r="E487" s="241"/>
      <c r="F487" s="242" t="s">
        <v>8591</v>
      </c>
      <c r="G487" s="244" t="s">
        <v>8592</v>
      </c>
      <c r="H487" s="244" t="s">
        <v>211</v>
      </c>
      <c r="I487" s="244" t="s">
        <v>8593</v>
      </c>
      <c r="J487" s="244" t="s">
        <v>6644</v>
      </c>
      <c r="K487" s="244" t="s">
        <v>5104</v>
      </c>
      <c r="L487" s="241" t="s">
        <v>8594</v>
      </c>
      <c r="M487" s="244" t="s">
        <v>8595</v>
      </c>
      <c r="N487" s="241" t="s">
        <v>213</v>
      </c>
      <c r="O487" s="241" t="s">
        <v>11</v>
      </c>
      <c r="P487" s="245">
        <v>4000</v>
      </c>
      <c r="Q487" s="245">
        <v>3500</v>
      </c>
      <c r="R487" s="246">
        <v>20000</v>
      </c>
      <c r="S487" s="245">
        <f t="shared" si="156"/>
        <v>70000000</v>
      </c>
      <c r="T487" s="589"/>
      <c r="U487" s="244"/>
      <c r="V487" s="247">
        <f>R487-W487</f>
        <v>20000</v>
      </c>
      <c r="W487" s="159">
        <f t="shared" si="158"/>
        <v>0</v>
      </c>
      <c r="X487" s="159">
        <f t="shared" si="159"/>
        <v>0</v>
      </c>
      <c r="Y487" s="248"/>
      <c r="Z487" s="160">
        <f t="shared" si="160"/>
        <v>0</v>
      </c>
      <c r="AA487" s="248"/>
      <c r="AB487" s="161">
        <f t="shared" si="161"/>
        <v>0</v>
      </c>
      <c r="AC487" s="249"/>
      <c r="AD487" s="249"/>
      <c r="AE487" s="249"/>
      <c r="AF487" s="249"/>
      <c r="AG487" s="249"/>
      <c r="AH487" s="249"/>
      <c r="AI487" s="249"/>
      <c r="AJ487" s="249"/>
      <c r="AK487" s="249"/>
      <c r="AL487" s="162">
        <f t="shared" si="167"/>
        <v>0</v>
      </c>
      <c r="AM487" s="249"/>
      <c r="AN487" s="167">
        <f t="shared" si="162"/>
        <v>0</v>
      </c>
      <c r="AO487" s="249"/>
      <c r="AP487" s="163">
        <f t="shared" si="163"/>
        <v>0</v>
      </c>
      <c r="AQ487" s="249"/>
      <c r="AR487" s="168">
        <f t="shared" si="164"/>
        <v>0</v>
      </c>
      <c r="AS487" s="249"/>
      <c r="AT487" s="170">
        <f t="shared" si="165"/>
        <v>0</v>
      </c>
      <c r="AU487" s="249"/>
      <c r="AV487" s="166">
        <f t="shared" si="166"/>
        <v>0</v>
      </c>
    </row>
    <row r="488" spans="1:48">
      <c r="A488" s="148" t="s">
        <v>5458</v>
      </c>
      <c r="B488" s="150" t="s">
        <v>5459</v>
      </c>
      <c r="C488" s="150" t="s">
        <v>473</v>
      </c>
      <c r="D488" s="634" t="s">
        <v>5460</v>
      </c>
      <c r="E488" s="631"/>
      <c r="F488" s="175" t="s">
        <v>474</v>
      </c>
      <c r="G488" s="151" t="s">
        <v>238</v>
      </c>
      <c r="H488" s="174" t="s">
        <v>5325</v>
      </c>
      <c r="I488" s="150" t="s">
        <v>475</v>
      </c>
      <c r="J488" s="153" t="s">
        <v>5461</v>
      </c>
      <c r="K488" s="151" t="s">
        <v>253</v>
      </c>
      <c r="L488" s="151" t="s">
        <v>476</v>
      </c>
      <c r="M488" s="151" t="s">
        <v>473</v>
      </c>
      <c r="N488" s="152" t="s">
        <v>213</v>
      </c>
      <c r="O488" s="152" t="s">
        <v>10</v>
      </c>
      <c r="P488" s="176">
        <v>780</v>
      </c>
      <c r="Q488" s="177">
        <v>92</v>
      </c>
      <c r="R488" s="176">
        <v>146000</v>
      </c>
      <c r="S488" s="156">
        <f t="shared" si="156"/>
        <v>13432000</v>
      </c>
      <c r="T488" s="589"/>
      <c r="U488" s="157">
        <v>113500</v>
      </c>
      <c r="V488" s="158">
        <f t="shared" ref="V488:V538" si="173">U488-W488</f>
        <v>113500</v>
      </c>
      <c r="W488" s="159">
        <f t="shared" si="158"/>
        <v>0</v>
      </c>
      <c r="X488" s="159">
        <f t="shared" si="159"/>
        <v>0</v>
      </c>
      <c r="Y488" s="160"/>
      <c r="Z488" s="160">
        <f t="shared" si="160"/>
        <v>0</v>
      </c>
      <c r="AA488" s="161"/>
      <c r="AB488" s="161">
        <f t="shared" si="161"/>
        <v>0</v>
      </c>
      <c r="AC488" s="162"/>
      <c r="AD488" s="162">
        <f t="shared" ref="AD488:AD538" si="174">AC488*Q488</f>
        <v>0</v>
      </c>
      <c r="AE488" s="164"/>
      <c r="AF488" s="164">
        <f t="shared" ref="AF488:AF538" si="175">AE488*Q488</f>
        <v>0</v>
      </c>
      <c r="AG488" s="165"/>
      <c r="AH488" s="165">
        <f t="shared" ref="AH488:AH538" si="176">AG488*Q488</f>
        <v>0</v>
      </c>
      <c r="AI488" s="166">
        <v>0</v>
      </c>
      <c r="AJ488" s="166">
        <f t="shared" ref="AJ488:AJ538" si="177">AI488*Q488</f>
        <v>0</v>
      </c>
      <c r="AK488" s="162"/>
      <c r="AL488" s="162">
        <f t="shared" si="167"/>
        <v>0</v>
      </c>
      <c r="AM488" s="167"/>
      <c r="AN488" s="167">
        <f t="shared" si="162"/>
        <v>0</v>
      </c>
      <c r="AO488" s="163"/>
      <c r="AP488" s="163">
        <f t="shared" si="163"/>
        <v>0</v>
      </c>
      <c r="AQ488" s="168"/>
      <c r="AR488" s="168">
        <f t="shared" si="164"/>
        <v>0</v>
      </c>
      <c r="AS488" s="170"/>
      <c r="AT488" s="170">
        <f t="shared" si="165"/>
        <v>0</v>
      </c>
      <c r="AU488" s="166"/>
      <c r="AV488" s="166">
        <f t="shared" si="166"/>
        <v>0</v>
      </c>
    </row>
    <row r="489" spans="1:48" ht="31.5">
      <c r="A489" s="148" t="s">
        <v>5506</v>
      </c>
      <c r="B489" s="150" t="s">
        <v>5459</v>
      </c>
      <c r="C489" s="150" t="s">
        <v>473</v>
      </c>
      <c r="D489" s="634" t="s">
        <v>4911</v>
      </c>
      <c r="E489" s="631" t="s">
        <v>12642</v>
      </c>
      <c r="F489" s="175" t="s">
        <v>227</v>
      </c>
      <c r="G489" s="151" t="s">
        <v>225</v>
      </c>
      <c r="H489" s="174" t="s">
        <v>5325</v>
      </c>
      <c r="I489" s="150" t="s">
        <v>4912</v>
      </c>
      <c r="J489" s="153" t="s">
        <v>5461</v>
      </c>
      <c r="K489" s="151" t="s">
        <v>5104</v>
      </c>
      <c r="L489" s="151" t="s">
        <v>478</v>
      </c>
      <c r="M489" s="151" t="s">
        <v>473</v>
      </c>
      <c r="N489" s="152" t="s">
        <v>213</v>
      </c>
      <c r="O489" s="152" t="s">
        <v>10</v>
      </c>
      <c r="P489" s="176">
        <v>205</v>
      </c>
      <c r="Q489" s="177">
        <v>76</v>
      </c>
      <c r="R489" s="176">
        <v>1160000</v>
      </c>
      <c r="S489" s="156">
        <f t="shared" si="156"/>
        <v>88160000</v>
      </c>
      <c r="T489" s="589"/>
      <c r="U489" s="157">
        <v>975000</v>
      </c>
      <c r="V489" s="158">
        <f t="shared" si="173"/>
        <v>717000</v>
      </c>
      <c r="W489" s="159">
        <f t="shared" si="158"/>
        <v>258000</v>
      </c>
      <c r="X489" s="159">
        <f t="shared" si="159"/>
        <v>19608000</v>
      </c>
      <c r="Y489" s="160"/>
      <c r="Z489" s="160">
        <f t="shared" si="160"/>
        <v>0</v>
      </c>
      <c r="AA489" s="161"/>
      <c r="AB489" s="161">
        <f t="shared" si="161"/>
        <v>0</v>
      </c>
      <c r="AC489" s="162"/>
      <c r="AD489" s="162">
        <f t="shared" si="174"/>
        <v>0</v>
      </c>
      <c r="AE489" s="163"/>
      <c r="AF489" s="164">
        <f t="shared" si="175"/>
        <v>0</v>
      </c>
      <c r="AG489" s="161"/>
      <c r="AH489" s="165">
        <f t="shared" si="176"/>
        <v>0</v>
      </c>
      <c r="AI489" s="160">
        <v>5000</v>
      </c>
      <c r="AJ489" s="166">
        <f t="shared" si="177"/>
        <v>380000</v>
      </c>
      <c r="AK489" s="162"/>
      <c r="AL489" s="162">
        <f t="shared" si="167"/>
        <v>0</v>
      </c>
      <c r="AM489" s="167">
        <v>21000</v>
      </c>
      <c r="AN489" s="167">
        <f t="shared" si="162"/>
        <v>1596000</v>
      </c>
      <c r="AO489" s="163"/>
      <c r="AP489" s="163">
        <f t="shared" si="163"/>
        <v>0</v>
      </c>
      <c r="AQ489" s="162"/>
      <c r="AR489" s="168">
        <f t="shared" si="164"/>
        <v>0</v>
      </c>
      <c r="AS489" s="169">
        <v>32000</v>
      </c>
      <c r="AT489" s="170">
        <f t="shared" si="165"/>
        <v>2432000</v>
      </c>
      <c r="AU489" s="160">
        <v>200000</v>
      </c>
      <c r="AV489" s="166">
        <f t="shared" si="166"/>
        <v>15200000</v>
      </c>
    </row>
    <row r="490" spans="1:48">
      <c r="A490" s="148" t="s">
        <v>5584</v>
      </c>
      <c r="B490" s="150" t="s">
        <v>5459</v>
      </c>
      <c r="C490" s="150" t="s">
        <v>473</v>
      </c>
      <c r="D490" s="634" t="s">
        <v>5585</v>
      </c>
      <c r="E490" s="631"/>
      <c r="F490" s="175" t="s">
        <v>474</v>
      </c>
      <c r="G490" s="151" t="s">
        <v>238</v>
      </c>
      <c r="H490" s="174" t="s">
        <v>5554</v>
      </c>
      <c r="I490" s="150" t="s">
        <v>475</v>
      </c>
      <c r="J490" s="153" t="s">
        <v>5461</v>
      </c>
      <c r="K490" s="151" t="s">
        <v>253</v>
      </c>
      <c r="L490" s="151" t="s">
        <v>476</v>
      </c>
      <c r="M490" s="151" t="s">
        <v>473</v>
      </c>
      <c r="N490" s="152" t="s">
        <v>213</v>
      </c>
      <c r="O490" s="152" t="s">
        <v>10</v>
      </c>
      <c r="P490" s="176">
        <v>780</v>
      </c>
      <c r="Q490" s="177">
        <v>92</v>
      </c>
      <c r="R490" s="176">
        <v>146000</v>
      </c>
      <c r="S490" s="156">
        <f t="shared" si="156"/>
        <v>13432000</v>
      </c>
      <c r="T490" s="589"/>
      <c r="U490" s="157">
        <v>146000</v>
      </c>
      <c r="V490" s="158">
        <f t="shared" si="173"/>
        <v>146000</v>
      </c>
      <c r="W490" s="159">
        <f t="shared" si="158"/>
        <v>0</v>
      </c>
      <c r="X490" s="159">
        <f t="shared" si="159"/>
        <v>0</v>
      </c>
      <c r="Y490" s="160"/>
      <c r="Z490" s="160">
        <f t="shared" si="160"/>
        <v>0</v>
      </c>
      <c r="AA490" s="161"/>
      <c r="AB490" s="161">
        <f t="shared" si="161"/>
        <v>0</v>
      </c>
      <c r="AC490" s="162"/>
      <c r="AD490" s="162">
        <f t="shared" si="174"/>
        <v>0</v>
      </c>
      <c r="AE490" s="164"/>
      <c r="AF490" s="164">
        <f t="shared" si="175"/>
        <v>0</v>
      </c>
      <c r="AG490" s="165"/>
      <c r="AH490" s="165">
        <f t="shared" si="176"/>
        <v>0</v>
      </c>
      <c r="AI490" s="166">
        <v>0</v>
      </c>
      <c r="AJ490" s="166">
        <f t="shared" si="177"/>
        <v>0</v>
      </c>
      <c r="AK490" s="162"/>
      <c r="AL490" s="162">
        <f t="shared" si="167"/>
        <v>0</v>
      </c>
      <c r="AM490" s="167"/>
      <c r="AN490" s="167">
        <f t="shared" si="162"/>
        <v>0</v>
      </c>
      <c r="AO490" s="163"/>
      <c r="AP490" s="163">
        <f t="shared" si="163"/>
        <v>0</v>
      </c>
      <c r="AQ490" s="168"/>
      <c r="AR490" s="168">
        <f t="shared" si="164"/>
        <v>0</v>
      </c>
      <c r="AS490" s="170"/>
      <c r="AT490" s="170">
        <f t="shared" si="165"/>
        <v>0</v>
      </c>
      <c r="AU490" s="166"/>
      <c r="AV490" s="166">
        <f t="shared" si="166"/>
        <v>0</v>
      </c>
    </row>
    <row r="491" spans="1:48" ht="31.5">
      <c r="A491" s="172" t="s">
        <v>5131</v>
      </c>
      <c r="B491" s="149" t="s">
        <v>5132</v>
      </c>
      <c r="C491" s="149" t="s">
        <v>5133</v>
      </c>
      <c r="D491" s="634" t="s">
        <v>5134</v>
      </c>
      <c r="E491" s="631"/>
      <c r="F491" s="175" t="s">
        <v>5135</v>
      </c>
      <c r="G491" s="151" t="s">
        <v>5136</v>
      </c>
      <c r="H491" s="174" t="s">
        <v>211</v>
      </c>
      <c r="I491" s="150" t="s">
        <v>5137</v>
      </c>
      <c r="J491" s="153" t="s">
        <v>5138</v>
      </c>
      <c r="K491" s="151" t="s">
        <v>5104</v>
      </c>
      <c r="L491" s="151" t="s">
        <v>5139</v>
      </c>
      <c r="M491" s="151" t="s">
        <v>5140</v>
      </c>
      <c r="N491" s="152" t="s">
        <v>5116</v>
      </c>
      <c r="O491" s="152" t="s">
        <v>5141</v>
      </c>
      <c r="P491" s="176">
        <v>14930</v>
      </c>
      <c r="Q491" s="177">
        <v>14900</v>
      </c>
      <c r="R491" s="176">
        <v>900</v>
      </c>
      <c r="S491" s="156">
        <f t="shared" si="156"/>
        <v>13410000</v>
      </c>
      <c r="T491" s="589"/>
      <c r="U491" s="157">
        <v>900</v>
      </c>
      <c r="V491" s="158">
        <f t="shared" si="173"/>
        <v>900</v>
      </c>
      <c r="W491" s="159">
        <f t="shared" si="158"/>
        <v>0</v>
      </c>
      <c r="X491" s="159">
        <f t="shared" si="159"/>
        <v>0</v>
      </c>
      <c r="Y491" s="160"/>
      <c r="Z491" s="160">
        <f t="shared" si="160"/>
        <v>0</v>
      </c>
      <c r="AA491" s="165"/>
      <c r="AB491" s="161">
        <f t="shared" si="161"/>
        <v>0</v>
      </c>
      <c r="AC491" s="162"/>
      <c r="AD491" s="162">
        <f t="shared" si="174"/>
        <v>0</v>
      </c>
      <c r="AE491" s="164"/>
      <c r="AF491" s="164">
        <f t="shared" si="175"/>
        <v>0</v>
      </c>
      <c r="AG491" s="165"/>
      <c r="AH491" s="165">
        <f t="shared" si="176"/>
        <v>0</v>
      </c>
      <c r="AI491" s="166">
        <v>0</v>
      </c>
      <c r="AJ491" s="166">
        <f t="shared" si="177"/>
        <v>0</v>
      </c>
      <c r="AK491" s="162"/>
      <c r="AL491" s="162">
        <f t="shared" si="167"/>
        <v>0</v>
      </c>
      <c r="AM491" s="173"/>
      <c r="AN491" s="167">
        <f t="shared" si="162"/>
        <v>0</v>
      </c>
      <c r="AO491" s="163"/>
      <c r="AP491" s="163">
        <f t="shared" si="163"/>
        <v>0</v>
      </c>
      <c r="AQ491" s="168"/>
      <c r="AR491" s="168">
        <f t="shared" si="164"/>
        <v>0</v>
      </c>
      <c r="AS491" s="170"/>
      <c r="AT491" s="170">
        <f t="shared" si="165"/>
        <v>0</v>
      </c>
      <c r="AU491" s="166"/>
      <c r="AV491" s="166">
        <f t="shared" si="166"/>
        <v>0</v>
      </c>
    </row>
    <row r="492" spans="1:48">
      <c r="A492" s="172" t="s">
        <v>6733</v>
      </c>
      <c r="B492" s="149" t="s">
        <v>5132</v>
      </c>
      <c r="C492" s="149" t="s">
        <v>5133</v>
      </c>
      <c r="D492" s="240" t="s">
        <v>6734</v>
      </c>
      <c r="E492" s="590"/>
      <c r="F492" s="203" t="s">
        <v>6133</v>
      </c>
      <c r="G492" s="204" t="s">
        <v>2108</v>
      </c>
      <c r="H492" s="204">
        <v>2</v>
      </c>
      <c r="I492" s="203" t="s">
        <v>6735</v>
      </c>
      <c r="J492" s="205" t="s">
        <v>6736</v>
      </c>
      <c r="K492" s="203" t="s">
        <v>253</v>
      </c>
      <c r="L492" s="205" t="s">
        <v>6737</v>
      </c>
      <c r="M492" s="205" t="s">
        <v>6738</v>
      </c>
      <c r="N492" s="204" t="s">
        <v>6564</v>
      </c>
      <c r="O492" s="204" t="s">
        <v>520</v>
      </c>
      <c r="P492" s="206">
        <v>96127</v>
      </c>
      <c r="Q492" s="206">
        <v>96000</v>
      </c>
      <c r="R492" s="207">
        <v>50</v>
      </c>
      <c r="S492" s="207">
        <f t="shared" si="156"/>
        <v>4800000</v>
      </c>
      <c r="T492" s="589"/>
      <c r="U492" s="157">
        <v>50</v>
      </c>
      <c r="V492" s="158">
        <f t="shared" si="173"/>
        <v>50</v>
      </c>
      <c r="W492" s="159">
        <f t="shared" si="158"/>
        <v>0</v>
      </c>
      <c r="X492" s="159">
        <f t="shared" si="159"/>
        <v>0</v>
      </c>
      <c r="Y492" s="160"/>
      <c r="Z492" s="160">
        <f t="shared" si="160"/>
        <v>0</v>
      </c>
      <c r="AA492" s="161"/>
      <c r="AB492" s="161">
        <f t="shared" si="161"/>
        <v>0</v>
      </c>
      <c r="AC492" s="162"/>
      <c r="AD492" s="162">
        <f t="shared" si="174"/>
        <v>0</v>
      </c>
      <c r="AE492" s="164"/>
      <c r="AF492" s="164">
        <f t="shared" si="175"/>
        <v>0</v>
      </c>
      <c r="AG492" s="165"/>
      <c r="AH492" s="165">
        <f t="shared" si="176"/>
        <v>0</v>
      </c>
      <c r="AI492" s="166">
        <v>0</v>
      </c>
      <c r="AJ492" s="166">
        <f t="shared" si="177"/>
        <v>0</v>
      </c>
      <c r="AK492" s="162"/>
      <c r="AL492" s="162">
        <f t="shared" si="167"/>
        <v>0</v>
      </c>
      <c r="AM492" s="167"/>
      <c r="AN492" s="167">
        <f t="shared" si="162"/>
        <v>0</v>
      </c>
      <c r="AO492" s="163"/>
      <c r="AP492" s="163">
        <f t="shared" si="163"/>
        <v>0</v>
      </c>
      <c r="AQ492" s="168"/>
      <c r="AR492" s="168">
        <f t="shared" si="164"/>
        <v>0</v>
      </c>
      <c r="AS492" s="170"/>
      <c r="AT492" s="170">
        <f t="shared" si="165"/>
        <v>0</v>
      </c>
      <c r="AU492" s="166"/>
      <c r="AV492" s="166">
        <f t="shared" si="166"/>
        <v>0</v>
      </c>
    </row>
    <row r="493" spans="1:48" ht="31.5">
      <c r="A493" s="172" t="s">
        <v>5416</v>
      </c>
      <c r="B493" s="149" t="s">
        <v>5417</v>
      </c>
      <c r="C493" s="150" t="s">
        <v>5418</v>
      </c>
      <c r="D493" s="634" t="s">
        <v>4953</v>
      </c>
      <c r="E493" s="631" t="s">
        <v>12642</v>
      </c>
      <c r="F493" s="175" t="s">
        <v>531</v>
      </c>
      <c r="G493" s="151" t="s">
        <v>533</v>
      </c>
      <c r="H493" s="174" t="s">
        <v>5325</v>
      </c>
      <c r="I493" s="150" t="s">
        <v>532</v>
      </c>
      <c r="J493" s="153" t="s">
        <v>5419</v>
      </c>
      <c r="K493" s="151" t="s">
        <v>5104</v>
      </c>
      <c r="L493" s="151" t="s">
        <v>5420</v>
      </c>
      <c r="M493" s="151" t="s">
        <v>530</v>
      </c>
      <c r="N493" s="152" t="s">
        <v>213</v>
      </c>
      <c r="O493" s="152" t="s">
        <v>5141</v>
      </c>
      <c r="P493" s="176">
        <v>3450</v>
      </c>
      <c r="Q493" s="177">
        <v>1176</v>
      </c>
      <c r="R493" s="176">
        <v>8600</v>
      </c>
      <c r="S493" s="156">
        <f t="shared" si="156"/>
        <v>10113600</v>
      </c>
      <c r="T493" s="589"/>
      <c r="U493" s="157">
        <v>8100</v>
      </c>
      <c r="V493" s="158">
        <f t="shared" si="173"/>
        <v>7100</v>
      </c>
      <c r="W493" s="159">
        <f t="shared" si="158"/>
        <v>1000</v>
      </c>
      <c r="X493" s="159">
        <f t="shared" si="159"/>
        <v>1176000</v>
      </c>
      <c r="Y493" s="160"/>
      <c r="Z493" s="160">
        <f t="shared" si="160"/>
        <v>0</v>
      </c>
      <c r="AA493" s="165"/>
      <c r="AB493" s="161">
        <f t="shared" si="161"/>
        <v>0</v>
      </c>
      <c r="AC493" s="162"/>
      <c r="AD493" s="162">
        <f t="shared" si="174"/>
        <v>0</v>
      </c>
      <c r="AE493" s="164"/>
      <c r="AF493" s="164">
        <f t="shared" si="175"/>
        <v>0</v>
      </c>
      <c r="AG493" s="165"/>
      <c r="AH493" s="165">
        <f t="shared" si="176"/>
        <v>0</v>
      </c>
      <c r="AI493" s="166">
        <v>0</v>
      </c>
      <c r="AJ493" s="166">
        <f t="shared" si="177"/>
        <v>0</v>
      </c>
      <c r="AK493" s="162"/>
      <c r="AL493" s="162">
        <f t="shared" si="167"/>
        <v>0</v>
      </c>
      <c r="AM493" s="173"/>
      <c r="AN493" s="167">
        <f t="shared" si="162"/>
        <v>0</v>
      </c>
      <c r="AO493" s="163"/>
      <c r="AP493" s="163">
        <f t="shared" si="163"/>
        <v>0</v>
      </c>
      <c r="AQ493" s="168"/>
      <c r="AR493" s="168">
        <f t="shared" si="164"/>
        <v>0</v>
      </c>
      <c r="AS493" s="170">
        <v>1000</v>
      </c>
      <c r="AT493" s="170">
        <f t="shared" si="165"/>
        <v>1176000</v>
      </c>
      <c r="AU493" s="166"/>
      <c r="AV493" s="166">
        <f t="shared" si="166"/>
        <v>0</v>
      </c>
    </row>
    <row r="494" spans="1:48" s="237" customFormat="1" ht="31.5">
      <c r="A494" s="148" t="s">
        <v>5423</v>
      </c>
      <c r="B494" s="149" t="s">
        <v>5417</v>
      </c>
      <c r="C494" s="150" t="s">
        <v>5418</v>
      </c>
      <c r="D494" s="634" t="s">
        <v>4954</v>
      </c>
      <c r="E494" s="631" t="s">
        <v>12642</v>
      </c>
      <c r="F494" s="175" t="s">
        <v>531</v>
      </c>
      <c r="G494" s="151" t="s">
        <v>534</v>
      </c>
      <c r="H494" s="174" t="s">
        <v>5325</v>
      </c>
      <c r="I494" s="150" t="s">
        <v>532</v>
      </c>
      <c r="J494" s="153" t="s">
        <v>5424</v>
      </c>
      <c r="K494" s="151" t="s">
        <v>5104</v>
      </c>
      <c r="L494" s="151" t="s">
        <v>5425</v>
      </c>
      <c r="M494" s="151" t="s">
        <v>530</v>
      </c>
      <c r="N494" s="152" t="s">
        <v>213</v>
      </c>
      <c r="O494" s="152" t="s">
        <v>10</v>
      </c>
      <c r="P494" s="176">
        <v>250</v>
      </c>
      <c r="Q494" s="177">
        <v>115</v>
      </c>
      <c r="R494" s="176">
        <v>111000</v>
      </c>
      <c r="S494" s="156">
        <f t="shared" si="156"/>
        <v>12765000</v>
      </c>
      <c r="T494" s="589"/>
      <c r="U494" s="157">
        <v>101000</v>
      </c>
      <c r="V494" s="158">
        <f t="shared" si="173"/>
        <v>90500</v>
      </c>
      <c r="W494" s="159">
        <f t="shared" si="158"/>
        <v>10500</v>
      </c>
      <c r="X494" s="159">
        <f t="shared" si="159"/>
        <v>1207500</v>
      </c>
      <c r="Y494" s="160"/>
      <c r="Z494" s="160">
        <f t="shared" si="160"/>
        <v>0</v>
      </c>
      <c r="AA494" s="165">
        <v>10250</v>
      </c>
      <c r="AB494" s="161">
        <f t="shared" si="161"/>
        <v>1178750</v>
      </c>
      <c r="AC494" s="162"/>
      <c r="AD494" s="162">
        <f t="shared" si="174"/>
        <v>0</v>
      </c>
      <c r="AE494" s="164"/>
      <c r="AF494" s="164">
        <f t="shared" si="175"/>
        <v>0</v>
      </c>
      <c r="AG494" s="165"/>
      <c r="AH494" s="165">
        <f t="shared" si="176"/>
        <v>0</v>
      </c>
      <c r="AI494" s="166">
        <v>0</v>
      </c>
      <c r="AJ494" s="166">
        <f t="shared" si="177"/>
        <v>0</v>
      </c>
      <c r="AK494" s="162"/>
      <c r="AL494" s="162">
        <f t="shared" si="167"/>
        <v>0</v>
      </c>
      <c r="AM494" s="173"/>
      <c r="AN494" s="167">
        <f t="shared" si="162"/>
        <v>0</v>
      </c>
      <c r="AO494" s="163"/>
      <c r="AP494" s="163">
        <f t="shared" si="163"/>
        <v>0</v>
      </c>
      <c r="AQ494" s="168"/>
      <c r="AR494" s="168">
        <f t="shared" si="164"/>
        <v>0</v>
      </c>
      <c r="AS494" s="170">
        <v>250</v>
      </c>
      <c r="AT494" s="170">
        <f t="shared" si="165"/>
        <v>28750</v>
      </c>
      <c r="AU494" s="166"/>
      <c r="AV494" s="166">
        <f t="shared" si="166"/>
        <v>0</v>
      </c>
    </row>
    <row r="495" spans="1:48" ht="31.5">
      <c r="A495" s="172" t="s">
        <v>5444</v>
      </c>
      <c r="B495" s="149" t="s">
        <v>5417</v>
      </c>
      <c r="C495" s="150" t="s">
        <v>5418</v>
      </c>
      <c r="D495" s="634" t="s">
        <v>4948</v>
      </c>
      <c r="E495" s="631"/>
      <c r="F495" s="175" t="s">
        <v>5445</v>
      </c>
      <c r="G495" s="151" t="s">
        <v>4951</v>
      </c>
      <c r="H495" s="174" t="s">
        <v>5325</v>
      </c>
      <c r="I495" s="150" t="s">
        <v>4949</v>
      </c>
      <c r="J495" s="153" t="s">
        <v>5446</v>
      </c>
      <c r="K495" s="151" t="s">
        <v>253</v>
      </c>
      <c r="L495" s="151" t="s">
        <v>5447</v>
      </c>
      <c r="M495" s="151" t="s">
        <v>530</v>
      </c>
      <c r="N495" s="152" t="s">
        <v>213</v>
      </c>
      <c r="O495" s="152" t="s">
        <v>5141</v>
      </c>
      <c r="P495" s="176">
        <v>15500</v>
      </c>
      <c r="Q495" s="177">
        <v>8274</v>
      </c>
      <c r="R495" s="176">
        <v>1850</v>
      </c>
      <c r="S495" s="156">
        <f t="shared" si="156"/>
        <v>15306900</v>
      </c>
      <c r="T495" s="589"/>
      <c r="U495" s="157">
        <v>1850</v>
      </c>
      <c r="V495" s="158">
        <f t="shared" si="173"/>
        <v>1750</v>
      </c>
      <c r="W495" s="159">
        <f t="shared" si="158"/>
        <v>100</v>
      </c>
      <c r="X495" s="159">
        <f t="shared" si="159"/>
        <v>827400</v>
      </c>
      <c r="Y495" s="160"/>
      <c r="Z495" s="160">
        <f t="shared" si="160"/>
        <v>0</v>
      </c>
      <c r="AA495" s="161">
        <v>100</v>
      </c>
      <c r="AB495" s="161">
        <f t="shared" si="161"/>
        <v>827400</v>
      </c>
      <c r="AC495" s="162"/>
      <c r="AD495" s="162">
        <f t="shared" si="174"/>
        <v>0</v>
      </c>
      <c r="AE495" s="164"/>
      <c r="AF495" s="164">
        <f t="shared" si="175"/>
        <v>0</v>
      </c>
      <c r="AG495" s="165"/>
      <c r="AH495" s="165">
        <f t="shared" si="176"/>
        <v>0</v>
      </c>
      <c r="AI495" s="166">
        <v>0</v>
      </c>
      <c r="AJ495" s="166">
        <f t="shared" si="177"/>
        <v>0</v>
      </c>
      <c r="AK495" s="162"/>
      <c r="AL495" s="162">
        <f t="shared" si="167"/>
        <v>0</v>
      </c>
      <c r="AM495" s="167"/>
      <c r="AN495" s="167">
        <f t="shared" si="162"/>
        <v>0</v>
      </c>
      <c r="AO495" s="163"/>
      <c r="AP495" s="163">
        <f t="shared" si="163"/>
        <v>0</v>
      </c>
      <c r="AQ495" s="168"/>
      <c r="AR495" s="168">
        <f t="shared" si="164"/>
        <v>0</v>
      </c>
      <c r="AS495" s="170"/>
      <c r="AT495" s="170">
        <f t="shared" si="165"/>
        <v>0</v>
      </c>
      <c r="AU495" s="166"/>
      <c r="AV495" s="166">
        <f t="shared" si="166"/>
        <v>0</v>
      </c>
    </row>
    <row r="496" spans="1:48" ht="31.5">
      <c r="A496" s="148" t="s">
        <v>5473</v>
      </c>
      <c r="B496" s="149" t="s">
        <v>5417</v>
      </c>
      <c r="C496" s="150" t="s">
        <v>5418</v>
      </c>
      <c r="D496" s="634" t="s">
        <v>4888</v>
      </c>
      <c r="E496" s="631" t="s">
        <v>12642</v>
      </c>
      <c r="F496" s="175" t="s">
        <v>442</v>
      </c>
      <c r="G496" s="151" t="s">
        <v>272</v>
      </c>
      <c r="H496" s="174" t="s">
        <v>5325</v>
      </c>
      <c r="I496" s="150" t="s">
        <v>442</v>
      </c>
      <c r="J496" s="153" t="s">
        <v>5474</v>
      </c>
      <c r="K496" s="151" t="s">
        <v>5104</v>
      </c>
      <c r="L496" s="151" t="s">
        <v>5475</v>
      </c>
      <c r="M496" s="151" t="s">
        <v>530</v>
      </c>
      <c r="N496" s="152" t="s">
        <v>213</v>
      </c>
      <c r="O496" s="152" t="s">
        <v>10</v>
      </c>
      <c r="P496" s="176">
        <v>200</v>
      </c>
      <c r="Q496" s="177">
        <v>92</v>
      </c>
      <c r="R496" s="176">
        <v>182000</v>
      </c>
      <c r="S496" s="156">
        <f t="shared" si="156"/>
        <v>16744000</v>
      </c>
      <c r="T496" s="589"/>
      <c r="U496" s="157">
        <v>177000</v>
      </c>
      <c r="V496" s="158">
        <f t="shared" si="173"/>
        <v>171500</v>
      </c>
      <c r="W496" s="159">
        <f t="shared" si="158"/>
        <v>5500</v>
      </c>
      <c r="X496" s="159">
        <f t="shared" si="159"/>
        <v>506000</v>
      </c>
      <c r="Y496" s="160"/>
      <c r="Z496" s="160">
        <f t="shared" si="160"/>
        <v>0</v>
      </c>
      <c r="AA496" s="165"/>
      <c r="AB496" s="161">
        <f t="shared" si="161"/>
        <v>0</v>
      </c>
      <c r="AC496" s="162"/>
      <c r="AD496" s="162">
        <f t="shared" si="174"/>
        <v>0</v>
      </c>
      <c r="AE496" s="164"/>
      <c r="AF496" s="164">
        <f t="shared" si="175"/>
        <v>0</v>
      </c>
      <c r="AG496" s="165"/>
      <c r="AH496" s="165">
        <f t="shared" si="176"/>
        <v>0</v>
      </c>
      <c r="AI496" s="166">
        <v>0</v>
      </c>
      <c r="AJ496" s="166">
        <f t="shared" si="177"/>
        <v>0</v>
      </c>
      <c r="AK496" s="162"/>
      <c r="AL496" s="162">
        <f t="shared" si="167"/>
        <v>0</v>
      </c>
      <c r="AM496" s="173"/>
      <c r="AN496" s="167">
        <f t="shared" si="162"/>
        <v>0</v>
      </c>
      <c r="AO496" s="163"/>
      <c r="AP496" s="163">
        <f t="shared" si="163"/>
        <v>0</v>
      </c>
      <c r="AQ496" s="168"/>
      <c r="AR496" s="168">
        <f t="shared" si="164"/>
        <v>0</v>
      </c>
      <c r="AS496" s="170">
        <f>2000+3500</f>
        <v>5500</v>
      </c>
      <c r="AT496" s="170">
        <f t="shared" si="165"/>
        <v>506000</v>
      </c>
      <c r="AU496" s="166"/>
      <c r="AV496" s="166">
        <f t="shared" si="166"/>
        <v>0</v>
      </c>
    </row>
    <row r="497" spans="1:48" ht="31.5">
      <c r="A497" s="172" t="s">
        <v>5575</v>
      </c>
      <c r="B497" s="149" t="s">
        <v>5417</v>
      </c>
      <c r="C497" s="150" t="s">
        <v>5418</v>
      </c>
      <c r="D497" s="634" t="s">
        <v>5576</v>
      </c>
      <c r="E497" s="631"/>
      <c r="F497" s="175" t="s">
        <v>515</v>
      </c>
      <c r="G497" s="151" t="s">
        <v>517</v>
      </c>
      <c r="H497" s="174" t="s">
        <v>5554</v>
      </c>
      <c r="I497" s="150" t="s">
        <v>5577</v>
      </c>
      <c r="J497" s="153" t="s">
        <v>5446</v>
      </c>
      <c r="K497" s="151" t="s">
        <v>5104</v>
      </c>
      <c r="L497" s="151" t="s">
        <v>5578</v>
      </c>
      <c r="M497" s="151" t="s">
        <v>530</v>
      </c>
      <c r="N497" s="152" t="s">
        <v>213</v>
      </c>
      <c r="O497" s="152" t="s">
        <v>5141</v>
      </c>
      <c r="P497" s="176">
        <v>9000</v>
      </c>
      <c r="Q497" s="177">
        <v>6000</v>
      </c>
      <c r="R497" s="176">
        <v>6400</v>
      </c>
      <c r="S497" s="156">
        <f t="shared" si="156"/>
        <v>38400000</v>
      </c>
      <c r="T497" s="589"/>
      <c r="U497" s="157">
        <v>6400</v>
      </c>
      <c r="V497" s="158">
        <f t="shared" si="173"/>
        <v>6400</v>
      </c>
      <c r="W497" s="159">
        <f t="shared" si="158"/>
        <v>0</v>
      </c>
      <c r="X497" s="159">
        <f t="shared" si="159"/>
        <v>0</v>
      </c>
      <c r="Y497" s="160"/>
      <c r="Z497" s="160">
        <f t="shared" si="160"/>
        <v>0</v>
      </c>
      <c r="AA497" s="165"/>
      <c r="AB497" s="161">
        <f t="shared" si="161"/>
        <v>0</v>
      </c>
      <c r="AC497" s="162"/>
      <c r="AD497" s="162">
        <f t="shared" si="174"/>
        <v>0</v>
      </c>
      <c r="AE497" s="163"/>
      <c r="AF497" s="164">
        <f t="shared" si="175"/>
        <v>0</v>
      </c>
      <c r="AG497" s="161"/>
      <c r="AH497" s="165">
        <f t="shared" si="176"/>
        <v>0</v>
      </c>
      <c r="AI497" s="160">
        <v>0</v>
      </c>
      <c r="AJ497" s="166">
        <f t="shared" si="177"/>
        <v>0</v>
      </c>
      <c r="AK497" s="162"/>
      <c r="AL497" s="162">
        <f t="shared" si="167"/>
        <v>0</v>
      </c>
      <c r="AM497" s="173"/>
      <c r="AN497" s="167">
        <f t="shared" si="162"/>
        <v>0</v>
      </c>
      <c r="AO497" s="163"/>
      <c r="AP497" s="163">
        <f t="shared" si="163"/>
        <v>0</v>
      </c>
      <c r="AQ497" s="162"/>
      <c r="AR497" s="168">
        <f t="shared" si="164"/>
        <v>0</v>
      </c>
      <c r="AS497" s="169"/>
      <c r="AT497" s="170">
        <f t="shared" si="165"/>
        <v>0</v>
      </c>
      <c r="AU497" s="160"/>
      <c r="AV497" s="166">
        <f t="shared" si="166"/>
        <v>0</v>
      </c>
    </row>
    <row r="498" spans="1:48" s="115" customFormat="1" ht="31.5">
      <c r="A498" s="148" t="s">
        <v>7012</v>
      </c>
      <c r="B498" s="149" t="s">
        <v>5417</v>
      </c>
      <c r="C498" s="150" t="s">
        <v>5418</v>
      </c>
      <c r="D498" s="607" t="s">
        <v>4076</v>
      </c>
      <c r="E498" s="590" t="s">
        <v>12642</v>
      </c>
      <c r="F498" s="229" t="s">
        <v>513</v>
      </c>
      <c r="G498" s="230" t="s">
        <v>4078</v>
      </c>
      <c r="H498" s="230">
        <v>3</v>
      </c>
      <c r="I498" s="229" t="s">
        <v>4077</v>
      </c>
      <c r="J498" s="231" t="s">
        <v>7013</v>
      </c>
      <c r="K498" s="229" t="s">
        <v>5104</v>
      </c>
      <c r="L498" s="231" t="s">
        <v>7014</v>
      </c>
      <c r="M498" s="231" t="s">
        <v>7015</v>
      </c>
      <c r="N498" s="230" t="s">
        <v>213</v>
      </c>
      <c r="O498" s="230" t="s">
        <v>520</v>
      </c>
      <c r="P498" s="232">
        <v>1350</v>
      </c>
      <c r="Q498" s="232">
        <v>966</v>
      </c>
      <c r="R498" s="233">
        <v>6000</v>
      </c>
      <c r="S498" s="233">
        <f t="shared" si="156"/>
        <v>5796000</v>
      </c>
      <c r="T498" s="589"/>
      <c r="U498" s="157">
        <v>6000</v>
      </c>
      <c r="V498" s="158">
        <f t="shared" si="173"/>
        <v>3600</v>
      </c>
      <c r="W498" s="159">
        <f t="shared" si="158"/>
        <v>2400</v>
      </c>
      <c r="X498" s="159">
        <f t="shared" si="159"/>
        <v>2318400</v>
      </c>
      <c r="Y498" s="160"/>
      <c r="Z498" s="160">
        <f t="shared" si="160"/>
        <v>0</v>
      </c>
      <c r="AA498" s="165">
        <v>1000</v>
      </c>
      <c r="AB498" s="161">
        <f t="shared" si="161"/>
        <v>966000</v>
      </c>
      <c r="AC498" s="162"/>
      <c r="AD498" s="162">
        <f t="shared" si="174"/>
        <v>0</v>
      </c>
      <c r="AE498" s="164"/>
      <c r="AF498" s="164">
        <f t="shared" si="175"/>
        <v>0</v>
      </c>
      <c r="AG498" s="165"/>
      <c r="AH498" s="165">
        <f t="shared" si="176"/>
        <v>0</v>
      </c>
      <c r="AI498" s="166">
        <v>0</v>
      </c>
      <c r="AJ498" s="166">
        <f t="shared" si="177"/>
        <v>0</v>
      </c>
      <c r="AK498" s="162"/>
      <c r="AL498" s="162">
        <f t="shared" si="167"/>
        <v>0</v>
      </c>
      <c r="AM498" s="173"/>
      <c r="AN498" s="167">
        <f t="shared" si="162"/>
        <v>0</v>
      </c>
      <c r="AO498" s="163"/>
      <c r="AP498" s="163">
        <f t="shared" si="163"/>
        <v>0</v>
      </c>
      <c r="AQ498" s="168"/>
      <c r="AR498" s="168">
        <f t="shared" si="164"/>
        <v>0</v>
      </c>
      <c r="AS498" s="170">
        <f>1000+400</f>
        <v>1400</v>
      </c>
      <c r="AT498" s="170">
        <f t="shared" si="165"/>
        <v>1352400</v>
      </c>
      <c r="AU498" s="166"/>
      <c r="AV498" s="166">
        <f t="shared" si="166"/>
        <v>0</v>
      </c>
    </row>
    <row r="499" spans="1:48" ht="31.5">
      <c r="A499" s="172" t="s">
        <v>7193</v>
      </c>
      <c r="B499" s="149" t="s">
        <v>5417</v>
      </c>
      <c r="C499" s="150" t="s">
        <v>5418</v>
      </c>
      <c r="D499" s="240" t="s">
        <v>4985</v>
      </c>
      <c r="E499" s="590" t="s">
        <v>12643</v>
      </c>
      <c r="F499" s="203" t="s">
        <v>5050</v>
      </c>
      <c r="G499" s="204" t="s">
        <v>1862</v>
      </c>
      <c r="H499" s="204">
        <v>3</v>
      </c>
      <c r="I499" s="203" t="s">
        <v>5049</v>
      </c>
      <c r="J499" s="205" t="s">
        <v>6805</v>
      </c>
      <c r="K499" s="203" t="s">
        <v>5104</v>
      </c>
      <c r="L499" s="205" t="s">
        <v>7194</v>
      </c>
      <c r="M499" s="205" t="s">
        <v>7015</v>
      </c>
      <c r="N499" s="204" t="s">
        <v>213</v>
      </c>
      <c r="O499" s="204" t="s">
        <v>11</v>
      </c>
      <c r="P499" s="206">
        <v>850</v>
      </c>
      <c r="Q499" s="206">
        <v>480</v>
      </c>
      <c r="R499" s="207">
        <v>30000</v>
      </c>
      <c r="S499" s="207">
        <f t="shared" si="156"/>
        <v>14400000</v>
      </c>
      <c r="T499" s="589"/>
      <c r="U499" s="157">
        <v>30000</v>
      </c>
      <c r="V499" s="158">
        <f t="shared" si="173"/>
        <v>27900</v>
      </c>
      <c r="W499" s="159">
        <f t="shared" si="158"/>
        <v>2100</v>
      </c>
      <c r="X499" s="159">
        <f t="shared" si="159"/>
        <v>1008000</v>
      </c>
      <c r="Y499" s="160"/>
      <c r="Z499" s="160">
        <f t="shared" si="160"/>
        <v>0</v>
      </c>
      <c r="AA499" s="165">
        <v>1000</v>
      </c>
      <c r="AB499" s="161">
        <f t="shared" si="161"/>
        <v>480000</v>
      </c>
      <c r="AC499" s="162"/>
      <c r="AD499" s="162">
        <f t="shared" si="174"/>
        <v>0</v>
      </c>
      <c r="AE499" s="164"/>
      <c r="AF499" s="164">
        <f t="shared" si="175"/>
        <v>0</v>
      </c>
      <c r="AG499" s="165"/>
      <c r="AH499" s="165">
        <f t="shared" si="176"/>
        <v>0</v>
      </c>
      <c r="AI499" s="166">
        <v>0</v>
      </c>
      <c r="AJ499" s="166">
        <f t="shared" si="177"/>
        <v>0</v>
      </c>
      <c r="AK499" s="162"/>
      <c r="AL499" s="162">
        <f t="shared" si="167"/>
        <v>0</v>
      </c>
      <c r="AM499" s="173"/>
      <c r="AN499" s="167">
        <f t="shared" si="162"/>
        <v>0</v>
      </c>
      <c r="AO499" s="163"/>
      <c r="AP499" s="163">
        <f t="shared" si="163"/>
        <v>0</v>
      </c>
      <c r="AQ499" s="168"/>
      <c r="AR499" s="168">
        <f t="shared" si="164"/>
        <v>0</v>
      </c>
      <c r="AS499" s="170">
        <v>1100</v>
      </c>
      <c r="AT499" s="170">
        <f t="shared" si="165"/>
        <v>528000</v>
      </c>
      <c r="AU499" s="166"/>
      <c r="AV499" s="166">
        <f t="shared" si="166"/>
        <v>0</v>
      </c>
    </row>
    <row r="500" spans="1:48" ht="31.5">
      <c r="A500" s="172" t="s">
        <v>7202</v>
      </c>
      <c r="B500" s="149" t="s">
        <v>5417</v>
      </c>
      <c r="C500" s="150" t="s">
        <v>5418</v>
      </c>
      <c r="D500" s="240" t="s">
        <v>3786</v>
      </c>
      <c r="E500" s="590" t="s">
        <v>12643</v>
      </c>
      <c r="F500" s="203" t="s">
        <v>1722</v>
      </c>
      <c r="G500" s="204" t="s">
        <v>1723</v>
      </c>
      <c r="H500" s="204">
        <v>3</v>
      </c>
      <c r="I500" s="203" t="s">
        <v>7203</v>
      </c>
      <c r="J500" s="205" t="s">
        <v>7204</v>
      </c>
      <c r="K500" s="203" t="s">
        <v>5104</v>
      </c>
      <c r="L500" s="205" t="s">
        <v>7205</v>
      </c>
      <c r="M500" s="205" t="s">
        <v>7015</v>
      </c>
      <c r="N500" s="204" t="s">
        <v>213</v>
      </c>
      <c r="O500" s="204" t="s">
        <v>520</v>
      </c>
      <c r="P500" s="206">
        <v>780</v>
      </c>
      <c r="Q500" s="206">
        <v>476</v>
      </c>
      <c r="R500" s="207">
        <v>5000</v>
      </c>
      <c r="S500" s="207">
        <f t="shared" si="156"/>
        <v>2380000</v>
      </c>
      <c r="T500" s="589"/>
      <c r="U500" s="157">
        <v>5000</v>
      </c>
      <c r="V500" s="158">
        <f t="shared" si="173"/>
        <v>5000</v>
      </c>
      <c r="W500" s="159">
        <f t="shared" si="158"/>
        <v>0</v>
      </c>
      <c r="X500" s="159">
        <f t="shared" si="159"/>
        <v>0</v>
      </c>
      <c r="Y500" s="160"/>
      <c r="Z500" s="160">
        <f t="shared" si="160"/>
        <v>0</v>
      </c>
      <c r="AA500" s="161"/>
      <c r="AB500" s="161">
        <f t="shared" si="161"/>
        <v>0</v>
      </c>
      <c r="AC500" s="162"/>
      <c r="AD500" s="162">
        <f t="shared" si="174"/>
        <v>0</v>
      </c>
      <c r="AE500" s="164"/>
      <c r="AF500" s="164">
        <f t="shared" si="175"/>
        <v>0</v>
      </c>
      <c r="AG500" s="165"/>
      <c r="AH500" s="165">
        <f t="shared" si="176"/>
        <v>0</v>
      </c>
      <c r="AI500" s="166">
        <v>0</v>
      </c>
      <c r="AJ500" s="166">
        <f t="shared" si="177"/>
        <v>0</v>
      </c>
      <c r="AK500" s="162"/>
      <c r="AL500" s="162">
        <f t="shared" si="167"/>
        <v>0</v>
      </c>
      <c r="AM500" s="167"/>
      <c r="AN500" s="167">
        <f t="shared" si="162"/>
        <v>0</v>
      </c>
      <c r="AO500" s="163"/>
      <c r="AP500" s="163">
        <f t="shared" si="163"/>
        <v>0</v>
      </c>
      <c r="AQ500" s="168"/>
      <c r="AR500" s="168">
        <f t="shared" si="164"/>
        <v>0</v>
      </c>
      <c r="AS500" s="170"/>
      <c r="AT500" s="170">
        <f t="shared" si="165"/>
        <v>0</v>
      </c>
      <c r="AU500" s="166"/>
      <c r="AV500" s="166">
        <f t="shared" si="166"/>
        <v>0</v>
      </c>
    </row>
    <row r="501" spans="1:48" ht="31.5">
      <c r="A501" s="148" t="s">
        <v>7556</v>
      </c>
      <c r="B501" s="149" t="s">
        <v>5417</v>
      </c>
      <c r="C501" s="150" t="s">
        <v>5418</v>
      </c>
      <c r="D501" s="240" t="s">
        <v>7557</v>
      </c>
      <c r="E501" s="590"/>
      <c r="F501" s="203" t="s">
        <v>765</v>
      </c>
      <c r="G501" s="204" t="s">
        <v>770</v>
      </c>
      <c r="H501" s="204">
        <v>3</v>
      </c>
      <c r="I501" s="203" t="s">
        <v>7558</v>
      </c>
      <c r="J501" s="205" t="s">
        <v>7559</v>
      </c>
      <c r="K501" s="203" t="s">
        <v>5104</v>
      </c>
      <c r="L501" s="205" t="s">
        <v>7560</v>
      </c>
      <c r="M501" s="205" t="s">
        <v>7015</v>
      </c>
      <c r="N501" s="204" t="s">
        <v>213</v>
      </c>
      <c r="O501" s="204" t="s">
        <v>520</v>
      </c>
      <c r="P501" s="206">
        <v>9500</v>
      </c>
      <c r="Q501" s="206">
        <v>5880</v>
      </c>
      <c r="R501" s="207">
        <v>500</v>
      </c>
      <c r="S501" s="207">
        <f t="shared" si="156"/>
        <v>2940000</v>
      </c>
      <c r="T501" s="589"/>
      <c r="U501" s="157">
        <v>500</v>
      </c>
      <c r="V501" s="158">
        <f t="shared" si="173"/>
        <v>500</v>
      </c>
      <c r="W501" s="159">
        <f t="shared" si="158"/>
        <v>0</v>
      </c>
      <c r="X501" s="159">
        <f t="shared" si="159"/>
        <v>0</v>
      </c>
      <c r="Y501" s="160"/>
      <c r="Z501" s="160">
        <f t="shared" si="160"/>
        <v>0</v>
      </c>
      <c r="AA501" s="165"/>
      <c r="AB501" s="161">
        <f t="shared" si="161"/>
        <v>0</v>
      </c>
      <c r="AC501" s="162"/>
      <c r="AD501" s="162">
        <f t="shared" si="174"/>
        <v>0</v>
      </c>
      <c r="AE501" s="164"/>
      <c r="AF501" s="164">
        <f t="shared" si="175"/>
        <v>0</v>
      </c>
      <c r="AG501" s="165"/>
      <c r="AH501" s="165">
        <f t="shared" si="176"/>
        <v>0</v>
      </c>
      <c r="AI501" s="166">
        <v>0</v>
      </c>
      <c r="AJ501" s="166">
        <f t="shared" si="177"/>
        <v>0</v>
      </c>
      <c r="AK501" s="162"/>
      <c r="AL501" s="162">
        <f t="shared" si="167"/>
        <v>0</v>
      </c>
      <c r="AM501" s="173"/>
      <c r="AN501" s="167">
        <f t="shared" si="162"/>
        <v>0</v>
      </c>
      <c r="AO501" s="163"/>
      <c r="AP501" s="163">
        <f t="shared" si="163"/>
        <v>0</v>
      </c>
      <c r="AQ501" s="168"/>
      <c r="AR501" s="168">
        <f t="shared" si="164"/>
        <v>0</v>
      </c>
      <c r="AS501" s="170"/>
      <c r="AT501" s="170">
        <f t="shared" si="165"/>
        <v>0</v>
      </c>
      <c r="AU501" s="166"/>
      <c r="AV501" s="166">
        <f t="shared" si="166"/>
        <v>0</v>
      </c>
    </row>
    <row r="502" spans="1:48" ht="31.5">
      <c r="A502" s="172" t="s">
        <v>7567</v>
      </c>
      <c r="B502" s="149" t="s">
        <v>5417</v>
      </c>
      <c r="C502" s="150" t="s">
        <v>5418</v>
      </c>
      <c r="D502" s="240" t="s">
        <v>7568</v>
      </c>
      <c r="E502" s="590" t="s">
        <v>12643</v>
      </c>
      <c r="F502" s="203" t="s">
        <v>765</v>
      </c>
      <c r="G502" s="204" t="s">
        <v>225</v>
      </c>
      <c r="H502" s="204">
        <v>3</v>
      </c>
      <c r="I502" s="203" t="s">
        <v>7558</v>
      </c>
      <c r="J502" s="205" t="s">
        <v>7569</v>
      </c>
      <c r="K502" s="203" t="s">
        <v>5104</v>
      </c>
      <c r="L502" s="205" t="s">
        <v>7570</v>
      </c>
      <c r="M502" s="205" t="s">
        <v>7015</v>
      </c>
      <c r="N502" s="204" t="s">
        <v>213</v>
      </c>
      <c r="O502" s="204" t="s">
        <v>11</v>
      </c>
      <c r="P502" s="206">
        <v>2000</v>
      </c>
      <c r="Q502" s="206">
        <v>1596</v>
      </c>
      <c r="R502" s="207">
        <v>10000</v>
      </c>
      <c r="S502" s="207">
        <f t="shared" si="156"/>
        <v>15960000</v>
      </c>
      <c r="T502" s="589"/>
      <c r="U502" s="157">
        <v>10000</v>
      </c>
      <c r="V502" s="158">
        <f t="shared" si="173"/>
        <v>10000</v>
      </c>
      <c r="W502" s="159">
        <f t="shared" si="158"/>
        <v>0</v>
      </c>
      <c r="X502" s="159">
        <f t="shared" si="159"/>
        <v>0</v>
      </c>
      <c r="Y502" s="160"/>
      <c r="Z502" s="160">
        <f t="shared" si="160"/>
        <v>0</v>
      </c>
      <c r="AA502" s="165"/>
      <c r="AB502" s="161">
        <f t="shared" si="161"/>
        <v>0</v>
      </c>
      <c r="AC502" s="162"/>
      <c r="AD502" s="162">
        <f t="shared" si="174"/>
        <v>0</v>
      </c>
      <c r="AE502" s="164"/>
      <c r="AF502" s="164">
        <f t="shared" si="175"/>
        <v>0</v>
      </c>
      <c r="AG502" s="165"/>
      <c r="AH502" s="165">
        <f t="shared" si="176"/>
        <v>0</v>
      </c>
      <c r="AI502" s="166">
        <v>0</v>
      </c>
      <c r="AJ502" s="166">
        <f t="shared" si="177"/>
        <v>0</v>
      </c>
      <c r="AK502" s="162"/>
      <c r="AL502" s="162">
        <f t="shared" si="167"/>
        <v>0</v>
      </c>
      <c r="AM502" s="173"/>
      <c r="AN502" s="167">
        <f t="shared" si="162"/>
        <v>0</v>
      </c>
      <c r="AO502" s="163"/>
      <c r="AP502" s="163">
        <f t="shared" si="163"/>
        <v>0</v>
      </c>
      <c r="AQ502" s="168"/>
      <c r="AR502" s="168">
        <f t="shared" si="164"/>
        <v>0</v>
      </c>
      <c r="AS502" s="170"/>
      <c r="AT502" s="170">
        <f t="shared" si="165"/>
        <v>0</v>
      </c>
      <c r="AU502" s="166"/>
      <c r="AV502" s="166">
        <f t="shared" si="166"/>
        <v>0</v>
      </c>
    </row>
    <row r="503" spans="1:48" ht="31.5">
      <c r="A503" s="148" t="s">
        <v>7586</v>
      </c>
      <c r="B503" s="149" t="s">
        <v>5417</v>
      </c>
      <c r="C503" s="150" t="s">
        <v>5418</v>
      </c>
      <c r="D503" s="240" t="s">
        <v>4205</v>
      </c>
      <c r="E503" s="590"/>
      <c r="F503" s="203" t="s">
        <v>1365</v>
      </c>
      <c r="G503" s="204" t="s">
        <v>310</v>
      </c>
      <c r="H503" s="204">
        <v>3</v>
      </c>
      <c r="I503" s="203" t="s">
        <v>7587</v>
      </c>
      <c r="J503" s="205" t="s">
        <v>7588</v>
      </c>
      <c r="K503" s="203" t="s">
        <v>5104</v>
      </c>
      <c r="L503" s="205" t="s">
        <v>7589</v>
      </c>
      <c r="M503" s="205" t="s">
        <v>7015</v>
      </c>
      <c r="N503" s="204" t="s">
        <v>213</v>
      </c>
      <c r="O503" s="204" t="s">
        <v>16</v>
      </c>
      <c r="P503" s="206">
        <v>400</v>
      </c>
      <c r="Q503" s="206">
        <v>231</v>
      </c>
      <c r="R503" s="207">
        <v>100000</v>
      </c>
      <c r="S503" s="207">
        <f t="shared" si="156"/>
        <v>23100000</v>
      </c>
      <c r="T503" s="589"/>
      <c r="U503" s="157">
        <v>100000</v>
      </c>
      <c r="V503" s="158">
        <f t="shared" si="173"/>
        <v>100000</v>
      </c>
      <c r="W503" s="159">
        <f t="shared" si="158"/>
        <v>0</v>
      </c>
      <c r="X503" s="159">
        <f t="shared" si="159"/>
        <v>0</v>
      </c>
      <c r="Y503" s="160"/>
      <c r="Z503" s="160">
        <f t="shared" si="160"/>
        <v>0</v>
      </c>
      <c r="AA503" s="165"/>
      <c r="AB503" s="161">
        <f t="shared" si="161"/>
        <v>0</v>
      </c>
      <c r="AC503" s="162"/>
      <c r="AD503" s="162">
        <f t="shared" si="174"/>
        <v>0</v>
      </c>
      <c r="AE503" s="164"/>
      <c r="AF503" s="164">
        <f t="shared" si="175"/>
        <v>0</v>
      </c>
      <c r="AG503" s="165"/>
      <c r="AH503" s="165">
        <f t="shared" si="176"/>
        <v>0</v>
      </c>
      <c r="AI503" s="166">
        <v>0</v>
      </c>
      <c r="AJ503" s="166">
        <f t="shared" si="177"/>
        <v>0</v>
      </c>
      <c r="AK503" s="162"/>
      <c r="AL503" s="162">
        <f t="shared" si="167"/>
        <v>0</v>
      </c>
      <c r="AM503" s="173"/>
      <c r="AN503" s="167">
        <f t="shared" si="162"/>
        <v>0</v>
      </c>
      <c r="AO503" s="163"/>
      <c r="AP503" s="163">
        <f t="shared" si="163"/>
        <v>0</v>
      </c>
      <c r="AQ503" s="168"/>
      <c r="AR503" s="168">
        <f t="shared" si="164"/>
        <v>0</v>
      </c>
      <c r="AS503" s="170"/>
      <c r="AT503" s="170">
        <f t="shared" si="165"/>
        <v>0</v>
      </c>
      <c r="AU503" s="166"/>
      <c r="AV503" s="166">
        <f t="shared" si="166"/>
        <v>0</v>
      </c>
    </row>
    <row r="504" spans="1:48" ht="31.5">
      <c r="A504" s="148" t="s">
        <v>7965</v>
      </c>
      <c r="B504" s="149" t="s">
        <v>5417</v>
      </c>
      <c r="C504" s="150" t="s">
        <v>5418</v>
      </c>
      <c r="D504" s="240" t="s">
        <v>7966</v>
      </c>
      <c r="E504" s="590"/>
      <c r="F504" s="203" t="s">
        <v>1356</v>
      </c>
      <c r="G504" s="204" t="s">
        <v>1767</v>
      </c>
      <c r="H504" s="204">
        <v>3</v>
      </c>
      <c r="I504" s="203" t="s">
        <v>7967</v>
      </c>
      <c r="J504" s="205" t="s">
        <v>7968</v>
      </c>
      <c r="K504" s="203" t="s">
        <v>5104</v>
      </c>
      <c r="L504" s="205" t="s">
        <v>7969</v>
      </c>
      <c r="M504" s="205" t="s">
        <v>7015</v>
      </c>
      <c r="N504" s="204" t="s">
        <v>213</v>
      </c>
      <c r="O504" s="204" t="s">
        <v>520</v>
      </c>
      <c r="P504" s="206">
        <v>2100</v>
      </c>
      <c r="Q504" s="206">
        <v>1260</v>
      </c>
      <c r="R504" s="207">
        <v>3000</v>
      </c>
      <c r="S504" s="207">
        <f t="shared" si="156"/>
        <v>3780000</v>
      </c>
      <c r="T504" s="589"/>
      <c r="U504" s="157">
        <v>3000</v>
      </c>
      <c r="V504" s="158">
        <f t="shared" si="173"/>
        <v>3000</v>
      </c>
      <c r="W504" s="159">
        <f t="shared" si="158"/>
        <v>0</v>
      </c>
      <c r="X504" s="159">
        <f t="shared" si="159"/>
        <v>0</v>
      </c>
      <c r="Y504" s="160"/>
      <c r="Z504" s="160">
        <f t="shared" si="160"/>
        <v>0</v>
      </c>
      <c r="AA504" s="165"/>
      <c r="AB504" s="161">
        <f t="shared" si="161"/>
        <v>0</v>
      </c>
      <c r="AC504" s="162"/>
      <c r="AD504" s="162">
        <f t="shared" si="174"/>
        <v>0</v>
      </c>
      <c r="AE504" s="164"/>
      <c r="AF504" s="164">
        <f t="shared" si="175"/>
        <v>0</v>
      </c>
      <c r="AG504" s="165"/>
      <c r="AH504" s="165">
        <f t="shared" si="176"/>
        <v>0</v>
      </c>
      <c r="AI504" s="166">
        <v>0</v>
      </c>
      <c r="AJ504" s="166">
        <f t="shared" si="177"/>
        <v>0</v>
      </c>
      <c r="AK504" s="162"/>
      <c r="AL504" s="162">
        <f t="shared" si="167"/>
        <v>0</v>
      </c>
      <c r="AM504" s="173"/>
      <c r="AN504" s="167">
        <f t="shared" si="162"/>
        <v>0</v>
      </c>
      <c r="AO504" s="163"/>
      <c r="AP504" s="163">
        <f t="shared" si="163"/>
        <v>0</v>
      </c>
      <c r="AQ504" s="168"/>
      <c r="AR504" s="168">
        <f t="shared" si="164"/>
        <v>0</v>
      </c>
      <c r="AS504" s="170"/>
      <c r="AT504" s="170">
        <f t="shared" si="165"/>
        <v>0</v>
      </c>
      <c r="AU504" s="166"/>
      <c r="AV504" s="166">
        <f t="shared" si="166"/>
        <v>0</v>
      </c>
    </row>
    <row r="505" spans="1:48" ht="31.5">
      <c r="A505" s="148" t="s">
        <v>7973</v>
      </c>
      <c r="B505" s="149" t="s">
        <v>5417</v>
      </c>
      <c r="C505" s="150" t="s">
        <v>5418</v>
      </c>
      <c r="D505" s="240" t="s">
        <v>3766</v>
      </c>
      <c r="E505" s="590" t="s">
        <v>12642</v>
      </c>
      <c r="F505" s="203" t="s">
        <v>1315</v>
      </c>
      <c r="G505" s="204" t="s">
        <v>267</v>
      </c>
      <c r="H505" s="204">
        <v>3</v>
      </c>
      <c r="I505" s="203" t="s">
        <v>3767</v>
      </c>
      <c r="J505" s="205" t="s">
        <v>7974</v>
      </c>
      <c r="K505" s="203" t="s">
        <v>5104</v>
      </c>
      <c r="L505" s="205" t="s">
        <v>7975</v>
      </c>
      <c r="M505" s="205" t="s">
        <v>7015</v>
      </c>
      <c r="N505" s="204" t="s">
        <v>213</v>
      </c>
      <c r="O505" s="204" t="s">
        <v>7976</v>
      </c>
      <c r="P505" s="206">
        <v>200</v>
      </c>
      <c r="Q505" s="206">
        <v>100</v>
      </c>
      <c r="R505" s="207">
        <v>150000</v>
      </c>
      <c r="S505" s="207">
        <f t="shared" si="156"/>
        <v>15000000</v>
      </c>
      <c r="T505" s="589"/>
      <c r="U505" s="157">
        <v>150000</v>
      </c>
      <c r="V505" s="158">
        <f t="shared" si="173"/>
        <v>88500</v>
      </c>
      <c r="W505" s="159">
        <f t="shared" si="158"/>
        <v>61500</v>
      </c>
      <c r="X505" s="159">
        <f t="shared" si="159"/>
        <v>6150000</v>
      </c>
      <c r="Y505" s="160"/>
      <c r="Z505" s="160">
        <f t="shared" si="160"/>
        <v>0</v>
      </c>
      <c r="AA505" s="161">
        <v>17250</v>
      </c>
      <c r="AB505" s="161">
        <f t="shared" si="161"/>
        <v>1725000</v>
      </c>
      <c r="AC505" s="162"/>
      <c r="AD505" s="162">
        <f t="shared" si="174"/>
        <v>0</v>
      </c>
      <c r="AE505" s="164"/>
      <c r="AF505" s="164">
        <f t="shared" si="175"/>
        <v>0</v>
      </c>
      <c r="AG505" s="165"/>
      <c r="AH505" s="165">
        <f t="shared" si="176"/>
        <v>0</v>
      </c>
      <c r="AI505" s="166">
        <v>0</v>
      </c>
      <c r="AJ505" s="166">
        <f t="shared" si="177"/>
        <v>0</v>
      </c>
      <c r="AK505" s="162"/>
      <c r="AL505" s="162">
        <f t="shared" si="167"/>
        <v>0</v>
      </c>
      <c r="AM505" s="167"/>
      <c r="AN505" s="167">
        <f t="shared" si="162"/>
        <v>0</v>
      </c>
      <c r="AO505" s="163"/>
      <c r="AP505" s="163">
        <f t="shared" si="163"/>
        <v>0</v>
      </c>
      <c r="AQ505" s="168"/>
      <c r="AR505" s="168">
        <f t="shared" si="164"/>
        <v>0</v>
      </c>
      <c r="AS505" s="170">
        <f>19500+24750</f>
        <v>44250</v>
      </c>
      <c r="AT505" s="170">
        <f t="shared" si="165"/>
        <v>4425000</v>
      </c>
      <c r="AU505" s="166"/>
      <c r="AV505" s="166">
        <f t="shared" si="166"/>
        <v>0</v>
      </c>
    </row>
    <row r="506" spans="1:48" ht="31.5">
      <c r="A506" s="148" t="s">
        <v>8101</v>
      </c>
      <c r="B506" s="149" t="s">
        <v>5417</v>
      </c>
      <c r="C506" s="150" t="s">
        <v>5418</v>
      </c>
      <c r="D506" s="240" t="s">
        <v>3870</v>
      </c>
      <c r="E506" s="590" t="s">
        <v>12642</v>
      </c>
      <c r="F506" s="203" t="s">
        <v>1321</v>
      </c>
      <c r="G506" s="204" t="s">
        <v>248</v>
      </c>
      <c r="H506" s="204">
        <v>3</v>
      </c>
      <c r="I506" s="203" t="s">
        <v>4436</v>
      </c>
      <c r="J506" s="205" t="s">
        <v>8102</v>
      </c>
      <c r="K506" s="203" t="s">
        <v>5104</v>
      </c>
      <c r="L506" s="205" t="s">
        <v>8103</v>
      </c>
      <c r="M506" s="205" t="s">
        <v>7015</v>
      </c>
      <c r="N506" s="204" t="s">
        <v>213</v>
      </c>
      <c r="O506" s="204" t="s">
        <v>11</v>
      </c>
      <c r="P506" s="206">
        <v>150</v>
      </c>
      <c r="Q506" s="206">
        <v>45</v>
      </c>
      <c r="R506" s="207">
        <v>200000</v>
      </c>
      <c r="S506" s="207">
        <f t="shared" si="156"/>
        <v>9000000</v>
      </c>
      <c r="T506" s="589"/>
      <c r="U506" s="157">
        <v>200000</v>
      </c>
      <c r="V506" s="158">
        <f t="shared" si="173"/>
        <v>172500</v>
      </c>
      <c r="W506" s="159">
        <f t="shared" si="158"/>
        <v>27500</v>
      </c>
      <c r="X506" s="159">
        <f t="shared" si="159"/>
        <v>1237500</v>
      </c>
      <c r="Y506" s="160"/>
      <c r="Z506" s="160">
        <f t="shared" si="160"/>
        <v>0</v>
      </c>
      <c r="AA506" s="161">
        <v>15000</v>
      </c>
      <c r="AB506" s="161">
        <f t="shared" si="161"/>
        <v>675000</v>
      </c>
      <c r="AC506" s="162"/>
      <c r="AD506" s="162">
        <f t="shared" si="174"/>
        <v>0</v>
      </c>
      <c r="AE506" s="164"/>
      <c r="AF506" s="164">
        <f t="shared" si="175"/>
        <v>0</v>
      </c>
      <c r="AG506" s="165"/>
      <c r="AH506" s="165">
        <f t="shared" si="176"/>
        <v>0</v>
      </c>
      <c r="AI506" s="166">
        <v>0</v>
      </c>
      <c r="AJ506" s="166">
        <f t="shared" si="177"/>
        <v>0</v>
      </c>
      <c r="AK506" s="162"/>
      <c r="AL506" s="162">
        <f t="shared" si="167"/>
        <v>0</v>
      </c>
      <c r="AM506" s="167"/>
      <c r="AN506" s="167">
        <f t="shared" si="162"/>
        <v>0</v>
      </c>
      <c r="AO506" s="163"/>
      <c r="AP506" s="163">
        <f t="shared" si="163"/>
        <v>0</v>
      </c>
      <c r="AQ506" s="168"/>
      <c r="AR506" s="168">
        <f t="shared" si="164"/>
        <v>0</v>
      </c>
      <c r="AS506" s="170">
        <v>12500</v>
      </c>
      <c r="AT506" s="170">
        <f t="shared" si="165"/>
        <v>562500</v>
      </c>
      <c r="AU506" s="166"/>
      <c r="AV506" s="166">
        <f t="shared" si="166"/>
        <v>0</v>
      </c>
    </row>
    <row r="507" spans="1:48" ht="31.5">
      <c r="A507" s="172" t="s">
        <v>8163</v>
      </c>
      <c r="B507" s="149" t="s">
        <v>5417</v>
      </c>
      <c r="C507" s="150" t="s">
        <v>5418</v>
      </c>
      <c r="D507" s="240" t="s">
        <v>8164</v>
      </c>
      <c r="E507" s="590" t="s">
        <v>12642</v>
      </c>
      <c r="F507" s="203" t="s">
        <v>8165</v>
      </c>
      <c r="G507" s="204" t="s">
        <v>8166</v>
      </c>
      <c r="H507" s="204">
        <v>3</v>
      </c>
      <c r="I507" s="203" t="s">
        <v>2471</v>
      </c>
      <c r="J507" s="205" t="s">
        <v>7204</v>
      </c>
      <c r="K507" s="203" t="s">
        <v>5104</v>
      </c>
      <c r="L507" s="205" t="s">
        <v>8167</v>
      </c>
      <c r="M507" s="205" t="s">
        <v>7015</v>
      </c>
      <c r="N507" s="204" t="s">
        <v>213</v>
      </c>
      <c r="O507" s="204" t="s">
        <v>520</v>
      </c>
      <c r="P507" s="206">
        <v>893</v>
      </c>
      <c r="Q507" s="206">
        <v>567</v>
      </c>
      <c r="R507" s="207">
        <v>3000</v>
      </c>
      <c r="S507" s="207">
        <f t="shared" si="156"/>
        <v>1701000</v>
      </c>
      <c r="T507" s="589"/>
      <c r="U507" s="157">
        <v>3000</v>
      </c>
      <c r="V507" s="158">
        <f t="shared" si="173"/>
        <v>3000</v>
      </c>
      <c r="W507" s="159">
        <f t="shared" si="158"/>
        <v>0</v>
      </c>
      <c r="X507" s="159">
        <f t="shared" si="159"/>
        <v>0</v>
      </c>
      <c r="Y507" s="160"/>
      <c r="Z507" s="160">
        <f t="shared" si="160"/>
        <v>0</v>
      </c>
      <c r="AA507" s="165"/>
      <c r="AB507" s="161">
        <f t="shared" si="161"/>
        <v>0</v>
      </c>
      <c r="AC507" s="162"/>
      <c r="AD507" s="162">
        <f t="shared" si="174"/>
        <v>0</v>
      </c>
      <c r="AE507" s="163"/>
      <c r="AF507" s="164">
        <f t="shared" si="175"/>
        <v>0</v>
      </c>
      <c r="AG507" s="161"/>
      <c r="AH507" s="165">
        <f t="shared" si="176"/>
        <v>0</v>
      </c>
      <c r="AI507" s="160">
        <v>0</v>
      </c>
      <c r="AJ507" s="166">
        <f t="shared" si="177"/>
        <v>0</v>
      </c>
      <c r="AK507" s="162"/>
      <c r="AL507" s="162">
        <f t="shared" si="167"/>
        <v>0</v>
      </c>
      <c r="AM507" s="173"/>
      <c r="AN507" s="167">
        <f t="shared" si="162"/>
        <v>0</v>
      </c>
      <c r="AO507" s="163"/>
      <c r="AP507" s="163">
        <f t="shared" si="163"/>
        <v>0</v>
      </c>
      <c r="AQ507" s="162"/>
      <c r="AR507" s="168">
        <f t="shared" si="164"/>
        <v>0</v>
      </c>
      <c r="AS507" s="169"/>
      <c r="AT507" s="170">
        <f t="shared" si="165"/>
        <v>0</v>
      </c>
      <c r="AU507" s="160"/>
      <c r="AV507" s="166">
        <f t="shared" si="166"/>
        <v>0</v>
      </c>
    </row>
    <row r="508" spans="1:48" ht="31.5">
      <c r="A508" s="148" t="s">
        <v>8168</v>
      </c>
      <c r="B508" s="149" t="s">
        <v>5417</v>
      </c>
      <c r="C508" s="150" t="s">
        <v>5418</v>
      </c>
      <c r="D508" s="240" t="s">
        <v>3733</v>
      </c>
      <c r="E508" s="590" t="s">
        <v>12642</v>
      </c>
      <c r="F508" s="203" t="s">
        <v>8169</v>
      </c>
      <c r="G508" s="204" t="s">
        <v>733</v>
      </c>
      <c r="H508" s="204">
        <v>3</v>
      </c>
      <c r="I508" s="203" t="s">
        <v>2594</v>
      </c>
      <c r="J508" s="205" t="s">
        <v>8170</v>
      </c>
      <c r="K508" s="203" t="s">
        <v>6049</v>
      </c>
      <c r="L508" s="205" t="s">
        <v>8171</v>
      </c>
      <c r="M508" s="205" t="s">
        <v>7015</v>
      </c>
      <c r="N508" s="204" t="s">
        <v>213</v>
      </c>
      <c r="O508" s="204" t="s">
        <v>520</v>
      </c>
      <c r="P508" s="206">
        <v>3850</v>
      </c>
      <c r="Q508" s="206">
        <v>1701</v>
      </c>
      <c r="R508" s="207">
        <v>3000</v>
      </c>
      <c r="S508" s="207">
        <f t="shared" si="156"/>
        <v>5103000</v>
      </c>
      <c r="T508" s="589"/>
      <c r="U508" s="157">
        <v>3000</v>
      </c>
      <c r="V508" s="158">
        <f t="shared" si="173"/>
        <v>1900</v>
      </c>
      <c r="W508" s="159">
        <f t="shared" si="158"/>
        <v>1100</v>
      </c>
      <c r="X508" s="159">
        <f t="shared" si="159"/>
        <v>1871100</v>
      </c>
      <c r="Y508" s="160"/>
      <c r="Z508" s="160">
        <f t="shared" si="160"/>
        <v>0</v>
      </c>
      <c r="AA508" s="165">
        <v>500</v>
      </c>
      <c r="AB508" s="161">
        <f t="shared" si="161"/>
        <v>850500</v>
      </c>
      <c r="AC508" s="162"/>
      <c r="AD508" s="162">
        <f t="shared" si="174"/>
        <v>0</v>
      </c>
      <c r="AE508" s="164"/>
      <c r="AF508" s="164">
        <f t="shared" si="175"/>
        <v>0</v>
      </c>
      <c r="AG508" s="165"/>
      <c r="AH508" s="165">
        <f t="shared" si="176"/>
        <v>0</v>
      </c>
      <c r="AI508" s="166">
        <v>0</v>
      </c>
      <c r="AJ508" s="166">
        <f t="shared" si="177"/>
        <v>0</v>
      </c>
      <c r="AK508" s="162"/>
      <c r="AL508" s="162">
        <f t="shared" si="167"/>
        <v>0</v>
      </c>
      <c r="AM508" s="173"/>
      <c r="AN508" s="167">
        <f t="shared" si="162"/>
        <v>0</v>
      </c>
      <c r="AO508" s="163"/>
      <c r="AP508" s="163">
        <f t="shared" si="163"/>
        <v>0</v>
      </c>
      <c r="AQ508" s="168"/>
      <c r="AR508" s="168">
        <f t="shared" si="164"/>
        <v>0</v>
      </c>
      <c r="AS508" s="170">
        <f>300+300</f>
        <v>600</v>
      </c>
      <c r="AT508" s="170">
        <f t="shared" si="165"/>
        <v>1020600</v>
      </c>
      <c r="AU508" s="166"/>
      <c r="AV508" s="166">
        <f t="shared" si="166"/>
        <v>0</v>
      </c>
    </row>
    <row r="509" spans="1:48" ht="31.5">
      <c r="A509" s="148" t="s">
        <v>8435</v>
      </c>
      <c r="B509" s="149" t="s">
        <v>5417</v>
      </c>
      <c r="C509" s="150" t="s">
        <v>5418</v>
      </c>
      <c r="D509" s="240" t="s">
        <v>8436</v>
      </c>
      <c r="E509" s="590" t="s">
        <v>12643</v>
      </c>
      <c r="F509" s="203" t="s">
        <v>765</v>
      </c>
      <c r="G509" s="204" t="s">
        <v>225</v>
      </c>
      <c r="H509" s="204">
        <v>5</v>
      </c>
      <c r="I509" s="203" t="s">
        <v>7558</v>
      </c>
      <c r="J509" s="205" t="s">
        <v>7569</v>
      </c>
      <c r="K509" s="203" t="s">
        <v>5104</v>
      </c>
      <c r="L509" s="205" t="s">
        <v>7570</v>
      </c>
      <c r="M509" s="205" t="s">
        <v>7015</v>
      </c>
      <c r="N509" s="204" t="s">
        <v>213</v>
      </c>
      <c r="O509" s="204" t="s">
        <v>11</v>
      </c>
      <c r="P509" s="206">
        <v>2000</v>
      </c>
      <c r="Q509" s="206">
        <v>1596</v>
      </c>
      <c r="R509" s="207">
        <v>10000</v>
      </c>
      <c r="S509" s="207">
        <f t="shared" si="156"/>
        <v>15960000</v>
      </c>
      <c r="T509" s="589"/>
      <c r="U509" s="157">
        <v>10000</v>
      </c>
      <c r="V509" s="158">
        <f t="shared" si="173"/>
        <v>10000</v>
      </c>
      <c r="W509" s="159">
        <f t="shared" si="158"/>
        <v>0</v>
      </c>
      <c r="X509" s="159">
        <f t="shared" si="159"/>
        <v>0</v>
      </c>
      <c r="Y509" s="160"/>
      <c r="Z509" s="160">
        <f t="shared" si="160"/>
        <v>0</v>
      </c>
      <c r="AA509" s="165"/>
      <c r="AB509" s="161">
        <f t="shared" si="161"/>
        <v>0</v>
      </c>
      <c r="AC509" s="162"/>
      <c r="AD509" s="162">
        <f t="shared" si="174"/>
        <v>0</v>
      </c>
      <c r="AE509" s="164"/>
      <c r="AF509" s="164">
        <f t="shared" si="175"/>
        <v>0</v>
      </c>
      <c r="AG509" s="165"/>
      <c r="AH509" s="165">
        <f t="shared" si="176"/>
        <v>0</v>
      </c>
      <c r="AI509" s="166">
        <v>0</v>
      </c>
      <c r="AJ509" s="166">
        <f t="shared" si="177"/>
        <v>0</v>
      </c>
      <c r="AK509" s="162"/>
      <c r="AL509" s="162">
        <f t="shared" si="167"/>
        <v>0</v>
      </c>
      <c r="AM509" s="173"/>
      <c r="AN509" s="167">
        <f t="shared" si="162"/>
        <v>0</v>
      </c>
      <c r="AO509" s="163"/>
      <c r="AP509" s="163">
        <f t="shared" si="163"/>
        <v>0</v>
      </c>
      <c r="AQ509" s="168"/>
      <c r="AR509" s="168">
        <f t="shared" si="164"/>
        <v>0</v>
      </c>
      <c r="AS509" s="170"/>
      <c r="AT509" s="170">
        <f t="shared" si="165"/>
        <v>0</v>
      </c>
      <c r="AU509" s="166"/>
      <c r="AV509" s="166">
        <f t="shared" si="166"/>
        <v>0</v>
      </c>
    </row>
    <row r="510" spans="1:48" ht="31.5">
      <c r="A510" s="148" t="s">
        <v>8466</v>
      </c>
      <c r="B510" s="149" t="s">
        <v>5417</v>
      </c>
      <c r="C510" s="150" t="s">
        <v>5418</v>
      </c>
      <c r="D510" s="240" t="s">
        <v>8467</v>
      </c>
      <c r="E510" s="590"/>
      <c r="F510" s="203" t="s">
        <v>1356</v>
      </c>
      <c r="G510" s="204" t="s">
        <v>1767</v>
      </c>
      <c r="H510" s="204">
        <v>5</v>
      </c>
      <c r="I510" s="203" t="s">
        <v>7967</v>
      </c>
      <c r="J510" s="205" t="s">
        <v>7968</v>
      </c>
      <c r="K510" s="203" t="s">
        <v>5104</v>
      </c>
      <c r="L510" s="205" t="s">
        <v>7969</v>
      </c>
      <c r="M510" s="205" t="s">
        <v>7015</v>
      </c>
      <c r="N510" s="204" t="s">
        <v>213</v>
      </c>
      <c r="O510" s="204" t="s">
        <v>520</v>
      </c>
      <c r="P510" s="206">
        <v>2100</v>
      </c>
      <c r="Q510" s="206">
        <v>1260</v>
      </c>
      <c r="R510" s="207">
        <v>2000</v>
      </c>
      <c r="S510" s="207">
        <f t="shared" si="156"/>
        <v>2520000</v>
      </c>
      <c r="T510" s="589"/>
      <c r="U510" s="157">
        <v>2000</v>
      </c>
      <c r="V510" s="158">
        <f t="shared" si="173"/>
        <v>2000</v>
      </c>
      <c r="W510" s="159">
        <f t="shared" si="158"/>
        <v>0</v>
      </c>
      <c r="X510" s="159">
        <f t="shared" si="159"/>
        <v>0</v>
      </c>
      <c r="Y510" s="160"/>
      <c r="Z510" s="160">
        <f t="shared" si="160"/>
        <v>0</v>
      </c>
      <c r="AA510" s="165"/>
      <c r="AB510" s="161">
        <f t="shared" si="161"/>
        <v>0</v>
      </c>
      <c r="AC510" s="162"/>
      <c r="AD510" s="162">
        <f t="shared" si="174"/>
        <v>0</v>
      </c>
      <c r="AE510" s="164"/>
      <c r="AF510" s="164">
        <f t="shared" si="175"/>
        <v>0</v>
      </c>
      <c r="AG510" s="165"/>
      <c r="AH510" s="165">
        <f t="shared" si="176"/>
        <v>0</v>
      </c>
      <c r="AI510" s="166">
        <v>0</v>
      </c>
      <c r="AJ510" s="166">
        <f t="shared" si="177"/>
        <v>0</v>
      </c>
      <c r="AK510" s="162"/>
      <c r="AL510" s="162">
        <f t="shared" si="167"/>
        <v>0</v>
      </c>
      <c r="AM510" s="173"/>
      <c r="AN510" s="167">
        <f t="shared" si="162"/>
        <v>0</v>
      </c>
      <c r="AO510" s="163"/>
      <c r="AP510" s="163">
        <f t="shared" si="163"/>
        <v>0</v>
      </c>
      <c r="AQ510" s="168"/>
      <c r="AR510" s="168">
        <f t="shared" si="164"/>
        <v>0</v>
      </c>
      <c r="AS510" s="170"/>
      <c r="AT510" s="170">
        <f t="shared" si="165"/>
        <v>0</v>
      </c>
      <c r="AU510" s="166"/>
      <c r="AV510" s="166">
        <f t="shared" si="166"/>
        <v>0</v>
      </c>
    </row>
    <row r="511" spans="1:48" s="115" customFormat="1" ht="31.5">
      <c r="A511" s="148" t="s">
        <v>8482</v>
      </c>
      <c r="B511" s="149" t="s">
        <v>5417</v>
      </c>
      <c r="C511" s="150" t="s">
        <v>5418</v>
      </c>
      <c r="D511" s="240" t="s">
        <v>3872</v>
      </c>
      <c r="E511" s="590" t="s">
        <v>12642</v>
      </c>
      <c r="F511" s="203" t="s">
        <v>1321</v>
      </c>
      <c r="G511" s="204" t="s">
        <v>248</v>
      </c>
      <c r="H511" s="204">
        <v>5</v>
      </c>
      <c r="I511" s="203" t="s">
        <v>4436</v>
      </c>
      <c r="J511" s="205" t="s">
        <v>8102</v>
      </c>
      <c r="K511" s="203" t="s">
        <v>5104</v>
      </c>
      <c r="L511" s="205" t="s">
        <v>8103</v>
      </c>
      <c r="M511" s="205" t="s">
        <v>7015</v>
      </c>
      <c r="N511" s="204" t="s">
        <v>213</v>
      </c>
      <c r="O511" s="204" t="s">
        <v>11</v>
      </c>
      <c r="P511" s="206">
        <v>150</v>
      </c>
      <c r="Q511" s="206">
        <v>45</v>
      </c>
      <c r="R511" s="207">
        <v>100000</v>
      </c>
      <c r="S511" s="207">
        <f t="shared" si="156"/>
        <v>4500000</v>
      </c>
      <c r="T511" s="589"/>
      <c r="U511" s="157">
        <v>100000</v>
      </c>
      <c r="V511" s="158">
        <f t="shared" si="173"/>
        <v>75000</v>
      </c>
      <c r="W511" s="159">
        <f t="shared" si="158"/>
        <v>25000</v>
      </c>
      <c r="X511" s="159">
        <f t="shared" si="159"/>
        <v>1125000</v>
      </c>
      <c r="Y511" s="160"/>
      <c r="Z511" s="160">
        <f t="shared" si="160"/>
        <v>0</v>
      </c>
      <c r="AA511" s="161"/>
      <c r="AB511" s="161">
        <f t="shared" si="161"/>
        <v>0</v>
      </c>
      <c r="AC511" s="162"/>
      <c r="AD511" s="162">
        <f t="shared" si="174"/>
        <v>0</v>
      </c>
      <c r="AE511" s="164"/>
      <c r="AF511" s="164">
        <f t="shared" si="175"/>
        <v>0</v>
      </c>
      <c r="AG511" s="165"/>
      <c r="AH511" s="165">
        <f t="shared" si="176"/>
        <v>0</v>
      </c>
      <c r="AI511" s="166">
        <v>0</v>
      </c>
      <c r="AJ511" s="166">
        <f t="shared" si="177"/>
        <v>0</v>
      </c>
      <c r="AK511" s="162"/>
      <c r="AL511" s="162">
        <f t="shared" si="167"/>
        <v>0</v>
      </c>
      <c r="AM511" s="167"/>
      <c r="AN511" s="167">
        <f t="shared" si="162"/>
        <v>0</v>
      </c>
      <c r="AO511" s="163"/>
      <c r="AP511" s="163">
        <f t="shared" si="163"/>
        <v>0</v>
      </c>
      <c r="AQ511" s="168">
        <v>25000</v>
      </c>
      <c r="AR511" s="168">
        <f t="shared" si="164"/>
        <v>1125000</v>
      </c>
      <c r="AS511" s="170"/>
      <c r="AT511" s="170">
        <f t="shared" si="165"/>
        <v>0</v>
      </c>
      <c r="AU511" s="166"/>
      <c r="AV511" s="166">
        <f t="shared" si="166"/>
        <v>0</v>
      </c>
    </row>
    <row r="512" spans="1:48" s="115" customFormat="1" ht="31.5">
      <c r="A512" s="148" t="s">
        <v>5249</v>
      </c>
      <c r="B512" s="150" t="s">
        <v>5250</v>
      </c>
      <c r="C512" s="150" t="s">
        <v>5251</v>
      </c>
      <c r="D512" s="634" t="s">
        <v>5252</v>
      </c>
      <c r="E512" s="631" t="s">
        <v>12642</v>
      </c>
      <c r="F512" s="175" t="s">
        <v>270</v>
      </c>
      <c r="G512" s="151" t="s">
        <v>272</v>
      </c>
      <c r="H512" s="174" t="s">
        <v>211</v>
      </c>
      <c r="I512" s="150" t="s">
        <v>5253</v>
      </c>
      <c r="J512" s="153" t="s">
        <v>5254</v>
      </c>
      <c r="K512" s="151" t="s">
        <v>5108</v>
      </c>
      <c r="L512" s="151" t="s">
        <v>5255</v>
      </c>
      <c r="M512" s="151" t="s">
        <v>505</v>
      </c>
      <c r="N512" s="152" t="s">
        <v>5156</v>
      </c>
      <c r="O512" s="152" t="s">
        <v>10</v>
      </c>
      <c r="P512" s="176">
        <v>2200</v>
      </c>
      <c r="Q512" s="177">
        <v>1600</v>
      </c>
      <c r="R512" s="176">
        <v>10000</v>
      </c>
      <c r="S512" s="156">
        <f t="shared" si="156"/>
        <v>16000000</v>
      </c>
      <c r="T512" s="589"/>
      <c r="U512" s="157">
        <v>10000</v>
      </c>
      <c r="V512" s="158">
        <f t="shared" si="173"/>
        <v>10000</v>
      </c>
      <c r="W512" s="159">
        <f t="shared" si="158"/>
        <v>0</v>
      </c>
      <c r="X512" s="159">
        <f t="shared" si="159"/>
        <v>0</v>
      </c>
      <c r="Y512" s="160"/>
      <c r="Z512" s="160">
        <f t="shared" si="160"/>
        <v>0</v>
      </c>
      <c r="AA512" s="161"/>
      <c r="AB512" s="161">
        <f t="shared" si="161"/>
        <v>0</v>
      </c>
      <c r="AC512" s="162"/>
      <c r="AD512" s="162">
        <f t="shared" si="174"/>
        <v>0</v>
      </c>
      <c r="AE512" s="164"/>
      <c r="AF512" s="164">
        <f t="shared" si="175"/>
        <v>0</v>
      </c>
      <c r="AG512" s="165"/>
      <c r="AH512" s="165">
        <f t="shared" si="176"/>
        <v>0</v>
      </c>
      <c r="AI512" s="166">
        <v>0</v>
      </c>
      <c r="AJ512" s="166">
        <f t="shared" si="177"/>
        <v>0</v>
      </c>
      <c r="AK512" s="162"/>
      <c r="AL512" s="162">
        <f t="shared" si="167"/>
        <v>0</v>
      </c>
      <c r="AM512" s="167"/>
      <c r="AN512" s="167">
        <f t="shared" si="162"/>
        <v>0</v>
      </c>
      <c r="AO512" s="163"/>
      <c r="AP512" s="163">
        <f t="shared" si="163"/>
        <v>0</v>
      </c>
      <c r="AQ512" s="168"/>
      <c r="AR512" s="168">
        <f t="shared" si="164"/>
        <v>0</v>
      </c>
      <c r="AS512" s="170"/>
      <c r="AT512" s="170">
        <f t="shared" si="165"/>
        <v>0</v>
      </c>
      <c r="AU512" s="166"/>
      <c r="AV512" s="166">
        <f t="shared" si="166"/>
        <v>0</v>
      </c>
    </row>
    <row r="513" spans="1:48" s="115" customFormat="1" ht="31.5">
      <c r="A513" s="148" t="s">
        <v>5773</v>
      </c>
      <c r="B513" s="150" t="s">
        <v>5250</v>
      </c>
      <c r="C513" s="150" t="s">
        <v>5251</v>
      </c>
      <c r="D513" s="240" t="s">
        <v>4202</v>
      </c>
      <c r="E513" s="590"/>
      <c r="F513" s="203" t="s">
        <v>3967</v>
      </c>
      <c r="G513" s="204" t="s">
        <v>2005</v>
      </c>
      <c r="H513" s="204">
        <v>1</v>
      </c>
      <c r="I513" s="203" t="s">
        <v>2004</v>
      </c>
      <c r="J513" s="205" t="s">
        <v>5774</v>
      </c>
      <c r="K513" s="203" t="s">
        <v>5104</v>
      </c>
      <c r="L513" s="205" t="s">
        <v>2006</v>
      </c>
      <c r="M513" s="205" t="s">
        <v>5775</v>
      </c>
      <c r="N513" s="204" t="s">
        <v>5116</v>
      </c>
      <c r="O513" s="204" t="s">
        <v>11</v>
      </c>
      <c r="P513" s="206">
        <v>3588</v>
      </c>
      <c r="Q513" s="206">
        <v>3585</v>
      </c>
      <c r="R513" s="207">
        <v>60000</v>
      </c>
      <c r="S513" s="207">
        <f t="shared" si="156"/>
        <v>215100000</v>
      </c>
      <c r="T513" s="589"/>
      <c r="U513" s="157">
        <v>60000</v>
      </c>
      <c r="V513" s="158">
        <f t="shared" si="173"/>
        <v>50000</v>
      </c>
      <c r="W513" s="159">
        <f t="shared" si="158"/>
        <v>10000</v>
      </c>
      <c r="X513" s="159">
        <f t="shared" si="159"/>
        <v>35850000</v>
      </c>
      <c r="Y513" s="160"/>
      <c r="Z513" s="160">
        <f t="shared" si="160"/>
        <v>0</v>
      </c>
      <c r="AA513" s="165"/>
      <c r="AB513" s="161">
        <f t="shared" si="161"/>
        <v>0</v>
      </c>
      <c r="AC513" s="162"/>
      <c r="AD513" s="162">
        <f t="shared" si="174"/>
        <v>0</v>
      </c>
      <c r="AE513" s="164"/>
      <c r="AF513" s="164">
        <f t="shared" si="175"/>
        <v>0</v>
      </c>
      <c r="AG513" s="165"/>
      <c r="AH513" s="165">
        <f t="shared" si="176"/>
        <v>0</v>
      </c>
      <c r="AI513" s="166">
        <v>0</v>
      </c>
      <c r="AJ513" s="166">
        <f t="shared" si="177"/>
        <v>0</v>
      </c>
      <c r="AK513" s="162"/>
      <c r="AL513" s="162">
        <f t="shared" si="167"/>
        <v>0</v>
      </c>
      <c r="AM513" s="173"/>
      <c r="AN513" s="167">
        <f t="shared" si="162"/>
        <v>0</v>
      </c>
      <c r="AO513" s="163"/>
      <c r="AP513" s="163">
        <f t="shared" si="163"/>
        <v>0</v>
      </c>
      <c r="AQ513" s="168">
        <v>10000</v>
      </c>
      <c r="AR513" s="168">
        <f t="shared" si="164"/>
        <v>35850000</v>
      </c>
      <c r="AS513" s="170"/>
      <c r="AT513" s="170">
        <f t="shared" si="165"/>
        <v>0</v>
      </c>
      <c r="AU513" s="166"/>
      <c r="AV513" s="166">
        <f t="shared" si="166"/>
        <v>0</v>
      </c>
    </row>
    <row r="514" spans="1:48" s="115" customFormat="1" ht="31.5">
      <c r="A514" s="148" t="s">
        <v>5843</v>
      </c>
      <c r="B514" s="150" t="s">
        <v>5250</v>
      </c>
      <c r="C514" s="150" t="s">
        <v>5251</v>
      </c>
      <c r="D514" s="240" t="s">
        <v>5844</v>
      </c>
      <c r="E514" s="590"/>
      <c r="F514" s="203" t="s">
        <v>2509</v>
      </c>
      <c r="G514" s="208">
        <v>0.1</v>
      </c>
      <c r="H514" s="204">
        <v>1</v>
      </c>
      <c r="I514" s="203" t="s">
        <v>5237</v>
      </c>
      <c r="J514" s="205" t="s">
        <v>5845</v>
      </c>
      <c r="K514" s="203" t="s">
        <v>5104</v>
      </c>
      <c r="L514" s="205" t="s">
        <v>5846</v>
      </c>
      <c r="M514" s="205" t="s">
        <v>505</v>
      </c>
      <c r="N514" s="204" t="s">
        <v>5156</v>
      </c>
      <c r="O514" s="204" t="s">
        <v>658</v>
      </c>
      <c r="P514" s="206">
        <v>159000</v>
      </c>
      <c r="Q514" s="206">
        <v>159000</v>
      </c>
      <c r="R514" s="207">
        <v>50</v>
      </c>
      <c r="S514" s="207">
        <f t="shared" si="156"/>
        <v>7950000</v>
      </c>
      <c r="T514" s="589"/>
      <c r="U514" s="157">
        <v>50</v>
      </c>
      <c r="V514" s="158">
        <f t="shared" si="173"/>
        <v>50</v>
      </c>
      <c r="W514" s="159">
        <f t="shared" si="158"/>
        <v>0</v>
      </c>
      <c r="X514" s="159">
        <f t="shared" si="159"/>
        <v>0</v>
      </c>
      <c r="Y514" s="160"/>
      <c r="Z514" s="160">
        <f t="shared" si="160"/>
        <v>0</v>
      </c>
      <c r="AA514" s="165"/>
      <c r="AB514" s="161">
        <f t="shared" si="161"/>
        <v>0</v>
      </c>
      <c r="AC514" s="162"/>
      <c r="AD514" s="162">
        <f t="shared" si="174"/>
        <v>0</v>
      </c>
      <c r="AE514" s="164"/>
      <c r="AF514" s="164">
        <f t="shared" si="175"/>
        <v>0</v>
      </c>
      <c r="AG514" s="165"/>
      <c r="AH514" s="165">
        <f t="shared" si="176"/>
        <v>0</v>
      </c>
      <c r="AI514" s="166">
        <v>0</v>
      </c>
      <c r="AJ514" s="166">
        <f t="shared" si="177"/>
        <v>0</v>
      </c>
      <c r="AK514" s="162"/>
      <c r="AL514" s="162">
        <f t="shared" si="167"/>
        <v>0</v>
      </c>
      <c r="AM514" s="173"/>
      <c r="AN514" s="167">
        <f t="shared" si="162"/>
        <v>0</v>
      </c>
      <c r="AO514" s="163"/>
      <c r="AP514" s="163">
        <f t="shared" si="163"/>
        <v>0</v>
      </c>
      <c r="AQ514" s="168"/>
      <c r="AR514" s="168">
        <f t="shared" si="164"/>
        <v>0</v>
      </c>
      <c r="AS514" s="170"/>
      <c r="AT514" s="170">
        <f t="shared" si="165"/>
        <v>0</v>
      </c>
      <c r="AU514" s="166"/>
      <c r="AV514" s="166">
        <f t="shared" si="166"/>
        <v>0</v>
      </c>
    </row>
    <row r="515" spans="1:48" ht="31.5">
      <c r="A515" s="172" t="s">
        <v>5916</v>
      </c>
      <c r="B515" s="150" t="s">
        <v>5250</v>
      </c>
      <c r="C515" s="150" t="s">
        <v>5251</v>
      </c>
      <c r="D515" s="240" t="s">
        <v>5917</v>
      </c>
      <c r="E515" s="590" t="s">
        <v>12642</v>
      </c>
      <c r="F515" s="203" t="s">
        <v>4459</v>
      </c>
      <c r="G515" s="204" t="s">
        <v>4460</v>
      </c>
      <c r="H515" s="204">
        <v>1</v>
      </c>
      <c r="I515" s="203" t="s">
        <v>5918</v>
      </c>
      <c r="J515" s="205" t="s">
        <v>5919</v>
      </c>
      <c r="K515" s="203" t="s">
        <v>5104</v>
      </c>
      <c r="L515" s="205" t="s">
        <v>5920</v>
      </c>
      <c r="M515" s="205" t="s">
        <v>5775</v>
      </c>
      <c r="N515" s="204" t="s">
        <v>5116</v>
      </c>
      <c r="O515" s="204" t="s">
        <v>11</v>
      </c>
      <c r="P515" s="206">
        <v>11880</v>
      </c>
      <c r="Q515" s="206">
        <v>11800</v>
      </c>
      <c r="R515" s="207">
        <v>5000</v>
      </c>
      <c r="S515" s="207">
        <f t="shared" si="156"/>
        <v>59000000</v>
      </c>
      <c r="T515" s="589"/>
      <c r="U515" s="157">
        <v>5000</v>
      </c>
      <c r="V515" s="158">
        <f t="shared" si="173"/>
        <v>5000</v>
      </c>
      <c r="W515" s="159">
        <f t="shared" si="158"/>
        <v>0</v>
      </c>
      <c r="X515" s="159">
        <f t="shared" si="159"/>
        <v>0</v>
      </c>
      <c r="Y515" s="160"/>
      <c r="Z515" s="160">
        <f t="shared" si="160"/>
        <v>0</v>
      </c>
      <c r="AA515" s="165"/>
      <c r="AB515" s="161">
        <f t="shared" si="161"/>
        <v>0</v>
      </c>
      <c r="AC515" s="162"/>
      <c r="AD515" s="162">
        <f t="shared" si="174"/>
        <v>0</v>
      </c>
      <c r="AE515" s="164"/>
      <c r="AF515" s="164">
        <f t="shared" si="175"/>
        <v>0</v>
      </c>
      <c r="AG515" s="165"/>
      <c r="AH515" s="165">
        <f t="shared" si="176"/>
        <v>0</v>
      </c>
      <c r="AI515" s="166">
        <v>0</v>
      </c>
      <c r="AJ515" s="166">
        <f t="shared" si="177"/>
        <v>0</v>
      </c>
      <c r="AK515" s="162"/>
      <c r="AL515" s="162">
        <f t="shared" si="167"/>
        <v>0</v>
      </c>
      <c r="AM515" s="173"/>
      <c r="AN515" s="167">
        <f t="shared" si="162"/>
        <v>0</v>
      </c>
      <c r="AO515" s="163"/>
      <c r="AP515" s="163">
        <f t="shared" si="163"/>
        <v>0</v>
      </c>
      <c r="AQ515" s="168"/>
      <c r="AR515" s="168">
        <f t="shared" si="164"/>
        <v>0</v>
      </c>
      <c r="AS515" s="170"/>
      <c r="AT515" s="170">
        <f t="shared" si="165"/>
        <v>0</v>
      </c>
      <c r="AU515" s="166"/>
      <c r="AV515" s="166">
        <f t="shared" si="166"/>
        <v>0</v>
      </c>
    </row>
    <row r="516" spans="1:48" ht="31.5">
      <c r="A516" s="172" t="s">
        <v>5977</v>
      </c>
      <c r="B516" s="150" t="s">
        <v>5250</v>
      </c>
      <c r="C516" s="150" t="s">
        <v>5251</v>
      </c>
      <c r="D516" s="240" t="s">
        <v>5978</v>
      </c>
      <c r="E516" s="590" t="s">
        <v>12642</v>
      </c>
      <c r="F516" s="203" t="s">
        <v>5979</v>
      </c>
      <c r="G516" s="204" t="s">
        <v>5980</v>
      </c>
      <c r="H516" s="204">
        <v>1</v>
      </c>
      <c r="I516" s="203" t="s">
        <v>5918</v>
      </c>
      <c r="J516" s="205" t="s">
        <v>5919</v>
      </c>
      <c r="K516" s="203" t="s">
        <v>5104</v>
      </c>
      <c r="L516" s="205" t="s">
        <v>5920</v>
      </c>
      <c r="M516" s="205" t="s">
        <v>5775</v>
      </c>
      <c r="N516" s="204" t="s">
        <v>5116</v>
      </c>
      <c r="O516" s="204" t="s">
        <v>11</v>
      </c>
      <c r="P516" s="206">
        <v>11880</v>
      </c>
      <c r="Q516" s="206">
        <v>11800</v>
      </c>
      <c r="R516" s="207">
        <v>2000</v>
      </c>
      <c r="S516" s="207">
        <f t="shared" si="156"/>
        <v>23600000</v>
      </c>
      <c r="T516" s="589"/>
      <c r="U516" s="157">
        <v>2000</v>
      </c>
      <c r="V516" s="158">
        <f t="shared" si="173"/>
        <v>2000</v>
      </c>
      <c r="W516" s="159">
        <f t="shared" si="158"/>
        <v>0</v>
      </c>
      <c r="X516" s="159">
        <f t="shared" si="159"/>
        <v>0</v>
      </c>
      <c r="Y516" s="160"/>
      <c r="Z516" s="160">
        <f t="shared" si="160"/>
        <v>0</v>
      </c>
      <c r="AA516" s="165"/>
      <c r="AB516" s="161">
        <f t="shared" si="161"/>
        <v>0</v>
      </c>
      <c r="AC516" s="162"/>
      <c r="AD516" s="162">
        <f t="shared" si="174"/>
        <v>0</v>
      </c>
      <c r="AE516" s="164"/>
      <c r="AF516" s="164">
        <f t="shared" si="175"/>
        <v>0</v>
      </c>
      <c r="AG516" s="165"/>
      <c r="AH516" s="165">
        <f t="shared" si="176"/>
        <v>0</v>
      </c>
      <c r="AI516" s="166">
        <v>0</v>
      </c>
      <c r="AJ516" s="166">
        <f t="shared" si="177"/>
        <v>0</v>
      </c>
      <c r="AK516" s="162"/>
      <c r="AL516" s="162">
        <f t="shared" si="167"/>
        <v>0</v>
      </c>
      <c r="AM516" s="173"/>
      <c r="AN516" s="167">
        <f t="shared" si="162"/>
        <v>0</v>
      </c>
      <c r="AO516" s="163"/>
      <c r="AP516" s="163">
        <f t="shared" si="163"/>
        <v>0</v>
      </c>
      <c r="AQ516" s="168"/>
      <c r="AR516" s="168">
        <f t="shared" si="164"/>
        <v>0</v>
      </c>
      <c r="AS516" s="170"/>
      <c r="AT516" s="170">
        <f t="shared" si="165"/>
        <v>0</v>
      </c>
      <c r="AU516" s="166"/>
      <c r="AV516" s="166">
        <f t="shared" si="166"/>
        <v>0</v>
      </c>
    </row>
    <row r="517" spans="1:48" ht="31.5">
      <c r="A517" s="148" t="s">
        <v>6182</v>
      </c>
      <c r="B517" s="150" t="s">
        <v>5250</v>
      </c>
      <c r="C517" s="150" t="s">
        <v>5251</v>
      </c>
      <c r="D517" s="240" t="s">
        <v>4271</v>
      </c>
      <c r="E517" s="590" t="s">
        <v>12642</v>
      </c>
      <c r="F517" s="203" t="s">
        <v>855</v>
      </c>
      <c r="G517" s="204" t="s">
        <v>641</v>
      </c>
      <c r="H517" s="204">
        <v>1</v>
      </c>
      <c r="I517" s="203" t="s">
        <v>6183</v>
      </c>
      <c r="J517" s="205" t="s">
        <v>6184</v>
      </c>
      <c r="K517" s="203" t="s">
        <v>5104</v>
      </c>
      <c r="L517" s="205" t="s">
        <v>6185</v>
      </c>
      <c r="M517" s="205" t="s">
        <v>505</v>
      </c>
      <c r="N517" s="204" t="s">
        <v>5156</v>
      </c>
      <c r="O517" s="204" t="s">
        <v>11</v>
      </c>
      <c r="P517" s="206">
        <v>2850</v>
      </c>
      <c r="Q517" s="206">
        <v>1400</v>
      </c>
      <c r="R517" s="207">
        <v>100000</v>
      </c>
      <c r="S517" s="207">
        <f t="shared" ref="S517:S580" si="178">R517*Q517</f>
        <v>140000000</v>
      </c>
      <c r="T517" s="589" t="s">
        <v>11</v>
      </c>
      <c r="U517" s="157">
        <v>100000</v>
      </c>
      <c r="V517" s="158">
        <f t="shared" si="173"/>
        <v>100000</v>
      </c>
      <c r="W517" s="159">
        <f t="shared" ref="W517:W580" si="179">Y517+AA517+AC517+AE517+AG517+AI517+AK517+AM517+AO517+AQ517+AS517+AU517</f>
        <v>0</v>
      </c>
      <c r="X517" s="159">
        <f t="shared" ref="X517:X580" si="180">W517*Q517</f>
        <v>0</v>
      </c>
      <c r="Y517" s="160"/>
      <c r="Z517" s="160">
        <f t="shared" ref="Z517:Z580" si="181">Y517*Q517</f>
        <v>0</v>
      </c>
      <c r="AA517" s="165"/>
      <c r="AB517" s="161">
        <f t="shared" ref="AB517:AB580" si="182">AA517*Q517</f>
        <v>0</v>
      </c>
      <c r="AC517" s="162"/>
      <c r="AD517" s="162">
        <f t="shared" si="174"/>
        <v>0</v>
      </c>
      <c r="AE517" s="164"/>
      <c r="AF517" s="164">
        <f t="shared" si="175"/>
        <v>0</v>
      </c>
      <c r="AG517" s="165"/>
      <c r="AH517" s="165">
        <f t="shared" si="176"/>
        <v>0</v>
      </c>
      <c r="AI517" s="166">
        <v>0</v>
      </c>
      <c r="AJ517" s="166">
        <f t="shared" si="177"/>
        <v>0</v>
      </c>
      <c r="AK517" s="162"/>
      <c r="AL517" s="162">
        <f t="shared" si="167"/>
        <v>0</v>
      </c>
      <c r="AM517" s="173"/>
      <c r="AN517" s="167">
        <f t="shared" ref="AN517:AN580" si="183">AM517*Q517</f>
        <v>0</v>
      </c>
      <c r="AO517" s="163"/>
      <c r="AP517" s="163">
        <f t="shared" ref="AP517:AP580" si="184">AO517*Q517</f>
        <v>0</v>
      </c>
      <c r="AQ517" s="168"/>
      <c r="AR517" s="168">
        <f t="shared" ref="AR517:AR580" si="185">AQ517*Q517</f>
        <v>0</v>
      </c>
      <c r="AS517" s="170"/>
      <c r="AT517" s="170">
        <f t="shared" ref="AT517:AT580" si="186">AS517*Q517</f>
        <v>0</v>
      </c>
      <c r="AU517" s="166"/>
      <c r="AV517" s="166">
        <f t="shared" ref="AV517:AV580" si="187">AU517*Q517</f>
        <v>0</v>
      </c>
    </row>
    <row r="518" spans="1:48" ht="31.5">
      <c r="A518" s="148" t="s">
        <v>6415</v>
      </c>
      <c r="B518" s="150" t="s">
        <v>5250</v>
      </c>
      <c r="C518" s="150" t="s">
        <v>5251</v>
      </c>
      <c r="D518" s="240" t="s">
        <v>6416</v>
      </c>
      <c r="E518" s="590" t="s">
        <v>12642</v>
      </c>
      <c r="F518" s="203" t="s">
        <v>1618</v>
      </c>
      <c r="G518" s="204" t="s">
        <v>1232</v>
      </c>
      <c r="H518" s="204">
        <v>1</v>
      </c>
      <c r="I518" s="203" t="s">
        <v>6417</v>
      </c>
      <c r="J518" s="205" t="s">
        <v>6418</v>
      </c>
      <c r="K518" s="203" t="s">
        <v>5104</v>
      </c>
      <c r="L518" s="205" t="s">
        <v>6419</v>
      </c>
      <c r="M518" s="205" t="s">
        <v>6420</v>
      </c>
      <c r="N518" s="204" t="s">
        <v>5105</v>
      </c>
      <c r="O518" s="204" t="s">
        <v>11</v>
      </c>
      <c r="P518" s="206">
        <v>2400</v>
      </c>
      <c r="Q518" s="206">
        <v>2400</v>
      </c>
      <c r="R518" s="207">
        <v>30000</v>
      </c>
      <c r="S518" s="207">
        <f t="shared" si="178"/>
        <v>72000000</v>
      </c>
      <c r="T518" s="589"/>
      <c r="U518" s="157">
        <v>30000</v>
      </c>
      <c r="V518" s="158">
        <f t="shared" si="173"/>
        <v>30000</v>
      </c>
      <c r="W518" s="159">
        <f t="shared" si="179"/>
        <v>0</v>
      </c>
      <c r="X518" s="159">
        <f t="shared" si="180"/>
        <v>0</v>
      </c>
      <c r="Y518" s="160"/>
      <c r="Z518" s="160">
        <f t="shared" si="181"/>
        <v>0</v>
      </c>
      <c r="AA518" s="165"/>
      <c r="AB518" s="161">
        <f t="shared" si="182"/>
        <v>0</v>
      </c>
      <c r="AC518" s="162"/>
      <c r="AD518" s="162">
        <f t="shared" si="174"/>
        <v>0</v>
      </c>
      <c r="AE518" s="164"/>
      <c r="AF518" s="164">
        <f t="shared" si="175"/>
        <v>0</v>
      </c>
      <c r="AG518" s="165"/>
      <c r="AH518" s="165">
        <f t="shared" si="176"/>
        <v>0</v>
      </c>
      <c r="AI518" s="166">
        <v>0</v>
      </c>
      <c r="AJ518" s="166">
        <f t="shared" si="177"/>
        <v>0</v>
      </c>
      <c r="AK518" s="162"/>
      <c r="AL518" s="162">
        <f t="shared" si="167"/>
        <v>0</v>
      </c>
      <c r="AM518" s="173"/>
      <c r="AN518" s="167">
        <f t="shared" si="183"/>
        <v>0</v>
      </c>
      <c r="AO518" s="163"/>
      <c r="AP518" s="163">
        <f t="shared" si="184"/>
        <v>0</v>
      </c>
      <c r="AQ518" s="168"/>
      <c r="AR518" s="168">
        <f t="shared" si="185"/>
        <v>0</v>
      </c>
      <c r="AS518" s="170"/>
      <c r="AT518" s="170">
        <f t="shared" si="186"/>
        <v>0</v>
      </c>
      <c r="AU518" s="166"/>
      <c r="AV518" s="166">
        <f t="shared" si="187"/>
        <v>0</v>
      </c>
    </row>
    <row r="519" spans="1:48" ht="31.5">
      <c r="A519" s="172" t="s">
        <v>6480</v>
      </c>
      <c r="B519" s="150" t="s">
        <v>5250</v>
      </c>
      <c r="C519" s="150" t="s">
        <v>5251</v>
      </c>
      <c r="D519" s="240" t="s">
        <v>4254</v>
      </c>
      <c r="E519" s="590" t="s">
        <v>12642</v>
      </c>
      <c r="F519" s="203" t="s">
        <v>792</v>
      </c>
      <c r="G519" s="204" t="s">
        <v>794</v>
      </c>
      <c r="H519" s="204">
        <v>1</v>
      </c>
      <c r="I519" s="203" t="s">
        <v>793</v>
      </c>
      <c r="J519" s="205" t="s">
        <v>6481</v>
      </c>
      <c r="K519" s="203" t="s">
        <v>5108</v>
      </c>
      <c r="L519" s="205" t="s">
        <v>795</v>
      </c>
      <c r="M519" s="205" t="s">
        <v>505</v>
      </c>
      <c r="N519" s="204" t="s">
        <v>5156</v>
      </c>
      <c r="O519" s="204" t="s">
        <v>520</v>
      </c>
      <c r="P519" s="206">
        <v>15000</v>
      </c>
      <c r="Q519" s="206">
        <v>13520</v>
      </c>
      <c r="R519" s="207">
        <v>3000</v>
      </c>
      <c r="S519" s="207">
        <f t="shared" si="178"/>
        <v>40560000</v>
      </c>
      <c r="T519" s="589"/>
      <c r="U519" s="157">
        <v>3000</v>
      </c>
      <c r="V519" s="158">
        <f t="shared" si="173"/>
        <v>2800</v>
      </c>
      <c r="W519" s="159">
        <f t="shared" si="179"/>
        <v>200</v>
      </c>
      <c r="X519" s="159">
        <f t="shared" si="180"/>
        <v>2704000</v>
      </c>
      <c r="Y519" s="160"/>
      <c r="Z519" s="160">
        <f t="shared" si="181"/>
        <v>0</v>
      </c>
      <c r="AA519" s="165"/>
      <c r="AB519" s="161">
        <f t="shared" si="182"/>
        <v>0</v>
      </c>
      <c r="AC519" s="162"/>
      <c r="AD519" s="162">
        <f t="shared" si="174"/>
        <v>0</v>
      </c>
      <c r="AE519" s="164"/>
      <c r="AF519" s="164">
        <f t="shared" si="175"/>
        <v>0</v>
      </c>
      <c r="AG519" s="165"/>
      <c r="AH519" s="165">
        <f t="shared" si="176"/>
        <v>0</v>
      </c>
      <c r="AI519" s="166">
        <v>0</v>
      </c>
      <c r="AJ519" s="166">
        <f t="shared" si="177"/>
        <v>0</v>
      </c>
      <c r="AK519" s="162"/>
      <c r="AL519" s="162">
        <f t="shared" ref="AL519:AL582" si="188">AK519*Q519</f>
        <v>0</v>
      </c>
      <c r="AM519" s="173">
        <v>200</v>
      </c>
      <c r="AN519" s="167">
        <f t="shared" si="183"/>
        <v>2704000</v>
      </c>
      <c r="AO519" s="163"/>
      <c r="AP519" s="163">
        <f t="shared" si="184"/>
        <v>0</v>
      </c>
      <c r="AQ519" s="168"/>
      <c r="AR519" s="168">
        <f t="shared" si="185"/>
        <v>0</v>
      </c>
      <c r="AS519" s="170"/>
      <c r="AT519" s="170">
        <f t="shared" si="186"/>
        <v>0</v>
      </c>
      <c r="AU519" s="166"/>
      <c r="AV519" s="166">
        <f t="shared" si="187"/>
        <v>0</v>
      </c>
    </row>
    <row r="520" spans="1:48" ht="31.5">
      <c r="A520" s="172" t="s">
        <v>8212</v>
      </c>
      <c r="B520" s="149" t="s">
        <v>8213</v>
      </c>
      <c r="C520" s="149" t="s">
        <v>8214</v>
      </c>
      <c r="D520" s="240" t="s">
        <v>8215</v>
      </c>
      <c r="E520" s="590"/>
      <c r="F520" s="203" t="s">
        <v>8207</v>
      </c>
      <c r="G520" s="204" t="s">
        <v>8216</v>
      </c>
      <c r="H520" s="204">
        <v>3</v>
      </c>
      <c r="I520" s="203" t="s">
        <v>8217</v>
      </c>
      <c r="J520" s="205" t="s">
        <v>8218</v>
      </c>
      <c r="K520" s="203" t="s">
        <v>5104</v>
      </c>
      <c r="L520" s="205" t="s">
        <v>8219</v>
      </c>
      <c r="M520" s="205" t="s">
        <v>8220</v>
      </c>
      <c r="N520" s="204" t="s">
        <v>8221</v>
      </c>
      <c r="O520" s="204" t="s">
        <v>15</v>
      </c>
      <c r="P520" s="206">
        <v>16000</v>
      </c>
      <c r="Q520" s="206">
        <v>14000</v>
      </c>
      <c r="R520" s="207">
        <v>2000</v>
      </c>
      <c r="S520" s="207">
        <f t="shared" si="178"/>
        <v>28000000</v>
      </c>
      <c r="T520" s="589"/>
      <c r="U520" s="157">
        <v>2000</v>
      </c>
      <c r="V520" s="158">
        <f t="shared" si="173"/>
        <v>2000</v>
      </c>
      <c r="W520" s="159">
        <f t="shared" si="179"/>
        <v>0</v>
      </c>
      <c r="X520" s="159">
        <f t="shared" si="180"/>
        <v>0</v>
      </c>
      <c r="Y520" s="160"/>
      <c r="Z520" s="160">
        <f t="shared" si="181"/>
        <v>0</v>
      </c>
      <c r="AA520" s="165"/>
      <c r="AB520" s="161">
        <f t="shared" si="182"/>
        <v>0</v>
      </c>
      <c r="AC520" s="162"/>
      <c r="AD520" s="162">
        <f t="shared" si="174"/>
        <v>0</v>
      </c>
      <c r="AE520" s="164"/>
      <c r="AF520" s="164">
        <f t="shared" si="175"/>
        <v>0</v>
      </c>
      <c r="AG520" s="165"/>
      <c r="AH520" s="165">
        <f t="shared" si="176"/>
        <v>0</v>
      </c>
      <c r="AI520" s="166">
        <v>0</v>
      </c>
      <c r="AJ520" s="166">
        <f t="shared" si="177"/>
        <v>0</v>
      </c>
      <c r="AK520" s="162"/>
      <c r="AL520" s="162">
        <f t="shared" si="188"/>
        <v>0</v>
      </c>
      <c r="AM520" s="173"/>
      <c r="AN520" s="167">
        <f t="shared" si="183"/>
        <v>0</v>
      </c>
      <c r="AO520" s="163"/>
      <c r="AP520" s="163">
        <f t="shared" si="184"/>
        <v>0</v>
      </c>
      <c r="AQ520" s="168"/>
      <c r="AR520" s="168">
        <f t="shared" si="185"/>
        <v>0</v>
      </c>
      <c r="AS520" s="170"/>
      <c r="AT520" s="170">
        <f t="shared" si="186"/>
        <v>0</v>
      </c>
      <c r="AU520" s="166"/>
      <c r="AV520" s="166">
        <f t="shared" si="187"/>
        <v>0</v>
      </c>
    </row>
    <row r="521" spans="1:48" ht="31.5">
      <c r="A521" s="172" t="s">
        <v>5359</v>
      </c>
      <c r="B521" s="149" t="s">
        <v>5360</v>
      </c>
      <c r="C521" s="150" t="s">
        <v>489</v>
      </c>
      <c r="D521" s="634" t="s">
        <v>4901</v>
      </c>
      <c r="E521" s="631"/>
      <c r="F521" s="175" t="s">
        <v>256</v>
      </c>
      <c r="G521" s="151" t="s">
        <v>299</v>
      </c>
      <c r="H521" s="174" t="s">
        <v>5325</v>
      </c>
      <c r="I521" s="150" t="s">
        <v>490</v>
      </c>
      <c r="J521" s="153" t="s">
        <v>2292</v>
      </c>
      <c r="K521" s="151" t="s">
        <v>5104</v>
      </c>
      <c r="L521" s="151" t="s">
        <v>491</v>
      </c>
      <c r="M521" s="151" t="s">
        <v>492</v>
      </c>
      <c r="N521" s="152" t="s">
        <v>213</v>
      </c>
      <c r="O521" s="152" t="s">
        <v>10</v>
      </c>
      <c r="P521" s="176">
        <v>7321</v>
      </c>
      <c r="Q521" s="177">
        <v>998</v>
      </c>
      <c r="R521" s="176">
        <v>182000</v>
      </c>
      <c r="S521" s="156">
        <f t="shared" si="178"/>
        <v>181636000</v>
      </c>
      <c r="T521" s="589"/>
      <c r="U521" s="157">
        <v>132500</v>
      </c>
      <c r="V521" s="158">
        <f t="shared" si="173"/>
        <v>122500</v>
      </c>
      <c r="W521" s="159">
        <f t="shared" si="179"/>
        <v>10000</v>
      </c>
      <c r="X521" s="159">
        <f t="shared" si="180"/>
        <v>9980000</v>
      </c>
      <c r="Y521" s="160"/>
      <c r="Z521" s="160">
        <f t="shared" si="181"/>
        <v>0</v>
      </c>
      <c r="AA521" s="161"/>
      <c r="AB521" s="161">
        <f t="shared" si="182"/>
        <v>0</v>
      </c>
      <c r="AC521" s="162"/>
      <c r="AD521" s="162">
        <f t="shared" si="174"/>
        <v>0</v>
      </c>
      <c r="AE521" s="164"/>
      <c r="AF521" s="164">
        <f t="shared" si="175"/>
        <v>0</v>
      </c>
      <c r="AG521" s="165"/>
      <c r="AH521" s="165">
        <f t="shared" si="176"/>
        <v>0</v>
      </c>
      <c r="AI521" s="166">
        <v>0</v>
      </c>
      <c r="AJ521" s="166">
        <f t="shared" si="177"/>
        <v>0</v>
      </c>
      <c r="AK521" s="162"/>
      <c r="AL521" s="162">
        <f t="shared" si="188"/>
        <v>0</v>
      </c>
      <c r="AM521" s="167"/>
      <c r="AN521" s="167">
        <f t="shared" si="183"/>
        <v>0</v>
      </c>
      <c r="AO521" s="163"/>
      <c r="AP521" s="163">
        <f t="shared" si="184"/>
        <v>0</v>
      </c>
      <c r="AQ521" s="168"/>
      <c r="AR521" s="168">
        <f t="shared" si="185"/>
        <v>0</v>
      </c>
      <c r="AS521" s="170"/>
      <c r="AT521" s="170">
        <f t="shared" si="186"/>
        <v>0</v>
      </c>
      <c r="AU521" s="166">
        <v>10000</v>
      </c>
      <c r="AV521" s="166">
        <f t="shared" si="187"/>
        <v>9980000</v>
      </c>
    </row>
    <row r="522" spans="1:48" ht="31.5">
      <c r="A522" s="148" t="s">
        <v>5363</v>
      </c>
      <c r="B522" s="149" t="s">
        <v>5360</v>
      </c>
      <c r="C522" s="150" t="s">
        <v>489</v>
      </c>
      <c r="D522" s="634" t="s">
        <v>4822</v>
      </c>
      <c r="E522" s="631"/>
      <c r="F522" s="175" t="s">
        <v>493</v>
      </c>
      <c r="G522" s="151" t="s">
        <v>429</v>
      </c>
      <c r="H522" s="174" t="s">
        <v>5325</v>
      </c>
      <c r="I522" s="150" t="s">
        <v>494</v>
      </c>
      <c r="J522" s="153" t="s">
        <v>5364</v>
      </c>
      <c r="K522" s="151" t="s">
        <v>5104</v>
      </c>
      <c r="L522" s="151" t="s">
        <v>495</v>
      </c>
      <c r="M522" s="151" t="s">
        <v>492</v>
      </c>
      <c r="N522" s="152" t="s">
        <v>213</v>
      </c>
      <c r="O522" s="152" t="s">
        <v>5141</v>
      </c>
      <c r="P522" s="176">
        <v>10000</v>
      </c>
      <c r="Q522" s="177">
        <v>5838</v>
      </c>
      <c r="R522" s="176">
        <v>4300</v>
      </c>
      <c r="S522" s="156">
        <f t="shared" si="178"/>
        <v>25103400</v>
      </c>
      <c r="T522" s="589"/>
      <c r="U522" s="157">
        <v>3200</v>
      </c>
      <c r="V522" s="158">
        <f t="shared" si="173"/>
        <v>2650</v>
      </c>
      <c r="W522" s="159">
        <f t="shared" si="179"/>
        <v>550</v>
      </c>
      <c r="X522" s="159">
        <f t="shared" si="180"/>
        <v>3210900</v>
      </c>
      <c r="Y522" s="160">
        <v>550</v>
      </c>
      <c r="Z522" s="160">
        <f t="shared" si="181"/>
        <v>3210900</v>
      </c>
      <c r="AA522" s="161"/>
      <c r="AB522" s="161">
        <f t="shared" si="182"/>
        <v>0</v>
      </c>
      <c r="AC522" s="162"/>
      <c r="AD522" s="162">
        <f t="shared" si="174"/>
        <v>0</v>
      </c>
      <c r="AE522" s="164"/>
      <c r="AF522" s="164">
        <f t="shared" si="175"/>
        <v>0</v>
      </c>
      <c r="AG522" s="165"/>
      <c r="AH522" s="165">
        <f t="shared" si="176"/>
        <v>0</v>
      </c>
      <c r="AI522" s="166">
        <v>0</v>
      </c>
      <c r="AJ522" s="166">
        <f t="shared" si="177"/>
        <v>0</v>
      </c>
      <c r="AK522" s="162"/>
      <c r="AL522" s="162">
        <f t="shared" si="188"/>
        <v>0</v>
      </c>
      <c r="AM522" s="167"/>
      <c r="AN522" s="167">
        <f t="shared" si="183"/>
        <v>0</v>
      </c>
      <c r="AO522" s="163"/>
      <c r="AP522" s="163">
        <f t="shared" si="184"/>
        <v>0</v>
      </c>
      <c r="AQ522" s="168"/>
      <c r="AR522" s="168">
        <f t="shared" si="185"/>
        <v>0</v>
      </c>
      <c r="AS522" s="170"/>
      <c r="AT522" s="170">
        <f t="shared" si="186"/>
        <v>0</v>
      </c>
      <c r="AU522" s="166"/>
      <c r="AV522" s="166">
        <f t="shared" si="187"/>
        <v>0</v>
      </c>
    </row>
    <row r="523" spans="1:48" ht="31.5">
      <c r="A523" s="148" t="s">
        <v>5371</v>
      </c>
      <c r="B523" s="149" t="s">
        <v>5360</v>
      </c>
      <c r="C523" s="150" t="s">
        <v>489</v>
      </c>
      <c r="D523" s="634" t="s">
        <v>5372</v>
      </c>
      <c r="E523" s="631" t="s">
        <v>12642</v>
      </c>
      <c r="F523" s="175" t="s">
        <v>433</v>
      </c>
      <c r="G523" s="151" t="s">
        <v>272</v>
      </c>
      <c r="H523" s="174" t="s">
        <v>5325</v>
      </c>
      <c r="I523" s="150" t="s">
        <v>496</v>
      </c>
      <c r="J523" s="153" t="s">
        <v>5107</v>
      </c>
      <c r="K523" s="151" t="s">
        <v>5104</v>
      </c>
      <c r="L523" s="151" t="s">
        <v>497</v>
      </c>
      <c r="M523" s="151" t="s">
        <v>492</v>
      </c>
      <c r="N523" s="152" t="s">
        <v>213</v>
      </c>
      <c r="O523" s="152" t="s">
        <v>10</v>
      </c>
      <c r="P523" s="176">
        <v>5401</v>
      </c>
      <c r="Q523" s="177">
        <v>1193</v>
      </c>
      <c r="R523" s="176">
        <v>150000</v>
      </c>
      <c r="S523" s="156">
        <f t="shared" si="178"/>
        <v>178950000</v>
      </c>
      <c r="T523" s="589"/>
      <c r="U523" s="157">
        <v>150000</v>
      </c>
      <c r="V523" s="158">
        <f t="shared" si="173"/>
        <v>145040</v>
      </c>
      <c r="W523" s="159">
        <f t="shared" si="179"/>
        <v>4960</v>
      </c>
      <c r="X523" s="159">
        <f t="shared" si="180"/>
        <v>5917280</v>
      </c>
      <c r="Y523" s="160"/>
      <c r="Z523" s="160">
        <f t="shared" si="181"/>
        <v>0</v>
      </c>
      <c r="AA523" s="161"/>
      <c r="AB523" s="161">
        <f t="shared" si="182"/>
        <v>0</v>
      </c>
      <c r="AC523" s="162"/>
      <c r="AD523" s="162">
        <f t="shared" si="174"/>
        <v>0</v>
      </c>
      <c r="AE523" s="164"/>
      <c r="AF523" s="164">
        <f t="shared" si="175"/>
        <v>0</v>
      </c>
      <c r="AG523" s="165"/>
      <c r="AH523" s="165">
        <f t="shared" si="176"/>
        <v>0</v>
      </c>
      <c r="AI523" s="166">
        <v>0</v>
      </c>
      <c r="AJ523" s="166">
        <f t="shared" si="177"/>
        <v>0</v>
      </c>
      <c r="AK523" s="162"/>
      <c r="AL523" s="162">
        <f t="shared" si="188"/>
        <v>0</v>
      </c>
      <c r="AM523" s="167"/>
      <c r="AN523" s="167">
        <f t="shared" si="183"/>
        <v>0</v>
      </c>
      <c r="AO523" s="163"/>
      <c r="AP523" s="163">
        <f t="shared" si="184"/>
        <v>0</v>
      </c>
      <c r="AQ523" s="168"/>
      <c r="AR523" s="168">
        <f t="shared" si="185"/>
        <v>0</v>
      </c>
      <c r="AS523" s="170"/>
      <c r="AT523" s="170">
        <f t="shared" si="186"/>
        <v>0</v>
      </c>
      <c r="AU523" s="166">
        <v>4960</v>
      </c>
      <c r="AV523" s="166">
        <f t="shared" si="187"/>
        <v>5917280</v>
      </c>
    </row>
    <row r="524" spans="1:48" s="131" customFormat="1" ht="31.5">
      <c r="A524" s="148" t="s">
        <v>5377</v>
      </c>
      <c r="B524" s="149" t="s">
        <v>5360</v>
      </c>
      <c r="C524" s="150" t="s">
        <v>489</v>
      </c>
      <c r="D524" s="634" t="s">
        <v>5378</v>
      </c>
      <c r="E524" s="631" t="s">
        <v>12642</v>
      </c>
      <c r="F524" s="175" t="s">
        <v>433</v>
      </c>
      <c r="G524" s="151" t="s">
        <v>225</v>
      </c>
      <c r="H524" s="174" t="s">
        <v>5325</v>
      </c>
      <c r="I524" s="150" t="s">
        <v>498</v>
      </c>
      <c r="J524" s="153" t="s">
        <v>5379</v>
      </c>
      <c r="K524" s="151" t="s">
        <v>5104</v>
      </c>
      <c r="L524" s="151" t="s">
        <v>499</v>
      </c>
      <c r="M524" s="151" t="s">
        <v>492</v>
      </c>
      <c r="N524" s="152" t="s">
        <v>213</v>
      </c>
      <c r="O524" s="152" t="s">
        <v>10</v>
      </c>
      <c r="P524" s="176">
        <v>6303</v>
      </c>
      <c r="Q524" s="177">
        <v>2038</v>
      </c>
      <c r="R524" s="176">
        <v>546000</v>
      </c>
      <c r="S524" s="156">
        <f t="shared" si="178"/>
        <v>1112748000</v>
      </c>
      <c r="T524" s="589"/>
      <c r="U524" s="157">
        <v>506200</v>
      </c>
      <c r="V524" s="158">
        <f t="shared" si="173"/>
        <v>501240</v>
      </c>
      <c r="W524" s="159">
        <f t="shared" si="179"/>
        <v>4960</v>
      </c>
      <c r="X524" s="159">
        <f t="shared" si="180"/>
        <v>10108480</v>
      </c>
      <c r="Y524" s="160"/>
      <c r="Z524" s="160">
        <f t="shared" si="181"/>
        <v>0</v>
      </c>
      <c r="AA524" s="161"/>
      <c r="AB524" s="161">
        <f t="shared" si="182"/>
        <v>0</v>
      </c>
      <c r="AC524" s="162"/>
      <c r="AD524" s="162">
        <f t="shared" si="174"/>
        <v>0</v>
      </c>
      <c r="AE524" s="164"/>
      <c r="AF524" s="164">
        <f t="shared" si="175"/>
        <v>0</v>
      </c>
      <c r="AG524" s="165"/>
      <c r="AH524" s="165">
        <f t="shared" si="176"/>
        <v>0</v>
      </c>
      <c r="AI524" s="166">
        <v>0</v>
      </c>
      <c r="AJ524" s="166">
        <f t="shared" si="177"/>
        <v>0</v>
      </c>
      <c r="AK524" s="162"/>
      <c r="AL524" s="162">
        <f t="shared" si="188"/>
        <v>0</v>
      </c>
      <c r="AM524" s="167"/>
      <c r="AN524" s="167">
        <f t="shared" si="183"/>
        <v>0</v>
      </c>
      <c r="AO524" s="163"/>
      <c r="AP524" s="163">
        <f t="shared" si="184"/>
        <v>0</v>
      </c>
      <c r="AQ524" s="168"/>
      <c r="AR524" s="168">
        <f t="shared" si="185"/>
        <v>0</v>
      </c>
      <c r="AS524" s="170"/>
      <c r="AT524" s="170">
        <f t="shared" si="186"/>
        <v>0</v>
      </c>
      <c r="AU524" s="166">
        <v>4960</v>
      </c>
      <c r="AV524" s="166">
        <f t="shared" si="187"/>
        <v>10108480</v>
      </c>
    </row>
    <row r="525" spans="1:48" s="131" customFormat="1" ht="31.5">
      <c r="A525" s="148" t="s">
        <v>6974</v>
      </c>
      <c r="B525" s="149" t="s">
        <v>5360</v>
      </c>
      <c r="C525" s="150" t="s">
        <v>489</v>
      </c>
      <c r="D525" s="240" t="s">
        <v>4367</v>
      </c>
      <c r="E525" s="590" t="s">
        <v>12642</v>
      </c>
      <c r="F525" s="203" t="s">
        <v>6975</v>
      </c>
      <c r="G525" s="204" t="s">
        <v>6976</v>
      </c>
      <c r="H525" s="204">
        <v>3</v>
      </c>
      <c r="I525" s="203" t="s">
        <v>6977</v>
      </c>
      <c r="J525" s="205" t="s">
        <v>6637</v>
      </c>
      <c r="K525" s="203" t="s">
        <v>5104</v>
      </c>
      <c r="L525" s="205" t="s">
        <v>6978</v>
      </c>
      <c r="M525" s="205" t="s">
        <v>6979</v>
      </c>
      <c r="N525" s="204" t="s">
        <v>213</v>
      </c>
      <c r="O525" s="204" t="s">
        <v>11</v>
      </c>
      <c r="P525" s="206">
        <v>700.38</v>
      </c>
      <c r="Q525" s="206">
        <v>350</v>
      </c>
      <c r="R525" s="207">
        <v>400000</v>
      </c>
      <c r="S525" s="207">
        <f t="shared" si="178"/>
        <v>140000000</v>
      </c>
      <c r="T525" s="589"/>
      <c r="U525" s="157">
        <v>400000</v>
      </c>
      <c r="V525" s="158">
        <f t="shared" si="173"/>
        <v>400000</v>
      </c>
      <c r="W525" s="159">
        <f t="shared" si="179"/>
        <v>0</v>
      </c>
      <c r="X525" s="159">
        <f t="shared" si="180"/>
        <v>0</v>
      </c>
      <c r="Y525" s="160"/>
      <c r="Z525" s="160">
        <f t="shared" si="181"/>
        <v>0</v>
      </c>
      <c r="AA525" s="165"/>
      <c r="AB525" s="161">
        <f t="shared" si="182"/>
        <v>0</v>
      </c>
      <c r="AC525" s="162"/>
      <c r="AD525" s="162">
        <f t="shared" si="174"/>
        <v>0</v>
      </c>
      <c r="AE525" s="163"/>
      <c r="AF525" s="164">
        <f t="shared" si="175"/>
        <v>0</v>
      </c>
      <c r="AG525" s="161"/>
      <c r="AH525" s="165">
        <f t="shared" si="176"/>
        <v>0</v>
      </c>
      <c r="AI525" s="160">
        <v>0</v>
      </c>
      <c r="AJ525" s="166">
        <f t="shared" si="177"/>
        <v>0</v>
      </c>
      <c r="AK525" s="162"/>
      <c r="AL525" s="162">
        <f t="shared" si="188"/>
        <v>0</v>
      </c>
      <c r="AM525" s="173"/>
      <c r="AN525" s="167">
        <f t="shared" si="183"/>
        <v>0</v>
      </c>
      <c r="AO525" s="163"/>
      <c r="AP525" s="163">
        <f t="shared" si="184"/>
        <v>0</v>
      </c>
      <c r="AQ525" s="162"/>
      <c r="AR525" s="168">
        <f t="shared" si="185"/>
        <v>0</v>
      </c>
      <c r="AS525" s="169"/>
      <c r="AT525" s="170">
        <f t="shared" si="186"/>
        <v>0</v>
      </c>
      <c r="AU525" s="160"/>
      <c r="AV525" s="166">
        <f t="shared" si="187"/>
        <v>0</v>
      </c>
    </row>
    <row r="526" spans="1:48" s="131" customFormat="1" ht="31.5">
      <c r="A526" s="148" t="s">
        <v>7502</v>
      </c>
      <c r="B526" s="149" t="s">
        <v>5360</v>
      </c>
      <c r="C526" s="150" t="s">
        <v>489</v>
      </c>
      <c r="D526" s="240" t="s">
        <v>7503</v>
      </c>
      <c r="E526" s="590" t="s">
        <v>12642</v>
      </c>
      <c r="F526" s="203" t="s">
        <v>1702</v>
      </c>
      <c r="G526" s="204" t="s">
        <v>327</v>
      </c>
      <c r="H526" s="204">
        <v>3</v>
      </c>
      <c r="I526" s="203" t="s">
        <v>7504</v>
      </c>
      <c r="J526" s="205" t="s">
        <v>6321</v>
      </c>
      <c r="K526" s="203" t="s">
        <v>5104</v>
      </c>
      <c r="L526" s="205" t="s">
        <v>7505</v>
      </c>
      <c r="M526" s="205" t="s">
        <v>6979</v>
      </c>
      <c r="N526" s="204" t="s">
        <v>213</v>
      </c>
      <c r="O526" s="204" t="s">
        <v>16</v>
      </c>
      <c r="P526" s="206">
        <v>1200</v>
      </c>
      <c r="Q526" s="206">
        <v>248</v>
      </c>
      <c r="R526" s="207">
        <v>50000</v>
      </c>
      <c r="S526" s="207">
        <f t="shared" si="178"/>
        <v>12400000</v>
      </c>
      <c r="T526" s="589"/>
      <c r="U526" s="157">
        <v>50000</v>
      </c>
      <c r="V526" s="158">
        <f t="shared" si="173"/>
        <v>50000</v>
      </c>
      <c r="W526" s="159">
        <f t="shared" si="179"/>
        <v>0</v>
      </c>
      <c r="X526" s="159">
        <f t="shared" si="180"/>
        <v>0</v>
      </c>
      <c r="Y526" s="160"/>
      <c r="Z526" s="160">
        <f t="shared" si="181"/>
        <v>0</v>
      </c>
      <c r="AA526" s="165"/>
      <c r="AB526" s="161">
        <f t="shared" si="182"/>
        <v>0</v>
      </c>
      <c r="AC526" s="162"/>
      <c r="AD526" s="162">
        <f t="shared" si="174"/>
        <v>0</v>
      </c>
      <c r="AE526" s="164"/>
      <c r="AF526" s="164">
        <f t="shared" si="175"/>
        <v>0</v>
      </c>
      <c r="AG526" s="165"/>
      <c r="AH526" s="165">
        <f t="shared" si="176"/>
        <v>0</v>
      </c>
      <c r="AI526" s="166">
        <v>0</v>
      </c>
      <c r="AJ526" s="166">
        <f t="shared" si="177"/>
        <v>0</v>
      </c>
      <c r="AK526" s="162"/>
      <c r="AL526" s="162">
        <f t="shared" si="188"/>
        <v>0</v>
      </c>
      <c r="AM526" s="173"/>
      <c r="AN526" s="167">
        <f t="shared" si="183"/>
        <v>0</v>
      </c>
      <c r="AO526" s="163"/>
      <c r="AP526" s="163">
        <f t="shared" si="184"/>
        <v>0</v>
      </c>
      <c r="AQ526" s="168"/>
      <c r="AR526" s="168">
        <f t="shared" si="185"/>
        <v>0</v>
      </c>
      <c r="AS526" s="170"/>
      <c r="AT526" s="170">
        <f t="shared" si="186"/>
        <v>0</v>
      </c>
      <c r="AU526" s="166"/>
      <c r="AV526" s="166">
        <f t="shared" si="187"/>
        <v>0</v>
      </c>
    </row>
    <row r="527" spans="1:48" s="131" customFormat="1" ht="31.5">
      <c r="A527" s="148" t="s">
        <v>7687</v>
      </c>
      <c r="B527" s="149" t="s">
        <v>5360</v>
      </c>
      <c r="C527" s="150" t="s">
        <v>489</v>
      </c>
      <c r="D527" s="240" t="s">
        <v>7688</v>
      </c>
      <c r="E527" s="590" t="s">
        <v>12642</v>
      </c>
      <c r="F527" s="203" t="s">
        <v>836</v>
      </c>
      <c r="G527" s="204" t="s">
        <v>7689</v>
      </c>
      <c r="H527" s="204">
        <v>3</v>
      </c>
      <c r="I527" s="203" t="s">
        <v>7690</v>
      </c>
      <c r="J527" s="205" t="s">
        <v>6767</v>
      </c>
      <c r="K527" s="203" t="s">
        <v>5104</v>
      </c>
      <c r="L527" s="205" t="s">
        <v>7691</v>
      </c>
      <c r="M527" s="205" t="s">
        <v>6979</v>
      </c>
      <c r="N527" s="204" t="s">
        <v>213</v>
      </c>
      <c r="O527" s="204" t="s">
        <v>11</v>
      </c>
      <c r="P527" s="206">
        <v>1400</v>
      </c>
      <c r="Q527" s="206">
        <v>1260</v>
      </c>
      <c r="R527" s="207">
        <v>100000</v>
      </c>
      <c r="S527" s="207">
        <f t="shared" si="178"/>
        <v>126000000</v>
      </c>
      <c r="T527" s="589"/>
      <c r="U527" s="157">
        <v>100000</v>
      </c>
      <c r="V527" s="158">
        <f t="shared" si="173"/>
        <v>100000</v>
      </c>
      <c r="W527" s="159">
        <f t="shared" si="179"/>
        <v>0</v>
      </c>
      <c r="X527" s="159">
        <f t="shared" si="180"/>
        <v>0</v>
      </c>
      <c r="Y527" s="160"/>
      <c r="Z527" s="160">
        <f t="shared" si="181"/>
        <v>0</v>
      </c>
      <c r="AA527" s="165"/>
      <c r="AB527" s="161">
        <f t="shared" si="182"/>
        <v>0</v>
      </c>
      <c r="AC527" s="162"/>
      <c r="AD527" s="162">
        <f t="shared" si="174"/>
        <v>0</v>
      </c>
      <c r="AE527" s="164"/>
      <c r="AF527" s="164">
        <f t="shared" si="175"/>
        <v>0</v>
      </c>
      <c r="AG527" s="165"/>
      <c r="AH527" s="165">
        <f t="shared" si="176"/>
        <v>0</v>
      </c>
      <c r="AI527" s="166">
        <v>0</v>
      </c>
      <c r="AJ527" s="166">
        <f t="shared" si="177"/>
        <v>0</v>
      </c>
      <c r="AK527" s="162"/>
      <c r="AL527" s="162">
        <f t="shared" si="188"/>
        <v>0</v>
      </c>
      <c r="AM527" s="173"/>
      <c r="AN527" s="167">
        <f t="shared" si="183"/>
        <v>0</v>
      </c>
      <c r="AO527" s="163"/>
      <c r="AP527" s="163">
        <f t="shared" si="184"/>
        <v>0</v>
      </c>
      <c r="AQ527" s="168"/>
      <c r="AR527" s="168">
        <f t="shared" si="185"/>
        <v>0</v>
      </c>
      <c r="AS527" s="170"/>
      <c r="AT527" s="170">
        <f t="shared" si="186"/>
        <v>0</v>
      </c>
      <c r="AU527" s="166"/>
      <c r="AV527" s="166">
        <f t="shared" si="187"/>
        <v>0</v>
      </c>
    </row>
    <row r="528" spans="1:48" s="131" customFormat="1" ht="31.5">
      <c r="A528" s="172" t="s">
        <v>7784</v>
      </c>
      <c r="B528" s="149" t="s">
        <v>5360</v>
      </c>
      <c r="C528" s="150" t="s">
        <v>489</v>
      </c>
      <c r="D528" s="240" t="s">
        <v>7785</v>
      </c>
      <c r="E528" s="590"/>
      <c r="F528" s="203" t="s">
        <v>376</v>
      </c>
      <c r="G528" s="204" t="s">
        <v>299</v>
      </c>
      <c r="H528" s="204">
        <v>3</v>
      </c>
      <c r="I528" s="203" t="s">
        <v>7786</v>
      </c>
      <c r="J528" s="205" t="s">
        <v>6321</v>
      </c>
      <c r="K528" s="203" t="s">
        <v>5104</v>
      </c>
      <c r="L528" s="205" t="s">
        <v>7787</v>
      </c>
      <c r="M528" s="205" t="s">
        <v>6979</v>
      </c>
      <c r="N528" s="204" t="s">
        <v>213</v>
      </c>
      <c r="O528" s="204" t="s">
        <v>11</v>
      </c>
      <c r="P528" s="206">
        <v>1201</v>
      </c>
      <c r="Q528" s="206">
        <v>401</v>
      </c>
      <c r="R528" s="207">
        <v>30000</v>
      </c>
      <c r="S528" s="207">
        <f t="shared" si="178"/>
        <v>12030000</v>
      </c>
      <c r="T528" s="589"/>
      <c r="U528" s="157">
        <v>30000</v>
      </c>
      <c r="V528" s="158">
        <f t="shared" si="173"/>
        <v>30000</v>
      </c>
      <c r="W528" s="159">
        <f t="shared" si="179"/>
        <v>0</v>
      </c>
      <c r="X528" s="159">
        <f t="shared" si="180"/>
        <v>0</v>
      </c>
      <c r="Y528" s="160"/>
      <c r="Z528" s="160">
        <f t="shared" si="181"/>
        <v>0</v>
      </c>
      <c r="AA528" s="165"/>
      <c r="AB528" s="161">
        <f t="shared" si="182"/>
        <v>0</v>
      </c>
      <c r="AC528" s="162"/>
      <c r="AD528" s="162">
        <f t="shared" si="174"/>
        <v>0</v>
      </c>
      <c r="AE528" s="164"/>
      <c r="AF528" s="164">
        <f t="shared" si="175"/>
        <v>0</v>
      </c>
      <c r="AG528" s="165"/>
      <c r="AH528" s="165">
        <f t="shared" si="176"/>
        <v>0</v>
      </c>
      <c r="AI528" s="166">
        <v>0</v>
      </c>
      <c r="AJ528" s="166">
        <f t="shared" si="177"/>
        <v>0</v>
      </c>
      <c r="AK528" s="162"/>
      <c r="AL528" s="162">
        <f t="shared" si="188"/>
        <v>0</v>
      </c>
      <c r="AM528" s="173"/>
      <c r="AN528" s="167">
        <f t="shared" si="183"/>
        <v>0</v>
      </c>
      <c r="AO528" s="163"/>
      <c r="AP528" s="163">
        <f t="shared" si="184"/>
        <v>0</v>
      </c>
      <c r="AQ528" s="168"/>
      <c r="AR528" s="168">
        <f t="shared" si="185"/>
        <v>0</v>
      </c>
      <c r="AS528" s="170"/>
      <c r="AT528" s="170">
        <f t="shared" si="186"/>
        <v>0</v>
      </c>
      <c r="AU528" s="166"/>
      <c r="AV528" s="166">
        <f t="shared" si="187"/>
        <v>0</v>
      </c>
    </row>
    <row r="529" spans="1:48" s="131" customFormat="1" ht="31.5">
      <c r="A529" s="148" t="s">
        <v>8423</v>
      </c>
      <c r="B529" s="149" t="s">
        <v>5360</v>
      </c>
      <c r="C529" s="150" t="s">
        <v>489</v>
      </c>
      <c r="D529" s="240" t="s">
        <v>8424</v>
      </c>
      <c r="E529" s="590" t="s">
        <v>12642</v>
      </c>
      <c r="F529" s="203" t="s">
        <v>1702</v>
      </c>
      <c r="G529" s="204" t="s">
        <v>327</v>
      </c>
      <c r="H529" s="204">
        <v>5</v>
      </c>
      <c r="I529" s="203" t="s">
        <v>7504</v>
      </c>
      <c r="J529" s="205" t="s">
        <v>6321</v>
      </c>
      <c r="K529" s="203" t="s">
        <v>5104</v>
      </c>
      <c r="L529" s="205" t="s">
        <v>7505</v>
      </c>
      <c r="M529" s="205" t="s">
        <v>6979</v>
      </c>
      <c r="N529" s="204" t="s">
        <v>213</v>
      </c>
      <c r="O529" s="204" t="s">
        <v>16</v>
      </c>
      <c r="P529" s="206">
        <v>1200</v>
      </c>
      <c r="Q529" s="206">
        <v>248</v>
      </c>
      <c r="R529" s="207">
        <v>30000</v>
      </c>
      <c r="S529" s="207">
        <f t="shared" si="178"/>
        <v>7440000</v>
      </c>
      <c r="T529" s="589"/>
      <c r="U529" s="157">
        <v>30000</v>
      </c>
      <c r="V529" s="158">
        <f t="shared" si="173"/>
        <v>30000</v>
      </c>
      <c r="W529" s="159">
        <f t="shared" si="179"/>
        <v>0</v>
      </c>
      <c r="X529" s="159">
        <f t="shared" si="180"/>
        <v>0</v>
      </c>
      <c r="Y529" s="160"/>
      <c r="Z529" s="160">
        <f t="shared" si="181"/>
        <v>0</v>
      </c>
      <c r="AA529" s="165"/>
      <c r="AB529" s="161">
        <f t="shared" si="182"/>
        <v>0</v>
      </c>
      <c r="AC529" s="162"/>
      <c r="AD529" s="162">
        <f t="shared" si="174"/>
        <v>0</v>
      </c>
      <c r="AE529" s="164"/>
      <c r="AF529" s="164">
        <f t="shared" si="175"/>
        <v>0</v>
      </c>
      <c r="AG529" s="165"/>
      <c r="AH529" s="165">
        <f t="shared" si="176"/>
        <v>0</v>
      </c>
      <c r="AI529" s="166">
        <v>0</v>
      </c>
      <c r="AJ529" s="166">
        <f t="shared" si="177"/>
        <v>0</v>
      </c>
      <c r="AK529" s="162"/>
      <c r="AL529" s="162">
        <f t="shared" si="188"/>
        <v>0</v>
      </c>
      <c r="AM529" s="173"/>
      <c r="AN529" s="167">
        <f t="shared" si="183"/>
        <v>0</v>
      </c>
      <c r="AO529" s="163"/>
      <c r="AP529" s="163">
        <f t="shared" si="184"/>
        <v>0</v>
      </c>
      <c r="AQ529" s="168"/>
      <c r="AR529" s="168">
        <f t="shared" si="185"/>
        <v>0</v>
      </c>
      <c r="AS529" s="170"/>
      <c r="AT529" s="170">
        <f t="shared" si="186"/>
        <v>0</v>
      </c>
      <c r="AU529" s="166"/>
      <c r="AV529" s="166">
        <f t="shared" si="187"/>
        <v>0</v>
      </c>
    </row>
    <row r="530" spans="1:48" s="131" customFormat="1" ht="47.25">
      <c r="A530" s="148" t="s">
        <v>5161</v>
      </c>
      <c r="B530" s="150" t="s">
        <v>5162</v>
      </c>
      <c r="C530" s="150" t="s">
        <v>5163</v>
      </c>
      <c r="D530" s="634" t="s">
        <v>4814</v>
      </c>
      <c r="E530" s="631"/>
      <c r="F530" s="175" t="s">
        <v>280</v>
      </c>
      <c r="G530" s="151" t="s">
        <v>282</v>
      </c>
      <c r="H530" s="174" t="s">
        <v>211</v>
      </c>
      <c r="I530" s="150" t="s">
        <v>281</v>
      </c>
      <c r="J530" s="153" t="s">
        <v>5164</v>
      </c>
      <c r="K530" s="151">
        <v>24</v>
      </c>
      <c r="L530" s="151" t="s">
        <v>284</v>
      </c>
      <c r="M530" s="151" t="s">
        <v>285</v>
      </c>
      <c r="N530" s="152" t="s">
        <v>5165</v>
      </c>
      <c r="O530" s="152" t="s">
        <v>5141</v>
      </c>
      <c r="P530" s="176">
        <v>42000</v>
      </c>
      <c r="Q530" s="177">
        <v>37360</v>
      </c>
      <c r="R530" s="176">
        <v>750</v>
      </c>
      <c r="S530" s="156">
        <f t="shared" si="178"/>
        <v>28020000</v>
      </c>
      <c r="T530" s="589"/>
      <c r="U530" s="157">
        <v>730</v>
      </c>
      <c r="V530" s="158">
        <f t="shared" si="173"/>
        <v>730</v>
      </c>
      <c r="W530" s="159">
        <f t="shared" si="179"/>
        <v>0</v>
      </c>
      <c r="X530" s="159">
        <f t="shared" si="180"/>
        <v>0</v>
      </c>
      <c r="Y530" s="160"/>
      <c r="Z530" s="160">
        <f t="shared" si="181"/>
        <v>0</v>
      </c>
      <c r="AA530" s="165"/>
      <c r="AB530" s="161">
        <f t="shared" si="182"/>
        <v>0</v>
      </c>
      <c r="AC530" s="162"/>
      <c r="AD530" s="162">
        <f t="shared" si="174"/>
        <v>0</v>
      </c>
      <c r="AE530" s="163"/>
      <c r="AF530" s="164">
        <f t="shared" si="175"/>
        <v>0</v>
      </c>
      <c r="AG530" s="161"/>
      <c r="AH530" s="165">
        <f t="shared" si="176"/>
        <v>0</v>
      </c>
      <c r="AI530" s="160">
        <v>0</v>
      </c>
      <c r="AJ530" s="166">
        <f t="shared" si="177"/>
        <v>0</v>
      </c>
      <c r="AK530" s="162"/>
      <c r="AL530" s="162">
        <f t="shared" si="188"/>
        <v>0</v>
      </c>
      <c r="AM530" s="173"/>
      <c r="AN530" s="167">
        <f t="shared" si="183"/>
        <v>0</v>
      </c>
      <c r="AO530" s="163"/>
      <c r="AP530" s="163">
        <f t="shared" si="184"/>
        <v>0</v>
      </c>
      <c r="AQ530" s="162"/>
      <c r="AR530" s="168">
        <f t="shared" si="185"/>
        <v>0</v>
      </c>
      <c r="AS530" s="169"/>
      <c r="AT530" s="170">
        <f t="shared" si="186"/>
        <v>0</v>
      </c>
      <c r="AU530" s="160"/>
      <c r="AV530" s="166">
        <f t="shared" si="187"/>
        <v>0</v>
      </c>
    </row>
    <row r="531" spans="1:48" s="131" customFormat="1" ht="31.5">
      <c r="A531" s="148" t="s">
        <v>5788</v>
      </c>
      <c r="B531" s="150" t="s">
        <v>5162</v>
      </c>
      <c r="C531" s="150" t="s">
        <v>5163</v>
      </c>
      <c r="D531" s="240" t="s">
        <v>5789</v>
      </c>
      <c r="E531" s="590"/>
      <c r="F531" s="203" t="s">
        <v>2439</v>
      </c>
      <c r="G531" s="204" t="s">
        <v>5790</v>
      </c>
      <c r="H531" s="204">
        <v>1</v>
      </c>
      <c r="I531" s="203" t="s">
        <v>5791</v>
      </c>
      <c r="J531" s="205" t="s">
        <v>5792</v>
      </c>
      <c r="K531" s="203" t="s">
        <v>5104</v>
      </c>
      <c r="L531" s="205" t="s">
        <v>5793</v>
      </c>
      <c r="M531" s="205" t="s">
        <v>5794</v>
      </c>
      <c r="N531" s="204" t="s">
        <v>5185</v>
      </c>
      <c r="O531" s="204" t="s">
        <v>15</v>
      </c>
      <c r="P531" s="206">
        <v>160000</v>
      </c>
      <c r="Q531" s="206">
        <v>154035</v>
      </c>
      <c r="R531" s="207">
        <v>100</v>
      </c>
      <c r="S531" s="207">
        <f t="shared" si="178"/>
        <v>15403500</v>
      </c>
      <c r="T531" s="589"/>
      <c r="U531" s="157">
        <v>100</v>
      </c>
      <c r="V531" s="158">
        <f t="shared" si="173"/>
        <v>100</v>
      </c>
      <c r="W531" s="159">
        <f t="shared" si="179"/>
        <v>0</v>
      </c>
      <c r="X531" s="159">
        <f t="shared" si="180"/>
        <v>0</v>
      </c>
      <c r="Y531" s="160"/>
      <c r="Z531" s="160">
        <f t="shared" si="181"/>
        <v>0</v>
      </c>
      <c r="AA531" s="161"/>
      <c r="AB531" s="161">
        <f t="shared" si="182"/>
        <v>0</v>
      </c>
      <c r="AC531" s="162"/>
      <c r="AD531" s="162">
        <f t="shared" si="174"/>
        <v>0</v>
      </c>
      <c r="AE531" s="164"/>
      <c r="AF531" s="164">
        <f t="shared" si="175"/>
        <v>0</v>
      </c>
      <c r="AG531" s="165"/>
      <c r="AH531" s="165">
        <f t="shared" si="176"/>
        <v>0</v>
      </c>
      <c r="AI531" s="166">
        <v>0</v>
      </c>
      <c r="AJ531" s="166">
        <f t="shared" si="177"/>
        <v>0</v>
      </c>
      <c r="AK531" s="162"/>
      <c r="AL531" s="162">
        <f t="shared" si="188"/>
        <v>0</v>
      </c>
      <c r="AM531" s="167"/>
      <c r="AN531" s="167">
        <f t="shared" si="183"/>
        <v>0</v>
      </c>
      <c r="AO531" s="163"/>
      <c r="AP531" s="163">
        <f t="shared" si="184"/>
        <v>0</v>
      </c>
      <c r="AQ531" s="168"/>
      <c r="AR531" s="168">
        <f t="shared" si="185"/>
        <v>0</v>
      </c>
      <c r="AS531" s="170"/>
      <c r="AT531" s="170">
        <f t="shared" si="186"/>
        <v>0</v>
      </c>
      <c r="AU531" s="166"/>
      <c r="AV531" s="166">
        <f t="shared" si="187"/>
        <v>0</v>
      </c>
    </row>
    <row r="532" spans="1:48" s="131" customFormat="1" ht="31.5">
      <c r="A532" s="148" t="s">
        <v>5795</v>
      </c>
      <c r="B532" s="150" t="s">
        <v>5162</v>
      </c>
      <c r="C532" s="150" t="s">
        <v>5163</v>
      </c>
      <c r="D532" s="240" t="s">
        <v>5796</v>
      </c>
      <c r="E532" s="590"/>
      <c r="F532" s="203" t="s">
        <v>2439</v>
      </c>
      <c r="G532" s="204" t="s">
        <v>2440</v>
      </c>
      <c r="H532" s="204">
        <v>1</v>
      </c>
      <c r="I532" s="203" t="s">
        <v>2438</v>
      </c>
      <c r="J532" s="205" t="s">
        <v>5797</v>
      </c>
      <c r="K532" s="203" t="s">
        <v>253</v>
      </c>
      <c r="L532" s="205" t="s">
        <v>2671</v>
      </c>
      <c r="M532" s="205" t="s">
        <v>5794</v>
      </c>
      <c r="N532" s="204" t="s">
        <v>5185</v>
      </c>
      <c r="O532" s="204" t="s">
        <v>15</v>
      </c>
      <c r="P532" s="206">
        <v>68100</v>
      </c>
      <c r="Q532" s="206">
        <v>67725</v>
      </c>
      <c r="R532" s="207">
        <v>200</v>
      </c>
      <c r="S532" s="207">
        <f t="shared" si="178"/>
        <v>13545000</v>
      </c>
      <c r="T532" s="589"/>
      <c r="U532" s="157">
        <v>200</v>
      </c>
      <c r="V532" s="158">
        <f t="shared" si="173"/>
        <v>200</v>
      </c>
      <c r="W532" s="159">
        <f t="shared" si="179"/>
        <v>0</v>
      </c>
      <c r="X532" s="159">
        <f t="shared" si="180"/>
        <v>0</v>
      </c>
      <c r="Y532" s="160"/>
      <c r="Z532" s="160">
        <f t="shared" si="181"/>
        <v>0</v>
      </c>
      <c r="AA532" s="165"/>
      <c r="AB532" s="161">
        <f t="shared" si="182"/>
        <v>0</v>
      </c>
      <c r="AC532" s="162"/>
      <c r="AD532" s="162">
        <f t="shared" si="174"/>
        <v>0</v>
      </c>
      <c r="AE532" s="164"/>
      <c r="AF532" s="164">
        <f t="shared" si="175"/>
        <v>0</v>
      </c>
      <c r="AG532" s="165"/>
      <c r="AH532" s="165">
        <f t="shared" si="176"/>
        <v>0</v>
      </c>
      <c r="AI532" s="166">
        <v>0</v>
      </c>
      <c r="AJ532" s="166">
        <f t="shared" si="177"/>
        <v>0</v>
      </c>
      <c r="AK532" s="162"/>
      <c r="AL532" s="162">
        <f t="shared" si="188"/>
        <v>0</v>
      </c>
      <c r="AM532" s="173"/>
      <c r="AN532" s="167">
        <f t="shared" si="183"/>
        <v>0</v>
      </c>
      <c r="AO532" s="163"/>
      <c r="AP532" s="163">
        <f t="shared" si="184"/>
        <v>0</v>
      </c>
      <c r="AQ532" s="168"/>
      <c r="AR532" s="168">
        <f t="shared" si="185"/>
        <v>0</v>
      </c>
      <c r="AS532" s="170"/>
      <c r="AT532" s="170">
        <f t="shared" si="186"/>
        <v>0</v>
      </c>
      <c r="AU532" s="166"/>
      <c r="AV532" s="166">
        <f t="shared" si="187"/>
        <v>0</v>
      </c>
    </row>
    <row r="533" spans="1:48" s="131" customFormat="1" ht="31.5">
      <c r="A533" s="148" t="s">
        <v>5824</v>
      </c>
      <c r="B533" s="150" t="s">
        <v>5162</v>
      </c>
      <c r="C533" s="150" t="s">
        <v>5163</v>
      </c>
      <c r="D533" s="240" t="s">
        <v>5825</v>
      </c>
      <c r="E533" s="590"/>
      <c r="F533" s="203" t="s">
        <v>724</v>
      </c>
      <c r="G533" s="204" t="s">
        <v>5826</v>
      </c>
      <c r="H533" s="204">
        <v>1</v>
      </c>
      <c r="I533" s="203" t="s">
        <v>777</v>
      </c>
      <c r="J533" s="205" t="s">
        <v>5827</v>
      </c>
      <c r="K533" s="203" t="s">
        <v>5104</v>
      </c>
      <c r="L533" s="205" t="s">
        <v>5828</v>
      </c>
      <c r="M533" s="205" t="s">
        <v>2056</v>
      </c>
      <c r="N533" s="204" t="s">
        <v>5165</v>
      </c>
      <c r="O533" s="204" t="s">
        <v>520</v>
      </c>
      <c r="P533" s="206">
        <v>57750</v>
      </c>
      <c r="Q533" s="206">
        <v>57750</v>
      </c>
      <c r="R533" s="207">
        <v>50</v>
      </c>
      <c r="S533" s="207">
        <f t="shared" si="178"/>
        <v>2887500</v>
      </c>
      <c r="T533" s="589"/>
      <c r="U533" s="157">
        <v>50</v>
      </c>
      <c r="V533" s="158">
        <f t="shared" si="173"/>
        <v>50</v>
      </c>
      <c r="W533" s="159">
        <f t="shared" si="179"/>
        <v>0</v>
      </c>
      <c r="X533" s="159">
        <f t="shared" si="180"/>
        <v>0</v>
      </c>
      <c r="Y533" s="160"/>
      <c r="Z533" s="160">
        <f t="shared" si="181"/>
        <v>0</v>
      </c>
      <c r="AA533" s="165"/>
      <c r="AB533" s="161">
        <f t="shared" si="182"/>
        <v>0</v>
      </c>
      <c r="AC533" s="162"/>
      <c r="AD533" s="162">
        <f t="shared" si="174"/>
        <v>0</v>
      </c>
      <c r="AE533" s="164"/>
      <c r="AF533" s="164">
        <f t="shared" si="175"/>
        <v>0</v>
      </c>
      <c r="AG533" s="165"/>
      <c r="AH533" s="165">
        <f t="shared" si="176"/>
        <v>0</v>
      </c>
      <c r="AI533" s="166">
        <v>0</v>
      </c>
      <c r="AJ533" s="166">
        <f t="shared" si="177"/>
        <v>0</v>
      </c>
      <c r="AK533" s="162"/>
      <c r="AL533" s="162">
        <f t="shared" si="188"/>
        <v>0</v>
      </c>
      <c r="AM533" s="173"/>
      <c r="AN533" s="167">
        <f t="shared" si="183"/>
        <v>0</v>
      </c>
      <c r="AO533" s="163"/>
      <c r="AP533" s="163">
        <f t="shared" si="184"/>
        <v>0</v>
      </c>
      <c r="AQ533" s="168"/>
      <c r="AR533" s="168">
        <f t="shared" si="185"/>
        <v>0</v>
      </c>
      <c r="AS533" s="170"/>
      <c r="AT533" s="170">
        <f t="shared" si="186"/>
        <v>0</v>
      </c>
      <c r="AU533" s="166"/>
      <c r="AV533" s="166">
        <f t="shared" si="187"/>
        <v>0</v>
      </c>
    </row>
    <row r="534" spans="1:48" s="131" customFormat="1" ht="31.5">
      <c r="A534" s="172" t="s">
        <v>5834</v>
      </c>
      <c r="B534" s="150" t="s">
        <v>5162</v>
      </c>
      <c r="C534" s="150" t="s">
        <v>5163</v>
      </c>
      <c r="D534" s="240" t="s">
        <v>4143</v>
      </c>
      <c r="E534" s="590" t="s">
        <v>12642</v>
      </c>
      <c r="F534" s="203" t="s">
        <v>4145</v>
      </c>
      <c r="G534" s="204" t="s">
        <v>733</v>
      </c>
      <c r="H534" s="204">
        <v>1</v>
      </c>
      <c r="I534" s="203" t="s">
        <v>4144</v>
      </c>
      <c r="J534" s="205" t="s">
        <v>5835</v>
      </c>
      <c r="K534" s="203" t="s">
        <v>253</v>
      </c>
      <c r="L534" s="205" t="s">
        <v>5836</v>
      </c>
      <c r="M534" s="205" t="s">
        <v>5837</v>
      </c>
      <c r="N534" s="204" t="s">
        <v>5217</v>
      </c>
      <c r="O534" s="204" t="s">
        <v>520</v>
      </c>
      <c r="P534" s="206">
        <v>35000</v>
      </c>
      <c r="Q534" s="206">
        <v>35000</v>
      </c>
      <c r="R534" s="207">
        <v>100</v>
      </c>
      <c r="S534" s="207">
        <f t="shared" si="178"/>
        <v>3500000</v>
      </c>
      <c r="T534" s="589"/>
      <c r="U534" s="157">
        <v>100</v>
      </c>
      <c r="V534" s="158">
        <f t="shared" si="173"/>
        <v>90</v>
      </c>
      <c r="W534" s="159">
        <f t="shared" si="179"/>
        <v>10</v>
      </c>
      <c r="X534" s="159">
        <f t="shared" si="180"/>
        <v>350000</v>
      </c>
      <c r="Y534" s="160"/>
      <c r="Z534" s="160">
        <f t="shared" si="181"/>
        <v>0</v>
      </c>
      <c r="AA534" s="165">
        <v>10</v>
      </c>
      <c r="AB534" s="161">
        <f t="shared" si="182"/>
        <v>350000</v>
      </c>
      <c r="AC534" s="162"/>
      <c r="AD534" s="162">
        <f t="shared" si="174"/>
        <v>0</v>
      </c>
      <c r="AE534" s="163"/>
      <c r="AF534" s="164">
        <f t="shared" si="175"/>
        <v>0</v>
      </c>
      <c r="AG534" s="161"/>
      <c r="AH534" s="165">
        <f t="shared" si="176"/>
        <v>0</v>
      </c>
      <c r="AI534" s="160">
        <v>0</v>
      </c>
      <c r="AJ534" s="166">
        <f t="shared" si="177"/>
        <v>0</v>
      </c>
      <c r="AK534" s="162"/>
      <c r="AL534" s="162">
        <f t="shared" si="188"/>
        <v>0</v>
      </c>
      <c r="AM534" s="173"/>
      <c r="AN534" s="167">
        <f t="shared" si="183"/>
        <v>0</v>
      </c>
      <c r="AO534" s="163"/>
      <c r="AP534" s="163">
        <f t="shared" si="184"/>
        <v>0</v>
      </c>
      <c r="AQ534" s="162"/>
      <c r="AR534" s="168">
        <f t="shared" si="185"/>
        <v>0</v>
      </c>
      <c r="AS534" s="169"/>
      <c r="AT534" s="170">
        <f t="shared" si="186"/>
        <v>0</v>
      </c>
      <c r="AU534" s="160"/>
      <c r="AV534" s="166">
        <f t="shared" si="187"/>
        <v>0</v>
      </c>
    </row>
    <row r="535" spans="1:48" s="131" customFormat="1" ht="31.5">
      <c r="A535" s="148" t="s">
        <v>6089</v>
      </c>
      <c r="B535" s="150" t="s">
        <v>5162</v>
      </c>
      <c r="C535" s="150" t="s">
        <v>5163</v>
      </c>
      <c r="D535" s="240" t="s">
        <v>6090</v>
      </c>
      <c r="E535" s="590"/>
      <c r="F535" s="203" t="s">
        <v>6091</v>
      </c>
      <c r="G535" s="204" t="s">
        <v>6092</v>
      </c>
      <c r="H535" s="204">
        <v>1</v>
      </c>
      <c r="I535" s="203" t="s">
        <v>6093</v>
      </c>
      <c r="J535" s="205" t="s">
        <v>6094</v>
      </c>
      <c r="K535" s="203" t="s">
        <v>253</v>
      </c>
      <c r="L535" s="205" t="s">
        <v>6095</v>
      </c>
      <c r="M535" s="205" t="s">
        <v>5794</v>
      </c>
      <c r="N535" s="204" t="s">
        <v>5185</v>
      </c>
      <c r="O535" s="204" t="s">
        <v>520</v>
      </c>
      <c r="P535" s="206">
        <v>120000</v>
      </c>
      <c r="Q535" s="206">
        <v>120000</v>
      </c>
      <c r="R535" s="207">
        <v>10</v>
      </c>
      <c r="S535" s="207">
        <f t="shared" si="178"/>
        <v>1200000</v>
      </c>
      <c r="T535" s="589"/>
      <c r="U535" s="157">
        <v>10</v>
      </c>
      <c r="V535" s="158">
        <f t="shared" si="173"/>
        <v>10</v>
      </c>
      <c r="W535" s="159">
        <f t="shared" si="179"/>
        <v>0</v>
      </c>
      <c r="X535" s="159">
        <f t="shared" si="180"/>
        <v>0</v>
      </c>
      <c r="Y535" s="160"/>
      <c r="Z535" s="160">
        <f t="shared" si="181"/>
        <v>0</v>
      </c>
      <c r="AA535" s="165"/>
      <c r="AB535" s="161">
        <f t="shared" si="182"/>
        <v>0</v>
      </c>
      <c r="AC535" s="162"/>
      <c r="AD535" s="162">
        <f t="shared" si="174"/>
        <v>0</v>
      </c>
      <c r="AE535" s="164"/>
      <c r="AF535" s="164">
        <f t="shared" si="175"/>
        <v>0</v>
      </c>
      <c r="AG535" s="165"/>
      <c r="AH535" s="165">
        <f t="shared" si="176"/>
        <v>0</v>
      </c>
      <c r="AI535" s="166">
        <v>0</v>
      </c>
      <c r="AJ535" s="166">
        <f t="shared" si="177"/>
        <v>0</v>
      </c>
      <c r="AK535" s="162"/>
      <c r="AL535" s="162">
        <f t="shared" si="188"/>
        <v>0</v>
      </c>
      <c r="AM535" s="173"/>
      <c r="AN535" s="167">
        <f t="shared" si="183"/>
        <v>0</v>
      </c>
      <c r="AO535" s="163"/>
      <c r="AP535" s="163">
        <f t="shared" si="184"/>
        <v>0</v>
      </c>
      <c r="AQ535" s="168"/>
      <c r="AR535" s="168">
        <f t="shared" si="185"/>
        <v>0</v>
      </c>
      <c r="AS535" s="170"/>
      <c r="AT535" s="170">
        <f t="shared" si="186"/>
        <v>0</v>
      </c>
      <c r="AU535" s="166"/>
      <c r="AV535" s="166">
        <f t="shared" si="187"/>
        <v>0</v>
      </c>
    </row>
    <row r="536" spans="1:48" s="131" customFormat="1" ht="31.5">
      <c r="A536" s="148" t="s">
        <v>6162</v>
      </c>
      <c r="B536" s="150" t="s">
        <v>5162</v>
      </c>
      <c r="C536" s="150" t="s">
        <v>5163</v>
      </c>
      <c r="D536" s="240" t="s">
        <v>3956</v>
      </c>
      <c r="E536" s="590"/>
      <c r="F536" s="203" t="s">
        <v>2605</v>
      </c>
      <c r="G536" s="204" t="s">
        <v>3957</v>
      </c>
      <c r="H536" s="204">
        <v>1</v>
      </c>
      <c r="I536" s="203" t="s">
        <v>2604</v>
      </c>
      <c r="J536" s="205" t="s">
        <v>6163</v>
      </c>
      <c r="K536" s="203" t="s">
        <v>253</v>
      </c>
      <c r="L536" s="205" t="s">
        <v>6164</v>
      </c>
      <c r="M536" s="205" t="s">
        <v>5837</v>
      </c>
      <c r="N536" s="204" t="s">
        <v>5217</v>
      </c>
      <c r="O536" s="204" t="s">
        <v>520</v>
      </c>
      <c r="P536" s="206">
        <v>24000</v>
      </c>
      <c r="Q536" s="206">
        <v>23940</v>
      </c>
      <c r="R536" s="207">
        <v>100</v>
      </c>
      <c r="S536" s="207">
        <f t="shared" si="178"/>
        <v>2394000</v>
      </c>
      <c r="T536" s="589" t="s">
        <v>520</v>
      </c>
      <c r="U536" s="157">
        <v>100</v>
      </c>
      <c r="V536" s="158">
        <f t="shared" si="173"/>
        <v>80</v>
      </c>
      <c r="W536" s="159">
        <f t="shared" si="179"/>
        <v>20</v>
      </c>
      <c r="X536" s="159">
        <f t="shared" si="180"/>
        <v>478800</v>
      </c>
      <c r="Y536" s="160"/>
      <c r="Z536" s="160">
        <f t="shared" si="181"/>
        <v>0</v>
      </c>
      <c r="AA536" s="165">
        <v>20</v>
      </c>
      <c r="AB536" s="161">
        <f t="shared" si="182"/>
        <v>478800</v>
      </c>
      <c r="AC536" s="162"/>
      <c r="AD536" s="162">
        <f t="shared" si="174"/>
        <v>0</v>
      </c>
      <c r="AE536" s="163"/>
      <c r="AF536" s="164">
        <f t="shared" si="175"/>
        <v>0</v>
      </c>
      <c r="AG536" s="161"/>
      <c r="AH536" s="165">
        <f t="shared" si="176"/>
        <v>0</v>
      </c>
      <c r="AI536" s="160">
        <v>0</v>
      </c>
      <c r="AJ536" s="166">
        <f t="shared" si="177"/>
        <v>0</v>
      </c>
      <c r="AK536" s="162"/>
      <c r="AL536" s="162">
        <f t="shared" si="188"/>
        <v>0</v>
      </c>
      <c r="AM536" s="173"/>
      <c r="AN536" s="167">
        <f t="shared" si="183"/>
        <v>0</v>
      </c>
      <c r="AO536" s="163"/>
      <c r="AP536" s="163">
        <f t="shared" si="184"/>
        <v>0</v>
      </c>
      <c r="AQ536" s="162"/>
      <c r="AR536" s="168">
        <f t="shared" si="185"/>
        <v>0</v>
      </c>
      <c r="AS536" s="169"/>
      <c r="AT536" s="170">
        <f t="shared" si="186"/>
        <v>0</v>
      </c>
      <c r="AU536" s="160"/>
      <c r="AV536" s="166">
        <f t="shared" si="187"/>
        <v>0</v>
      </c>
    </row>
    <row r="537" spans="1:48" s="131" customFormat="1" ht="31.5">
      <c r="A537" s="148" t="s">
        <v>6477</v>
      </c>
      <c r="B537" s="150" t="s">
        <v>5162</v>
      </c>
      <c r="C537" s="150" t="s">
        <v>5163</v>
      </c>
      <c r="D537" s="240" t="s">
        <v>4964</v>
      </c>
      <c r="E537" s="590" t="s">
        <v>12642</v>
      </c>
      <c r="F537" s="203" t="s">
        <v>713</v>
      </c>
      <c r="G537" s="204" t="s">
        <v>327</v>
      </c>
      <c r="H537" s="204">
        <v>1</v>
      </c>
      <c r="I537" s="203" t="s">
        <v>4965</v>
      </c>
      <c r="J537" s="205" t="s">
        <v>6478</v>
      </c>
      <c r="K537" s="203" t="s">
        <v>5108</v>
      </c>
      <c r="L537" s="205" t="s">
        <v>6479</v>
      </c>
      <c r="M537" s="205" t="s">
        <v>245</v>
      </c>
      <c r="N537" s="204" t="s">
        <v>5156</v>
      </c>
      <c r="O537" s="204" t="s">
        <v>11</v>
      </c>
      <c r="P537" s="206">
        <v>647</v>
      </c>
      <c r="Q537" s="206">
        <v>630</v>
      </c>
      <c r="R537" s="207">
        <v>10000</v>
      </c>
      <c r="S537" s="207">
        <f t="shared" si="178"/>
        <v>6300000</v>
      </c>
      <c r="T537" s="589"/>
      <c r="U537" s="157">
        <v>10000</v>
      </c>
      <c r="V537" s="158">
        <f t="shared" si="173"/>
        <v>6900</v>
      </c>
      <c r="W537" s="159">
        <f t="shared" si="179"/>
        <v>3100</v>
      </c>
      <c r="X537" s="159">
        <f t="shared" si="180"/>
        <v>1953000</v>
      </c>
      <c r="Y537" s="160"/>
      <c r="Z537" s="160">
        <f t="shared" si="181"/>
        <v>0</v>
      </c>
      <c r="AA537" s="165"/>
      <c r="AB537" s="161">
        <f t="shared" si="182"/>
        <v>0</v>
      </c>
      <c r="AC537" s="162"/>
      <c r="AD537" s="162">
        <f t="shared" si="174"/>
        <v>0</v>
      </c>
      <c r="AE537" s="164">
        <v>3100</v>
      </c>
      <c r="AF537" s="164">
        <f t="shared" si="175"/>
        <v>1953000</v>
      </c>
      <c r="AG537" s="165"/>
      <c r="AH537" s="165">
        <f t="shared" si="176"/>
        <v>0</v>
      </c>
      <c r="AI537" s="166">
        <v>0</v>
      </c>
      <c r="AJ537" s="166">
        <f t="shared" si="177"/>
        <v>0</v>
      </c>
      <c r="AK537" s="162"/>
      <c r="AL537" s="162">
        <f t="shared" si="188"/>
        <v>0</v>
      </c>
      <c r="AM537" s="173"/>
      <c r="AN537" s="167">
        <f t="shared" si="183"/>
        <v>0</v>
      </c>
      <c r="AO537" s="163"/>
      <c r="AP537" s="163">
        <f t="shared" si="184"/>
        <v>0</v>
      </c>
      <c r="AQ537" s="168"/>
      <c r="AR537" s="168">
        <f t="shared" si="185"/>
        <v>0</v>
      </c>
      <c r="AS537" s="170"/>
      <c r="AT537" s="170">
        <f t="shared" si="186"/>
        <v>0</v>
      </c>
      <c r="AU537" s="166"/>
      <c r="AV537" s="166">
        <f t="shared" si="187"/>
        <v>0</v>
      </c>
    </row>
    <row r="538" spans="1:48" s="131" customFormat="1" ht="31.5">
      <c r="A538" s="148" t="s">
        <v>7793</v>
      </c>
      <c r="B538" s="150" t="s">
        <v>5162</v>
      </c>
      <c r="C538" s="150" t="s">
        <v>5163</v>
      </c>
      <c r="D538" s="240" t="s">
        <v>7794</v>
      </c>
      <c r="E538" s="590"/>
      <c r="F538" s="203" t="s">
        <v>1220</v>
      </c>
      <c r="G538" s="204" t="s">
        <v>267</v>
      </c>
      <c r="H538" s="204">
        <v>3</v>
      </c>
      <c r="I538" s="203" t="s">
        <v>7795</v>
      </c>
      <c r="J538" s="205" t="s">
        <v>7796</v>
      </c>
      <c r="K538" s="203" t="s">
        <v>5104</v>
      </c>
      <c r="L538" s="205" t="s">
        <v>7797</v>
      </c>
      <c r="M538" s="205" t="s">
        <v>7798</v>
      </c>
      <c r="N538" s="204" t="s">
        <v>213</v>
      </c>
      <c r="O538" s="204" t="s">
        <v>11</v>
      </c>
      <c r="P538" s="206">
        <v>1350</v>
      </c>
      <c r="Q538" s="206">
        <v>287</v>
      </c>
      <c r="R538" s="207">
        <v>50000</v>
      </c>
      <c r="S538" s="207">
        <f t="shared" si="178"/>
        <v>14350000</v>
      </c>
      <c r="T538" s="589"/>
      <c r="U538" s="157">
        <v>50000</v>
      </c>
      <c r="V538" s="158">
        <f t="shared" si="173"/>
        <v>50000</v>
      </c>
      <c r="W538" s="159">
        <f t="shared" si="179"/>
        <v>0</v>
      </c>
      <c r="X538" s="159">
        <f t="shared" si="180"/>
        <v>0</v>
      </c>
      <c r="Y538" s="160"/>
      <c r="Z538" s="160">
        <f t="shared" si="181"/>
        <v>0</v>
      </c>
      <c r="AA538" s="165"/>
      <c r="AB538" s="161">
        <f t="shared" si="182"/>
        <v>0</v>
      </c>
      <c r="AC538" s="162"/>
      <c r="AD538" s="162">
        <f t="shared" si="174"/>
        <v>0</v>
      </c>
      <c r="AE538" s="164"/>
      <c r="AF538" s="164">
        <f t="shared" si="175"/>
        <v>0</v>
      </c>
      <c r="AG538" s="165"/>
      <c r="AH538" s="165">
        <f t="shared" si="176"/>
        <v>0</v>
      </c>
      <c r="AI538" s="166">
        <v>0</v>
      </c>
      <c r="AJ538" s="166">
        <f t="shared" si="177"/>
        <v>0</v>
      </c>
      <c r="AK538" s="162"/>
      <c r="AL538" s="162">
        <f t="shared" si="188"/>
        <v>0</v>
      </c>
      <c r="AM538" s="173"/>
      <c r="AN538" s="167">
        <f t="shared" si="183"/>
        <v>0</v>
      </c>
      <c r="AO538" s="163"/>
      <c r="AP538" s="163">
        <f t="shared" si="184"/>
        <v>0</v>
      </c>
      <c r="AQ538" s="168"/>
      <c r="AR538" s="168">
        <f t="shared" si="185"/>
        <v>0</v>
      </c>
      <c r="AS538" s="170"/>
      <c r="AT538" s="170">
        <f t="shared" si="186"/>
        <v>0</v>
      </c>
      <c r="AU538" s="166"/>
      <c r="AV538" s="166">
        <f t="shared" si="187"/>
        <v>0</v>
      </c>
    </row>
    <row r="539" spans="1:48" s="131" customFormat="1" ht="94.5">
      <c r="A539" s="250">
        <v>80</v>
      </c>
      <c r="B539" s="244" t="s">
        <v>8836</v>
      </c>
      <c r="C539" s="244" t="s">
        <v>1713</v>
      </c>
      <c r="D539" s="250" t="s">
        <v>8837</v>
      </c>
      <c r="E539" s="241"/>
      <c r="F539" s="242" t="s">
        <v>8838</v>
      </c>
      <c r="G539" s="244" t="s">
        <v>8839</v>
      </c>
      <c r="H539" s="244" t="s">
        <v>211</v>
      </c>
      <c r="I539" s="244" t="s">
        <v>8840</v>
      </c>
      <c r="J539" s="244" t="s">
        <v>8841</v>
      </c>
      <c r="K539" s="244" t="s">
        <v>6049</v>
      </c>
      <c r="L539" s="241" t="s">
        <v>8842</v>
      </c>
      <c r="M539" s="244" t="s">
        <v>8843</v>
      </c>
      <c r="N539" s="241" t="s">
        <v>213</v>
      </c>
      <c r="O539" s="241" t="s">
        <v>13</v>
      </c>
      <c r="P539" s="245">
        <v>7348</v>
      </c>
      <c r="Q539" s="245">
        <v>7348</v>
      </c>
      <c r="R539" s="246">
        <v>5000</v>
      </c>
      <c r="S539" s="245">
        <f t="shared" si="178"/>
        <v>36740000</v>
      </c>
      <c r="T539" s="589"/>
      <c r="U539" s="244"/>
      <c r="V539" s="247">
        <f>R539-W539</f>
        <v>5000</v>
      </c>
      <c r="W539" s="159">
        <f t="shared" si="179"/>
        <v>0</v>
      </c>
      <c r="X539" s="159">
        <f t="shared" si="180"/>
        <v>0</v>
      </c>
      <c r="Y539" s="248"/>
      <c r="Z539" s="160">
        <f t="shared" si="181"/>
        <v>0</v>
      </c>
      <c r="AA539" s="248"/>
      <c r="AB539" s="161">
        <f t="shared" si="182"/>
        <v>0</v>
      </c>
      <c r="AC539" s="249"/>
      <c r="AD539" s="249"/>
      <c r="AE539" s="249"/>
      <c r="AF539" s="249"/>
      <c r="AG539" s="249"/>
      <c r="AH539" s="249"/>
      <c r="AI539" s="249"/>
      <c r="AJ539" s="249"/>
      <c r="AK539" s="249"/>
      <c r="AL539" s="162">
        <f t="shared" si="188"/>
        <v>0</v>
      </c>
      <c r="AM539" s="249"/>
      <c r="AN539" s="167">
        <f t="shared" si="183"/>
        <v>0</v>
      </c>
      <c r="AO539" s="249"/>
      <c r="AP539" s="163">
        <f t="shared" si="184"/>
        <v>0</v>
      </c>
      <c r="AQ539" s="249"/>
      <c r="AR539" s="168">
        <f t="shared" si="185"/>
        <v>0</v>
      </c>
      <c r="AS539" s="249"/>
      <c r="AT539" s="170">
        <f t="shared" si="186"/>
        <v>0</v>
      </c>
      <c r="AU539" s="249"/>
      <c r="AV539" s="166">
        <f t="shared" si="187"/>
        <v>0</v>
      </c>
    </row>
    <row r="540" spans="1:48" ht="47.25">
      <c r="A540" s="250">
        <v>83</v>
      </c>
      <c r="B540" s="244" t="s">
        <v>8836</v>
      </c>
      <c r="C540" s="244" t="s">
        <v>1713</v>
      </c>
      <c r="D540" s="250" t="s">
        <v>8856</v>
      </c>
      <c r="E540" s="241"/>
      <c r="F540" s="242" t="s">
        <v>8857</v>
      </c>
      <c r="G540" s="244" t="s">
        <v>8858</v>
      </c>
      <c r="H540" s="244" t="s">
        <v>211</v>
      </c>
      <c r="I540" s="244" t="s">
        <v>8859</v>
      </c>
      <c r="J540" s="244" t="s">
        <v>8860</v>
      </c>
      <c r="K540" s="244" t="s">
        <v>253</v>
      </c>
      <c r="L540" s="241" t="s">
        <v>8861</v>
      </c>
      <c r="M540" s="244" t="s">
        <v>8559</v>
      </c>
      <c r="N540" s="241" t="s">
        <v>213</v>
      </c>
      <c r="O540" s="241" t="s">
        <v>13</v>
      </c>
      <c r="P540" s="245">
        <v>7200</v>
      </c>
      <c r="Q540" s="245">
        <v>6800</v>
      </c>
      <c r="R540" s="246">
        <v>20000</v>
      </c>
      <c r="S540" s="245">
        <f t="shared" si="178"/>
        <v>136000000</v>
      </c>
      <c r="T540" s="589"/>
      <c r="U540" s="244"/>
      <c r="V540" s="247">
        <f>R540-W540</f>
        <v>20000</v>
      </c>
      <c r="W540" s="159">
        <f t="shared" si="179"/>
        <v>0</v>
      </c>
      <c r="X540" s="159">
        <f t="shared" si="180"/>
        <v>0</v>
      </c>
      <c r="Y540" s="248"/>
      <c r="Z540" s="160">
        <f t="shared" si="181"/>
        <v>0</v>
      </c>
      <c r="AA540" s="248"/>
      <c r="AB540" s="161">
        <f t="shared" si="182"/>
        <v>0</v>
      </c>
      <c r="AC540" s="249"/>
      <c r="AD540" s="249"/>
      <c r="AE540" s="249"/>
      <c r="AF540" s="249"/>
      <c r="AG540" s="249"/>
      <c r="AH540" s="249"/>
      <c r="AI540" s="249"/>
      <c r="AJ540" s="249"/>
      <c r="AK540" s="249"/>
      <c r="AL540" s="162">
        <f t="shared" si="188"/>
        <v>0</v>
      </c>
      <c r="AM540" s="249"/>
      <c r="AN540" s="167">
        <f t="shared" si="183"/>
        <v>0</v>
      </c>
      <c r="AO540" s="249"/>
      <c r="AP540" s="163">
        <f t="shared" si="184"/>
        <v>0</v>
      </c>
      <c r="AQ540" s="249"/>
      <c r="AR540" s="168">
        <f t="shared" si="185"/>
        <v>0</v>
      </c>
      <c r="AS540" s="249"/>
      <c r="AT540" s="170">
        <f t="shared" si="186"/>
        <v>0</v>
      </c>
      <c r="AU540" s="249"/>
      <c r="AV540" s="166">
        <f t="shared" si="187"/>
        <v>0</v>
      </c>
    </row>
    <row r="541" spans="1:48" ht="31.5">
      <c r="A541" s="172" t="s">
        <v>7156</v>
      </c>
      <c r="B541" s="149" t="s">
        <v>7157</v>
      </c>
      <c r="C541" s="149" t="s">
        <v>7158</v>
      </c>
      <c r="D541" s="608" t="s">
        <v>4970</v>
      </c>
      <c r="E541" s="591" t="s">
        <v>12643</v>
      </c>
      <c r="F541" s="235" t="s">
        <v>1127</v>
      </c>
      <c r="G541" s="236" t="s">
        <v>4972</v>
      </c>
      <c r="H541" s="204">
        <v>3</v>
      </c>
      <c r="I541" s="223" t="s">
        <v>4971</v>
      </c>
      <c r="J541" s="225" t="s">
        <v>7159</v>
      </c>
      <c r="K541" s="223" t="s">
        <v>5104</v>
      </c>
      <c r="L541" s="225" t="s">
        <v>7160</v>
      </c>
      <c r="M541" s="225" t="s">
        <v>7161</v>
      </c>
      <c r="N541" s="224" t="s">
        <v>213</v>
      </c>
      <c r="O541" s="204" t="s">
        <v>11</v>
      </c>
      <c r="P541" s="226">
        <v>1100</v>
      </c>
      <c r="Q541" s="226">
        <v>735</v>
      </c>
      <c r="R541" s="207">
        <v>50000</v>
      </c>
      <c r="S541" s="207">
        <f t="shared" si="178"/>
        <v>36750000</v>
      </c>
      <c r="T541" s="589"/>
      <c r="U541" s="157">
        <v>50000</v>
      </c>
      <c r="V541" s="158">
        <f>U541-W541</f>
        <v>0</v>
      </c>
      <c r="W541" s="159">
        <f t="shared" si="179"/>
        <v>50000</v>
      </c>
      <c r="X541" s="159">
        <f t="shared" si="180"/>
        <v>36750000</v>
      </c>
      <c r="Y541" s="160"/>
      <c r="Z541" s="160">
        <f t="shared" si="181"/>
        <v>0</v>
      </c>
      <c r="AA541" s="165">
        <v>50000</v>
      </c>
      <c r="AB541" s="161">
        <f t="shared" si="182"/>
        <v>36750000</v>
      </c>
      <c r="AC541" s="162"/>
      <c r="AD541" s="162">
        <f>AC541*Q541</f>
        <v>0</v>
      </c>
      <c r="AE541" s="164"/>
      <c r="AF541" s="164">
        <f>AE541*Q541</f>
        <v>0</v>
      </c>
      <c r="AG541" s="165"/>
      <c r="AH541" s="165">
        <f>AG541*Q541</f>
        <v>0</v>
      </c>
      <c r="AI541" s="166">
        <v>0</v>
      </c>
      <c r="AJ541" s="166">
        <f>AI541*Q541</f>
        <v>0</v>
      </c>
      <c r="AK541" s="162"/>
      <c r="AL541" s="162">
        <f t="shared" si="188"/>
        <v>0</v>
      </c>
      <c r="AM541" s="173"/>
      <c r="AN541" s="167">
        <f t="shared" si="183"/>
        <v>0</v>
      </c>
      <c r="AO541" s="163"/>
      <c r="AP541" s="163">
        <f t="shared" si="184"/>
        <v>0</v>
      </c>
      <c r="AQ541" s="168"/>
      <c r="AR541" s="168">
        <f t="shared" si="185"/>
        <v>0</v>
      </c>
      <c r="AS541" s="170"/>
      <c r="AT541" s="170">
        <f t="shared" si="186"/>
        <v>0</v>
      </c>
      <c r="AU541" s="166"/>
      <c r="AV541" s="166">
        <f t="shared" si="187"/>
        <v>0</v>
      </c>
    </row>
    <row r="542" spans="1:48" ht="31.5">
      <c r="A542" s="148" t="s">
        <v>7474</v>
      </c>
      <c r="B542" s="149" t="s">
        <v>7157</v>
      </c>
      <c r="C542" s="149" t="s">
        <v>7158</v>
      </c>
      <c r="D542" s="240" t="s">
        <v>7475</v>
      </c>
      <c r="E542" s="590" t="s">
        <v>12642</v>
      </c>
      <c r="F542" s="203" t="s">
        <v>5985</v>
      </c>
      <c r="G542" s="204" t="s">
        <v>5986</v>
      </c>
      <c r="H542" s="204">
        <v>3</v>
      </c>
      <c r="I542" s="203" t="s">
        <v>7476</v>
      </c>
      <c r="J542" s="205" t="s">
        <v>7477</v>
      </c>
      <c r="K542" s="203" t="s">
        <v>5104</v>
      </c>
      <c r="L542" s="205" t="s">
        <v>7478</v>
      </c>
      <c r="M542" s="205" t="s">
        <v>7161</v>
      </c>
      <c r="N542" s="204" t="s">
        <v>213</v>
      </c>
      <c r="O542" s="204" t="s">
        <v>11</v>
      </c>
      <c r="P542" s="206">
        <v>6000</v>
      </c>
      <c r="Q542" s="206">
        <v>4200</v>
      </c>
      <c r="R542" s="207">
        <v>2000</v>
      </c>
      <c r="S542" s="207">
        <f t="shared" si="178"/>
        <v>8400000</v>
      </c>
      <c r="T542" s="589"/>
      <c r="U542" s="157">
        <v>2000</v>
      </c>
      <c r="V542" s="158">
        <f>U542-W542</f>
        <v>2000</v>
      </c>
      <c r="W542" s="159">
        <f t="shared" si="179"/>
        <v>0</v>
      </c>
      <c r="X542" s="159">
        <f t="shared" si="180"/>
        <v>0</v>
      </c>
      <c r="Y542" s="160"/>
      <c r="Z542" s="160">
        <f t="shared" si="181"/>
        <v>0</v>
      </c>
      <c r="AA542" s="165"/>
      <c r="AB542" s="161">
        <f t="shared" si="182"/>
        <v>0</v>
      </c>
      <c r="AC542" s="162"/>
      <c r="AD542" s="162">
        <f>AC542*Q542</f>
        <v>0</v>
      </c>
      <c r="AE542" s="164"/>
      <c r="AF542" s="164">
        <f>AE542*Q542</f>
        <v>0</v>
      </c>
      <c r="AG542" s="165"/>
      <c r="AH542" s="165">
        <f>AG542*Q542</f>
        <v>0</v>
      </c>
      <c r="AI542" s="166">
        <v>0</v>
      </c>
      <c r="AJ542" s="166">
        <f>AI542*Q542</f>
        <v>0</v>
      </c>
      <c r="AK542" s="162"/>
      <c r="AL542" s="162">
        <f t="shared" si="188"/>
        <v>0</v>
      </c>
      <c r="AM542" s="173"/>
      <c r="AN542" s="167">
        <f t="shared" si="183"/>
        <v>0</v>
      </c>
      <c r="AO542" s="163"/>
      <c r="AP542" s="163">
        <f t="shared" si="184"/>
        <v>0</v>
      </c>
      <c r="AQ542" s="168"/>
      <c r="AR542" s="168">
        <f t="shared" si="185"/>
        <v>0</v>
      </c>
      <c r="AS542" s="170"/>
      <c r="AT542" s="170">
        <f t="shared" si="186"/>
        <v>0</v>
      </c>
      <c r="AU542" s="166"/>
      <c r="AV542" s="166">
        <f t="shared" si="187"/>
        <v>0</v>
      </c>
    </row>
    <row r="543" spans="1:48" ht="31.5">
      <c r="A543" s="148" t="s">
        <v>7526</v>
      </c>
      <c r="B543" s="149" t="s">
        <v>7157</v>
      </c>
      <c r="C543" s="149" t="s">
        <v>7158</v>
      </c>
      <c r="D543" s="240" t="s">
        <v>5019</v>
      </c>
      <c r="E543" s="590" t="s">
        <v>12643</v>
      </c>
      <c r="F543" s="203" t="s">
        <v>1550</v>
      </c>
      <c r="G543" s="204" t="s">
        <v>5021</v>
      </c>
      <c r="H543" s="204">
        <v>3</v>
      </c>
      <c r="I543" s="203" t="s">
        <v>5020</v>
      </c>
      <c r="J543" s="205" t="s">
        <v>7527</v>
      </c>
      <c r="K543" s="203" t="s">
        <v>5104</v>
      </c>
      <c r="L543" s="205" t="s">
        <v>7528</v>
      </c>
      <c r="M543" s="205" t="s">
        <v>7161</v>
      </c>
      <c r="N543" s="204" t="s">
        <v>213</v>
      </c>
      <c r="O543" s="204" t="s">
        <v>11</v>
      </c>
      <c r="P543" s="206">
        <v>900</v>
      </c>
      <c r="Q543" s="206">
        <v>470</v>
      </c>
      <c r="R543" s="207">
        <v>50000</v>
      </c>
      <c r="S543" s="207">
        <f t="shared" si="178"/>
        <v>23500000</v>
      </c>
      <c r="T543" s="589"/>
      <c r="U543" s="157">
        <v>50000</v>
      </c>
      <c r="V543" s="158">
        <f>U543-W543</f>
        <v>46500</v>
      </c>
      <c r="W543" s="159">
        <f t="shared" si="179"/>
        <v>3500</v>
      </c>
      <c r="X543" s="159">
        <f t="shared" si="180"/>
        <v>1645000</v>
      </c>
      <c r="Y543" s="160"/>
      <c r="Z543" s="160">
        <f t="shared" si="181"/>
        <v>0</v>
      </c>
      <c r="AA543" s="165">
        <v>2000</v>
      </c>
      <c r="AB543" s="161">
        <f t="shared" si="182"/>
        <v>940000</v>
      </c>
      <c r="AC543" s="162"/>
      <c r="AD543" s="162">
        <f>AC543*Q543</f>
        <v>0</v>
      </c>
      <c r="AE543" s="164"/>
      <c r="AF543" s="164">
        <f>AE543*Q543</f>
        <v>0</v>
      </c>
      <c r="AG543" s="165"/>
      <c r="AH543" s="165">
        <f>AG543*Q543</f>
        <v>0</v>
      </c>
      <c r="AI543" s="166">
        <v>0</v>
      </c>
      <c r="AJ543" s="166">
        <f>AI543*Q543</f>
        <v>0</v>
      </c>
      <c r="AK543" s="162"/>
      <c r="AL543" s="162">
        <f t="shared" si="188"/>
        <v>0</v>
      </c>
      <c r="AM543" s="173">
        <v>1000</v>
      </c>
      <c r="AN543" s="167">
        <f t="shared" si="183"/>
        <v>470000</v>
      </c>
      <c r="AO543" s="163"/>
      <c r="AP543" s="163">
        <f t="shared" si="184"/>
        <v>0</v>
      </c>
      <c r="AQ543" s="168"/>
      <c r="AR543" s="168">
        <f t="shared" si="185"/>
        <v>0</v>
      </c>
      <c r="AS543" s="170">
        <v>500</v>
      </c>
      <c r="AT543" s="170">
        <f t="shared" si="186"/>
        <v>235000</v>
      </c>
      <c r="AU543" s="166"/>
      <c r="AV543" s="166">
        <f t="shared" si="187"/>
        <v>0</v>
      </c>
    </row>
    <row r="544" spans="1:48" ht="63">
      <c r="A544" s="250">
        <v>8</v>
      </c>
      <c r="B544" s="149" t="s">
        <v>7157</v>
      </c>
      <c r="C544" s="149" t="s">
        <v>7158</v>
      </c>
      <c r="D544" s="250" t="s">
        <v>4687</v>
      </c>
      <c r="E544" s="241"/>
      <c r="F544" s="242" t="s">
        <v>8537</v>
      </c>
      <c r="G544" s="244" t="s">
        <v>8538</v>
      </c>
      <c r="H544" s="244" t="s">
        <v>211</v>
      </c>
      <c r="I544" s="244" t="s">
        <v>4688</v>
      </c>
      <c r="J544" s="244" t="s">
        <v>8539</v>
      </c>
      <c r="K544" s="244" t="s">
        <v>6592</v>
      </c>
      <c r="L544" s="241" t="s">
        <v>8540</v>
      </c>
      <c r="M544" s="244" t="s">
        <v>8541</v>
      </c>
      <c r="N544" s="241" t="s">
        <v>8542</v>
      </c>
      <c r="O544" s="241" t="s">
        <v>11</v>
      </c>
      <c r="P544" s="245">
        <v>525</v>
      </c>
      <c r="Q544" s="245">
        <v>315</v>
      </c>
      <c r="R544" s="246">
        <v>100000</v>
      </c>
      <c r="S544" s="245">
        <f t="shared" si="178"/>
        <v>31500000</v>
      </c>
      <c r="T544" s="589"/>
      <c r="U544" s="244"/>
      <c r="V544" s="247">
        <f>R544-W544</f>
        <v>56500</v>
      </c>
      <c r="W544" s="159">
        <f t="shared" si="179"/>
        <v>43500</v>
      </c>
      <c r="X544" s="159">
        <f t="shared" si="180"/>
        <v>13702500</v>
      </c>
      <c r="Y544" s="248"/>
      <c r="Z544" s="160">
        <f t="shared" si="181"/>
        <v>0</v>
      </c>
      <c r="AA544" s="248"/>
      <c r="AB544" s="161">
        <f t="shared" si="182"/>
        <v>0</v>
      </c>
      <c r="AC544" s="249"/>
      <c r="AD544" s="249"/>
      <c r="AE544" s="249"/>
      <c r="AF544" s="249"/>
      <c r="AG544" s="249"/>
      <c r="AH544" s="249"/>
      <c r="AI544" s="249"/>
      <c r="AJ544" s="249"/>
      <c r="AK544" s="249"/>
      <c r="AL544" s="162">
        <f t="shared" si="188"/>
        <v>0</v>
      </c>
      <c r="AM544" s="249">
        <v>12000</v>
      </c>
      <c r="AN544" s="167">
        <f t="shared" si="183"/>
        <v>3780000</v>
      </c>
      <c r="AO544" s="249"/>
      <c r="AP544" s="163">
        <f t="shared" si="184"/>
        <v>0</v>
      </c>
      <c r="AQ544" s="249"/>
      <c r="AR544" s="168">
        <f t="shared" si="185"/>
        <v>0</v>
      </c>
      <c r="AS544" s="249">
        <v>31500</v>
      </c>
      <c r="AT544" s="170">
        <f t="shared" si="186"/>
        <v>9922500</v>
      </c>
      <c r="AU544" s="249"/>
      <c r="AV544" s="166">
        <f t="shared" si="187"/>
        <v>0</v>
      </c>
    </row>
    <row r="545" spans="1:48" s="115" customFormat="1" ht="31.5">
      <c r="A545" s="172" t="s">
        <v>5300</v>
      </c>
      <c r="B545" s="150" t="s">
        <v>5301</v>
      </c>
      <c r="C545" s="150" t="s">
        <v>5302</v>
      </c>
      <c r="D545" s="634" t="s">
        <v>4928</v>
      </c>
      <c r="E545" s="631"/>
      <c r="F545" s="175" t="s">
        <v>395</v>
      </c>
      <c r="G545" s="151" t="s">
        <v>267</v>
      </c>
      <c r="H545" s="174" t="s">
        <v>210</v>
      </c>
      <c r="I545" s="150" t="s">
        <v>4929</v>
      </c>
      <c r="J545" s="153" t="s">
        <v>5303</v>
      </c>
      <c r="K545" s="151" t="s">
        <v>5104</v>
      </c>
      <c r="L545" s="151" t="s">
        <v>5304</v>
      </c>
      <c r="M545" s="151" t="s">
        <v>479</v>
      </c>
      <c r="N545" s="152" t="s">
        <v>213</v>
      </c>
      <c r="O545" s="152" t="s">
        <v>10</v>
      </c>
      <c r="P545" s="176">
        <v>3400</v>
      </c>
      <c r="Q545" s="177">
        <v>1095</v>
      </c>
      <c r="R545" s="176">
        <v>212000</v>
      </c>
      <c r="S545" s="156">
        <f t="shared" si="178"/>
        <v>232140000</v>
      </c>
      <c r="T545" s="589"/>
      <c r="U545" s="157">
        <v>192000</v>
      </c>
      <c r="V545" s="158">
        <f t="shared" ref="V545:V559" si="189">U545-W545</f>
        <v>172000</v>
      </c>
      <c r="W545" s="159">
        <f t="shared" si="179"/>
        <v>20000</v>
      </c>
      <c r="X545" s="159">
        <f t="shared" si="180"/>
        <v>21900000</v>
      </c>
      <c r="Y545" s="160"/>
      <c r="Z545" s="160">
        <f t="shared" si="181"/>
        <v>0</v>
      </c>
      <c r="AA545" s="165"/>
      <c r="AB545" s="161">
        <f t="shared" si="182"/>
        <v>0</v>
      </c>
      <c r="AC545" s="162"/>
      <c r="AD545" s="162">
        <f t="shared" ref="AD545:AD559" si="190">AC545*Q545</f>
        <v>0</v>
      </c>
      <c r="AE545" s="164"/>
      <c r="AF545" s="164">
        <f t="shared" ref="AF545:AF559" si="191">AE545*Q545</f>
        <v>0</v>
      </c>
      <c r="AG545" s="165"/>
      <c r="AH545" s="165">
        <f t="shared" ref="AH545:AH559" si="192">AG545*Q545</f>
        <v>0</v>
      </c>
      <c r="AI545" s="166">
        <v>0</v>
      </c>
      <c r="AJ545" s="166">
        <f t="shared" ref="AJ545:AJ559" si="193">AI545*Q545</f>
        <v>0</v>
      </c>
      <c r="AK545" s="162"/>
      <c r="AL545" s="162">
        <f t="shared" si="188"/>
        <v>0</v>
      </c>
      <c r="AM545" s="173">
        <v>10000</v>
      </c>
      <c r="AN545" s="167">
        <f t="shared" si="183"/>
        <v>10950000</v>
      </c>
      <c r="AO545" s="163"/>
      <c r="AP545" s="163">
        <f t="shared" si="184"/>
        <v>0</v>
      </c>
      <c r="AQ545" s="168"/>
      <c r="AR545" s="168">
        <f t="shared" si="185"/>
        <v>0</v>
      </c>
      <c r="AS545" s="170"/>
      <c r="AT545" s="170">
        <f t="shared" si="186"/>
        <v>0</v>
      </c>
      <c r="AU545" s="166">
        <v>10000</v>
      </c>
      <c r="AV545" s="166">
        <f t="shared" si="187"/>
        <v>10950000</v>
      </c>
    </row>
    <row r="546" spans="1:48" s="115" customFormat="1" ht="31.5">
      <c r="A546" s="148" t="s">
        <v>5318</v>
      </c>
      <c r="B546" s="150" t="s">
        <v>5301</v>
      </c>
      <c r="C546" s="150" t="s">
        <v>5302</v>
      </c>
      <c r="D546" s="634" t="s">
        <v>5319</v>
      </c>
      <c r="E546" s="631" t="s">
        <v>12642</v>
      </c>
      <c r="F546" s="175" t="s">
        <v>329</v>
      </c>
      <c r="G546" s="151" t="s">
        <v>262</v>
      </c>
      <c r="H546" s="174" t="s">
        <v>210</v>
      </c>
      <c r="I546" s="150" t="s">
        <v>480</v>
      </c>
      <c r="J546" s="153" t="s">
        <v>5320</v>
      </c>
      <c r="K546" s="151" t="s">
        <v>5104</v>
      </c>
      <c r="L546" s="151" t="s">
        <v>5321</v>
      </c>
      <c r="M546" s="151" t="s">
        <v>479</v>
      </c>
      <c r="N546" s="152" t="s">
        <v>213</v>
      </c>
      <c r="O546" s="152" t="s">
        <v>10</v>
      </c>
      <c r="P546" s="176">
        <v>750</v>
      </c>
      <c r="Q546" s="177">
        <v>750</v>
      </c>
      <c r="R546" s="176">
        <v>150000</v>
      </c>
      <c r="S546" s="156">
        <f t="shared" si="178"/>
        <v>112500000</v>
      </c>
      <c r="T546" s="589"/>
      <c r="U546" s="157">
        <v>138000</v>
      </c>
      <c r="V546" s="158">
        <f t="shared" si="189"/>
        <v>138000</v>
      </c>
      <c r="W546" s="159">
        <f t="shared" si="179"/>
        <v>0</v>
      </c>
      <c r="X546" s="159">
        <f t="shared" si="180"/>
        <v>0</v>
      </c>
      <c r="Y546" s="160"/>
      <c r="Z546" s="160">
        <f t="shared" si="181"/>
        <v>0</v>
      </c>
      <c r="AA546" s="165"/>
      <c r="AB546" s="161">
        <f t="shared" si="182"/>
        <v>0</v>
      </c>
      <c r="AC546" s="162"/>
      <c r="AD546" s="162">
        <f t="shared" si="190"/>
        <v>0</v>
      </c>
      <c r="AE546" s="164"/>
      <c r="AF546" s="164">
        <f t="shared" si="191"/>
        <v>0</v>
      </c>
      <c r="AG546" s="165"/>
      <c r="AH546" s="165">
        <f t="shared" si="192"/>
        <v>0</v>
      </c>
      <c r="AI546" s="166">
        <v>0</v>
      </c>
      <c r="AJ546" s="166">
        <f t="shared" si="193"/>
        <v>0</v>
      </c>
      <c r="AK546" s="162"/>
      <c r="AL546" s="162">
        <f t="shared" si="188"/>
        <v>0</v>
      </c>
      <c r="AM546" s="173"/>
      <c r="AN546" s="167">
        <f t="shared" si="183"/>
        <v>0</v>
      </c>
      <c r="AO546" s="163"/>
      <c r="AP546" s="163">
        <f t="shared" si="184"/>
        <v>0</v>
      </c>
      <c r="AQ546" s="168"/>
      <c r="AR546" s="168">
        <f t="shared" si="185"/>
        <v>0</v>
      </c>
      <c r="AS546" s="170"/>
      <c r="AT546" s="170">
        <f t="shared" si="186"/>
        <v>0</v>
      </c>
      <c r="AU546" s="166"/>
      <c r="AV546" s="166">
        <f t="shared" si="187"/>
        <v>0</v>
      </c>
    </row>
    <row r="547" spans="1:48" s="115" customFormat="1" ht="31.5">
      <c r="A547" s="172" t="s">
        <v>5737</v>
      </c>
      <c r="B547" s="150" t="s">
        <v>5301</v>
      </c>
      <c r="C547" s="150" t="s">
        <v>5302</v>
      </c>
      <c r="D547" s="603" t="s">
        <v>5738</v>
      </c>
      <c r="E547" s="588"/>
      <c r="F547" s="183" t="s">
        <v>1302</v>
      </c>
      <c r="G547" s="182" t="s">
        <v>235</v>
      </c>
      <c r="H547" s="182" t="s">
        <v>5525</v>
      </c>
      <c r="I547" s="184" t="s">
        <v>5739</v>
      </c>
      <c r="J547" s="182" t="s">
        <v>5608</v>
      </c>
      <c r="K547" s="153" t="s">
        <v>5104</v>
      </c>
      <c r="L547" s="153" t="s">
        <v>5740</v>
      </c>
      <c r="M547" s="153" t="s">
        <v>5741</v>
      </c>
      <c r="N547" s="94" t="s">
        <v>213</v>
      </c>
      <c r="O547" s="185" t="s">
        <v>10</v>
      </c>
      <c r="P547" s="186"/>
      <c r="Q547" s="186">
        <v>1718</v>
      </c>
      <c r="R547" s="187">
        <v>20000</v>
      </c>
      <c r="S547" s="186">
        <f t="shared" si="178"/>
        <v>34360000</v>
      </c>
      <c r="T547" s="589"/>
      <c r="U547" s="157">
        <v>20000</v>
      </c>
      <c r="V547" s="158">
        <f t="shared" si="189"/>
        <v>20000</v>
      </c>
      <c r="W547" s="159">
        <f t="shared" si="179"/>
        <v>0</v>
      </c>
      <c r="X547" s="159">
        <f t="shared" si="180"/>
        <v>0</v>
      </c>
      <c r="Y547" s="160"/>
      <c r="Z547" s="160">
        <f t="shared" si="181"/>
        <v>0</v>
      </c>
      <c r="AA547" s="161"/>
      <c r="AB547" s="161">
        <f t="shared" si="182"/>
        <v>0</v>
      </c>
      <c r="AC547" s="162"/>
      <c r="AD547" s="162">
        <f t="shared" si="190"/>
        <v>0</v>
      </c>
      <c r="AE547" s="164"/>
      <c r="AF547" s="164">
        <f t="shared" si="191"/>
        <v>0</v>
      </c>
      <c r="AG547" s="165"/>
      <c r="AH547" s="165">
        <f t="shared" si="192"/>
        <v>0</v>
      </c>
      <c r="AI547" s="166">
        <v>0</v>
      </c>
      <c r="AJ547" s="166">
        <f t="shared" si="193"/>
        <v>0</v>
      </c>
      <c r="AK547" s="162"/>
      <c r="AL547" s="162">
        <f t="shared" si="188"/>
        <v>0</v>
      </c>
      <c r="AM547" s="167"/>
      <c r="AN547" s="167">
        <f t="shared" si="183"/>
        <v>0</v>
      </c>
      <c r="AO547" s="163"/>
      <c r="AP547" s="163">
        <f t="shared" si="184"/>
        <v>0</v>
      </c>
      <c r="AQ547" s="168"/>
      <c r="AR547" s="168">
        <f t="shared" si="185"/>
        <v>0</v>
      </c>
      <c r="AS547" s="170"/>
      <c r="AT547" s="170">
        <f t="shared" si="186"/>
        <v>0</v>
      </c>
      <c r="AU547" s="166"/>
      <c r="AV547" s="166">
        <f t="shared" si="187"/>
        <v>0</v>
      </c>
    </row>
    <row r="548" spans="1:48" s="115" customFormat="1" ht="31.5">
      <c r="A548" s="148" t="s">
        <v>6547</v>
      </c>
      <c r="B548" s="150" t="s">
        <v>5301</v>
      </c>
      <c r="C548" s="150" t="s">
        <v>5302</v>
      </c>
      <c r="D548" s="240" t="s">
        <v>6548</v>
      </c>
      <c r="E548" s="590"/>
      <c r="F548" s="203" t="s">
        <v>1179</v>
      </c>
      <c r="G548" s="204" t="s">
        <v>232</v>
      </c>
      <c r="H548" s="204">
        <v>2</v>
      </c>
      <c r="I548" s="203" t="s">
        <v>6549</v>
      </c>
      <c r="J548" s="205" t="s">
        <v>6550</v>
      </c>
      <c r="K548" s="203" t="s">
        <v>5104</v>
      </c>
      <c r="L548" s="205" t="s">
        <v>6551</v>
      </c>
      <c r="M548" s="205" t="s">
        <v>6552</v>
      </c>
      <c r="N548" s="204" t="s">
        <v>213</v>
      </c>
      <c r="O548" s="204" t="s">
        <v>11</v>
      </c>
      <c r="P548" s="206">
        <v>13500</v>
      </c>
      <c r="Q548" s="206">
        <v>5300</v>
      </c>
      <c r="R548" s="207">
        <v>10000</v>
      </c>
      <c r="S548" s="207">
        <f t="shared" si="178"/>
        <v>53000000</v>
      </c>
      <c r="T548" s="589"/>
      <c r="U548" s="157">
        <v>10000</v>
      </c>
      <c r="V548" s="158">
        <f t="shared" si="189"/>
        <v>10000</v>
      </c>
      <c r="W548" s="159">
        <f t="shared" si="179"/>
        <v>0</v>
      </c>
      <c r="X548" s="159">
        <f t="shared" si="180"/>
        <v>0</v>
      </c>
      <c r="Y548" s="160"/>
      <c r="Z548" s="160">
        <f t="shared" si="181"/>
        <v>0</v>
      </c>
      <c r="AA548" s="165"/>
      <c r="AB548" s="161">
        <f t="shared" si="182"/>
        <v>0</v>
      </c>
      <c r="AC548" s="162"/>
      <c r="AD548" s="162">
        <f t="shared" si="190"/>
        <v>0</v>
      </c>
      <c r="AE548" s="164"/>
      <c r="AF548" s="164">
        <f t="shared" si="191"/>
        <v>0</v>
      </c>
      <c r="AG548" s="165"/>
      <c r="AH548" s="165">
        <f t="shared" si="192"/>
        <v>0</v>
      </c>
      <c r="AI548" s="166">
        <v>0</v>
      </c>
      <c r="AJ548" s="166">
        <f t="shared" si="193"/>
        <v>0</v>
      </c>
      <c r="AK548" s="162"/>
      <c r="AL548" s="162">
        <f t="shared" si="188"/>
        <v>0</v>
      </c>
      <c r="AM548" s="173"/>
      <c r="AN548" s="167">
        <f t="shared" si="183"/>
        <v>0</v>
      </c>
      <c r="AO548" s="163"/>
      <c r="AP548" s="163">
        <f t="shared" si="184"/>
        <v>0</v>
      </c>
      <c r="AQ548" s="168"/>
      <c r="AR548" s="168">
        <f t="shared" si="185"/>
        <v>0</v>
      </c>
      <c r="AS548" s="170"/>
      <c r="AT548" s="170">
        <f t="shared" si="186"/>
        <v>0</v>
      </c>
      <c r="AU548" s="166"/>
      <c r="AV548" s="166">
        <f t="shared" si="187"/>
        <v>0</v>
      </c>
    </row>
    <row r="549" spans="1:48" s="115" customFormat="1" ht="31.5">
      <c r="A549" s="172" t="s">
        <v>6668</v>
      </c>
      <c r="B549" s="150" t="s">
        <v>5301</v>
      </c>
      <c r="C549" s="150" t="s">
        <v>5302</v>
      </c>
      <c r="D549" s="240" t="s">
        <v>4311</v>
      </c>
      <c r="E549" s="590" t="s">
        <v>12643</v>
      </c>
      <c r="F549" s="203" t="s">
        <v>592</v>
      </c>
      <c r="G549" s="204" t="s">
        <v>594</v>
      </c>
      <c r="H549" s="204">
        <v>2</v>
      </c>
      <c r="I549" s="203" t="s">
        <v>3368</v>
      </c>
      <c r="J549" s="205" t="s">
        <v>6669</v>
      </c>
      <c r="K549" s="203" t="s">
        <v>5104</v>
      </c>
      <c r="L549" s="205" t="s">
        <v>6670</v>
      </c>
      <c r="M549" s="205" t="s">
        <v>6552</v>
      </c>
      <c r="N549" s="204" t="s">
        <v>213</v>
      </c>
      <c r="O549" s="204" t="s">
        <v>11</v>
      </c>
      <c r="P549" s="206">
        <v>1400</v>
      </c>
      <c r="Q549" s="206">
        <v>599</v>
      </c>
      <c r="R549" s="207">
        <v>20000</v>
      </c>
      <c r="S549" s="207">
        <f t="shared" si="178"/>
        <v>11980000</v>
      </c>
      <c r="T549" s="589"/>
      <c r="U549" s="157">
        <v>20000</v>
      </c>
      <c r="V549" s="158">
        <f t="shared" si="189"/>
        <v>20</v>
      </c>
      <c r="W549" s="159">
        <f t="shared" si="179"/>
        <v>19980</v>
      </c>
      <c r="X549" s="159">
        <f t="shared" si="180"/>
        <v>11968020</v>
      </c>
      <c r="Y549" s="160"/>
      <c r="Z549" s="160">
        <f t="shared" si="181"/>
        <v>0</v>
      </c>
      <c r="AA549" s="165">
        <v>9990</v>
      </c>
      <c r="AB549" s="161">
        <f t="shared" si="182"/>
        <v>5984010</v>
      </c>
      <c r="AC549" s="162"/>
      <c r="AD549" s="162">
        <f t="shared" si="190"/>
        <v>0</v>
      </c>
      <c r="AE549" s="163"/>
      <c r="AF549" s="164">
        <f t="shared" si="191"/>
        <v>0</v>
      </c>
      <c r="AG549" s="161"/>
      <c r="AH549" s="165">
        <f t="shared" si="192"/>
        <v>0</v>
      </c>
      <c r="AI549" s="160">
        <v>0</v>
      </c>
      <c r="AJ549" s="166">
        <f t="shared" si="193"/>
        <v>0</v>
      </c>
      <c r="AK549" s="162"/>
      <c r="AL549" s="162">
        <f t="shared" si="188"/>
        <v>0</v>
      </c>
      <c r="AM549" s="173">
        <v>9990</v>
      </c>
      <c r="AN549" s="167">
        <f t="shared" si="183"/>
        <v>5984010</v>
      </c>
      <c r="AO549" s="163"/>
      <c r="AP549" s="163">
        <f t="shared" si="184"/>
        <v>0</v>
      </c>
      <c r="AQ549" s="162"/>
      <c r="AR549" s="168">
        <f t="shared" si="185"/>
        <v>0</v>
      </c>
      <c r="AS549" s="169"/>
      <c r="AT549" s="170">
        <f t="shared" si="186"/>
        <v>0</v>
      </c>
      <c r="AU549" s="160"/>
      <c r="AV549" s="166">
        <f t="shared" si="187"/>
        <v>0</v>
      </c>
    </row>
    <row r="550" spans="1:48" s="115" customFormat="1" ht="31.5">
      <c r="A550" s="148" t="s">
        <v>6681</v>
      </c>
      <c r="B550" s="150" t="s">
        <v>5301</v>
      </c>
      <c r="C550" s="150" t="s">
        <v>5302</v>
      </c>
      <c r="D550" s="240" t="s">
        <v>6682</v>
      </c>
      <c r="E550" s="590" t="s">
        <v>12642</v>
      </c>
      <c r="F550" s="203" t="s">
        <v>624</v>
      </c>
      <c r="G550" s="204" t="s">
        <v>625</v>
      </c>
      <c r="H550" s="204">
        <v>2</v>
      </c>
      <c r="I550" s="203" t="s">
        <v>1641</v>
      </c>
      <c r="J550" s="205" t="s">
        <v>6550</v>
      </c>
      <c r="K550" s="203" t="s">
        <v>5104</v>
      </c>
      <c r="L550" s="205" t="s">
        <v>1643</v>
      </c>
      <c r="M550" s="205" t="s">
        <v>6552</v>
      </c>
      <c r="N550" s="204" t="s">
        <v>213</v>
      </c>
      <c r="O550" s="204" t="s">
        <v>11</v>
      </c>
      <c r="P550" s="206">
        <v>1200</v>
      </c>
      <c r="Q550" s="206">
        <v>384</v>
      </c>
      <c r="R550" s="207">
        <v>20000</v>
      </c>
      <c r="S550" s="207">
        <f t="shared" si="178"/>
        <v>7680000</v>
      </c>
      <c r="T550" s="589"/>
      <c r="U550" s="157">
        <v>20000</v>
      </c>
      <c r="V550" s="158">
        <f t="shared" si="189"/>
        <v>20000</v>
      </c>
      <c r="W550" s="159">
        <f t="shared" si="179"/>
        <v>0</v>
      </c>
      <c r="X550" s="159">
        <f t="shared" si="180"/>
        <v>0</v>
      </c>
      <c r="Y550" s="160"/>
      <c r="Z550" s="160">
        <f t="shared" si="181"/>
        <v>0</v>
      </c>
      <c r="AA550" s="161"/>
      <c r="AB550" s="161">
        <f t="shared" si="182"/>
        <v>0</v>
      </c>
      <c r="AC550" s="162"/>
      <c r="AD550" s="162">
        <f t="shared" si="190"/>
        <v>0</v>
      </c>
      <c r="AE550" s="164"/>
      <c r="AF550" s="164">
        <f t="shared" si="191"/>
        <v>0</v>
      </c>
      <c r="AG550" s="165"/>
      <c r="AH550" s="165">
        <f t="shared" si="192"/>
        <v>0</v>
      </c>
      <c r="AI550" s="166">
        <v>0</v>
      </c>
      <c r="AJ550" s="166">
        <f t="shared" si="193"/>
        <v>0</v>
      </c>
      <c r="AK550" s="162"/>
      <c r="AL550" s="162">
        <f t="shared" si="188"/>
        <v>0</v>
      </c>
      <c r="AM550" s="167"/>
      <c r="AN550" s="167">
        <f t="shared" si="183"/>
        <v>0</v>
      </c>
      <c r="AO550" s="163"/>
      <c r="AP550" s="163">
        <f t="shared" si="184"/>
        <v>0</v>
      </c>
      <c r="AQ550" s="168"/>
      <c r="AR550" s="168">
        <f t="shared" si="185"/>
        <v>0</v>
      </c>
      <c r="AS550" s="170"/>
      <c r="AT550" s="170">
        <f t="shared" si="186"/>
        <v>0</v>
      </c>
      <c r="AU550" s="166"/>
      <c r="AV550" s="166">
        <f t="shared" si="187"/>
        <v>0</v>
      </c>
    </row>
    <row r="551" spans="1:48" s="115" customFormat="1" ht="31.5">
      <c r="A551" s="148" t="s">
        <v>6683</v>
      </c>
      <c r="B551" s="150" t="s">
        <v>5301</v>
      </c>
      <c r="C551" s="150" t="s">
        <v>5302</v>
      </c>
      <c r="D551" s="240" t="s">
        <v>6684</v>
      </c>
      <c r="E551" s="590" t="s">
        <v>12642</v>
      </c>
      <c r="F551" s="203" t="s">
        <v>624</v>
      </c>
      <c r="G551" s="204" t="s">
        <v>327</v>
      </c>
      <c r="H551" s="204">
        <v>2</v>
      </c>
      <c r="I551" s="203" t="s">
        <v>1645</v>
      </c>
      <c r="J551" s="205" t="s">
        <v>6550</v>
      </c>
      <c r="K551" s="203" t="s">
        <v>5104</v>
      </c>
      <c r="L551" s="205" t="s">
        <v>1646</v>
      </c>
      <c r="M551" s="205" t="s">
        <v>6552</v>
      </c>
      <c r="N551" s="204" t="s">
        <v>213</v>
      </c>
      <c r="O551" s="204" t="s">
        <v>11</v>
      </c>
      <c r="P551" s="206">
        <v>1500</v>
      </c>
      <c r="Q551" s="206">
        <v>484</v>
      </c>
      <c r="R551" s="207">
        <v>20000</v>
      </c>
      <c r="S551" s="207">
        <f t="shared" si="178"/>
        <v>9680000</v>
      </c>
      <c r="T551" s="589"/>
      <c r="U551" s="157">
        <v>20000</v>
      </c>
      <c r="V551" s="158">
        <f t="shared" si="189"/>
        <v>20000</v>
      </c>
      <c r="W551" s="159">
        <f t="shared" si="179"/>
        <v>0</v>
      </c>
      <c r="X551" s="159">
        <f t="shared" si="180"/>
        <v>0</v>
      </c>
      <c r="Y551" s="160"/>
      <c r="Z551" s="160">
        <f t="shared" si="181"/>
        <v>0</v>
      </c>
      <c r="AA551" s="161"/>
      <c r="AB551" s="161">
        <f t="shared" si="182"/>
        <v>0</v>
      </c>
      <c r="AC551" s="162"/>
      <c r="AD551" s="162">
        <f t="shared" si="190"/>
        <v>0</v>
      </c>
      <c r="AE551" s="164"/>
      <c r="AF551" s="164">
        <f t="shared" si="191"/>
        <v>0</v>
      </c>
      <c r="AG551" s="165"/>
      <c r="AH551" s="165">
        <f t="shared" si="192"/>
        <v>0</v>
      </c>
      <c r="AI551" s="166">
        <v>0</v>
      </c>
      <c r="AJ551" s="166">
        <f t="shared" si="193"/>
        <v>0</v>
      </c>
      <c r="AK551" s="162"/>
      <c r="AL551" s="162">
        <f t="shared" si="188"/>
        <v>0</v>
      </c>
      <c r="AM551" s="167"/>
      <c r="AN551" s="167">
        <f t="shared" si="183"/>
        <v>0</v>
      </c>
      <c r="AO551" s="163"/>
      <c r="AP551" s="163">
        <f t="shared" si="184"/>
        <v>0</v>
      </c>
      <c r="AQ551" s="168"/>
      <c r="AR551" s="168">
        <f t="shared" si="185"/>
        <v>0</v>
      </c>
      <c r="AS551" s="170"/>
      <c r="AT551" s="170">
        <f t="shared" si="186"/>
        <v>0</v>
      </c>
      <c r="AU551" s="166"/>
      <c r="AV551" s="166">
        <f t="shared" si="187"/>
        <v>0</v>
      </c>
    </row>
    <row r="552" spans="1:48" s="115" customFormat="1" ht="31.5">
      <c r="A552" s="148" t="s">
        <v>6695</v>
      </c>
      <c r="B552" s="150" t="s">
        <v>5301</v>
      </c>
      <c r="C552" s="150" t="s">
        <v>5302</v>
      </c>
      <c r="D552" s="240" t="s">
        <v>3840</v>
      </c>
      <c r="E552" s="590"/>
      <c r="F552" s="203" t="s">
        <v>706</v>
      </c>
      <c r="G552" s="204" t="s">
        <v>390</v>
      </c>
      <c r="H552" s="204">
        <v>2</v>
      </c>
      <c r="I552" s="203" t="s">
        <v>4302</v>
      </c>
      <c r="J552" s="205" t="s">
        <v>6550</v>
      </c>
      <c r="K552" s="203" t="s">
        <v>5104</v>
      </c>
      <c r="L552" s="205" t="s">
        <v>6696</v>
      </c>
      <c r="M552" s="205" t="s">
        <v>6552</v>
      </c>
      <c r="N552" s="204" t="s">
        <v>213</v>
      </c>
      <c r="O552" s="204" t="s">
        <v>11</v>
      </c>
      <c r="P552" s="206">
        <v>3000</v>
      </c>
      <c r="Q552" s="206">
        <v>1530</v>
      </c>
      <c r="R552" s="207">
        <v>10000</v>
      </c>
      <c r="S552" s="207">
        <f t="shared" si="178"/>
        <v>15300000</v>
      </c>
      <c r="T552" s="589"/>
      <c r="U552" s="157">
        <v>10000</v>
      </c>
      <c r="V552" s="158">
        <f t="shared" si="189"/>
        <v>10</v>
      </c>
      <c r="W552" s="159">
        <f t="shared" si="179"/>
        <v>9990</v>
      </c>
      <c r="X552" s="159">
        <f t="shared" si="180"/>
        <v>15284700</v>
      </c>
      <c r="Y552" s="160"/>
      <c r="Z552" s="160">
        <f t="shared" si="181"/>
        <v>0</v>
      </c>
      <c r="AA552" s="165"/>
      <c r="AB552" s="161">
        <f t="shared" si="182"/>
        <v>0</v>
      </c>
      <c r="AC552" s="162"/>
      <c r="AD552" s="162">
        <f t="shared" si="190"/>
        <v>0</v>
      </c>
      <c r="AE552" s="164"/>
      <c r="AF552" s="164">
        <f t="shared" si="191"/>
        <v>0</v>
      </c>
      <c r="AG552" s="165"/>
      <c r="AH552" s="165">
        <f t="shared" si="192"/>
        <v>0</v>
      </c>
      <c r="AI552" s="166">
        <v>0</v>
      </c>
      <c r="AJ552" s="166">
        <f t="shared" si="193"/>
        <v>0</v>
      </c>
      <c r="AK552" s="162"/>
      <c r="AL552" s="162">
        <f t="shared" si="188"/>
        <v>0</v>
      </c>
      <c r="AM552" s="173">
        <v>9990</v>
      </c>
      <c r="AN552" s="167">
        <f t="shared" si="183"/>
        <v>15284700</v>
      </c>
      <c r="AO552" s="163"/>
      <c r="AP552" s="163">
        <f t="shared" si="184"/>
        <v>0</v>
      </c>
      <c r="AQ552" s="168"/>
      <c r="AR552" s="168">
        <f t="shared" si="185"/>
        <v>0</v>
      </c>
      <c r="AS552" s="170"/>
      <c r="AT552" s="170">
        <f t="shared" si="186"/>
        <v>0</v>
      </c>
      <c r="AU552" s="166"/>
      <c r="AV552" s="166">
        <f t="shared" si="187"/>
        <v>0</v>
      </c>
    </row>
    <row r="553" spans="1:48" s="115" customFormat="1" ht="31.5">
      <c r="A553" s="172" t="s">
        <v>6750</v>
      </c>
      <c r="B553" s="150" t="s">
        <v>5301</v>
      </c>
      <c r="C553" s="150" t="s">
        <v>5302</v>
      </c>
      <c r="D553" s="240" t="s">
        <v>6751</v>
      </c>
      <c r="E553" s="590"/>
      <c r="F553" s="203" t="s">
        <v>1247</v>
      </c>
      <c r="G553" s="204" t="s">
        <v>6752</v>
      </c>
      <c r="H553" s="204">
        <v>2</v>
      </c>
      <c r="I553" s="203" t="s">
        <v>6753</v>
      </c>
      <c r="J553" s="205" t="s">
        <v>6550</v>
      </c>
      <c r="K553" s="203" t="s">
        <v>5104</v>
      </c>
      <c r="L553" s="205" t="s">
        <v>6754</v>
      </c>
      <c r="M553" s="205" t="s">
        <v>6552</v>
      </c>
      <c r="N553" s="204" t="s">
        <v>213</v>
      </c>
      <c r="O553" s="204" t="s">
        <v>11</v>
      </c>
      <c r="P553" s="206">
        <v>12000</v>
      </c>
      <c r="Q553" s="206">
        <v>7200</v>
      </c>
      <c r="R553" s="207">
        <v>20000</v>
      </c>
      <c r="S553" s="207">
        <f t="shared" si="178"/>
        <v>144000000</v>
      </c>
      <c r="T553" s="589"/>
      <c r="U553" s="157">
        <v>20000</v>
      </c>
      <c r="V553" s="158">
        <f t="shared" si="189"/>
        <v>20000</v>
      </c>
      <c r="W553" s="159">
        <f t="shared" si="179"/>
        <v>0</v>
      </c>
      <c r="X553" s="159">
        <f t="shared" si="180"/>
        <v>0</v>
      </c>
      <c r="Y553" s="160"/>
      <c r="Z553" s="160">
        <f t="shared" si="181"/>
        <v>0</v>
      </c>
      <c r="AA553" s="165"/>
      <c r="AB553" s="161">
        <f t="shared" si="182"/>
        <v>0</v>
      </c>
      <c r="AC553" s="162"/>
      <c r="AD553" s="162">
        <f t="shared" si="190"/>
        <v>0</v>
      </c>
      <c r="AE553" s="163"/>
      <c r="AF553" s="164">
        <f t="shared" si="191"/>
        <v>0</v>
      </c>
      <c r="AG553" s="161"/>
      <c r="AH553" s="165">
        <f t="shared" si="192"/>
        <v>0</v>
      </c>
      <c r="AI553" s="160">
        <v>0</v>
      </c>
      <c r="AJ553" s="166">
        <f t="shared" si="193"/>
        <v>0</v>
      </c>
      <c r="AK553" s="162"/>
      <c r="AL553" s="162">
        <f t="shared" si="188"/>
        <v>0</v>
      </c>
      <c r="AM553" s="173"/>
      <c r="AN553" s="167">
        <f t="shared" si="183"/>
        <v>0</v>
      </c>
      <c r="AO553" s="163"/>
      <c r="AP553" s="163">
        <f t="shared" si="184"/>
        <v>0</v>
      </c>
      <c r="AQ553" s="162"/>
      <c r="AR553" s="168">
        <f t="shared" si="185"/>
        <v>0</v>
      </c>
      <c r="AS553" s="169"/>
      <c r="AT553" s="170">
        <f t="shared" si="186"/>
        <v>0</v>
      </c>
      <c r="AU553" s="160"/>
      <c r="AV553" s="166">
        <f t="shared" si="187"/>
        <v>0</v>
      </c>
    </row>
    <row r="554" spans="1:48" s="115" customFormat="1" ht="31.5">
      <c r="A554" s="148" t="s">
        <v>6755</v>
      </c>
      <c r="B554" s="150" t="s">
        <v>5301</v>
      </c>
      <c r="C554" s="150" t="s">
        <v>5302</v>
      </c>
      <c r="D554" s="240" t="s">
        <v>6756</v>
      </c>
      <c r="E554" s="590"/>
      <c r="F554" s="203" t="s">
        <v>1247</v>
      </c>
      <c r="G554" s="204" t="s">
        <v>1304</v>
      </c>
      <c r="H554" s="204">
        <v>2</v>
      </c>
      <c r="I554" s="203" t="s">
        <v>6757</v>
      </c>
      <c r="J554" s="205" t="s">
        <v>6550</v>
      </c>
      <c r="K554" s="203" t="s">
        <v>5104</v>
      </c>
      <c r="L554" s="205" t="s">
        <v>6758</v>
      </c>
      <c r="M554" s="205" t="s">
        <v>6552</v>
      </c>
      <c r="N554" s="204" t="s">
        <v>213</v>
      </c>
      <c r="O554" s="204" t="s">
        <v>11</v>
      </c>
      <c r="P554" s="206">
        <v>8000</v>
      </c>
      <c r="Q554" s="206">
        <v>4890</v>
      </c>
      <c r="R554" s="207">
        <v>30000</v>
      </c>
      <c r="S554" s="207">
        <f t="shared" si="178"/>
        <v>146700000</v>
      </c>
      <c r="T554" s="589"/>
      <c r="U554" s="157">
        <v>30000</v>
      </c>
      <c r="V554" s="158">
        <f t="shared" si="189"/>
        <v>30000</v>
      </c>
      <c r="W554" s="159">
        <f t="shared" si="179"/>
        <v>0</v>
      </c>
      <c r="X554" s="159">
        <f t="shared" si="180"/>
        <v>0</v>
      </c>
      <c r="Y554" s="160"/>
      <c r="Z554" s="160">
        <f t="shared" si="181"/>
        <v>0</v>
      </c>
      <c r="AA554" s="165"/>
      <c r="AB554" s="161">
        <f t="shared" si="182"/>
        <v>0</v>
      </c>
      <c r="AC554" s="162"/>
      <c r="AD554" s="162">
        <f t="shared" si="190"/>
        <v>0</v>
      </c>
      <c r="AE554" s="163"/>
      <c r="AF554" s="164">
        <f t="shared" si="191"/>
        <v>0</v>
      </c>
      <c r="AG554" s="161"/>
      <c r="AH554" s="165">
        <f t="shared" si="192"/>
        <v>0</v>
      </c>
      <c r="AI554" s="160">
        <v>0</v>
      </c>
      <c r="AJ554" s="166">
        <f t="shared" si="193"/>
        <v>0</v>
      </c>
      <c r="AK554" s="162"/>
      <c r="AL554" s="162">
        <f t="shared" si="188"/>
        <v>0</v>
      </c>
      <c r="AM554" s="173"/>
      <c r="AN554" s="167">
        <f t="shared" si="183"/>
        <v>0</v>
      </c>
      <c r="AO554" s="163"/>
      <c r="AP554" s="163">
        <f t="shared" si="184"/>
        <v>0</v>
      </c>
      <c r="AQ554" s="162"/>
      <c r="AR554" s="168">
        <f t="shared" si="185"/>
        <v>0</v>
      </c>
      <c r="AS554" s="169"/>
      <c r="AT554" s="170">
        <f t="shared" si="186"/>
        <v>0</v>
      </c>
      <c r="AU554" s="160"/>
      <c r="AV554" s="166">
        <f t="shared" si="187"/>
        <v>0</v>
      </c>
    </row>
    <row r="555" spans="1:48" s="115" customFormat="1" ht="31.5">
      <c r="A555" s="172" t="s">
        <v>6868</v>
      </c>
      <c r="B555" s="150" t="s">
        <v>5301</v>
      </c>
      <c r="C555" s="150" t="s">
        <v>5302</v>
      </c>
      <c r="D555" s="240" t="s">
        <v>4315</v>
      </c>
      <c r="E555" s="590"/>
      <c r="F555" s="203" t="s">
        <v>868</v>
      </c>
      <c r="G555" s="204" t="s">
        <v>869</v>
      </c>
      <c r="H555" s="204">
        <v>2</v>
      </c>
      <c r="I555" s="203" t="s">
        <v>1651</v>
      </c>
      <c r="J555" s="205" t="s">
        <v>6869</v>
      </c>
      <c r="K555" s="203" t="s">
        <v>5104</v>
      </c>
      <c r="L555" s="205" t="s">
        <v>1653</v>
      </c>
      <c r="M555" s="205" t="s">
        <v>6552</v>
      </c>
      <c r="N555" s="204" t="s">
        <v>213</v>
      </c>
      <c r="O555" s="204" t="s">
        <v>11</v>
      </c>
      <c r="P555" s="206">
        <v>1650</v>
      </c>
      <c r="Q555" s="206">
        <v>860</v>
      </c>
      <c r="R555" s="207">
        <v>40000</v>
      </c>
      <c r="S555" s="207">
        <f t="shared" si="178"/>
        <v>34400000</v>
      </c>
      <c r="T555" s="589"/>
      <c r="U555" s="157">
        <v>40000</v>
      </c>
      <c r="V555" s="158">
        <f t="shared" si="189"/>
        <v>40000</v>
      </c>
      <c r="W555" s="159">
        <f t="shared" si="179"/>
        <v>0</v>
      </c>
      <c r="X555" s="159">
        <f t="shared" si="180"/>
        <v>0</v>
      </c>
      <c r="Y555" s="160"/>
      <c r="Z555" s="160">
        <f t="shared" si="181"/>
        <v>0</v>
      </c>
      <c r="AA555" s="165"/>
      <c r="AB555" s="161">
        <f t="shared" si="182"/>
        <v>0</v>
      </c>
      <c r="AC555" s="162"/>
      <c r="AD555" s="162">
        <f t="shared" si="190"/>
        <v>0</v>
      </c>
      <c r="AE555" s="164"/>
      <c r="AF555" s="164">
        <f t="shared" si="191"/>
        <v>0</v>
      </c>
      <c r="AG555" s="165"/>
      <c r="AH555" s="165">
        <f t="shared" si="192"/>
        <v>0</v>
      </c>
      <c r="AI555" s="166">
        <v>0</v>
      </c>
      <c r="AJ555" s="166">
        <f t="shared" si="193"/>
        <v>0</v>
      </c>
      <c r="AK555" s="162"/>
      <c r="AL555" s="162">
        <f t="shared" si="188"/>
        <v>0</v>
      </c>
      <c r="AM555" s="173"/>
      <c r="AN555" s="167">
        <f t="shared" si="183"/>
        <v>0</v>
      </c>
      <c r="AO555" s="163"/>
      <c r="AP555" s="163">
        <f t="shared" si="184"/>
        <v>0</v>
      </c>
      <c r="AQ555" s="168"/>
      <c r="AR555" s="168">
        <f t="shared" si="185"/>
        <v>0</v>
      </c>
      <c r="AS555" s="170"/>
      <c r="AT555" s="170">
        <f t="shared" si="186"/>
        <v>0</v>
      </c>
      <c r="AU555" s="166"/>
      <c r="AV555" s="166">
        <f t="shared" si="187"/>
        <v>0</v>
      </c>
    </row>
    <row r="556" spans="1:48" s="115" customFormat="1" ht="31.5">
      <c r="A556" s="148" t="s">
        <v>6870</v>
      </c>
      <c r="B556" s="150" t="s">
        <v>5301</v>
      </c>
      <c r="C556" s="150" t="s">
        <v>5302</v>
      </c>
      <c r="D556" s="240" t="s">
        <v>4020</v>
      </c>
      <c r="E556" s="590"/>
      <c r="F556" s="203" t="s">
        <v>868</v>
      </c>
      <c r="G556" s="204" t="s">
        <v>1340</v>
      </c>
      <c r="H556" s="204">
        <v>2</v>
      </c>
      <c r="I556" s="203" t="s">
        <v>1654</v>
      </c>
      <c r="J556" s="205" t="s">
        <v>6550</v>
      </c>
      <c r="K556" s="203" t="s">
        <v>5104</v>
      </c>
      <c r="L556" s="205" t="s">
        <v>1655</v>
      </c>
      <c r="M556" s="205" t="s">
        <v>6552</v>
      </c>
      <c r="N556" s="204" t="s">
        <v>213</v>
      </c>
      <c r="O556" s="204" t="s">
        <v>11</v>
      </c>
      <c r="P556" s="206">
        <v>1800</v>
      </c>
      <c r="Q556" s="206">
        <v>875</v>
      </c>
      <c r="R556" s="207">
        <v>50000</v>
      </c>
      <c r="S556" s="207">
        <f t="shared" si="178"/>
        <v>43750000</v>
      </c>
      <c r="T556" s="589"/>
      <c r="U556" s="157">
        <v>50000</v>
      </c>
      <c r="V556" s="158">
        <f t="shared" si="189"/>
        <v>50000</v>
      </c>
      <c r="W556" s="159">
        <f t="shared" si="179"/>
        <v>0</v>
      </c>
      <c r="X556" s="159">
        <f t="shared" si="180"/>
        <v>0</v>
      </c>
      <c r="Y556" s="160"/>
      <c r="Z556" s="160">
        <f t="shared" si="181"/>
        <v>0</v>
      </c>
      <c r="AA556" s="165"/>
      <c r="AB556" s="161">
        <f t="shared" si="182"/>
        <v>0</v>
      </c>
      <c r="AC556" s="162"/>
      <c r="AD556" s="162">
        <f t="shared" si="190"/>
        <v>0</v>
      </c>
      <c r="AE556" s="164"/>
      <c r="AF556" s="164">
        <f t="shared" si="191"/>
        <v>0</v>
      </c>
      <c r="AG556" s="165"/>
      <c r="AH556" s="165">
        <f t="shared" si="192"/>
        <v>0</v>
      </c>
      <c r="AI556" s="166">
        <v>0</v>
      </c>
      <c r="AJ556" s="166">
        <f t="shared" si="193"/>
        <v>0</v>
      </c>
      <c r="AK556" s="162"/>
      <c r="AL556" s="162">
        <f t="shared" si="188"/>
        <v>0</v>
      </c>
      <c r="AM556" s="173"/>
      <c r="AN556" s="167">
        <f t="shared" si="183"/>
        <v>0</v>
      </c>
      <c r="AO556" s="163"/>
      <c r="AP556" s="163">
        <f t="shared" si="184"/>
        <v>0</v>
      </c>
      <c r="AQ556" s="168"/>
      <c r="AR556" s="168">
        <f t="shared" si="185"/>
        <v>0</v>
      </c>
      <c r="AS556" s="170"/>
      <c r="AT556" s="170">
        <f t="shared" si="186"/>
        <v>0</v>
      </c>
      <c r="AU556" s="166"/>
      <c r="AV556" s="166">
        <f t="shared" si="187"/>
        <v>0</v>
      </c>
    </row>
    <row r="557" spans="1:48" s="115" customFormat="1" ht="31.5">
      <c r="A557" s="148" t="s">
        <v>8298</v>
      </c>
      <c r="B557" s="150" t="s">
        <v>5301</v>
      </c>
      <c r="C557" s="150" t="s">
        <v>5302</v>
      </c>
      <c r="D557" s="240" t="s">
        <v>4279</v>
      </c>
      <c r="E557" s="590" t="s">
        <v>12642</v>
      </c>
      <c r="F557" s="203" t="s">
        <v>645</v>
      </c>
      <c r="G557" s="204" t="s">
        <v>291</v>
      </c>
      <c r="H557" s="204">
        <v>4</v>
      </c>
      <c r="I557" s="203" t="s">
        <v>4306</v>
      </c>
      <c r="J557" s="205" t="s">
        <v>6550</v>
      </c>
      <c r="K557" s="203" t="s">
        <v>5104</v>
      </c>
      <c r="L557" s="205" t="s">
        <v>8299</v>
      </c>
      <c r="M557" s="205" t="s">
        <v>6552</v>
      </c>
      <c r="N557" s="204" t="s">
        <v>213</v>
      </c>
      <c r="O557" s="204" t="s">
        <v>11</v>
      </c>
      <c r="P557" s="206">
        <v>2480</v>
      </c>
      <c r="Q557" s="206">
        <v>990</v>
      </c>
      <c r="R557" s="207">
        <v>100000</v>
      </c>
      <c r="S557" s="207">
        <f t="shared" si="178"/>
        <v>99000000</v>
      </c>
      <c r="T557" s="589"/>
      <c r="U557" s="157">
        <v>100000</v>
      </c>
      <c r="V557" s="158">
        <f t="shared" si="189"/>
        <v>80110</v>
      </c>
      <c r="W557" s="159">
        <f t="shared" si="179"/>
        <v>19890</v>
      </c>
      <c r="X557" s="159">
        <f t="shared" si="180"/>
        <v>19691100</v>
      </c>
      <c r="Y557" s="160"/>
      <c r="Z557" s="160">
        <f t="shared" si="181"/>
        <v>0</v>
      </c>
      <c r="AA557" s="165"/>
      <c r="AB557" s="161">
        <f t="shared" si="182"/>
        <v>0</v>
      </c>
      <c r="AC557" s="162"/>
      <c r="AD557" s="162">
        <f t="shared" si="190"/>
        <v>0</v>
      </c>
      <c r="AE557" s="164"/>
      <c r="AF557" s="164">
        <f t="shared" si="191"/>
        <v>0</v>
      </c>
      <c r="AG557" s="165"/>
      <c r="AH557" s="165">
        <f t="shared" si="192"/>
        <v>0</v>
      </c>
      <c r="AI557" s="166">
        <v>0</v>
      </c>
      <c r="AJ557" s="166">
        <f t="shared" si="193"/>
        <v>0</v>
      </c>
      <c r="AK557" s="162"/>
      <c r="AL557" s="162">
        <f t="shared" si="188"/>
        <v>0</v>
      </c>
      <c r="AM557" s="173">
        <v>9990</v>
      </c>
      <c r="AN557" s="167">
        <f t="shared" si="183"/>
        <v>9890100</v>
      </c>
      <c r="AO557" s="163"/>
      <c r="AP557" s="163">
        <f t="shared" si="184"/>
        <v>0</v>
      </c>
      <c r="AQ557" s="168"/>
      <c r="AR557" s="168">
        <f t="shared" si="185"/>
        <v>0</v>
      </c>
      <c r="AS557" s="170">
        <v>9900</v>
      </c>
      <c r="AT557" s="170">
        <f t="shared" si="186"/>
        <v>9801000</v>
      </c>
      <c r="AU557" s="166"/>
      <c r="AV557" s="166">
        <f t="shared" si="187"/>
        <v>0</v>
      </c>
    </row>
    <row r="558" spans="1:48" s="115" customFormat="1" ht="47.25">
      <c r="A558" s="148" t="s">
        <v>7814</v>
      </c>
      <c r="B558" s="149" t="s">
        <v>2337</v>
      </c>
      <c r="C558" s="149" t="s">
        <v>7815</v>
      </c>
      <c r="D558" s="240" t="s">
        <v>7816</v>
      </c>
      <c r="E558" s="590" t="s">
        <v>12642</v>
      </c>
      <c r="F558" s="203" t="s">
        <v>7817</v>
      </c>
      <c r="G558" s="204" t="s">
        <v>7818</v>
      </c>
      <c r="H558" s="204">
        <v>3</v>
      </c>
      <c r="I558" s="203" t="s">
        <v>7819</v>
      </c>
      <c r="J558" s="205" t="s">
        <v>7820</v>
      </c>
      <c r="K558" s="203" t="s">
        <v>5104</v>
      </c>
      <c r="L558" s="205" t="s">
        <v>7821</v>
      </c>
      <c r="M558" s="205" t="s">
        <v>7822</v>
      </c>
      <c r="N558" s="204" t="s">
        <v>213</v>
      </c>
      <c r="O558" s="204" t="s">
        <v>5639</v>
      </c>
      <c r="P558" s="206">
        <v>2320</v>
      </c>
      <c r="Q558" s="206">
        <v>1370</v>
      </c>
      <c r="R558" s="207">
        <v>10000</v>
      </c>
      <c r="S558" s="207">
        <f t="shared" si="178"/>
        <v>13700000</v>
      </c>
      <c r="T558" s="589"/>
      <c r="U558" s="157">
        <v>10000</v>
      </c>
      <c r="V558" s="158">
        <f t="shared" si="189"/>
        <v>9500</v>
      </c>
      <c r="W558" s="159">
        <f t="shared" si="179"/>
        <v>500</v>
      </c>
      <c r="X558" s="159">
        <f t="shared" si="180"/>
        <v>685000</v>
      </c>
      <c r="Y558" s="160"/>
      <c r="Z558" s="160">
        <f t="shared" si="181"/>
        <v>0</v>
      </c>
      <c r="AA558" s="165"/>
      <c r="AB558" s="161">
        <f t="shared" si="182"/>
        <v>0</v>
      </c>
      <c r="AC558" s="162"/>
      <c r="AD558" s="162">
        <f t="shared" si="190"/>
        <v>0</v>
      </c>
      <c r="AE558" s="164"/>
      <c r="AF558" s="164">
        <f t="shared" si="191"/>
        <v>0</v>
      </c>
      <c r="AG558" s="165">
        <v>500</v>
      </c>
      <c r="AH558" s="165">
        <f t="shared" si="192"/>
        <v>685000</v>
      </c>
      <c r="AI558" s="166">
        <v>0</v>
      </c>
      <c r="AJ558" s="166">
        <f t="shared" si="193"/>
        <v>0</v>
      </c>
      <c r="AK558" s="162"/>
      <c r="AL558" s="162">
        <f t="shared" si="188"/>
        <v>0</v>
      </c>
      <c r="AM558" s="173"/>
      <c r="AN558" s="167">
        <f t="shared" si="183"/>
        <v>0</v>
      </c>
      <c r="AO558" s="163"/>
      <c r="AP558" s="163">
        <f t="shared" si="184"/>
        <v>0</v>
      </c>
      <c r="AQ558" s="168"/>
      <c r="AR558" s="168">
        <f t="shared" si="185"/>
        <v>0</v>
      </c>
      <c r="AS558" s="170"/>
      <c r="AT558" s="170">
        <f t="shared" si="186"/>
        <v>0</v>
      </c>
      <c r="AU558" s="166"/>
      <c r="AV558" s="166">
        <f t="shared" si="187"/>
        <v>0</v>
      </c>
    </row>
    <row r="559" spans="1:48" ht="47.25">
      <c r="A559" s="148" t="s">
        <v>7836</v>
      </c>
      <c r="B559" s="149" t="s">
        <v>2337</v>
      </c>
      <c r="C559" s="149" t="s">
        <v>7815</v>
      </c>
      <c r="D559" s="240" t="s">
        <v>7837</v>
      </c>
      <c r="E559" s="590" t="s">
        <v>12642</v>
      </c>
      <c r="F559" s="203" t="s">
        <v>7838</v>
      </c>
      <c r="G559" s="204" t="s">
        <v>7839</v>
      </c>
      <c r="H559" s="204">
        <v>3</v>
      </c>
      <c r="I559" s="203" t="s">
        <v>7840</v>
      </c>
      <c r="J559" s="205" t="s">
        <v>7841</v>
      </c>
      <c r="K559" s="203" t="s">
        <v>5104</v>
      </c>
      <c r="L559" s="205" t="s">
        <v>7842</v>
      </c>
      <c r="M559" s="205" t="s">
        <v>7822</v>
      </c>
      <c r="N559" s="204" t="s">
        <v>213</v>
      </c>
      <c r="O559" s="204" t="s">
        <v>5639</v>
      </c>
      <c r="P559" s="206">
        <v>3885</v>
      </c>
      <c r="Q559" s="206">
        <v>2310</v>
      </c>
      <c r="R559" s="207">
        <v>10000</v>
      </c>
      <c r="S559" s="207">
        <f t="shared" si="178"/>
        <v>23100000</v>
      </c>
      <c r="T559" s="589"/>
      <c r="U559" s="157">
        <v>10000</v>
      </c>
      <c r="V559" s="158">
        <f t="shared" si="189"/>
        <v>9400</v>
      </c>
      <c r="W559" s="159">
        <f t="shared" si="179"/>
        <v>600</v>
      </c>
      <c r="X559" s="159">
        <f t="shared" si="180"/>
        <v>1386000</v>
      </c>
      <c r="Y559" s="160"/>
      <c r="Z559" s="160">
        <f t="shared" si="181"/>
        <v>0</v>
      </c>
      <c r="AA559" s="165"/>
      <c r="AB559" s="161">
        <f t="shared" si="182"/>
        <v>0</v>
      </c>
      <c r="AC559" s="162"/>
      <c r="AD559" s="162">
        <f t="shared" si="190"/>
        <v>0</v>
      </c>
      <c r="AE559" s="164"/>
      <c r="AF559" s="164">
        <f t="shared" si="191"/>
        <v>0</v>
      </c>
      <c r="AG559" s="165">
        <v>300</v>
      </c>
      <c r="AH559" s="165">
        <f t="shared" si="192"/>
        <v>693000</v>
      </c>
      <c r="AI559" s="166">
        <v>0</v>
      </c>
      <c r="AJ559" s="166">
        <f t="shared" si="193"/>
        <v>0</v>
      </c>
      <c r="AK559" s="162"/>
      <c r="AL559" s="162">
        <f t="shared" si="188"/>
        <v>0</v>
      </c>
      <c r="AM559" s="173"/>
      <c r="AN559" s="167">
        <f t="shared" si="183"/>
        <v>0</v>
      </c>
      <c r="AO559" s="163"/>
      <c r="AP559" s="163">
        <f t="shared" si="184"/>
        <v>0</v>
      </c>
      <c r="AQ559" s="168"/>
      <c r="AR559" s="168">
        <f t="shared" si="185"/>
        <v>0</v>
      </c>
      <c r="AS559" s="170">
        <v>300</v>
      </c>
      <c r="AT559" s="170">
        <f t="shared" si="186"/>
        <v>693000</v>
      </c>
      <c r="AU559" s="166"/>
      <c r="AV559" s="166">
        <f t="shared" si="187"/>
        <v>0</v>
      </c>
    </row>
    <row r="560" spans="1:48" ht="47.25">
      <c r="A560" s="148">
        <v>18</v>
      </c>
      <c r="B560" s="149" t="s">
        <v>2337</v>
      </c>
      <c r="C560" s="149" t="s">
        <v>7815</v>
      </c>
      <c r="D560" s="250" t="s">
        <v>4680</v>
      </c>
      <c r="E560" s="241"/>
      <c r="F560" s="242" t="s">
        <v>124</v>
      </c>
      <c r="G560" s="244" t="s">
        <v>8596</v>
      </c>
      <c r="H560" s="244" t="s">
        <v>211</v>
      </c>
      <c r="I560" s="244" t="s">
        <v>4681</v>
      </c>
      <c r="J560" s="244" t="s">
        <v>8597</v>
      </c>
      <c r="K560" s="244" t="s">
        <v>5104</v>
      </c>
      <c r="L560" s="241" t="s">
        <v>2354</v>
      </c>
      <c r="M560" s="244" t="s">
        <v>8598</v>
      </c>
      <c r="N560" s="241" t="s">
        <v>213</v>
      </c>
      <c r="O560" s="241" t="s">
        <v>15</v>
      </c>
      <c r="P560" s="245">
        <v>38627</v>
      </c>
      <c r="Q560" s="245">
        <v>33075</v>
      </c>
      <c r="R560" s="246">
        <v>7000</v>
      </c>
      <c r="S560" s="245">
        <f t="shared" si="178"/>
        <v>231525000</v>
      </c>
      <c r="T560" s="589"/>
      <c r="U560" s="244"/>
      <c r="V560" s="247">
        <f>R560-W560</f>
        <v>5200</v>
      </c>
      <c r="W560" s="159">
        <f t="shared" si="179"/>
        <v>1800</v>
      </c>
      <c r="X560" s="159">
        <f t="shared" si="180"/>
        <v>59535000</v>
      </c>
      <c r="Y560" s="248"/>
      <c r="Z560" s="160">
        <f t="shared" si="181"/>
        <v>0</v>
      </c>
      <c r="AA560" s="248"/>
      <c r="AB560" s="161">
        <f t="shared" si="182"/>
        <v>0</v>
      </c>
      <c r="AC560" s="249"/>
      <c r="AD560" s="249"/>
      <c r="AE560" s="249"/>
      <c r="AF560" s="249"/>
      <c r="AG560" s="249"/>
      <c r="AH560" s="249"/>
      <c r="AI560" s="249"/>
      <c r="AJ560" s="249"/>
      <c r="AK560" s="249">
        <v>1420</v>
      </c>
      <c r="AL560" s="162">
        <f t="shared" si="188"/>
        <v>46966500</v>
      </c>
      <c r="AM560" s="249"/>
      <c r="AN560" s="167">
        <f t="shared" si="183"/>
        <v>0</v>
      </c>
      <c r="AO560" s="249"/>
      <c r="AP560" s="163">
        <f t="shared" si="184"/>
        <v>0</v>
      </c>
      <c r="AQ560" s="249"/>
      <c r="AR560" s="168">
        <f t="shared" si="185"/>
        <v>0</v>
      </c>
      <c r="AS560" s="249">
        <v>380</v>
      </c>
      <c r="AT560" s="170">
        <f t="shared" si="186"/>
        <v>12568500</v>
      </c>
      <c r="AU560" s="249"/>
      <c r="AV560" s="166">
        <f t="shared" si="187"/>
        <v>0</v>
      </c>
    </row>
    <row r="561" spans="1:48" ht="63">
      <c r="A561" s="250">
        <v>20</v>
      </c>
      <c r="B561" s="149" t="s">
        <v>2337</v>
      </c>
      <c r="C561" s="149" t="s">
        <v>7815</v>
      </c>
      <c r="D561" s="250" t="s">
        <v>8604</v>
      </c>
      <c r="E561" s="241"/>
      <c r="F561" s="242" t="s">
        <v>8605</v>
      </c>
      <c r="G561" s="244" t="s">
        <v>8606</v>
      </c>
      <c r="H561" s="244" t="s">
        <v>211</v>
      </c>
      <c r="I561" s="244" t="s">
        <v>187</v>
      </c>
      <c r="J561" s="244" t="s">
        <v>8607</v>
      </c>
      <c r="K561" s="244" t="s">
        <v>5104</v>
      </c>
      <c r="L561" s="241" t="s">
        <v>8608</v>
      </c>
      <c r="M561" s="244" t="s">
        <v>8598</v>
      </c>
      <c r="N561" s="241" t="s">
        <v>213</v>
      </c>
      <c r="O561" s="241" t="s">
        <v>15</v>
      </c>
      <c r="P561" s="245">
        <v>29696</v>
      </c>
      <c r="Q561" s="245">
        <v>23100</v>
      </c>
      <c r="R561" s="246">
        <v>6000</v>
      </c>
      <c r="S561" s="245">
        <f t="shared" si="178"/>
        <v>138600000</v>
      </c>
      <c r="T561" s="589"/>
      <c r="U561" s="244"/>
      <c r="V561" s="247">
        <f>R561-W561</f>
        <v>6000</v>
      </c>
      <c r="W561" s="159">
        <f t="shared" si="179"/>
        <v>0</v>
      </c>
      <c r="X561" s="159">
        <f t="shared" si="180"/>
        <v>0</v>
      </c>
      <c r="Y561" s="248"/>
      <c r="Z561" s="160">
        <f t="shared" si="181"/>
        <v>0</v>
      </c>
      <c r="AA561" s="248"/>
      <c r="AB561" s="161">
        <f t="shared" si="182"/>
        <v>0</v>
      </c>
      <c r="AC561" s="249"/>
      <c r="AD561" s="249"/>
      <c r="AE561" s="249"/>
      <c r="AF561" s="249"/>
      <c r="AG561" s="249"/>
      <c r="AH561" s="249"/>
      <c r="AI561" s="249"/>
      <c r="AJ561" s="249"/>
      <c r="AK561" s="249"/>
      <c r="AL561" s="162">
        <f t="shared" si="188"/>
        <v>0</v>
      </c>
      <c r="AM561" s="249"/>
      <c r="AN561" s="167">
        <f t="shared" si="183"/>
        <v>0</v>
      </c>
      <c r="AO561" s="249"/>
      <c r="AP561" s="163">
        <f t="shared" si="184"/>
        <v>0</v>
      </c>
      <c r="AQ561" s="249"/>
      <c r="AR561" s="168">
        <f t="shared" si="185"/>
        <v>0</v>
      </c>
      <c r="AS561" s="249"/>
      <c r="AT561" s="170">
        <f t="shared" si="186"/>
        <v>0</v>
      </c>
      <c r="AU561" s="249"/>
      <c r="AV561" s="166">
        <f t="shared" si="187"/>
        <v>0</v>
      </c>
    </row>
    <row r="562" spans="1:48" ht="63">
      <c r="A562" s="148">
        <v>21</v>
      </c>
      <c r="B562" s="149" t="s">
        <v>2337</v>
      </c>
      <c r="C562" s="149" t="s">
        <v>7815</v>
      </c>
      <c r="D562" s="250" t="s">
        <v>4756</v>
      </c>
      <c r="E562" s="241"/>
      <c r="F562" s="242" t="s">
        <v>4758</v>
      </c>
      <c r="G562" s="244" t="s">
        <v>8609</v>
      </c>
      <c r="H562" s="244" t="s">
        <v>211</v>
      </c>
      <c r="I562" s="244" t="s">
        <v>4757</v>
      </c>
      <c r="J562" s="244" t="s">
        <v>8607</v>
      </c>
      <c r="K562" s="244" t="s">
        <v>5104</v>
      </c>
      <c r="L562" s="241" t="s">
        <v>8610</v>
      </c>
      <c r="M562" s="244" t="s">
        <v>8598</v>
      </c>
      <c r="N562" s="241" t="s">
        <v>213</v>
      </c>
      <c r="O562" s="241" t="s">
        <v>15</v>
      </c>
      <c r="P562" s="245">
        <v>27720</v>
      </c>
      <c r="Q562" s="245">
        <v>23100</v>
      </c>
      <c r="R562" s="246">
        <v>6000</v>
      </c>
      <c r="S562" s="245">
        <f t="shared" si="178"/>
        <v>138600000</v>
      </c>
      <c r="T562" s="589"/>
      <c r="U562" s="244"/>
      <c r="V562" s="247">
        <f>R562-W562</f>
        <v>4760</v>
      </c>
      <c r="W562" s="159">
        <f t="shared" si="179"/>
        <v>1240</v>
      </c>
      <c r="X562" s="159">
        <f t="shared" si="180"/>
        <v>28644000</v>
      </c>
      <c r="Y562" s="248"/>
      <c r="Z562" s="160">
        <f t="shared" si="181"/>
        <v>0</v>
      </c>
      <c r="AA562" s="248"/>
      <c r="AB562" s="161">
        <f t="shared" si="182"/>
        <v>0</v>
      </c>
      <c r="AC562" s="249"/>
      <c r="AD562" s="249"/>
      <c r="AE562" s="249"/>
      <c r="AF562" s="249"/>
      <c r="AG562" s="249"/>
      <c r="AH562" s="249"/>
      <c r="AI562" s="249"/>
      <c r="AJ562" s="249"/>
      <c r="AK562" s="249">
        <v>960</v>
      </c>
      <c r="AL562" s="162">
        <f t="shared" si="188"/>
        <v>22176000</v>
      </c>
      <c r="AM562" s="249"/>
      <c r="AN562" s="167">
        <f t="shared" si="183"/>
        <v>0</v>
      </c>
      <c r="AO562" s="249"/>
      <c r="AP562" s="163">
        <f t="shared" si="184"/>
        <v>0</v>
      </c>
      <c r="AQ562" s="249"/>
      <c r="AR562" s="168">
        <f t="shared" si="185"/>
        <v>0</v>
      </c>
      <c r="AS562" s="249">
        <v>280</v>
      </c>
      <c r="AT562" s="170">
        <f t="shared" si="186"/>
        <v>6468000</v>
      </c>
      <c r="AU562" s="249"/>
      <c r="AV562" s="166">
        <f t="shared" si="187"/>
        <v>0</v>
      </c>
    </row>
    <row r="563" spans="1:48" ht="63">
      <c r="A563" s="148">
        <v>22</v>
      </c>
      <c r="B563" s="149" t="s">
        <v>2337</v>
      </c>
      <c r="C563" s="149" t="s">
        <v>7815</v>
      </c>
      <c r="D563" s="250" t="s">
        <v>4744</v>
      </c>
      <c r="E563" s="241"/>
      <c r="F563" s="242" t="s">
        <v>8611</v>
      </c>
      <c r="G563" s="244" t="s">
        <v>8612</v>
      </c>
      <c r="H563" s="244" t="s">
        <v>211</v>
      </c>
      <c r="I563" s="244" t="s">
        <v>175</v>
      </c>
      <c r="J563" s="244" t="s">
        <v>8613</v>
      </c>
      <c r="K563" s="244" t="s">
        <v>5104</v>
      </c>
      <c r="L563" s="241" t="s">
        <v>8614</v>
      </c>
      <c r="M563" s="244" t="s">
        <v>8598</v>
      </c>
      <c r="N563" s="241" t="s">
        <v>213</v>
      </c>
      <c r="O563" s="241" t="s">
        <v>13</v>
      </c>
      <c r="P563" s="245">
        <v>4200</v>
      </c>
      <c r="Q563" s="245">
        <v>2750</v>
      </c>
      <c r="R563" s="246">
        <v>5000</v>
      </c>
      <c r="S563" s="245">
        <f t="shared" si="178"/>
        <v>13750000</v>
      </c>
      <c r="T563" s="589"/>
      <c r="U563" s="244"/>
      <c r="V563" s="247">
        <f>R563-W563</f>
        <v>4040</v>
      </c>
      <c r="W563" s="159">
        <f t="shared" si="179"/>
        <v>960</v>
      </c>
      <c r="X563" s="159">
        <f t="shared" si="180"/>
        <v>2640000</v>
      </c>
      <c r="Y563" s="248"/>
      <c r="Z563" s="160">
        <f t="shared" si="181"/>
        <v>0</v>
      </c>
      <c r="AA563" s="248"/>
      <c r="AB563" s="161">
        <f t="shared" si="182"/>
        <v>0</v>
      </c>
      <c r="AC563" s="249"/>
      <c r="AD563" s="249"/>
      <c r="AE563" s="249"/>
      <c r="AF563" s="249"/>
      <c r="AG563" s="249"/>
      <c r="AH563" s="249"/>
      <c r="AI563" s="249"/>
      <c r="AJ563" s="249"/>
      <c r="AK563" s="249">
        <v>960</v>
      </c>
      <c r="AL563" s="162">
        <f t="shared" si="188"/>
        <v>2640000</v>
      </c>
      <c r="AM563" s="249"/>
      <c r="AN563" s="167">
        <f t="shared" si="183"/>
        <v>0</v>
      </c>
      <c r="AO563" s="249"/>
      <c r="AP563" s="163">
        <f t="shared" si="184"/>
        <v>0</v>
      </c>
      <c r="AQ563" s="249"/>
      <c r="AR563" s="168">
        <f t="shared" si="185"/>
        <v>0</v>
      </c>
      <c r="AS563" s="249"/>
      <c r="AT563" s="170">
        <f t="shared" si="186"/>
        <v>0</v>
      </c>
      <c r="AU563" s="249"/>
      <c r="AV563" s="166">
        <f t="shared" si="187"/>
        <v>0</v>
      </c>
    </row>
    <row r="564" spans="1:48" ht="63">
      <c r="A564" s="250">
        <v>38</v>
      </c>
      <c r="B564" s="149" t="s">
        <v>2337</v>
      </c>
      <c r="C564" s="149" t="s">
        <v>7815</v>
      </c>
      <c r="D564" s="250" t="s">
        <v>4677</v>
      </c>
      <c r="E564" s="241"/>
      <c r="F564" s="242" t="s">
        <v>8679</v>
      </c>
      <c r="G564" s="244" t="s">
        <v>8680</v>
      </c>
      <c r="H564" s="244" t="s">
        <v>211</v>
      </c>
      <c r="I564" s="244" t="s">
        <v>4678</v>
      </c>
      <c r="J564" s="244" t="s">
        <v>8681</v>
      </c>
      <c r="K564" s="244" t="s">
        <v>5104</v>
      </c>
      <c r="L564" s="241" t="s">
        <v>8682</v>
      </c>
      <c r="M564" s="244" t="s">
        <v>8598</v>
      </c>
      <c r="N564" s="241" t="s">
        <v>213</v>
      </c>
      <c r="O564" s="241" t="s">
        <v>11</v>
      </c>
      <c r="P564" s="245">
        <v>210</v>
      </c>
      <c r="Q564" s="245">
        <v>175</v>
      </c>
      <c r="R564" s="246">
        <v>100000</v>
      </c>
      <c r="S564" s="245">
        <f t="shared" si="178"/>
        <v>17500000</v>
      </c>
      <c r="T564" s="589"/>
      <c r="U564" s="244"/>
      <c r="V564" s="247">
        <f>R564-W564</f>
        <v>40000</v>
      </c>
      <c r="W564" s="159">
        <f t="shared" si="179"/>
        <v>60000</v>
      </c>
      <c r="X564" s="159">
        <f t="shared" si="180"/>
        <v>10500000</v>
      </c>
      <c r="Y564" s="248"/>
      <c r="Z564" s="160">
        <f t="shared" si="181"/>
        <v>0</v>
      </c>
      <c r="AA564" s="248"/>
      <c r="AB564" s="161">
        <f t="shared" si="182"/>
        <v>0</v>
      </c>
      <c r="AC564" s="249"/>
      <c r="AD564" s="249"/>
      <c r="AE564" s="249"/>
      <c r="AF564" s="249"/>
      <c r="AG564" s="249"/>
      <c r="AH564" s="249"/>
      <c r="AI564" s="249"/>
      <c r="AJ564" s="249"/>
      <c r="AK564" s="249">
        <v>12000</v>
      </c>
      <c r="AL564" s="162">
        <f t="shared" si="188"/>
        <v>2100000</v>
      </c>
      <c r="AM564" s="249"/>
      <c r="AN564" s="167">
        <f t="shared" si="183"/>
        <v>0</v>
      </c>
      <c r="AO564" s="249"/>
      <c r="AP564" s="163">
        <f t="shared" si="184"/>
        <v>0</v>
      </c>
      <c r="AQ564" s="249"/>
      <c r="AR564" s="168">
        <f t="shared" si="185"/>
        <v>0</v>
      </c>
      <c r="AS564" s="249">
        <v>48000</v>
      </c>
      <c r="AT564" s="170">
        <f t="shared" si="186"/>
        <v>8400000</v>
      </c>
      <c r="AU564" s="249"/>
      <c r="AV564" s="166">
        <f t="shared" si="187"/>
        <v>0</v>
      </c>
    </row>
    <row r="565" spans="1:48" ht="31.5">
      <c r="A565" s="148" t="s">
        <v>5333</v>
      </c>
      <c r="B565" s="150" t="s">
        <v>360</v>
      </c>
      <c r="C565" s="150" t="s">
        <v>358</v>
      </c>
      <c r="D565" s="634" t="s">
        <v>5334</v>
      </c>
      <c r="E565" s="631"/>
      <c r="F565" s="175" t="s">
        <v>234</v>
      </c>
      <c r="G565" s="151" t="s">
        <v>238</v>
      </c>
      <c r="H565" s="174" t="s">
        <v>5325</v>
      </c>
      <c r="I565" s="150" t="s">
        <v>234</v>
      </c>
      <c r="J565" s="153" t="s">
        <v>5150</v>
      </c>
      <c r="K565" s="151">
        <v>24</v>
      </c>
      <c r="L565" s="151" t="s">
        <v>5335</v>
      </c>
      <c r="M565" s="151" t="s">
        <v>360</v>
      </c>
      <c r="N565" s="152" t="s">
        <v>213</v>
      </c>
      <c r="O565" s="152" t="s">
        <v>10</v>
      </c>
      <c r="P565" s="176">
        <v>1100</v>
      </c>
      <c r="Q565" s="177">
        <v>215</v>
      </c>
      <c r="R565" s="176">
        <v>37000</v>
      </c>
      <c r="S565" s="156">
        <f t="shared" si="178"/>
        <v>7955000</v>
      </c>
      <c r="T565" s="589"/>
      <c r="U565" s="157">
        <v>37000</v>
      </c>
      <c r="V565" s="158">
        <f t="shared" ref="V565:V628" si="194">U565-W565</f>
        <v>37000</v>
      </c>
      <c r="W565" s="159">
        <f t="shared" si="179"/>
        <v>0</v>
      </c>
      <c r="X565" s="159">
        <f t="shared" si="180"/>
        <v>0</v>
      </c>
      <c r="Y565" s="160"/>
      <c r="Z565" s="160">
        <f t="shared" si="181"/>
        <v>0</v>
      </c>
      <c r="AA565" s="165"/>
      <c r="AB565" s="161">
        <f t="shared" si="182"/>
        <v>0</v>
      </c>
      <c r="AC565" s="162"/>
      <c r="AD565" s="162">
        <f t="shared" ref="AD565:AD628" si="195">AC565*Q565</f>
        <v>0</v>
      </c>
      <c r="AE565" s="164"/>
      <c r="AF565" s="164">
        <f t="shared" ref="AF565:AF628" si="196">AE565*Q565</f>
        <v>0</v>
      </c>
      <c r="AG565" s="165"/>
      <c r="AH565" s="165">
        <f t="shared" ref="AH565:AH628" si="197">AG565*Q565</f>
        <v>0</v>
      </c>
      <c r="AI565" s="166">
        <v>0</v>
      </c>
      <c r="AJ565" s="166">
        <f t="shared" ref="AJ565:AJ628" si="198">AI565*Q565</f>
        <v>0</v>
      </c>
      <c r="AK565" s="162"/>
      <c r="AL565" s="162">
        <f t="shared" si="188"/>
        <v>0</v>
      </c>
      <c r="AM565" s="173"/>
      <c r="AN565" s="167">
        <f t="shared" si="183"/>
        <v>0</v>
      </c>
      <c r="AO565" s="163"/>
      <c r="AP565" s="163">
        <f t="shared" si="184"/>
        <v>0</v>
      </c>
      <c r="AQ565" s="168"/>
      <c r="AR565" s="168">
        <f t="shared" si="185"/>
        <v>0</v>
      </c>
      <c r="AS565" s="170"/>
      <c r="AT565" s="170">
        <f t="shared" si="186"/>
        <v>0</v>
      </c>
      <c r="AU565" s="166"/>
      <c r="AV565" s="166">
        <f t="shared" si="187"/>
        <v>0</v>
      </c>
    </row>
    <row r="566" spans="1:48" ht="31.5">
      <c r="A566" s="148" t="s">
        <v>5350</v>
      </c>
      <c r="B566" s="150" t="s">
        <v>360</v>
      </c>
      <c r="C566" s="150" t="s">
        <v>358</v>
      </c>
      <c r="D566" s="634" t="s">
        <v>5351</v>
      </c>
      <c r="E566" s="631" t="s">
        <v>12642</v>
      </c>
      <c r="F566" s="175" t="s">
        <v>363</v>
      </c>
      <c r="G566" s="151" t="s">
        <v>291</v>
      </c>
      <c r="H566" s="174" t="s">
        <v>5325</v>
      </c>
      <c r="I566" s="150" t="s">
        <v>363</v>
      </c>
      <c r="J566" s="153" t="s">
        <v>5103</v>
      </c>
      <c r="K566" s="151">
        <v>36</v>
      </c>
      <c r="L566" s="151" t="s">
        <v>364</v>
      </c>
      <c r="M566" s="151" t="s">
        <v>360</v>
      </c>
      <c r="N566" s="152" t="s">
        <v>213</v>
      </c>
      <c r="O566" s="152" t="s">
        <v>10</v>
      </c>
      <c r="P566" s="176">
        <v>740</v>
      </c>
      <c r="Q566" s="177">
        <v>109</v>
      </c>
      <c r="R566" s="176">
        <v>75000</v>
      </c>
      <c r="S566" s="156">
        <f t="shared" si="178"/>
        <v>8175000</v>
      </c>
      <c r="T566" s="589"/>
      <c r="U566" s="157">
        <v>75000</v>
      </c>
      <c r="V566" s="158">
        <f t="shared" si="194"/>
        <v>75000</v>
      </c>
      <c r="W566" s="159">
        <f t="shared" si="179"/>
        <v>0</v>
      </c>
      <c r="X566" s="159">
        <f t="shared" si="180"/>
        <v>0</v>
      </c>
      <c r="Y566" s="160"/>
      <c r="Z566" s="160">
        <f t="shared" si="181"/>
        <v>0</v>
      </c>
      <c r="AA566" s="161"/>
      <c r="AB566" s="161">
        <f t="shared" si="182"/>
        <v>0</v>
      </c>
      <c r="AC566" s="162"/>
      <c r="AD566" s="162">
        <f t="shared" si="195"/>
        <v>0</v>
      </c>
      <c r="AE566" s="164"/>
      <c r="AF566" s="164">
        <f t="shared" si="196"/>
        <v>0</v>
      </c>
      <c r="AG566" s="165"/>
      <c r="AH566" s="165">
        <f t="shared" si="197"/>
        <v>0</v>
      </c>
      <c r="AI566" s="166">
        <v>0</v>
      </c>
      <c r="AJ566" s="166">
        <f t="shared" si="198"/>
        <v>0</v>
      </c>
      <c r="AK566" s="162"/>
      <c r="AL566" s="162">
        <f t="shared" si="188"/>
        <v>0</v>
      </c>
      <c r="AM566" s="167"/>
      <c r="AN566" s="167">
        <f t="shared" si="183"/>
        <v>0</v>
      </c>
      <c r="AO566" s="163"/>
      <c r="AP566" s="163">
        <f t="shared" si="184"/>
        <v>0</v>
      </c>
      <c r="AQ566" s="168"/>
      <c r="AR566" s="168">
        <f t="shared" si="185"/>
        <v>0</v>
      </c>
      <c r="AS566" s="170"/>
      <c r="AT566" s="170">
        <f t="shared" si="186"/>
        <v>0</v>
      </c>
      <c r="AU566" s="166"/>
      <c r="AV566" s="166">
        <f t="shared" si="187"/>
        <v>0</v>
      </c>
    </row>
    <row r="567" spans="1:48" ht="31.5">
      <c r="A567" s="148" t="s">
        <v>5352</v>
      </c>
      <c r="B567" s="150" t="s">
        <v>360</v>
      </c>
      <c r="C567" s="150" t="s">
        <v>358</v>
      </c>
      <c r="D567" s="634" t="s">
        <v>4796</v>
      </c>
      <c r="E567" s="631"/>
      <c r="F567" s="175" t="s">
        <v>365</v>
      </c>
      <c r="G567" s="151" t="s">
        <v>235</v>
      </c>
      <c r="H567" s="174" t="s">
        <v>5325</v>
      </c>
      <c r="I567" s="150" t="s">
        <v>366</v>
      </c>
      <c r="J567" s="153" t="s">
        <v>5103</v>
      </c>
      <c r="K567" s="151">
        <v>36</v>
      </c>
      <c r="L567" s="151" t="s">
        <v>367</v>
      </c>
      <c r="M567" s="151" t="s">
        <v>360</v>
      </c>
      <c r="N567" s="152" t="s">
        <v>213</v>
      </c>
      <c r="O567" s="152" t="s">
        <v>10</v>
      </c>
      <c r="P567" s="176">
        <v>1600</v>
      </c>
      <c r="Q567" s="177">
        <v>232</v>
      </c>
      <c r="R567" s="176">
        <v>75000</v>
      </c>
      <c r="S567" s="156">
        <f t="shared" si="178"/>
        <v>17400000</v>
      </c>
      <c r="T567" s="589"/>
      <c r="U567" s="157">
        <v>21000</v>
      </c>
      <c r="V567" s="158">
        <f t="shared" si="194"/>
        <v>0</v>
      </c>
      <c r="W567" s="159">
        <f t="shared" si="179"/>
        <v>21000</v>
      </c>
      <c r="X567" s="159">
        <f t="shared" si="180"/>
        <v>4872000</v>
      </c>
      <c r="Y567" s="160"/>
      <c r="Z567" s="160">
        <f t="shared" si="181"/>
        <v>0</v>
      </c>
      <c r="AA567" s="161"/>
      <c r="AB567" s="161">
        <f t="shared" si="182"/>
        <v>0</v>
      </c>
      <c r="AC567" s="162"/>
      <c r="AD567" s="162">
        <f t="shared" si="195"/>
        <v>0</v>
      </c>
      <c r="AE567" s="163"/>
      <c r="AF567" s="164">
        <f t="shared" si="196"/>
        <v>0</v>
      </c>
      <c r="AG567" s="161">
        <v>10000</v>
      </c>
      <c r="AH567" s="165">
        <f t="shared" si="197"/>
        <v>2320000</v>
      </c>
      <c r="AI567" s="160">
        <v>0</v>
      </c>
      <c r="AJ567" s="166">
        <f t="shared" si="198"/>
        <v>0</v>
      </c>
      <c r="AK567" s="162"/>
      <c r="AL567" s="162">
        <f t="shared" si="188"/>
        <v>0</v>
      </c>
      <c r="AM567" s="167">
        <v>11000</v>
      </c>
      <c r="AN567" s="167">
        <f t="shared" si="183"/>
        <v>2552000</v>
      </c>
      <c r="AO567" s="163"/>
      <c r="AP567" s="163">
        <f t="shared" si="184"/>
        <v>0</v>
      </c>
      <c r="AQ567" s="162"/>
      <c r="AR567" s="168">
        <f t="shared" si="185"/>
        <v>0</v>
      </c>
      <c r="AS567" s="169"/>
      <c r="AT567" s="170">
        <f t="shared" si="186"/>
        <v>0</v>
      </c>
      <c r="AU567" s="160"/>
      <c r="AV567" s="166">
        <f t="shared" si="187"/>
        <v>0</v>
      </c>
    </row>
    <row r="568" spans="1:48" ht="31.5">
      <c r="A568" s="148" t="s">
        <v>5356</v>
      </c>
      <c r="B568" s="150" t="s">
        <v>360</v>
      </c>
      <c r="C568" s="150" t="s">
        <v>358</v>
      </c>
      <c r="D568" s="634" t="s">
        <v>4807</v>
      </c>
      <c r="E568" s="631" t="s">
        <v>12642</v>
      </c>
      <c r="F568" s="175" t="s">
        <v>368</v>
      </c>
      <c r="G568" s="151" t="s">
        <v>369</v>
      </c>
      <c r="H568" s="174" t="s">
        <v>5325</v>
      </c>
      <c r="I568" s="150" t="s">
        <v>368</v>
      </c>
      <c r="J568" s="153" t="s">
        <v>5357</v>
      </c>
      <c r="K568" s="151">
        <v>36</v>
      </c>
      <c r="L568" s="151" t="s">
        <v>370</v>
      </c>
      <c r="M568" s="151" t="s">
        <v>360</v>
      </c>
      <c r="N568" s="152" t="s">
        <v>213</v>
      </c>
      <c r="O568" s="152" t="s">
        <v>10</v>
      </c>
      <c r="P568" s="176">
        <v>125</v>
      </c>
      <c r="Q568" s="177">
        <v>34</v>
      </c>
      <c r="R568" s="176">
        <v>300000</v>
      </c>
      <c r="S568" s="156">
        <f t="shared" si="178"/>
        <v>10200000</v>
      </c>
      <c r="T568" s="589"/>
      <c r="U568" s="157">
        <v>218000</v>
      </c>
      <c r="V568" s="158">
        <f t="shared" si="194"/>
        <v>177200</v>
      </c>
      <c r="W568" s="159">
        <f t="shared" si="179"/>
        <v>40800</v>
      </c>
      <c r="X568" s="159">
        <f t="shared" si="180"/>
        <v>1387200</v>
      </c>
      <c r="Y568" s="160"/>
      <c r="Z568" s="160">
        <f t="shared" si="181"/>
        <v>0</v>
      </c>
      <c r="AA568" s="161"/>
      <c r="AB568" s="161">
        <f t="shared" si="182"/>
        <v>0</v>
      </c>
      <c r="AC568" s="162">
        <v>30000</v>
      </c>
      <c r="AD568" s="162">
        <f t="shared" si="195"/>
        <v>1020000</v>
      </c>
      <c r="AE568" s="164"/>
      <c r="AF568" s="164">
        <f t="shared" si="196"/>
        <v>0</v>
      </c>
      <c r="AG568" s="165">
        <v>8400</v>
      </c>
      <c r="AH568" s="165">
        <f t="shared" si="197"/>
        <v>285600</v>
      </c>
      <c r="AI568" s="166">
        <v>0</v>
      </c>
      <c r="AJ568" s="166">
        <f t="shared" si="198"/>
        <v>0</v>
      </c>
      <c r="AK568" s="162"/>
      <c r="AL568" s="162">
        <f t="shared" si="188"/>
        <v>0</v>
      </c>
      <c r="AM568" s="167">
        <v>2400</v>
      </c>
      <c r="AN568" s="167">
        <f t="shared" si="183"/>
        <v>81600</v>
      </c>
      <c r="AO568" s="163"/>
      <c r="AP568" s="163">
        <f t="shared" si="184"/>
        <v>0</v>
      </c>
      <c r="AQ568" s="168"/>
      <c r="AR568" s="168">
        <f t="shared" si="185"/>
        <v>0</v>
      </c>
      <c r="AS568" s="170"/>
      <c r="AT568" s="170">
        <f t="shared" si="186"/>
        <v>0</v>
      </c>
      <c r="AU568" s="166"/>
      <c r="AV568" s="166">
        <f t="shared" si="187"/>
        <v>0</v>
      </c>
    </row>
    <row r="569" spans="1:48" ht="31.5">
      <c r="A569" s="148" t="s">
        <v>5358</v>
      </c>
      <c r="B569" s="150" t="s">
        <v>360</v>
      </c>
      <c r="C569" s="150" t="s">
        <v>358</v>
      </c>
      <c r="D569" s="634" t="s">
        <v>4821</v>
      </c>
      <c r="E569" s="631" t="s">
        <v>12642</v>
      </c>
      <c r="F569" s="175" t="s">
        <v>371</v>
      </c>
      <c r="G569" s="151" t="s">
        <v>248</v>
      </c>
      <c r="H569" s="174" t="s">
        <v>5325</v>
      </c>
      <c r="I569" s="150" t="s">
        <v>371</v>
      </c>
      <c r="J569" s="153" t="s">
        <v>5103</v>
      </c>
      <c r="K569" s="151">
        <v>36</v>
      </c>
      <c r="L569" s="151" t="s">
        <v>372</v>
      </c>
      <c r="M569" s="151" t="s">
        <v>360</v>
      </c>
      <c r="N569" s="152" t="s">
        <v>213</v>
      </c>
      <c r="O569" s="152" t="s">
        <v>10</v>
      </c>
      <c r="P569" s="176">
        <v>450</v>
      </c>
      <c r="Q569" s="177">
        <v>76</v>
      </c>
      <c r="R569" s="176">
        <v>728000</v>
      </c>
      <c r="S569" s="156">
        <f t="shared" si="178"/>
        <v>55328000</v>
      </c>
      <c r="T569" s="589"/>
      <c r="U569" s="157">
        <v>598000</v>
      </c>
      <c r="V569" s="158">
        <f t="shared" si="194"/>
        <v>455400</v>
      </c>
      <c r="W569" s="159">
        <f t="shared" si="179"/>
        <v>142600</v>
      </c>
      <c r="X569" s="159">
        <f t="shared" si="180"/>
        <v>10837600</v>
      </c>
      <c r="Y569" s="160"/>
      <c r="Z569" s="160">
        <f t="shared" si="181"/>
        <v>0</v>
      </c>
      <c r="AA569" s="161"/>
      <c r="AB569" s="161">
        <f t="shared" si="182"/>
        <v>0</v>
      </c>
      <c r="AC569" s="162">
        <v>5000</v>
      </c>
      <c r="AD569" s="162">
        <f t="shared" si="195"/>
        <v>380000</v>
      </c>
      <c r="AE569" s="164"/>
      <c r="AF569" s="164">
        <f t="shared" si="196"/>
        <v>0</v>
      </c>
      <c r="AG569" s="165">
        <f>10000+10000</f>
        <v>20000</v>
      </c>
      <c r="AH569" s="165">
        <f t="shared" si="197"/>
        <v>1520000</v>
      </c>
      <c r="AI569" s="166">
        <v>0</v>
      </c>
      <c r="AJ569" s="166">
        <f t="shared" si="198"/>
        <v>0</v>
      </c>
      <c r="AK569" s="162"/>
      <c r="AL569" s="162">
        <f t="shared" si="188"/>
        <v>0</v>
      </c>
      <c r="AM569" s="167"/>
      <c r="AN569" s="167">
        <f t="shared" si="183"/>
        <v>0</v>
      </c>
      <c r="AO569" s="163"/>
      <c r="AP569" s="163">
        <f t="shared" si="184"/>
        <v>0</v>
      </c>
      <c r="AQ569" s="168"/>
      <c r="AR569" s="168">
        <f t="shared" si="185"/>
        <v>0</v>
      </c>
      <c r="AS569" s="170">
        <v>17600</v>
      </c>
      <c r="AT569" s="170">
        <f t="shared" si="186"/>
        <v>1337600</v>
      </c>
      <c r="AU569" s="166">
        <v>100000</v>
      </c>
      <c r="AV569" s="166">
        <f t="shared" si="187"/>
        <v>7600000</v>
      </c>
    </row>
    <row r="570" spans="1:48" ht="31.5">
      <c r="A570" s="148" t="s">
        <v>5387</v>
      </c>
      <c r="B570" s="150" t="s">
        <v>360</v>
      </c>
      <c r="C570" s="150" t="s">
        <v>358</v>
      </c>
      <c r="D570" s="634" t="s">
        <v>4828</v>
      </c>
      <c r="E570" s="631" t="s">
        <v>12642</v>
      </c>
      <c r="F570" s="175" t="s">
        <v>274</v>
      </c>
      <c r="G570" s="151" t="s">
        <v>225</v>
      </c>
      <c r="H570" s="174" t="s">
        <v>5325</v>
      </c>
      <c r="I570" s="150" t="s">
        <v>274</v>
      </c>
      <c r="J570" s="153" t="s">
        <v>5150</v>
      </c>
      <c r="K570" s="151">
        <v>36</v>
      </c>
      <c r="L570" s="151" t="s">
        <v>373</v>
      </c>
      <c r="M570" s="151" t="s">
        <v>360</v>
      </c>
      <c r="N570" s="152" t="s">
        <v>213</v>
      </c>
      <c r="O570" s="152" t="s">
        <v>10</v>
      </c>
      <c r="P570" s="176">
        <v>7870</v>
      </c>
      <c r="Q570" s="177">
        <v>394</v>
      </c>
      <c r="R570" s="176">
        <v>182000</v>
      </c>
      <c r="S570" s="156">
        <f t="shared" si="178"/>
        <v>71708000</v>
      </c>
      <c r="T570" s="589"/>
      <c r="U570" s="157">
        <v>141200</v>
      </c>
      <c r="V570" s="158">
        <f t="shared" si="194"/>
        <v>114700</v>
      </c>
      <c r="W570" s="159">
        <f t="shared" si="179"/>
        <v>26500</v>
      </c>
      <c r="X570" s="159">
        <f t="shared" si="180"/>
        <v>10441000</v>
      </c>
      <c r="Y570" s="160"/>
      <c r="Z570" s="160">
        <f t="shared" si="181"/>
        <v>0</v>
      </c>
      <c r="AA570" s="161"/>
      <c r="AB570" s="161">
        <f t="shared" si="182"/>
        <v>0</v>
      </c>
      <c r="AC570" s="162">
        <v>10000</v>
      </c>
      <c r="AD570" s="162">
        <f t="shared" si="195"/>
        <v>3940000</v>
      </c>
      <c r="AE570" s="164"/>
      <c r="AF570" s="164">
        <f t="shared" si="196"/>
        <v>0</v>
      </c>
      <c r="AG570" s="165">
        <v>2500</v>
      </c>
      <c r="AH570" s="165">
        <f t="shared" si="197"/>
        <v>985000</v>
      </c>
      <c r="AI570" s="166">
        <v>0</v>
      </c>
      <c r="AJ570" s="166">
        <f t="shared" si="198"/>
        <v>0</v>
      </c>
      <c r="AK570" s="162"/>
      <c r="AL570" s="162">
        <f t="shared" si="188"/>
        <v>0</v>
      </c>
      <c r="AM570" s="167"/>
      <c r="AN570" s="167">
        <f t="shared" si="183"/>
        <v>0</v>
      </c>
      <c r="AO570" s="163"/>
      <c r="AP570" s="163">
        <f t="shared" si="184"/>
        <v>0</v>
      </c>
      <c r="AQ570" s="168"/>
      <c r="AR570" s="168">
        <f t="shared" si="185"/>
        <v>0</v>
      </c>
      <c r="AS570" s="170">
        <v>9000</v>
      </c>
      <c r="AT570" s="170">
        <f t="shared" si="186"/>
        <v>3546000</v>
      </c>
      <c r="AU570" s="166">
        <v>5000</v>
      </c>
      <c r="AV570" s="166">
        <f t="shared" si="187"/>
        <v>1970000</v>
      </c>
    </row>
    <row r="571" spans="1:48" ht="31.5">
      <c r="A571" s="172" t="s">
        <v>5390</v>
      </c>
      <c r="B571" s="150" t="s">
        <v>360</v>
      </c>
      <c r="C571" s="150" t="s">
        <v>358</v>
      </c>
      <c r="D571" s="634" t="s">
        <v>5391</v>
      </c>
      <c r="E571" s="631"/>
      <c r="F571" s="175" t="s">
        <v>323</v>
      </c>
      <c r="G571" s="151" t="s">
        <v>225</v>
      </c>
      <c r="H571" s="174" t="s">
        <v>5325</v>
      </c>
      <c r="I571" s="150" t="s">
        <v>5392</v>
      </c>
      <c r="J571" s="153" t="s">
        <v>5150</v>
      </c>
      <c r="K571" s="151">
        <v>36</v>
      </c>
      <c r="L571" s="151" t="s">
        <v>5393</v>
      </c>
      <c r="M571" s="151" t="s">
        <v>360</v>
      </c>
      <c r="N571" s="152" t="s">
        <v>213</v>
      </c>
      <c r="O571" s="152" t="s">
        <v>10</v>
      </c>
      <c r="P571" s="176">
        <v>3500</v>
      </c>
      <c r="Q571" s="177">
        <v>2127</v>
      </c>
      <c r="R571" s="176">
        <v>75000</v>
      </c>
      <c r="S571" s="156">
        <f t="shared" si="178"/>
        <v>159525000</v>
      </c>
      <c r="T571" s="589"/>
      <c r="U571" s="157">
        <v>75000</v>
      </c>
      <c r="V571" s="158">
        <f t="shared" si="194"/>
        <v>75000</v>
      </c>
      <c r="W571" s="159">
        <f t="shared" si="179"/>
        <v>0</v>
      </c>
      <c r="X571" s="159">
        <f t="shared" si="180"/>
        <v>0</v>
      </c>
      <c r="Y571" s="160"/>
      <c r="Z571" s="160">
        <f t="shared" si="181"/>
        <v>0</v>
      </c>
      <c r="AA571" s="161"/>
      <c r="AB571" s="161">
        <f t="shared" si="182"/>
        <v>0</v>
      </c>
      <c r="AC571" s="162"/>
      <c r="AD571" s="162">
        <f t="shared" si="195"/>
        <v>0</v>
      </c>
      <c r="AE571" s="164"/>
      <c r="AF571" s="164">
        <f t="shared" si="196"/>
        <v>0</v>
      </c>
      <c r="AG571" s="165"/>
      <c r="AH571" s="165">
        <f t="shared" si="197"/>
        <v>0</v>
      </c>
      <c r="AI571" s="166">
        <v>0</v>
      </c>
      <c r="AJ571" s="166">
        <f t="shared" si="198"/>
        <v>0</v>
      </c>
      <c r="AK571" s="162"/>
      <c r="AL571" s="162">
        <f t="shared" si="188"/>
        <v>0</v>
      </c>
      <c r="AM571" s="167"/>
      <c r="AN571" s="167">
        <f t="shared" si="183"/>
        <v>0</v>
      </c>
      <c r="AO571" s="163"/>
      <c r="AP571" s="163">
        <f t="shared" si="184"/>
        <v>0</v>
      </c>
      <c r="AQ571" s="168"/>
      <c r="AR571" s="168">
        <f t="shared" si="185"/>
        <v>0</v>
      </c>
      <c r="AS571" s="170"/>
      <c r="AT571" s="170">
        <f t="shared" si="186"/>
        <v>0</v>
      </c>
      <c r="AU571" s="166"/>
      <c r="AV571" s="166">
        <f t="shared" si="187"/>
        <v>0</v>
      </c>
    </row>
    <row r="572" spans="1:48" s="131" customFormat="1" ht="31.5">
      <c r="A572" s="148" t="s">
        <v>5405</v>
      </c>
      <c r="B572" s="150" t="s">
        <v>360</v>
      </c>
      <c r="C572" s="150" t="s">
        <v>358</v>
      </c>
      <c r="D572" s="634" t="s">
        <v>4841</v>
      </c>
      <c r="E572" s="631" t="s">
        <v>12642</v>
      </c>
      <c r="F572" s="175" t="s">
        <v>374</v>
      </c>
      <c r="G572" s="151" t="s">
        <v>258</v>
      </c>
      <c r="H572" s="174" t="s">
        <v>5325</v>
      </c>
      <c r="I572" s="150" t="s">
        <v>374</v>
      </c>
      <c r="J572" s="153" t="s">
        <v>5362</v>
      </c>
      <c r="K572" s="151">
        <v>36</v>
      </c>
      <c r="L572" s="151" t="s">
        <v>5406</v>
      </c>
      <c r="M572" s="151" t="s">
        <v>360</v>
      </c>
      <c r="N572" s="152" t="s">
        <v>213</v>
      </c>
      <c r="O572" s="152" t="s">
        <v>10</v>
      </c>
      <c r="P572" s="176">
        <v>400</v>
      </c>
      <c r="Q572" s="177">
        <v>275</v>
      </c>
      <c r="R572" s="176">
        <v>75000</v>
      </c>
      <c r="S572" s="156">
        <f t="shared" si="178"/>
        <v>20625000</v>
      </c>
      <c r="T572" s="589"/>
      <c r="U572" s="157">
        <v>72300</v>
      </c>
      <c r="V572" s="158">
        <f t="shared" si="194"/>
        <v>69800</v>
      </c>
      <c r="W572" s="159">
        <f t="shared" si="179"/>
        <v>2500</v>
      </c>
      <c r="X572" s="159">
        <f t="shared" si="180"/>
        <v>687500</v>
      </c>
      <c r="Y572" s="160"/>
      <c r="Z572" s="160">
        <f t="shared" si="181"/>
        <v>0</v>
      </c>
      <c r="AA572" s="161"/>
      <c r="AB572" s="161">
        <f t="shared" si="182"/>
        <v>0</v>
      </c>
      <c r="AC572" s="162">
        <v>500</v>
      </c>
      <c r="AD572" s="162">
        <f t="shared" si="195"/>
        <v>137500</v>
      </c>
      <c r="AE572" s="163"/>
      <c r="AF572" s="164">
        <f t="shared" si="196"/>
        <v>0</v>
      </c>
      <c r="AG572" s="161"/>
      <c r="AH572" s="165">
        <f t="shared" si="197"/>
        <v>0</v>
      </c>
      <c r="AI572" s="160">
        <v>0</v>
      </c>
      <c r="AJ572" s="166">
        <f t="shared" si="198"/>
        <v>0</v>
      </c>
      <c r="AK572" s="162"/>
      <c r="AL572" s="162">
        <f t="shared" si="188"/>
        <v>0</v>
      </c>
      <c r="AM572" s="167"/>
      <c r="AN572" s="167">
        <f t="shared" si="183"/>
        <v>0</v>
      </c>
      <c r="AO572" s="163"/>
      <c r="AP572" s="163">
        <f t="shared" si="184"/>
        <v>0</v>
      </c>
      <c r="AQ572" s="162"/>
      <c r="AR572" s="168">
        <f t="shared" si="185"/>
        <v>0</v>
      </c>
      <c r="AS572" s="169">
        <v>2000</v>
      </c>
      <c r="AT572" s="170">
        <f t="shared" si="186"/>
        <v>550000</v>
      </c>
      <c r="AU572" s="160"/>
      <c r="AV572" s="166">
        <f t="shared" si="187"/>
        <v>0</v>
      </c>
    </row>
    <row r="573" spans="1:48" s="131" customFormat="1" ht="31.5">
      <c r="A573" s="148" t="s">
        <v>5407</v>
      </c>
      <c r="B573" s="150" t="s">
        <v>360</v>
      </c>
      <c r="C573" s="150" t="s">
        <v>358</v>
      </c>
      <c r="D573" s="634" t="s">
        <v>4846</v>
      </c>
      <c r="E573" s="631" t="s">
        <v>12642</v>
      </c>
      <c r="F573" s="175" t="s">
        <v>236</v>
      </c>
      <c r="G573" s="151" t="s">
        <v>327</v>
      </c>
      <c r="H573" s="174" t="s">
        <v>5325</v>
      </c>
      <c r="I573" s="150" t="s">
        <v>236</v>
      </c>
      <c r="J573" s="153" t="s">
        <v>5103</v>
      </c>
      <c r="K573" s="151">
        <v>36</v>
      </c>
      <c r="L573" s="151" t="s">
        <v>375</v>
      </c>
      <c r="M573" s="151" t="s">
        <v>360</v>
      </c>
      <c r="N573" s="152" t="s">
        <v>213</v>
      </c>
      <c r="O573" s="152" t="s">
        <v>10</v>
      </c>
      <c r="P573" s="176">
        <v>800</v>
      </c>
      <c r="Q573" s="177">
        <v>77</v>
      </c>
      <c r="R573" s="176">
        <v>728000</v>
      </c>
      <c r="S573" s="156">
        <f t="shared" si="178"/>
        <v>56056000</v>
      </c>
      <c r="T573" s="589"/>
      <c r="U573" s="157">
        <v>588000</v>
      </c>
      <c r="V573" s="158">
        <f t="shared" si="194"/>
        <v>469000</v>
      </c>
      <c r="W573" s="159">
        <f t="shared" si="179"/>
        <v>119000</v>
      </c>
      <c r="X573" s="159">
        <f t="shared" si="180"/>
        <v>9163000</v>
      </c>
      <c r="Y573" s="160"/>
      <c r="Z573" s="160">
        <f t="shared" si="181"/>
        <v>0</v>
      </c>
      <c r="AA573" s="161"/>
      <c r="AB573" s="161">
        <f t="shared" si="182"/>
        <v>0</v>
      </c>
      <c r="AC573" s="162"/>
      <c r="AD573" s="162">
        <f t="shared" si="195"/>
        <v>0</v>
      </c>
      <c r="AE573" s="163"/>
      <c r="AF573" s="164">
        <f t="shared" si="196"/>
        <v>0</v>
      </c>
      <c r="AG573" s="161">
        <f>10000+9000</f>
        <v>19000</v>
      </c>
      <c r="AH573" s="165">
        <f t="shared" si="197"/>
        <v>1463000</v>
      </c>
      <c r="AI573" s="160">
        <v>0</v>
      </c>
      <c r="AJ573" s="166">
        <f t="shared" si="198"/>
        <v>0</v>
      </c>
      <c r="AK573" s="162"/>
      <c r="AL573" s="162">
        <f t="shared" si="188"/>
        <v>0</v>
      </c>
      <c r="AM573" s="167"/>
      <c r="AN573" s="167">
        <f t="shared" si="183"/>
        <v>0</v>
      </c>
      <c r="AO573" s="163"/>
      <c r="AP573" s="163">
        <f t="shared" si="184"/>
        <v>0</v>
      </c>
      <c r="AQ573" s="162"/>
      <c r="AR573" s="168">
        <f t="shared" si="185"/>
        <v>0</v>
      </c>
      <c r="AS573" s="169"/>
      <c r="AT573" s="170">
        <f t="shared" si="186"/>
        <v>0</v>
      </c>
      <c r="AU573" s="160">
        <v>100000</v>
      </c>
      <c r="AV573" s="166">
        <f t="shared" si="187"/>
        <v>7700000</v>
      </c>
    </row>
    <row r="574" spans="1:48" s="131" customFormat="1" ht="31.5">
      <c r="A574" s="148" t="s">
        <v>5414</v>
      </c>
      <c r="B574" s="150" t="s">
        <v>360</v>
      </c>
      <c r="C574" s="150" t="s">
        <v>358</v>
      </c>
      <c r="D574" s="634" t="s">
        <v>5415</v>
      </c>
      <c r="E574" s="631"/>
      <c r="F574" s="175" t="s">
        <v>376</v>
      </c>
      <c r="G574" s="151" t="s">
        <v>262</v>
      </c>
      <c r="H574" s="174" t="s">
        <v>5325</v>
      </c>
      <c r="I574" s="150" t="s">
        <v>376</v>
      </c>
      <c r="J574" s="153" t="s">
        <v>5362</v>
      </c>
      <c r="K574" s="151">
        <v>36</v>
      </c>
      <c r="L574" s="151" t="s">
        <v>377</v>
      </c>
      <c r="M574" s="151" t="s">
        <v>360</v>
      </c>
      <c r="N574" s="152" t="s">
        <v>213</v>
      </c>
      <c r="O574" s="152" t="s">
        <v>10</v>
      </c>
      <c r="P574" s="176">
        <v>1500</v>
      </c>
      <c r="Q574" s="177">
        <v>495</v>
      </c>
      <c r="R574" s="176">
        <v>107000</v>
      </c>
      <c r="S574" s="156">
        <f t="shared" si="178"/>
        <v>52965000</v>
      </c>
      <c r="T574" s="589"/>
      <c r="U574" s="157">
        <v>92000</v>
      </c>
      <c r="V574" s="158">
        <f t="shared" si="194"/>
        <v>92000</v>
      </c>
      <c r="W574" s="159">
        <f t="shared" si="179"/>
        <v>0</v>
      </c>
      <c r="X574" s="159">
        <f t="shared" si="180"/>
        <v>0</v>
      </c>
      <c r="Y574" s="160"/>
      <c r="Z574" s="160">
        <f t="shared" si="181"/>
        <v>0</v>
      </c>
      <c r="AA574" s="161"/>
      <c r="AB574" s="161">
        <f t="shared" si="182"/>
        <v>0</v>
      </c>
      <c r="AC574" s="162"/>
      <c r="AD574" s="162">
        <f t="shared" si="195"/>
        <v>0</v>
      </c>
      <c r="AE574" s="164"/>
      <c r="AF574" s="164">
        <f t="shared" si="196"/>
        <v>0</v>
      </c>
      <c r="AG574" s="165"/>
      <c r="AH574" s="165">
        <f t="shared" si="197"/>
        <v>0</v>
      </c>
      <c r="AI574" s="166">
        <v>0</v>
      </c>
      <c r="AJ574" s="166">
        <f t="shared" si="198"/>
        <v>0</v>
      </c>
      <c r="AK574" s="162"/>
      <c r="AL574" s="162">
        <f t="shared" si="188"/>
        <v>0</v>
      </c>
      <c r="AM574" s="167"/>
      <c r="AN574" s="167">
        <f t="shared" si="183"/>
        <v>0</v>
      </c>
      <c r="AO574" s="163"/>
      <c r="AP574" s="163">
        <f t="shared" si="184"/>
        <v>0</v>
      </c>
      <c r="AQ574" s="168"/>
      <c r="AR574" s="168">
        <f t="shared" si="185"/>
        <v>0</v>
      </c>
      <c r="AS574" s="170"/>
      <c r="AT574" s="170">
        <f t="shared" si="186"/>
        <v>0</v>
      </c>
      <c r="AU574" s="166"/>
      <c r="AV574" s="166">
        <f t="shared" si="187"/>
        <v>0</v>
      </c>
    </row>
    <row r="575" spans="1:48" s="131" customFormat="1" ht="31.5">
      <c r="A575" s="148" t="s">
        <v>5421</v>
      </c>
      <c r="B575" s="150" t="s">
        <v>360</v>
      </c>
      <c r="C575" s="150" t="s">
        <v>358</v>
      </c>
      <c r="D575" s="634" t="s">
        <v>4788</v>
      </c>
      <c r="E575" s="631" t="s">
        <v>12642</v>
      </c>
      <c r="F575" s="175" t="s">
        <v>359</v>
      </c>
      <c r="G575" s="151" t="s">
        <v>262</v>
      </c>
      <c r="H575" s="174" t="s">
        <v>5325</v>
      </c>
      <c r="I575" s="150" t="s">
        <v>359</v>
      </c>
      <c r="J575" s="153" t="s">
        <v>5103</v>
      </c>
      <c r="K575" s="151">
        <v>36</v>
      </c>
      <c r="L575" s="151" t="s">
        <v>5422</v>
      </c>
      <c r="M575" s="151" t="s">
        <v>360</v>
      </c>
      <c r="N575" s="152" t="s">
        <v>213</v>
      </c>
      <c r="O575" s="152" t="s">
        <v>10</v>
      </c>
      <c r="P575" s="176">
        <v>600</v>
      </c>
      <c r="Q575" s="177">
        <v>302</v>
      </c>
      <c r="R575" s="176">
        <v>109200</v>
      </c>
      <c r="S575" s="156">
        <f t="shared" si="178"/>
        <v>32978400</v>
      </c>
      <c r="T575" s="589"/>
      <c r="U575" s="157">
        <v>108200</v>
      </c>
      <c r="V575" s="158">
        <f t="shared" si="194"/>
        <v>107700</v>
      </c>
      <c r="W575" s="159">
        <f t="shared" si="179"/>
        <v>500</v>
      </c>
      <c r="X575" s="159">
        <f t="shared" si="180"/>
        <v>151000</v>
      </c>
      <c r="Y575" s="160"/>
      <c r="Z575" s="160">
        <f t="shared" si="181"/>
        <v>0</v>
      </c>
      <c r="AA575" s="161"/>
      <c r="AB575" s="161">
        <f t="shared" si="182"/>
        <v>0</v>
      </c>
      <c r="AC575" s="162">
        <v>200</v>
      </c>
      <c r="AD575" s="162">
        <f t="shared" si="195"/>
        <v>60400</v>
      </c>
      <c r="AE575" s="164"/>
      <c r="AF575" s="164">
        <f t="shared" si="196"/>
        <v>0</v>
      </c>
      <c r="AG575" s="165">
        <v>300</v>
      </c>
      <c r="AH575" s="165">
        <f t="shared" si="197"/>
        <v>90600</v>
      </c>
      <c r="AI575" s="166">
        <v>0</v>
      </c>
      <c r="AJ575" s="166">
        <f t="shared" si="198"/>
        <v>0</v>
      </c>
      <c r="AK575" s="162"/>
      <c r="AL575" s="162">
        <f t="shared" si="188"/>
        <v>0</v>
      </c>
      <c r="AM575" s="167"/>
      <c r="AN575" s="167">
        <f t="shared" si="183"/>
        <v>0</v>
      </c>
      <c r="AO575" s="163"/>
      <c r="AP575" s="163">
        <f t="shared" si="184"/>
        <v>0</v>
      </c>
      <c r="AQ575" s="168"/>
      <c r="AR575" s="168">
        <f t="shared" si="185"/>
        <v>0</v>
      </c>
      <c r="AS575" s="170"/>
      <c r="AT575" s="170">
        <f t="shared" si="186"/>
        <v>0</v>
      </c>
      <c r="AU575" s="166"/>
      <c r="AV575" s="166">
        <f t="shared" si="187"/>
        <v>0</v>
      </c>
    </row>
    <row r="576" spans="1:48" s="131" customFormat="1" ht="31.5">
      <c r="A576" s="148" t="s">
        <v>5448</v>
      </c>
      <c r="B576" s="150" t="s">
        <v>360</v>
      </c>
      <c r="C576" s="150" t="s">
        <v>358</v>
      </c>
      <c r="D576" s="634" t="s">
        <v>4857</v>
      </c>
      <c r="E576" s="631" t="s">
        <v>12642</v>
      </c>
      <c r="F576" s="175" t="s">
        <v>378</v>
      </c>
      <c r="G576" s="151" t="s">
        <v>334</v>
      </c>
      <c r="H576" s="174" t="s">
        <v>5325</v>
      </c>
      <c r="I576" s="150" t="s">
        <v>378</v>
      </c>
      <c r="J576" s="153" t="s">
        <v>5150</v>
      </c>
      <c r="K576" s="151">
        <v>36</v>
      </c>
      <c r="L576" s="151" t="s">
        <v>379</v>
      </c>
      <c r="M576" s="151" t="s">
        <v>360</v>
      </c>
      <c r="N576" s="152" t="s">
        <v>213</v>
      </c>
      <c r="O576" s="152" t="s">
        <v>10</v>
      </c>
      <c r="P576" s="176">
        <v>350</v>
      </c>
      <c r="Q576" s="177">
        <v>234</v>
      </c>
      <c r="R576" s="176">
        <v>146000</v>
      </c>
      <c r="S576" s="156">
        <f t="shared" si="178"/>
        <v>34164000</v>
      </c>
      <c r="T576" s="589"/>
      <c r="U576" s="157">
        <v>62000</v>
      </c>
      <c r="V576" s="158">
        <f t="shared" si="194"/>
        <v>9500</v>
      </c>
      <c r="W576" s="159">
        <f t="shared" si="179"/>
        <v>52500</v>
      </c>
      <c r="X576" s="159">
        <f t="shared" si="180"/>
        <v>12285000</v>
      </c>
      <c r="Y576" s="160"/>
      <c r="Z576" s="160">
        <f t="shared" si="181"/>
        <v>0</v>
      </c>
      <c r="AA576" s="161"/>
      <c r="AB576" s="161">
        <f t="shared" si="182"/>
        <v>0</v>
      </c>
      <c r="AC576" s="162">
        <v>12500</v>
      </c>
      <c r="AD576" s="162">
        <f t="shared" si="195"/>
        <v>2925000</v>
      </c>
      <c r="AE576" s="164"/>
      <c r="AF576" s="164">
        <f t="shared" si="196"/>
        <v>0</v>
      </c>
      <c r="AG576" s="165">
        <f>5000+20000</f>
        <v>25000</v>
      </c>
      <c r="AH576" s="165">
        <f t="shared" si="197"/>
        <v>5850000</v>
      </c>
      <c r="AI576" s="166">
        <v>0</v>
      </c>
      <c r="AJ576" s="166">
        <f t="shared" si="198"/>
        <v>0</v>
      </c>
      <c r="AK576" s="162"/>
      <c r="AL576" s="162">
        <f t="shared" si="188"/>
        <v>0</v>
      </c>
      <c r="AM576" s="167">
        <v>15000</v>
      </c>
      <c r="AN576" s="167">
        <f t="shared" si="183"/>
        <v>3510000</v>
      </c>
      <c r="AO576" s="163"/>
      <c r="AP576" s="163">
        <f t="shared" si="184"/>
        <v>0</v>
      </c>
      <c r="AQ576" s="168"/>
      <c r="AR576" s="168">
        <f t="shared" si="185"/>
        <v>0</v>
      </c>
      <c r="AS576" s="170"/>
      <c r="AT576" s="170">
        <f t="shared" si="186"/>
        <v>0</v>
      </c>
      <c r="AU576" s="166"/>
      <c r="AV576" s="166">
        <f t="shared" si="187"/>
        <v>0</v>
      </c>
    </row>
    <row r="577" spans="1:49" s="131" customFormat="1" ht="31.5">
      <c r="A577" s="148" t="s">
        <v>5449</v>
      </c>
      <c r="B577" s="150" t="s">
        <v>360</v>
      </c>
      <c r="C577" s="150" t="s">
        <v>358</v>
      </c>
      <c r="D577" s="634" t="s">
        <v>5450</v>
      </c>
      <c r="E577" s="631"/>
      <c r="F577" s="175" t="s">
        <v>286</v>
      </c>
      <c r="G577" s="151" t="s">
        <v>225</v>
      </c>
      <c r="H577" s="174" t="s">
        <v>5325</v>
      </c>
      <c r="I577" s="150" t="s">
        <v>5451</v>
      </c>
      <c r="J577" s="153" t="s">
        <v>5452</v>
      </c>
      <c r="K577" s="151">
        <v>36</v>
      </c>
      <c r="L577" s="151" t="s">
        <v>5453</v>
      </c>
      <c r="M577" s="151" t="s">
        <v>360</v>
      </c>
      <c r="N577" s="152" t="s">
        <v>213</v>
      </c>
      <c r="O577" s="152" t="s">
        <v>10</v>
      </c>
      <c r="P577" s="176">
        <v>5000</v>
      </c>
      <c r="Q577" s="177">
        <v>648</v>
      </c>
      <c r="R577" s="176">
        <v>72800</v>
      </c>
      <c r="S577" s="156">
        <f t="shared" si="178"/>
        <v>47174400</v>
      </c>
      <c r="T577" s="589"/>
      <c r="U577" s="157">
        <v>72800</v>
      </c>
      <c r="V577" s="158">
        <f t="shared" si="194"/>
        <v>72800</v>
      </c>
      <c r="W577" s="159">
        <f t="shared" si="179"/>
        <v>0</v>
      </c>
      <c r="X577" s="159">
        <f t="shared" si="180"/>
        <v>0</v>
      </c>
      <c r="Y577" s="160"/>
      <c r="Z577" s="160">
        <f t="shared" si="181"/>
        <v>0</v>
      </c>
      <c r="AA577" s="161"/>
      <c r="AB577" s="161">
        <f t="shared" si="182"/>
        <v>0</v>
      </c>
      <c r="AC577" s="162"/>
      <c r="AD577" s="162">
        <f t="shared" si="195"/>
        <v>0</v>
      </c>
      <c r="AE577" s="163"/>
      <c r="AF577" s="164">
        <f t="shared" si="196"/>
        <v>0</v>
      </c>
      <c r="AG577" s="161"/>
      <c r="AH577" s="165">
        <f t="shared" si="197"/>
        <v>0</v>
      </c>
      <c r="AI577" s="160">
        <v>0</v>
      </c>
      <c r="AJ577" s="166">
        <f t="shared" si="198"/>
        <v>0</v>
      </c>
      <c r="AK577" s="162"/>
      <c r="AL577" s="162">
        <f t="shared" si="188"/>
        <v>0</v>
      </c>
      <c r="AM577" s="167"/>
      <c r="AN577" s="167">
        <f t="shared" si="183"/>
        <v>0</v>
      </c>
      <c r="AO577" s="163"/>
      <c r="AP577" s="163">
        <f t="shared" si="184"/>
        <v>0</v>
      </c>
      <c r="AQ577" s="162"/>
      <c r="AR577" s="168">
        <f t="shared" si="185"/>
        <v>0</v>
      </c>
      <c r="AS577" s="169"/>
      <c r="AT577" s="170">
        <f t="shared" si="186"/>
        <v>0</v>
      </c>
      <c r="AU577" s="160"/>
      <c r="AV577" s="166">
        <f t="shared" si="187"/>
        <v>0</v>
      </c>
    </row>
    <row r="578" spans="1:49" s="131" customFormat="1" ht="31.5">
      <c r="A578" s="148" t="s">
        <v>5464</v>
      </c>
      <c r="B578" s="150" t="s">
        <v>360</v>
      </c>
      <c r="C578" s="150" t="s">
        <v>358</v>
      </c>
      <c r="D578" s="634" t="s">
        <v>5465</v>
      </c>
      <c r="E578" s="631" t="s">
        <v>12642</v>
      </c>
      <c r="F578" s="175" t="s">
        <v>353</v>
      </c>
      <c r="G578" s="151" t="s">
        <v>381</v>
      </c>
      <c r="H578" s="174" t="s">
        <v>5325</v>
      </c>
      <c r="I578" s="150" t="s">
        <v>353</v>
      </c>
      <c r="J578" s="153" t="s">
        <v>5103</v>
      </c>
      <c r="K578" s="151">
        <v>36</v>
      </c>
      <c r="L578" s="151" t="s">
        <v>382</v>
      </c>
      <c r="M578" s="151" t="s">
        <v>360</v>
      </c>
      <c r="N578" s="152" t="s">
        <v>213</v>
      </c>
      <c r="O578" s="152" t="s">
        <v>10</v>
      </c>
      <c r="P578" s="176">
        <v>4050</v>
      </c>
      <c r="Q578" s="177">
        <v>53</v>
      </c>
      <c r="R578" s="176">
        <v>364000</v>
      </c>
      <c r="S578" s="156">
        <f t="shared" si="178"/>
        <v>19292000</v>
      </c>
      <c r="T578" s="589"/>
      <c r="U578" s="157">
        <v>287000</v>
      </c>
      <c r="V578" s="158">
        <f t="shared" si="194"/>
        <v>260500</v>
      </c>
      <c r="W578" s="159">
        <f t="shared" si="179"/>
        <v>26500</v>
      </c>
      <c r="X578" s="159">
        <f t="shared" si="180"/>
        <v>1404500</v>
      </c>
      <c r="Y578" s="160"/>
      <c r="Z578" s="160">
        <f t="shared" si="181"/>
        <v>0</v>
      </c>
      <c r="AA578" s="161">
        <v>10000</v>
      </c>
      <c r="AB578" s="161">
        <f t="shared" si="182"/>
        <v>530000</v>
      </c>
      <c r="AC578" s="162"/>
      <c r="AD578" s="162">
        <f t="shared" si="195"/>
        <v>0</v>
      </c>
      <c r="AE578" s="164"/>
      <c r="AF578" s="164">
        <f t="shared" si="196"/>
        <v>0</v>
      </c>
      <c r="AG578" s="165">
        <v>1000</v>
      </c>
      <c r="AH578" s="165">
        <f t="shared" si="197"/>
        <v>53000</v>
      </c>
      <c r="AI578" s="166">
        <v>0</v>
      </c>
      <c r="AJ578" s="166">
        <f t="shared" si="198"/>
        <v>0</v>
      </c>
      <c r="AK578" s="162"/>
      <c r="AL578" s="162">
        <f t="shared" si="188"/>
        <v>0</v>
      </c>
      <c r="AM578" s="167">
        <v>500</v>
      </c>
      <c r="AN578" s="167">
        <f t="shared" si="183"/>
        <v>26500</v>
      </c>
      <c r="AO578" s="163"/>
      <c r="AP578" s="163">
        <f t="shared" si="184"/>
        <v>0</v>
      </c>
      <c r="AQ578" s="168"/>
      <c r="AR578" s="168">
        <f t="shared" si="185"/>
        <v>0</v>
      </c>
      <c r="AS578" s="170"/>
      <c r="AT578" s="170">
        <f t="shared" si="186"/>
        <v>0</v>
      </c>
      <c r="AU578" s="166">
        <v>15000</v>
      </c>
      <c r="AV578" s="166">
        <f t="shared" si="187"/>
        <v>795000</v>
      </c>
    </row>
    <row r="579" spans="1:49" s="131" customFormat="1" ht="31.5">
      <c r="A579" s="148" t="s">
        <v>5466</v>
      </c>
      <c r="B579" s="150" t="s">
        <v>360</v>
      </c>
      <c r="C579" s="150" t="s">
        <v>358</v>
      </c>
      <c r="D579" s="634" t="s">
        <v>4864</v>
      </c>
      <c r="E579" s="631" t="s">
        <v>12642</v>
      </c>
      <c r="F579" s="175" t="s">
        <v>353</v>
      </c>
      <c r="G579" s="151" t="s">
        <v>384</v>
      </c>
      <c r="H579" s="174" t="s">
        <v>5325</v>
      </c>
      <c r="I579" s="150" t="s">
        <v>383</v>
      </c>
      <c r="J579" s="153" t="s">
        <v>5103</v>
      </c>
      <c r="K579" s="151">
        <v>36</v>
      </c>
      <c r="L579" s="151" t="s">
        <v>385</v>
      </c>
      <c r="M579" s="151" t="s">
        <v>360</v>
      </c>
      <c r="N579" s="152" t="s">
        <v>213</v>
      </c>
      <c r="O579" s="152" t="s">
        <v>10</v>
      </c>
      <c r="P579" s="176">
        <v>950</v>
      </c>
      <c r="Q579" s="177">
        <v>120</v>
      </c>
      <c r="R579" s="176">
        <v>182000</v>
      </c>
      <c r="S579" s="156">
        <f t="shared" si="178"/>
        <v>21840000</v>
      </c>
      <c r="T579" s="589"/>
      <c r="U579" s="157">
        <v>148000</v>
      </c>
      <c r="V579" s="158">
        <f t="shared" si="194"/>
        <v>117500</v>
      </c>
      <c r="W579" s="159">
        <f t="shared" si="179"/>
        <v>30500</v>
      </c>
      <c r="X579" s="159">
        <f t="shared" si="180"/>
        <v>3660000</v>
      </c>
      <c r="Y579" s="160"/>
      <c r="Z579" s="160">
        <f t="shared" si="181"/>
        <v>0</v>
      </c>
      <c r="AA579" s="161">
        <v>5500</v>
      </c>
      <c r="AB579" s="161">
        <f t="shared" si="182"/>
        <v>660000</v>
      </c>
      <c r="AC579" s="162"/>
      <c r="AD579" s="162">
        <f t="shared" si="195"/>
        <v>0</v>
      </c>
      <c r="AE579" s="164"/>
      <c r="AF579" s="164">
        <f t="shared" si="196"/>
        <v>0</v>
      </c>
      <c r="AG579" s="165">
        <v>8000</v>
      </c>
      <c r="AH579" s="165">
        <f t="shared" si="197"/>
        <v>960000</v>
      </c>
      <c r="AI579" s="166">
        <v>0</v>
      </c>
      <c r="AJ579" s="166">
        <f t="shared" si="198"/>
        <v>0</v>
      </c>
      <c r="AK579" s="162"/>
      <c r="AL579" s="162">
        <f t="shared" si="188"/>
        <v>0</v>
      </c>
      <c r="AM579" s="167">
        <v>2000</v>
      </c>
      <c r="AN579" s="167">
        <f t="shared" si="183"/>
        <v>240000</v>
      </c>
      <c r="AO579" s="163"/>
      <c r="AP579" s="163">
        <f t="shared" si="184"/>
        <v>0</v>
      </c>
      <c r="AQ579" s="168"/>
      <c r="AR579" s="168">
        <f t="shared" si="185"/>
        <v>0</v>
      </c>
      <c r="AS579" s="170"/>
      <c r="AT579" s="170">
        <f t="shared" si="186"/>
        <v>0</v>
      </c>
      <c r="AU579" s="166">
        <f>13000+2000</f>
        <v>15000</v>
      </c>
      <c r="AV579" s="166">
        <f t="shared" si="187"/>
        <v>1800000</v>
      </c>
    </row>
    <row r="580" spans="1:49" s="131" customFormat="1" ht="31.5">
      <c r="A580" s="172" t="s">
        <v>5467</v>
      </c>
      <c r="B580" s="150" t="s">
        <v>360</v>
      </c>
      <c r="C580" s="150" t="s">
        <v>358</v>
      </c>
      <c r="D580" s="634" t="s">
        <v>4884</v>
      </c>
      <c r="E580" s="631" t="s">
        <v>12642</v>
      </c>
      <c r="F580" s="175" t="s">
        <v>265</v>
      </c>
      <c r="G580" s="151" t="s">
        <v>387</v>
      </c>
      <c r="H580" s="174" t="s">
        <v>5325</v>
      </c>
      <c r="I580" s="150" t="s">
        <v>386</v>
      </c>
      <c r="J580" s="153" t="s">
        <v>5103</v>
      </c>
      <c r="K580" s="151">
        <v>36</v>
      </c>
      <c r="L580" s="151" t="s">
        <v>388</v>
      </c>
      <c r="M580" s="151" t="s">
        <v>360</v>
      </c>
      <c r="N580" s="152" t="s">
        <v>213</v>
      </c>
      <c r="O580" s="152" t="s">
        <v>10</v>
      </c>
      <c r="P580" s="176">
        <v>2650</v>
      </c>
      <c r="Q580" s="177">
        <v>677</v>
      </c>
      <c r="R580" s="176">
        <v>300000</v>
      </c>
      <c r="S580" s="156">
        <f t="shared" si="178"/>
        <v>203100000</v>
      </c>
      <c r="T580" s="589"/>
      <c r="U580" s="157">
        <v>300000</v>
      </c>
      <c r="V580" s="158">
        <f t="shared" si="194"/>
        <v>292500</v>
      </c>
      <c r="W580" s="159">
        <f t="shared" si="179"/>
        <v>7500</v>
      </c>
      <c r="X580" s="159">
        <f t="shared" si="180"/>
        <v>5077500</v>
      </c>
      <c r="Y580" s="160"/>
      <c r="Z580" s="160">
        <f t="shared" si="181"/>
        <v>0</v>
      </c>
      <c r="AA580" s="165">
        <v>1500</v>
      </c>
      <c r="AB580" s="161">
        <f t="shared" si="182"/>
        <v>1015500</v>
      </c>
      <c r="AC580" s="162"/>
      <c r="AD580" s="162">
        <f t="shared" si="195"/>
        <v>0</v>
      </c>
      <c r="AE580" s="164"/>
      <c r="AF580" s="164">
        <f t="shared" si="196"/>
        <v>0</v>
      </c>
      <c r="AG580" s="165">
        <v>1000</v>
      </c>
      <c r="AH580" s="165">
        <f t="shared" si="197"/>
        <v>677000</v>
      </c>
      <c r="AI580" s="166">
        <v>0</v>
      </c>
      <c r="AJ580" s="166">
        <f t="shared" si="198"/>
        <v>0</v>
      </c>
      <c r="AK580" s="162"/>
      <c r="AL580" s="162">
        <f t="shared" si="188"/>
        <v>0</v>
      </c>
      <c r="AM580" s="173"/>
      <c r="AN580" s="167">
        <f t="shared" si="183"/>
        <v>0</v>
      </c>
      <c r="AO580" s="163"/>
      <c r="AP580" s="163">
        <f t="shared" si="184"/>
        <v>0</v>
      </c>
      <c r="AQ580" s="168"/>
      <c r="AR580" s="168">
        <f t="shared" si="185"/>
        <v>0</v>
      </c>
      <c r="AS580" s="170"/>
      <c r="AT580" s="170">
        <f t="shared" si="186"/>
        <v>0</v>
      </c>
      <c r="AU580" s="166">
        <v>5000</v>
      </c>
      <c r="AV580" s="166">
        <f t="shared" si="187"/>
        <v>3385000</v>
      </c>
    </row>
    <row r="581" spans="1:49" s="131" customFormat="1" ht="31.5">
      <c r="A581" s="148" t="s">
        <v>5470</v>
      </c>
      <c r="B581" s="150" t="s">
        <v>360</v>
      </c>
      <c r="C581" s="150" t="s">
        <v>358</v>
      </c>
      <c r="D581" s="634" t="s">
        <v>4885</v>
      </c>
      <c r="E581" s="631" t="s">
        <v>12642</v>
      </c>
      <c r="F581" s="175" t="s">
        <v>265</v>
      </c>
      <c r="G581" s="151" t="s">
        <v>390</v>
      </c>
      <c r="H581" s="174" t="s">
        <v>5325</v>
      </c>
      <c r="I581" s="150" t="s">
        <v>389</v>
      </c>
      <c r="J581" s="153" t="s">
        <v>5103</v>
      </c>
      <c r="K581" s="151">
        <v>36</v>
      </c>
      <c r="L581" s="151" t="s">
        <v>391</v>
      </c>
      <c r="M581" s="151" t="s">
        <v>360</v>
      </c>
      <c r="N581" s="152" t="s">
        <v>213</v>
      </c>
      <c r="O581" s="152" t="s">
        <v>10</v>
      </c>
      <c r="P581" s="176">
        <v>600</v>
      </c>
      <c r="Q581" s="177">
        <v>230</v>
      </c>
      <c r="R581" s="176">
        <v>546000</v>
      </c>
      <c r="S581" s="156">
        <f t="shared" ref="S581:S644" si="199">R581*Q581</f>
        <v>125580000</v>
      </c>
      <c r="T581" s="589"/>
      <c r="U581" s="157">
        <v>486500</v>
      </c>
      <c r="V581" s="158">
        <f t="shared" si="194"/>
        <v>418500</v>
      </c>
      <c r="W581" s="159">
        <f t="shared" ref="W581:W644" si="200">Y581+AA581+AC581+AE581+AG581+AI581+AK581+AM581+AO581+AQ581+AS581+AU581</f>
        <v>68000</v>
      </c>
      <c r="X581" s="159">
        <f t="shared" ref="X581:X644" si="201">W581*Q581</f>
        <v>15640000</v>
      </c>
      <c r="Y581" s="160"/>
      <c r="Z581" s="160">
        <f t="shared" ref="Z581:Z644" si="202">Y581*Q581</f>
        <v>0</v>
      </c>
      <c r="AA581" s="165">
        <v>7500</v>
      </c>
      <c r="AB581" s="161">
        <f t="shared" ref="AB581:AB644" si="203">AA581*Q581</f>
        <v>1725000</v>
      </c>
      <c r="AC581" s="162"/>
      <c r="AD581" s="162">
        <f t="shared" si="195"/>
        <v>0</v>
      </c>
      <c r="AE581" s="164"/>
      <c r="AF581" s="164">
        <f t="shared" si="196"/>
        <v>0</v>
      </c>
      <c r="AG581" s="165">
        <f>20000+5000</f>
        <v>25000</v>
      </c>
      <c r="AH581" s="165">
        <f t="shared" si="197"/>
        <v>5750000</v>
      </c>
      <c r="AI581" s="166">
        <v>0</v>
      </c>
      <c r="AJ581" s="166">
        <f t="shared" si="198"/>
        <v>0</v>
      </c>
      <c r="AK581" s="162"/>
      <c r="AL581" s="162">
        <f t="shared" si="188"/>
        <v>0</v>
      </c>
      <c r="AM581" s="173">
        <v>3000</v>
      </c>
      <c r="AN581" s="167">
        <f t="shared" ref="AN581:AN644" si="204">AM581*Q581</f>
        <v>690000</v>
      </c>
      <c r="AO581" s="163"/>
      <c r="AP581" s="163">
        <f t="shared" ref="AP581:AP644" si="205">AO581*Q581</f>
        <v>0</v>
      </c>
      <c r="AQ581" s="168"/>
      <c r="AR581" s="168">
        <f t="shared" ref="AR581:AR644" si="206">AQ581*Q581</f>
        <v>0</v>
      </c>
      <c r="AS581" s="170">
        <v>7500</v>
      </c>
      <c r="AT581" s="170">
        <f t="shared" ref="AT581:AT644" si="207">AS581*Q581</f>
        <v>1725000</v>
      </c>
      <c r="AU581" s="166">
        <v>25000</v>
      </c>
      <c r="AV581" s="166">
        <f t="shared" ref="AV581:AV644" si="208">AU581*Q581</f>
        <v>5750000</v>
      </c>
    </row>
    <row r="582" spans="1:49" s="131" customFormat="1" ht="31.5">
      <c r="A582" s="172" t="s">
        <v>5478</v>
      </c>
      <c r="B582" s="150" t="s">
        <v>360</v>
      </c>
      <c r="C582" s="150" t="s">
        <v>358</v>
      </c>
      <c r="D582" s="634" t="s">
        <v>4866</v>
      </c>
      <c r="E582" s="631" t="s">
        <v>12642</v>
      </c>
      <c r="F582" s="175" t="s">
        <v>347</v>
      </c>
      <c r="G582" s="151" t="s">
        <v>327</v>
      </c>
      <c r="H582" s="174" t="s">
        <v>5325</v>
      </c>
      <c r="I582" s="150" t="s">
        <v>361</v>
      </c>
      <c r="J582" s="153" t="s">
        <v>5103</v>
      </c>
      <c r="K582" s="151">
        <v>36</v>
      </c>
      <c r="L582" s="151" t="s">
        <v>362</v>
      </c>
      <c r="M582" s="151" t="s">
        <v>360</v>
      </c>
      <c r="N582" s="152" t="s">
        <v>213</v>
      </c>
      <c r="O582" s="152" t="s">
        <v>10</v>
      </c>
      <c r="P582" s="176">
        <v>450</v>
      </c>
      <c r="Q582" s="177">
        <v>81</v>
      </c>
      <c r="R582" s="176">
        <v>728000</v>
      </c>
      <c r="S582" s="156">
        <f t="shared" si="199"/>
        <v>58968000</v>
      </c>
      <c r="T582" s="589"/>
      <c r="U582" s="157">
        <v>648000</v>
      </c>
      <c r="V582" s="158">
        <f t="shared" si="194"/>
        <v>409500</v>
      </c>
      <c r="W582" s="159">
        <f t="shared" si="200"/>
        <v>238500</v>
      </c>
      <c r="X582" s="159">
        <f t="shared" si="201"/>
        <v>19318500</v>
      </c>
      <c r="Y582" s="160"/>
      <c r="Z582" s="160">
        <f t="shared" si="202"/>
        <v>0</v>
      </c>
      <c r="AA582" s="161"/>
      <c r="AB582" s="161">
        <f t="shared" si="203"/>
        <v>0</v>
      </c>
      <c r="AC582" s="162">
        <v>12000</v>
      </c>
      <c r="AD582" s="162">
        <f t="shared" si="195"/>
        <v>972000</v>
      </c>
      <c r="AE582" s="164"/>
      <c r="AF582" s="164">
        <f t="shared" si="196"/>
        <v>0</v>
      </c>
      <c r="AG582" s="165">
        <v>7000</v>
      </c>
      <c r="AH582" s="165">
        <f t="shared" si="197"/>
        <v>567000</v>
      </c>
      <c r="AI582" s="166">
        <v>0</v>
      </c>
      <c r="AJ582" s="166">
        <f t="shared" si="198"/>
        <v>0</v>
      </c>
      <c r="AK582" s="162"/>
      <c r="AL582" s="162">
        <f t="shared" si="188"/>
        <v>0</v>
      </c>
      <c r="AM582" s="167"/>
      <c r="AN582" s="167">
        <f t="shared" si="204"/>
        <v>0</v>
      </c>
      <c r="AO582" s="163"/>
      <c r="AP582" s="163">
        <f t="shared" si="205"/>
        <v>0</v>
      </c>
      <c r="AQ582" s="168"/>
      <c r="AR582" s="168">
        <f t="shared" si="206"/>
        <v>0</v>
      </c>
      <c r="AS582" s="170">
        <v>19500</v>
      </c>
      <c r="AT582" s="170">
        <f t="shared" si="207"/>
        <v>1579500</v>
      </c>
      <c r="AU582" s="166">
        <f>120000+30000+50000</f>
        <v>200000</v>
      </c>
      <c r="AV582" s="166">
        <f t="shared" si="208"/>
        <v>16200000</v>
      </c>
      <c r="AW582" s="131">
        <f>9720000+2430000+4050000</f>
        <v>16200000</v>
      </c>
    </row>
    <row r="583" spans="1:49" s="131" customFormat="1" ht="31.5">
      <c r="A583" s="148" t="s">
        <v>5489</v>
      </c>
      <c r="B583" s="150" t="s">
        <v>360</v>
      </c>
      <c r="C583" s="150" t="s">
        <v>358</v>
      </c>
      <c r="D583" s="634" t="s">
        <v>4861</v>
      </c>
      <c r="E583" s="631" t="s">
        <v>12642</v>
      </c>
      <c r="F583" s="175" t="s">
        <v>392</v>
      </c>
      <c r="G583" s="151" t="s">
        <v>235</v>
      </c>
      <c r="H583" s="174" t="s">
        <v>5325</v>
      </c>
      <c r="I583" s="150" t="s">
        <v>393</v>
      </c>
      <c r="J583" s="153" t="s">
        <v>5362</v>
      </c>
      <c r="K583" s="151">
        <v>36</v>
      </c>
      <c r="L583" s="151" t="s">
        <v>394</v>
      </c>
      <c r="M583" s="151" t="s">
        <v>360</v>
      </c>
      <c r="N583" s="152" t="s">
        <v>213</v>
      </c>
      <c r="O583" s="152" t="s">
        <v>10</v>
      </c>
      <c r="P583" s="176">
        <v>6593</v>
      </c>
      <c r="Q583" s="177">
        <v>131</v>
      </c>
      <c r="R583" s="176">
        <v>550000</v>
      </c>
      <c r="S583" s="156">
        <f t="shared" si="199"/>
        <v>72050000</v>
      </c>
      <c r="T583" s="589"/>
      <c r="U583" s="157">
        <v>420100</v>
      </c>
      <c r="V583" s="158">
        <f t="shared" si="194"/>
        <v>333600</v>
      </c>
      <c r="W583" s="159">
        <f t="shared" si="200"/>
        <v>86500</v>
      </c>
      <c r="X583" s="159">
        <f t="shared" si="201"/>
        <v>11331500</v>
      </c>
      <c r="Y583" s="160"/>
      <c r="Z583" s="160">
        <f t="shared" si="202"/>
        <v>0</v>
      </c>
      <c r="AA583" s="165">
        <v>20500</v>
      </c>
      <c r="AB583" s="161">
        <f t="shared" si="203"/>
        <v>2685500</v>
      </c>
      <c r="AC583" s="162"/>
      <c r="AD583" s="162">
        <f t="shared" si="195"/>
        <v>0</v>
      </c>
      <c r="AE583" s="164"/>
      <c r="AF583" s="164">
        <f t="shared" si="196"/>
        <v>0</v>
      </c>
      <c r="AG583" s="165">
        <v>9500</v>
      </c>
      <c r="AH583" s="165">
        <f t="shared" si="197"/>
        <v>1244500</v>
      </c>
      <c r="AI583" s="166">
        <v>0</v>
      </c>
      <c r="AJ583" s="166">
        <f t="shared" si="198"/>
        <v>0</v>
      </c>
      <c r="AK583" s="162"/>
      <c r="AL583" s="162">
        <f t="shared" ref="AL583:AL646" si="209">AK583*Q583</f>
        <v>0</v>
      </c>
      <c r="AM583" s="173">
        <v>1500</v>
      </c>
      <c r="AN583" s="167">
        <f t="shared" si="204"/>
        <v>196500</v>
      </c>
      <c r="AO583" s="163"/>
      <c r="AP583" s="163">
        <f t="shared" si="205"/>
        <v>0</v>
      </c>
      <c r="AQ583" s="168"/>
      <c r="AR583" s="168">
        <f t="shared" si="206"/>
        <v>0</v>
      </c>
      <c r="AS583" s="170">
        <v>5000</v>
      </c>
      <c r="AT583" s="170">
        <f t="shared" si="207"/>
        <v>655000</v>
      </c>
      <c r="AU583" s="166">
        <v>50000</v>
      </c>
      <c r="AV583" s="166">
        <f t="shared" si="208"/>
        <v>6550000</v>
      </c>
    </row>
    <row r="584" spans="1:49" s="131" customFormat="1" ht="31.5">
      <c r="A584" s="172" t="s">
        <v>5494</v>
      </c>
      <c r="B584" s="150" t="s">
        <v>360</v>
      </c>
      <c r="C584" s="150" t="s">
        <v>358</v>
      </c>
      <c r="D584" s="634" t="s">
        <v>4910</v>
      </c>
      <c r="E584" s="631"/>
      <c r="F584" s="175" t="s">
        <v>395</v>
      </c>
      <c r="G584" s="151" t="s">
        <v>267</v>
      </c>
      <c r="H584" s="174" t="s">
        <v>5325</v>
      </c>
      <c r="I584" s="150" t="s">
        <v>395</v>
      </c>
      <c r="J584" s="153" t="s">
        <v>5362</v>
      </c>
      <c r="K584" s="151">
        <v>36</v>
      </c>
      <c r="L584" s="151" t="s">
        <v>396</v>
      </c>
      <c r="M584" s="151" t="s">
        <v>360</v>
      </c>
      <c r="N584" s="152" t="s">
        <v>213</v>
      </c>
      <c r="O584" s="152" t="s">
        <v>10</v>
      </c>
      <c r="P584" s="176">
        <v>1300</v>
      </c>
      <c r="Q584" s="177">
        <v>326</v>
      </c>
      <c r="R584" s="176">
        <v>232000</v>
      </c>
      <c r="S584" s="156">
        <f t="shared" si="199"/>
        <v>75632000</v>
      </c>
      <c r="T584" s="589"/>
      <c r="U584" s="157">
        <v>172000</v>
      </c>
      <c r="V584" s="158">
        <f t="shared" si="194"/>
        <v>157000</v>
      </c>
      <c r="W584" s="159">
        <f t="shared" si="200"/>
        <v>15000</v>
      </c>
      <c r="X584" s="159">
        <f t="shared" si="201"/>
        <v>4890000</v>
      </c>
      <c r="Y584" s="160"/>
      <c r="Z584" s="160">
        <f t="shared" si="202"/>
        <v>0</v>
      </c>
      <c r="AA584" s="165"/>
      <c r="AB584" s="161">
        <f t="shared" si="203"/>
        <v>0</v>
      </c>
      <c r="AC584" s="162"/>
      <c r="AD584" s="162">
        <f t="shared" si="195"/>
        <v>0</v>
      </c>
      <c r="AE584" s="164"/>
      <c r="AF584" s="164">
        <f t="shared" si="196"/>
        <v>0</v>
      </c>
      <c r="AG584" s="165"/>
      <c r="AH584" s="165">
        <f t="shared" si="197"/>
        <v>0</v>
      </c>
      <c r="AI584" s="166">
        <v>0</v>
      </c>
      <c r="AJ584" s="166">
        <f t="shared" si="198"/>
        <v>0</v>
      </c>
      <c r="AK584" s="162"/>
      <c r="AL584" s="162">
        <f t="shared" si="209"/>
        <v>0</v>
      </c>
      <c r="AM584" s="173"/>
      <c r="AN584" s="167">
        <f t="shared" si="204"/>
        <v>0</v>
      </c>
      <c r="AO584" s="163"/>
      <c r="AP584" s="163">
        <f t="shared" si="205"/>
        <v>0</v>
      </c>
      <c r="AQ584" s="168"/>
      <c r="AR584" s="168">
        <f t="shared" si="206"/>
        <v>0</v>
      </c>
      <c r="AS584" s="170"/>
      <c r="AT584" s="170">
        <f t="shared" si="207"/>
        <v>0</v>
      </c>
      <c r="AU584" s="166">
        <v>15000</v>
      </c>
      <c r="AV584" s="166">
        <f t="shared" si="208"/>
        <v>4890000</v>
      </c>
    </row>
    <row r="585" spans="1:49" s="131" customFormat="1" ht="31.5">
      <c r="A585" s="148" t="s">
        <v>5513</v>
      </c>
      <c r="B585" s="150" t="s">
        <v>360</v>
      </c>
      <c r="C585" s="150" t="s">
        <v>358</v>
      </c>
      <c r="D585" s="634" t="s">
        <v>4906</v>
      </c>
      <c r="E585" s="631" t="s">
        <v>12642</v>
      </c>
      <c r="F585" s="175" t="s">
        <v>227</v>
      </c>
      <c r="G585" s="151" t="s">
        <v>398</v>
      </c>
      <c r="H585" s="174" t="s">
        <v>5325</v>
      </c>
      <c r="I585" s="150" t="s">
        <v>397</v>
      </c>
      <c r="J585" s="153" t="s">
        <v>5514</v>
      </c>
      <c r="K585" s="151">
        <v>36</v>
      </c>
      <c r="L585" s="151" t="s">
        <v>399</v>
      </c>
      <c r="M585" s="151" t="s">
        <v>360</v>
      </c>
      <c r="N585" s="152" t="s">
        <v>213</v>
      </c>
      <c r="O585" s="152" t="s">
        <v>10</v>
      </c>
      <c r="P585" s="176">
        <v>450</v>
      </c>
      <c r="Q585" s="177">
        <v>89</v>
      </c>
      <c r="R585" s="176">
        <v>1160000</v>
      </c>
      <c r="S585" s="156">
        <f t="shared" si="199"/>
        <v>103240000</v>
      </c>
      <c r="T585" s="589"/>
      <c r="U585" s="157">
        <f>826000-60000</f>
        <v>766000</v>
      </c>
      <c r="V585" s="158">
        <f t="shared" si="194"/>
        <v>523000</v>
      </c>
      <c r="W585" s="159">
        <f t="shared" si="200"/>
        <v>243000</v>
      </c>
      <c r="X585" s="159">
        <f t="shared" si="201"/>
        <v>21627000</v>
      </c>
      <c r="Y585" s="160"/>
      <c r="Z585" s="160">
        <f t="shared" si="202"/>
        <v>0</v>
      </c>
      <c r="AA585" s="165">
        <v>24000</v>
      </c>
      <c r="AB585" s="161">
        <f t="shared" si="203"/>
        <v>2136000</v>
      </c>
      <c r="AC585" s="162">
        <v>10000</v>
      </c>
      <c r="AD585" s="162">
        <f t="shared" si="195"/>
        <v>890000</v>
      </c>
      <c r="AE585" s="164"/>
      <c r="AF585" s="164">
        <f t="shared" si="196"/>
        <v>0</v>
      </c>
      <c r="AG585" s="165"/>
      <c r="AH585" s="165">
        <f t="shared" si="197"/>
        <v>0</v>
      </c>
      <c r="AI585" s="166">
        <v>48000</v>
      </c>
      <c r="AJ585" s="166">
        <f t="shared" si="198"/>
        <v>4272000</v>
      </c>
      <c r="AK585" s="162"/>
      <c r="AL585" s="162">
        <f t="shared" si="209"/>
        <v>0</v>
      </c>
      <c r="AM585" s="173">
        <v>23000</v>
      </c>
      <c r="AN585" s="167">
        <f t="shared" si="204"/>
        <v>2047000</v>
      </c>
      <c r="AO585" s="163"/>
      <c r="AP585" s="163">
        <f t="shared" si="205"/>
        <v>0</v>
      </c>
      <c r="AQ585" s="168"/>
      <c r="AR585" s="168">
        <f t="shared" si="206"/>
        <v>0</v>
      </c>
      <c r="AS585" s="170">
        <f>48000+18000</f>
        <v>66000</v>
      </c>
      <c r="AT585" s="170">
        <f t="shared" si="207"/>
        <v>5874000</v>
      </c>
      <c r="AU585" s="166">
        <v>72000</v>
      </c>
      <c r="AV585" s="166">
        <f t="shared" si="208"/>
        <v>6408000</v>
      </c>
    </row>
    <row r="586" spans="1:49" s="131" customFormat="1" ht="31.5">
      <c r="A586" s="148" t="s">
        <v>5515</v>
      </c>
      <c r="B586" s="150" t="s">
        <v>360</v>
      </c>
      <c r="C586" s="150" t="s">
        <v>358</v>
      </c>
      <c r="D586" s="634" t="s">
        <v>4914</v>
      </c>
      <c r="E586" s="631" t="s">
        <v>12642</v>
      </c>
      <c r="F586" s="175" t="s">
        <v>400</v>
      </c>
      <c r="G586" s="151" t="s">
        <v>235</v>
      </c>
      <c r="H586" s="174" t="s">
        <v>5325</v>
      </c>
      <c r="I586" s="150" t="s">
        <v>400</v>
      </c>
      <c r="J586" s="153" t="s">
        <v>5362</v>
      </c>
      <c r="K586" s="151">
        <v>36</v>
      </c>
      <c r="L586" s="151" t="s">
        <v>401</v>
      </c>
      <c r="M586" s="151" t="s">
        <v>360</v>
      </c>
      <c r="N586" s="152" t="s">
        <v>213</v>
      </c>
      <c r="O586" s="152" t="s">
        <v>10</v>
      </c>
      <c r="P586" s="176">
        <v>350</v>
      </c>
      <c r="Q586" s="177">
        <v>146</v>
      </c>
      <c r="R586" s="176">
        <v>75000</v>
      </c>
      <c r="S586" s="156">
        <f t="shared" si="199"/>
        <v>10950000</v>
      </c>
      <c r="T586" s="589"/>
      <c r="U586" s="157">
        <v>32000</v>
      </c>
      <c r="V586" s="158">
        <f t="shared" si="194"/>
        <v>7400</v>
      </c>
      <c r="W586" s="159">
        <f t="shared" si="200"/>
        <v>24600</v>
      </c>
      <c r="X586" s="159">
        <f t="shared" si="201"/>
        <v>3591600</v>
      </c>
      <c r="Y586" s="160"/>
      <c r="Z586" s="160">
        <f t="shared" si="202"/>
        <v>0</v>
      </c>
      <c r="AA586" s="165">
        <v>7000</v>
      </c>
      <c r="AB586" s="161">
        <f t="shared" si="203"/>
        <v>1022000</v>
      </c>
      <c r="AC586" s="162"/>
      <c r="AD586" s="162">
        <f t="shared" si="195"/>
        <v>0</v>
      </c>
      <c r="AE586" s="164"/>
      <c r="AF586" s="164">
        <f t="shared" si="196"/>
        <v>0</v>
      </c>
      <c r="AG586" s="165">
        <v>4000</v>
      </c>
      <c r="AH586" s="165">
        <f t="shared" si="197"/>
        <v>584000</v>
      </c>
      <c r="AI586" s="166">
        <v>0</v>
      </c>
      <c r="AJ586" s="166">
        <f t="shared" si="198"/>
        <v>0</v>
      </c>
      <c r="AK586" s="162"/>
      <c r="AL586" s="162">
        <f t="shared" si="209"/>
        <v>0</v>
      </c>
      <c r="AM586" s="173">
        <v>2100</v>
      </c>
      <c r="AN586" s="167">
        <f t="shared" si="204"/>
        <v>306600</v>
      </c>
      <c r="AO586" s="163"/>
      <c r="AP586" s="163">
        <f t="shared" si="205"/>
        <v>0</v>
      </c>
      <c r="AQ586" s="168"/>
      <c r="AR586" s="168">
        <f t="shared" si="206"/>
        <v>0</v>
      </c>
      <c r="AS586" s="170">
        <v>3500</v>
      </c>
      <c r="AT586" s="170">
        <f t="shared" si="207"/>
        <v>511000</v>
      </c>
      <c r="AU586" s="166">
        <v>8000</v>
      </c>
      <c r="AV586" s="166">
        <f t="shared" si="208"/>
        <v>1168000</v>
      </c>
    </row>
    <row r="587" spans="1:49" s="131" customFormat="1" ht="31.5">
      <c r="A587" s="172" t="s">
        <v>5516</v>
      </c>
      <c r="B587" s="150" t="s">
        <v>360</v>
      </c>
      <c r="C587" s="150" t="s">
        <v>358</v>
      </c>
      <c r="D587" s="634" t="s">
        <v>4855</v>
      </c>
      <c r="E587" s="631" t="s">
        <v>12642</v>
      </c>
      <c r="F587" s="175" t="s">
        <v>402</v>
      </c>
      <c r="G587" s="151" t="s">
        <v>327</v>
      </c>
      <c r="H587" s="174" t="s">
        <v>5325</v>
      </c>
      <c r="I587" s="150" t="s">
        <v>403</v>
      </c>
      <c r="J587" s="153" t="s">
        <v>5517</v>
      </c>
      <c r="K587" s="151">
        <v>36</v>
      </c>
      <c r="L587" s="151" t="s">
        <v>404</v>
      </c>
      <c r="M587" s="151" t="s">
        <v>360</v>
      </c>
      <c r="N587" s="152" t="s">
        <v>213</v>
      </c>
      <c r="O587" s="152" t="s">
        <v>10</v>
      </c>
      <c r="P587" s="176">
        <v>232</v>
      </c>
      <c r="Q587" s="177">
        <v>95</v>
      </c>
      <c r="R587" s="176">
        <v>580000</v>
      </c>
      <c r="S587" s="156">
        <f t="shared" si="199"/>
        <v>55100000</v>
      </c>
      <c r="T587" s="589"/>
      <c r="U587" s="157">
        <v>364000</v>
      </c>
      <c r="V587" s="158">
        <f t="shared" si="194"/>
        <v>241500</v>
      </c>
      <c r="W587" s="159">
        <f t="shared" si="200"/>
        <v>122500</v>
      </c>
      <c r="X587" s="159">
        <f t="shared" si="201"/>
        <v>11637500</v>
      </c>
      <c r="Y587" s="160"/>
      <c r="Z587" s="160">
        <f t="shared" si="202"/>
        <v>0</v>
      </c>
      <c r="AA587" s="165">
        <v>15000</v>
      </c>
      <c r="AB587" s="161">
        <f t="shared" si="203"/>
        <v>1425000</v>
      </c>
      <c r="AC587" s="162"/>
      <c r="AD587" s="162">
        <f t="shared" si="195"/>
        <v>0</v>
      </c>
      <c r="AE587" s="164"/>
      <c r="AF587" s="164">
        <f t="shared" si="196"/>
        <v>0</v>
      </c>
      <c r="AG587" s="165">
        <f>10000+9000</f>
        <v>19000</v>
      </c>
      <c r="AH587" s="165">
        <f t="shared" si="197"/>
        <v>1805000</v>
      </c>
      <c r="AI587" s="166">
        <v>0</v>
      </c>
      <c r="AJ587" s="166">
        <f t="shared" si="198"/>
        <v>0</v>
      </c>
      <c r="AK587" s="162"/>
      <c r="AL587" s="162">
        <f t="shared" si="209"/>
        <v>0</v>
      </c>
      <c r="AM587" s="173">
        <v>3500</v>
      </c>
      <c r="AN587" s="167">
        <f t="shared" si="204"/>
        <v>332500</v>
      </c>
      <c r="AO587" s="163"/>
      <c r="AP587" s="163">
        <f t="shared" si="205"/>
        <v>0</v>
      </c>
      <c r="AQ587" s="168"/>
      <c r="AR587" s="168">
        <f t="shared" si="206"/>
        <v>0</v>
      </c>
      <c r="AS587" s="170">
        <v>35000</v>
      </c>
      <c r="AT587" s="170">
        <f t="shared" si="207"/>
        <v>3325000</v>
      </c>
      <c r="AU587" s="166">
        <v>50000</v>
      </c>
      <c r="AV587" s="166">
        <f t="shared" si="208"/>
        <v>4750000</v>
      </c>
    </row>
    <row r="588" spans="1:49" s="131" customFormat="1" ht="31.5">
      <c r="A588" s="148" t="s">
        <v>5520</v>
      </c>
      <c r="B588" s="150" t="s">
        <v>360</v>
      </c>
      <c r="C588" s="150" t="s">
        <v>358</v>
      </c>
      <c r="D588" s="634" t="s">
        <v>5521</v>
      </c>
      <c r="E588" s="631" t="s">
        <v>12642</v>
      </c>
      <c r="F588" s="175" t="s">
        <v>329</v>
      </c>
      <c r="G588" s="151" t="s">
        <v>232</v>
      </c>
      <c r="H588" s="174" t="s">
        <v>5325</v>
      </c>
      <c r="I588" s="150" t="s">
        <v>329</v>
      </c>
      <c r="J588" s="153" t="s">
        <v>5150</v>
      </c>
      <c r="K588" s="151">
        <v>36</v>
      </c>
      <c r="L588" s="151" t="s">
        <v>5522</v>
      </c>
      <c r="M588" s="151" t="s">
        <v>360</v>
      </c>
      <c r="N588" s="152" t="s">
        <v>213</v>
      </c>
      <c r="O588" s="152" t="s">
        <v>10</v>
      </c>
      <c r="P588" s="176">
        <v>3184</v>
      </c>
      <c r="Q588" s="177">
        <v>220</v>
      </c>
      <c r="R588" s="176">
        <v>75000</v>
      </c>
      <c r="S588" s="156">
        <f t="shared" si="199"/>
        <v>16500000</v>
      </c>
      <c r="T588" s="589"/>
      <c r="U588" s="157">
        <v>74000</v>
      </c>
      <c r="V588" s="158">
        <f t="shared" si="194"/>
        <v>70000</v>
      </c>
      <c r="W588" s="159">
        <f t="shared" si="200"/>
        <v>4000</v>
      </c>
      <c r="X588" s="159">
        <f t="shared" si="201"/>
        <v>880000</v>
      </c>
      <c r="Y588" s="160"/>
      <c r="Z588" s="160">
        <f t="shared" si="202"/>
        <v>0</v>
      </c>
      <c r="AA588" s="165">
        <v>4000</v>
      </c>
      <c r="AB588" s="161">
        <f t="shared" si="203"/>
        <v>880000</v>
      </c>
      <c r="AC588" s="162"/>
      <c r="AD588" s="162">
        <f t="shared" si="195"/>
        <v>0</v>
      </c>
      <c r="AE588" s="164"/>
      <c r="AF588" s="164">
        <f t="shared" si="196"/>
        <v>0</v>
      </c>
      <c r="AG588" s="165"/>
      <c r="AH588" s="165">
        <f t="shared" si="197"/>
        <v>0</v>
      </c>
      <c r="AI588" s="166">
        <v>0</v>
      </c>
      <c r="AJ588" s="166">
        <f t="shared" si="198"/>
        <v>0</v>
      </c>
      <c r="AK588" s="162"/>
      <c r="AL588" s="162">
        <f t="shared" si="209"/>
        <v>0</v>
      </c>
      <c r="AM588" s="173"/>
      <c r="AN588" s="167">
        <f t="shared" si="204"/>
        <v>0</v>
      </c>
      <c r="AO588" s="163"/>
      <c r="AP588" s="163">
        <f t="shared" si="205"/>
        <v>0</v>
      </c>
      <c r="AQ588" s="168"/>
      <c r="AR588" s="168">
        <f t="shared" si="206"/>
        <v>0</v>
      </c>
      <c r="AS588" s="170"/>
      <c r="AT588" s="170">
        <f t="shared" si="207"/>
        <v>0</v>
      </c>
      <c r="AU588" s="166"/>
      <c r="AV588" s="166">
        <f t="shared" si="208"/>
        <v>0</v>
      </c>
    </row>
    <row r="589" spans="1:49" s="131" customFormat="1" ht="31.5">
      <c r="A589" s="148" t="s">
        <v>5555</v>
      </c>
      <c r="B589" s="150" t="s">
        <v>360</v>
      </c>
      <c r="C589" s="150" t="s">
        <v>358</v>
      </c>
      <c r="D589" s="634" t="s">
        <v>5556</v>
      </c>
      <c r="E589" s="631"/>
      <c r="F589" s="175" t="s">
        <v>234</v>
      </c>
      <c r="G589" s="151" t="s">
        <v>238</v>
      </c>
      <c r="H589" s="174" t="s">
        <v>5554</v>
      </c>
      <c r="I589" s="150" t="s">
        <v>234</v>
      </c>
      <c r="J589" s="153" t="s">
        <v>5150</v>
      </c>
      <c r="K589" s="151">
        <v>24</v>
      </c>
      <c r="L589" s="151" t="s">
        <v>5335</v>
      </c>
      <c r="M589" s="151" t="s">
        <v>360</v>
      </c>
      <c r="N589" s="152" t="s">
        <v>213</v>
      </c>
      <c r="O589" s="152" t="s">
        <v>10</v>
      </c>
      <c r="P589" s="176">
        <v>1100</v>
      </c>
      <c r="Q589" s="177">
        <v>215</v>
      </c>
      <c r="R589" s="176">
        <v>37000</v>
      </c>
      <c r="S589" s="156">
        <f t="shared" si="199"/>
        <v>7955000</v>
      </c>
      <c r="T589" s="589"/>
      <c r="U589" s="157">
        <v>37000</v>
      </c>
      <c r="V589" s="158">
        <f t="shared" si="194"/>
        <v>37000</v>
      </c>
      <c r="W589" s="159">
        <f t="shared" si="200"/>
        <v>0</v>
      </c>
      <c r="X589" s="159">
        <f t="shared" si="201"/>
        <v>0</v>
      </c>
      <c r="Y589" s="160"/>
      <c r="Z589" s="160">
        <f t="shared" si="202"/>
        <v>0</v>
      </c>
      <c r="AA589" s="165"/>
      <c r="AB589" s="161">
        <f t="shared" si="203"/>
        <v>0</v>
      </c>
      <c r="AC589" s="162"/>
      <c r="AD589" s="162">
        <f t="shared" si="195"/>
        <v>0</v>
      </c>
      <c r="AE589" s="164"/>
      <c r="AF589" s="164">
        <f t="shared" si="196"/>
        <v>0</v>
      </c>
      <c r="AG589" s="165"/>
      <c r="AH589" s="165">
        <f t="shared" si="197"/>
        <v>0</v>
      </c>
      <c r="AI589" s="166">
        <v>0</v>
      </c>
      <c r="AJ589" s="166">
        <f t="shared" si="198"/>
        <v>0</v>
      </c>
      <c r="AK589" s="162"/>
      <c r="AL589" s="162">
        <f t="shared" si="209"/>
        <v>0</v>
      </c>
      <c r="AM589" s="173"/>
      <c r="AN589" s="167">
        <f t="shared" si="204"/>
        <v>0</v>
      </c>
      <c r="AO589" s="163"/>
      <c r="AP589" s="163">
        <f t="shared" si="205"/>
        <v>0</v>
      </c>
      <c r="AQ589" s="168"/>
      <c r="AR589" s="168">
        <f t="shared" si="206"/>
        <v>0</v>
      </c>
      <c r="AS589" s="170"/>
      <c r="AT589" s="170">
        <f t="shared" si="207"/>
        <v>0</v>
      </c>
      <c r="AU589" s="166"/>
      <c r="AV589" s="166">
        <f t="shared" si="208"/>
        <v>0</v>
      </c>
    </row>
    <row r="590" spans="1:49" s="131" customFormat="1" ht="31.5">
      <c r="A590" s="148" t="s">
        <v>5561</v>
      </c>
      <c r="B590" s="150" t="s">
        <v>360</v>
      </c>
      <c r="C590" s="150" t="s">
        <v>358</v>
      </c>
      <c r="D590" s="634" t="s">
        <v>4810</v>
      </c>
      <c r="E590" s="631" t="s">
        <v>12642</v>
      </c>
      <c r="F590" s="175" t="s">
        <v>368</v>
      </c>
      <c r="G590" s="151" t="s">
        <v>369</v>
      </c>
      <c r="H590" s="174" t="s">
        <v>5554</v>
      </c>
      <c r="I590" s="150" t="s">
        <v>368</v>
      </c>
      <c r="J590" s="153" t="s">
        <v>5357</v>
      </c>
      <c r="K590" s="151">
        <v>36</v>
      </c>
      <c r="L590" s="151" t="s">
        <v>370</v>
      </c>
      <c r="M590" s="151" t="s">
        <v>360</v>
      </c>
      <c r="N590" s="152" t="s">
        <v>213</v>
      </c>
      <c r="O590" s="152" t="s">
        <v>10</v>
      </c>
      <c r="P590" s="176">
        <v>125</v>
      </c>
      <c r="Q590" s="177">
        <v>34</v>
      </c>
      <c r="R590" s="176">
        <v>300000</v>
      </c>
      <c r="S590" s="156">
        <f t="shared" si="199"/>
        <v>10200000</v>
      </c>
      <c r="T590" s="589"/>
      <c r="U590" s="157">
        <v>300000</v>
      </c>
      <c r="V590" s="158">
        <f t="shared" si="194"/>
        <v>235600</v>
      </c>
      <c r="W590" s="159">
        <f t="shared" si="200"/>
        <v>64400</v>
      </c>
      <c r="X590" s="159">
        <f t="shared" si="201"/>
        <v>2189600</v>
      </c>
      <c r="Y590" s="160"/>
      <c r="Z590" s="160">
        <f t="shared" si="202"/>
        <v>0</v>
      </c>
      <c r="AA590" s="161"/>
      <c r="AB590" s="161">
        <f t="shared" si="203"/>
        <v>0</v>
      </c>
      <c r="AC590" s="162"/>
      <c r="AD590" s="162">
        <f t="shared" si="195"/>
        <v>0</v>
      </c>
      <c r="AE590" s="164"/>
      <c r="AF590" s="164">
        <f t="shared" si="196"/>
        <v>0</v>
      </c>
      <c r="AG590" s="165"/>
      <c r="AH590" s="165">
        <f t="shared" si="197"/>
        <v>0</v>
      </c>
      <c r="AI590" s="166">
        <v>0</v>
      </c>
      <c r="AJ590" s="166">
        <f t="shared" si="198"/>
        <v>0</v>
      </c>
      <c r="AK590" s="162"/>
      <c r="AL590" s="162">
        <f t="shared" si="209"/>
        <v>0</v>
      </c>
      <c r="AM590" s="167"/>
      <c r="AN590" s="167">
        <f t="shared" si="204"/>
        <v>0</v>
      </c>
      <c r="AO590" s="163"/>
      <c r="AP590" s="163">
        <f t="shared" si="205"/>
        <v>0</v>
      </c>
      <c r="AQ590" s="168"/>
      <c r="AR590" s="168">
        <f t="shared" si="206"/>
        <v>0</v>
      </c>
      <c r="AS590" s="170">
        <v>24400</v>
      </c>
      <c r="AT590" s="170">
        <f t="shared" si="207"/>
        <v>829600</v>
      </c>
      <c r="AU590" s="166">
        <v>40000</v>
      </c>
      <c r="AV590" s="166">
        <f t="shared" si="208"/>
        <v>1360000</v>
      </c>
    </row>
    <row r="591" spans="1:49" s="131" customFormat="1" ht="31.5">
      <c r="A591" s="148" t="s">
        <v>5566</v>
      </c>
      <c r="B591" s="150" t="s">
        <v>360</v>
      </c>
      <c r="C591" s="150" t="s">
        <v>358</v>
      </c>
      <c r="D591" s="634" t="s">
        <v>4847</v>
      </c>
      <c r="E591" s="631" t="s">
        <v>12642</v>
      </c>
      <c r="F591" s="175" t="s">
        <v>236</v>
      </c>
      <c r="G591" s="151" t="s">
        <v>327</v>
      </c>
      <c r="H591" s="174" t="s">
        <v>5554</v>
      </c>
      <c r="I591" s="150" t="s">
        <v>236</v>
      </c>
      <c r="J591" s="153" t="s">
        <v>5103</v>
      </c>
      <c r="K591" s="151">
        <v>36</v>
      </c>
      <c r="L591" s="151" t="s">
        <v>375</v>
      </c>
      <c r="M591" s="151" t="s">
        <v>360</v>
      </c>
      <c r="N591" s="152" t="s">
        <v>213</v>
      </c>
      <c r="O591" s="152" t="s">
        <v>10</v>
      </c>
      <c r="P591" s="176">
        <v>800</v>
      </c>
      <c r="Q591" s="177">
        <v>77</v>
      </c>
      <c r="R591" s="176">
        <v>546000</v>
      </c>
      <c r="S591" s="156">
        <f t="shared" si="199"/>
        <v>42042000</v>
      </c>
      <c r="T591" s="589"/>
      <c r="U591" s="157">
        <v>546000</v>
      </c>
      <c r="V591" s="158">
        <f t="shared" si="194"/>
        <v>521500</v>
      </c>
      <c r="W591" s="159">
        <f t="shared" si="200"/>
        <v>24500</v>
      </c>
      <c r="X591" s="159">
        <f t="shared" si="201"/>
        <v>1886500</v>
      </c>
      <c r="Y591" s="160"/>
      <c r="Z591" s="160">
        <f t="shared" si="202"/>
        <v>0</v>
      </c>
      <c r="AA591" s="161"/>
      <c r="AB591" s="161">
        <f t="shared" si="203"/>
        <v>0</v>
      </c>
      <c r="AC591" s="162">
        <v>4500</v>
      </c>
      <c r="AD591" s="162">
        <f t="shared" si="195"/>
        <v>346500</v>
      </c>
      <c r="AE591" s="163"/>
      <c r="AF591" s="164">
        <f t="shared" si="196"/>
        <v>0</v>
      </c>
      <c r="AG591" s="161"/>
      <c r="AH591" s="165">
        <f t="shared" si="197"/>
        <v>0</v>
      </c>
      <c r="AI591" s="160">
        <v>0</v>
      </c>
      <c r="AJ591" s="166">
        <f t="shared" si="198"/>
        <v>0</v>
      </c>
      <c r="AK591" s="162"/>
      <c r="AL591" s="162">
        <f t="shared" si="209"/>
        <v>0</v>
      </c>
      <c r="AM591" s="167"/>
      <c r="AN591" s="167">
        <f t="shared" si="204"/>
        <v>0</v>
      </c>
      <c r="AO591" s="163"/>
      <c r="AP591" s="163">
        <f t="shared" si="205"/>
        <v>0</v>
      </c>
      <c r="AQ591" s="162"/>
      <c r="AR591" s="168">
        <f t="shared" si="206"/>
        <v>0</v>
      </c>
      <c r="AS591" s="169"/>
      <c r="AT591" s="170">
        <f t="shared" si="207"/>
        <v>0</v>
      </c>
      <c r="AU591" s="160">
        <v>20000</v>
      </c>
      <c r="AV591" s="166">
        <f t="shared" si="208"/>
        <v>1540000</v>
      </c>
    </row>
    <row r="592" spans="1:49" s="131" customFormat="1" ht="31.5">
      <c r="A592" s="172" t="s">
        <v>5569</v>
      </c>
      <c r="B592" s="150" t="s">
        <v>360</v>
      </c>
      <c r="C592" s="150" t="s">
        <v>358</v>
      </c>
      <c r="D592" s="634" t="s">
        <v>4848</v>
      </c>
      <c r="E592" s="631"/>
      <c r="F592" s="175" t="s">
        <v>376</v>
      </c>
      <c r="G592" s="151" t="s">
        <v>262</v>
      </c>
      <c r="H592" s="174" t="s">
        <v>5554</v>
      </c>
      <c r="I592" s="150" t="s">
        <v>376</v>
      </c>
      <c r="J592" s="153" t="s">
        <v>5362</v>
      </c>
      <c r="K592" s="151">
        <v>36</v>
      </c>
      <c r="L592" s="151" t="s">
        <v>377</v>
      </c>
      <c r="M592" s="151" t="s">
        <v>360</v>
      </c>
      <c r="N592" s="152" t="s">
        <v>213</v>
      </c>
      <c r="O592" s="152" t="s">
        <v>10</v>
      </c>
      <c r="P592" s="176">
        <v>1500</v>
      </c>
      <c r="Q592" s="177">
        <v>495</v>
      </c>
      <c r="R592" s="176">
        <v>107000</v>
      </c>
      <c r="S592" s="156">
        <f t="shared" si="199"/>
        <v>52965000</v>
      </c>
      <c r="T592" s="589"/>
      <c r="U592" s="157">
        <v>107000</v>
      </c>
      <c r="V592" s="158">
        <f t="shared" si="194"/>
        <v>107000</v>
      </c>
      <c r="W592" s="159">
        <f t="shared" si="200"/>
        <v>0</v>
      </c>
      <c r="X592" s="159">
        <f t="shared" si="201"/>
        <v>0</v>
      </c>
      <c r="Y592" s="160"/>
      <c r="Z592" s="160">
        <f t="shared" si="202"/>
        <v>0</v>
      </c>
      <c r="AA592" s="161"/>
      <c r="AB592" s="161">
        <f t="shared" si="203"/>
        <v>0</v>
      </c>
      <c r="AC592" s="162"/>
      <c r="AD592" s="162">
        <f t="shared" si="195"/>
        <v>0</v>
      </c>
      <c r="AE592" s="164"/>
      <c r="AF592" s="164">
        <f t="shared" si="196"/>
        <v>0</v>
      </c>
      <c r="AG592" s="165"/>
      <c r="AH592" s="165">
        <f t="shared" si="197"/>
        <v>0</v>
      </c>
      <c r="AI592" s="166">
        <v>0</v>
      </c>
      <c r="AJ592" s="166">
        <f t="shared" si="198"/>
        <v>0</v>
      </c>
      <c r="AK592" s="162"/>
      <c r="AL592" s="162">
        <f t="shared" si="209"/>
        <v>0</v>
      </c>
      <c r="AM592" s="167"/>
      <c r="AN592" s="167">
        <f t="shared" si="204"/>
        <v>0</v>
      </c>
      <c r="AO592" s="163"/>
      <c r="AP592" s="163">
        <f t="shared" si="205"/>
        <v>0</v>
      </c>
      <c r="AQ592" s="168"/>
      <c r="AR592" s="168">
        <f t="shared" si="206"/>
        <v>0</v>
      </c>
      <c r="AS592" s="170"/>
      <c r="AT592" s="170">
        <f t="shared" si="207"/>
        <v>0</v>
      </c>
      <c r="AU592" s="166"/>
      <c r="AV592" s="166">
        <f t="shared" si="208"/>
        <v>0</v>
      </c>
    </row>
    <row r="593" spans="1:48" s="131" customFormat="1" ht="31.5">
      <c r="A593" s="148" t="s">
        <v>5570</v>
      </c>
      <c r="B593" s="150" t="s">
        <v>360</v>
      </c>
      <c r="C593" s="150" t="s">
        <v>358</v>
      </c>
      <c r="D593" s="634" t="s">
        <v>5571</v>
      </c>
      <c r="E593" s="631" t="s">
        <v>12642</v>
      </c>
      <c r="F593" s="175" t="s">
        <v>359</v>
      </c>
      <c r="G593" s="151" t="s">
        <v>262</v>
      </c>
      <c r="H593" s="174" t="s">
        <v>5554</v>
      </c>
      <c r="I593" s="150" t="s">
        <v>359</v>
      </c>
      <c r="J593" s="153" t="s">
        <v>5103</v>
      </c>
      <c r="K593" s="151">
        <v>36</v>
      </c>
      <c r="L593" s="151" t="s">
        <v>5422</v>
      </c>
      <c r="M593" s="151" t="s">
        <v>360</v>
      </c>
      <c r="N593" s="152" t="s">
        <v>213</v>
      </c>
      <c r="O593" s="152" t="s">
        <v>10</v>
      </c>
      <c r="P593" s="176">
        <v>600</v>
      </c>
      <c r="Q593" s="177">
        <v>302</v>
      </c>
      <c r="R593" s="176">
        <v>109200</v>
      </c>
      <c r="S593" s="156">
        <f t="shared" si="199"/>
        <v>32978400</v>
      </c>
      <c r="T593" s="589"/>
      <c r="U593" s="157">
        <v>109200</v>
      </c>
      <c r="V593" s="158">
        <f t="shared" si="194"/>
        <v>109200</v>
      </c>
      <c r="W593" s="159">
        <f t="shared" si="200"/>
        <v>0</v>
      </c>
      <c r="X593" s="159">
        <f t="shared" si="201"/>
        <v>0</v>
      </c>
      <c r="Y593" s="160"/>
      <c r="Z593" s="160">
        <f t="shared" si="202"/>
        <v>0</v>
      </c>
      <c r="AA593" s="161"/>
      <c r="AB593" s="161">
        <f t="shared" si="203"/>
        <v>0</v>
      </c>
      <c r="AC593" s="162"/>
      <c r="AD593" s="162">
        <f t="shared" si="195"/>
        <v>0</v>
      </c>
      <c r="AE593" s="164"/>
      <c r="AF593" s="164">
        <f t="shared" si="196"/>
        <v>0</v>
      </c>
      <c r="AG593" s="165"/>
      <c r="AH593" s="165">
        <f t="shared" si="197"/>
        <v>0</v>
      </c>
      <c r="AI593" s="166">
        <v>0</v>
      </c>
      <c r="AJ593" s="166">
        <f t="shared" si="198"/>
        <v>0</v>
      </c>
      <c r="AK593" s="162"/>
      <c r="AL593" s="162">
        <f t="shared" si="209"/>
        <v>0</v>
      </c>
      <c r="AM593" s="167"/>
      <c r="AN593" s="167">
        <f t="shared" si="204"/>
        <v>0</v>
      </c>
      <c r="AO593" s="163"/>
      <c r="AP593" s="163">
        <f t="shared" si="205"/>
        <v>0</v>
      </c>
      <c r="AQ593" s="168"/>
      <c r="AR593" s="168">
        <f t="shared" si="206"/>
        <v>0</v>
      </c>
      <c r="AS593" s="170"/>
      <c r="AT593" s="170">
        <f t="shared" si="207"/>
        <v>0</v>
      </c>
      <c r="AU593" s="166"/>
      <c r="AV593" s="166">
        <f t="shared" si="208"/>
        <v>0</v>
      </c>
    </row>
    <row r="594" spans="1:48" s="131" customFormat="1" ht="31.5">
      <c r="A594" s="148" t="s">
        <v>5579</v>
      </c>
      <c r="B594" s="150" t="s">
        <v>360</v>
      </c>
      <c r="C594" s="150" t="s">
        <v>358</v>
      </c>
      <c r="D594" s="634" t="s">
        <v>4860</v>
      </c>
      <c r="E594" s="631" t="s">
        <v>12642</v>
      </c>
      <c r="F594" s="175" t="s">
        <v>378</v>
      </c>
      <c r="G594" s="151" t="s">
        <v>334</v>
      </c>
      <c r="H594" s="174" t="s">
        <v>5554</v>
      </c>
      <c r="I594" s="150" t="s">
        <v>378</v>
      </c>
      <c r="J594" s="153" t="s">
        <v>5150</v>
      </c>
      <c r="K594" s="151">
        <v>36</v>
      </c>
      <c r="L594" s="151" t="s">
        <v>379</v>
      </c>
      <c r="M594" s="151" t="s">
        <v>360</v>
      </c>
      <c r="N594" s="152" t="s">
        <v>213</v>
      </c>
      <c r="O594" s="152" t="s">
        <v>10</v>
      </c>
      <c r="P594" s="176">
        <v>350</v>
      </c>
      <c r="Q594" s="177">
        <v>234</v>
      </c>
      <c r="R594" s="176">
        <v>146000</v>
      </c>
      <c r="S594" s="156">
        <f t="shared" si="199"/>
        <v>34164000</v>
      </c>
      <c r="T594" s="589"/>
      <c r="U594" s="157">
        <v>146000</v>
      </c>
      <c r="V594" s="158">
        <f t="shared" si="194"/>
        <v>96000</v>
      </c>
      <c r="W594" s="159">
        <f t="shared" si="200"/>
        <v>50000</v>
      </c>
      <c r="X594" s="159">
        <f t="shared" si="201"/>
        <v>11700000</v>
      </c>
      <c r="Y594" s="160"/>
      <c r="Z594" s="160">
        <f t="shared" si="202"/>
        <v>0</v>
      </c>
      <c r="AA594" s="161"/>
      <c r="AB594" s="161">
        <f t="shared" si="203"/>
        <v>0</v>
      </c>
      <c r="AC594" s="162"/>
      <c r="AD594" s="162">
        <f t="shared" si="195"/>
        <v>0</v>
      </c>
      <c r="AE594" s="164"/>
      <c r="AF594" s="164">
        <f t="shared" si="196"/>
        <v>0</v>
      </c>
      <c r="AG594" s="165"/>
      <c r="AH594" s="165">
        <f t="shared" si="197"/>
        <v>0</v>
      </c>
      <c r="AI594" s="166">
        <v>0</v>
      </c>
      <c r="AJ594" s="166">
        <f t="shared" si="198"/>
        <v>0</v>
      </c>
      <c r="AK594" s="162"/>
      <c r="AL594" s="162">
        <f t="shared" si="209"/>
        <v>0</v>
      </c>
      <c r="AM594" s="167"/>
      <c r="AN594" s="167">
        <f t="shared" si="204"/>
        <v>0</v>
      </c>
      <c r="AO594" s="163"/>
      <c r="AP594" s="163">
        <f t="shared" si="205"/>
        <v>0</v>
      </c>
      <c r="AQ594" s="168"/>
      <c r="AR594" s="168">
        <f t="shared" si="206"/>
        <v>0</v>
      </c>
      <c r="AS594" s="170">
        <v>10000</v>
      </c>
      <c r="AT594" s="170">
        <f t="shared" si="207"/>
        <v>2340000</v>
      </c>
      <c r="AU594" s="166">
        <v>40000</v>
      </c>
      <c r="AV594" s="166">
        <f t="shared" si="208"/>
        <v>9360000</v>
      </c>
    </row>
    <row r="595" spans="1:48" s="131" customFormat="1" ht="31.5">
      <c r="A595" s="148" t="s">
        <v>5580</v>
      </c>
      <c r="B595" s="150" t="s">
        <v>360</v>
      </c>
      <c r="C595" s="150" t="s">
        <v>358</v>
      </c>
      <c r="D595" s="634" t="s">
        <v>5581</v>
      </c>
      <c r="E595" s="631"/>
      <c r="F595" s="175" t="s">
        <v>286</v>
      </c>
      <c r="G595" s="151" t="s">
        <v>225</v>
      </c>
      <c r="H595" s="174" t="s">
        <v>5554</v>
      </c>
      <c r="I595" s="150" t="s">
        <v>5451</v>
      </c>
      <c r="J595" s="153" t="s">
        <v>5452</v>
      </c>
      <c r="K595" s="151">
        <v>36</v>
      </c>
      <c r="L595" s="151" t="s">
        <v>5453</v>
      </c>
      <c r="M595" s="151" t="s">
        <v>360</v>
      </c>
      <c r="N595" s="152" t="s">
        <v>213</v>
      </c>
      <c r="O595" s="152" t="s">
        <v>10</v>
      </c>
      <c r="P595" s="176">
        <v>5000</v>
      </c>
      <c r="Q595" s="177">
        <v>648</v>
      </c>
      <c r="R595" s="176">
        <v>54600</v>
      </c>
      <c r="S595" s="156">
        <f t="shared" si="199"/>
        <v>35380800</v>
      </c>
      <c r="T595" s="589"/>
      <c r="U595" s="157">
        <v>54600</v>
      </c>
      <c r="V595" s="158">
        <f t="shared" si="194"/>
        <v>54600</v>
      </c>
      <c r="W595" s="159">
        <f t="shared" si="200"/>
        <v>0</v>
      </c>
      <c r="X595" s="159">
        <f t="shared" si="201"/>
        <v>0</v>
      </c>
      <c r="Y595" s="160"/>
      <c r="Z595" s="160">
        <f t="shared" si="202"/>
        <v>0</v>
      </c>
      <c r="AA595" s="161"/>
      <c r="AB595" s="161">
        <f t="shared" si="203"/>
        <v>0</v>
      </c>
      <c r="AC595" s="162"/>
      <c r="AD595" s="162">
        <f t="shared" si="195"/>
        <v>0</v>
      </c>
      <c r="AE595" s="164"/>
      <c r="AF595" s="164">
        <f t="shared" si="196"/>
        <v>0</v>
      </c>
      <c r="AG595" s="165"/>
      <c r="AH595" s="165">
        <f t="shared" si="197"/>
        <v>0</v>
      </c>
      <c r="AI595" s="166">
        <v>0</v>
      </c>
      <c r="AJ595" s="166">
        <f t="shared" si="198"/>
        <v>0</v>
      </c>
      <c r="AK595" s="162"/>
      <c r="AL595" s="162">
        <f t="shared" si="209"/>
        <v>0</v>
      </c>
      <c r="AM595" s="167"/>
      <c r="AN595" s="167">
        <f t="shared" si="204"/>
        <v>0</v>
      </c>
      <c r="AO595" s="163"/>
      <c r="AP595" s="163">
        <f t="shared" si="205"/>
        <v>0</v>
      </c>
      <c r="AQ595" s="168"/>
      <c r="AR595" s="168">
        <f t="shared" si="206"/>
        <v>0</v>
      </c>
      <c r="AS595" s="170"/>
      <c r="AT595" s="170">
        <f t="shared" si="207"/>
        <v>0</v>
      </c>
      <c r="AU595" s="166"/>
      <c r="AV595" s="166">
        <f t="shared" si="208"/>
        <v>0</v>
      </c>
    </row>
    <row r="596" spans="1:48" s="131" customFormat="1" ht="31.5">
      <c r="A596" s="172" t="s">
        <v>5582</v>
      </c>
      <c r="B596" s="150" t="s">
        <v>360</v>
      </c>
      <c r="C596" s="150" t="s">
        <v>358</v>
      </c>
      <c r="D596" s="634" t="s">
        <v>5583</v>
      </c>
      <c r="E596" s="631" t="s">
        <v>12642</v>
      </c>
      <c r="F596" s="175" t="s">
        <v>221</v>
      </c>
      <c r="G596" s="151" t="s">
        <v>222</v>
      </c>
      <c r="H596" s="174" t="s">
        <v>5554</v>
      </c>
      <c r="I596" s="150" t="s">
        <v>221</v>
      </c>
      <c r="J596" s="153" t="s">
        <v>5362</v>
      </c>
      <c r="K596" s="151">
        <v>36</v>
      </c>
      <c r="L596" s="151" t="s">
        <v>380</v>
      </c>
      <c r="M596" s="151" t="s">
        <v>360</v>
      </c>
      <c r="N596" s="152" t="s">
        <v>213</v>
      </c>
      <c r="O596" s="152" t="s">
        <v>10</v>
      </c>
      <c r="P596" s="176">
        <v>150</v>
      </c>
      <c r="Q596" s="177">
        <v>123</v>
      </c>
      <c r="R596" s="176">
        <v>74000</v>
      </c>
      <c r="S596" s="156">
        <f t="shared" si="199"/>
        <v>9102000</v>
      </c>
      <c r="T596" s="589"/>
      <c r="U596" s="157">
        <v>59000</v>
      </c>
      <c r="V596" s="158">
        <f t="shared" si="194"/>
        <v>50400</v>
      </c>
      <c r="W596" s="159">
        <f t="shared" si="200"/>
        <v>8600</v>
      </c>
      <c r="X596" s="159">
        <f t="shared" si="201"/>
        <v>1057800</v>
      </c>
      <c r="Y596" s="160"/>
      <c r="Z596" s="160">
        <f t="shared" si="202"/>
        <v>0</v>
      </c>
      <c r="AA596" s="161"/>
      <c r="AB596" s="161">
        <f t="shared" si="203"/>
        <v>0</v>
      </c>
      <c r="AC596" s="162"/>
      <c r="AD596" s="162">
        <f t="shared" si="195"/>
        <v>0</v>
      </c>
      <c r="AE596" s="164"/>
      <c r="AF596" s="164">
        <f t="shared" si="196"/>
        <v>0</v>
      </c>
      <c r="AG596" s="165">
        <v>2300</v>
      </c>
      <c r="AH596" s="165">
        <f t="shared" si="197"/>
        <v>282900</v>
      </c>
      <c r="AI596" s="166">
        <v>0</v>
      </c>
      <c r="AJ596" s="166">
        <f t="shared" si="198"/>
        <v>0</v>
      </c>
      <c r="AK596" s="162"/>
      <c r="AL596" s="162">
        <f t="shared" si="209"/>
        <v>0</v>
      </c>
      <c r="AM596" s="167">
        <v>1300</v>
      </c>
      <c r="AN596" s="167">
        <f t="shared" si="204"/>
        <v>159900</v>
      </c>
      <c r="AO596" s="163"/>
      <c r="AP596" s="163">
        <f t="shared" si="205"/>
        <v>0</v>
      </c>
      <c r="AQ596" s="168"/>
      <c r="AR596" s="168">
        <f t="shared" si="206"/>
        <v>0</v>
      </c>
      <c r="AS596" s="170"/>
      <c r="AT596" s="170">
        <f t="shared" si="207"/>
        <v>0</v>
      </c>
      <c r="AU596" s="166">
        <v>5000</v>
      </c>
      <c r="AV596" s="166">
        <f t="shared" si="208"/>
        <v>615000</v>
      </c>
    </row>
    <row r="597" spans="1:48" s="131" customFormat="1" ht="31.5">
      <c r="A597" s="172" t="s">
        <v>5587</v>
      </c>
      <c r="B597" s="150" t="s">
        <v>360</v>
      </c>
      <c r="C597" s="150" t="s">
        <v>358</v>
      </c>
      <c r="D597" s="634" t="s">
        <v>5588</v>
      </c>
      <c r="E597" s="631" t="s">
        <v>12642</v>
      </c>
      <c r="F597" s="175" t="s">
        <v>353</v>
      </c>
      <c r="G597" s="151" t="s">
        <v>381</v>
      </c>
      <c r="H597" s="174" t="s">
        <v>5554</v>
      </c>
      <c r="I597" s="150" t="s">
        <v>353</v>
      </c>
      <c r="J597" s="153" t="s">
        <v>5103</v>
      </c>
      <c r="K597" s="151">
        <v>36</v>
      </c>
      <c r="L597" s="151" t="s">
        <v>382</v>
      </c>
      <c r="M597" s="151" t="s">
        <v>360</v>
      </c>
      <c r="N597" s="152" t="s">
        <v>213</v>
      </c>
      <c r="O597" s="152" t="s">
        <v>10</v>
      </c>
      <c r="P597" s="176">
        <v>405</v>
      </c>
      <c r="Q597" s="177">
        <v>53</v>
      </c>
      <c r="R597" s="176">
        <v>364000</v>
      </c>
      <c r="S597" s="156">
        <f t="shared" si="199"/>
        <v>19292000</v>
      </c>
      <c r="T597" s="589"/>
      <c r="U597" s="157">
        <v>364000</v>
      </c>
      <c r="V597" s="158">
        <f t="shared" si="194"/>
        <v>351500</v>
      </c>
      <c r="W597" s="159">
        <f t="shared" si="200"/>
        <v>12500</v>
      </c>
      <c r="X597" s="159">
        <f t="shared" si="201"/>
        <v>662500</v>
      </c>
      <c r="Y597" s="160"/>
      <c r="Z597" s="160">
        <f t="shared" si="202"/>
        <v>0</v>
      </c>
      <c r="AA597" s="161"/>
      <c r="AB597" s="161">
        <f t="shared" si="203"/>
        <v>0</v>
      </c>
      <c r="AC597" s="162"/>
      <c r="AD597" s="162">
        <f t="shared" si="195"/>
        <v>0</v>
      </c>
      <c r="AE597" s="164"/>
      <c r="AF597" s="164">
        <f t="shared" si="196"/>
        <v>0</v>
      </c>
      <c r="AG597" s="165"/>
      <c r="AH597" s="165">
        <f t="shared" si="197"/>
        <v>0</v>
      </c>
      <c r="AI597" s="166">
        <v>0</v>
      </c>
      <c r="AJ597" s="166">
        <f t="shared" si="198"/>
        <v>0</v>
      </c>
      <c r="AK597" s="162"/>
      <c r="AL597" s="162">
        <f t="shared" si="209"/>
        <v>0</v>
      </c>
      <c r="AM597" s="167"/>
      <c r="AN597" s="167">
        <f t="shared" si="204"/>
        <v>0</v>
      </c>
      <c r="AO597" s="163"/>
      <c r="AP597" s="163">
        <f t="shared" si="205"/>
        <v>0</v>
      </c>
      <c r="AQ597" s="168"/>
      <c r="AR597" s="168">
        <f t="shared" si="206"/>
        <v>0</v>
      </c>
      <c r="AS597" s="170"/>
      <c r="AT597" s="170">
        <f t="shared" si="207"/>
        <v>0</v>
      </c>
      <c r="AU597" s="166">
        <v>12500</v>
      </c>
      <c r="AV597" s="166">
        <f t="shared" si="208"/>
        <v>662500</v>
      </c>
    </row>
    <row r="598" spans="1:48" s="131" customFormat="1" ht="31.5">
      <c r="A598" s="148" t="s">
        <v>5589</v>
      </c>
      <c r="B598" s="150" t="s">
        <v>360</v>
      </c>
      <c r="C598" s="150" t="s">
        <v>358</v>
      </c>
      <c r="D598" s="634" t="s">
        <v>4865</v>
      </c>
      <c r="E598" s="631" t="s">
        <v>12642</v>
      </c>
      <c r="F598" s="175" t="s">
        <v>353</v>
      </c>
      <c r="G598" s="151" t="s">
        <v>384</v>
      </c>
      <c r="H598" s="174" t="s">
        <v>5554</v>
      </c>
      <c r="I598" s="150" t="s">
        <v>383</v>
      </c>
      <c r="J598" s="153" t="s">
        <v>5103</v>
      </c>
      <c r="K598" s="151">
        <v>36</v>
      </c>
      <c r="L598" s="151" t="s">
        <v>385</v>
      </c>
      <c r="M598" s="151" t="s">
        <v>360</v>
      </c>
      <c r="N598" s="152" t="s">
        <v>213</v>
      </c>
      <c r="O598" s="152" t="s">
        <v>10</v>
      </c>
      <c r="P598" s="176">
        <v>950</v>
      </c>
      <c r="Q598" s="177">
        <v>120</v>
      </c>
      <c r="R598" s="176">
        <v>182000</v>
      </c>
      <c r="S598" s="156">
        <f t="shared" si="199"/>
        <v>21840000</v>
      </c>
      <c r="T598" s="589"/>
      <c r="U598" s="157">
        <v>182000</v>
      </c>
      <c r="V598" s="158">
        <f t="shared" si="194"/>
        <v>182000</v>
      </c>
      <c r="W598" s="159">
        <f t="shared" si="200"/>
        <v>0</v>
      </c>
      <c r="X598" s="159">
        <f t="shared" si="201"/>
        <v>0</v>
      </c>
      <c r="Y598" s="160"/>
      <c r="Z598" s="160">
        <f t="shared" si="202"/>
        <v>0</v>
      </c>
      <c r="AA598" s="165"/>
      <c r="AB598" s="161">
        <f t="shared" si="203"/>
        <v>0</v>
      </c>
      <c r="AC598" s="162"/>
      <c r="AD598" s="162">
        <f t="shared" si="195"/>
        <v>0</v>
      </c>
      <c r="AE598" s="164"/>
      <c r="AF598" s="164">
        <f t="shared" si="196"/>
        <v>0</v>
      </c>
      <c r="AG598" s="165"/>
      <c r="AH598" s="165">
        <f t="shared" si="197"/>
        <v>0</v>
      </c>
      <c r="AI598" s="166">
        <v>0</v>
      </c>
      <c r="AJ598" s="166">
        <f t="shared" si="198"/>
        <v>0</v>
      </c>
      <c r="AK598" s="162"/>
      <c r="AL598" s="162">
        <f t="shared" si="209"/>
        <v>0</v>
      </c>
      <c r="AM598" s="173"/>
      <c r="AN598" s="167">
        <f t="shared" si="204"/>
        <v>0</v>
      </c>
      <c r="AO598" s="163"/>
      <c r="AP598" s="163">
        <f t="shared" si="205"/>
        <v>0</v>
      </c>
      <c r="AQ598" s="168"/>
      <c r="AR598" s="168">
        <f t="shared" si="206"/>
        <v>0</v>
      </c>
      <c r="AS598" s="170"/>
      <c r="AT598" s="170">
        <f t="shared" si="207"/>
        <v>0</v>
      </c>
      <c r="AU598" s="166"/>
      <c r="AV598" s="166">
        <f t="shared" si="208"/>
        <v>0</v>
      </c>
    </row>
    <row r="599" spans="1:48" s="131" customFormat="1" ht="31.5">
      <c r="A599" s="172" t="s">
        <v>5592</v>
      </c>
      <c r="B599" s="150" t="s">
        <v>360</v>
      </c>
      <c r="C599" s="150" t="s">
        <v>358</v>
      </c>
      <c r="D599" s="634" t="s">
        <v>5593</v>
      </c>
      <c r="E599" s="631"/>
      <c r="F599" s="175" t="s">
        <v>395</v>
      </c>
      <c r="G599" s="151" t="s">
        <v>267</v>
      </c>
      <c r="H599" s="174" t="s">
        <v>5554</v>
      </c>
      <c r="I599" s="150" t="s">
        <v>395</v>
      </c>
      <c r="J599" s="153" t="s">
        <v>5362</v>
      </c>
      <c r="K599" s="151">
        <v>36</v>
      </c>
      <c r="L599" s="151" t="s">
        <v>396</v>
      </c>
      <c r="M599" s="151" t="s">
        <v>360</v>
      </c>
      <c r="N599" s="152" t="s">
        <v>213</v>
      </c>
      <c r="O599" s="152" t="s">
        <v>10</v>
      </c>
      <c r="P599" s="176">
        <v>1300</v>
      </c>
      <c r="Q599" s="177">
        <v>326</v>
      </c>
      <c r="R599" s="176">
        <v>202000</v>
      </c>
      <c r="S599" s="156">
        <f t="shared" si="199"/>
        <v>65852000</v>
      </c>
      <c r="T599" s="589"/>
      <c r="U599" s="157">
        <v>202000</v>
      </c>
      <c r="V599" s="158">
        <f t="shared" si="194"/>
        <v>202000</v>
      </c>
      <c r="W599" s="159">
        <f t="shared" si="200"/>
        <v>0</v>
      </c>
      <c r="X599" s="159">
        <f t="shared" si="201"/>
        <v>0</v>
      </c>
      <c r="Y599" s="160"/>
      <c r="Z599" s="160">
        <f t="shared" si="202"/>
        <v>0</v>
      </c>
      <c r="AA599" s="165"/>
      <c r="AB599" s="161">
        <f t="shared" si="203"/>
        <v>0</v>
      </c>
      <c r="AC599" s="162"/>
      <c r="AD599" s="162">
        <f t="shared" si="195"/>
        <v>0</v>
      </c>
      <c r="AE599" s="164"/>
      <c r="AF599" s="164">
        <f t="shared" si="196"/>
        <v>0</v>
      </c>
      <c r="AG599" s="165"/>
      <c r="AH599" s="165">
        <f t="shared" si="197"/>
        <v>0</v>
      </c>
      <c r="AI599" s="166">
        <v>0</v>
      </c>
      <c r="AJ599" s="166">
        <f t="shared" si="198"/>
        <v>0</v>
      </c>
      <c r="AK599" s="162"/>
      <c r="AL599" s="162">
        <f t="shared" si="209"/>
        <v>0</v>
      </c>
      <c r="AM599" s="173"/>
      <c r="AN599" s="167">
        <f t="shared" si="204"/>
        <v>0</v>
      </c>
      <c r="AO599" s="163"/>
      <c r="AP599" s="163">
        <f t="shared" si="205"/>
        <v>0</v>
      </c>
      <c r="AQ599" s="168"/>
      <c r="AR599" s="168">
        <f t="shared" si="206"/>
        <v>0</v>
      </c>
      <c r="AS599" s="170"/>
      <c r="AT599" s="170">
        <f t="shared" si="207"/>
        <v>0</v>
      </c>
      <c r="AU599" s="166"/>
      <c r="AV599" s="166">
        <f t="shared" si="208"/>
        <v>0</v>
      </c>
    </row>
    <row r="600" spans="1:48" s="131" customFormat="1" ht="31.5">
      <c r="A600" s="148" t="s">
        <v>5594</v>
      </c>
      <c r="B600" s="150" t="s">
        <v>360</v>
      </c>
      <c r="C600" s="150" t="s">
        <v>358</v>
      </c>
      <c r="D600" s="634" t="s">
        <v>4907</v>
      </c>
      <c r="E600" s="631" t="s">
        <v>12642</v>
      </c>
      <c r="F600" s="175" t="s">
        <v>227</v>
      </c>
      <c r="G600" s="151" t="s">
        <v>398</v>
      </c>
      <c r="H600" s="174" t="s">
        <v>5554</v>
      </c>
      <c r="I600" s="150" t="s">
        <v>397</v>
      </c>
      <c r="J600" s="153" t="s">
        <v>5514</v>
      </c>
      <c r="K600" s="151">
        <v>36</v>
      </c>
      <c r="L600" s="151" t="s">
        <v>399</v>
      </c>
      <c r="M600" s="151" t="s">
        <v>360</v>
      </c>
      <c r="N600" s="152" t="s">
        <v>213</v>
      </c>
      <c r="O600" s="152" t="s">
        <v>10</v>
      </c>
      <c r="P600" s="176">
        <v>450</v>
      </c>
      <c r="Q600" s="177">
        <v>89</v>
      </c>
      <c r="R600" s="176">
        <v>180000</v>
      </c>
      <c r="S600" s="156">
        <f t="shared" si="199"/>
        <v>16020000</v>
      </c>
      <c r="T600" s="589"/>
      <c r="U600" s="157"/>
      <c r="V600" s="158">
        <f t="shared" si="194"/>
        <v>0</v>
      </c>
      <c r="W600" s="159">
        <f t="shared" si="200"/>
        <v>0</v>
      </c>
      <c r="X600" s="159">
        <f t="shared" si="201"/>
        <v>0</v>
      </c>
      <c r="Y600" s="160"/>
      <c r="Z600" s="160">
        <f t="shared" si="202"/>
        <v>0</v>
      </c>
      <c r="AA600" s="165"/>
      <c r="AB600" s="161">
        <f t="shared" si="203"/>
        <v>0</v>
      </c>
      <c r="AC600" s="162"/>
      <c r="AD600" s="162">
        <f t="shared" si="195"/>
        <v>0</v>
      </c>
      <c r="AE600" s="164"/>
      <c r="AF600" s="164">
        <f t="shared" si="196"/>
        <v>0</v>
      </c>
      <c r="AG600" s="165"/>
      <c r="AH600" s="165">
        <f t="shared" si="197"/>
        <v>0</v>
      </c>
      <c r="AI600" s="166">
        <v>0</v>
      </c>
      <c r="AJ600" s="166">
        <f t="shared" si="198"/>
        <v>0</v>
      </c>
      <c r="AK600" s="162"/>
      <c r="AL600" s="162">
        <f t="shared" si="209"/>
        <v>0</v>
      </c>
      <c r="AM600" s="173"/>
      <c r="AN600" s="167">
        <f t="shared" si="204"/>
        <v>0</v>
      </c>
      <c r="AO600" s="163"/>
      <c r="AP600" s="163">
        <f t="shared" si="205"/>
        <v>0</v>
      </c>
      <c r="AQ600" s="168"/>
      <c r="AR600" s="168">
        <f t="shared" si="206"/>
        <v>0</v>
      </c>
      <c r="AS600" s="170"/>
      <c r="AT600" s="170">
        <f t="shared" si="207"/>
        <v>0</v>
      </c>
      <c r="AU600" s="166"/>
      <c r="AV600" s="166">
        <f t="shared" si="208"/>
        <v>0</v>
      </c>
    </row>
    <row r="601" spans="1:48" s="131" customFormat="1" ht="31.5">
      <c r="A601" s="148" t="s">
        <v>5595</v>
      </c>
      <c r="B601" s="150" t="s">
        <v>360</v>
      </c>
      <c r="C601" s="150" t="s">
        <v>358</v>
      </c>
      <c r="D601" s="634" t="s">
        <v>5596</v>
      </c>
      <c r="E601" s="631" t="s">
        <v>12642</v>
      </c>
      <c r="F601" s="175" t="s">
        <v>402</v>
      </c>
      <c r="G601" s="151" t="s">
        <v>327</v>
      </c>
      <c r="H601" s="174" t="s">
        <v>5554</v>
      </c>
      <c r="I601" s="150" t="s">
        <v>403</v>
      </c>
      <c r="J601" s="153" t="s">
        <v>5517</v>
      </c>
      <c r="K601" s="151">
        <v>36</v>
      </c>
      <c r="L601" s="151" t="s">
        <v>404</v>
      </c>
      <c r="M601" s="151" t="s">
        <v>360</v>
      </c>
      <c r="N601" s="152" t="s">
        <v>213</v>
      </c>
      <c r="O601" s="152" t="s">
        <v>10</v>
      </c>
      <c r="P601" s="176">
        <v>232</v>
      </c>
      <c r="Q601" s="177">
        <v>95</v>
      </c>
      <c r="R601" s="176">
        <v>530000</v>
      </c>
      <c r="S601" s="156">
        <f t="shared" si="199"/>
        <v>50350000</v>
      </c>
      <c r="T601" s="589"/>
      <c r="U601" s="157">
        <v>530000</v>
      </c>
      <c r="V601" s="158">
        <f t="shared" si="194"/>
        <v>530000</v>
      </c>
      <c r="W601" s="159">
        <f t="shared" si="200"/>
        <v>0</v>
      </c>
      <c r="X601" s="159">
        <f t="shared" si="201"/>
        <v>0</v>
      </c>
      <c r="Y601" s="160"/>
      <c r="Z601" s="160">
        <f t="shared" si="202"/>
        <v>0</v>
      </c>
      <c r="AA601" s="165"/>
      <c r="AB601" s="161">
        <f t="shared" si="203"/>
        <v>0</v>
      </c>
      <c r="AC601" s="162"/>
      <c r="AD601" s="162">
        <f t="shared" si="195"/>
        <v>0</v>
      </c>
      <c r="AE601" s="164"/>
      <c r="AF601" s="164">
        <f t="shared" si="196"/>
        <v>0</v>
      </c>
      <c r="AG601" s="165"/>
      <c r="AH601" s="165">
        <f t="shared" si="197"/>
        <v>0</v>
      </c>
      <c r="AI601" s="166">
        <v>0</v>
      </c>
      <c r="AJ601" s="166">
        <f t="shared" si="198"/>
        <v>0</v>
      </c>
      <c r="AK601" s="162"/>
      <c r="AL601" s="162">
        <f t="shared" si="209"/>
        <v>0</v>
      </c>
      <c r="AM601" s="173"/>
      <c r="AN601" s="167">
        <f t="shared" si="204"/>
        <v>0</v>
      </c>
      <c r="AO601" s="163"/>
      <c r="AP601" s="163">
        <f t="shared" si="205"/>
        <v>0</v>
      </c>
      <c r="AQ601" s="168"/>
      <c r="AR601" s="168">
        <f t="shared" si="206"/>
        <v>0</v>
      </c>
      <c r="AS601" s="170"/>
      <c r="AT601" s="170">
        <f t="shared" si="207"/>
        <v>0</v>
      </c>
      <c r="AU601" s="166"/>
      <c r="AV601" s="166">
        <f t="shared" si="208"/>
        <v>0</v>
      </c>
    </row>
    <row r="602" spans="1:48" s="131" customFormat="1" ht="31.5">
      <c r="A602" s="172" t="s">
        <v>5597</v>
      </c>
      <c r="B602" s="150" t="s">
        <v>360</v>
      </c>
      <c r="C602" s="150" t="s">
        <v>358</v>
      </c>
      <c r="D602" s="634" t="s">
        <v>5598</v>
      </c>
      <c r="E602" s="631" t="s">
        <v>12642</v>
      </c>
      <c r="F602" s="175" t="s">
        <v>329</v>
      </c>
      <c r="G602" s="151" t="s">
        <v>232</v>
      </c>
      <c r="H602" s="174" t="s">
        <v>5554</v>
      </c>
      <c r="I602" s="150" t="s">
        <v>329</v>
      </c>
      <c r="J602" s="153" t="s">
        <v>5150</v>
      </c>
      <c r="K602" s="151">
        <v>36</v>
      </c>
      <c r="L602" s="151" t="s">
        <v>5522</v>
      </c>
      <c r="M602" s="151" t="s">
        <v>360</v>
      </c>
      <c r="N602" s="152" t="s">
        <v>213</v>
      </c>
      <c r="O602" s="152" t="s">
        <v>10</v>
      </c>
      <c r="P602" s="176">
        <v>318</v>
      </c>
      <c r="Q602" s="177">
        <v>220</v>
      </c>
      <c r="R602" s="176">
        <v>65000</v>
      </c>
      <c r="S602" s="156">
        <f t="shared" si="199"/>
        <v>14300000</v>
      </c>
      <c r="T602" s="589"/>
      <c r="U602" s="157">
        <v>65000</v>
      </c>
      <c r="V602" s="158">
        <f t="shared" si="194"/>
        <v>65000</v>
      </c>
      <c r="W602" s="159">
        <f t="shared" si="200"/>
        <v>0</v>
      </c>
      <c r="X602" s="159">
        <f t="shared" si="201"/>
        <v>0</v>
      </c>
      <c r="Y602" s="160"/>
      <c r="Z602" s="160">
        <f t="shared" si="202"/>
        <v>0</v>
      </c>
      <c r="AA602" s="165"/>
      <c r="AB602" s="161">
        <f t="shared" si="203"/>
        <v>0</v>
      </c>
      <c r="AC602" s="162"/>
      <c r="AD602" s="162">
        <f t="shared" si="195"/>
        <v>0</v>
      </c>
      <c r="AE602" s="164"/>
      <c r="AF602" s="164">
        <f t="shared" si="196"/>
        <v>0</v>
      </c>
      <c r="AG602" s="165"/>
      <c r="AH602" s="165">
        <f t="shared" si="197"/>
        <v>0</v>
      </c>
      <c r="AI602" s="166">
        <v>0</v>
      </c>
      <c r="AJ602" s="166">
        <f t="shared" si="198"/>
        <v>0</v>
      </c>
      <c r="AK602" s="162"/>
      <c r="AL602" s="162">
        <f t="shared" si="209"/>
        <v>0</v>
      </c>
      <c r="AM602" s="173"/>
      <c r="AN602" s="167">
        <f t="shared" si="204"/>
        <v>0</v>
      </c>
      <c r="AO602" s="163"/>
      <c r="AP602" s="163">
        <f t="shared" si="205"/>
        <v>0</v>
      </c>
      <c r="AQ602" s="168"/>
      <c r="AR602" s="168">
        <f t="shared" si="206"/>
        <v>0</v>
      </c>
      <c r="AS602" s="170"/>
      <c r="AT602" s="170">
        <f t="shared" si="207"/>
        <v>0</v>
      </c>
      <c r="AU602" s="166"/>
      <c r="AV602" s="166">
        <f t="shared" si="208"/>
        <v>0</v>
      </c>
    </row>
    <row r="603" spans="1:48" s="131" customFormat="1" ht="31.5">
      <c r="A603" s="148" t="s">
        <v>6997</v>
      </c>
      <c r="B603" s="150" t="s">
        <v>360</v>
      </c>
      <c r="C603" s="150" t="s">
        <v>358</v>
      </c>
      <c r="D603" s="240" t="s">
        <v>6998</v>
      </c>
      <c r="E603" s="590" t="s">
        <v>12642</v>
      </c>
      <c r="F603" s="203" t="s">
        <v>560</v>
      </c>
      <c r="G603" s="204" t="s">
        <v>299</v>
      </c>
      <c r="H603" s="204">
        <v>3</v>
      </c>
      <c r="I603" s="203" t="s">
        <v>939</v>
      </c>
      <c r="J603" s="205" t="s">
        <v>6999</v>
      </c>
      <c r="K603" s="203" t="s">
        <v>5104</v>
      </c>
      <c r="L603" s="205" t="s">
        <v>7000</v>
      </c>
      <c r="M603" s="205" t="s">
        <v>7001</v>
      </c>
      <c r="N603" s="204" t="s">
        <v>213</v>
      </c>
      <c r="O603" s="204" t="s">
        <v>11</v>
      </c>
      <c r="P603" s="206">
        <v>470</v>
      </c>
      <c r="Q603" s="206">
        <v>210</v>
      </c>
      <c r="R603" s="207">
        <v>100000</v>
      </c>
      <c r="S603" s="207">
        <f t="shared" si="199"/>
        <v>21000000</v>
      </c>
      <c r="T603" s="589"/>
      <c r="U603" s="157">
        <v>100000</v>
      </c>
      <c r="V603" s="158">
        <f t="shared" si="194"/>
        <v>86500</v>
      </c>
      <c r="W603" s="159">
        <f t="shared" si="200"/>
        <v>13500</v>
      </c>
      <c r="X603" s="159">
        <f t="shared" si="201"/>
        <v>2835000</v>
      </c>
      <c r="Y603" s="160"/>
      <c r="Z603" s="160">
        <f t="shared" si="202"/>
        <v>0</v>
      </c>
      <c r="AA603" s="165"/>
      <c r="AB603" s="161">
        <f t="shared" si="203"/>
        <v>0</v>
      </c>
      <c r="AC603" s="162"/>
      <c r="AD603" s="162">
        <f t="shared" si="195"/>
        <v>0</v>
      </c>
      <c r="AE603" s="164"/>
      <c r="AF603" s="164">
        <f t="shared" si="196"/>
        <v>0</v>
      </c>
      <c r="AG603" s="165"/>
      <c r="AH603" s="165">
        <f t="shared" si="197"/>
        <v>0</v>
      </c>
      <c r="AI603" s="166">
        <v>0</v>
      </c>
      <c r="AJ603" s="166">
        <f t="shared" si="198"/>
        <v>0</v>
      </c>
      <c r="AK603" s="162"/>
      <c r="AL603" s="162">
        <f t="shared" si="209"/>
        <v>0</v>
      </c>
      <c r="AM603" s="173"/>
      <c r="AN603" s="167">
        <f t="shared" si="204"/>
        <v>0</v>
      </c>
      <c r="AO603" s="163"/>
      <c r="AP603" s="163">
        <f t="shared" si="205"/>
        <v>0</v>
      </c>
      <c r="AQ603" s="168"/>
      <c r="AR603" s="168">
        <f t="shared" si="206"/>
        <v>0</v>
      </c>
      <c r="AS603" s="170">
        <v>13500</v>
      </c>
      <c r="AT603" s="170">
        <f t="shared" si="207"/>
        <v>2835000</v>
      </c>
      <c r="AU603" s="166"/>
      <c r="AV603" s="166">
        <f t="shared" si="208"/>
        <v>0</v>
      </c>
    </row>
    <row r="604" spans="1:48" s="131" customFormat="1" ht="31.5">
      <c r="A604" s="148" t="s">
        <v>7141</v>
      </c>
      <c r="B604" s="150" t="s">
        <v>360</v>
      </c>
      <c r="C604" s="150" t="s">
        <v>358</v>
      </c>
      <c r="D604" s="240" t="s">
        <v>5058</v>
      </c>
      <c r="E604" s="590" t="s">
        <v>12643</v>
      </c>
      <c r="F604" s="203" t="s">
        <v>5059</v>
      </c>
      <c r="G604" s="204" t="s">
        <v>272</v>
      </c>
      <c r="H604" s="204">
        <v>3</v>
      </c>
      <c r="I604" s="203" t="s">
        <v>5059</v>
      </c>
      <c r="J604" s="205" t="s">
        <v>7142</v>
      </c>
      <c r="K604" s="203" t="s">
        <v>5104</v>
      </c>
      <c r="L604" s="205" t="s">
        <v>7143</v>
      </c>
      <c r="M604" s="205" t="s">
        <v>7001</v>
      </c>
      <c r="N604" s="204" t="s">
        <v>213</v>
      </c>
      <c r="O604" s="204" t="s">
        <v>11</v>
      </c>
      <c r="P604" s="206">
        <v>450</v>
      </c>
      <c r="Q604" s="206">
        <v>340</v>
      </c>
      <c r="R604" s="207">
        <v>120000</v>
      </c>
      <c r="S604" s="207">
        <f t="shared" si="199"/>
        <v>40800000</v>
      </c>
      <c r="T604" s="589"/>
      <c r="U604" s="157">
        <v>120000</v>
      </c>
      <c r="V604" s="158">
        <f t="shared" si="194"/>
        <v>106000</v>
      </c>
      <c r="W604" s="159">
        <f t="shared" si="200"/>
        <v>14000</v>
      </c>
      <c r="X604" s="159">
        <f t="shared" si="201"/>
        <v>4760000</v>
      </c>
      <c r="Y604" s="160"/>
      <c r="Z604" s="160">
        <f t="shared" si="202"/>
        <v>0</v>
      </c>
      <c r="AA604" s="165">
        <v>6000</v>
      </c>
      <c r="AB604" s="161">
        <f t="shared" si="203"/>
        <v>2040000</v>
      </c>
      <c r="AC604" s="162"/>
      <c r="AD604" s="162">
        <f t="shared" si="195"/>
        <v>0</v>
      </c>
      <c r="AE604" s="164"/>
      <c r="AF604" s="164">
        <f t="shared" si="196"/>
        <v>0</v>
      </c>
      <c r="AG604" s="165">
        <v>5000</v>
      </c>
      <c r="AH604" s="165">
        <f t="shared" si="197"/>
        <v>1700000</v>
      </c>
      <c r="AI604" s="166">
        <v>0</v>
      </c>
      <c r="AJ604" s="166">
        <f t="shared" si="198"/>
        <v>0</v>
      </c>
      <c r="AK604" s="162"/>
      <c r="AL604" s="162">
        <f t="shared" si="209"/>
        <v>0</v>
      </c>
      <c r="AM604" s="173"/>
      <c r="AN604" s="167">
        <f t="shared" si="204"/>
        <v>0</v>
      </c>
      <c r="AO604" s="163"/>
      <c r="AP604" s="163">
        <f t="shared" si="205"/>
        <v>0</v>
      </c>
      <c r="AQ604" s="168"/>
      <c r="AR604" s="168">
        <f t="shared" si="206"/>
        <v>0</v>
      </c>
      <c r="AS604" s="170">
        <v>3000</v>
      </c>
      <c r="AT604" s="170">
        <f t="shared" si="207"/>
        <v>1020000</v>
      </c>
      <c r="AU604" s="166"/>
      <c r="AV604" s="166">
        <f t="shared" si="208"/>
        <v>0</v>
      </c>
    </row>
    <row r="605" spans="1:48" s="131" customFormat="1" ht="31.5">
      <c r="A605" s="172" t="s">
        <v>7181</v>
      </c>
      <c r="B605" s="150" t="s">
        <v>360</v>
      </c>
      <c r="C605" s="150" t="s">
        <v>358</v>
      </c>
      <c r="D605" s="240" t="s">
        <v>5068</v>
      </c>
      <c r="E605" s="590" t="s">
        <v>12643</v>
      </c>
      <c r="F605" s="203" t="s">
        <v>843</v>
      </c>
      <c r="G605" s="204" t="s">
        <v>272</v>
      </c>
      <c r="H605" s="204">
        <v>3</v>
      </c>
      <c r="I605" s="203" t="s">
        <v>844</v>
      </c>
      <c r="J605" s="205" t="s">
        <v>7182</v>
      </c>
      <c r="K605" s="203" t="s">
        <v>253</v>
      </c>
      <c r="L605" s="205" t="s">
        <v>7183</v>
      </c>
      <c r="M605" s="205" t="s">
        <v>7001</v>
      </c>
      <c r="N605" s="204" t="s">
        <v>213</v>
      </c>
      <c r="O605" s="204" t="s">
        <v>11</v>
      </c>
      <c r="P605" s="206">
        <v>225</v>
      </c>
      <c r="Q605" s="206">
        <v>113</v>
      </c>
      <c r="R605" s="207">
        <v>250000</v>
      </c>
      <c r="S605" s="207">
        <f t="shared" si="199"/>
        <v>28250000</v>
      </c>
      <c r="T605" s="589"/>
      <c r="U605" s="157">
        <v>250000</v>
      </c>
      <c r="V605" s="158">
        <f t="shared" si="194"/>
        <v>207600</v>
      </c>
      <c r="W605" s="159">
        <f t="shared" si="200"/>
        <v>42400</v>
      </c>
      <c r="X605" s="159">
        <f t="shared" si="201"/>
        <v>4791200</v>
      </c>
      <c r="Y605" s="160"/>
      <c r="Z605" s="160">
        <f t="shared" si="202"/>
        <v>0</v>
      </c>
      <c r="AA605" s="165">
        <v>13000</v>
      </c>
      <c r="AB605" s="161">
        <f t="shared" si="203"/>
        <v>1469000</v>
      </c>
      <c r="AC605" s="162"/>
      <c r="AD605" s="162">
        <f t="shared" si="195"/>
        <v>0</v>
      </c>
      <c r="AE605" s="164"/>
      <c r="AF605" s="164">
        <f t="shared" si="196"/>
        <v>0</v>
      </c>
      <c r="AG605" s="165">
        <v>10000</v>
      </c>
      <c r="AH605" s="165">
        <f t="shared" si="197"/>
        <v>1130000</v>
      </c>
      <c r="AI605" s="166">
        <v>0</v>
      </c>
      <c r="AJ605" s="166">
        <f t="shared" si="198"/>
        <v>0</v>
      </c>
      <c r="AK605" s="162"/>
      <c r="AL605" s="162">
        <f t="shared" si="209"/>
        <v>0</v>
      </c>
      <c r="AM605" s="173">
        <v>2400</v>
      </c>
      <c r="AN605" s="167">
        <f t="shared" si="204"/>
        <v>271200</v>
      </c>
      <c r="AO605" s="163"/>
      <c r="AP605" s="163">
        <f t="shared" si="205"/>
        <v>0</v>
      </c>
      <c r="AQ605" s="168"/>
      <c r="AR605" s="168">
        <f t="shared" si="206"/>
        <v>0</v>
      </c>
      <c r="AS605" s="170">
        <v>17000</v>
      </c>
      <c r="AT605" s="170">
        <f t="shared" si="207"/>
        <v>1921000</v>
      </c>
      <c r="AU605" s="166"/>
      <c r="AV605" s="166">
        <f t="shared" si="208"/>
        <v>0</v>
      </c>
    </row>
    <row r="606" spans="1:48" s="131" customFormat="1" ht="31.5">
      <c r="A606" s="148" t="s">
        <v>7184</v>
      </c>
      <c r="B606" s="150" t="s">
        <v>360</v>
      </c>
      <c r="C606" s="150" t="s">
        <v>358</v>
      </c>
      <c r="D606" s="240" t="s">
        <v>5066</v>
      </c>
      <c r="E606" s="590" t="s">
        <v>12643</v>
      </c>
      <c r="F606" s="203" t="s">
        <v>843</v>
      </c>
      <c r="G606" s="204" t="s">
        <v>225</v>
      </c>
      <c r="H606" s="204">
        <v>3</v>
      </c>
      <c r="I606" s="203" t="s">
        <v>843</v>
      </c>
      <c r="J606" s="205" t="s">
        <v>7182</v>
      </c>
      <c r="K606" s="203" t="s">
        <v>253</v>
      </c>
      <c r="L606" s="205" t="s">
        <v>7185</v>
      </c>
      <c r="M606" s="205" t="s">
        <v>7001</v>
      </c>
      <c r="N606" s="204" t="s">
        <v>213</v>
      </c>
      <c r="O606" s="204" t="s">
        <v>11</v>
      </c>
      <c r="P606" s="206">
        <v>560</v>
      </c>
      <c r="Q606" s="206">
        <v>154</v>
      </c>
      <c r="R606" s="207">
        <v>250000</v>
      </c>
      <c r="S606" s="207">
        <f t="shared" si="199"/>
        <v>38500000</v>
      </c>
      <c r="T606" s="589"/>
      <c r="U606" s="157">
        <v>250000</v>
      </c>
      <c r="V606" s="158">
        <f t="shared" si="194"/>
        <v>188400</v>
      </c>
      <c r="W606" s="159">
        <f t="shared" si="200"/>
        <v>61600</v>
      </c>
      <c r="X606" s="159">
        <f t="shared" si="201"/>
        <v>9486400</v>
      </c>
      <c r="Y606" s="160"/>
      <c r="Z606" s="160">
        <f t="shared" si="202"/>
        <v>0</v>
      </c>
      <c r="AA606" s="165"/>
      <c r="AB606" s="161">
        <f t="shared" si="203"/>
        <v>0</v>
      </c>
      <c r="AC606" s="162">
        <v>10000</v>
      </c>
      <c r="AD606" s="162">
        <f t="shared" si="195"/>
        <v>1540000</v>
      </c>
      <c r="AE606" s="164"/>
      <c r="AF606" s="164">
        <f t="shared" si="196"/>
        <v>0</v>
      </c>
      <c r="AG606" s="165">
        <v>21000</v>
      </c>
      <c r="AH606" s="165">
        <f t="shared" si="197"/>
        <v>3234000</v>
      </c>
      <c r="AI606" s="166">
        <v>0</v>
      </c>
      <c r="AJ606" s="166">
        <f t="shared" si="198"/>
        <v>0</v>
      </c>
      <c r="AK606" s="162"/>
      <c r="AL606" s="162">
        <f t="shared" si="209"/>
        <v>0</v>
      </c>
      <c r="AM606" s="173">
        <v>4600</v>
      </c>
      <c r="AN606" s="167">
        <f t="shared" si="204"/>
        <v>708400</v>
      </c>
      <c r="AO606" s="163"/>
      <c r="AP606" s="163">
        <f t="shared" si="205"/>
        <v>0</v>
      </c>
      <c r="AQ606" s="168"/>
      <c r="AR606" s="168">
        <f t="shared" si="206"/>
        <v>0</v>
      </c>
      <c r="AS606" s="170">
        <f>15400+10600</f>
        <v>26000</v>
      </c>
      <c r="AT606" s="170">
        <f t="shared" si="207"/>
        <v>4004000</v>
      </c>
      <c r="AU606" s="166"/>
      <c r="AV606" s="166">
        <f t="shared" si="208"/>
        <v>0</v>
      </c>
    </row>
    <row r="607" spans="1:48" s="131" customFormat="1" ht="31.5">
      <c r="A607" s="148" t="s">
        <v>7195</v>
      </c>
      <c r="B607" s="150" t="s">
        <v>360</v>
      </c>
      <c r="C607" s="150" t="s">
        <v>358</v>
      </c>
      <c r="D607" s="240" t="s">
        <v>5069</v>
      </c>
      <c r="E607" s="590" t="s">
        <v>12643</v>
      </c>
      <c r="F607" s="203" t="s">
        <v>1402</v>
      </c>
      <c r="G607" s="204" t="s">
        <v>225</v>
      </c>
      <c r="H607" s="204">
        <v>3</v>
      </c>
      <c r="I607" s="203" t="s">
        <v>1402</v>
      </c>
      <c r="J607" s="205" t="s">
        <v>7196</v>
      </c>
      <c r="K607" s="203" t="s">
        <v>5104</v>
      </c>
      <c r="L607" s="205" t="s">
        <v>7197</v>
      </c>
      <c r="M607" s="205" t="s">
        <v>7001</v>
      </c>
      <c r="N607" s="204" t="s">
        <v>213</v>
      </c>
      <c r="O607" s="204" t="s">
        <v>11</v>
      </c>
      <c r="P607" s="206">
        <v>500</v>
      </c>
      <c r="Q607" s="206">
        <v>162</v>
      </c>
      <c r="R607" s="207">
        <v>100000</v>
      </c>
      <c r="S607" s="207">
        <f t="shared" si="199"/>
        <v>16200000</v>
      </c>
      <c r="T607" s="589"/>
      <c r="U607" s="157">
        <v>100000</v>
      </c>
      <c r="V607" s="158">
        <f t="shared" si="194"/>
        <v>78000</v>
      </c>
      <c r="W607" s="159">
        <f t="shared" si="200"/>
        <v>22000</v>
      </c>
      <c r="X607" s="159">
        <f t="shared" si="201"/>
        <v>3564000</v>
      </c>
      <c r="Y607" s="160"/>
      <c r="Z607" s="160">
        <f t="shared" si="202"/>
        <v>0</v>
      </c>
      <c r="AA607" s="165"/>
      <c r="AB607" s="161">
        <f t="shared" si="203"/>
        <v>0</v>
      </c>
      <c r="AC607" s="162">
        <v>10000</v>
      </c>
      <c r="AD607" s="162">
        <f t="shared" si="195"/>
        <v>1620000</v>
      </c>
      <c r="AE607" s="164"/>
      <c r="AF607" s="164">
        <f t="shared" si="196"/>
        <v>0</v>
      </c>
      <c r="AG607" s="165">
        <v>7400</v>
      </c>
      <c r="AH607" s="165">
        <f t="shared" si="197"/>
        <v>1198800</v>
      </c>
      <c r="AI607" s="166">
        <v>0</v>
      </c>
      <c r="AJ607" s="166">
        <f t="shared" si="198"/>
        <v>0</v>
      </c>
      <c r="AK607" s="162"/>
      <c r="AL607" s="162">
        <f t="shared" si="209"/>
        <v>0</v>
      </c>
      <c r="AM607" s="173">
        <v>600</v>
      </c>
      <c r="AN607" s="167">
        <f t="shared" si="204"/>
        <v>97200</v>
      </c>
      <c r="AO607" s="163"/>
      <c r="AP607" s="163">
        <f t="shared" si="205"/>
        <v>0</v>
      </c>
      <c r="AQ607" s="168"/>
      <c r="AR607" s="168">
        <f t="shared" si="206"/>
        <v>0</v>
      </c>
      <c r="AS607" s="170">
        <v>4000</v>
      </c>
      <c r="AT607" s="170">
        <f t="shared" si="207"/>
        <v>648000</v>
      </c>
      <c r="AU607" s="166"/>
      <c r="AV607" s="166">
        <f t="shared" si="208"/>
        <v>0</v>
      </c>
    </row>
    <row r="608" spans="1:48" s="131" customFormat="1" ht="31.5">
      <c r="A608" s="148" t="s">
        <v>7354</v>
      </c>
      <c r="B608" s="150" t="s">
        <v>360</v>
      </c>
      <c r="C608" s="150" t="s">
        <v>358</v>
      </c>
      <c r="D608" s="240" t="s">
        <v>7355</v>
      </c>
      <c r="E608" s="590" t="s">
        <v>12643</v>
      </c>
      <c r="F608" s="203" t="s">
        <v>7356</v>
      </c>
      <c r="G608" s="204" t="s">
        <v>225</v>
      </c>
      <c r="H608" s="204">
        <v>3</v>
      </c>
      <c r="I608" s="203" t="s">
        <v>7356</v>
      </c>
      <c r="J608" s="205" t="s">
        <v>6767</v>
      </c>
      <c r="K608" s="203" t="s">
        <v>5104</v>
      </c>
      <c r="L608" s="205" t="s">
        <v>7357</v>
      </c>
      <c r="M608" s="205" t="s">
        <v>7001</v>
      </c>
      <c r="N608" s="204" t="s">
        <v>213</v>
      </c>
      <c r="O608" s="204" t="s">
        <v>11</v>
      </c>
      <c r="P608" s="206">
        <v>600</v>
      </c>
      <c r="Q608" s="206">
        <v>316</v>
      </c>
      <c r="R608" s="207">
        <v>5000</v>
      </c>
      <c r="S608" s="207">
        <f t="shared" si="199"/>
        <v>1580000</v>
      </c>
      <c r="T608" s="589"/>
      <c r="U608" s="157">
        <v>5000</v>
      </c>
      <c r="V608" s="158">
        <f t="shared" si="194"/>
        <v>5000</v>
      </c>
      <c r="W608" s="159">
        <f t="shared" si="200"/>
        <v>0</v>
      </c>
      <c r="X608" s="159">
        <f t="shared" si="201"/>
        <v>0</v>
      </c>
      <c r="Y608" s="160"/>
      <c r="Z608" s="160">
        <f t="shared" si="202"/>
        <v>0</v>
      </c>
      <c r="AA608" s="165"/>
      <c r="AB608" s="161">
        <f t="shared" si="203"/>
        <v>0</v>
      </c>
      <c r="AC608" s="162"/>
      <c r="AD608" s="162">
        <f t="shared" si="195"/>
        <v>0</v>
      </c>
      <c r="AE608" s="164"/>
      <c r="AF608" s="164">
        <f t="shared" si="196"/>
        <v>0</v>
      </c>
      <c r="AG608" s="165"/>
      <c r="AH608" s="165">
        <f t="shared" si="197"/>
        <v>0</v>
      </c>
      <c r="AI608" s="166">
        <v>0</v>
      </c>
      <c r="AJ608" s="166">
        <f t="shared" si="198"/>
        <v>0</v>
      </c>
      <c r="AK608" s="162"/>
      <c r="AL608" s="162">
        <f t="shared" si="209"/>
        <v>0</v>
      </c>
      <c r="AM608" s="173"/>
      <c r="AN608" s="167">
        <f t="shared" si="204"/>
        <v>0</v>
      </c>
      <c r="AO608" s="163"/>
      <c r="AP608" s="163">
        <f t="shared" si="205"/>
        <v>0</v>
      </c>
      <c r="AQ608" s="168"/>
      <c r="AR608" s="168">
        <f t="shared" si="206"/>
        <v>0</v>
      </c>
      <c r="AS608" s="170"/>
      <c r="AT608" s="170">
        <f t="shared" si="207"/>
        <v>0</v>
      </c>
      <c r="AU608" s="166"/>
      <c r="AV608" s="166">
        <f t="shared" si="208"/>
        <v>0</v>
      </c>
    </row>
    <row r="609" spans="1:48" s="131" customFormat="1" ht="31.5">
      <c r="A609" s="148" t="s">
        <v>7366</v>
      </c>
      <c r="B609" s="150" t="s">
        <v>360</v>
      </c>
      <c r="C609" s="150" t="s">
        <v>358</v>
      </c>
      <c r="D609" s="240" t="s">
        <v>4493</v>
      </c>
      <c r="E609" s="590" t="s">
        <v>12642</v>
      </c>
      <c r="F609" s="203" t="s">
        <v>1335</v>
      </c>
      <c r="G609" s="204" t="s">
        <v>225</v>
      </c>
      <c r="H609" s="204">
        <v>3</v>
      </c>
      <c r="I609" s="203" t="s">
        <v>1335</v>
      </c>
      <c r="J609" s="205" t="s">
        <v>7196</v>
      </c>
      <c r="K609" s="203" t="s">
        <v>5104</v>
      </c>
      <c r="L609" s="205" t="s">
        <v>7367</v>
      </c>
      <c r="M609" s="205" t="s">
        <v>7001</v>
      </c>
      <c r="N609" s="204" t="s">
        <v>213</v>
      </c>
      <c r="O609" s="204" t="s">
        <v>11</v>
      </c>
      <c r="P609" s="206">
        <v>1300</v>
      </c>
      <c r="Q609" s="206">
        <v>1153</v>
      </c>
      <c r="R609" s="207">
        <v>20000</v>
      </c>
      <c r="S609" s="207">
        <f t="shared" si="199"/>
        <v>23060000</v>
      </c>
      <c r="T609" s="589"/>
      <c r="U609" s="157">
        <v>20000</v>
      </c>
      <c r="V609" s="158">
        <f t="shared" si="194"/>
        <v>16200</v>
      </c>
      <c r="W609" s="159">
        <f t="shared" si="200"/>
        <v>3800</v>
      </c>
      <c r="X609" s="159">
        <f t="shared" si="201"/>
        <v>4381400</v>
      </c>
      <c r="Y609" s="160"/>
      <c r="Z609" s="160">
        <f t="shared" si="202"/>
        <v>0</v>
      </c>
      <c r="AA609" s="161">
        <v>2000</v>
      </c>
      <c r="AB609" s="161">
        <f t="shared" si="203"/>
        <v>2306000</v>
      </c>
      <c r="AC609" s="162"/>
      <c r="AD609" s="162">
        <f t="shared" si="195"/>
        <v>0</v>
      </c>
      <c r="AE609" s="164"/>
      <c r="AF609" s="164">
        <f t="shared" si="196"/>
        <v>0</v>
      </c>
      <c r="AG609" s="165">
        <v>600</v>
      </c>
      <c r="AH609" s="165">
        <f t="shared" si="197"/>
        <v>691800</v>
      </c>
      <c r="AI609" s="166">
        <v>0</v>
      </c>
      <c r="AJ609" s="166">
        <f t="shared" si="198"/>
        <v>0</v>
      </c>
      <c r="AK609" s="162"/>
      <c r="AL609" s="162">
        <f t="shared" si="209"/>
        <v>0</v>
      </c>
      <c r="AM609" s="167">
        <v>200</v>
      </c>
      <c r="AN609" s="167">
        <f t="shared" si="204"/>
        <v>230600</v>
      </c>
      <c r="AO609" s="163"/>
      <c r="AP609" s="163">
        <f t="shared" si="205"/>
        <v>0</v>
      </c>
      <c r="AQ609" s="168"/>
      <c r="AR609" s="168">
        <f t="shared" si="206"/>
        <v>0</v>
      </c>
      <c r="AS609" s="170">
        <v>1000</v>
      </c>
      <c r="AT609" s="170">
        <f t="shared" si="207"/>
        <v>1153000</v>
      </c>
      <c r="AU609" s="166"/>
      <c r="AV609" s="166">
        <f t="shared" si="208"/>
        <v>0</v>
      </c>
    </row>
    <row r="610" spans="1:48" s="131" customFormat="1" ht="31.5">
      <c r="A610" s="148" t="s">
        <v>7378</v>
      </c>
      <c r="B610" s="150" t="s">
        <v>360</v>
      </c>
      <c r="C610" s="150" t="s">
        <v>358</v>
      </c>
      <c r="D610" s="240" t="s">
        <v>4560</v>
      </c>
      <c r="E610" s="590" t="s">
        <v>12643</v>
      </c>
      <c r="F610" s="203" t="s">
        <v>1029</v>
      </c>
      <c r="G610" s="204" t="s">
        <v>4561</v>
      </c>
      <c r="H610" s="204">
        <v>3</v>
      </c>
      <c r="I610" s="203" t="s">
        <v>1385</v>
      </c>
      <c r="J610" s="205" t="s">
        <v>6767</v>
      </c>
      <c r="K610" s="203" t="s">
        <v>5104</v>
      </c>
      <c r="L610" s="205" t="s">
        <v>7379</v>
      </c>
      <c r="M610" s="205" t="s">
        <v>7001</v>
      </c>
      <c r="N610" s="204" t="s">
        <v>213</v>
      </c>
      <c r="O610" s="204" t="s">
        <v>11</v>
      </c>
      <c r="P610" s="206">
        <v>3100</v>
      </c>
      <c r="Q610" s="206">
        <v>1195</v>
      </c>
      <c r="R610" s="207">
        <v>80000</v>
      </c>
      <c r="S610" s="207">
        <f t="shared" si="199"/>
        <v>95600000</v>
      </c>
      <c r="T610" s="589"/>
      <c r="U610" s="157">
        <v>80000</v>
      </c>
      <c r="V610" s="158">
        <f t="shared" si="194"/>
        <v>56000</v>
      </c>
      <c r="W610" s="159">
        <f t="shared" si="200"/>
        <v>24000</v>
      </c>
      <c r="X610" s="159">
        <f t="shared" si="201"/>
        <v>28680000</v>
      </c>
      <c r="Y610" s="160"/>
      <c r="Z610" s="160">
        <f t="shared" si="202"/>
        <v>0</v>
      </c>
      <c r="AA610" s="165">
        <v>11000</v>
      </c>
      <c r="AB610" s="161">
        <f t="shared" si="203"/>
        <v>13145000</v>
      </c>
      <c r="AC610" s="162"/>
      <c r="AD610" s="162">
        <f t="shared" si="195"/>
        <v>0</v>
      </c>
      <c r="AE610" s="164"/>
      <c r="AF610" s="164">
        <f t="shared" si="196"/>
        <v>0</v>
      </c>
      <c r="AG610" s="165">
        <v>2500</v>
      </c>
      <c r="AH610" s="165">
        <f t="shared" si="197"/>
        <v>2987500</v>
      </c>
      <c r="AI610" s="166">
        <v>0</v>
      </c>
      <c r="AJ610" s="166">
        <f t="shared" si="198"/>
        <v>0</v>
      </c>
      <c r="AK610" s="162"/>
      <c r="AL610" s="162">
        <f t="shared" si="209"/>
        <v>0</v>
      </c>
      <c r="AM610" s="173">
        <v>1000</v>
      </c>
      <c r="AN610" s="167">
        <f t="shared" si="204"/>
        <v>1195000</v>
      </c>
      <c r="AO610" s="163"/>
      <c r="AP610" s="163">
        <f t="shared" si="205"/>
        <v>0</v>
      </c>
      <c r="AQ610" s="168"/>
      <c r="AR610" s="168">
        <f t="shared" si="206"/>
        <v>0</v>
      </c>
      <c r="AS610" s="170">
        <v>9500</v>
      </c>
      <c r="AT610" s="170">
        <f t="shared" si="207"/>
        <v>11352500</v>
      </c>
      <c r="AU610" s="166"/>
      <c r="AV610" s="166">
        <f t="shared" si="208"/>
        <v>0</v>
      </c>
    </row>
    <row r="611" spans="1:48" s="131" customFormat="1" ht="31.5">
      <c r="A611" s="148" t="s">
        <v>7380</v>
      </c>
      <c r="B611" s="150" t="s">
        <v>360</v>
      </c>
      <c r="C611" s="150" t="s">
        <v>358</v>
      </c>
      <c r="D611" s="240" t="s">
        <v>4563</v>
      </c>
      <c r="E611" s="590" t="s">
        <v>12643</v>
      </c>
      <c r="F611" s="203" t="s">
        <v>1029</v>
      </c>
      <c r="G611" s="204" t="s">
        <v>4565</v>
      </c>
      <c r="H611" s="204">
        <v>3</v>
      </c>
      <c r="I611" s="203" t="s">
        <v>4564</v>
      </c>
      <c r="J611" s="205" t="s">
        <v>7381</v>
      </c>
      <c r="K611" s="203" t="s">
        <v>5104</v>
      </c>
      <c r="L611" s="205" t="s">
        <v>7382</v>
      </c>
      <c r="M611" s="205" t="s">
        <v>7001</v>
      </c>
      <c r="N611" s="204" t="s">
        <v>213</v>
      </c>
      <c r="O611" s="204" t="s">
        <v>11</v>
      </c>
      <c r="P611" s="206">
        <v>5100</v>
      </c>
      <c r="Q611" s="206">
        <v>2337</v>
      </c>
      <c r="R611" s="207">
        <v>60000</v>
      </c>
      <c r="S611" s="207">
        <f t="shared" si="199"/>
        <v>140220000</v>
      </c>
      <c r="T611" s="589"/>
      <c r="U611" s="157">
        <v>60000</v>
      </c>
      <c r="V611" s="158">
        <f t="shared" si="194"/>
        <v>31500</v>
      </c>
      <c r="W611" s="159">
        <f t="shared" si="200"/>
        <v>28500</v>
      </c>
      <c r="X611" s="159">
        <f t="shared" si="201"/>
        <v>66604500</v>
      </c>
      <c r="Y611" s="160"/>
      <c r="Z611" s="160">
        <f t="shared" si="202"/>
        <v>0</v>
      </c>
      <c r="AA611" s="165">
        <v>18500</v>
      </c>
      <c r="AB611" s="161">
        <f t="shared" si="203"/>
        <v>43234500</v>
      </c>
      <c r="AC611" s="162"/>
      <c r="AD611" s="162">
        <f t="shared" si="195"/>
        <v>0</v>
      </c>
      <c r="AE611" s="164"/>
      <c r="AF611" s="164">
        <f t="shared" si="196"/>
        <v>0</v>
      </c>
      <c r="AG611" s="165">
        <v>2500</v>
      </c>
      <c r="AH611" s="165">
        <f t="shared" si="197"/>
        <v>5842500</v>
      </c>
      <c r="AI611" s="166">
        <v>0</v>
      </c>
      <c r="AJ611" s="166">
        <f t="shared" si="198"/>
        <v>0</v>
      </c>
      <c r="AK611" s="162"/>
      <c r="AL611" s="162">
        <f t="shared" si="209"/>
        <v>0</v>
      </c>
      <c r="AM611" s="173"/>
      <c r="AN611" s="167">
        <f t="shared" si="204"/>
        <v>0</v>
      </c>
      <c r="AO611" s="163"/>
      <c r="AP611" s="163">
        <f t="shared" si="205"/>
        <v>0</v>
      </c>
      <c r="AQ611" s="168"/>
      <c r="AR611" s="168">
        <f t="shared" si="206"/>
        <v>0</v>
      </c>
      <c r="AS611" s="170">
        <v>7500</v>
      </c>
      <c r="AT611" s="170">
        <f t="shared" si="207"/>
        <v>17527500</v>
      </c>
      <c r="AU611" s="166"/>
      <c r="AV611" s="166">
        <f t="shared" si="208"/>
        <v>0</v>
      </c>
    </row>
    <row r="612" spans="1:48" s="131" customFormat="1" ht="31.5">
      <c r="A612" s="172" t="s">
        <v>7383</v>
      </c>
      <c r="B612" s="150" t="s">
        <v>360</v>
      </c>
      <c r="C612" s="150" t="s">
        <v>358</v>
      </c>
      <c r="D612" s="240" t="s">
        <v>4512</v>
      </c>
      <c r="E612" s="590" t="s">
        <v>12643</v>
      </c>
      <c r="F612" s="203" t="s">
        <v>1390</v>
      </c>
      <c r="G612" s="204" t="s">
        <v>2916</v>
      </c>
      <c r="H612" s="204">
        <v>3</v>
      </c>
      <c r="I612" s="203" t="s">
        <v>1394</v>
      </c>
      <c r="J612" s="205" t="s">
        <v>6767</v>
      </c>
      <c r="K612" s="203" t="s">
        <v>5104</v>
      </c>
      <c r="L612" s="205" t="s">
        <v>1396</v>
      </c>
      <c r="M612" s="205" t="s">
        <v>7001</v>
      </c>
      <c r="N612" s="204" t="s">
        <v>213</v>
      </c>
      <c r="O612" s="204" t="s">
        <v>11</v>
      </c>
      <c r="P612" s="206">
        <v>2500</v>
      </c>
      <c r="Q612" s="206">
        <v>1690</v>
      </c>
      <c r="R612" s="207">
        <v>40000</v>
      </c>
      <c r="S612" s="207">
        <f t="shared" si="199"/>
        <v>67600000</v>
      </c>
      <c r="T612" s="589"/>
      <c r="U612" s="157">
        <v>40000</v>
      </c>
      <c r="V612" s="158">
        <f t="shared" si="194"/>
        <v>23500</v>
      </c>
      <c r="W612" s="159">
        <f t="shared" si="200"/>
        <v>16500</v>
      </c>
      <c r="X612" s="159">
        <f t="shared" si="201"/>
        <v>27885000</v>
      </c>
      <c r="Y612" s="160"/>
      <c r="Z612" s="160">
        <f t="shared" si="202"/>
        <v>0</v>
      </c>
      <c r="AA612" s="165">
        <v>9200</v>
      </c>
      <c r="AB612" s="161">
        <f t="shared" si="203"/>
        <v>15548000</v>
      </c>
      <c r="AC612" s="162"/>
      <c r="AD612" s="162">
        <f t="shared" si="195"/>
        <v>0</v>
      </c>
      <c r="AE612" s="164"/>
      <c r="AF612" s="164">
        <f t="shared" si="196"/>
        <v>0</v>
      </c>
      <c r="AG612" s="165">
        <v>3800</v>
      </c>
      <c r="AH612" s="165">
        <f t="shared" si="197"/>
        <v>6422000</v>
      </c>
      <c r="AI612" s="166">
        <v>0</v>
      </c>
      <c r="AJ612" s="166">
        <f t="shared" si="198"/>
        <v>0</v>
      </c>
      <c r="AK612" s="162"/>
      <c r="AL612" s="162">
        <f t="shared" si="209"/>
        <v>0</v>
      </c>
      <c r="AM612" s="173">
        <v>500</v>
      </c>
      <c r="AN612" s="167">
        <f t="shared" si="204"/>
        <v>845000</v>
      </c>
      <c r="AO612" s="163"/>
      <c r="AP612" s="163">
        <f t="shared" si="205"/>
        <v>0</v>
      </c>
      <c r="AQ612" s="168"/>
      <c r="AR612" s="168">
        <f t="shared" si="206"/>
        <v>0</v>
      </c>
      <c r="AS612" s="170">
        <v>3000</v>
      </c>
      <c r="AT612" s="170">
        <f t="shared" si="207"/>
        <v>5070000</v>
      </c>
      <c r="AU612" s="166"/>
      <c r="AV612" s="166">
        <f t="shared" si="208"/>
        <v>0</v>
      </c>
    </row>
    <row r="613" spans="1:48" s="131" customFormat="1" ht="31.5">
      <c r="A613" s="172" t="s">
        <v>7396</v>
      </c>
      <c r="B613" s="150" t="s">
        <v>360</v>
      </c>
      <c r="C613" s="150" t="s">
        <v>358</v>
      </c>
      <c r="D613" s="240" t="s">
        <v>7397</v>
      </c>
      <c r="E613" s="590"/>
      <c r="F613" s="203" t="s">
        <v>5948</v>
      </c>
      <c r="G613" s="204" t="s">
        <v>334</v>
      </c>
      <c r="H613" s="204">
        <v>3</v>
      </c>
      <c r="I613" s="203" t="s">
        <v>5948</v>
      </c>
      <c r="J613" s="205" t="s">
        <v>6767</v>
      </c>
      <c r="K613" s="203" t="s">
        <v>5104</v>
      </c>
      <c r="L613" s="205" t="s">
        <v>7398</v>
      </c>
      <c r="M613" s="205" t="s">
        <v>7001</v>
      </c>
      <c r="N613" s="204" t="s">
        <v>213</v>
      </c>
      <c r="O613" s="204" t="s">
        <v>11</v>
      </c>
      <c r="P613" s="206">
        <v>875</v>
      </c>
      <c r="Q613" s="206">
        <v>574</v>
      </c>
      <c r="R613" s="207">
        <v>20000</v>
      </c>
      <c r="S613" s="207">
        <f t="shared" si="199"/>
        <v>11480000</v>
      </c>
      <c r="T613" s="589"/>
      <c r="U613" s="157">
        <v>20000</v>
      </c>
      <c r="V613" s="158">
        <f t="shared" si="194"/>
        <v>20000</v>
      </c>
      <c r="W613" s="159">
        <f t="shared" si="200"/>
        <v>0</v>
      </c>
      <c r="X613" s="159">
        <f t="shared" si="201"/>
        <v>0</v>
      </c>
      <c r="Y613" s="160"/>
      <c r="Z613" s="160">
        <f t="shared" si="202"/>
        <v>0</v>
      </c>
      <c r="AA613" s="165"/>
      <c r="AB613" s="161">
        <f t="shared" si="203"/>
        <v>0</v>
      </c>
      <c r="AC613" s="162"/>
      <c r="AD613" s="162">
        <f t="shared" si="195"/>
        <v>0</v>
      </c>
      <c r="AE613" s="163"/>
      <c r="AF613" s="164">
        <f t="shared" si="196"/>
        <v>0</v>
      </c>
      <c r="AG613" s="161"/>
      <c r="AH613" s="165">
        <f t="shared" si="197"/>
        <v>0</v>
      </c>
      <c r="AI613" s="160">
        <v>0</v>
      </c>
      <c r="AJ613" s="166">
        <f t="shared" si="198"/>
        <v>0</v>
      </c>
      <c r="AK613" s="162"/>
      <c r="AL613" s="162">
        <f t="shared" si="209"/>
        <v>0</v>
      </c>
      <c r="AM613" s="173"/>
      <c r="AN613" s="167">
        <f t="shared" si="204"/>
        <v>0</v>
      </c>
      <c r="AO613" s="163"/>
      <c r="AP613" s="163">
        <f t="shared" si="205"/>
        <v>0</v>
      </c>
      <c r="AQ613" s="162"/>
      <c r="AR613" s="168">
        <f t="shared" si="206"/>
        <v>0</v>
      </c>
      <c r="AS613" s="169"/>
      <c r="AT613" s="170">
        <f t="shared" si="207"/>
        <v>0</v>
      </c>
      <c r="AU613" s="160"/>
      <c r="AV613" s="166">
        <f t="shared" si="208"/>
        <v>0</v>
      </c>
    </row>
    <row r="614" spans="1:48" s="131" customFormat="1" ht="31.5">
      <c r="A614" s="148" t="s">
        <v>7484</v>
      </c>
      <c r="B614" s="150" t="s">
        <v>360</v>
      </c>
      <c r="C614" s="150" t="s">
        <v>358</v>
      </c>
      <c r="D614" s="240" t="s">
        <v>3924</v>
      </c>
      <c r="E614" s="590" t="s">
        <v>12642</v>
      </c>
      <c r="F614" s="203" t="s">
        <v>1330</v>
      </c>
      <c r="G614" s="204" t="s">
        <v>291</v>
      </c>
      <c r="H614" s="204">
        <v>3</v>
      </c>
      <c r="I614" s="203" t="s">
        <v>1330</v>
      </c>
      <c r="J614" s="205" t="s">
        <v>7485</v>
      </c>
      <c r="K614" s="203" t="s">
        <v>5104</v>
      </c>
      <c r="L614" s="205" t="s">
        <v>1332</v>
      </c>
      <c r="M614" s="205" t="s">
        <v>7001</v>
      </c>
      <c r="N614" s="204" t="s">
        <v>213</v>
      </c>
      <c r="O614" s="204" t="s">
        <v>11</v>
      </c>
      <c r="P614" s="206">
        <v>220</v>
      </c>
      <c r="Q614" s="206">
        <v>100</v>
      </c>
      <c r="R614" s="207">
        <v>100000</v>
      </c>
      <c r="S614" s="207">
        <f t="shared" si="199"/>
        <v>10000000</v>
      </c>
      <c r="T614" s="589"/>
      <c r="U614" s="157">
        <v>100000</v>
      </c>
      <c r="V614" s="158">
        <f t="shared" si="194"/>
        <v>59000</v>
      </c>
      <c r="W614" s="159">
        <f t="shared" si="200"/>
        <v>41000</v>
      </c>
      <c r="X614" s="159">
        <f t="shared" si="201"/>
        <v>4100000</v>
      </c>
      <c r="Y614" s="160"/>
      <c r="Z614" s="160">
        <f t="shared" si="202"/>
        <v>0</v>
      </c>
      <c r="AA614" s="161">
        <v>11000</v>
      </c>
      <c r="AB614" s="161">
        <f t="shared" si="203"/>
        <v>1100000</v>
      </c>
      <c r="AC614" s="162"/>
      <c r="AD614" s="162">
        <f t="shared" si="195"/>
        <v>0</v>
      </c>
      <c r="AE614" s="164"/>
      <c r="AF614" s="164">
        <f t="shared" si="196"/>
        <v>0</v>
      </c>
      <c r="AG614" s="165">
        <f>10000+5000</f>
        <v>15000</v>
      </c>
      <c r="AH614" s="165">
        <f t="shared" si="197"/>
        <v>1500000</v>
      </c>
      <c r="AI614" s="166">
        <v>0</v>
      </c>
      <c r="AJ614" s="166">
        <f t="shared" si="198"/>
        <v>0</v>
      </c>
      <c r="AK614" s="162"/>
      <c r="AL614" s="162">
        <f t="shared" si="209"/>
        <v>0</v>
      </c>
      <c r="AM614" s="167">
        <v>5000</v>
      </c>
      <c r="AN614" s="167">
        <f t="shared" si="204"/>
        <v>500000</v>
      </c>
      <c r="AO614" s="163"/>
      <c r="AP614" s="163">
        <f t="shared" si="205"/>
        <v>0</v>
      </c>
      <c r="AQ614" s="168"/>
      <c r="AR614" s="168">
        <f t="shared" si="206"/>
        <v>0</v>
      </c>
      <c r="AS614" s="170">
        <v>10000</v>
      </c>
      <c r="AT614" s="170">
        <f t="shared" si="207"/>
        <v>1000000</v>
      </c>
      <c r="AU614" s="166"/>
      <c r="AV614" s="166">
        <f t="shared" si="208"/>
        <v>0</v>
      </c>
    </row>
    <row r="615" spans="1:48" s="131" customFormat="1" ht="31.5">
      <c r="A615" s="148" t="s">
        <v>7600</v>
      </c>
      <c r="B615" s="150" t="s">
        <v>360</v>
      </c>
      <c r="C615" s="150" t="s">
        <v>358</v>
      </c>
      <c r="D615" s="240" t="s">
        <v>4106</v>
      </c>
      <c r="E615" s="590" t="s">
        <v>12643</v>
      </c>
      <c r="F615" s="203" t="s">
        <v>592</v>
      </c>
      <c r="G615" s="204" t="s">
        <v>235</v>
      </c>
      <c r="H615" s="204">
        <v>3</v>
      </c>
      <c r="I615" s="203" t="s">
        <v>1400</v>
      </c>
      <c r="J615" s="205" t="s">
        <v>7601</v>
      </c>
      <c r="K615" s="203" t="s">
        <v>5104</v>
      </c>
      <c r="L615" s="205" t="s">
        <v>7602</v>
      </c>
      <c r="M615" s="205" t="s">
        <v>7001</v>
      </c>
      <c r="N615" s="204" t="s">
        <v>213</v>
      </c>
      <c r="O615" s="204" t="s">
        <v>11</v>
      </c>
      <c r="P615" s="206">
        <v>450</v>
      </c>
      <c r="Q615" s="206">
        <v>95</v>
      </c>
      <c r="R615" s="207">
        <v>180000</v>
      </c>
      <c r="S615" s="207">
        <f t="shared" si="199"/>
        <v>17100000</v>
      </c>
      <c r="T615" s="589"/>
      <c r="U615" s="157">
        <v>180000</v>
      </c>
      <c r="V615" s="158">
        <f t="shared" si="194"/>
        <v>72400</v>
      </c>
      <c r="W615" s="159">
        <f t="shared" si="200"/>
        <v>107600</v>
      </c>
      <c r="X615" s="159">
        <f t="shared" si="201"/>
        <v>10222000</v>
      </c>
      <c r="Y615" s="160"/>
      <c r="Z615" s="160">
        <f t="shared" si="202"/>
        <v>0</v>
      </c>
      <c r="AA615" s="165">
        <v>15000</v>
      </c>
      <c r="AB615" s="161">
        <f t="shared" si="203"/>
        <v>1425000</v>
      </c>
      <c r="AC615" s="162"/>
      <c r="AD615" s="162">
        <f t="shared" si="195"/>
        <v>0</v>
      </c>
      <c r="AE615" s="163"/>
      <c r="AF615" s="164">
        <f t="shared" si="196"/>
        <v>0</v>
      </c>
      <c r="AG615" s="161">
        <v>10000</v>
      </c>
      <c r="AH615" s="165">
        <f t="shared" si="197"/>
        <v>950000</v>
      </c>
      <c r="AI615" s="160">
        <v>0</v>
      </c>
      <c r="AJ615" s="166">
        <f t="shared" si="198"/>
        <v>0</v>
      </c>
      <c r="AK615" s="162"/>
      <c r="AL615" s="162">
        <f t="shared" si="209"/>
        <v>0</v>
      </c>
      <c r="AM615" s="173">
        <v>25600</v>
      </c>
      <c r="AN615" s="167">
        <f t="shared" si="204"/>
        <v>2432000</v>
      </c>
      <c r="AO615" s="163"/>
      <c r="AP615" s="163">
        <f t="shared" si="205"/>
        <v>0</v>
      </c>
      <c r="AQ615" s="162">
        <v>50000</v>
      </c>
      <c r="AR615" s="168">
        <f t="shared" si="206"/>
        <v>4750000</v>
      </c>
      <c r="AS615" s="169">
        <v>7000</v>
      </c>
      <c r="AT615" s="170">
        <f t="shared" si="207"/>
        <v>665000</v>
      </c>
      <c r="AU615" s="160"/>
      <c r="AV615" s="166">
        <f t="shared" si="208"/>
        <v>0</v>
      </c>
    </row>
    <row r="616" spans="1:48" s="131" customFormat="1" ht="31.5">
      <c r="A616" s="148" t="s">
        <v>7603</v>
      </c>
      <c r="B616" s="150" t="s">
        <v>360</v>
      </c>
      <c r="C616" s="150" t="s">
        <v>358</v>
      </c>
      <c r="D616" s="240" t="s">
        <v>3720</v>
      </c>
      <c r="E616" s="590" t="s">
        <v>12642</v>
      </c>
      <c r="F616" s="203" t="s">
        <v>750</v>
      </c>
      <c r="G616" s="204" t="s">
        <v>833</v>
      </c>
      <c r="H616" s="204">
        <v>3</v>
      </c>
      <c r="I616" s="203" t="s">
        <v>1369</v>
      </c>
      <c r="J616" s="205" t="s">
        <v>7604</v>
      </c>
      <c r="K616" s="203" t="s">
        <v>5104</v>
      </c>
      <c r="L616" s="205" t="s">
        <v>7605</v>
      </c>
      <c r="M616" s="205" t="s">
        <v>7001</v>
      </c>
      <c r="N616" s="204" t="s">
        <v>213</v>
      </c>
      <c r="O616" s="204" t="s">
        <v>11</v>
      </c>
      <c r="P616" s="206">
        <v>350</v>
      </c>
      <c r="Q616" s="206">
        <v>84</v>
      </c>
      <c r="R616" s="207">
        <v>100000</v>
      </c>
      <c r="S616" s="207">
        <f t="shared" si="199"/>
        <v>8400000</v>
      </c>
      <c r="T616" s="589"/>
      <c r="U616" s="157">
        <v>100000</v>
      </c>
      <c r="V616" s="158">
        <f t="shared" si="194"/>
        <v>29000</v>
      </c>
      <c r="W616" s="159">
        <f t="shared" si="200"/>
        <v>71000</v>
      </c>
      <c r="X616" s="159">
        <f t="shared" si="201"/>
        <v>5964000</v>
      </c>
      <c r="Y616" s="160"/>
      <c r="Z616" s="160">
        <f t="shared" si="202"/>
        <v>0</v>
      </c>
      <c r="AA616" s="165">
        <v>15000</v>
      </c>
      <c r="AB616" s="161">
        <f t="shared" si="203"/>
        <v>1260000</v>
      </c>
      <c r="AC616" s="162"/>
      <c r="AD616" s="162">
        <f t="shared" si="195"/>
        <v>0</v>
      </c>
      <c r="AE616" s="163"/>
      <c r="AF616" s="164">
        <f t="shared" si="196"/>
        <v>0</v>
      </c>
      <c r="AG616" s="161">
        <f>10000+8000</f>
        <v>18000</v>
      </c>
      <c r="AH616" s="165">
        <f t="shared" si="197"/>
        <v>1512000</v>
      </c>
      <c r="AI616" s="160">
        <v>0</v>
      </c>
      <c r="AJ616" s="166">
        <f t="shared" si="198"/>
        <v>0</v>
      </c>
      <c r="AK616" s="162"/>
      <c r="AL616" s="162">
        <f t="shared" si="209"/>
        <v>0</v>
      </c>
      <c r="AM616" s="173">
        <v>8000</v>
      </c>
      <c r="AN616" s="167">
        <f t="shared" si="204"/>
        <v>672000</v>
      </c>
      <c r="AO616" s="163"/>
      <c r="AP616" s="163">
        <f t="shared" si="205"/>
        <v>0</v>
      </c>
      <c r="AQ616" s="162"/>
      <c r="AR616" s="168">
        <f t="shared" si="206"/>
        <v>0</v>
      </c>
      <c r="AS616" s="169">
        <v>30000</v>
      </c>
      <c r="AT616" s="170">
        <f t="shared" si="207"/>
        <v>2520000</v>
      </c>
      <c r="AU616" s="160"/>
      <c r="AV616" s="166">
        <f t="shared" si="208"/>
        <v>0</v>
      </c>
    </row>
    <row r="617" spans="1:48" s="131" customFormat="1" ht="31.5">
      <c r="A617" s="172" t="s">
        <v>7659</v>
      </c>
      <c r="B617" s="150" t="s">
        <v>360</v>
      </c>
      <c r="C617" s="150" t="s">
        <v>358</v>
      </c>
      <c r="D617" s="240" t="s">
        <v>7660</v>
      </c>
      <c r="E617" s="590" t="s">
        <v>12642</v>
      </c>
      <c r="F617" s="203" t="s">
        <v>624</v>
      </c>
      <c r="G617" s="204" t="s">
        <v>327</v>
      </c>
      <c r="H617" s="204">
        <v>3</v>
      </c>
      <c r="I617" s="203" t="s">
        <v>624</v>
      </c>
      <c r="J617" s="205" t="s">
        <v>6767</v>
      </c>
      <c r="K617" s="203" t="s">
        <v>5104</v>
      </c>
      <c r="L617" s="205" t="s">
        <v>7661</v>
      </c>
      <c r="M617" s="205" t="s">
        <v>7001</v>
      </c>
      <c r="N617" s="204" t="s">
        <v>213</v>
      </c>
      <c r="O617" s="204" t="s">
        <v>11</v>
      </c>
      <c r="P617" s="206">
        <v>800</v>
      </c>
      <c r="Q617" s="206">
        <v>196</v>
      </c>
      <c r="R617" s="207">
        <v>40000</v>
      </c>
      <c r="S617" s="207">
        <f t="shared" si="199"/>
        <v>7840000</v>
      </c>
      <c r="T617" s="589"/>
      <c r="U617" s="157">
        <v>40000</v>
      </c>
      <c r="V617" s="158">
        <f t="shared" si="194"/>
        <v>40000</v>
      </c>
      <c r="W617" s="159">
        <f t="shared" si="200"/>
        <v>0</v>
      </c>
      <c r="X617" s="159">
        <f t="shared" si="201"/>
        <v>0</v>
      </c>
      <c r="Y617" s="160"/>
      <c r="Z617" s="160">
        <f t="shared" si="202"/>
        <v>0</v>
      </c>
      <c r="AA617" s="161"/>
      <c r="AB617" s="161">
        <f t="shared" si="203"/>
        <v>0</v>
      </c>
      <c r="AC617" s="162"/>
      <c r="AD617" s="162">
        <f t="shared" si="195"/>
        <v>0</v>
      </c>
      <c r="AE617" s="164"/>
      <c r="AF617" s="164">
        <f t="shared" si="196"/>
        <v>0</v>
      </c>
      <c r="AG617" s="165"/>
      <c r="AH617" s="165">
        <f t="shared" si="197"/>
        <v>0</v>
      </c>
      <c r="AI617" s="166">
        <v>0</v>
      </c>
      <c r="AJ617" s="166">
        <f t="shared" si="198"/>
        <v>0</v>
      </c>
      <c r="AK617" s="162"/>
      <c r="AL617" s="162">
        <f t="shared" si="209"/>
        <v>0</v>
      </c>
      <c r="AM617" s="167"/>
      <c r="AN617" s="167">
        <f t="shared" si="204"/>
        <v>0</v>
      </c>
      <c r="AO617" s="163"/>
      <c r="AP617" s="163">
        <f t="shared" si="205"/>
        <v>0</v>
      </c>
      <c r="AQ617" s="168"/>
      <c r="AR617" s="168">
        <f t="shared" si="206"/>
        <v>0</v>
      </c>
      <c r="AS617" s="170"/>
      <c r="AT617" s="170">
        <f t="shared" si="207"/>
        <v>0</v>
      </c>
      <c r="AU617" s="166"/>
      <c r="AV617" s="166">
        <f t="shared" si="208"/>
        <v>0</v>
      </c>
    </row>
    <row r="618" spans="1:48" s="131" customFormat="1" ht="31.5">
      <c r="A618" s="148" t="s">
        <v>7768</v>
      </c>
      <c r="B618" s="150" t="s">
        <v>360</v>
      </c>
      <c r="C618" s="150" t="s">
        <v>358</v>
      </c>
      <c r="D618" s="240" t="s">
        <v>3784</v>
      </c>
      <c r="E618" s="590"/>
      <c r="F618" s="203" t="s">
        <v>365</v>
      </c>
      <c r="G618" s="204" t="s">
        <v>238</v>
      </c>
      <c r="H618" s="204">
        <v>3</v>
      </c>
      <c r="I618" s="203" t="s">
        <v>3785</v>
      </c>
      <c r="J618" s="205" t="s">
        <v>7769</v>
      </c>
      <c r="K618" s="203" t="s">
        <v>5104</v>
      </c>
      <c r="L618" s="205" t="s">
        <v>7770</v>
      </c>
      <c r="M618" s="205" t="s">
        <v>7001</v>
      </c>
      <c r="N618" s="204" t="s">
        <v>213</v>
      </c>
      <c r="O618" s="204" t="s">
        <v>11</v>
      </c>
      <c r="P618" s="206">
        <v>1000</v>
      </c>
      <c r="Q618" s="206">
        <v>128</v>
      </c>
      <c r="R618" s="207">
        <v>10000</v>
      </c>
      <c r="S618" s="207">
        <f t="shared" si="199"/>
        <v>1280000</v>
      </c>
      <c r="T618" s="589"/>
      <c r="U618" s="157">
        <v>10000</v>
      </c>
      <c r="V618" s="158">
        <f t="shared" si="194"/>
        <v>5000</v>
      </c>
      <c r="W618" s="159">
        <f t="shared" si="200"/>
        <v>5000</v>
      </c>
      <c r="X618" s="159">
        <f t="shared" si="201"/>
        <v>640000</v>
      </c>
      <c r="Y618" s="160"/>
      <c r="Z618" s="160">
        <f t="shared" si="202"/>
        <v>0</v>
      </c>
      <c r="AA618" s="161"/>
      <c r="AB618" s="161">
        <f t="shared" si="203"/>
        <v>0</v>
      </c>
      <c r="AC618" s="162"/>
      <c r="AD618" s="162">
        <f t="shared" si="195"/>
        <v>0</v>
      </c>
      <c r="AE618" s="163"/>
      <c r="AF618" s="164">
        <f t="shared" si="196"/>
        <v>0</v>
      </c>
      <c r="AG618" s="161">
        <v>5000</v>
      </c>
      <c r="AH618" s="165">
        <f t="shared" si="197"/>
        <v>640000</v>
      </c>
      <c r="AI618" s="160">
        <v>0</v>
      </c>
      <c r="AJ618" s="166">
        <f t="shared" si="198"/>
        <v>0</v>
      </c>
      <c r="AK618" s="162"/>
      <c r="AL618" s="162">
        <f t="shared" si="209"/>
        <v>0</v>
      </c>
      <c r="AM618" s="167"/>
      <c r="AN618" s="167">
        <f t="shared" si="204"/>
        <v>0</v>
      </c>
      <c r="AO618" s="163"/>
      <c r="AP618" s="163">
        <f t="shared" si="205"/>
        <v>0</v>
      </c>
      <c r="AQ618" s="162"/>
      <c r="AR618" s="168">
        <f t="shared" si="206"/>
        <v>0</v>
      </c>
      <c r="AS618" s="169"/>
      <c r="AT618" s="170">
        <f t="shared" si="207"/>
        <v>0</v>
      </c>
      <c r="AU618" s="160"/>
      <c r="AV618" s="166">
        <f t="shared" si="208"/>
        <v>0</v>
      </c>
    </row>
    <row r="619" spans="1:48" s="131" customFormat="1" ht="31.5">
      <c r="A619" s="172" t="s">
        <v>7799</v>
      </c>
      <c r="B619" s="150" t="s">
        <v>360</v>
      </c>
      <c r="C619" s="150" t="s">
        <v>358</v>
      </c>
      <c r="D619" s="240" t="s">
        <v>4122</v>
      </c>
      <c r="E619" s="590" t="s">
        <v>12642</v>
      </c>
      <c r="F619" s="203" t="s">
        <v>855</v>
      </c>
      <c r="G619" s="204" t="s">
        <v>641</v>
      </c>
      <c r="H619" s="204">
        <v>3</v>
      </c>
      <c r="I619" s="203" t="s">
        <v>1374</v>
      </c>
      <c r="J619" s="205" t="s">
        <v>6767</v>
      </c>
      <c r="K619" s="203" t="s">
        <v>5104</v>
      </c>
      <c r="L619" s="205" t="s">
        <v>7800</v>
      </c>
      <c r="M619" s="205" t="s">
        <v>7001</v>
      </c>
      <c r="N619" s="204" t="s">
        <v>213</v>
      </c>
      <c r="O619" s="204" t="s">
        <v>11</v>
      </c>
      <c r="P619" s="206">
        <v>1100</v>
      </c>
      <c r="Q619" s="206">
        <v>309</v>
      </c>
      <c r="R619" s="207">
        <v>100000</v>
      </c>
      <c r="S619" s="207">
        <f t="shared" si="199"/>
        <v>30900000</v>
      </c>
      <c r="T619" s="589"/>
      <c r="U619" s="157">
        <v>100000</v>
      </c>
      <c r="V619" s="158">
        <f t="shared" si="194"/>
        <v>68400</v>
      </c>
      <c r="W619" s="159">
        <f t="shared" si="200"/>
        <v>31600</v>
      </c>
      <c r="X619" s="159">
        <f t="shared" si="201"/>
        <v>9764400</v>
      </c>
      <c r="Y619" s="160"/>
      <c r="Z619" s="160">
        <f t="shared" si="202"/>
        <v>0</v>
      </c>
      <c r="AA619" s="165">
        <v>10000</v>
      </c>
      <c r="AB619" s="161">
        <f t="shared" si="203"/>
        <v>3090000</v>
      </c>
      <c r="AC619" s="162"/>
      <c r="AD619" s="162">
        <f t="shared" si="195"/>
        <v>0</v>
      </c>
      <c r="AE619" s="164"/>
      <c r="AF619" s="164">
        <f t="shared" si="196"/>
        <v>0</v>
      </c>
      <c r="AG619" s="165">
        <v>9000</v>
      </c>
      <c r="AH619" s="165">
        <f t="shared" si="197"/>
        <v>2781000</v>
      </c>
      <c r="AI619" s="166">
        <v>0</v>
      </c>
      <c r="AJ619" s="166">
        <f t="shared" si="198"/>
        <v>0</v>
      </c>
      <c r="AK619" s="162"/>
      <c r="AL619" s="162">
        <f t="shared" si="209"/>
        <v>0</v>
      </c>
      <c r="AM619" s="173"/>
      <c r="AN619" s="167">
        <f t="shared" si="204"/>
        <v>0</v>
      </c>
      <c r="AO619" s="163"/>
      <c r="AP619" s="163">
        <f t="shared" si="205"/>
        <v>0</v>
      </c>
      <c r="AQ619" s="168"/>
      <c r="AR619" s="168">
        <f t="shared" si="206"/>
        <v>0</v>
      </c>
      <c r="AS619" s="170">
        <v>12600</v>
      </c>
      <c r="AT619" s="170">
        <f t="shared" si="207"/>
        <v>3893400</v>
      </c>
      <c r="AU619" s="166"/>
      <c r="AV619" s="166">
        <f t="shared" si="208"/>
        <v>0</v>
      </c>
    </row>
    <row r="620" spans="1:48" ht="31.5">
      <c r="A620" s="148" t="s">
        <v>7806</v>
      </c>
      <c r="B620" s="150" t="s">
        <v>360</v>
      </c>
      <c r="C620" s="150" t="s">
        <v>358</v>
      </c>
      <c r="D620" s="240" t="s">
        <v>4258</v>
      </c>
      <c r="E620" s="590" t="s">
        <v>12642</v>
      </c>
      <c r="F620" s="203" t="s">
        <v>855</v>
      </c>
      <c r="G620" s="204" t="s">
        <v>334</v>
      </c>
      <c r="H620" s="204">
        <v>3</v>
      </c>
      <c r="I620" s="203" t="s">
        <v>855</v>
      </c>
      <c r="J620" s="205" t="s">
        <v>6999</v>
      </c>
      <c r="K620" s="203" t="s">
        <v>5104</v>
      </c>
      <c r="L620" s="205" t="s">
        <v>7807</v>
      </c>
      <c r="M620" s="205" t="s">
        <v>7001</v>
      </c>
      <c r="N620" s="204" t="s">
        <v>213</v>
      </c>
      <c r="O620" s="204" t="s">
        <v>11</v>
      </c>
      <c r="P620" s="206">
        <v>480</v>
      </c>
      <c r="Q620" s="206">
        <v>190</v>
      </c>
      <c r="R620" s="207">
        <v>100000</v>
      </c>
      <c r="S620" s="207">
        <f t="shared" si="199"/>
        <v>19000000</v>
      </c>
      <c r="T620" s="589"/>
      <c r="U620" s="157">
        <v>100000</v>
      </c>
      <c r="V620" s="158">
        <f t="shared" si="194"/>
        <v>74000</v>
      </c>
      <c r="W620" s="159">
        <f t="shared" si="200"/>
        <v>26000</v>
      </c>
      <c r="X620" s="159">
        <f t="shared" si="201"/>
        <v>4940000</v>
      </c>
      <c r="Y620" s="160"/>
      <c r="Z620" s="160">
        <f t="shared" si="202"/>
        <v>0</v>
      </c>
      <c r="AA620" s="165">
        <v>11500</v>
      </c>
      <c r="AB620" s="161">
        <f t="shared" si="203"/>
        <v>2185000</v>
      </c>
      <c r="AC620" s="162"/>
      <c r="AD620" s="162">
        <f t="shared" si="195"/>
        <v>0</v>
      </c>
      <c r="AE620" s="164"/>
      <c r="AF620" s="164">
        <f t="shared" si="196"/>
        <v>0</v>
      </c>
      <c r="AG620" s="165">
        <v>7000</v>
      </c>
      <c r="AH620" s="165">
        <f t="shared" si="197"/>
        <v>1330000</v>
      </c>
      <c r="AI620" s="166">
        <v>0</v>
      </c>
      <c r="AJ620" s="166">
        <f t="shared" si="198"/>
        <v>0</v>
      </c>
      <c r="AK620" s="162"/>
      <c r="AL620" s="162">
        <f t="shared" si="209"/>
        <v>0</v>
      </c>
      <c r="AM620" s="173">
        <v>1000</v>
      </c>
      <c r="AN620" s="167">
        <f t="shared" si="204"/>
        <v>190000</v>
      </c>
      <c r="AO620" s="163"/>
      <c r="AP620" s="163">
        <f t="shared" si="205"/>
        <v>0</v>
      </c>
      <c r="AQ620" s="168"/>
      <c r="AR620" s="168">
        <f t="shared" si="206"/>
        <v>0</v>
      </c>
      <c r="AS620" s="170">
        <v>6500</v>
      </c>
      <c r="AT620" s="170">
        <f t="shared" si="207"/>
        <v>1235000</v>
      </c>
      <c r="AU620" s="166"/>
      <c r="AV620" s="166">
        <f t="shared" si="208"/>
        <v>0</v>
      </c>
    </row>
    <row r="621" spans="1:48" ht="31.5">
      <c r="A621" s="148" t="s">
        <v>7812</v>
      </c>
      <c r="B621" s="150" t="s">
        <v>360</v>
      </c>
      <c r="C621" s="150" t="s">
        <v>358</v>
      </c>
      <c r="D621" s="240" t="s">
        <v>3876</v>
      </c>
      <c r="E621" s="590" t="s">
        <v>12642</v>
      </c>
      <c r="F621" s="203" t="s">
        <v>544</v>
      </c>
      <c r="G621" s="204" t="s">
        <v>546</v>
      </c>
      <c r="H621" s="204">
        <v>3</v>
      </c>
      <c r="I621" s="203" t="s">
        <v>544</v>
      </c>
      <c r="J621" s="205" t="s">
        <v>6709</v>
      </c>
      <c r="K621" s="203" t="s">
        <v>5104</v>
      </c>
      <c r="L621" s="205" t="s">
        <v>7813</v>
      </c>
      <c r="M621" s="205" t="s">
        <v>7001</v>
      </c>
      <c r="N621" s="204" t="s">
        <v>213</v>
      </c>
      <c r="O621" s="204" t="s">
        <v>11</v>
      </c>
      <c r="P621" s="206">
        <v>500</v>
      </c>
      <c r="Q621" s="206">
        <v>252</v>
      </c>
      <c r="R621" s="207">
        <v>10000</v>
      </c>
      <c r="S621" s="207">
        <f t="shared" si="199"/>
        <v>2520000</v>
      </c>
      <c r="T621" s="589"/>
      <c r="U621" s="157">
        <v>10000</v>
      </c>
      <c r="V621" s="158">
        <f t="shared" si="194"/>
        <v>9000</v>
      </c>
      <c r="W621" s="159">
        <f t="shared" si="200"/>
        <v>1000</v>
      </c>
      <c r="X621" s="159">
        <f t="shared" si="201"/>
        <v>252000</v>
      </c>
      <c r="Y621" s="160"/>
      <c r="Z621" s="160">
        <f t="shared" si="202"/>
        <v>0</v>
      </c>
      <c r="AA621" s="161">
        <v>1000</v>
      </c>
      <c r="AB621" s="161">
        <f t="shared" si="203"/>
        <v>252000</v>
      </c>
      <c r="AC621" s="162"/>
      <c r="AD621" s="162">
        <f t="shared" si="195"/>
        <v>0</v>
      </c>
      <c r="AE621" s="164"/>
      <c r="AF621" s="164">
        <f t="shared" si="196"/>
        <v>0</v>
      </c>
      <c r="AG621" s="165"/>
      <c r="AH621" s="165">
        <f t="shared" si="197"/>
        <v>0</v>
      </c>
      <c r="AI621" s="166">
        <v>0</v>
      </c>
      <c r="AJ621" s="166">
        <f t="shared" si="198"/>
        <v>0</v>
      </c>
      <c r="AK621" s="162"/>
      <c r="AL621" s="162">
        <f t="shared" si="209"/>
        <v>0</v>
      </c>
      <c r="AM621" s="167"/>
      <c r="AN621" s="167">
        <f t="shared" si="204"/>
        <v>0</v>
      </c>
      <c r="AO621" s="163"/>
      <c r="AP621" s="163">
        <f t="shared" si="205"/>
        <v>0</v>
      </c>
      <c r="AQ621" s="168"/>
      <c r="AR621" s="168">
        <f t="shared" si="206"/>
        <v>0</v>
      </c>
      <c r="AS621" s="170"/>
      <c r="AT621" s="170">
        <f t="shared" si="207"/>
        <v>0</v>
      </c>
      <c r="AU621" s="166"/>
      <c r="AV621" s="166">
        <f t="shared" si="208"/>
        <v>0</v>
      </c>
    </row>
    <row r="622" spans="1:48" ht="31.5">
      <c r="A622" s="148" t="s">
        <v>7826</v>
      </c>
      <c r="B622" s="150" t="s">
        <v>360</v>
      </c>
      <c r="C622" s="150" t="s">
        <v>358</v>
      </c>
      <c r="D622" s="240" t="s">
        <v>4075</v>
      </c>
      <c r="E622" s="590"/>
      <c r="F622" s="203" t="s">
        <v>729</v>
      </c>
      <c r="G622" s="204" t="s">
        <v>225</v>
      </c>
      <c r="H622" s="204">
        <v>3</v>
      </c>
      <c r="I622" s="203" t="s">
        <v>729</v>
      </c>
      <c r="J622" s="205" t="s">
        <v>6767</v>
      </c>
      <c r="K622" s="203" t="s">
        <v>5104</v>
      </c>
      <c r="L622" s="205" t="s">
        <v>7827</v>
      </c>
      <c r="M622" s="205" t="s">
        <v>7001</v>
      </c>
      <c r="N622" s="204" t="s">
        <v>213</v>
      </c>
      <c r="O622" s="204" t="s">
        <v>11</v>
      </c>
      <c r="P622" s="206">
        <v>1500</v>
      </c>
      <c r="Q622" s="206">
        <v>225</v>
      </c>
      <c r="R622" s="207">
        <v>70000</v>
      </c>
      <c r="S622" s="207">
        <f t="shared" si="199"/>
        <v>15750000</v>
      </c>
      <c r="T622" s="589"/>
      <c r="U622" s="157">
        <v>70000</v>
      </c>
      <c r="V622" s="158">
        <f t="shared" si="194"/>
        <v>70000</v>
      </c>
      <c r="W622" s="159">
        <f t="shared" si="200"/>
        <v>0</v>
      </c>
      <c r="X622" s="159">
        <f t="shared" si="201"/>
        <v>0</v>
      </c>
      <c r="Y622" s="160"/>
      <c r="Z622" s="160">
        <f t="shared" si="202"/>
        <v>0</v>
      </c>
      <c r="AA622" s="161"/>
      <c r="AB622" s="161">
        <f t="shared" si="203"/>
        <v>0</v>
      </c>
      <c r="AC622" s="162"/>
      <c r="AD622" s="162">
        <f t="shared" si="195"/>
        <v>0</v>
      </c>
      <c r="AE622" s="164"/>
      <c r="AF622" s="164">
        <f t="shared" si="196"/>
        <v>0</v>
      </c>
      <c r="AG622" s="165"/>
      <c r="AH622" s="165">
        <f t="shared" si="197"/>
        <v>0</v>
      </c>
      <c r="AI622" s="166">
        <v>0</v>
      </c>
      <c r="AJ622" s="166">
        <f t="shared" si="198"/>
        <v>0</v>
      </c>
      <c r="AK622" s="162"/>
      <c r="AL622" s="162">
        <f t="shared" si="209"/>
        <v>0</v>
      </c>
      <c r="AM622" s="167"/>
      <c r="AN622" s="167">
        <f t="shared" si="204"/>
        <v>0</v>
      </c>
      <c r="AO622" s="163"/>
      <c r="AP622" s="163">
        <f t="shared" si="205"/>
        <v>0</v>
      </c>
      <c r="AQ622" s="168"/>
      <c r="AR622" s="168">
        <f t="shared" si="206"/>
        <v>0</v>
      </c>
      <c r="AS622" s="170"/>
      <c r="AT622" s="170">
        <f t="shared" si="207"/>
        <v>0</v>
      </c>
      <c r="AU622" s="166"/>
      <c r="AV622" s="166">
        <f t="shared" si="208"/>
        <v>0</v>
      </c>
    </row>
    <row r="623" spans="1:48" ht="31.5">
      <c r="A623" s="148" t="s">
        <v>7873</v>
      </c>
      <c r="B623" s="150" t="s">
        <v>360</v>
      </c>
      <c r="C623" s="150" t="s">
        <v>358</v>
      </c>
      <c r="D623" s="607" t="s">
        <v>7874</v>
      </c>
      <c r="E623" s="590"/>
      <c r="F623" s="229" t="s">
        <v>1109</v>
      </c>
      <c r="G623" s="230" t="s">
        <v>4040</v>
      </c>
      <c r="H623" s="230">
        <v>3</v>
      </c>
      <c r="I623" s="229" t="s">
        <v>1349</v>
      </c>
      <c r="J623" s="231" t="s">
        <v>7875</v>
      </c>
      <c r="K623" s="229" t="s">
        <v>5104</v>
      </c>
      <c r="L623" s="231" t="s">
        <v>7876</v>
      </c>
      <c r="M623" s="231" t="s">
        <v>7001</v>
      </c>
      <c r="N623" s="230" t="s">
        <v>213</v>
      </c>
      <c r="O623" s="230" t="s">
        <v>11</v>
      </c>
      <c r="P623" s="232">
        <v>1000</v>
      </c>
      <c r="Q623" s="232">
        <v>296</v>
      </c>
      <c r="R623" s="233">
        <v>50000</v>
      </c>
      <c r="S623" s="233">
        <f t="shared" si="199"/>
        <v>14800000</v>
      </c>
      <c r="T623" s="589"/>
      <c r="U623" s="157">
        <v>50000</v>
      </c>
      <c r="V623" s="158">
        <f t="shared" si="194"/>
        <v>50000</v>
      </c>
      <c r="W623" s="159">
        <f t="shared" si="200"/>
        <v>0</v>
      </c>
      <c r="X623" s="159">
        <f t="shared" si="201"/>
        <v>0</v>
      </c>
      <c r="Y623" s="160"/>
      <c r="Z623" s="160">
        <f t="shared" si="202"/>
        <v>0</v>
      </c>
      <c r="AA623" s="161"/>
      <c r="AB623" s="161">
        <f t="shared" si="203"/>
        <v>0</v>
      </c>
      <c r="AC623" s="162"/>
      <c r="AD623" s="162">
        <f t="shared" si="195"/>
        <v>0</v>
      </c>
      <c r="AE623" s="164"/>
      <c r="AF623" s="164">
        <f t="shared" si="196"/>
        <v>0</v>
      </c>
      <c r="AG623" s="165"/>
      <c r="AH623" s="165">
        <f t="shared" si="197"/>
        <v>0</v>
      </c>
      <c r="AI623" s="166">
        <v>0</v>
      </c>
      <c r="AJ623" s="166">
        <f t="shared" si="198"/>
        <v>0</v>
      </c>
      <c r="AK623" s="162"/>
      <c r="AL623" s="162">
        <f t="shared" si="209"/>
        <v>0</v>
      </c>
      <c r="AM623" s="167"/>
      <c r="AN623" s="167">
        <f t="shared" si="204"/>
        <v>0</v>
      </c>
      <c r="AO623" s="163"/>
      <c r="AP623" s="163">
        <f t="shared" si="205"/>
        <v>0</v>
      </c>
      <c r="AQ623" s="168"/>
      <c r="AR623" s="168">
        <f t="shared" si="206"/>
        <v>0</v>
      </c>
      <c r="AS623" s="170"/>
      <c r="AT623" s="170">
        <f t="shared" si="207"/>
        <v>0</v>
      </c>
      <c r="AU623" s="166"/>
      <c r="AV623" s="166">
        <f t="shared" si="208"/>
        <v>0</v>
      </c>
    </row>
    <row r="624" spans="1:48" ht="31.5">
      <c r="A624" s="148" t="s">
        <v>7924</v>
      </c>
      <c r="B624" s="150" t="s">
        <v>360</v>
      </c>
      <c r="C624" s="150" t="s">
        <v>358</v>
      </c>
      <c r="D624" s="240" t="s">
        <v>4128</v>
      </c>
      <c r="E624" s="590" t="s">
        <v>12642</v>
      </c>
      <c r="F624" s="203" t="s">
        <v>1311</v>
      </c>
      <c r="G624" s="204" t="s">
        <v>1313</v>
      </c>
      <c r="H624" s="204">
        <v>3</v>
      </c>
      <c r="I624" s="203" t="s">
        <v>1312</v>
      </c>
      <c r="J624" s="205" t="s">
        <v>7925</v>
      </c>
      <c r="K624" s="203" t="s">
        <v>253</v>
      </c>
      <c r="L624" s="205" t="s">
        <v>7926</v>
      </c>
      <c r="M624" s="205" t="s">
        <v>7001</v>
      </c>
      <c r="N624" s="204" t="s">
        <v>213</v>
      </c>
      <c r="O624" s="204" t="s">
        <v>11</v>
      </c>
      <c r="P624" s="206">
        <v>1300</v>
      </c>
      <c r="Q624" s="206">
        <v>118</v>
      </c>
      <c r="R624" s="207">
        <v>50000</v>
      </c>
      <c r="S624" s="207">
        <f t="shared" si="199"/>
        <v>5900000</v>
      </c>
      <c r="T624" s="589"/>
      <c r="U624" s="157">
        <v>50000</v>
      </c>
      <c r="V624" s="158">
        <f t="shared" si="194"/>
        <v>19100</v>
      </c>
      <c r="W624" s="159">
        <f t="shared" si="200"/>
        <v>30900</v>
      </c>
      <c r="X624" s="159">
        <f t="shared" si="201"/>
        <v>3646200</v>
      </c>
      <c r="Y624" s="160"/>
      <c r="Z624" s="160">
        <f t="shared" si="202"/>
        <v>0</v>
      </c>
      <c r="AA624" s="161">
        <v>23400</v>
      </c>
      <c r="AB624" s="161">
        <f t="shared" si="203"/>
        <v>2761200</v>
      </c>
      <c r="AC624" s="162"/>
      <c r="AD624" s="162">
        <f t="shared" si="195"/>
        <v>0</v>
      </c>
      <c r="AE624" s="164"/>
      <c r="AF624" s="164">
        <f t="shared" si="196"/>
        <v>0</v>
      </c>
      <c r="AG624" s="165"/>
      <c r="AH624" s="165">
        <f t="shared" si="197"/>
        <v>0</v>
      </c>
      <c r="AI624" s="166">
        <v>0</v>
      </c>
      <c r="AJ624" s="166">
        <f t="shared" si="198"/>
        <v>0</v>
      </c>
      <c r="AK624" s="162"/>
      <c r="AL624" s="162">
        <f t="shared" si="209"/>
        <v>0</v>
      </c>
      <c r="AM624" s="167">
        <v>1950</v>
      </c>
      <c r="AN624" s="167">
        <f t="shared" si="204"/>
        <v>230100</v>
      </c>
      <c r="AO624" s="163"/>
      <c r="AP624" s="163">
        <f t="shared" si="205"/>
        <v>0</v>
      </c>
      <c r="AQ624" s="168"/>
      <c r="AR624" s="168">
        <f t="shared" si="206"/>
        <v>0</v>
      </c>
      <c r="AS624" s="170">
        <v>5550</v>
      </c>
      <c r="AT624" s="170">
        <f t="shared" si="207"/>
        <v>654900</v>
      </c>
      <c r="AU624" s="166"/>
      <c r="AV624" s="166">
        <f t="shared" si="208"/>
        <v>0</v>
      </c>
    </row>
    <row r="625" spans="1:48" ht="31.5">
      <c r="A625" s="148" t="s">
        <v>7955</v>
      </c>
      <c r="B625" s="150" t="s">
        <v>360</v>
      </c>
      <c r="C625" s="150" t="s">
        <v>358</v>
      </c>
      <c r="D625" s="240" t="s">
        <v>3808</v>
      </c>
      <c r="E625" s="590" t="s">
        <v>12642</v>
      </c>
      <c r="F625" s="203" t="s">
        <v>1132</v>
      </c>
      <c r="G625" s="204" t="s">
        <v>291</v>
      </c>
      <c r="H625" s="204">
        <v>3</v>
      </c>
      <c r="I625" s="203" t="s">
        <v>1132</v>
      </c>
      <c r="J625" s="205" t="s">
        <v>7142</v>
      </c>
      <c r="K625" s="203" t="s">
        <v>5104</v>
      </c>
      <c r="L625" s="205" t="s">
        <v>7956</v>
      </c>
      <c r="M625" s="205" t="s">
        <v>7001</v>
      </c>
      <c r="N625" s="204" t="s">
        <v>213</v>
      </c>
      <c r="O625" s="204" t="s">
        <v>11</v>
      </c>
      <c r="P625" s="206">
        <v>900</v>
      </c>
      <c r="Q625" s="206">
        <v>288</v>
      </c>
      <c r="R625" s="207">
        <v>15000</v>
      </c>
      <c r="S625" s="207">
        <f t="shared" si="199"/>
        <v>4320000</v>
      </c>
      <c r="T625" s="589"/>
      <c r="U625" s="157">
        <v>15000</v>
      </c>
      <c r="V625" s="158">
        <f t="shared" si="194"/>
        <v>14800</v>
      </c>
      <c r="W625" s="159">
        <f t="shared" si="200"/>
        <v>200</v>
      </c>
      <c r="X625" s="159">
        <f t="shared" si="201"/>
        <v>57600</v>
      </c>
      <c r="Y625" s="160"/>
      <c r="Z625" s="160">
        <f t="shared" si="202"/>
        <v>0</v>
      </c>
      <c r="AA625" s="161"/>
      <c r="AB625" s="161">
        <f t="shared" si="203"/>
        <v>0</v>
      </c>
      <c r="AC625" s="162"/>
      <c r="AD625" s="162">
        <f t="shared" si="195"/>
        <v>0</v>
      </c>
      <c r="AE625" s="163"/>
      <c r="AF625" s="164">
        <f t="shared" si="196"/>
        <v>0</v>
      </c>
      <c r="AG625" s="161"/>
      <c r="AH625" s="165">
        <f t="shared" si="197"/>
        <v>0</v>
      </c>
      <c r="AI625" s="160">
        <v>0</v>
      </c>
      <c r="AJ625" s="166">
        <f t="shared" si="198"/>
        <v>0</v>
      </c>
      <c r="AK625" s="162"/>
      <c r="AL625" s="162">
        <f t="shared" si="209"/>
        <v>0</v>
      </c>
      <c r="AM625" s="167"/>
      <c r="AN625" s="167">
        <f t="shared" si="204"/>
        <v>0</v>
      </c>
      <c r="AO625" s="163"/>
      <c r="AP625" s="163">
        <f t="shared" si="205"/>
        <v>0</v>
      </c>
      <c r="AQ625" s="162"/>
      <c r="AR625" s="168">
        <f t="shared" si="206"/>
        <v>0</v>
      </c>
      <c r="AS625" s="169">
        <v>200</v>
      </c>
      <c r="AT625" s="170">
        <f t="shared" si="207"/>
        <v>57600</v>
      </c>
      <c r="AU625" s="160"/>
      <c r="AV625" s="166">
        <f t="shared" si="208"/>
        <v>0</v>
      </c>
    </row>
    <row r="626" spans="1:48" s="115" customFormat="1" ht="31.5">
      <c r="A626" s="172" t="s">
        <v>7970</v>
      </c>
      <c r="B626" s="150" t="s">
        <v>360</v>
      </c>
      <c r="C626" s="150" t="s">
        <v>358</v>
      </c>
      <c r="D626" s="240" t="s">
        <v>4124</v>
      </c>
      <c r="E626" s="590" t="s">
        <v>12642</v>
      </c>
      <c r="F626" s="203" t="s">
        <v>1356</v>
      </c>
      <c r="G626" s="204" t="s">
        <v>238</v>
      </c>
      <c r="H626" s="204">
        <v>3</v>
      </c>
      <c r="I626" s="203" t="s">
        <v>1357</v>
      </c>
      <c r="J626" s="205" t="s">
        <v>7971</v>
      </c>
      <c r="K626" s="203" t="s">
        <v>5104</v>
      </c>
      <c r="L626" s="205" t="s">
        <v>7972</v>
      </c>
      <c r="M626" s="205" t="s">
        <v>7001</v>
      </c>
      <c r="N626" s="204" t="s">
        <v>213</v>
      </c>
      <c r="O626" s="204" t="s">
        <v>11</v>
      </c>
      <c r="P626" s="206">
        <v>500</v>
      </c>
      <c r="Q626" s="206">
        <v>98</v>
      </c>
      <c r="R626" s="207">
        <v>10000</v>
      </c>
      <c r="S626" s="207">
        <f t="shared" si="199"/>
        <v>980000</v>
      </c>
      <c r="T626" s="589"/>
      <c r="U626" s="157">
        <v>10000</v>
      </c>
      <c r="V626" s="158">
        <f t="shared" si="194"/>
        <v>8800</v>
      </c>
      <c r="W626" s="159">
        <f t="shared" si="200"/>
        <v>1200</v>
      </c>
      <c r="X626" s="159">
        <f t="shared" si="201"/>
        <v>117600</v>
      </c>
      <c r="Y626" s="160"/>
      <c r="Z626" s="160">
        <f t="shared" si="202"/>
        <v>0</v>
      </c>
      <c r="AA626" s="165">
        <v>1000</v>
      </c>
      <c r="AB626" s="161">
        <f t="shared" si="203"/>
        <v>98000</v>
      </c>
      <c r="AC626" s="162"/>
      <c r="AD626" s="162">
        <f t="shared" si="195"/>
        <v>0</v>
      </c>
      <c r="AE626" s="164"/>
      <c r="AF626" s="164">
        <f t="shared" si="196"/>
        <v>0</v>
      </c>
      <c r="AG626" s="165">
        <v>200</v>
      </c>
      <c r="AH626" s="165">
        <f t="shared" si="197"/>
        <v>19600</v>
      </c>
      <c r="AI626" s="166">
        <v>0</v>
      </c>
      <c r="AJ626" s="166">
        <f t="shared" si="198"/>
        <v>0</v>
      </c>
      <c r="AK626" s="162"/>
      <c r="AL626" s="162">
        <f t="shared" si="209"/>
        <v>0</v>
      </c>
      <c r="AM626" s="173"/>
      <c r="AN626" s="167">
        <f t="shared" si="204"/>
        <v>0</v>
      </c>
      <c r="AO626" s="163"/>
      <c r="AP626" s="163">
        <f t="shared" si="205"/>
        <v>0</v>
      </c>
      <c r="AQ626" s="168"/>
      <c r="AR626" s="168">
        <f t="shared" si="206"/>
        <v>0</v>
      </c>
      <c r="AS626" s="170"/>
      <c r="AT626" s="170">
        <f t="shared" si="207"/>
        <v>0</v>
      </c>
      <c r="AU626" s="166"/>
      <c r="AV626" s="166">
        <f t="shared" si="208"/>
        <v>0</v>
      </c>
    </row>
    <row r="627" spans="1:48" ht="31.5">
      <c r="A627" s="148" t="s">
        <v>7984</v>
      </c>
      <c r="B627" s="150" t="s">
        <v>360</v>
      </c>
      <c r="C627" s="150" t="s">
        <v>358</v>
      </c>
      <c r="D627" s="240" t="s">
        <v>7985</v>
      </c>
      <c r="E627" s="590" t="s">
        <v>12642</v>
      </c>
      <c r="F627" s="203" t="s">
        <v>3974</v>
      </c>
      <c r="G627" s="204" t="s">
        <v>267</v>
      </c>
      <c r="H627" s="204">
        <v>3</v>
      </c>
      <c r="I627" s="203" t="s">
        <v>7986</v>
      </c>
      <c r="J627" s="205" t="s">
        <v>6709</v>
      </c>
      <c r="K627" s="203" t="s">
        <v>5104</v>
      </c>
      <c r="L627" s="205" t="s">
        <v>7987</v>
      </c>
      <c r="M627" s="205" t="s">
        <v>7001</v>
      </c>
      <c r="N627" s="204" t="s">
        <v>213</v>
      </c>
      <c r="O627" s="204" t="s">
        <v>11</v>
      </c>
      <c r="P627" s="206">
        <v>610</v>
      </c>
      <c r="Q627" s="206">
        <v>183</v>
      </c>
      <c r="R627" s="207">
        <v>30000</v>
      </c>
      <c r="S627" s="207">
        <f t="shared" si="199"/>
        <v>5490000</v>
      </c>
      <c r="T627" s="589"/>
      <c r="U627" s="157">
        <v>30000</v>
      </c>
      <c r="V627" s="158">
        <f t="shared" si="194"/>
        <v>30000</v>
      </c>
      <c r="W627" s="159">
        <f t="shared" si="200"/>
        <v>0</v>
      </c>
      <c r="X627" s="159">
        <f t="shared" si="201"/>
        <v>0</v>
      </c>
      <c r="Y627" s="160"/>
      <c r="Z627" s="160">
        <f t="shared" si="202"/>
        <v>0</v>
      </c>
      <c r="AA627" s="161"/>
      <c r="AB627" s="161">
        <f t="shared" si="203"/>
        <v>0</v>
      </c>
      <c r="AC627" s="162"/>
      <c r="AD627" s="162">
        <f t="shared" si="195"/>
        <v>0</v>
      </c>
      <c r="AE627" s="163"/>
      <c r="AF627" s="164">
        <f t="shared" si="196"/>
        <v>0</v>
      </c>
      <c r="AG627" s="161"/>
      <c r="AH627" s="165">
        <f t="shared" si="197"/>
        <v>0</v>
      </c>
      <c r="AI627" s="160">
        <v>0</v>
      </c>
      <c r="AJ627" s="166">
        <f t="shared" si="198"/>
        <v>0</v>
      </c>
      <c r="AK627" s="162"/>
      <c r="AL627" s="162">
        <f t="shared" si="209"/>
        <v>0</v>
      </c>
      <c r="AM627" s="167"/>
      <c r="AN627" s="167">
        <f t="shared" si="204"/>
        <v>0</v>
      </c>
      <c r="AO627" s="163"/>
      <c r="AP627" s="163">
        <f t="shared" si="205"/>
        <v>0</v>
      </c>
      <c r="AQ627" s="162"/>
      <c r="AR627" s="168">
        <f t="shared" si="206"/>
        <v>0</v>
      </c>
      <c r="AS627" s="169"/>
      <c r="AT627" s="170">
        <f t="shared" si="207"/>
        <v>0</v>
      </c>
      <c r="AU627" s="160"/>
      <c r="AV627" s="166">
        <f t="shared" si="208"/>
        <v>0</v>
      </c>
    </row>
    <row r="628" spans="1:48" ht="31.5">
      <c r="A628" s="148" t="s">
        <v>8047</v>
      </c>
      <c r="B628" s="150" t="s">
        <v>360</v>
      </c>
      <c r="C628" s="150" t="s">
        <v>358</v>
      </c>
      <c r="D628" s="240" t="s">
        <v>8048</v>
      </c>
      <c r="E628" s="590"/>
      <c r="F628" s="203" t="s">
        <v>1522</v>
      </c>
      <c r="G628" s="204" t="s">
        <v>225</v>
      </c>
      <c r="H628" s="204">
        <v>3</v>
      </c>
      <c r="I628" s="203" t="s">
        <v>1522</v>
      </c>
      <c r="J628" s="205" t="s">
        <v>6709</v>
      </c>
      <c r="K628" s="203" t="s">
        <v>5104</v>
      </c>
      <c r="L628" s="205" t="s">
        <v>8049</v>
      </c>
      <c r="M628" s="205" t="s">
        <v>7001</v>
      </c>
      <c r="N628" s="204" t="s">
        <v>213</v>
      </c>
      <c r="O628" s="204" t="s">
        <v>11</v>
      </c>
      <c r="P628" s="206">
        <v>1900</v>
      </c>
      <c r="Q628" s="206">
        <v>522</v>
      </c>
      <c r="R628" s="207">
        <v>50000</v>
      </c>
      <c r="S628" s="207">
        <f t="shared" si="199"/>
        <v>26100000</v>
      </c>
      <c r="T628" s="589"/>
      <c r="U628" s="157">
        <v>50000</v>
      </c>
      <c r="V628" s="158">
        <f t="shared" si="194"/>
        <v>50000</v>
      </c>
      <c r="W628" s="159">
        <f t="shared" si="200"/>
        <v>0</v>
      </c>
      <c r="X628" s="159">
        <f t="shared" si="201"/>
        <v>0</v>
      </c>
      <c r="Y628" s="160"/>
      <c r="Z628" s="160">
        <f t="shared" si="202"/>
        <v>0</v>
      </c>
      <c r="AA628" s="165"/>
      <c r="AB628" s="161">
        <f t="shared" si="203"/>
        <v>0</v>
      </c>
      <c r="AC628" s="162"/>
      <c r="AD628" s="162">
        <f t="shared" si="195"/>
        <v>0</v>
      </c>
      <c r="AE628" s="164"/>
      <c r="AF628" s="164">
        <f t="shared" si="196"/>
        <v>0</v>
      </c>
      <c r="AG628" s="165"/>
      <c r="AH628" s="165">
        <f t="shared" si="197"/>
        <v>0</v>
      </c>
      <c r="AI628" s="166">
        <v>0</v>
      </c>
      <c r="AJ628" s="166">
        <f t="shared" si="198"/>
        <v>0</v>
      </c>
      <c r="AK628" s="162"/>
      <c r="AL628" s="162">
        <f t="shared" si="209"/>
        <v>0</v>
      </c>
      <c r="AM628" s="173"/>
      <c r="AN628" s="167">
        <f t="shared" si="204"/>
        <v>0</v>
      </c>
      <c r="AO628" s="163"/>
      <c r="AP628" s="163">
        <f t="shared" si="205"/>
        <v>0</v>
      </c>
      <c r="AQ628" s="168"/>
      <c r="AR628" s="168">
        <f t="shared" si="206"/>
        <v>0</v>
      </c>
      <c r="AS628" s="170"/>
      <c r="AT628" s="170">
        <f t="shared" si="207"/>
        <v>0</v>
      </c>
      <c r="AU628" s="166"/>
      <c r="AV628" s="166">
        <f t="shared" si="208"/>
        <v>0</v>
      </c>
    </row>
    <row r="629" spans="1:48" ht="31.5">
      <c r="A629" s="148" t="s">
        <v>8081</v>
      </c>
      <c r="B629" s="150" t="s">
        <v>360</v>
      </c>
      <c r="C629" s="150" t="s">
        <v>358</v>
      </c>
      <c r="D629" s="240" t="s">
        <v>4109</v>
      </c>
      <c r="E629" s="590" t="s">
        <v>12642</v>
      </c>
      <c r="F629" s="203" t="s">
        <v>4110</v>
      </c>
      <c r="G629" s="204" t="s">
        <v>327</v>
      </c>
      <c r="H629" s="204">
        <v>3</v>
      </c>
      <c r="I629" s="203" t="s">
        <v>403</v>
      </c>
      <c r="J629" s="205" t="s">
        <v>7769</v>
      </c>
      <c r="K629" s="203" t="s">
        <v>5104</v>
      </c>
      <c r="L629" s="205" t="s">
        <v>8082</v>
      </c>
      <c r="M629" s="205" t="s">
        <v>7001</v>
      </c>
      <c r="N629" s="204" t="s">
        <v>213</v>
      </c>
      <c r="O629" s="204" t="s">
        <v>11</v>
      </c>
      <c r="P629" s="206">
        <v>300</v>
      </c>
      <c r="Q629" s="206">
        <v>102</v>
      </c>
      <c r="R629" s="207">
        <v>300000</v>
      </c>
      <c r="S629" s="207">
        <f t="shared" si="199"/>
        <v>30600000</v>
      </c>
      <c r="T629" s="589"/>
      <c r="U629" s="157">
        <v>300000</v>
      </c>
      <c r="V629" s="158">
        <f t="shared" ref="V629:V639" si="210">U629-W629</f>
        <v>290000</v>
      </c>
      <c r="W629" s="159">
        <f t="shared" si="200"/>
        <v>10000</v>
      </c>
      <c r="X629" s="159">
        <f t="shared" si="201"/>
        <v>1020000</v>
      </c>
      <c r="Y629" s="160"/>
      <c r="Z629" s="160">
        <f t="shared" si="202"/>
        <v>0</v>
      </c>
      <c r="AA629" s="165">
        <v>10000</v>
      </c>
      <c r="AB629" s="161">
        <f t="shared" si="203"/>
        <v>1020000</v>
      </c>
      <c r="AC629" s="162"/>
      <c r="AD629" s="162">
        <f t="shared" ref="AD629:AD639" si="211">AC629*Q629</f>
        <v>0</v>
      </c>
      <c r="AE629" s="164"/>
      <c r="AF629" s="164">
        <f t="shared" ref="AF629:AF639" si="212">AE629*Q629</f>
        <v>0</v>
      </c>
      <c r="AG629" s="165"/>
      <c r="AH629" s="165">
        <f t="shared" ref="AH629:AH639" si="213">AG629*Q629</f>
        <v>0</v>
      </c>
      <c r="AI629" s="166">
        <v>0</v>
      </c>
      <c r="AJ629" s="166">
        <f t="shared" ref="AJ629:AJ639" si="214">AI629*Q629</f>
        <v>0</v>
      </c>
      <c r="AK629" s="162"/>
      <c r="AL629" s="162">
        <f t="shared" si="209"/>
        <v>0</v>
      </c>
      <c r="AM629" s="173"/>
      <c r="AN629" s="167">
        <f t="shared" si="204"/>
        <v>0</v>
      </c>
      <c r="AO629" s="163"/>
      <c r="AP629" s="163">
        <f t="shared" si="205"/>
        <v>0</v>
      </c>
      <c r="AQ629" s="168"/>
      <c r="AR629" s="168">
        <f t="shared" si="206"/>
        <v>0</v>
      </c>
      <c r="AS629" s="170"/>
      <c r="AT629" s="170">
        <f t="shared" si="207"/>
        <v>0</v>
      </c>
      <c r="AU629" s="166"/>
      <c r="AV629" s="166">
        <f t="shared" si="208"/>
        <v>0</v>
      </c>
    </row>
    <row r="630" spans="1:48" ht="31.5">
      <c r="A630" s="148" t="s">
        <v>8131</v>
      </c>
      <c r="B630" s="150" t="s">
        <v>360</v>
      </c>
      <c r="C630" s="150" t="s">
        <v>358</v>
      </c>
      <c r="D630" s="240" t="s">
        <v>3873</v>
      </c>
      <c r="E630" s="590" t="s">
        <v>12642</v>
      </c>
      <c r="F630" s="203" t="s">
        <v>2466</v>
      </c>
      <c r="G630" s="204" t="s">
        <v>390</v>
      </c>
      <c r="H630" s="204">
        <v>3</v>
      </c>
      <c r="I630" s="203" t="s">
        <v>1324</v>
      </c>
      <c r="J630" s="205" t="s">
        <v>7769</v>
      </c>
      <c r="K630" s="203" t="s">
        <v>5104</v>
      </c>
      <c r="L630" s="205" t="s">
        <v>8132</v>
      </c>
      <c r="M630" s="205" t="s">
        <v>7001</v>
      </c>
      <c r="N630" s="204" t="s">
        <v>213</v>
      </c>
      <c r="O630" s="204" t="s">
        <v>11</v>
      </c>
      <c r="P630" s="206">
        <v>30</v>
      </c>
      <c r="Q630" s="206">
        <v>27</v>
      </c>
      <c r="R630" s="207">
        <v>220000</v>
      </c>
      <c r="S630" s="207">
        <f t="shared" si="199"/>
        <v>5940000</v>
      </c>
      <c r="T630" s="589"/>
      <c r="U630" s="157">
        <v>220000</v>
      </c>
      <c r="V630" s="158">
        <f t="shared" si="210"/>
        <v>181000</v>
      </c>
      <c r="W630" s="159">
        <f t="shared" si="200"/>
        <v>39000</v>
      </c>
      <c r="X630" s="159">
        <f t="shared" si="201"/>
        <v>1053000</v>
      </c>
      <c r="Y630" s="160"/>
      <c r="Z630" s="160">
        <f t="shared" si="202"/>
        <v>0</v>
      </c>
      <c r="AA630" s="161"/>
      <c r="AB630" s="161">
        <f t="shared" si="203"/>
        <v>0</v>
      </c>
      <c r="AC630" s="162"/>
      <c r="AD630" s="162">
        <f t="shared" si="211"/>
        <v>0</v>
      </c>
      <c r="AE630" s="164"/>
      <c r="AF630" s="164">
        <f t="shared" si="212"/>
        <v>0</v>
      </c>
      <c r="AG630" s="165"/>
      <c r="AH630" s="165">
        <f t="shared" si="213"/>
        <v>0</v>
      </c>
      <c r="AI630" s="166">
        <v>0</v>
      </c>
      <c r="AJ630" s="166">
        <f t="shared" si="214"/>
        <v>0</v>
      </c>
      <c r="AK630" s="162"/>
      <c r="AL630" s="162">
        <f t="shared" si="209"/>
        <v>0</v>
      </c>
      <c r="AM630" s="167"/>
      <c r="AN630" s="167">
        <f t="shared" si="204"/>
        <v>0</v>
      </c>
      <c r="AO630" s="163"/>
      <c r="AP630" s="163">
        <f t="shared" si="205"/>
        <v>0</v>
      </c>
      <c r="AQ630" s="168"/>
      <c r="AR630" s="168">
        <f t="shared" si="206"/>
        <v>0</v>
      </c>
      <c r="AS630" s="170">
        <v>39000</v>
      </c>
      <c r="AT630" s="170">
        <f t="shared" si="207"/>
        <v>1053000</v>
      </c>
      <c r="AU630" s="166"/>
      <c r="AV630" s="166">
        <f t="shared" si="208"/>
        <v>0</v>
      </c>
    </row>
    <row r="631" spans="1:48" ht="31.5">
      <c r="A631" s="172" t="s">
        <v>8176</v>
      </c>
      <c r="B631" s="150" t="s">
        <v>360</v>
      </c>
      <c r="C631" s="150" t="s">
        <v>358</v>
      </c>
      <c r="D631" s="240" t="s">
        <v>4013</v>
      </c>
      <c r="E631" s="590"/>
      <c r="F631" s="203" t="s">
        <v>868</v>
      </c>
      <c r="G631" s="204" t="s">
        <v>869</v>
      </c>
      <c r="H631" s="204">
        <v>3</v>
      </c>
      <c r="I631" s="203" t="s">
        <v>1338</v>
      </c>
      <c r="J631" s="205" t="s">
        <v>6767</v>
      </c>
      <c r="K631" s="203" t="s">
        <v>5104</v>
      </c>
      <c r="L631" s="205" t="s">
        <v>8177</v>
      </c>
      <c r="M631" s="205" t="s">
        <v>7001</v>
      </c>
      <c r="N631" s="204" t="s">
        <v>213</v>
      </c>
      <c r="O631" s="204" t="s">
        <v>11</v>
      </c>
      <c r="P631" s="206">
        <v>650</v>
      </c>
      <c r="Q631" s="206">
        <v>242</v>
      </c>
      <c r="R631" s="207">
        <v>80000</v>
      </c>
      <c r="S631" s="207">
        <f t="shared" si="199"/>
        <v>19360000</v>
      </c>
      <c r="T631" s="589"/>
      <c r="U631" s="157">
        <v>80000</v>
      </c>
      <c r="V631" s="158">
        <f t="shared" si="210"/>
        <v>80000</v>
      </c>
      <c r="W631" s="159">
        <f t="shared" si="200"/>
        <v>0</v>
      </c>
      <c r="X631" s="159">
        <f t="shared" si="201"/>
        <v>0</v>
      </c>
      <c r="Y631" s="160"/>
      <c r="Z631" s="160">
        <f t="shared" si="202"/>
        <v>0</v>
      </c>
      <c r="AA631" s="161"/>
      <c r="AB631" s="161">
        <f t="shared" si="203"/>
        <v>0</v>
      </c>
      <c r="AC631" s="162"/>
      <c r="AD631" s="162">
        <f t="shared" si="211"/>
        <v>0</v>
      </c>
      <c r="AE631" s="164"/>
      <c r="AF631" s="164">
        <f t="shared" si="212"/>
        <v>0</v>
      </c>
      <c r="AG631" s="165"/>
      <c r="AH631" s="165">
        <f t="shared" si="213"/>
        <v>0</v>
      </c>
      <c r="AI631" s="166">
        <v>0</v>
      </c>
      <c r="AJ631" s="166">
        <f t="shared" si="214"/>
        <v>0</v>
      </c>
      <c r="AK631" s="162"/>
      <c r="AL631" s="162">
        <f t="shared" si="209"/>
        <v>0</v>
      </c>
      <c r="AM631" s="167"/>
      <c r="AN631" s="167">
        <f t="shared" si="204"/>
        <v>0</v>
      </c>
      <c r="AO631" s="163"/>
      <c r="AP631" s="163">
        <f t="shared" si="205"/>
        <v>0</v>
      </c>
      <c r="AQ631" s="168"/>
      <c r="AR631" s="168">
        <f t="shared" si="206"/>
        <v>0</v>
      </c>
      <c r="AS631" s="170"/>
      <c r="AT631" s="170">
        <f t="shared" si="207"/>
        <v>0</v>
      </c>
      <c r="AU631" s="166"/>
      <c r="AV631" s="166">
        <f t="shared" si="208"/>
        <v>0</v>
      </c>
    </row>
    <row r="632" spans="1:48" ht="31.5">
      <c r="A632" s="148" t="s">
        <v>8178</v>
      </c>
      <c r="B632" s="150" t="s">
        <v>360</v>
      </c>
      <c r="C632" s="150" t="s">
        <v>358</v>
      </c>
      <c r="D632" s="240" t="s">
        <v>8179</v>
      </c>
      <c r="E632" s="590"/>
      <c r="F632" s="203" t="s">
        <v>868</v>
      </c>
      <c r="G632" s="204" t="s">
        <v>1340</v>
      </c>
      <c r="H632" s="204">
        <v>3</v>
      </c>
      <c r="I632" s="203" t="s">
        <v>1339</v>
      </c>
      <c r="J632" s="205" t="s">
        <v>6767</v>
      </c>
      <c r="K632" s="203" t="s">
        <v>5104</v>
      </c>
      <c r="L632" s="205" t="s">
        <v>1341</v>
      </c>
      <c r="M632" s="205" t="s">
        <v>7001</v>
      </c>
      <c r="N632" s="204" t="s">
        <v>213</v>
      </c>
      <c r="O632" s="204" t="s">
        <v>11</v>
      </c>
      <c r="P632" s="206">
        <v>1200</v>
      </c>
      <c r="Q632" s="206">
        <v>492</v>
      </c>
      <c r="R632" s="207">
        <v>50000</v>
      </c>
      <c r="S632" s="207">
        <f t="shared" si="199"/>
        <v>24600000</v>
      </c>
      <c r="T632" s="589"/>
      <c r="U632" s="157">
        <v>50000</v>
      </c>
      <c r="V632" s="158">
        <f t="shared" si="210"/>
        <v>50000</v>
      </c>
      <c r="W632" s="159">
        <f t="shared" si="200"/>
        <v>0</v>
      </c>
      <c r="X632" s="159">
        <f t="shared" si="201"/>
        <v>0</v>
      </c>
      <c r="Y632" s="160"/>
      <c r="Z632" s="160">
        <f t="shared" si="202"/>
        <v>0</v>
      </c>
      <c r="AA632" s="161"/>
      <c r="AB632" s="161">
        <f t="shared" si="203"/>
        <v>0</v>
      </c>
      <c r="AC632" s="162"/>
      <c r="AD632" s="162">
        <f t="shared" si="211"/>
        <v>0</v>
      </c>
      <c r="AE632" s="164"/>
      <c r="AF632" s="164">
        <f t="shared" si="212"/>
        <v>0</v>
      </c>
      <c r="AG632" s="165"/>
      <c r="AH632" s="165">
        <f t="shared" si="213"/>
        <v>0</v>
      </c>
      <c r="AI632" s="166">
        <v>0</v>
      </c>
      <c r="AJ632" s="166">
        <f t="shared" si="214"/>
        <v>0</v>
      </c>
      <c r="AK632" s="162"/>
      <c r="AL632" s="162">
        <f t="shared" si="209"/>
        <v>0</v>
      </c>
      <c r="AM632" s="167"/>
      <c r="AN632" s="167">
        <f t="shared" si="204"/>
        <v>0</v>
      </c>
      <c r="AO632" s="163"/>
      <c r="AP632" s="163">
        <f t="shared" si="205"/>
        <v>0</v>
      </c>
      <c r="AQ632" s="168"/>
      <c r="AR632" s="168">
        <f t="shared" si="206"/>
        <v>0</v>
      </c>
      <c r="AS632" s="170"/>
      <c r="AT632" s="170">
        <f t="shared" si="207"/>
        <v>0</v>
      </c>
      <c r="AU632" s="166"/>
      <c r="AV632" s="166">
        <f t="shared" si="208"/>
        <v>0</v>
      </c>
    </row>
    <row r="633" spans="1:48" ht="31.5">
      <c r="A633" s="148" t="s">
        <v>8180</v>
      </c>
      <c r="B633" s="150" t="s">
        <v>360</v>
      </c>
      <c r="C633" s="150" t="s">
        <v>358</v>
      </c>
      <c r="D633" s="240" t="s">
        <v>8181</v>
      </c>
      <c r="E633" s="590"/>
      <c r="F633" s="203" t="s">
        <v>868</v>
      </c>
      <c r="G633" s="204" t="s">
        <v>1343</v>
      </c>
      <c r="H633" s="204">
        <v>3</v>
      </c>
      <c r="I633" s="203" t="s">
        <v>1342</v>
      </c>
      <c r="J633" s="205" t="s">
        <v>6767</v>
      </c>
      <c r="K633" s="203" t="s">
        <v>5104</v>
      </c>
      <c r="L633" s="205" t="s">
        <v>8182</v>
      </c>
      <c r="M633" s="205" t="s">
        <v>7001</v>
      </c>
      <c r="N633" s="204" t="s">
        <v>213</v>
      </c>
      <c r="O633" s="204" t="s">
        <v>11</v>
      </c>
      <c r="P633" s="206">
        <v>3500</v>
      </c>
      <c r="Q633" s="206">
        <v>688</v>
      </c>
      <c r="R633" s="207">
        <v>40000</v>
      </c>
      <c r="S633" s="207">
        <f t="shared" si="199"/>
        <v>27520000</v>
      </c>
      <c r="T633" s="589"/>
      <c r="U633" s="157">
        <v>40000</v>
      </c>
      <c r="V633" s="158">
        <f t="shared" si="210"/>
        <v>40000</v>
      </c>
      <c r="W633" s="159">
        <f t="shared" si="200"/>
        <v>0</v>
      </c>
      <c r="X633" s="159">
        <f t="shared" si="201"/>
        <v>0</v>
      </c>
      <c r="Y633" s="160"/>
      <c r="Z633" s="160">
        <f t="shared" si="202"/>
        <v>0</v>
      </c>
      <c r="AA633" s="161"/>
      <c r="AB633" s="161">
        <f t="shared" si="203"/>
        <v>0</v>
      </c>
      <c r="AC633" s="162"/>
      <c r="AD633" s="162">
        <f t="shared" si="211"/>
        <v>0</v>
      </c>
      <c r="AE633" s="164"/>
      <c r="AF633" s="164">
        <f t="shared" si="212"/>
        <v>0</v>
      </c>
      <c r="AG633" s="165"/>
      <c r="AH633" s="165">
        <f t="shared" si="213"/>
        <v>0</v>
      </c>
      <c r="AI633" s="166">
        <v>0</v>
      </c>
      <c r="AJ633" s="166">
        <f t="shared" si="214"/>
        <v>0</v>
      </c>
      <c r="AK633" s="162"/>
      <c r="AL633" s="162">
        <f t="shared" si="209"/>
        <v>0</v>
      </c>
      <c r="AM633" s="167"/>
      <c r="AN633" s="167">
        <f t="shared" si="204"/>
        <v>0</v>
      </c>
      <c r="AO633" s="163"/>
      <c r="AP633" s="163">
        <f t="shared" si="205"/>
        <v>0</v>
      </c>
      <c r="AQ633" s="168"/>
      <c r="AR633" s="168">
        <f t="shared" si="206"/>
        <v>0</v>
      </c>
      <c r="AS633" s="170"/>
      <c r="AT633" s="170">
        <f t="shared" si="207"/>
        <v>0</v>
      </c>
      <c r="AU633" s="166"/>
      <c r="AV633" s="166">
        <f t="shared" si="208"/>
        <v>0</v>
      </c>
    </row>
    <row r="634" spans="1:48" ht="31.5">
      <c r="A634" s="148" t="s">
        <v>8237</v>
      </c>
      <c r="B634" s="150" t="s">
        <v>360</v>
      </c>
      <c r="C634" s="150" t="s">
        <v>358</v>
      </c>
      <c r="D634" s="240" t="s">
        <v>4292</v>
      </c>
      <c r="E634" s="590" t="s">
        <v>12642</v>
      </c>
      <c r="F634" s="203" t="s">
        <v>1380</v>
      </c>
      <c r="G634" s="204" t="s">
        <v>310</v>
      </c>
      <c r="H634" s="204">
        <v>3</v>
      </c>
      <c r="I634" s="203" t="s">
        <v>1381</v>
      </c>
      <c r="J634" s="205" t="s">
        <v>6709</v>
      </c>
      <c r="K634" s="203" t="s">
        <v>5104</v>
      </c>
      <c r="L634" s="205" t="s">
        <v>1382</v>
      </c>
      <c r="M634" s="205" t="s">
        <v>7001</v>
      </c>
      <c r="N634" s="204" t="s">
        <v>213</v>
      </c>
      <c r="O634" s="204" t="s">
        <v>11</v>
      </c>
      <c r="P634" s="206">
        <v>500</v>
      </c>
      <c r="Q634" s="206">
        <v>312</v>
      </c>
      <c r="R634" s="207">
        <v>50000</v>
      </c>
      <c r="S634" s="207">
        <f t="shared" si="199"/>
        <v>15600000</v>
      </c>
      <c r="T634" s="589"/>
      <c r="U634" s="157">
        <v>50000</v>
      </c>
      <c r="V634" s="158">
        <f t="shared" si="210"/>
        <v>38600</v>
      </c>
      <c r="W634" s="159">
        <f t="shared" si="200"/>
        <v>11400</v>
      </c>
      <c r="X634" s="159">
        <f t="shared" si="201"/>
        <v>3556800</v>
      </c>
      <c r="Y634" s="160"/>
      <c r="Z634" s="160">
        <f t="shared" si="202"/>
        <v>0</v>
      </c>
      <c r="AA634" s="165">
        <v>5300</v>
      </c>
      <c r="AB634" s="161">
        <f t="shared" si="203"/>
        <v>1653600</v>
      </c>
      <c r="AC634" s="162"/>
      <c r="AD634" s="162">
        <f t="shared" si="211"/>
        <v>0</v>
      </c>
      <c r="AE634" s="164"/>
      <c r="AF634" s="164">
        <f t="shared" si="212"/>
        <v>0</v>
      </c>
      <c r="AG634" s="165">
        <v>2400</v>
      </c>
      <c r="AH634" s="165">
        <f t="shared" si="213"/>
        <v>748800</v>
      </c>
      <c r="AI634" s="166">
        <v>0</v>
      </c>
      <c r="AJ634" s="166">
        <f t="shared" si="214"/>
        <v>0</v>
      </c>
      <c r="AK634" s="162"/>
      <c r="AL634" s="162">
        <f t="shared" si="209"/>
        <v>0</v>
      </c>
      <c r="AM634" s="173"/>
      <c r="AN634" s="167">
        <f t="shared" si="204"/>
        <v>0</v>
      </c>
      <c r="AO634" s="163"/>
      <c r="AP634" s="163">
        <f t="shared" si="205"/>
        <v>0</v>
      </c>
      <c r="AQ634" s="168"/>
      <c r="AR634" s="168">
        <f t="shared" si="206"/>
        <v>0</v>
      </c>
      <c r="AS634" s="170">
        <v>3700</v>
      </c>
      <c r="AT634" s="170">
        <f t="shared" si="207"/>
        <v>1154400</v>
      </c>
      <c r="AU634" s="166"/>
      <c r="AV634" s="166">
        <f t="shared" si="208"/>
        <v>0</v>
      </c>
    </row>
    <row r="635" spans="1:48" ht="31.5">
      <c r="A635" s="148" t="s">
        <v>8238</v>
      </c>
      <c r="B635" s="150" t="s">
        <v>360</v>
      </c>
      <c r="C635" s="150" t="s">
        <v>358</v>
      </c>
      <c r="D635" s="240" t="s">
        <v>4295</v>
      </c>
      <c r="E635" s="590" t="s">
        <v>12642</v>
      </c>
      <c r="F635" s="203" t="s">
        <v>1380</v>
      </c>
      <c r="G635" s="204" t="s">
        <v>869</v>
      </c>
      <c r="H635" s="204">
        <v>3</v>
      </c>
      <c r="I635" s="203" t="s">
        <v>1383</v>
      </c>
      <c r="J635" s="205" t="s">
        <v>6709</v>
      </c>
      <c r="K635" s="203" t="s">
        <v>5104</v>
      </c>
      <c r="L635" s="205" t="s">
        <v>8239</v>
      </c>
      <c r="M635" s="205" t="s">
        <v>7001</v>
      </c>
      <c r="N635" s="204" t="s">
        <v>213</v>
      </c>
      <c r="O635" s="204" t="s">
        <v>11</v>
      </c>
      <c r="P635" s="206">
        <v>900</v>
      </c>
      <c r="Q635" s="206">
        <v>599</v>
      </c>
      <c r="R635" s="207">
        <v>50000</v>
      </c>
      <c r="S635" s="207">
        <f t="shared" si="199"/>
        <v>29950000</v>
      </c>
      <c r="T635" s="589"/>
      <c r="U635" s="157">
        <v>50000</v>
      </c>
      <c r="V635" s="158">
        <f t="shared" si="210"/>
        <v>22000</v>
      </c>
      <c r="W635" s="159">
        <f t="shared" si="200"/>
        <v>28000</v>
      </c>
      <c r="X635" s="159">
        <f t="shared" si="201"/>
        <v>16772000</v>
      </c>
      <c r="Y635" s="160"/>
      <c r="Z635" s="160">
        <f t="shared" si="202"/>
        <v>0</v>
      </c>
      <c r="AA635" s="165">
        <v>17000</v>
      </c>
      <c r="AB635" s="161">
        <f t="shared" si="203"/>
        <v>10183000</v>
      </c>
      <c r="AC635" s="162"/>
      <c r="AD635" s="162">
        <f t="shared" si="211"/>
        <v>0</v>
      </c>
      <c r="AE635" s="164"/>
      <c r="AF635" s="164">
        <f t="shared" si="212"/>
        <v>0</v>
      </c>
      <c r="AG635" s="165">
        <v>1000</v>
      </c>
      <c r="AH635" s="165">
        <f t="shared" si="213"/>
        <v>599000</v>
      </c>
      <c r="AI635" s="166">
        <v>0</v>
      </c>
      <c r="AJ635" s="166">
        <f t="shared" si="214"/>
        <v>0</v>
      </c>
      <c r="AK635" s="162"/>
      <c r="AL635" s="162">
        <f t="shared" si="209"/>
        <v>0</v>
      </c>
      <c r="AM635" s="173">
        <v>10000</v>
      </c>
      <c r="AN635" s="167">
        <f t="shared" si="204"/>
        <v>5990000</v>
      </c>
      <c r="AO635" s="163"/>
      <c r="AP635" s="163">
        <f t="shared" si="205"/>
        <v>0</v>
      </c>
      <c r="AQ635" s="168"/>
      <c r="AR635" s="168">
        <f t="shared" si="206"/>
        <v>0</v>
      </c>
      <c r="AS635" s="170"/>
      <c r="AT635" s="170">
        <f t="shared" si="207"/>
        <v>0</v>
      </c>
      <c r="AU635" s="166"/>
      <c r="AV635" s="166">
        <f t="shared" si="208"/>
        <v>0</v>
      </c>
    </row>
    <row r="636" spans="1:48" s="131" customFormat="1" ht="31.5">
      <c r="A636" s="148" t="s">
        <v>8249</v>
      </c>
      <c r="B636" s="150" t="s">
        <v>360</v>
      </c>
      <c r="C636" s="150" t="s">
        <v>358</v>
      </c>
      <c r="D636" s="240" t="s">
        <v>3941</v>
      </c>
      <c r="E636" s="590"/>
      <c r="F636" s="203" t="s">
        <v>1397</v>
      </c>
      <c r="G636" s="204" t="s">
        <v>291</v>
      </c>
      <c r="H636" s="204">
        <v>3</v>
      </c>
      <c r="I636" s="203" t="s">
        <v>1398</v>
      </c>
      <c r="J636" s="205" t="s">
        <v>7142</v>
      </c>
      <c r="K636" s="203" t="s">
        <v>5104</v>
      </c>
      <c r="L636" s="205" t="s">
        <v>1399</v>
      </c>
      <c r="M636" s="205" t="s">
        <v>7001</v>
      </c>
      <c r="N636" s="204" t="s">
        <v>213</v>
      </c>
      <c r="O636" s="204" t="s">
        <v>11</v>
      </c>
      <c r="P636" s="206">
        <v>400</v>
      </c>
      <c r="Q636" s="206">
        <v>120</v>
      </c>
      <c r="R636" s="207">
        <v>60000</v>
      </c>
      <c r="S636" s="207">
        <f t="shared" si="199"/>
        <v>7200000</v>
      </c>
      <c r="T636" s="589"/>
      <c r="U636" s="157">
        <v>60000</v>
      </c>
      <c r="V636" s="158">
        <f t="shared" si="210"/>
        <v>44000</v>
      </c>
      <c r="W636" s="159">
        <f t="shared" si="200"/>
        <v>16000</v>
      </c>
      <c r="X636" s="159">
        <f t="shared" si="201"/>
        <v>1920000</v>
      </c>
      <c r="Y636" s="160"/>
      <c r="Z636" s="160">
        <f t="shared" si="202"/>
        <v>0</v>
      </c>
      <c r="AA636" s="165"/>
      <c r="AB636" s="161">
        <f t="shared" si="203"/>
        <v>0</v>
      </c>
      <c r="AC636" s="162"/>
      <c r="AD636" s="162">
        <f t="shared" si="211"/>
        <v>0</v>
      </c>
      <c r="AE636" s="164"/>
      <c r="AF636" s="164">
        <f t="shared" si="212"/>
        <v>0</v>
      </c>
      <c r="AG636" s="165">
        <v>10000</v>
      </c>
      <c r="AH636" s="165">
        <f t="shared" si="213"/>
        <v>1200000</v>
      </c>
      <c r="AI636" s="166">
        <v>0</v>
      </c>
      <c r="AJ636" s="166">
        <f t="shared" si="214"/>
        <v>0</v>
      </c>
      <c r="AK636" s="162"/>
      <c r="AL636" s="162">
        <f t="shared" si="209"/>
        <v>0</v>
      </c>
      <c r="AM636" s="173">
        <v>6000</v>
      </c>
      <c r="AN636" s="167">
        <f t="shared" si="204"/>
        <v>720000</v>
      </c>
      <c r="AO636" s="163"/>
      <c r="AP636" s="163">
        <f t="shared" si="205"/>
        <v>0</v>
      </c>
      <c r="AQ636" s="168"/>
      <c r="AR636" s="168">
        <f t="shared" si="206"/>
        <v>0</v>
      </c>
      <c r="AS636" s="170"/>
      <c r="AT636" s="170">
        <f t="shared" si="207"/>
        <v>0</v>
      </c>
      <c r="AU636" s="166"/>
      <c r="AV636" s="166">
        <f t="shared" si="208"/>
        <v>0</v>
      </c>
    </row>
    <row r="637" spans="1:48" s="131" customFormat="1" ht="31.5">
      <c r="A637" s="148" t="s">
        <v>8411</v>
      </c>
      <c r="B637" s="150" t="s">
        <v>360</v>
      </c>
      <c r="C637" s="150" t="s">
        <v>358</v>
      </c>
      <c r="D637" s="240" t="s">
        <v>8412</v>
      </c>
      <c r="E637" s="590" t="s">
        <v>12643</v>
      </c>
      <c r="F637" s="203" t="s">
        <v>7356</v>
      </c>
      <c r="G637" s="204" t="s">
        <v>225</v>
      </c>
      <c r="H637" s="204">
        <v>5</v>
      </c>
      <c r="I637" s="203" t="s">
        <v>7356</v>
      </c>
      <c r="J637" s="205" t="s">
        <v>6767</v>
      </c>
      <c r="K637" s="203" t="s">
        <v>5104</v>
      </c>
      <c r="L637" s="205" t="s">
        <v>7357</v>
      </c>
      <c r="M637" s="205" t="s">
        <v>7001</v>
      </c>
      <c r="N637" s="204" t="s">
        <v>213</v>
      </c>
      <c r="O637" s="204" t="s">
        <v>11</v>
      </c>
      <c r="P637" s="206">
        <v>600</v>
      </c>
      <c r="Q637" s="206">
        <v>316</v>
      </c>
      <c r="R637" s="207">
        <v>5000</v>
      </c>
      <c r="S637" s="207">
        <f t="shared" si="199"/>
        <v>1580000</v>
      </c>
      <c r="T637" s="589"/>
      <c r="U637" s="157">
        <v>5000</v>
      </c>
      <c r="V637" s="158">
        <f t="shared" si="210"/>
        <v>5000</v>
      </c>
      <c r="W637" s="159">
        <f t="shared" si="200"/>
        <v>0</v>
      </c>
      <c r="X637" s="159">
        <f t="shared" si="201"/>
        <v>0</v>
      </c>
      <c r="Y637" s="160"/>
      <c r="Z637" s="160">
        <f t="shared" si="202"/>
        <v>0</v>
      </c>
      <c r="AA637" s="165"/>
      <c r="AB637" s="161">
        <f t="shared" si="203"/>
        <v>0</v>
      </c>
      <c r="AC637" s="162"/>
      <c r="AD637" s="162">
        <f t="shared" si="211"/>
        <v>0</v>
      </c>
      <c r="AE637" s="164"/>
      <c r="AF637" s="164">
        <f t="shared" si="212"/>
        <v>0</v>
      </c>
      <c r="AG637" s="165"/>
      <c r="AH637" s="165">
        <f t="shared" si="213"/>
        <v>0</v>
      </c>
      <c r="AI637" s="166">
        <v>0</v>
      </c>
      <c r="AJ637" s="166">
        <f t="shared" si="214"/>
        <v>0</v>
      </c>
      <c r="AK637" s="162"/>
      <c r="AL637" s="162">
        <f t="shared" si="209"/>
        <v>0</v>
      </c>
      <c r="AM637" s="173"/>
      <c r="AN637" s="167">
        <f t="shared" si="204"/>
        <v>0</v>
      </c>
      <c r="AO637" s="163"/>
      <c r="AP637" s="163">
        <f t="shared" si="205"/>
        <v>0</v>
      </c>
      <c r="AQ637" s="168"/>
      <c r="AR637" s="168">
        <f t="shared" si="206"/>
        <v>0</v>
      </c>
      <c r="AS637" s="170"/>
      <c r="AT637" s="170">
        <f t="shared" si="207"/>
        <v>0</v>
      </c>
      <c r="AU637" s="166"/>
      <c r="AV637" s="166">
        <f t="shared" si="208"/>
        <v>0</v>
      </c>
    </row>
    <row r="638" spans="1:48" s="131" customFormat="1" ht="31.5">
      <c r="A638" s="148" t="s">
        <v>8415</v>
      </c>
      <c r="B638" s="150" t="s">
        <v>360</v>
      </c>
      <c r="C638" s="150" t="s">
        <v>358</v>
      </c>
      <c r="D638" s="240" t="s">
        <v>8416</v>
      </c>
      <c r="E638" s="590" t="s">
        <v>12643</v>
      </c>
      <c r="F638" s="203" t="s">
        <v>1029</v>
      </c>
      <c r="G638" s="204" t="s">
        <v>4565</v>
      </c>
      <c r="H638" s="204">
        <v>5</v>
      </c>
      <c r="I638" s="203" t="s">
        <v>4564</v>
      </c>
      <c r="J638" s="205" t="s">
        <v>7381</v>
      </c>
      <c r="K638" s="203" t="s">
        <v>5104</v>
      </c>
      <c r="L638" s="205" t="s">
        <v>7382</v>
      </c>
      <c r="M638" s="205" t="s">
        <v>7001</v>
      </c>
      <c r="N638" s="204" t="s">
        <v>213</v>
      </c>
      <c r="O638" s="204" t="s">
        <v>11</v>
      </c>
      <c r="P638" s="206">
        <v>5100</v>
      </c>
      <c r="Q638" s="206">
        <v>2337</v>
      </c>
      <c r="R638" s="207">
        <v>30000</v>
      </c>
      <c r="S638" s="207">
        <f t="shared" si="199"/>
        <v>70110000</v>
      </c>
      <c r="T638" s="589"/>
      <c r="U638" s="157">
        <v>30000</v>
      </c>
      <c r="V638" s="158">
        <f t="shared" si="210"/>
        <v>30000</v>
      </c>
      <c r="W638" s="159">
        <f t="shared" si="200"/>
        <v>0</v>
      </c>
      <c r="X638" s="159">
        <f t="shared" si="201"/>
        <v>0</v>
      </c>
      <c r="Y638" s="160"/>
      <c r="Z638" s="160">
        <f t="shared" si="202"/>
        <v>0</v>
      </c>
      <c r="AA638" s="165"/>
      <c r="AB638" s="161">
        <f t="shared" si="203"/>
        <v>0</v>
      </c>
      <c r="AC638" s="162"/>
      <c r="AD638" s="162">
        <f t="shared" si="211"/>
        <v>0</v>
      </c>
      <c r="AE638" s="164"/>
      <c r="AF638" s="164">
        <f t="shared" si="212"/>
        <v>0</v>
      </c>
      <c r="AG638" s="165"/>
      <c r="AH638" s="165">
        <f t="shared" si="213"/>
        <v>0</v>
      </c>
      <c r="AI638" s="166">
        <v>0</v>
      </c>
      <c r="AJ638" s="166">
        <f t="shared" si="214"/>
        <v>0</v>
      </c>
      <c r="AK638" s="162"/>
      <c r="AL638" s="162">
        <f t="shared" si="209"/>
        <v>0</v>
      </c>
      <c r="AM638" s="173"/>
      <c r="AN638" s="167">
        <f t="shared" si="204"/>
        <v>0</v>
      </c>
      <c r="AO638" s="163"/>
      <c r="AP638" s="163">
        <f t="shared" si="205"/>
        <v>0</v>
      </c>
      <c r="AQ638" s="168"/>
      <c r="AR638" s="168">
        <f t="shared" si="206"/>
        <v>0</v>
      </c>
      <c r="AS638" s="170"/>
      <c r="AT638" s="170">
        <f t="shared" si="207"/>
        <v>0</v>
      </c>
      <c r="AU638" s="166"/>
      <c r="AV638" s="166">
        <f t="shared" si="208"/>
        <v>0</v>
      </c>
    </row>
    <row r="639" spans="1:48" s="131" customFormat="1" ht="31.5">
      <c r="A639" s="172" t="s">
        <v>8459</v>
      </c>
      <c r="B639" s="150" t="s">
        <v>360</v>
      </c>
      <c r="C639" s="150" t="s">
        <v>358</v>
      </c>
      <c r="D639" s="240" t="s">
        <v>8460</v>
      </c>
      <c r="E639" s="590"/>
      <c r="F639" s="203" t="s">
        <v>1109</v>
      </c>
      <c r="G639" s="204" t="s">
        <v>4040</v>
      </c>
      <c r="H639" s="204">
        <v>5</v>
      </c>
      <c r="I639" s="203" t="s">
        <v>1349</v>
      </c>
      <c r="J639" s="205" t="s">
        <v>7875</v>
      </c>
      <c r="K639" s="203" t="s">
        <v>5104</v>
      </c>
      <c r="L639" s="205" t="s">
        <v>7876</v>
      </c>
      <c r="M639" s="205" t="s">
        <v>7001</v>
      </c>
      <c r="N639" s="204" t="s">
        <v>213</v>
      </c>
      <c r="O639" s="204" t="s">
        <v>11</v>
      </c>
      <c r="P639" s="206">
        <v>1000</v>
      </c>
      <c r="Q639" s="206">
        <v>296</v>
      </c>
      <c r="R639" s="207">
        <v>20000</v>
      </c>
      <c r="S639" s="207">
        <f t="shared" si="199"/>
        <v>5920000</v>
      </c>
      <c r="T639" s="589"/>
      <c r="U639" s="157">
        <v>20000</v>
      </c>
      <c r="V639" s="158">
        <f t="shared" si="210"/>
        <v>20000</v>
      </c>
      <c r="W639" s="159">
        <f t="shared" si="200"/>
        <v>0</v>
      </c>
      <c r="X639" s="159">
        <f t="shared" si="201"/>
        <v>0</v>
      </c>
      <c r="Y639" s="160"/>
      <c r="Z639" s="160">
        <f t="shared" si="202"/>
        <v>0</v>
      </c>
      <c r="AA639" s="161"/>
      <c r="AB639" s="161">
        <f t="shared" si="203"/>
        <v>0</v>
      </c>
      <c r="AC639" s="162"/>
      <c r="AD639" s="162">
        <f t="shared" si="211"/>
        <v>0</v>
      </c>
      <c r="AE639" s="164"/>
      <c r="AF639" s="164">
        <f t="shared" si="212"/>
        <v>0</v>
      </c>
      <c r="AG639" s="165"/>
      <c r="AH639" s="165">
        <f t="shared" si="213"/>
        <v>0</v>
      </c>
      <c r="AI639" s="166">
        <v>0</v>
      </c>
      <c r="AJ639" s="166">
        <f t="shared" si="214"/>
        <v>0</v>
      </c>
      <c r="AK639" s="162"/>
      <c r="AL639" s="162">
        <f t="shared" si="209"/>
        <v>0</v>
      </c>
      <c r="AM639" s="167"/>
      <c r="AN639" s="167">
        <f t="shared" si="204"/>
        <v>0</v>
      </c>
      <c r="AO639" s="163"/>
      <c r="AP639" s="163">
        <f t="shared" si="205"/>
        <v>0</v>
      </c>
      <c r="AQ639" s="168"/>
      <c r="AR639" s="168">
        <f t="shared" si="206"/>
        <v>0</v>
      </c>
      <c r="AS639" s="170"/>
      <c r="AT639" s="170">
        <f t="shared" si="207"/>
        <v>0</v>
      </c>
      <c r="AU639" s="166"/>
      <c r="AV639" s="166">
        <f t="shared" si="208"/>
        <v>0</v>
      </c>
    </row>
    <row r="640" spans="1:48" s="131" customFormat="1" ht="47.25">
      <c r="A640" s="250">
        <v>2</v>
      </c>
      <c r="B640" s="244" t="s">
        <v>8505</v>
      </c>
      <c r="C640" s="244" t="s">
        <v>8506</v>
      </c>
      <c r="D640" s="250" t="s">
        <v>4774</v>
      </c>
      <c r="E640" s="241"/>
      <c r="F640" s="242" t="s">
        <v>8507</v>
      </c>
      <c r="G640" s="244" t="s">
        <v>8508</v>
      </c>
      <c r="H640" s="244" t="s">
        <v>211</v>
      </c>
      <c r="I640" s="244" t="s">
        <v>4775</v>
      </c>
      <c r="J640" s="244" t="s">
        <v>8509</v>
      </c>
      <c r="K640" s="244" t="s">
        <v>5104</v>
      </c>
      <c r="L640" s="241" t="s">
        <v>8510</v>
      </c>
      <c r="M640" s="244" t="s">
        <v>8505</v>
      </c>
      <c r="N640" s="241" t="s">
        <v>213</v>
      </c>
      <c r="O640" s="241" t="s">
        <v>11</v>
      </c>
      <c r="P640" s="245">
        <v>2340</v>
      </c>
      <c r="Q640" s="245">
        <v>850</v>
      </c>
      <c r="R640" s="246">
        <v>50000</v>
      </c>
      <c r="S640" s="245">
        <f t="shared" si="199"/>
        <v>42500000</v>
      </c>
      <c r="T640" s="589"/>
      <c r="U640" s="244"/>
      <c r="V640" s="247">
        <f>R640-W640</f>
        <v>44420</v>
      </c>
      <c r="W640" s="159">
        <f t="shared" si="200"/>
        <v>5580</v>
      </c>
      <c r="X640" s="159">
        <f t="shared" si="201"/>
        <v>4743000</v>
      </c>
      <c r="Y640" s="248"/>
      <c r="Z640" s="160">
        <f t="shared" si="202"/>
        <v>0</v>
      </c>
      <c r="AA640" s="248"/>
      <c r="AB640" s="161">
        <f t="shared" si="203"/>
        <v>0</v>
      </c>
      <c r="AC640" s="249"/>
      <c r="AD640" s="249"/>
      <c r="AE640" s="249"/>
      <c r="AF640" s="249"/>
      <c r="AG640" s="249"/>
      <c r="AH640" s="249"/>
      <c r="AI640" s="249"/>
      <c r="AJ640" s="249"/>
      <c r="AK640" s="249"/>
      <c r="AL640" s="162">
        <f t="shared" si="209"/>
        <v>0</v>
      </c>
      <c r="AM640" s="249">
        <v>5580</v>
      </c>
      <c r="AN640" s="167">
        <f t="shared" si="204"/>
        <v>4743000</v>
      </c>
      <c r="AO640" s="249"/>
      <c r="AP640" s="163">
        <f t="shared" si="205"/>
        <v>0</v>
      </c>
      <c r="AQ640" s="249"/>
      <c r="AR640" s="168">
        <f t="shared" si="206"/>
        <v>0</v>
      </c>
      <c r="AS640" s="249"/>
      <c r="AT640" s="170">
        <f t="shared" si="207"/>
        <v>0</v>
      </c>
      <c r="AU640" s="249"/>
      <c r="AV640" s="166">
        <f t="shared" si="208"/>
        <v>0</v>
      </c>
    </row>
    <row r="641" spans="1:48" s="131" customFormat="1" ht="63">
      <c r="A641" s="250">
        <v>50</v>
      </c>
      <c r="B641" s="244" t="s">
        <v>8505</v>
      </c>
      <c r="C641" s="244" t="s">
        <v>8506</v>
      </c>
      <c r="D641" s="250" t="s">
        <v>4770</v>
      </c>
      <c r="E641" s="241"/>
      <c r="F641" s="242" t="s">
        <v>8737</v>
      </c>
      <c r="G641" s="244" t="s">
        <v>4772</v>
      </c>
      <c r="H641" s="244" t="s">
        <v>211</v>
      </c>
      <c r="I641" s="244" t="s">
        <v>2320</v>
      </c>
      <c r="J641" s="244" t="s">
        <v>8616</v>
      </c>
      <c r="K641" s="244" t="s">
        <v>5104</v>
      </c>
      <c r="L641" s="241" t="s">
        <v>8738</v>
      </c>
      <c r="M641" s="244" t="s">
        <v>8505</v>
      </c>
      <c r="N641" s="241" t="s">
        <v>213</v>
      </c>
      <c r="O641" s="241" t="s">
        <v>11</v>
      </c>
      <c r="P641" s="245">
        <v>1800</v>
      </c>
      <c r="Q641" s="245">
        <v>714</v>
      </c>
      <c r="R641" s="246">
        <v>25000</v>
      </c>
      <c r="S641" s="245">
        <f t="shared" si="199"/>
        <v>17850000</v>
      </c>
      <c r="T641" s="589"/>
      <c r="U641" s="244"/>
      <c r="V641" s="247">
        <f>R641-W641</f>
        <v>20000</v>
      </c>
      <c r="W641" s="159">
        <f t="shared" si="200"/>
        <v>5000</v>
      </c>
      <c r="X641" s="159">
        <f t="shared" si="201"/>
        <v>3570000</v>
      </c>
      <c r="Y641" s="248"/>
      <c r="Z641" s="160">
        <f t="shared" si="202"/>
        <v>0</v>
      </c>
      <c r="AA641" s="248"/>
      <c r="AB641" s="161">
        <f t="shared" si="203"/>
        <v>0</v>
      </c>
      <c r="AC641" s="249"/>
      <c r="AD641" s="249"/>
      <c r="AE641" s="249"/>
      <c r="AF641" s="249"/>
      <c r="AG641" s="249"/>
      <c r="AH641" s="249"/>
      <c r="AI641" s="249"/>
      <c r="AJ641" s="249"/>
      <c r="AK641" s="249"/>
      <c r="AL641" s="162">
        <f t="shared" si="209"/>
        <v>0</v>
      </c>
      <c r="AM641" s="249">
        <v>5000</v>
      </c>
      <c r="AN641" s="167">
        <f t="shared" si="204"/>
        <v>3570000</v>
      </c>
      <c r="AO641" s="249"/>
      <c r="AP641" s="163">
        <f t="shared" si="205"/>
        <v>0</v>
      </c>
      <c r="AQ641" s="249"/>
      <c r="AR641" s="168">
        <f t="shared" si="206"/>
        <v>0</v>
      </c>
      <c r="AS641" s="249"/>
      <c r="AT641" s="170">
        <f t="shared" si="207"/>
        <v>0</v>
      </c>
      <c r="AU641" s="249"/>
      <c r="AV641" s="166">
        <f t="shared" si="208"/>
        <v>0</v>
      </c>
    </row>
    <row r="642" spans="1:48" s="131" customFormat="1" ht="31.5">
      <c r="A642" s="210" t="s">
        <v>5959</v>
      </c>
      <c r="B642" s="211" t="s">
        <v>5960</v>
      </c>
      <c r="C642" s="149" t="s">
        <v>5961</v>
      </c>
      <c r="D642" s="606" t="s">
        <v>5962</v>
      </c>
      <c r="E642" s="590" t="s">
        <v>12642</v>
      </c>
      <c r="F642" s="213" t="s">
        <v>1756</v>
      </c>
      <c r="G642" s="214" t="s">
        <v>232</v>
      </c>
      <c r="H642" s="204">
        <v>1</v>
      </c>
      <c r="I642" s="213" t="s">
        <v>5963</v>
      </c>
      <c r="J642" s="205" t="s">
        <v>5964</v>
      </c>
      <c r="K642" s="203" t="s">
        <v>5111</v>
      </c>
      <c r="L642" s="205" t="s">
        <v>5965</v>
      </c>
      <c r="M642" s="205" t="s">
        <v>5966</v>
      </c>
      <c r="N642" s="214" t="s">
        <v>5693</v>
      </c>
      <c r="O642" s="214" t="s">
        <v>11</v>
      </c>
      <c r="P642" s="206">
        <v>35000</v>
      </c>
      <c r="Q642" s="215">
        <v>29300</v>
      </c>
      <c r="R642" s="216">
        <v>1000</v>
      </c>
      <c r="S642" s="216">
        <f t="shared" si="199"/>
        <v>29300000</v>
      </c>
      <c r="T642" s="589"/>
      <c r="U642" s="217">
        <v>1000</v>
      </c>
      <c r="V642" s="218">
        <f>U642-W642</f>
        <v>1000</v>
      </c>
      <c r="W642" s="159">
        <f t="shared" si="200"/>
        <v>0</v>
      </c>
      <c r="X642" s="159">
        <f t="shared" si="201"/>
        <v>0</v>
      </c>
      <c r="Y642" s="219"/>
      <c r="Z642" s="160">
        <f t="shared" si="202"/>
        <v>0</v>
      </c>
      <c r="AA642" s="216"/>
      <c r="AB642" s="161">
        <f t="shared" si="203"/>
        <v>0</v>
      </c>
      <c r="AC642" s="219"/>
      <c r="AD642" s="219">
        <f>AC642*Q642</f>
        <v>0</v>
      </c>
      <c r="AE642" s="216"/>
      <c r="AF642" s="216">
        <f>AE642*Q642</f>
        <v>0</v>
      </c>
      <c r="AG642" s="216"/>
      <c r="AH642" s="216">
        <f>AG642*Q642</f>
        <v>0</v>
      </c>
      <c r="AI642" s="216">
        <v>0</v>
      </c>
      <c r="AJ642" s="216">
        <f>AI642*Q642</f>
        <v>0</v>
      </c>
      <c r="AK642" s="219"/>
      <c r="AL642" s="219">
        <f t="shared" si="209"/>
        <v>0</v>
      </c>
      <c r="AM642" s="216"/>
      <c r="AN642" s="167">
        <f t="shared" si="204"/>
        <v>0</v>
      </c>
      <c r="AO642" s="219"/>
      <c r="AP642" s="163">
        <f t="shared" si="205"/>
        <v>0</v>
      </c>
      <c r="AQ642" s="216"/>
      <c r="AR642" s="216">
        <f t="shared" si="206"/>
        <v>0</v>
      </c>
      <c r="AS642" s="216"/>
      <c r="AT642" s="170">
        <f t="shared" si="207"/>
        <v>0</v>
      </c>
      <c r="AU642" s="216"/>
      <c r="AV642" s="166">
        <f t="shared" si="208"/>
        <v>0</v>
      </c>
    </row>
    <row r="643" spans="1:48" s="131" customFormat="1" ht="31.5">
      <c r="A643" s="221" t="s">
        <v>5967</v>
      </c>
      <c r="B643" s="211" t="s">
        <v>5960</v>
      </c>
      <c r="C643" s="149" t="s">
        <v>5961</v>
      </c>
      <c r="D643" s="606" t="s">
        <v>3875</v>
      </c>
      <c r="E643" s="590"/>
      <c r="F643" s="213" t="s">
        <v>816</v>
      </c>
      <c r="G643" s="214" t="s">
        <v>299</v>
      </c>
      <c r="H643" s="204">
        <v>1</v>
      </c>
      <c r="I643" s="213" t="s">
        <v>5968</v>
      </c>
      <c r="J643" s="205" t="s">
        <v>5969</v>
      </c>
      <c r="K643" s="203" t="s">
        <v>5104</v>
      </c>
      <c r="L643" s="205" t="s">
        <v>5970</v>
      </c>
      <c r="M643" s="205" t="s">
        <v>5971</v>
      </c>
      <c r="N643" s="214" t="s">
        <v>5717</v>
      </c>
      <c r="O643" s="214" t="s">
        <v>11</v>
      </c>
      <c r="P643" s="206">
        <v>11000</v>
      </c>
      <c r="Q643" s="215">
        <v>9050</v>
      </c>
      <c r="R643" s="216">
        <v>30000</v>
      </c>
      <c r="S643" s="216">
        <f t="shared" si="199"/>
        <v>271500000</v>
      </c>
      <c r="T643" s="589"/>
      <c r="U643" s="217">
        <v>30000</v>
      </c>
      <c r="V643" s="218">
        <f>U643-W643</f>
        <v>30000</v>
      </c>
      <c r="W643" s="159">
        <f t="shared" si="200"/>
        <v>0</v>
      </c>
      <c r="X643" s="159">
        <f t="shared" si="201"/>
        <v>0</v>
      </c>
      <c r="Y643" s="219"/>
      <c r="Z643" s="160">
        <f t="shared" si="202"/>
        <v>0</v>
      </c>
      <c r="AA643" s="216"/>
      <c r="AB643" s="161">
        <f t="shared" si="203"/>
        <v>0</v>
      </c>
      <c r="AC643" s="219"/>
      <c r="AD643" s="219">
        <f>AC643*Q643</f>
        <v>0</v>
      </c>
      <c r="AE643" s="216"/>
      <c r="AF643" s="216">
        <f>AE643*Q643</f>
        <v>0</v>
      </c>
      <c r="AG643" s="216"/>
      <c r="AH643" s="216">
        <f>AG643*Q643</f>
        <v>0</v>
      </c>
      <c r="AI643" s="216">
        <v>0</v>
      </c>
      <c r="AJ643" s="216">
        <f>AI643*Q643</f>
        <v>0</v>
      </c>
      <c r="AK643" s="219"/>
      <c r="AL643" s="219">
        <f t="shared" si="209"/>
        <v>0</v>
      </c>
      <c r="AM643" s="216"/>
      <c r="AN643" s="167">
        <f t="shared" si="204"/>
        <v>0</v>
      </c>
      <c r="AO643" s="219"/>
      <c r="AP643" s="163">
        <f t="shared" si="205"/>
        <v>0</v>
      </c>
      <c r="AQ643" s="216"/>
      <c r="AR643" s="216">
        <f t="shared" si="206"/>
        <v>0</v>
      </c>
      <c r="AS643" s="216"/>
      <c r="AT643" s="170">
        <f t="shared" si="207"/>
        <v>0</v>
      </c>
      <c r="AU643" s="216"/>
      <c r="AV643" s="166">
        <f t="shared" si="208"/>
        <v>0</v>
      </c>
    </row>
    <row r="644" spans="1:48" s="131" customFormat="1">
      <c r="A644" s="221" t="s">
        <v>5972</v>
      </c>
      <c r="B644" s="211" t="s">
        <v>5960</v>
      </c>
      <c r="C644" s="149" t="s">
        <v>5961</v>
      </c>
      <c r="D644" s="606" t="s">
        <v>5973</v>
      </c>
      <c r="E644" s="590"/>
      <c r="F644" s="213" t="s">
        <v>4496</v>
      </c>
      <c r="G644" s="214" t="s">
        <v>258</v>
      </c>
      <c r="H644" s="204">
        <v>1</v>
      </c>
      <c r="I644" s="213" t="s">
        <v>5974</v>
      </c>
      <c r="J644" s="205" t="s">
        <v>5975</v>
      </c>
      <c r="K644" s="203" t="s">
        <v>5104</v>
      </c>
      <c r="L644" s="205" t="s">
        <v>5976</v>
      </c>
      <c r="M644" s="205" t="s">
        <v>5966</v>
      </c>
      <c r="N644" s="214" t="s">
        <v>5693</v>
      </c>
      <c r="O644" s="214" t="s">
        <v>11</v>
      </c>
      <c r="P644" s="206">
        <v>16800</v>
      </c>
      <c r="Q644" s="215">
        <v>16500</v>
      </c>
      <c r="R644" s="216">
        <v>5000</v>
      </c>
      <c r="S644" s="216">
        <f t="shared" si="199"/>
        <v>82500000</v>
      </c>
      <c r="T644" s="589"/>
      <c r="U644" s="217">
        <v>5000</v>
      </c>
      <c r="V644" s="218">
        <f>U644-W644</f>
        <v>5000</v>
      </c>
      <c r="W644" s="159">
        <f t="shared" si="200"/>
        <v>0</v>
      </c>
      <c r="X644" s="159">
        <f t="shared" si="201"/>
        <v>0</v>
      </c>
      <c r="Y644" s="219"/>
      <c r="Z644" s="160">
        <f t="shared" si="202"/>
        <v>0</v>
      </c>
      <c r="AA644" s="216"/>
      <c r="AB644" s="161">
        <f t="shared" si="203"/>
        <v>0</v>
      </c>
      <c r="AC644" s="219"/>
      <c r="AD644" s="219">
        <f>AC644*Q644</f>
        <v>0</v>
      </c>
      <c r="AE644" s="216"/>
      <c r="AF644" s="216">
        <f>AE644*Q644</f>
        <v>0</v>
      </c>
      <c r="AG644" s="216"/>
      <c r="AH644" s="216">
        <f>AG644*Q644</f>
        <v>0</v>
      </c>
      <c r="AI644" s="216">
        <v>0</v>
      </c>
      <c r="AJ644" s="216">
        <f>AI644*Q644</f>
        <v>0</v>
      </c>
      <c r="AK644" s="219"/>
      <c r="AL644" s="219">
        <f t="shared" si="209"/>
        <v>0</v>
      </c>
      <c r="AM644" s="216"/>
      <c r="AN644" s="167">
        <f t="shared" si="204"/>
        <v>0</v>
      </c>
      <c r="AO644" s="219"/>
      <c r="AP644" s="163">
        <f t="shared" si="205"/>
        <v>0</v>
      </c>
      <c r="AQ644" s="216"/>
      <c r="AR644" s="216">
        <f t="shared" si="206"/>
        <v>0</v>
      </c>
      <c r="AS644" s="216"/>
      <c r="AT644" s="170">
        <f t="shared" si="207"/>
        <v>0</v>
      </c>
      <c r="AU644" s="216"/>
      <c r="AV644" s="166">
        <f t="shared" si="208"/>
        <v>0</v>
      </c>
    </row>
    <row r="645" spans="1:48" s="131" customFormat="1" ht="63">
      <c r="A645" s="148">
        <v>40</v>
      </c>
      <c r="B645" s="150" t="s">
        <v>8689</v>
      </c>
      <c r="C645" s="150" t="s">
        <v>8690</v>
      </c>
      <c r="D645" s="250" t="s">
        <v>8691</v>
      </c>
      <c r="E645" s="241"/>
      <c r="F645" s="242" t="s">
        <v>8692</v>
      </c>
      <c r="G645" s="244" t="s">
        <v>8693</v>
      </c>
      <c r="H645" s="244" t="s">
        <v>211</v>
      </c>
      <c r="I645" s="244" t="s">
        <v>8694</v>
      </c>
      <c r="J645" s="244" t="s">
        <v>8695</v>
      </c>
      <c r="K645" s="244" t="s">
        <v>5104</v>
      </c>
      <c r="L645" s="241" t="s">
        <v>8696</v>
      </c>
      <c r="M645" s="244" t="s">
        <v>8697</v>
      </c>
      <c r="N645" s="241" t="s">
        <v>213</v>
      </c>
      <c r="O645" s="241" t="s">
        <v>658</v>
      </c>
      <c r="P645" s="245">
        <v>72000</v>
      </c>
      <c r="Q645" s="245">
        <v>68000</v>
      </c>
      <c r="R645" s="246">
        <v>1000</v>
      </c>
      <c r="S645" s="245">
        <f t="shared" ref="S645:S708" si="215">R645*Q645</f>
        <v>68000000</v>
      </c>
      <c r="T645" s="589"/>
      <c r="U645" s="244"/>
      <c r="V645" s="247">
        <f>R645-W645</f>
        <v>800</v>
      </c>
      <c r="W645" s="159">
        <f t="shared" ref="W645:W708" si="216">Y645+AA645+AC645+AE645+AG645+AI645+AK645+AM645+AO645+AQ645+AS645+AU645</f>
        <v>200</v>
      </c>
      <c r="X645" s="159">
        <f t="shared" ref="X645:X708" si="217">W645*Q645</f>
        <v>13600000</v>
      </c>
      <c r="Y645" s="248"/>
      <c r="Z645" s="160">
        <f t="shared" ref="Z645:Z708" si="218">Y645*Q645</f>
        <v>0</v>
      </c>
      <c r="AA645" s="248"/>
      <c r="AB645" s="161">
        <f t="shared" ref="AB645:AB708" si="219">AA645*Q645</f>
        <v>0</v>
      </c>
      <c r="AC645" s="249"/>
      <c r="AD645" s="249"/>
      <c r="AE645" s="249"/>
      <c r="AF645" s="249"/>
      <c r="AG645" s="249"/>
      <c r="AH645" s="249"/>
      <c r="AI645" s="249"/>
      <c r="AJ645" s="249"/>
      <c r="AK645" s="249"/>
      <c r="AL645" s="162">
        <f t="shared" si="209"/>
        <v>0</v>
      </c>
      <c r="AM645" s="249"/>
      <c r="AN645" s="167">
        <f t="shared" ref="AN645:AN708" si="220">AM645*Q645</f>
        <v>0</v>
      </c>
      <c r="AO645" s="249"/>
      <c r="AP645" s="163">
        <f t="shared" ref="AP645:AP708" si="221">AO645*Q645</f>
        <v>0</v>
      </c>
      <c r="AQ645" s="249">
        <v>200</v>
      </c>
      <c r="AR645" s="168">
        <f t="shared" ref="AR645:AR708" si="222">AQ645*Q645</f>
        <v>13600000</v>
      </c>
      <c r="AS645" s="249"/>
      <c r="AT645" s="170">
        <f t="shared" ref="AT645:AT708" si="223">AS645*Q645</f>
        <v>0</v>
      </c>
      <c r="AU645" s="249"/>
      <c r="AV645" s="166">
        <f t="shared" ref="AV645:AV708" si="224">AU645*Q645</f>
        <v>0</v>
      </c>
    </row>
    <row r="646" spans="1:48" s="131" customFormat="1" ht="31.5">
      <c r="A646" s="250">
        <v>59</v>
      </c>
      <c r="B646" s="150" t="s">
        <v>8689</v>
      </c>
      <c r="C646" s="150" t="s">
        <v>8690</v>
      </c>
      <c r="D646" s="250" t="s">
        <v>8771</v>
      </c>
      <c r="E646" s="241"/>
      <c r="F646" s="242" t="s">
        <v>8772</v>
      </c>
      <c r="G646" s="244" t="s">
        <v>2171</v>
      </c>
      <c r="H646" s="244" t="s">
        <v>211</v>
      </c>
      <c r="I646" s="244" t="s">
        <v>3090</v>
      </c>
      <c r="J646" s="244" t="s">
        <v>8773</v>
      </c>
      <c r="K646" s="244" t="s">
        <v>253</v>
      </c>
      <c r="L646" s="241" t="s">
        <v>2173</v>
      </c>
      <c r="M646" s="244" t="s">
        <v>8697</v>
      </c>
      <c r="N646" s="241" t="s">
        <v>213</v>
      </c>
      <c r="O646" s="241" t="s">
        <v>11</v>
      </c>
      <c r="P646" s="245">
        <v>502</v>
      </c>
      <c r="Q646" s="245">
        <v>200</v>
      </c>
      <c r="R646" s="246">
        <v>30000</v>
      </c>
      <c r="S646" s="245">
        <f t="shared" si="215"/>
        <v>6000000</v>
      </c>
      <c r="T646" s="589"/>
      <c r="U646" s="244"/>
      <c r="V646" s="247">
        <f>R646-W646</f>
        <v>30000</v>
      </c>
      <c r="W646" s="159">
        <f t="shared" si="216"/>
        <v>0</v>
      </c>
      <c r="X646" s="159">
        <f t="shared" si="217"/>
        <v>0</v>
      </c>
      <c r="Y646" s="248"/>
      <c r="Z646" s="160">
        <f t="shared" si="218"/>
        <v>0</v>
      </c>
      <c r="AA646" s="248"/>
      <c r="AB646" s="161">
        <f t="shared" si="219"/>
        <v>0</v>
      </c>
      <c r="AC646" s="249"/>
      <c r="AD646" s="249"/>
      <c r="AE646" s="249"/>
      <c r="AF646" s="249"/>
      <c r="AG646" s="249"/>
      <c r="AH646" s="249"/>
      <c r="AI646" s="249"/>
      <c r="AJ646" s="249"/>
      <c r="AK646" s="249"/>
      <c r="AL646" s="162">
        <f t="shared" si="209"/>
        <v>0</v>
      </c>
      <c r="AM646" s="249"/>
      <c r="AN646" s="167">
        <f t="shared" si="220"/>
        <v>0</v>
      </c>
      <c r="AO646" s="249"/>
      <c r="AP646" s="163">
        <f t="shared" si="221"/>
        <v>0</v>
      </c>
      <c r="AQ646" s="249"/>
      <c r="AR646" s="168">
        <f t="shared" si="222"/>
        <v>0</v>
      </c>
      <c r="AS646" s="249"/>
      <c r="AT646" s="170">
        <f t="shared" si="223"/>
        <v>0</v>
      </c>
      <c r="AU646" s="249"/>
      <c r="AV646" s="166">
        <f t="shared" si="224"/>
        <v>0</v>
      </c>
    </row>
    <row r="647" spans="1:48" s="131" customFormat="1" ht="47.25">
      <c r="A647" s="148" t="s">
        <v>8336</v>
      </c>
      <c r="B647" s="149" t="s">
        <v>8337</v>
      </c>
      <c r="C647" s="149" t="s">
        <v>8338</v>
      </c>
      <c r="D647" s="240" t="s">
        <v>8339</v>
      </c>
      <c r="E647" s="590" t="s">
        <v>12642</v>
      </c>
      <c r="F647" s="203" t="s">
        <v>1240</v>
      </c>
      <c r="G647" s="204" t="s">
        <v>1988</v>
      </c>
      <c r="H647" s="204">
        <v>4</v>
      </c>
      <c r="I647" s="203" t="s">
        <v>8340</v>
      </c>
      <c r="J647" s="205" t="s">
        <v>8341</v>
      </c>
      <c r="K647" s="203" t="s">
        <v>5104</v>
      </c>
      <c r="L647" s="205" t="s">
        <v>8342</v>
      </c>
      <c r="M647" s="205" t="s">
        <v>8343</v>
      </c>
      <c r="N647" s="204" t="s">
        <v>213</v>
      </c>
      <c r="O647" s="204" t="s">
        <v>11</v>
      </c>
      <c r="P647" s="206">
        <v>2520</v>
      </c>
      <c r="Q647" s="206">
        <v>2500</v>
      </c>
      <c r="R647" s="207">
        <v>120000</v>
      </c>
      <c r="S647" s="207">
        <f t="shared" si="215"/>
        <v>300000000</v>
      </c>
      <c r="T647" s="589"/>
      <c r="U647" s="157">
        <v>120000</v>
      </c>
      <c r="V647" s="158">
        <f t="shared" ref="V647:V672" si="225">U647-W647</f>
        <v>110010</v>
      </c>
      <c r="W647" s="159">
        <f t="shared" si="216"/>
        <v>9990</v>
      </c>
      <c r="X647" s="159">
        <f t="shared" si="217"/>
        <v>24975000</v>
      </c>
      <c r="Y647" s="160"/>
      <c r="Z647" s="160">
        <f t="shared" si="218"/>
        <v>0</v>
      </c>
      <c r="AA647" s="165"/>
      <c r="AB647" s="161">
        <f t="shared" si="219"/>
        <v>0</v>
      </c>
      <c r="AC647" s="162"/>
      <c r="AD647" s="162">
        <f t="shared" ref="AD647:AD672" si="226">AC647*Q647</f>
        <v>0</v>
      </c>
      <c r="AE647" s="164"/>
      <c r="AF647" s="164">
        <f t="shared" ref="AF647:AF672" si="227">AE647*Q647</f>
        <v>0</v>
      </c>
      <c r="AG647" s="165"/>
      <c r="AH647" s="165">
        <f t="shared" ref="AH647:AH672" si="228">AG647*Q647</f>
        <v>0</v>
      </c>
      <c r="AI647" s="166">
        <v>0</v>
      </c>
      <c r="AJ647" s="166">
        <f t="shared" ref="AJ647:AJ672" si="229">AI647*Q647</f>
        <v>0</v>
      </c>
      <c r="AK647" s="162"/>
      <c r="AL647" s="162">
        <f t="shared" ref="AL647:AL710" si="230">AK647*Q647</f>
        <v>0</v>
      </c>
      <c r="AM647" s="173"/>
      <c r="AN647" s="167">
        <f t="shared" si="220"/>
        <v>0</v>
      </c>
      <c r="AO647" s="163"/>
      <c r="AP647" s="163">
        <f t="shared" si="221"/>
        <v>0</v>
      </c>
      <c r="AQ647" s="168">
        <f>3120+6870</f>
        <v>9990</v>
      </c>
      <c r="AR647" s="168">
        <f t="shared" si="222"/>
        <v>24975000</v>
      </c>
      <c r="AS647" s="170"/>
      <c r="AT647" s="170">
        <f t="shared" si="223"/>
        <v>0</v>
      </c>
      <c r="AU647" s="166"/>
      <c r="AV647" s="166">
        <f t="shared" si="224"/>
        <v>0</v>
      </c>
    </row>
    <row r="648" spans="1:48" s="131" customFormat="1" ht="31.5">
      <c r="A648" s="148" t="s">
        <v>5685</v>
      </c>
      <c r="B648" s="150" t="s">
        <v>5686</v>
      </c>
      <c r="C648" s="150" t="s">
        <v>5687</v>
      </c>
      <c r="D648" s="603" t="s">
        <v>5688</v>
      </c>
      <c r="E648" s="588"/>
      <c r="F648" s="183" t="s">
        <v>1911</v>
      </c>
      <c r="G648" s="182" t="s">
        <v>291</v>
      </c>
      <c r="H648" s="182" t="s">
        <v>211</v>
      </c>
      <c r="I648" s="201" t="s">
        <v>5689</v>
      </c>
      <c r="J648" s="182" t="s">
        <v>5690</v>
      </c>
      <c r="K648" s="185" t="s">
        <v>253</v>
      </c>
      <c r="L648" s="185" t="s">
        <v>5691</v>
      </c>
      <c r="M648" s="185" t="s">
        <v>5692</v>
      </c>
      <c r="N648" s="185" t="s">
        <v>5693</v>
      </c>
      <c r="O648" s="185" t="s">
        <v>10</v>
      </c>
      <c r="P648" s="186"/>
      <c r="Q648" s="186">
        <v>2373</v>
      </c>
      <c r="R648" s="187">
        <v>30000</v>
      </c>
      <c r="S648" s="186">
        <f t="shared" si="215"/>
        <v>71190000</v>
      </c>
      <c r="T648" s="589"/>
      <c r="U648" s="157">
        <v>30000</v>
      </c>
      <c r="V648" s="158">
        <f t="shared" si="225"/>
        <v>30000</v>
      </c>
      <c r="W648" s="159">
        <f t="shared" si="216"/>
        <v>0</v>
      </c>
      <c r="X648" s="159">
        <f t="shared" si="217"/>
        <v>0</v>
      </c>
      <c r="Y648" s="160"/>
      <c r="Z648" s="160">
        <f t="shared" si="218"/>
        <v>0</v>
      </c>
      <c r="AA648" s="161"/>
      <c r="AB648" s="161">
        <f t="shared" si="219"/>
        <v>0</v>
      </c>
      <c r="AC648" s="162"/>
      <c r="AD648" s="162">
        <f t="shared" si="226"/>
        <v>0</v>
      </c>
      <c r="AE648" s="164"/>
      <c r="AF648" s="164">
        <f t="shared" si="227"/>
        <v>0</v>
      </c>
      <c r="AG648" s="165"/>
      <c r="AH648" s="165">
        <f t="shared" si="228"/>
        <v>0</v>
      </c>
      <c r="AI648" s="166">
        <v>0</v>
      </c>
      <c r="AJ648" s="166">
        <f t="shared" si="229"/>
        <v>0</v>
      </c>
      <c r="AK648" s="162"/>
      <c r="AL648" s="162">
        <f t="shared" si="230"/>
        <v>0</v>
      </c>
      <c r="AM648" s="167"/>
      <c r="AN648" s="167">
        <f t="shared" si="220"/>
        <v>0</v>
      </c>
      <c r="AO648" s="163"/>
      <c r="AP648" s="163">
        <f t="shared" si="221"/>
        <v>0</v>
      </c>
      <c r="AQ648" s="168"/>
      <c r="AR648" s="168">
        <f t="shared" si="222"/>
        <v>0</v>
      </c>
      <c r="AS648" s="170"/>
      <c r="AT648" s="170">
        <f t="shared" si="223"/>
        <v>0</v>
      </c>
      <c r="AU648" s="166"/>
      <c r="AV648" s="166">
        <f t="shared" si="224"/>
        <v>0</v>
      </c>
    </row>
    <row r="649" spans="1:48" s="131" customFormat="1" ht="31.5">
      <c r="A649" s="148" t="s">
        <v>7438</v>
      </c>
      <c r="B649" s="203" t="s">
        <v>1159</v>
      </c>
      <c r="C649" s="203" t="s">
        <v>7439</v>
      </c>
      <c r="D649" s="240" t="s">
        <v>7440</v>
      </c>
      <c r="E649" s="590" t="s">
        <v>12642</v>
      </c>
      <c r="F649" s="203" t="s">
        <v>1756</v>
      </c>
      <c r="G649" s="204" t="s">
        <v>232</v>
      </c>
      <c r="H649" s="204">
        <v>3</v>
      </c>
      <c r="I649" s="203" t="s">
        <v>7441</v>
      </c>
      <c r="J649" s="205" t="s">
        <v>7442</v>
      </c>
      <c r="K649" s="203" t="s">
        <v>5104</v>
      </c>
      <c r="L649" s="205" t="s">
        <v>7443</v>
      </c>
      <c r="M649" s="205" t="s">
        <v>7444</v>
      </c>
      <c r="N649" s="204" t="s">
        <v>6694</v>
      </c>
      <c r="O649" s="204" t="s">
        <v>11</v>
      </c>
      <c r="P649" s="206">
        <v>7000</v>
      </c>
      <c r="Q649" s="206">
        <v>1890</v>
      </c>
      <c r="R649" s="207">
        <v>10000</v>
      </c>
      <c r="S649" s="207">
        <f t="shared" si="215"/>
        <v>18900000</v>
      </c>
      <c r="T649" s="589"/>
      <c r="U649" s="157">
        <v>10000</v>
      </c>
      <c r="V649" s="158">
        <f t="shared" si="225"/>
        <v>10000</v>
      </c>
      <c r="W649" s="159">
        <f t="shared" si="216"/>
        <v>0</v>
      </c>
      <c r="X649" s="159">
        <f t="shared" si="217"/>
        <v>0</v>
      </c>
      <c r="Y649" s="160"/>
      <c r="Z649" s="160">
        <f t="shared" si="218"/>
        <v>0</v>
      </c>
      <c r="AA649" s="165"/>
      <c r="AB649" s="161">
        <f t="shared" si="219"/>
        <v>0</v>
      </c>
      <c r="AC649" s="162"/>
      <c r="AD649" s="162">
        <f t="shared" si="226"/>
        <v>0</v>
      </c>
      <c r="AE649" s="164"/>
      <c r="AF649" s="164">
        <f t="shared" si="227"/>
        <v>0</v>
      </c>
      <c r="AG649" s="165"/>
      <c r="AH649" s="165">
        <f t="shared" si="228"/>
        <v>0</v>
      </c>
      <c r="AI649" s="166">
        <v>0</v>
      </c>
      <c r="AJ649" s="166">
        <f t="shared" si="229"/>
        <v>0</v>
      </c>
      <c r="AK649" s="162"/>
      <c r="AL649" s="162">
        <f t="shared" si="230"/>
        <v>0</v>
      </c>
      <c r="AM649" s="173"/>
      <c r="AN649" s="167">
        <f t="shared" si="220"/>
        <v>0</v>
      </c>
      <c r="AO649" s="163"/>
      <c r="AP649" s="163">
        <f t="shared" si="221"/>
        <v>0</v>
      </c>
      <c r="AQ649" s="168"/>
      <c r="AR649" s="168">
        <f t="shared" si="222"/>
        <v>0</v>
      </c>
      <c r="AS649" s="170"/>
      <c r="AT649" s="170">
        <f t="shared" si="223"/>
        <v>0</v>
      </c>
      <c r="AU649" s="166"/>
      <c r="AV649" s="166">
        <f t="shared" si="224"/>
        <v>0</v>
      </c>
    </row>
    <row r="650" spans="1:48" s="131" customFormat="1" ht="31.5">
      <c r="A650" s="148" t="s">
        <v>5992</v>
      </c>
      <c r="B650" s="149" t="s">
        <v>5993</v>
      </c>
      <c r="C650" s="149" t="s">
        <v>5994</v>
      </c>
      <c r="D650" s="240" t="s">
        <v>5995</v>
      </c>
      <c r="E650" s="590" t="s">
        <v>12642</v>
      </c>
      <c r="F650" s="203" t="s">
        <v>1330</v>
      </c>
      <c r="G650" s="204" t="s">
        <v>258</v>
      </c>
      <c r="H650" s="204">
        <v>1</v>
      </c>
      <c r="I650" s="203" t="s">
        <v>5996</v>
      </c>
      <c r="J650" s="205" t="s">
        <v>5997</v>
      </c>
      <c r="K650" s="203" t="s">
        <v>5104</v>
      </c>
      <c r="L650" s="205" t="s">
        <v>5998</v>
      </c>
      <c r="M650" s="205" t="s">
        <v>5999</v>
      </c>
      <c r="N650" s="204" t="s">
        <v>5222</v>
      </c>
      <c r="O650" s="204" t="s">
        <v>11</v>
      </c>
      <c r="P650" s="206">
        <v>15012</v>
      </c>
      <c r="Q650" s="206">
        <v>12600</v>
      </c>
      <c r="R650" s="207">
        <v>2000</v>
      </c>
      <c r="S650" s="207">
        <f t="shared" si="215"/>
        <v>25200000</v>
      </c>
      <c r="T650" s="589"/>
      <c r="U650" s="157">
        <v>2000</v>
      </c>
      <c r="V650" s="158">
        <f t="shared" si="225"/>
        <v>2000</v>
      </c>
      <c r="W650" s="159">
        <f t="shared" si="216"/>
        <v>0</v>
      </c>
      <c r="X650" s="159">
        <f t="shared" si="217"/>
        <v>0</v>
      </c>
      <c r="Y650" s="160"/>
      <c r="Z650" s="160">
        <f t="shared" si="218"/>
        <v>0</v>
      </c>
      <c r="AA650" s="165"/>
      <c r="AB650" s="161">
        <f t="shared" si="219"/>
        <v>0</v>
      </c>
      <c r="AC650" s="162"/>
      <c r="AD650" s="162">
        <f t="shared" si="226"/>
        <v>0</v>
      </c>
      <c r="AE650" s="164"/>
      <c r="AF650" s="164">
        <f t="shared" si="227"/>
        <v>0</v>
      </c>
      <c r="AG650" s="165"/>
      <c r="AH650" s="165">
        <f t="shared" si="228"/>
        <v>0</v>
      </c>
      <c r="AI650" s="166">
        <v>0</v>
      </c>
      <c r="AJ650" s="166">
        <f t="shared" si="229"/>
        <v>0</v>
      </c>
      <c r="AK650" s="162"/>
      <c r="AL650" s="162">
        <f t="shared" si="230"/>
        <v>0</v>
      </c>
      <c r="AM650" s="173"/>
      <c r="AN650" s="167">
        <f t="shared" si="220"/>
        <v>0</v>
      </c>
      <c r="AO650" s="163"/>
      <c r="AP650" s="163">
        <f t="shared" si="221"/>
        <v>0</v>
      </c>
      <c r="AQ650" s="168"/>
      <c r="AR650" s="168">
        <f t="shared" si="222"/>
        <v>0</v>
      </c>
      <c r="AS650" s="170"/>
      <c r="AT650" s="170">
        <f t="shared" si="223"/>
        <v>0</v>
      </c>
      <c r="AU650" s="166"/>
      <c r="AV650" s="166">
        <f t="shared" si="224"/>
        <v>0</v>
      </c>
    </row>
    <row r="651" spans="1:48" s="131" customFormat="1" ht="31.5">
      <c r="A651" s="172" t="s">
        <v>6265</v>
      </c>
      <c r="B651" s="149" t="s">
        <v>5993</v>
      </c>
      <c r="C651" s="149" t="s">
        <v>5994</v>
      </c>
      <c r="D651" s="240" t="s">
        <v>6266</v>
      </c>
      <c r="E651" s="590"/>
      <c r="F651" s="203" t="s">
        <v>329</v>
      </c>
      <c r="G651" s="204" t="s">
        <v>794</v>
      </c>
      <c r="H651" s="204">
        <v>1</v>
      </c>
      <c r="I651" s="203" t="s">
        <v>6267</v>
      </c>
      <c r="J651" s="205" t="s">
        <v>6268</v>
      </c>
      <c r="K651" s="203" t="s">
        <v>253</v>
      </c>
      <c r="L651" s="205" t="s">
        <v>6269</v>
      </c>
      <c r="M651" s="205" t="s">
        <v>6003</v>
      </c>
      <c r="N651" s="204" t="s">
        <v>5222</v>
      </c>
      <c r="O651" s="204" t="s">
        <v>520</v>
      </c>
      <c r="P651" s="206">
        <v>25781</v>
      </c>
      <c r="Q651" s="206">
        <v>22900</v>
      </c>
      <c r="R651" s="207">
        <v>200</v>
      </c>
      <c r="S651" s="207">
        <f t="shared" si="215"/>
        <v>4580000</v>
      </c>
      <c r="T651" s="589" t="s">
        <v>520</v>
      </c>
      <c r="U651" s="157">
        <v>200</v>
      </c>
      <c r="V651" s="158">
        <f t="shared" si="225"/>
        <v>200</v>
      </c>
      <c r="W651" s="159">
        <f t="shared" si="216"/>
        <v>0</v>
      </c>
      <c r="X651" s="159">
        <f t="shared" si="217"/>
        <v>0</v>
      </c>
      <c r="Y651" s="160"/>
      <c r="Z651" s="160">
        <f t="shared" si="218"/>
        <v>0</v>
      </c>
      <c r="AA651" s="165"/>
      <c r="AB651" s="161">
        <f t="shared" si="219"/>
        <v>0</v>
      </c>
      <c r="AC651" s="162"/>
      <c r="AD651" s="162">
        <f t="shared" si="226"/>
        <v>0</v>
      </c>
      <c r="AE651" s="164"/>
      <c r="AF651" s="164">
        <f t="shared" si="227"/>
        <v>0</v>
      </c>
      <c r="AG651" s="165"/>
      <c r="AH651" s="165">
        <f t="shared" si="228"/>
        <v>0</v>
      </c>
      <c r="AI651" s="166">
        <v>0</v>
      </c>
      <c r="AJ651" s="166">
        <f t="shared" si="229"/>
        <v>0</v>
      </c>
      <c r="AK651" s="162"/>
      <c r="AL651" s="162">
        <f t="shared" si="230"/>
        <v>0</v>
      </c>
      <c r="AM651" s="173"/>
      <c r="AN651" s="167">
        <f t="shared" si="220"/>
        <v>0</v>
      </c>
      <c r="AO651" s="163"/>
      <c r="AP651" s="163">
        <f t="shared" si="221"/>
        <v>0</v>
      </c>
      <c r="AQ651" s="168"/>
      <c r="AR651" s="168">
        <f t="shared" si="222"/>
        <v>0</v>
      </c>
      <c r="AS651" s="170"/>
      <c r="AT651" s="170">
        <f t="shared" si="223"/>
        <v>0</v>
      </c>
      <c r="AU651" s="166"/>
      <c r="AV651" s="166">
        <f t="shared" si="224"/>
        <v>0</v>
      </c>
    </row>
    <row r="652" spans="1:48" s="131" customFormat="1">
      <c r="A652" s="148" t="s">
        <v>7632</v>
      </c>
      <c r="B652" s="149" t="s">
        <v>5993</v>
      </c>
      <c r="C652" s="149" t="s">
        <v>5994</v>
      </c>
      <c r="D652" s="240" t="s">
        <v>7633</v>
      </c>
      <c r="E652" s="590" t="s">
        <v>12642</v>
      </c>
      <c r="F652" s="203" t="s">
        <v>347</v>
      </c>
      <c r="G652" s="204" t="s">
        <v>238</v>
      </c>
      <c r="H652" s="204">
        <v>3</v>
      </c>
      <c r="I652" s="203" t="s">
        <v>858</v>
      </c>
      <c r="J652" s="205" t="s">
        <v>7634</v>
      </c>
      <c r="K652" s="203" t="s">
        <v>5104</v>
      </c>
      <c r="L652" s="205" t="s">
        <v>860</v>
      </c>
      <c r="M652" s="205" t="s">
        <v>7635</v>
      </c>
      <c r="N652" s="204" t="s">
        <v>213</v>
      </c>
      <c r="O652" s="204" t="s">
        <v>11</v>
      </c>
      <c r="P652" s="206">
        <v>800</v>
      </c>
      <c r="Q652" s="206">
        <v>355</v>
      </c>
      <c r="R652" s="207">
        <v>20000</v>
      </c>
      <c r="S652" s="207">
        <f t="shared" si="215"/>
        <v>7100000</v>
      </c>
      <c r="T652" s="589" t="s">
        <v>11</v>
      </c>
      <c r="U652" s="157">
        <v>20000</v>
      </c>
      <c r="V652" s="158">
        <f t="shared" si="225"/>
        <v>20000</v>
      </c>
      <c r="W652" s="159">
        <f t="shared" si="216"/>
        <v>0</v>
      </c>
      <c r="X652" s="159">
        <f t="shared" si="217"/>
        <v>0</v>
      </c>
      <c r="Y652" s="160"/>
      <c r="Z652" s="160">
        <f t="shared" si="218"/>
        <v>0</v>
      </c>
      <c r="AA652" s="165"/>
      <c r="AB652" s="161">
        <f t="shared" si="219"/>
        <v>0</v>
      </c>
      <c r="AC652" s="162"/>
      <c r="AD652" s="162">
        <f t="shared" si="226"/>
        <v>0</v>
      </c>
      <c r="AE652" s="164"/>
      <c r="AF652" s="164">
        <f t="shared" si="227"/>
        <v>0</v>
      </c>
      <c r="AG652" s="165"/>
      <c r="AH652" s="165">
        <f t="shared" si="228"/>
        <v>0</v>
      </c>
      <c r="AI652" s="166">
        <v>0</v>
      </c>
      <c r="AJ652" s="166">
        <f t="shared" si="229"/>
        <v>0</v>
      </c>
      <c r="AK652" s="162"/>
      <c r="AL652" s="162">
        <f t="shared" si="230"/>
        <v>0</v>
      </c>
      <c r="AM652" s="173"/>
      <c r="AN652" s="167">
        <f t="shared" si="220"/>
        <v>0</v>
      </c>
      <c r="AO652" s="163"/>
      <c r="AP652" s="163">
        <f t="shared" si="221"/>
        <v>0</v>
      </c>
      <c r="AQ652" s="168"/>
      <c r="AR652" s="168">
        <f t="shared" si="222"/>
        <v>0</v>
      </c>
      <c r="AS652" s="170"/>
      <c r="AT652" s="170">
        <f t="shared" si="223"/>
        <v>0</v>
      </c>
      <c r="AU652" s="166"/>
      <c r="AV652" s="166">
        <f t="shared" si="224"/>
        <v>0</v>
      </c>
    </row>
    <row r="653" spans="1:48" s="131" customFormat="1">
      <c r="A653" s="148" t="s">
        <v>8272</v>
      </c>
      <c r="B653" s="149" t="s">
        <v>5993</v>
      </c>
      <c r="C653" s="149" t="s">
        <v>5994</v>
      </c>
      <c r="D653" s="240" t="s">
        <v>8273</v>
      </c>
      <c r="E653" s="590" t="s">
        <v>12642</v>
      </c>
      <c r="F653" s="203" t="s">
        <v>347</v>
      </c>
      <c r="G653" s="204" t="s">
        <v>238</v>
      </c>
      <c r="H653" s="204">
        <v>4</v>
      </c>
      <c r="I653" s="203" t="s">
        <v>858</v>
      </c>
      <c r="J653" s="205" t="s">
        <v>7634</v>
      </c>
      <c r="K653" s="203" t="s">
        <v>5104</v>
      </c>
      <c r="L653" s="205" t="s">
        <v>860</v>
      </c>
      <c r="M653" s="205" t="s">
        <v>7635</v>
      </c>
      <c r="N653" s="204" t="s">
        <v>213</v>
      </c>
      <c r="O653" s="204" t="s">
        <v>11</v>
      </c>
      <c r="P653" s="206">
        <v>800</v>
      </c>
      <c r="Q653" s="206">
        <v>355</v>
      </c>
      <c r="R653" s="207">
        <v>60000</v>
      </c>
      <c r="S653" s="207">
        <f t="shared" si="215"/>
        <v>21300000</v>
      </c>
      <c r="T653" s="589" t="s">
        <v>11</v>
      </c>
      <c r="U653" s="157">
        <v>60000</v>
      </c>
      <c r="V653" s="158">
        <f t="shared" si="225"/>
        <v>60000</v>
      </c>
      <c r="W653" s="159">
        <f t="shared" si="216"/>
        <v>0</v>
      </c>
      <c r="X653" s="159">
        <f t="shared" si="217"/>
        <v>0</v>
      </c>
      <c r="Y653" s="160"/>
      <c r="Z653" s="160">
        <f t="shared" si="218"/>
        <v>0</v>
      </c>
      <c r="AA653" s="165"/>
      <c r="AB653" s="161">
        <f t="shared" si="219"/>
        <v>0</v>
      </c>
      <c r="AC653" s="162"/>
      <c r="AD653" s="162">
        <f t="shared" si="226"/>
        <v>0</v>
      </c>
      <c r="AE653" s="164"/>
      <c r="AF653" s="164">
        <f t="shared" si="227"/>
        <v>0</v>
      </c>
      <c r="AG653" s="165"/>
      <c r="AH653" s="165">
        <f t="shared" si="228"/>
        <v>0</v>
      </c>
      <c r="AI653" s="166">
        <v>0</v>
      </c>
      <c r="AJ653" s="166">
        <f t="shared" si="229"/>
        <v>0</v>
      </c>
      <c r="AK653" s="162"/>
      <c r="AL653" s="162">
        <f t="shared" si="230"/>
        <v>0</v>
      </c>
      <c r="AM653" s="173"/>
      <c r="AN653" s="167">
        <f t="shared" si="220"/>
        <v>0</v>
      </c>
      <c r="AO653" s="163"/>
      <c r="AP653" s="163">
        <f t="shared" si="221"/>
        <v>0</v>
      </c>
      <c r="AQ653" s="168"/>
      <c r="AR653" s="168">
        <f t="shared" si="222"/>
        <v>0</v>
      </c>
      <c r="AS653" s="170"/>
      <c r="AT653" s="170">
        <f t="shared" si="223"/>
        <v>0</v>
      </c>
      <c r="AU653" s="166"/>
      <c r="AV653" s="166">
        <f t="shared" si="224"/>
        <v>0</v>
      </c>
    </row>
    <row r="654" spans="1:48" s="131" customFormat="1" ht="31.5">
      <c r="A654" s="148" t="s">
        <v>8300</v>
      </c>
      <c r="B654" s="149" t="s">
        <v>5993</v>
      </c>
      <c r="C654" s="149" t="s">
        <v>5994</v>
      </c>
      <c r="D654" s="240" t="s">
        <v>8301</v>
      </c>
      <c r="E654" s="590"/>
      <c r="F654" s="203" t="s">
        <v>1800</v>
      </c>
      <c r="G654" s="204" t="s">
        <v>550</v>
      </c>
      <c r="H654" s="204">
        <v>4</v>
      </c>
      <c r="I654" s="203" t="s">
        <v>8302</v>
      </c>
      <c r="J654" s="205" t="s">
        <v>8303</v>
      </c>
      <c r="K654" s="203" t="s">
        <v>253</v>
      </c>
      <c r="L654" s="205" t="s">
        <v>8304</v>
      </c>
      <c r="M654" s="205" t="s">
        <v>8305</v>
      </c>
      <c r="N654" s="204" t="s">
        <v>213</v>
      </c>
      <c r="O654" s="204" t="s">
        <v>11</v>
      </c>
      <c r="P654" s="206">
        <v>8737</v>
      </c>
      <c r="Q654" s="206">
        <v>6500</v>
      </c>
      <c r="R654" s="207">
        <v>30000</v>
      </c>
      <c r="S654" s="207">
        <f t="shared" si="215"/>
        <v>195000000</v>
      </c>
      <c r="T654" s="589"/>
      <c r="U654" s="157">
        <v>30000</v>
      </c>
      <c r="V654" s="158">
        <f t="shared" si="225"/>
        <v>30000</v>
      </c>
      <c r="W654" s="159">
        <f t="shared" si="216"/>
        <v>0</v>
      </c>
      <c r="X654" s="159">
        <f t="shared" si="217"/>
        <v>0</v>
      </c>
      <c r="Y654" s="160"/>
      <c r="Z654" s="160">
        <f t="shared" si="218"/>
        <v>0</v>
      </c>
      <c r="AA654" s="165"/>
      <c r="AB654" s="161">
        <f t="shared" si="219"/>
        <v>0</v>
      </c>
      <c r="AC654" s="162"/>
      <c r="AD654" s="162">
        <f t="shared" si="226"/>
        <v>0</v>
      </c>
      <c r="AE654" s="164"/>
      <c r="AF654" s="164">
        <f t="shared" si="227"/>
        <v>0</v>
      </c>
      <c r="AG654" s="165"/>
      <c r="AH654" s="165">
        <f t="shared" si="228"/>
        <v>0</v>
      </c>
      <c r="AI654" s="166">
        <v>0</v>
      </c>
      <c r="AJ654" s="166">
        <f t="shared" si="229"/>
        <v>0</v>
      </c>
      <c r="AK654" s="162"/>
      <c r="AL654" s="162">
        <f t="shared" si="230"/>
        <v>0</v>
      </c>
      <c r="AM654" s="173"/>
      <c r="AN654" s="167">
        <f t="shared" si="220"/>
        <v>0</v>
      </c>
      <c r="AO654" s="163"/>
      <c r="AP654" s="163">
        <f t="shared" si="221"/>
        <v>0</v>
      </c>
      <c r="AQ654" s="168"/>
      <c r="AR654" s="168">
        <f t="shared" si="222"/>
        <v>0</v>
      </c>
      <c r="AS654" s="170"/>
      <c r="AT654" s="170">
        <f t="shared" si="223"/>
        <v>0</v>
      </c>
      <c r="AU654" s="166"/>
      <c r="AV654" s="166">
        <f t="shared" si="224"/>
        <v>0</v>
      </c>
    </row>
    <row r="655" spans="1:48" s="131" customFormat="1" ht="31.5">
      <c r="A655" s="148" t="s">
        <v>5210</v>
      </c>
      <c r="B655" s="149" t="s">
        <v>5211</v>
      </c>
      <c r="C655" s="149" t="s">
        <v>5212</v>
      </c>
      <c r="D655" s="634" t="s">
        <v>5213</v>
      </c>
      <c r="E655" s="631" t="s">
        <v>12642</v>
      </c>
      <c r="F655" s="175" t="s">
        <v>287</v>
      </c>
      <c r="G655" s="151" t="s">
        <v>267</v>
      </c>
      <c r="H655" s="174" t="s">
        <v>211</v>
      </c>
      <c r="I655" s="150" t="s">
        <v>5214</v>
      </c>
      <c r="J655" s="153" t="s">
        <v>5215</v>
      </c>
      <c r="K655" s="151" t="s">
        <v>253</v>
      </c>
      <c r="L655" s="151" t="s">
        <v>5216</v>
      </c>
      <c r="M655" s="151" t="s">
        <v>288</v>
      </c>
      <c r="N655" s="151" t="s">
        <v>5217</v>
      </c>
      <c r="O655" s="152" t="s">
        <v>10</v>
      </c>
      <c r="P655" s="154">
        <v>3200</v>
      </c>
      <c r="Q655" s="155">
        <v>2900</v>
      </c>
      <c r="R655" s="154">
        <v>75000</v>
      </c>
      <c r="S655" s="156">
        <f t="shared" si="215"/>
        <v>217500000</v>
      </c>
      <c r="T655" s="589"/>
      <c r="U655" s="157">
        <v>71500</v>
      </c>
      <c r="V655" s="158">
        <f t="shared" si="225"/>
        <v>71500</v>
      </c>
      <c r="W655" s="159">
        <f t="shared" si="216"/>
        <v>0</v>
      </c>
      <c r="X655" s="159">
        <f t="shared" si="217"/>
        <v>0</v>
      </c>
      <c r="Y655" s="160"/>
      <c r="Z655" s="160">
        <f t="shared" si="218"/>
        <v>0</v>
      </c>
      <c r="AA655" s="161"/>
      <c r="AB655" s="161">
        <f t="shared" si="219"/>
        <v>0</v>
      </c>
      <c r="AC655" s="162"/>
      <c r="AD655" s="162">
        <f t="shared" si="226"/>
        <v>0</v>
      </c>
      <c r="AE655" s="164"/>
      <c r="AF655" s="164">
        <f t="shared" si="227"/>
        <v>0</v>
      </c>
      <c r="AG655" s="165"/>
      <c r="AH655" s="165">
        <f t="shared" si="228"/>
        <v>0</v>
      </c>
      <c r="AI655" s="166">
        <v>0</v>
      </c>
      <c r="AJ655" s="166">
        <f t="shared" si="229"/>
        <v>0</v>
      </c>
      <c r="AK655" s="162"/>
      <c r="AL655" s="162">
        <f t="shared" si="230"/>
        <v>0</v>
      </c>
      <c r="AM655" s="167"/>
      <c r="AN655" s="167">
        <f t="shared" si="220"/>
        <v>0</v>
      </c>
      <c r="AO655" s="163"/>
      <c r="AP655" s="163">
        <f t="shared" si="221"/>
        <v>0</v>
      </c>
      <c r="AQ655" s="168"/>
      <c r="AR655" s="168">
        <f t="shared" si="222"/>
        <v>0</v>
      </c>
      <c r="AS655" s="170"/>
      <c r="AT655" s="170">
        <f t="shared" si="223"/>
        <v>0</v>
      </c>
      <c r="AU655" s="166"/>
      <c r="AV655" s="166">
        <f t="shared" si="224"/>
        <v>0</v>
      </c>
    </row>
    <row r="656" spans="1:48" s="131" customFormat="1" ht="31.5">
      <c r="A656" s="148" t="s">
        <v>6985</v>
      </c>
      <c r="B656" s="149" t="s">
        <v>6986</v>
      </c>
      <c r="C656" s="149" t="s">
        <v>6987</v>
      </c>
      <c r="D656" s="240" t="s">
        <v>6988</v>
      </c>
      <c r="E656" s="590" t="s">
        <v>12642</v>
      </c>
      <c r="F656" s="203" t="s">
        <v>560</v>
      </c>
      <c r="G656" s="204" t="s">
        <v>299</v>
      </c>
      <c r="H656" s="204">
        <v>3</v>
      </c>
      <c r="I656" s="203" t="s">
        <v>939</v>
      </c>
      <c r="J656" s="205" t="s">
        <v>6989</v>
      </c>
      <c r="K656" s="203" t="s">
        <v>5104</v>
      </c>
      <c r="L656" s="205" t="s">
        <v>6990</v>
      </c>
      <c r="M656" s="205" t="s">
        <v>806</v>
      </c>
      <c r="N656" s="204" t="s">
        <v>213</v>
      </c>
      <c r="O656" s="204" t="s">
        <v>12</v>
      </c>
      <c r="P656" s="206">
        <v>810</v>
      </c>
      <c r="Q656" s="206">
        <v>370</v>
      </c>
      <c r="R656" s="207">
        <v>50000</v>
      </c>
      <c r="S656" s="207">
        <f t="shared" si="215"/>
        <v>18500000</v>
      </c>
      <c r="T656" s="589"/>
      <c r="U656" s="157">
        <v>50000</v>
      </c>
      <c r="V656" s="158">
        <f t="shared" si="225"/>
        <v>50000</v>
      </c>
      <c r="W656" s="159">
        <f t="shared" si="216"/>
        <v>0</v>
      </c>
      <c r="X656" s="159">
        <f t="shared" si="217"/>
        <v>0</v>
      </c>
      <c r="Y656" s="160"/>
      <c r="Z656" s="160">
        <f t="shared" si="218"/>
        <v>0</v>
      </c>
      <c r="AA656" s="165"/>
      <c r="AB656" s="161">
        <f t="shared" si="219"/>
        <v>0</v>
      </c>
      <c r="AC656" s="162"/>
      <c r="AD656" s="162">
        <f t="shared" si="226"/>
        <v>0</v>
      </c>
      <c r="AE656" s="164"/>
      <c r="AF656" s="164">
        <f t="shared" si="227"/>
        <v>0</v>
      </c>
      <c r="AG656" s="165"/>
      <c r="AH656" s="165">
        <f t="shared" si="228"/>
        <v>0</v>
      </c>
      <c r="AI656" s="166">
        <v>0</v>
      </c>
      <c r="AJ656" s="166">
        <f t="shared" si="229"/>
        <v>0</v>
      </c>
      <c r="AK656" s="162"/>
      <c r="AL656" s="162">
        <f t="shared" si="230"/>
        <v>0</v>
      </c>
      <c r="AM656" s="173"/>
      <c r="AN656" s="167">
        <f t="shared" si="220"/>
        <v>0</v>
      </c>
      <c r="AO656" s="163"/>
      <c r="AP656" s="163">
        <f t="shared" si="221"/>
        <v>0</v>
      </c>
      <c r="AQ656" s="168"/>
      <c r="AR656" s="168">
        <f t="shared" si="222"/>
        <v>0</v>
      </c>
      <c r="AS656" s="170"/>
      <c r="AT656" s="170">
        <f t="shared" si="223"/>
        <v>0</v>
      </c>
      <c r="AU656" s="166"/>
      <c r="AV656" s="166">
        <f t="shared" si="224"/>
        <v>0</v>
      </c>
    </row>
    <row r="657" spans="1:48" s="131" customFormat="1" ht="31.5">
      <c r="A657" s="172" t="s">
        <v>7311</v>
      </c>
      <c r="B657" s="149" t="s">
        <v>6986</v>
      </c>
      <c r="C657" s="149" t="s">
        <v>6987</v>
      </c>
      <c r="D657" s="240" t="s">
        <v>7312</v>
      </c>
      <c r="E657" s="590"/>
      <c r="F657" s="203" t="s">
        <v>813</v>
      </c>
      <c r="G657" s="204" t="s">
        <v>258</v>
      </c>
      <c r="H657" s="204">
        <v>3</v>
      </c>
      <c r="I657" s="203" t="s">
        <v>7313</v>
      </c>
      <c r="J657" s="205" t="s">
        <v>7314</v>
      </c>
      <c r="K657" s="203" t="s">
        <v>5104</v>
      </c>
      <c r="L657" s="205" t="s">
        <v>7315</v>
      </c>
      <c r="M657" s="205" t="s">
        <v>806</v>
      </c>
      <c r="N657" s="204" t="s">
        <v>213</v>
      </c>
      <c r="O657" s="204" t="s">
        <v>11</v>
      </c>
      <c r="P657" s="206">
        <v>3000</v>
      </c>
      <c r="Q657" s="206">
        <v>979</v>
      </c>
      <c r="R657" s="207">
        <v>10000</v>
      </c>
      <c r="S657" s="207">
        <f t="shared" si="215"/>
        <v>9790000</v>
      </c>
      <c r="T657" s="589"/>
      <c r="U657" s="157">
        <v>10000</v>
      </c>
      <c r="V657" s="158">
        <f t="shared" si="225"/>
        <v>10000</v>
      </c>
      <c r="W657" s="159">
        <f t="shared" si="216"/>
        <v>0</v>
      </c>
      <c r="X657" s="159">
        <f t="shared" si="217"/>
        <v>0</v>
      </c>
      <c r="Y657" s="160"/>
      <c r="Z657" s="160">
        <f t="shared" si="218"/>
        <v>0</v>
      </c>
      <c r="AA657" s="165"/>
      <c r="AB657" s="161">
        <f t="shared" si="219"/>
        <v>0</v>
      </c>
      <c r="AC657" s="162"/>
      <c r="AD657" s="162">
        <f t="shared" si="226"/>
        <v>0</v>
      </c>
      <c r="AE657" s="164"/>
      <c r="AF657" s="164">
        <f t="shared" si="227"/>
        <v>0</v>
      </c>
      <c r="AG657" s="165"/>
      <c r="AH657" s="165">
        <f t="shared" si="228"/>
        <v>0</v>
      </c>
      <c r="AI657" s="166">
        <v>0</v>
      </c>
      <c r="AJ657" s="166">
        <f t="shared" si="229"/>
        <v>0</v>
      </c>
      <c r="AK657" s="162"/>
      <c r="AL657" s="162">
        <f t="shared" si="230"/>
        <v>0</v>
      </c>
      <c r="AM657" s="173"/>
      <c r="AN657" s="167">
        <f t="shared" si="220"/>
        <v>0</v>
      </c>
      <c r="AO657" s="163"/>
      <c r="AP657" s="163">
        <f t="shared" si="221"/>
        <v>0</v>
      </c>
      <c r="AQ657" s="168"/>
      <c r="AR657" s="168">
        <f t="shared" si="222"/>
        <v>0</v>
      </c>
      <c r="AS657" s="170"/>
      <c r="AT657" s="170">
        <f t="shared" si="223"/>
        <v>0</v>
      </c>
      <c r="AU657" s="166"/>
      <c r="AV657" s="166">
        <f t="shared" si="224"/>
        <v>0</v>
      </c>
    </row>
    <row r="658" spans="1:48" s="131" customFormat="1" ht="31.5">
      <c r="A658" s="148" t="s">
        <v>7435</v>
      </c>
      <c r="B658" s="149" t="s">
        <v>6986</v>
      </c>
      <c r="C658" s="149" t="s">
        <v>6987</v>
      </c>
      <c r="D658" s="240" t="s">
        <v>7436</v>
      </c>
      <c r="E658" s="590"/>
      <c r="F658" s="203" t="s">
        <v>816</v>
      </c>
      <c r="G658" s="204" t="s">
        <v>258</v>
      </c>
      <c r="H658" s="204">
        <v>3</v>
      </c>
      <c r="I658" s="203" t="s">
        <v>817</v>
      </c>
      <c r="J658" s="205" t="s">
        <v>7437</v>
      </c>
      <c r="K658" s="203" t="s">
        <v>5104</v>
      </c>
      <c r="L658" s="205" t="s">
        <v>818</v>
      </c>
      <c r="M658" s="205" t="s">
        <v>806</v>
      </c>
      <c r="N658" s="204" t="s">
        <v>213</v>
      </c>
      <c r="O658" s="204" t="s">
        <v>11</v>
      </c>
      <c r="P658" s="206">
        <v>1100</v>
      </c>
      <c r="Q658" s="206">
        <v>259</v>
      </c>
      <c r="R658" s="207">
        <v>20000</v>
      </c>
      <c r="S658" s="207">
        <f t="shared" si="215"/>
        <v>5180000</v>
      </c>
      <c r="T658" s="589"/>
      <c r="U658" s="157">
        <v>20000</v>
      </c>
      <c r="V658" s="158">
        <f t="shared" si="225"/>
        <v>20000</v>
      </c>
      <c r="W658" s="159">
        <f t="shared" si="216"/>
        <v>0</v>
      </c>
      <c r="X658" s="159">
        <f t="shared" si="217"/>
        <v>0</v>
      </c>
      <c r="Y658" s="160"/>
      <c r="Z658" s="160">
        <f t="shared" si="218"/>
        <v>0</v>
      </c>
      <c r="AA658" s="165"/>
      <c r="AB658" s="161">
        <f t="shared" si="219"/>
        <v>0</v>
      </c>
      <c r="AC658" s="162"/>
      <c r="AD658" s="162">
        <f t="shared" si="226"/>
        <v>0</v>
      </c>
      <c r="AE658" s="164"/>
      <c r="AF658" s="164">
        <f t="shared" si="227"/>
        <v>0</v>
      </c>
      <c r="AG658" s="165"/>
      <c r="AH658" s="165">
        <f t="shared" si="228"/>
        <v>0</v>
      </c>
      <c r="AI658" s="166">
        <v>0</v>
      </c>
      <c r="AJ658" s="166">
        <f t="shared" si="229"/>
        <v>0</v>
      </c>
      <c r="AK658" s="162"/>
      <c r="AL658" s="162">
        <f t="shared" si="230"/>
        <v>0</v>
      </c>
      <c r="AM658" s="173"/>
      <c r="AN658" s="167">
        <f t="shared" si="220"/>
        <v>0</v>
      </c>
      <c r="AO658" s="163"/>
      <c r="AP658" s="163">
        <f t="shared" si="221"/>
        <v>0</v>
      </c>
      <c r="AQ658" s="168"/>
      <c r="AR658" s="168">
        <f t="shared" si="222"/>
        <v>0</v>
      </c>
      <c r="AS658" s="170"/>
      <c r="AT658" s="170">
        <f t="shared" si="223"/>
        <v>0</v>
      </c>
      <c r="AU658" s="166"/>
      <c r="AV658" s="166">
        <f t="shared" si="224"/>
        <v>0</v>
      </c>
    </row>
    <row r="659" spans="1:48" s="131" customFormat="1" ht="31.5">
      <c r="A659" s="172" t="s">
        <v>7445</v>
      </c>
      <c r="B659" s="149" t="s">
        <v>6986</v>
      </c>
      <c r="C659" s="149" t="s">
        <v>6987</v>
      </c>
      <c r="D659" s="240" t="s">
        <v>4434</v>
      </c>
      <c r="E659" s="590"/>
      <c r="F659" s="203" t="s">
        <v>816</v>
      </c>
      <c r="G659" s="204" t="s">
        <v>299</v>
      </c>
      <c r="H659" s="204">
        <v>3</v>
      </c>
      <c r="I659" s="203" t="s">
        <v>819</v>
      </c>
      <c r="J659" s="205" t="s">
        <v>7437</v>
      </c>
      <c r="K659" s="203" t="s">
        <v>5104</v>
      </c>
      <c r="L659" s="205" t="s">
        <v>820</v>
      </c>
      <c r="M659" s="205" t="s">
        <v>806</v>
      </c>
      <c r="N659" s="204" t="s">
        <v>213</v>
      </c>
      <c r="O659" s="204" t="s">
        <v>11</v>
      </c>
      <c r="P659" s="206">
        <v>1800</v>
      </c>
      <c r="Q659" s="206">
        <v>380</v>
      </c>
      <c r="R659" s="207">
        <v>40000</v>
      </c>
      <c r="S659" s="207">
        <f t="shared" si="215"/>
        <v>15200000</v>
      </c>
      <c r="T659" s="589"/>
      <c r="U659" s="157">
        <v>40000</v>
      </c>
      <c r="V659" s="158">
        <f t="shared" si="225"/>
        <v>40000</v>
      </c>
      <c r="W659" s="159">
        <f t="shared" si="216"/>
        <v>0</v>
      </c>
      <c r="X659" s="159">
        <f t="shared" si="217"/>
        <v>0</v>
      </c>
      <c r="Y659" s="160"/>
      <c r="Z659" s="160">
        <f t="shared" si="218"/>
        <v>0</v>
      </c>
      <c r="AA659" s="165"/>
      <c r="AB659" s="161">
        <f t="shared" si="219"/>
        <v>0</v>
      </c>
      <c r="AC659" s="162"/>
      <c r="AD659" s="162">
        <f t="shared" si="226"/>
        <v>0</v>
      </c>
      <c r="AE659" s="164"/>
      <c r="AF659" s="164">
        <f t="shared" si="227"/>
        <v>0</v>
      </c>
      <c r="AG659" s="165"/>
      <c r="AH659" s="165">
        <f t="shared" si="228"/>
        <v>0</v>
      </c>
      <c r="AI659" s="166">
        <v>0</v>
      </c>
      <c r="AJ659" s="166">
        <f t="shared" si="229"/>
        <v>0</v>
      </c>
      <c r="AK659" s="162"/>
      <c r="AL659" s="162">
        <f t="shared" si="230"/>
        <v>0</v>
      </c>
      <c r="AM659" s="173"/>
      <c r="AN659" s="167">
        <f t="shared" si="220"/>
        <v>0</v>
      </c>
      <c r="AO659" s="163"/>
      <c r="AP659" s="163">
        <f t="shared" si="221"/>
        <v>0</v>
      </c>
      <c r="AQ659" s="168"/>
      <c r="AR659" s="168">
        <f t="shared" si="222"/>
        <v>0</v>
      </c>
      <c r="AS659" s="170"/>
      <c r="AT659" s="170">
        <f t="shared" si="223"/>
        <v>0</v>
      </c>
      <c r="AU659" s="166"/>
      <c r="AV659" s="166">
        <f t="shared" si="224"/>
        <v>0</v>
      </c>
    </row>
    <row r="660" spans="1:48" s="131" customFormat="1" ht="31.5">
      <c r="A660" s="148" t="s">
        <v>7704</v>
      </c>
      <c r="B660" s="149" t="s">
        <v>6986</v>
      </c>
      <c r="C660" s="149" t="s">
        <v>6987</v>
      </c>
      <c r="D660" s="240" t="s">
        <v>7705</v>
      </c>
      <c r="E660" s="590" t="s">
        <v>12642</v>
      </c>
      <c r="F660" s="203" t="s">
        <v>836</v>
      </c>
      <c r="G660" s="204" t="s">
        <v>838</v>
      </c>
      <c r="H660" s="204">
        <v>3</v>
      </c>
      <c r="I660" s="203" t="s">
        <v>7706</v>
      </c>
      <c r="J660" s="205" t="s">
        <v>7707</v>
      </c>
      <c r="K660" s="203" t="s">
        <v>5104</v>
      </c>
      <c r="L660" s="205" t="s">
        <v>7708</v>
      </c>
      <c r="M660" s="205" t="s">
        <v>806</v>
      </c>
      <c r="N660" s="204" t="s">
        <v>213</v>
      </c>
      <c r="O660" s="204" t="s">
        <v>11</v>
      </c>
      <c r="P660" s="206">
        <v>3500</v>
      </c>
      <c r="Q660" s="206">
        <v>1015</v>
      </c>
      <c r="R660" s="207">
        <v>50000</v>
      </c>
      <c r="S660" s="207">
        <f t="shared" si="215"/>
        <v>50750000</v>
      </c>
      <c r="T660" s="589"/>
      <c r="U660" s="157">
        <v>50000</v>
      </c>
      <c r="V660" s="158">
        <f t="shared" si="225"/>
        <v>50000</v>
      </c>
      <c r="W660" s="159">
        <f t="shared" si="216"/>
        <v>0</v>
      </c>
      <c r="X660" s="159">
        <f t="shared" si="217"/>
        <v>0</v>
      </c>
      <c r="Y660" s="160"/>
      <c r="Z660" s="160">
        <f t="shared" si="218"/>
        <v>0</v>
      </c>
      <c r="AA660" s="165"/>
      <c r="AB660" s="161">
        <f t="shared" si="219"/>
        <v>0</v>
      </c>
      <c r="AC660" s="162"/>
      <c r="AD660" s="162">
        <f t="shared" si="226"/>
        <v>0</v>
      </c>
      <c r="AE660" s="164"/>
      <c r="AF660" s="164">
        <f t="shared" si="227"/>
        <v>0</v>
      </c>
      <c r="AG660" s="165"/>
      <c r="AH660" s="165">
        <f t="shared" si="228"/>
        <v>0</v>
      </c>
      <c r="AI660" s="166">
        <v>0</v>
      </c>
      <c r="AJ660" s="166">
        <f t="shared" si="229"/>
        <v>0</v>
      </c>
      <c r="AK660" s="162"/>
      <c r="AL660" s="162">
        <f t="shared" si="230"/>
        <v>0</v>
      </c>
      <c r="AM660" s="173"/>
      <c r="AN660" s="167">
        <f t="shared" si="220"/>
        <v>0</v>
      </c>
      <c r="AO660" s="163"/>
      <c r="AP660" s="163">
        <f t="shared" si="221"/>
        <v>0</v>
      </c>
      <c r="AQ660" s="168"/>
      <c r="AR660" s="168">
        <f t="shared" si="222"/>
        <v>0</v>
      </c>
      <c r="AS660" s="170"/>
      <c r="AT660" s="170">
        <f t="shared" si="223"/>
        <v>0</v>
      </c>
      <c r="AU660" s="166"/>
      <c r="AV660" s="166">
        <f t="shared" si="224"/>
        <v>0</v>
      </c>
    </row>
    <row r="661" spans="1:48" s="131" customFormat="1" ht="31.5">
      <c r="A661" s="148" t="s">
        <v>8155</v>
      </c>
      <c r="B661" s="149" t="s">
        <v>6986</v>
      </c>
      <c r="C661" s="149" t="s">
        <v>6987</v>
      </c>
      <c r="D661" s="240" t="s">
        <v>3912</v>
      </c>
      <c r="E661" s="590" t="s">
        <v>12642</v>
      </c>
      <c r="F661" s="203" t="s">
        <v>557</v>
      </c>
      <c r="G661" s="204" t="s">
        <v>272</v>
      </c>
      <c r="H661" s="204">
        <v>3</v>
      </c>
      <c r="I661" s="203" t="s">
        <v>824</v>
      </c>
      <c r="J661" s="205" t="s">
        <v>8156</v>
      </c>
      <c r="K661" s="203" t="s">
        <v>5104</v>
      </c>
      <c r="L661" s="205" t="s">
        <v>8157</v>
      </c>
      <c r="M661" s="205" t="s">
        <v>806</v>
      </c>
      <c r="N661" s="204" t="s">
        <v>213</v>
      </c>
      <c r="O661" s="204" t="s">
        <v>11</v>
      </c>
      <c r="P661" s="206">
        <v>500</v>
      </c>
      <c r="Q661" s="206">
        <v>119</v>
      </c>
      <c r="R661" s="207">
        <v>200000</v>
      </c>
      <c r="S661" s="207">
        <f t="shared" si="215"/>
        <v>23800000</v>
      </c>
      <c r="T661" s="589"/>
      <c r="U661" s="157">
        <v>200000</v>
      </c>
      <c r="V661" s="158">
        <f t="shared" si="225"/>
        <v>200000</v>
      </c>
      <c r="W661" s="159">
        <f t="shared" si="216"/>
        <v>0</v>
      </c>
      <c r="X661" s="159">
        <f t="shared" si="217"/>
        <v>0</v>
      </c>
      <c r="Y661" s="160"/>
      <c r="Z661" s="160">
        <f t="shared" si="218"/>
        <v>0</v>
      </c>
      <c r="AA661" s="165"/>
      <c r="AB661" s="161">
        <f t="shared" si="219"/>
        <v>0</v>
      </c>
      <c r="AC661" s="162"/>
      <c r="AD661" s="162">
        <f t="shared" si="226"/>
        <v>0</v>
      </c>
      <c r="AE661" s="164"/>
      <c r="AF661" s="164">
        <f t="shared" si="227"/>
        <v>0</v>
      </c>
      <c r="AG661" s="165"/>
      <c r="AH661" s="165">
        <f t="shared" si="228"/>
        <v>0</v>
      </c>
      <c r="AI661" s="166">
        <v>0</v>
      </c>
      <c r="AJ661" s="166">
        <f t="shared" si="229"/>
        <v>0</v>
      </c>
      <c r="AK661" s="162"/>
      <c r="AL661" s="162">
        <f t="shared" si="230"/>
        <v>0</v>
      </c>
      <c r="AM661" s="173"/>
      <c r="AN661" s="167">
        <f t="shared" si="220"/>
        <v>0</v>
      </c>
      <c r="AO661" s="163"/>
      <c r="AP661" s="163">
        <f t="shared" si="221"/>
        <v>0</v>
      </c>
      <c r="AQ661" s="168"/>
      <c r="AR661" s="168">
        <f t="shared" si="222"/>
        <v>0</v>
      </c>
      <c r="AS661" s="170"/>
      <c r="AT661" s="170">
        <f t="shared" si="223"/>
        <v>0</v>
      </c>
      <c r="AU661" s="166"/>
      <c r="AV661" s="166">
        <f t="shared" si="224"/>
        <v>0</v>
      </c>
    </row>
    <row r="662" spans="1:48" s="131" customFormat="1" ht="31.5">
      <c r="A662" s="148" t="s">
        <v>8158</v>
      </c>
      <c r="B662" s="149" t="s">
        <v>6986</v>
      </c>
      <c r="C662" s="149" t="s">
        <v>6987</v>
      </c>
      <c r="D662" s="240" t="s">
        <v>8159</v>
      </c>
      <c r="E662" s="590" t="s">
        <v>12642</v>
      </c>
      <c r="F662" s="203" t="s">
        <v>557</v>
      </c>
      <c r="G662" s="204" t="s">
        <v>225</v>
      </c>
      <c r="H662" s="204">
        <v>3</v>
      </c>
      <c r="I662" s="203" t="s">
        <v>8160</v>
      </c>
      <c r="J662" s="205" t="s">
        <v>8161</v>
      </c>
      <c r="K662" s="203" t="s">
        <v>5104</v>
      </c>
      <c r="L662" s="205" t="s">
        <v>8162</v>
      </c>
      <c r="M662" s="205" t="s">
        <v>806</v>
      </c>
      <c r="N662" s="204" t="s">
        <v>213</v>
      </c>
      <c r="O662" s="204" t="s">
        <v>11</v>
      </c>
      <c r="P662" s="206">
        <v>1000</v>
      </c>
      <c r="Q662" s="206">
        <v>231</v>
      </c>
      <c r="R662" s="207">
        <v>150000</v>
      </c>
      <c r="S662" s="207">
        <f t="shared" si="215"/>
        <v>34650000</v>
      </c>
      <c r="T662" s="589"/>
      <c r="U662" s="157">
        <v>150000</v>
      </c>
      <c r="V662" s="158">
        <f t="shared" si="225"/>
        <v>150000</v>
      </c>
      <c r="W662" s="159">
        <f t="shared" si="216"/>
        <v>0</v>
      </c>
      <c r="X662" s="159">
        <f t="shared" si="217"/>
        <v>0</v>
      </c>
      <c r="Y662" s="160"/>
      <c r="Z662" s="160">
        <f t="shared" si="218"/>
        <v>0</v>
      </c>
      <c r="AA662" s="165"/>
      <c r="AB662" s="161">
        <f t="shared" si="219"/>
        <v>0</v>
      </c>
      <c r="AC662" s="162"/>
      <c r="AD662" s="162">
        <f t="shared" si="226"/>
        <v>0</v>
      </c>
      <c r="AE662" s="164"/>
      <c r="AF662" s="164">
        <f t="shared" si="227"/>
        <v>0</v>
      </c>
      <c r="AG662" s="165"/>
      <c r="AH662" s="165">
        <f t="shared" si="228"/>
        <v>0</v>
      </c>
      <c r="AI662" s="166">
        <v>0</v>
      </c>
      <c r="AJ662" s="166">
        <f t="shared" si="229"/>
        <v>0</v>
      </c>
      <c r="AK662" s="162"/>
      <c r="AL662" s="162">
        <f t="shared" si="230"/>
        <v>0</v>
      </c>
      <c r="AM662" s="173"/>
      <c r="AN662" s="167">
        <f t="shared" si="220"/>
        <v>0</v>
      </c>
      <c r="AO662" s="163"/>
      <c r="AP662" s="163">
        <f t="shared" si="221"/>
        <v>0</v>
      </c>
      <c r="AQ662" s="168"/>
      <c r="AR662" s="168">
        <f t="shared" si="222"/>
        <v>0</v>
      </c>
      <c r="AS662" s="170"/>
      <c r="AT662" s="170">
        <f t="shared" si="223"/>
        <v>0</v>
      </c>
      <c r="AU662" s="166"/>
      <c r="AV662" s="166">
        <f t="shared" si="224"/>
        <v>0</v>
      </c>
    </row>
    <row r="663" spans="1:48" s="131" customFormat="1" ht="31.5">
      <c r="A663" s="148" t="s">
        <v>8448</v>
      </c>
      <c r="B663" s="149" t="s">
        <v>6986</v>
      </c>
      <c r="C663" s="149" t="s">
        <v>6987</v>
      </c>
      <c r="D663" s="240" t="s">
        <v>8449</v>
      </c>
      <c r="E663" s="590" t="s">
        <v>12642</v>
      </c>
      <c r="F663" s="203" t="s">
        <v>645</v>
      </c>
      <c r="G663" s="204" t="s">
        <v>248</v>
      </c>
      <c r="H663" s="204">
        <v>5</v>
      </c>
      <c r="I663" s="203" t="s">
        <v>646</v>
      </c>
      <c r="J663" s="205" t="s">
        <v>8450</v>
      </c>
      <c r="K663" s="203" t="s">
        <v>5104</v>
      </c>
      <c r="L663" s="205" t="s">
        <v>8451</v>
      </c>
      <c r="M663" s="205" t="s">
        <v>806</v>
      </c>
      <c r="N663" s="204" t="s">
        <v>213</v>
      </c>
      <c r="O663" s="204" t="s">
        <v>11</v>
      </c>
      <c r="P663" s="206">
        <v>1000</v>
      </c>
      <c r="Q663" s="206">
        <v>190</v>
      </c>
      <c r="R663" s="207">
        <v>5000</v>
      </c>
      <c r="S663" s="207">
        <f t="shared" si="215"/>
        <v>950000</v>
      </c>
      <c r="T663" s="589"/>
      <c r="U663" s="157">
        <v>5000</v>
      </c>
      <c r="V663" s="158">
        <f t="shared" si="225"/>
        <v>5000</v>
      </c>
      <c r="W663" s="159">
        <f t="shared" si="216"/>
        <v>0</v>
      </c>
      <c r="X663" s="159">
        <f t="shared" si="217"/>
        <v>0</v>
      </c>
      <c r="Y663" s="160"/>
      <c r="Z663" s="160">
        <f t="shared" si="218"/>
        <v>0</v>
      </c>
      <c r="AA663" s="165"/>
      <c r="AB663" s="161">
        <f t="shared" si="219"/>
        <v>0</v>
      </c>
      <c r="AC663" s="162"/>
      <c r="AD663" s="162">
        <f t="shared" si="226"/>
        <v>0</v>
      </c>
      <c r="AE663" s="164"/>
      <c r="AF663" s="164">
        <f t="shared" si="227"/>
        <v>0</v>
      </c>
      <c r="AG663" s="165"/>
      <c r="AH663" s="165">
        <f t="shared" si="228"/>
        <v>0</v>
      </c>
      <c r="AI663" s="166">
        <v>0</v>
      </c>
      <c r="AJ663" s="166">
        <f t="shared" si="229"/>
        <v>0</v>
      </c>
      <c r="AK663" s="162"/>
      <c r="AL663" s="162">
        <f t="shared" si="230"/>
        <v>0</v>
      </c>
      <c r="AM663" s="173"/>
      <c r="AN663" s="167">
        <f t="shared" si="220"/>
        <v>0</v>
      </c>
      <c r="AO663" s="163"/>
      <c r="AP663" s="163">
        <f t="shared" si="221"/>
        <v>0</v>
      </c>
      <c r="AQ663" s="168"/>
      <c r="AR663" s="168">
        <f t="shared" si="222"/>
        <v>0</v>
      </c>
      <c r="AS663" s="170"/>
      <c r="AT663" s="170">
        <f t="shared" si="223"/>
        <v>0</v>
      </c>
      <c r="AU663" s="166"/>
      <c r="AV663" s="166">
        <f t="shared" si="224"/>
        <v>0</v>
      </c>
    </row>
    <row r="664" spans="1:48" s="131" customFormat="1">
      <c r="A664" s="172" t="s">
        <v>5152</v>
      </c>
      <c r="B664" s="150" t="s">
        <v>5153</v>
      </c>
      <c r="C664" s="150" t="s">
        <v>5154</v>
      </c>
      <c r="D664" s="634" t="s">
        <v>4944</v>
      </c>
      <c r="E664" s="631" t="s">
        <v>12642</v>
      </c>
      <c r="F664" s="175" t="s">
        <v>246</v>
      </c>
      <c r="G664" s="151" t="s">
        <v>248</v>
      </c>
      <c r="H664" s="174" t="s">
        <v>211</v>
      </c>
      <c r="I664" s="150" t="s">
        <v>4945</v>
      </c>
      <c r="J664" s="153" t="s">
        <v>5155</v>
      </c>
      <c r="K664" s="151" t="s">
        <v>5104</v>
      </c>
      <c r="L664" s="151" t="s">
        <v>249</v>
      </c>
      <c r="M664" s="151" t="s">
        <v>245</v>
      </c>
      <c r="N664" s="152" t="s">
        <v>5156</v>
      </c>
      <c r="O664" s="152" t="s">
        <v>10</v>
      </c>
      <c r="P664" s="176">
        <v>2844</v>
      </c>
      <c r="Q664" s="177">
        <v>1785</v>
      </c>
      <c r="R664" s="176">
        <v>21000</v>
      </c>
      <c r="S664" s="156">
        <f t="shared" si="215"/>
        <v>37485000</v>
      </c>
      <c r="T664" s="589"/>
      <c r="U664" s="157">
        <v>14500</v>
      </c>
      <c r="V664" s="158">
        <f t="shared" si="225"/>
        <v>9500</v>
      </c>
      <c r="W664" s="159">
        <f t="shared" si="216"/>
        <v>5000</v>
      </c>
      <c r="X664" s="159">
        <f t="shared" si="217"/>
        <v>8925000</v>
      </c>
      <c r="Y664" s="160"/>
      <c r="Z664" s="160">
        <f t="shared" si="218"/>
        <v>0</v>
      </c>
      <c r="AA664" s="165">
        <v>5000</v>
      </c>
      <c r="AB664" s="161">
        <f t="shared" si="219"/>
        <v>8925000</v>
      </c>
      <c r="AC664" s="162"/>
      <c r="AD664" s="162">
        <f t="shared" si="226"/>
        <v>0</v>
      </c>
      <c r="AE664" s="164"/>
      <c r="AF664" s="164">
        <f t="shared" si="227"/>
        <v>0</v>
      </c>
      <c r="AG664" s="165"/>
      <c r="AH664" s="165">
        <f t="shared" si="228"/>
        <v>0</v>
      </c>
      <c r="AI664" s="166">
        <v>0</v>
      </c>
      <c r="AJ664" s="166">
        <f t="shared" si="229"/>
        <v>0</v>
      </c>
      <c r="AK664" s="162"/>
      <c r="AL664" s="162">
        <f t="shared" si="230"/>
        <v>0</v>
      </c>
      <c r="AM664" s="173"/>
      <c r="AN664" s="167">
        <f t="shared" si="220"/>
        <v>0</v>
      </c>
      <c r="AO664" s="163"/>
      <c r="AP664" s="163">
        <f t="shared" si="221"/>
        <v>0</v>
      </c>
      <c r="AQ664" s="168"/>
      <c r="AR664" s="168">
        <f t="shared" si="222"/>
        <v>0</v>
      </c>
      <c r="AS664" s="170"/>
      <c r="AT664" s="170">
        <f t="shared" si="223"/>
        <v>0</v>
      </c>
      <c r="AU664" s="166"/>
      <c r="AV664" s="166">
        <f t="shared" si="224"/>
        <v>0</v>
      </c>
    </row>
    <row r="665" spans="1:48" s="131" customFormat="1">
      <c r="A665" s="148" t="s">
        <v>5235</v>
      </c>
      <c r="B665" s="150" t="s">
        <v>5153</v>
      </c>
      <c r="C665" s="150" t="s">
        <v>5154</v>
      </c>
      <c r="D665" s="634" t="s">
        <v>5236</v>
      </c>
      <c r="E665" s="631" t="s">
        <v>12642</v>
      </c>
      <c r="F665" s="175" t="s">
        <v>5237</v>
      </c>
      <c r="G665" s="151" t="s">
        <v>5238</v>
      </c>
      <c r="H665" s="174" t="s">
        <v>211</v>
      </c>
      <c r="I665" s="150" t="s">
        <v>5239</v>
      </c>
      <c r="J665" s="153" t="s">
        <v>5240</v>
      </c>
      <c r="K665" s="151" t="s">
        <v>5104</v>
      </c>
      <c r="L665" s="151" t="s">
        <v>5241</v>
      </c>
      <c r="M665" s="151" t="s">
        <v>5242</v>
      </c>
      <c r="N665" s="152" t="s">
        <v>5156</v>
      </c>
      <c r="O665" s="152" t="s">
        <v>5141</v>
      </c>
      <c r="P665" s="176">
        <v>16449</v>
      </c>
      <c r="Q665" s="177">
        <v>15687</v>
      </c>
      <c r="R665" s="176">
        <v>210</v>
      </c>
      <c r="S665" s="156">
        <f t="shared" si="215"/>
        <v>3294270</v>
      </c>
      <c r="T665" s="589"/>
      <c r="U665" s="157">
        <v>210</v>
      </c>
      <c r="V665" s="158">
        <f t="shared" si="225"/>
        <v>210</v>
      </c>
      <c r="W665" s="159">
        <f t="shared" si="216"/>
        <v>0</v>
      </c>
      <c r="X665" s="159">
        <f t="shared" si="217"/>
        <v>0</v>
      </c>
      <c r="Y665" s="160"/>
      <c r="Z665" s="160">
        <f t="shared" si="218"/>
        <v>0</v>
      </c>
      <c r="AA665" s="165"/>
      <c r="AB665" s="161">
        <f t="shared" si="219"/>
        <v>0</v>
      </c>
      <c r="AC665" s="162"/>
      <c r="AD665" s="162">
        <f t="shared" si="226"/>
        <v>0</v>
      </c>
      <c r="AE665" s="164"/>
      <c r="AF665" s="164">
        <f t="shared" si="227"/>
        <v>0</v>
      </c>
      <c r="AG665" s="165"/>
      <c r="AH665" s="165">
        <f t="shared" si="228"/>
        <v>0</v>
      </c>
      <c r="AI665" s="166">
        <v>0</v>
      </c>
      <c r="AJ665" s="166">
        <f t="shared" si="229"/>
        <v>0</v>
      </c>
      <c r="AK665" s="162"/>
      <c r="AL665" s="162">
        <f t="shared" si="230"/>
        <v>0</v>
      </c>
      <c r="AM665" s="173"/>
      <c r="AN665" s="167">
        <f t="shared" si="220"/>
        <v>0</v>
      </c>
      <c r="AO665" s="163"/>
      <c r="AP665" s="163">
        <f t="shared" si="221"/>
        <v>0</v>
      </c>
      <c r="AQ665" s="168"/>
      <c r="AR665" s="168">
        <f t="shared" si="222"/>
        <v>0</v>
      </c>
      <c r="AS665" s="170"/>
      <c r="AT665" s="170">
        <f t="shared" si="223"/>
        <v>0</v>
      </c>
      <c r="AU665" s="166"/>
      <c r="AV665" s="166">
        <f t="shared" si="224"/>
        <v>0</v>
      </c>
    </row>
    <row r="666" spans="1:48" s="131" customFormat="1">
      <c r="A666" s="148" t="s">
        <v>5260</v>
      </c>
      <c r="B666" s="150" t="s">
        <v>5153</v>
      </c>
      <c r="C666" s="150" t="s">
        <v>5154</v>
      </c>
      <c r="D666" s="634" t="s">
        <v>4902</v>
      </c>
      <c r="E666" s="631" t="s">
        <v>12642</v>
      </c>
      <c r="F666" s="175" t="s">
        <v>242</v>
      </c>
      <c r="G666" s="151" t="s">
        <v>243</v>
      </c>
      <c r="H666" s="174" t="s">
        <v>211</v>
      </c>
      <c r="I666" s="150" t="s">
        <v>4903</v>
      </c>
      <c r="J666" s="153" t="s">
        <v>5261</v>
      </c>
      <c r="K666" s="151" t="s">
        <v>5104</v>
      </c>
      <c r="L666" s="151" t="s">
        <v>244</v>
      </c>
      <c r="M666" s="151" t="s">
        <v>245</v>
      </c>
      <c r="N666" s="152" t="s">
        <v>5156</v>
      </c>
      <c r="O666" s="152" t="s">
        <v>5141</v>
      </c>
      <c r="P666" s="176">
        <v>4700</v>
      </c>
      <c r="Q666" s="177">
        <v>3255</v>
      </c>
      <c r="R666" s="176">
        <v>6500</v>
      </c>
      <c r="S666" s="156">
        <f t="shared" si="215"/>
        <v>21157500</v>
      </c>
      <c r="T666" s="589"/>
      <c r="U666" s="157">
        <v>5900</v>
      </c>
      <c r="V666" s="158">
        <f t="shared" si="225"/>
        <v>5700</v>
      </c>
      <c r="W666" s="159">
        <f t="shared" si="216"/>
        <v>200</v>
      </c>
      <c r="X666" s="159">
        <f t="shared" si="217"/>
        <v>651000</v>
      </c>
      <c r="Y666" s="160"/>
      <c r="Z666" s="160">
        <f t="shared" si="218"/>
        <v>0</v>
      </c>
      <c r="AA666" s="165"/>
      <c r="AB666" s="161">
        <f t="shared" si="219"/>
        <v>0</v>
      </c>
      <c r="AC666" s="162"/>
      <c r="AD666" s="162">
        <f t="shared" si="226"/>
        <v>0</v>
      </c>
      <c r="AE666" s="164"/>
      <c r="AF666" s="164">
        <f t="shared" si="227"/>
        <v>0</v>
      </c>
      <c r="AG666" s="165">
        <v>100</v>
      </c>
      <c r="AH666" s="165">
        <f t="shared" si="228"/>
        <v>325500</v>
      </c>
      <c r="AI666" s="166">
        <v>0</v>
      </c>
      <c r="AJ666" s="166">
        <f t="shared" si="229"/>
        <v>0</v>
      </c>
      <c r="AK666" s="162"/>
      <c r="AL666" s="162">
        <f t="shared" si="230"/>
        <v>0</v>
      </c>
      <c r="AM666" s="173"/>
      <c r="AN666" s="167">
        <f t="shared" si="220"/>
        <v>0</v>
      </c>
      <c r="AO666" s="163"/>
      <c r="AP666" s="163">
        <f t="shared" si="221"/>
        <v>0</v>
      </c>
      <c r="AQ666" s="168"/>
      <c r="AR666" s="168">
        <f t="shared" si="222"/>
        <v>0</v>
      </c>
      <c r="AS666" s="170"/>
      <c r="AT666" s="170">
        <f t="shared" si="223"/>
        <v>0</v>
      </c>
      <c r="AU666" s="166">
        <v>100</v>
      </c>
      <c r="AV666" s="166">
        <f t="shared" si="224"/>
        <v>325500</v>
      </c>
    </row>
    <row r="667" spans="1:48" s="131" customFormat="1">
      <c r="A667" s="148" t="s">
        <v>6073</v>
      </c>
      <c r="B667" s="150" t="s">
        <v>5153</v>
      </c>
      <c r="C667" s="150" t="s">
        <v>5154</v>
      </c>
      <c r="D667" s="240" t="s">
        <v>4146</v>
      </c>
      <c r="E667" s="590"/>
      <c r="F667" s="203" t="s">
        <v>649</v>
      </c>
      <c r="G667" s="204" t="s">
        <v>651</v>
      </c>
      <c r="H667" s="204">
        <v>1</v>
      </c>
      <c r="I667" s="203" t="s">
        <v>650</v>
      </c>
      <c r="J667" s="205" t="s">
        <v>6074</v>
      </c>
      <c r="K667" s="203" t="s">
        <v>5104</v>
      </c>
      <c r="L667" s="205" t="s">
        <v>6075</v>
      </c>
      <c r="M667" s="205" t="s">
        <v>245</v>
      </c>
      <c r="N667" s="204" t="s">
        <v>5156</v>
      </c>
      <c r="O667" s="204" t="s">
        <v>11</v>
      </c>
      <c r="P667" s="206">
        <v>7035</v>
      </c>
      <c r="Q667" s="206">
        <v>4725</v>
      </c>
      <c r="R667" s="207">
        <v>30000</v>
      </c>
      <c r="S667" s="207">
        <f t="shared" si="215"/>
        <v>141750000</v>
      </c>
      <c r="T667" s="589"/>
      <c r="U667" s="157">
        <v>30000</v>
      </c>
      <c r="V667" s="158">
        <f t="shared" si="225"/>
        <v>15000</v>
      </c>
      <c r="W667" s="159">
        <f t="shared" si="216"/>
        <v>15000</v>
      </c>
      <c r="X667" s="159">
        <f t="shared" si="217"/>
        <v>70875000</v>
      </c>
      <c r="Y667" s="160"/>
      <c r="Z667" s="160">
        <f t="shared" si="218"/>
        <v>0</v>
      </c>
      <c r="AA667" s="161"/>
      <c r="AB667" s="161">
        <f t="shared" si="219"/>
        <v>0</v>
      </c>
      <c r="AC667" s="162"/>
      <c r="AD667" s="162">
        <f t="shared" si="226"/>
        <v>0</v>
      </c>
      <c r="AE667" s="164"/>
      <c r="AF667" s="164">
        <f t="shared" si="227"/>
        <v>0</v>
      </c>
      <c r="AG667" s="165">
        <v>3000</v>
      </c>
      <c r="AH667" s="165">
        <f t="shared" si="228"/>
        <v>14175000</v>
      </c>
      <c r="AI667" s="166">
        <v>0</v>
      </c>
      <c r="AJ667" s="166">
        <f t="shared" si="229"/>
        <v>0</v>
      </c>
      <c r="AK667" s="162"/>
      <c r="AL667" s="162">
        <f t="shared" si="230"/>
        <v>0</v>
      </c>
      <c r="AM667" s="167"/>
      <c r="AN667" s="167">
        <f t="shared" si="220"/>
        <v>0</v>
      </c>
      <c r="AO667" s="163"/>
      <c r="AP667" s="163">
        <f t="shared" si="221"/>
        <v>0</v>
      </c>
      <c r="AQ667" s="168">
        <v>6000</v>
      </c>
      <c r="AR667" s="168">
        <f t="shared" si="222"/>
        <v>28350000</v>
      </c>
      <c r="AS667" s="170">
        <v>6000</v>
      </c>
      <c r="AT667" s="170">
        <f t="shared" si="223"/>
        <v>28350000</v>
      </c>
      <c r="AU667" s="166"/>
      <c r="AV667" s="166">
        <f t="shared" si="224"/>
        <v>0</v>
      </c>
    </row>
    <row r="668" spans="1:48">
      <c r="A668" s="148" t="s">
        <v>6191</v>
      </c>
      <c r="B668" s="150" t="s">
        <v>5153</v>
      </c>
      <c r="C668" s="150" t="s">
        <v>5154</v>
      </c>
      <c r="D668" s="240" t="s">
        <v>3861</v>
      </c>
      <c r="E668" s="590" t="s">
        <v>12643</v>
      </c>
      <c r="F668" s="203" t="s">
        <v>668</v>
      </c>
      <c r="G668" s="204" t="s">
        <v>238</v>
      </c>
      <c r="H668" s="204">
        <v>1</v>
      </c>
      <c r="I668" s="203" t="s">
        <v>669</v>
      </c>
      <c r="J668" s="205" t="s">
        <v>6192</v>
      </c>
      <c r="K668" s="203" t="s">
        <v>5108</v>
      </c>
      <c r="L668" s="205" t="s">
        <v>670</v>
      </c>
      <c r="M668" s="205" t="s">
        <v>245</v>
      </c>
      <c r="N668" s="204" t="s">
        <v>5156</v>
      </c>
      <c r="O668" s="204" t="s">
        <v>11</v>
      </c>
      <c r="P668" s="206">
        <v>5173</v>
      </c>
      <c r="Q668" s="206">
        <v>3600</v>
      </c>
      <c r="R668" s="207">
        <v>20000</v>
      </c>
      <c r="S668" s="207">
        <f t="shared" si="215"/>
        <v>72000000</v>
      </c>
      <c r="T668" s="589"/>
      <c r="U668" s="157">
        <v>20000</v>
      </c>
      <c r="V668" s="158">
        <f t="shared" si="225"/>
        <v>20000</v>
      </c>
      <c r="W668" s="159">
        <f t="shared" si="216"/>
        <v>0</v>
      </c>
      <c r="X668" s="159">
        <f t="shared" si="217"/>
        <v>0</v>
      </c>
      <c r="Y668" s="160"/>
      <c r="Z668" s="160">
        <f t="shared" si="218"/>
        <v>0</v>
      </c>
      <c r="AA668" s="165"/>
      <c r="AB668" s="161">
        <f t="shared" si="219"/>
        <v>0</v>
      </c>
      <c r="AC668" s="162"/>
      <c r="AD668" s="162">
        <f t="shared" si="226"/>
        <v>0</v>
      </c>
      <c r="AE668" s="163"/>
      <c r="AF668" s="164">
        <f t="shared" si="227"/>
        <v>0</v>
      </c>
      <c r="AG668" s="161"/>
      <c r="AH668" s="165">
        <f t="shared" si="228"/>
        <v>0</v>
      </c>
      <c r="AI668" s="160">
        <v>0</v>
      </c>
      <c r="AJ668" s="166">
        <f t="shared" si="229"/>
        <v>0</v>
      </c>
      <c r="AK668" s="162"/>
      <c r="AL668" s="162">
        <f t="shared" si="230"/>
        <v>0</v>
      </c>
      <c r="AM668" s="173"/>
      <c r="AN668" s="167">
        <f t="shared" si="220"/>
        <v>0</v>
      </c>
      <c r="AO668" s="163"/>
      <c r="AP668" s="163">
        <f t="shared" si="221"/>
        <v>0</v>
      </c>
      <c r="AQ668" s="162"/>
      <c r="AR668" s="168">
        <f t="shared" si="222"/>
        <v>0</v>
      </c>
      <c r="AS668" s="169"/>
      <c r="AT668" s="170">
        <f t="shared" si="223"/>
        <v>0</v>
      </c>
      <c r="AU668" s="160"/>
      <c r="AV668" s="166">
        <f t="shared" si="224"/>
        <v>0</v>
      </c>
    </row>
    <row r="669" spans="1:48">
      <c r="A669" s="148" t="s">
        <v>6193</v>
      </c>
      <c r="B669" s="150" t="s">
        <v>5153</v>
      </c>
      <c r="C669" s="150" t="s">
        <v>5154</v>
      </c>
      <c r="D669" s="240" t="s">
        <v>3858</v>
      </c>
      <c r="E669" s="590" t="s">
        <v>12643</v>
      </c>
      <c r="F669" s="203" t="s">
        <v>668</v>
      </c>
      <c r="G669" s="204" t="s">
        <v>327</v>
      </c>
      <c r="H669" s="204">
        <v>1</v>
      </c>
      <c r="I669" s="203" t="s">
        <v>6194</v>
      </c>
      <c r="J669" s="205" t="s">
        <v>6195</v>
      </c>
      <c r="K669" s="203" t="s">
        <v>5108</v>
      </c>
      <c r="L669" s="205" t="s">
        <v>6196</v>
      </c>
      <c r="M669" s="205" t="s">
        <v>245</v>
      </c>
      <c r="N669" s="204" t="s">
        <v>5156</v>
      </c>
      <c r="O669" s="204" t="s">
        <v>11</v>
      </c>
      <c r="P669" s="206">
        <v>3067</v>
      </c>
      <c r="Q669" s="206">
        <v>2320</v>
      </c>
      <c r="R669" s="207">
        <v>20000</v>
      </c>
      <c r="S669" s="207">
        <f t="shared" si="215"/>
        <v>46400000</v>
      </c>
      <c r="T669" s="589"/>
      <c r="U669" s="157">
        <v>20000</v>
      </c>
      <c r="V669" s="158">
        <f t="shared" si="225"/>
        <v>20000</v>
      </c>
      <c r="W669" s="159">
        <f t="shared" si="216"/>
        <v>0</v>
      </c>
      <c r="X669" s="159">
        <f t="shared" si="217"/>
        <v>0</v>
      </c>
      <c r="Y669" s="160"/>
      <c r="Z669" s="160">
        <f t="shared" si="218"/>
        <v>0</v>
      </c>
      <c r="AA669" s="165"/>
      <c r="AB669" s="161">
        <f t="shared" si="219"/>
        <v>0</v>
      </c>
      <c r="AC669" s="162"/>
      <c r="AD669" s="162">
        <f t="shared" si="226"/>
        <v>0</v>
      </c>
      <c r="AE669" s="163"/>
      <c r="AF669" s="164">
        <f t="shared" si="227"/>
        <v>0</v>
      </c>
      <c r="AG669" s="161"/>
      <c r="AH669" s="165">
        <f t="shared" si="228"/>
        <v>0</v>
      </c>
      <c r="AI669" s="160">
        <v>0</v>
      </c>
      <c r="AJ669" s="166">
        <f t="shared" si="229"/>
        <v>0</v>
      </c>
      <c r="AK669" s="162"/>
      <c r="AL669" s="162">
        <f t="shared" si="230"/>
        <v>0</v>
      </c>
      <c r="AM669" s="173"/>
      <c r="AN669" s="167">
        <f t="shared" si="220"/>
        <v>0</v>
      </c>
      <c r="AO669" s="163"/>
      <c r="AP669" s="163">
        <f t="shared" si="221"/>
        <v>0</v>
      </c>
      <c r="AQ669" s="162"/>
      <c r="AR669" s="168">
        <f t="shared" si="222"/>
        <v>0</v>
      </c>
      <c r="AS669" s="169"/>
      <c r="AT669" s="170">
        <f t="shared" si="223"/>
        <v>0</v>
      </c>
      <c r="AU669" s="160"/>
      <c r="AV669" s="166">
        <f t="shared" si="224"/>
        <v>0</v>
      </c>
    </row>
    <row r="670" spans="1:48" ht="31.5">
      <c r="A670" s="148" t="s">
        <v>6208</v>
      </c>
      <c r="B670" s="150" t="s">
        <v>5153</v>
      </c>
      <c r="C670" s="150" t="s">
        <v>5154</v>
      </c>
      <c r="D670" s="240" t="s">
        <v>4433</v>
      </c>
      <c r="E670" s="590" t="s">
        <v>12643</v>
      </c>
      <c r="F670" s="203" t="s">
        <v>246</v>
      </c>
      <c r="G670" s="204" t="s">
        <v>291</v>
      </c>
      <c r="H670" s="204">
        <v>1</v>
      </c>
      <c r="I670" s="203" t="s">
        <v>665</v>
      </c>
      <c r="J670" s="205" t="s">
        <v>6209</v>
      </c>
      <c r="K670" s="203" t="s">
        <v>5108</v>
      </c>
      <c r="L670" s="205" t="s">
        <v>666</v>
      </c>
      <c r="M670" s="205" t="s">
        <v>245</v>
      </c>
      <c r="N670" s="204" t="s">
        <v>5156</v>
      </c>
      <c r="O670" s="204" t="s">
        <v>11</v>
      </c>
      <c r="P670" s="206">
        <v>4935</v>
      </c>
      <c r="Q670" s="206">
        <v>4200</v>
      </c>
      <c r="R670" s="207">
        <v>20000</v>
      </c>
      <c r="S670" s="207">
        <f t="shared" si="215"/>
        <v>84000000</v>
      </c>
      <c r="T670" s="589" t="s">
        <v>11</v>
      </c>
      <c r="U670" s="157">
        <v>20000</v>
      </c>
      <c r="V670" s="158">
        <f t="shared" si="225"/>
        <v>20000</v>
      </c>
      <c r="W670" s="159">
        <f t="shared" si="216"/>
        <v>0</v>
      </c>
      <c r="X670" s="159">
        <f t="shared" si="217"/>
        <v>0</v>
      </c>
      <c r="Y670" s="160"/>
      <c r="Z670" s="160">
        <f t="shared" si="218"/>
        <v>0</v>
      </c>
      <c r="AA670" s="165"/>
      <c r="AB670" s="161">
        <f t="shared" si="219"/>
        <v>0</v>
      </c>
      <c r="AC670" s="162"/>
      <c r="AD670" s="162">
        <f t="shared" si="226"/>
        <v>0</v>
      </c>
      <c r="AE670" s="164"/>
      <c r="AF670" s="164">
        <f t="shared" si="227"/>
        <v>0</v>
      </c>
      <c r="AG670" s="165"/>
      <c r="AH670" s="165">
        <f t="shared" si="228"/>
        <v>0</v>
      </c>
      <c r="AI670" s="166">
        <v>0</v>
      </c>
      <c r="AJ670" s="166">
        <f t="shared" si="229"/>
        <v>0</v>
      </c>
      <c r="AK670" s="162"/>
      <c r="AL670" s="162">
        <f t="shared" si="230"/>
        <v>0</v>
      </c>
      <c r="AM670" s="173"/>
      <c r="AN670" s="167">
        <f t="shared" si="220"/>
        <v>0</v>
      </c>
      <c r="AO670" s="163"/>
      <c r="AP670" s="163">
        <f t="shared" si="221"/>
        <v>0</v>
      </c>
      <c r="AQ670" s="168"/>
      <c r="AR670" s="168">
        <f t="shared" si="222"/>
        <v>0</v>
      </c>
      <c r="AS670" s="170"/>
      <c r="AT670" s="170">
        <f t="shared" si="223"/>
        <v>0</v>
      </c>
      <c r="AU670" s="166"/>
      <c r="AV670" s="166">
        <f t="shared" si="224"/>
        <v>0</v>
      </c>
    </row>
    <row r="671" spans="1:48" ht="31.5">
      <c r="A671" s="148" t="s">
        <v>6217</v>
      </c>
      <c r="B671" s="150" t="s">
        <v>5153</v>
      </c>
      <c r="C671" s="150" t="s">
        <v>5154</v>
      </c>
      <c r="D671" s="240" t="s">
        <v>6218</v>
      </c>
      <c r="E671" s="590" t="s">
        <v>12642</v>
      </c>
      <c r="F671" s="203" t="s">
        <v>287</v>
      </c>
      <c r="G671" s="204" t="s">
        <v>6219</v>
      </c>
      <c r="H671" s="204">
        <v>1</v>
      </c>
      <c r="I671" s="203" t="s">
        <v>6220</v>
      </c>
      <c r="J671" s="205" t="s">
        <v>6221</v>
      </c>
      <c r="K671" s="203" t="s">
        <v>5104</v>
      </c>
      <c r="L671" s="205" t="s">
        <v>6222</v>
      </c>
      <c r="M671" s="205" t="s">
        <v>245</v>
      </c>
      <c r="N671" s="204" t="s">
        <v>5156</v>
      </c>
      <c r="O671" s="204" t="s">
        <v>520</v>
      </c>
      <c r="P671" s="206">
        <v>64240</v>
      </c>
      <c r="Q671" s="206">
        <v>38850</v>
      </c>
      <c r="R671" s="207">
        <v>300</v>
      </c>
      <c r="S671" s="207">
        <f t="shared" si="215"/>
        <v>11655000</v>
      </c>
      <c r="T671" s="589"/>
      <c r="U671" s="157">
        <v>300</v>
      </c>
      <c r="V671" s="158">
        <f t="shared" si="225"/>
        <v>300</v>
      </c>
      <c r="W671" s="159">
        <f t="shared" si="216"/>
        <v>0</v>
      </c>
      <c r="X671" s="159">
        <f t="shared" si="217"/>
        <v>0</v>
      </c>
      <c r="Y671" s="160"/>
      <c r="Z671" s="160">
        <f t="shared" si="218"/>
        <v>0</v>
      </c>
      <c r="AA671" s="161"/>
      <c r="AB671" s="161">
        <f t="shared" si="219"/>
        <v>0</v>
      </c>
      <c r="AC671" s="162"/>
      <c r="AD671" s="162">
        <f t="shared" si="226"/>
        <v>0</v>
      </c>
      <c r="AE671" s="164"/>
      <c r="AF671" s="164">
        <f t="shared" si="227"/>
        <v>0</v>
      </c>
      <c r="AG671" s="165"/>
      <c r="AH671" s="165">
        <f t="shared" si="228"/>
        <v>0</v>
      </c>
      <c r="AI671" s="166">
        <v>0</v>
      </c>
      <c r="AJ671" s="166">
        <f t="shared" si="229"/>
        <v>0</v>
      </c>
      <c r="AK671" s="162"/>
      <c r="AL671" s="162">
        <f t="shared" si="230"/>
        <v>0</v>
      </c>
      <c r="AM671" s="167"/>
      <c r="AN671" s="167">
        <f t="shared" si="220"/>
        <v>0</v>
      </c>
      <c r="AO671" s="163"/>
      <c r="AP671" s="163">
        <f t="shared" si="221"/>
        <v>0</v>
      </c>
      <c r="AQ671" s="168"/>
      <c r="AR671" s="168">
        <f t="shared" si="222"/>
        <v>0</v>
      </c>
      <c r="AS671" s="170"/>
      <c r="AT671" s="170">
        <f t="shared" si="223"/>
        <v>0</v>
      </c>
      <c r="AU671" s="166"/>
      <c r="AV671" s="166">
        <f t="shared" si="224"/>
        <v>0</v>
      </c>
    </row>
    <row r="672" spans="1:48" ht="31.5">
      <c r="A672" s="148" t="s">
        <v>8452</v>
      </c>
      <c r="B672" s="150" t="s">
        <v>5153</v>
      </c>
      <c r="C672" s="150" t="s">
        <v>5154</v>
      </c>
      <c r="D672" s="240" t="s">
        <v>8453</v>
      </c>
      <c r="E672" s="590"/>
      <c r="F672" s="203" t="s">
        <v>7869</v>
      </c>
      <c r="G672" s="204" t="s">
        <v>1340</v>
      </c>
      <c r="H672" s="204">
        <v>5</v>
      </c>
      <c r="I672" s="203" t="s">
        <v>8454</v>
      </c>
      <c r="J672" s="205" t="s">
        <v>8455</v>
      </c>
      <c r="K672" s="203" t="s">
        <v>5104</v>
      </c>
      <c r="L672" s="205" t="s">
        <v>8456</v>
      </c>
      <c r="M672" s="205" t="s">
        <v>8457</v>
      </c>
      <c r="N672" s="204" t="s">
        <v>8458</v>
      </c>
      <c r="O672" s="204" t="s">
        <v>11</v>
      </c>
      <c r="P672" s="206">
        <v>2396</v>
      </c>
      <c r="Q672" s="206">
        <v>2100</v>
      </c>
      <c r="R672" s="207">
        <v>30000</v>
      </c>
      <c r="S672" s="207">
        <f t="shared" si="215"/>
        <v>63000000</v>
      </c>
      <c r="T672" s="589"/>
      <c r="U672" s="157">
        <v>30000</v>
      </c>
      <c r="V672" s="158">
        <f t="shared" si="225"/>
        <v>30000</v>
      </c>
      <c r="W672" s="159">
        <f t="shared" si="216"/>
        <v>0</v>
      </c>
      <c r="X672" s="159">
        <f t="shared" si="217"/>
        <v>0</v>
      </c>
      <c r="Y672" s="160"/>
      <c r="Z672" s="160">
        <f t="shared" si="218"/>
        <v>0</v>
      </c>
      <c r="AA672" s="161"/>
      <c r="AB672" s="161">
        <f t="shared" si="219"/>
        <v>0</v>
      </c>
      <c r="AC672" s="162"/>
      <c r="AD672" s="162">
        <f t="shared" si="226"/>
        <v>0</v>
      </c>
      <c r="AE672" s="164"/>
      <c r="AF672" s="164">
        <f t="shared" si="227"/>
        <v>0</v>
      </c>
      <c r="AG672" s="165"/>
      <c r="AH672" s="165">
        <f t="shared" si="228"/>
        <v>0</v>
      </c>
      <c r="AI672" s="166">
        <v>0</v>
      </c>
      <c r="AJ672" s="166">
        <f t="shared" si="229"/>
        <v>0</v>
      </c>
      <c r="AK672" s="162"/>
      <c r="AL672" s="162">
        <f t="shared" si="230"/>
        <v>0</v>
      </c>
      <c r="AM672" s="167"/>
      <c r="AN672" s="167">
        <f t="shared" si="220"/>
        <v>0</v>
      </c>
      <c r="AO672" s="163"/>
      <c r="AP672" s="163">
        <f t="shared" si="221"/>
        <v>0</v>
      </c>
      <c r="AQ672" s="168"/>
      <c r="AR672" s="168">
        <f t="shared" si="222"/>
        <v>0</v>
      </c>
      <c r="AS672" s="170"/>
      <c r="AT672" s="170">
        <f t="shared" si="223"/>
        <v>0</v>
      </c>
      <c r="AU672" s="166"/>
      <c r="AV672" s="166">
        <f t="shared" si="224"/>
        <v>0</v>
      </c>
    </row>
    <row r="673" spans="1:48" ht="63">
      <c r="A673" s="250">
        <v>41</v>
      </c>
      <c r="B673" s="150" t="s">
        <v>5153</v>
      </c>
      <c r="C673" s="150" t="s">
        <v>5154</v>
      </c>
      <c r="D673" s="250" t="s">
        <v>4608</v>
      </c>
      <c r="E673" s="241"/>
      <c r="F673" s="242" t="s">
        <v>4610</v>
      </c>
      <c r="G673" s="244" t="s">
        <v>8698</v>
      </c>
      <c r="H673" s="244" t="s">
        <v>211</v>
      </c>
      <c r="I673" s="244" t="s">
        <v>4609</v>
      </c>
      <c r="J673" s="244" t="s">
        <v>8699</v>
      </c>
      <c r="K673" s="244" t="s">
        <v>253</v>
      </c>
      <c r="L673" s="241" t="s">
        <v>8700</v>
      </c>
      <c r="M673" s="244" t="s">
        <v>8701</v>
      </c>
      <c r="N673" s="241" t="s">
        <v>213</v>
      </c>
      <c r="O673" s="241" t="s">
        <v>11</v>
      </c>
      <c r="P673" s="245">
        <v>1850</v>
      </c>
      <c r="Q673" s="245">
        <v>1850</v>
      </c>
      <c r="R673" s="246">
        <v>15000</v>
      </c>
      <c r="S673" s="245">
        <f t="shared" si="215"/>
        <v>27750000</v>
      </c>
      <c r="T673" s="589"/>
      <c r="U673" s="244"/>
      <c r="V673" s="247">
        <f>R673-W673</f>
        <v>10000</v>
      </c>
      <c r="W673" s="159">
        <f t="shared" si="216"/>
        <v>5000</v>
      </c>
      <c r="X673" s="159">
        <f t="shared" si="217"/>
        <v>9250000</v>
      </c>
      <c r="Y673" s="248"/>
      <c r="Z673" s="160">
        <f t="shared" si="218"/>
        <v>0</v>
      </c>
      <c r="AA673" s="248"/>
      <c r="AB673" s="161">
        <f t="shared" si="219"/>
        <v>0</v>
      </c>
      <c r="AC673" s="249"/>
      <c r="AD673" s="249"/>
      <c r="AE673" s="249"/>
      <c r="AF673" s="249"/>
      <c r="AG673" s="249"/>
      <c r="AH673" s="249"/>
      <c r="AI673" s="249"/>
      <c r="AJ673" s="249"/>
      <c r="AK673" s="249">
        <v>5000</v>
      </c>
      <c r="AL673" s="162">
        <f t="shared" si="230"/>
        <v>9250000</v>
      </c>
      <c r="AM673" s="249"/>
      <c r="AN673" s="167">
        <f t="shared" si="220"/>
        <v>0</v>
      </c>
      <c r="AO673" s="249"/>
      <c r="AP673" s="163">
        <f t="shared" si="221"/>
        <v>0</v>
      </c>
      <c r="AQ673" s="249"/>
      <c r="AR673" s="168">
        <f t="shared" si="222"/>
        <v>0</v>
      </c>
      <c r="AS673" s="249"/>
      <c r="AT673" s="170">
        <f t="shared" si="223"/>
        <v>0</v>
      </c>
      <c r="AU673" s="249"/>
      <c r="AV673" s="166">
        <f t="shared" si="224"/>
        <v>0</v>
      </c>
    </row>
    <row r="674" spans="1:48" ht="63">
      <c r="A674" s="148">
        <v>55</v>
      </c>
      <c r="B674" s="150" t="s">
        <v>5153</v>
      </c>
      <c r="C674" s="150" t="s">
        <v>5154</v>
      </c>
      <c r="D674" s="250" t="s">
        <v>8757</v>
      </c>
      <c r="E674" s="241"/>
      <c r="F674" s="242" t="s">
        <v>8758</v>
      </c>
      <c r="G674" s="244" t="s">
        <v>8759</v>
      </c>
      <c r="H674" s="244" t="s">
        <v>211</v>
      </c>
      <c r="I674" s="244" t="s">
        <v>8760</v>
      </c>
      <c r="J674" s="244" t="s">
        <v>8761</v>
      </c>
      <c r="K674" s="244" t="s">
        <v>6705</v>
      </c>
      <c r="L674" s="241" t="s">
        <v>8762</v>
      </c>
      <c r="M674" s="244" t="s">
        <v>8701</v>
      </c>
      <c r="N674" s="241" t="s">
        <v>213</v>
      </c>
      <c r="O674" s="241" t="s">
        <v>15</v>
      </c>
      <c r="P674" s="245">
        <v>28000</v>
      </c>
      <c r="Q674" s="245">
        <v>27405</v>
      </c>
      <c r="R674" s="246">
        <v>1000</v>
      </c>
      <c r="S674" s="245">
        <f t="shared" si="215"/>
        <v>27405000</v>
      </c>
      <c r="T674" s="589"/>
      <c r="U674" s="244"/>
      <c r="V674" s="247">
        <f>R674-W674</f>
        <v>1000</v>
      </c>
      <c r="W674" s="159">
        <f t="shared" si="216"/>
        <v>0</v>
      </c>
      <c r="X674" s="159">
        <f t="shared" si="217"/>
        <v>0</v>
      </c>
      <c r="Y674" s="248"/>
      <c r="Z674" s="160">
        <f t="shared" si="218"/>
        <v>0</v>
      </c>
      <c r="AA674" s="248"/>
      <c r="AB674" s="161">
        <f t="shared" si="219"/>
        <v>0</v>
      </c>
      <c r="AC674" s="249"/>
      <c r="AD674" s="249"/>
      <c r="AE674" s="249"/>
      <c r="AF674" s="249"/>
      <c r="AG674" s="249"/>
      <c r="AH674" s="249"/>
      <c r="AI674" s="249"/>
      <c r="AJ674" s="249"/>
      <c r="AK674" s="249"/>
      <c r="AL674" s="162">
        <f t="shared" si="230"/>
        <v>0</v>
      </c>
      <c r="AM674" s="249"/>
      <c r="AN674" s="167">
        <f t="shared" si="220"/>
        <v>0</v>
      </c>
      <c r="AO674" s="249"/>
      <c r="AP674" s="163">
        <f t="shared" si="221"/>
        <v>0</v>
      </c>
      <c r="AQ674" s="249"/>
      <c r="AR674" s="168">
        <f t="shared" si="222"/>
        <v>0</v>
      </c>
      <c r="AS674" s="249"/>
      <c r="AT674" s="170">
        <f t="shared" si="223"/>
        <v>0</v>
      </c>
      <c r="AU674" s="249"/>
      <c r="AV674" s="166">
        <f t="shared" si="224"/>
        <v>0</v>
      </c>
    </row>
    <row r="675" spans="1:48" ht="63">
      <c r="A675" s="148">
        <v>81</v>
      </c>
      <c r="B675" s="150" t="s">
        <v>5153</v>
      </c>
      <c r="C675" s="150" t="s">
        <v>5154</v>
      </c>
      <c r="D675" s="250" t="s">
        <v>8844</v>
      </c>
      <c r="E675" s="241"/>
      <c r="F675" s="242" t="s">
        <v>8845</v>
      </c>
      <c r="G675" s="244" t="s">
        <v>8846</v>
      </c>
      <c r="H675" s="244" t="s">
        <v>211</v>
      </c>
      <c r="I675" s="244" t="s">
        <v>8847</v>
      </c>
      <c r="J675" s="244" t="s">
        <v>8848</v>
      </c>
      <c r="K675" s="244" t="s">
        <v>5104</v>
      </c>
      <c r="L675" s="241" t="s">
        <v>8849</v>
      </c>
      <c r="M675" s="244" t="s">
        <v>8701</v>
      </c>
      <c r="N675" s="241" t="s">
        <v>213</v>
      </c>
      <c r="O675" s="241" t="s">
        <v>11</v>
      </c>
      <c r="P675" s="245">
        <v>2200</v>
      </c>
      <c r="Q675" s="245">
        <v>1029</v>
      </c>
      <c r="R675" s="246">
        <v>20000</v>
      </c>
      <c r="S675" s="245">
        <f t="shared" si="215"/>
        <v>20580000</v>
      </c>
      <c r="T675" s="589"/>
      <c r="U675" s="244"/>
      <c r="V675" s="247">
        <f>R675-W675</f>
        <v>20000</v>
      </c>
      <c r="W675" s="159">
        <f t="shared" si="216"/>
        <v>0</v>
      </c>
      <c r="X675" s="159">
        <f t="shared" si="217"/>
        <v>0</v>
      </c>
      <c r="Y675" s="248"/>
      <c r="Z675" s="160">
        <f t="shared" si="218"/>
        <v>0</v>
      </c>
      <c r="AA675" s="248"/>
      <c r="AB675" s="161">
        <f t="shared" si="219"/>
        <v>0</v>
      </c>
      <c r="AC675" s="249"/>
      <c r="AD675" s="249"/>
      <c r="AE675" s="249"/>
      <c r="AF675" s="249"/>
      <c r="AG675" s="249"/>
      <c r="AH675" s="249"/>
      <c r="AI675" s="249"/>
      <c r="AJ675" s="249"/>
      <c r="AK675" s="249"/>
      <c r="AL675" s="162">
        <f t="shared" si="230"/>
        <v>0</v>
      </c>
      <c r="AM675" s="249"/>
      <c r="AN675" s="167">
        <f t="shared" si="220"/>
        <v>0</v>
      </c>
      <c r="AO675" s="249"/>
      <c r="AP675" s="163">
        <f t="shared" si="221"/>
        <v>0</v>
      </c>
      <c r="AQ675" s="249"/>
      <c r="AR675" s="168">
        <f t="shared" si="222"/>
        <v>0</v>
      </c>
      <c r="AS675" s="249"/>
      <c r="AT675" s="170">
        <f t="shared" si="223"/>
        <v>0</v>
      </c>
      <c r="AU675" s="249"/>
      <c r="AV675" s="166">
        <f t="shared" si="224"/>
        <v>0</v>
      </c>
    </row>
    <row r="676" spans="1:48" ht="31.5">
      <c r="A676" s="148" t="s">
        <v>5944</v>
      </c>
      <c r="B676" s="149" t="s">
        <v>5945</v>
      </c>
      <c r="C676" s="149" t="s">
        <v>5946</v>
      </c>
      <c r="D676" s="240" t="s">
        <v>5947</v>
      </c>
      <c r="E676" s="590"/>
      <c r="F676" s="203" t="s">
        <v>5948</v>
      </c>
      <c r="G676" s="204" t="s">
        <v>334</v>
      </c>
      <c r="H676" s="204">
        <v>1</v>
      </c>
      <c r="I676" s="203" t="s">
        <v>5949</v>
      </c>
      <c r="J676" s="205" t="s">
        <v>5950</v>
      </c>
      <c r="K676" s="203" t="s">
        <v>5108</v>
      </c>
      <c r="L676" s="205" t="s">
        <v>5951</v>
      </c>
      <c r="M676" s="205" t="s">
        <v>5952</v>
      </c>
      <c r="N676" s="204" t="s">
        <v>5953</v>
      </c>
      <c r="O676" s="204" t="s">
        <v>11</v>
      </c>
      <c r="P676" s="206">
        <v>6700</v>
      </c>
      <c r="Q676" s="206">
        <v>6200</v>
      </c>
      <c r="R676" s="207">
        <v>5000</v>
      </c>
      <c r="S676" s="207">
        <f t="shared" si="215"/>
        <v>31000000</v>
      </c>
      <c r="T676" s="589"/>
      <c r="U676" s="157">
        <v>5000</v>
      </c>
      <c r="V676" s="158">
        <f t="shared" ref="V676:V739" si="231">U676-W676</f>
        <v>5000</v>
      </c>
      <c r="W676" s="159">
        <f t="shared" si="216"/>
        <v>0</v>
      </c>
      <c r="X676" s="159">
        <f t="shared" si="217"/>
        <v>0</v>
      </c>
      <c r="Y676" s="160"/>
      <c r="Z676" s="160">
        <f t="shared" si="218"/>
        <v>0</v>
      </c>
      <c r="AA676" s="165"/>
      <c r="AB676" s="161">
        <f t="shared" si="219"/>
        <v>0</v>
      </c>
      <c r="AC676" s="162"/>
      <c r="AD676" s="162">
        <f t="shared" ref="AD676:AD739" si="232">AC676*Q676</f>
        <v>0</v>
      </c>
      <c r="AE676" s="163"/>
      <c r="AF676" s="164">
        <f t="shared" ref="AF676:AF739" si="233">AE676*Q676</f>
        <v>0</v>
      </c>
      <c r="AG676" s="161"/>
      <c r="AH676" s="165">
        <f t="shared" ref="AH676:AH739" si="234">AG676*Q676</f>
        <v>0</v>
      </c>
      <c r="AI676" s="160">
        <v>0</v>
      </c>
      <c r="AJ676" s="166">
        <f t="shared" ref="AJ676:AJ739" si="235">AI676*Q676</f>
        <v>0</v>
      </c>
      <c r="AK676" s="162"/>
      <c r="AL676" s="162">
        <f t="shared" si="230"/>
        <v>0</v>
      </c>
      <c r="AM676" s="173"/>
      <c r="AN676" s="167">
        <f t="shared" si="220"/>
        <v>0</v>
      </c>
      <c r="AO676" s="163"/>
      <c r="AP676" s="163">
        <f t="shared" si="221"/>
        <v>0</v>
      </c>
      <c r="AQ676" s="162"/>
      <c r="AR676" s="168">
        <f t="shared" si="222"/>
        <v>0</v>
      </c>
      <c r="AS676" s="169"/>
      <c r="AT676" s="170">
        <f t="shared" si="223"/>
        <v>0</v>
      </c>
      <c r="AU676" s="160"/>
      <c r="AV676" s="166">
        <f t="shared" si="224"/>
        <v>0</v>
      </c>
    </row>
    <row r="677" spans="1:48" ht="31.5">
      <c r="A677" s="148" t="s">
        <v>7677</v>
      </c>
      <c r="B677" s="149" t="s">
        <v>5945</v>
      </c>
      <c r="C677" s="149" t="s">
        <v>5946</v>
      </c>
      <c r="D677" s="240" t="s">
        <v>7678</v>
      </c>
      <c r="E677" s="590" t="s">
        <v>12642</v>
      </c>
      <c r="F677" s="203" t="s">
        <v>836</v>
      </c>
      <c r="G677" s="204" t="s">
        <v>7679</v>
      </c>
      <c r="H677" s="204">
        <v>3</v>
      </c>
      <c r="I677" s="203" t="s">
        <v>7680</v>
      </c>
      <c r="J677" s="205" t="s">
        <v>7681</v>
      </c>
      <c r="K677" s="203" t="s">
        <v>5104</v>
      </c>
      <c r="L677" s="205" t="s">
        <v>7682</v>
      </c>
      <c r="M677" s="205" t="s">
        <v>7683</v>
      </c>
      <c r="N677" s="204" t="s">
        <v>213</v>
      </c>
      <c r="O677" s="204" t="s">
        <v>7684</v>
      </c>
      <c r="P677" s="206">
        <v>2100</v>
      </c>
      <c r="Q677" s="206">
        <v>1850</v>
      </c>
      <c r="R677" s="207">
        <v>120000</v>
      </c>
      <c r="S677" s="207">
        <f t="shared" si="215"/>
        <v>222000000</v>
      </c>
      <c r="T677" s="589"/>
      <c r="U677" s="157">
        <v>120000</v>
      </c>
      <c r="V677" s="158">
        <f t="shared" si="231"/>
        <v>119000</v>
      </c>
      <c r="W677" s="159">
        <f t="shared" si="216"/>
        <v>1000</v>
      </c>
      <c r="X677" s="159">
        <f t="shared" si="217"/>
        <v>1850000</v>
      </c>
      <c r="Y677" s="160"/>
      <c r="Z677" s="160">
        <f t="shared" si="218"/>
        <v>0</v>
      </c>
      <c r="AA677" s="165"/>
      <c r="AB677" s="161">
        <f t="shared" si="219"/>
        <v>0</v>
      </c>
      <c r="AC677" s="162"/>
      <c r="AD677" s="162">
        <f t="shared" si="232"/>
        <v>0</v>
      </c>
      <c r="AE677" s="164"/>
      <c r="AF677" s="164">
        <f t="shared" si="233"/>
        <v>0</v>
      </c>
      <c r="AG677" s="165"/>
      <c r="AH677" s="165">
        <f t="shared" si="234"/>
        <v>0</v>
      </c>
      <c r="AI677" s="166">
        <v>0</v>
      </c>
      <c r="AJ677" s="166">
        <f t="shared" si="235"/>
        <v>0</v>
      </c>
      <c r="AK677" s="162"/>
      <c r="AL677" s="162">
        <f t="shared" si="230"/>
        <v>0</v>
      </c>
      <c r="AM677" s="173"/>
      <c r="AN677" s="167">
        <f t="shared" si="220"/>
        <v>0</v>
      </c>
      <c r="AO677" s="163"/>
      <c r="AP677" s="163">
        <f t="shared" si="221"/>
        <v>0</v>
      </c>
      <c r="AQ677" s="168"/>
      <c r="AR677" s="168">
        <f t="shared" si="222"/>
        <v>0</v>
      </c>
      <c r="AS677" s="170">
        <v>1000</v>
      </c>
      <c r="AT677" s="170">
        <f t="shared" si="223"/>
        <v>1850000</v>
      </c>
      <c r="AU677" s="166"/>
      <c r="AV677" s="166">
        <f t="shared" si="224"/>
        <v>0</v>
      </c>
    </row>
    <row r="678" spans="1:48" ht="31.5">
      <c r="A678" s="148" t="s">
        <v>7692</v>
      </c>
      <c r="B678" s="149" t="s">
        <v>7693</v>
      </c>
      <c r="C678" s="149" t="s">
        <v>7694</v>
      </c>
      <c r="D678" s="240" t="s">
        <v>7695</v>
      </c>
      <c r="E678" s="590"/>
      <c r="F678" s="203" t="s">
        <v>7696</v>
      </c>
      <c r="G678" s="204" t="s">
        <v>222</v>
      </c>
      <c r="H678" s="204">
        <v>3</v>
      </c>
      <c r="I678" s="203" t="s">
        <v>7697</v>
      </c>
      <c r="J678" s="205" t="s">
        <v>6009</v>
      </c>
      <c r="K678" s="203" t="s">
        <v>5104</v>
      </c>
      <c r="L678" s="205" t="s">
        <v>7698</v>
      </c>
      <c r="M678" s="205" t="s">
        <v>587</v>
      </c>
      <c r="N678" s="204" t="s">
        <v>213</v>
      </c>
      <c r="O678" s="204" t="s">
        <v>11</v>
      </c>
      <c r="P678" s="206">
        <v>3500</v>
      </c>
      <c r="Q678" s="206">
        <v>2248</v>
      </c>
      <c r="R678" s="207">
        <v>10000</v>
      </c>
      <c r="S678" s="207">
        <f t="shared" si="215"/>
        <v>22480000</v>
      </c>
      <c r="T678" s="589"/>
      <c r="U678" s="157">
        <v>10000</v>
      </c>
      <c r="V678" s="158">
        <f t="shared" si="231"/>
        <v>10000</v>
      </c>
      <c r="W678" s="159">
        <f t="shared" si="216"/>
        <v>0</v>
      </c>
      <c r="X678" s="159">
        <f t="shared" si="217"/>
        <v>0</v>
      </c>
      <c r="Y678" s="160"/>
      <c r="Z678" s="160">
        <f t="shared" si="218"/>
        <v>0</v>
      </c>
      <c r="AA678" s="165"/>
      <c r="AB678" s="161">
        <f t="shared" si="219"/>
        <v>0</v>
      </c>
      <c r="AC678" s="162"/>
      <c r="AD678" s="162">
        <f t="shared" si="232"/>
        <v>0</v>
      </c>
      <c r="AE678" s="164"/>
      <c r="AF678" s="164">
        <f t="shared" si="233"/>
        <v>0</v>
      </c>
      <c r="AG678" s="165"/>
      <c r="AH678" s="165">
        <f t="shared" si="234"/>
        <v>0</v>
      </c>
      <c r="AI678" s="166">
        <v>0</v>
      </c>
      <c r="AJ678" s="166">
        <f t="shared" si="235"/>
        <v>0</v>
      </c>
      <c r="AK678" s="162"/>
      <c r="AL678" s="162">
        <f t="shared" si="230"/>
        <v>0</v>
      </c>
      <c r="AM678" s="173"/>
      <c r="AN678" s="167">
        <f t="shared" si="220"/>
        <v>0</v>
      </c>
      <c r="AO678" s="163"/>
      <c r="AP678" s="163">
        <f t="shared" si="221"/>
        <v>0</v>
      </c>
      <c r="AQ678" s="168"/>
      <c r="AR678" s="168">
        <f t="shared" si="222"/>
        <v>0</v>
      </c>
      <c r="AS678" s="170"/>
      <c r="AT678" s="170">
        <f t="shared" si="223"/>
        <v>0</v>
      </c>
      <c r="AU678" s="166"/>
      <c r="AV678" s="166">
        <f t="shared" si="224"/>
        <v>0</v>
      </c>
    </row>
    <row r="679" spans="1:48" ht="31.5">
      <c r="A679" s="148" t="s">
        <v>7752</v>
      </c>
      <c r="B679" s="149" t="s">
        <v>7693</v>
      </c>
      <c r="C679" s="149" t="s">
        <v>7694</v>
      </c>
      <c r="D679" s="240" t="s">
        <v>7753</v>
      </c>
      <c r="E679" s="590"/>
      <c r="F679" s="203" t="s">
        <v>1999</v>
      </c>
      <c r="G679" s="204" t="s">
        <v>2001</v>
      </c>
      <c r="H679" s="204">
        <v>3</v>
      </c>
      <c r="I679" s="203" t="s">
        <v>7754</v>
      </c>
      <c r="J679" s="205" t="s">
        <v>6143</v>
      </c>
      <c r="K679" s="203" t="s">
        <v>5104</v>
      </c>
      <c r="L679" s="205" t="s">
        <v>7755</v>
      </c>
      <c r="M679" s="205" t="s">
        <v>587</v>
      </c>
      <c r="N679" s="204" t="s">
        <v>213</v>
      </c>
      <c r="O679" s="204" t="s">
        <v>11</v>
      </c>
      <c r="P679" s="206">
        <v>3590</v>
      </c>
      <c r="Q679" s="206">
        <v>1278</v>
      </c>
      <c r="R679" s="207">
        <v>60000</v>
      </c>
      <c r="S679" s="207">
        <f t="shared" si="215"/>
        <v>76680000</v>
      </c>
      <c r="T679" s="589"/>
      <c r="U679" s="157">
        <v>60000</v>
      </c>
      <c r="V679" s="158">
        <f t="shared" si="231"/>
        <v>54000</v>
      </c>
      <c r="W679" s="159">
        <f t="shared" si="216"/>
        <v>6000</v>
      </c>
      <c r="X679" s="159">
        <f t="shared" si="217"/>
        <v>7668000</v>
      </c>
      <c r="Y679" s="160"/>
      <c r="Z679" s="160">
        <f t="shared" si="218"/>
        <v>0</v>
      </c>
      <c r="AA679" s="165"/>
      <c r="AB679" s="161">
        <f t="shared" si="219"/>
        <v>0</v>
      </c>
      <c r="AC679" s="162"/>
      <c r="AD679" s="162">
        <f t="shared" si="232"/>
        <v>0</v>
      </c>
      <c r="AE679" s="164"/>
      <c r="AF679" s="164">
        <f t="shared" si="233"/>
        <v>0</v>
      </c>
      <c r="AG679" s="165"/>
      <c r="AH679" s="165">
        <f t="shared" si="234"/>
        <v>0</v>
      </c>
      <c r="AI679" s="166">
        <v>0</v>
      </c>
      <c r="AJ679" s="166">
        <f t="shared" si="235"/>
        <v>0</v>
      </c>
      <c r="AK679" s="162"/>
      <c r="AL679" s="162">
        <f t="shared" si="230"/>
        <v>0</v>
      </c>
      <c r="AM679" s="173"/>
      <c r="AN679" s="167">
        <f t="shared" si="220"/>
        <v>0</v>
      </c>
      <c r="AO679" s="163"/>
      <c r="AP679" s="163">
        <f t="shared" si="221"/>
        <v>0</v>
      </c>
      <c r="AQ679" s="168"/>
      <c r="AR679" s="168">
        <f t="shared" si="222"/>
        <v>0</v>
      </c>
      <c r="AS679" s="233">
        <v>6000</v>
      </c>
      <c r="AT679" s="170">
        <f t="shared" si="223"/>
        <v>7668000</v>
      </c>
      <c r="AU679" s="166"/>
      <c r="AV679" s="166">
        <f t="shared" si="224"/>
        <v>0</v>
      </c>
    </row>
    <row r="680" spans="1:48" s="115" customFormat="1" ht="53.25" customHeight="1">
      <c r="A680" s="172" t="s">
        <v>5327</v>
      </c>
      <c r="B680" s="150" t="s">
        <v>5328</v>
      </c>
      <c r="C680" s="150" t="s">
        <v>215</v>
      </c>
      <c r="D680" s="634" t="s">
        <v>5329</v>
      </c>
      <c r="E680" s="631"/>
      <c r="F680" s="175" t="s">
        <v>234</v>
      </c>
      <c r="G680" s="151" t="s">
        <v>235</v>
      </c>
      <c r="H680" s="174" t="s">
        <v>5325</v>
      </c>
      <c r="I680" s="150" t="s">
        <v>5330</v>
      </c>
      <c r="J680" s="153" t="s">
        <v>5331</v>
      </c>
      <c r="K680" s="151" t="s">
        <v>5104</v>
      </c>
      <c r="L680" s="151" t="s">
        <v>5332</v>
      </c>
      <c r="M680" s="151" t="s">
        <v>215</v>
      </c>
      <c r="N680" s="152" t="s">
        <v>213</v>
      </c>
      <c r="O680" s="152" t="s">
        <v>10</v>
      </c>
      <c r="P680" s="176">
        <v>4200</v>
      </c>
      <c r="Q680" s="177">
        <v>465</v>
      </c>
      <c r="R680" s="176">
        <v>37000</v>
      </c>
      <c r="S680" s="156">
        <f t="shared" si="215"/>
        <v>17205000</v>
      </c>
      <c r="T680" s="589"/>
      <c r="U680" s="157">
        <v>37000</v>
      </c>
      <c r="V680" s="158">
        <f t="shared" si="231"/>
        <v>37000</v>
      </c>
      <c r="W680" s="159">
        <f t="shared" si="216"/>
        <v>0</v>
      </c>
      <c r="X680" s="159">
        <f t="shared" si="217"/>
        <v>0</v>
      </c>
      <c r="Y680" s="160"/>
      <c r="Z680" s="160">
        <f t="shared" si="218"/>
        <v>0</v>
      </c>
      <c r="AA680" s="165"/>
      <c r="AB680" s="161">
        <f t="shared" si="219"/>
        <v>0</v>
      </c>
      <c r="AC680" s="162"/>
      <c r="AD680" s="162">
        <f t="shared" si="232"/>
        <v>0</v>
      </c>
      <c r="AE680" s="164"/>
      <c r="AF680" s="164">
        <f t="shared" si="233"/>
        <v>0</v>
      </c>
      <c r="AG680" s="165"/>
      <c r="AH680" s="165">
        <f t="shared" si="234"/>
        <v>0</v>
      </c>
      <c r="AI680" s="166">
        <v>0</v>
      </c>
      <c r="AJ680" s="166">
        <f t="shared" si="235"/>
        <v>0</v>
      </c>
      <c r="AK680" s="162"/>
      <c r="AL680" s="162">
        <f t="shared" si="230"/>
        <v>0</v>
      </c>
      <c r="AM680" s="173"/>
      <c r="AN680" s="167">
        <f t="shared" si="220"/>
        <v>0</v>
      </c>
      <c r="AO680" s="163"/>
      <c r="AP680" s="163">
        <f t="shared" si="221"/>
        <v>0</v>
      </c>
      <c r="AQ680" s="168"/>
      <c r="AR680" s="168">
        <f t="shared" si="222"/>
        <v>0</v>
      </c>
      <c r="AS680" s="170"/>
      <c r="AT680" s="170">
        <f t="shared" si="223"/>
        <v>0</v>
      </c>
      <c r="AU680" s="166"/>
      <c r="AV680" s="166">
        <f t="shared" si="224"/>
        <v>0</v>
      </c>
    </row>
    <row r="681" spans="1:48" s="115" customFormat="1" ht="31.5">
      <c r="A681" s="148" t="s">
        <v>5344</v>
      </c>
      <c r="B681" s="150" t="s">
        <v>5328</v>
      </c>
      <c r="C681" s="150" t="s">
        <v>215</v>
      </c>
      <c r="D681" s="634" t="s">
        <v>4800</v>
      </c>
      <c r="E681" s="631" t="s">
        <v>12642</v>
      </c>
      <c r="F681" s="175" t="s">
        <v>216</v>
      </c>
      <c r="G681" s="151" t="s">
        <v>219</v>
      </c>
      <c r="H681" s="174" t="s">
        <v>5325</v>
      </c>
      <c r="I681" s="150" t="s">
        <v>4801</v>
      </c>
      <c r="J681" s="153" t="s">
        <v>5345</v>
      </c>
      <c r="K681" s="151" t="s">
        <v>5104</v>
      </c>
      <c r="L681" s="151" t="s">
        <v>220</v>
      </c>
      <c r="M681" s="151" t="s">
        <v>217</v>
      </c>
      <c r="N681" s="152" t="s">
        <v>213</v>
      </c>
      <c r="O681" s="152" t="s">
        <v>10</v>
      </c>
      <c r="P681" s="176">
        <v>9500</v>
      </c>
      <c r="Q681" s="177">
        <v>2375</v>
      </c>
      <c r="R681" s="176">
        <v>182000</v>
      </c>
      <c r="S681" s="156">
        <f t="shared" si="215"/>
        <v>432250000</v>
      </c>
      <c r="T681" s="589"/>
      <c r="U681" s="157">
        <v>172000</v>
      </c>
      <c r="V681" s="158">
        <f t="shared" si="231"/>
        <v>167320</v>
      </c>
      <c r="W681" s="159">
        <f t="shared" si="216"/>
        <v>4680</v>
      </c>
      <c r="X681" s="159">
        <f t="shared" si="217"/>
        <v>11115000</v>
      </c>
      <c r="Y681" s="160"/>
      <c r="Z681" s="160">
        <f t="shared" si="218"/>
        <v>0</v>
      </c>
      <c r="AA681" s="161"/>
      <c r="AB681" s="161">
        <f t="shared" si="219"/>
        <v>0</v>
      </c>
      <c r="AC681" s="162"/>
      <c r="AD681" s="162">
        <f t="shared" si="232"/>
        <v>0</v>
      </c>
      <c r="AE681" s="164"/>
      <c r="AF681" s="164">
        <f t="shared" si="233"/>
        <v>0</v>
      </c>
      <c r="AG681" s="165"/>
      <c r="AH681" s="165">
        <f t="shared" si="234"/>
        <v>0</v>
      </c>
      <c r="AI681" s="166">
        <v>0</v>
      </c>
      <c r="AJ681" s="166">
        <f t="shared" si="235"/>
        <v>0</v>
      </c>
      <c r="AK681" s="162"/>
      <c r="AL681" s="162">
        <f t="shared" si="230"/>
        <v>0</v>
      </c>
      <c r="AM681" s="167">
        <v>4680</v>
      </c>
      <c r="AN681" s="167">
        <f t="shared" si="220"/>
        <v>11115000</v>
      </c>
      <c r="AO681" s="163"/>
      <c r="AP681" s="163">
        <f t="shared" si="221"/>
        <v>0</v>
      </c>
      <c r="AQ681" s="168"/>
      <c r="AR681" s="168">
        <f t="shared" si="222"/>
        <v>0</v>
      </c>
      <c r="AS681" s="170"/>
      <c r="AT681" s="170">
        <f t="shared" si="223"/>
        <v>0</v>
      </c>
      <c r="AU681" s="166"/>
      <c r="AV681" s="166">
        <f t="shared" si="224"/>
        <v>0</v>
      </c>
    </row>
    <row r="682" spans="1:48" s="115" customFormat="1" ht="31.5">
      <c r="A682" s="148" t="s">
        <v>5456</v>
      </c>
      <c r="B682" s="150" t="s">
        <v>5328</v>
      </c>
      <c r="C682" s="150" t="s">
        <v>215</v>
      </c>
      <c r="D682" s="634" t="s">
        <v>4872</v>
      </c>
      <c r="E682" s="631" t="s">
        <v>12642</v>
      </c>
      <c r="F682" s="175" t="s">
        <v>221</v>
      </c>
      <c r="G682" s="151" t="s">
        <v>222</v>
      </c>
      <c r="H682" s="174" t="s">
        <v>5325</v>
      </c>
      <c r="I682" s="150" t="s">
        <v>4873</v>
      </c>
      <c r="J682" s="153" t="s">
        <v>5457</v>
      </c>
      <c r="K682" s="151" t="s">
        <v>5104</v>
      </c>
      <c r="L682" s="151" t="s">
        <v>223</v>
      </c>
      <c r="M682" s="151" t="s">
        <v>215</v>
      </c>
      <c r="N682" s="152" t="s">
        <v>213</v>
      </c>
      <c r="O682" s="152" t="s">
        <v>10</v>
      </c>
      <c r="P682" s="176">
        <v>490</v>
      </c>
      <c r="Q682" s="177">
        <v>115</v>
      </c>
      <c r="R682" s="176">
        <v>74000</v>
      </c>
      <c r="S682" s="156">
        <f t="shared" si="215"/>
        <v>8510000</v>
      </c>
      <c r="T682" s="589"/>
      <c r="U682" s="157">
        <v>70500</v>
      </c>
      <c r="V682" s="158">
        <f t="shared" si="231"/>
        <v>65500</v>
      </c>
      <c r="W682" s="159">
        <f t="shared" si="216"/>
        <v>5000</v>
      </c>
      <c r="X682" s="159">
        <f t="shared" si="217"/>
        <v>575000</v>
      </c>
      <c r="Y682" s="160"/>
      <c r="Z682" s="160">
        <f t="shared" si="218"/>
        <v>0</v>
      </c>
      <c r="AA682" s="165">
        <v>2200</v>
      </c>
      <c r="AB682" s="161">
        <f t="shared" si="219"/>
        <v>253000</v>
      </c>
      <c r="AC682" s="162"/>
      <c r="AD682" s="162">
        <f t="shared" si="232"/>
        <v>0</v>
      </c>
      <c r="AE682" s="164"/>
      <c r="AF682" s="164">
        <f t="shared" si="233"/>
        <v>0</v>
      </c>
      <c r="AG682" s="165"/>
      <c r="AH682" s="165">
        <f t="shared" si="234"/>
        <v>0</v>
      </c>
      <c r="AI682" s="166">
        <v>0</v>
      </c>
      <c r="AJ682" s="166">
        <f t="shared" si="235"/>
        <v>0</v>
      </c>
      <c r="AK682" s="162"/>
      <c r="AL682" s="162">
        <f t="shared" si="230"/>
        <v>0</v>
      </c>
      <c r="AM682" s="173"/>
      <c r="AN682" s="167">
        <f t="shared" si="220"/>
        <v>0</v>
      </c>
      <c r="AO682" s="163"/>
      <c r="AP682" s="163">
        <f t="shared" si="221"/>
        <v>0</v>
      </c>
      <c r="AQ682" s="168"/>
      <c r="AR682" s="168">
        <f t="shared" si="222"/>
        <v>0</v>
      </c>
      <c r="AS682" s="170">
        <v>2800</v>
      </c>
      <c r="AT682" s="170">
        <f t="shared" si="223"/>
        <v>322000</v>
      </c>
      <c r="AU682" s="166"/>
      <c r="AV682" s="166">
        <f t="shared" si="224"/>
        <v>0</v>
      </c>
    </row>
    <row r="683" spans="1:48" s="131" customFormat="1" ht="31.5">
      <c r="A683" s="172" t="s">
        <v>5462</v>
      </c>
      <c r="B683" s="150" t="s">
        <v>5328</v>
      </c>
      <c r="C683" s="150" t="s">
        <v>215</v>
      </c>
      <c r="D683" s="634" t="s">
        <v>4875</v>
      </c>
      <c r="E683" s="631" t="s">
        <v>12642</v>
      </c>
      <c r="F683" s="175" t="s">
        <v>224</v>
      </c>
      <c r="G683" s="151" t="s">
        <v>225</v>
      </c>
      <c r="H683" s="174" t="s">
        <v>5325</v>
      </c>
      <c r="I683" s="150" t="s">
        <v>4876</v>
      </c>
      <c r="J683" s="153" t="s">
        <v>5463</v>
      </c>
      <c r="K683" s="151" t="s">
        <v>5104</v>
      </c>
      <c r="L683" s="151" t="s">
        <v>226</v>
      </c>
      <c r="M683" s="151" t="s">
        <v>215</v>
      </c>
      <c r="N683" s="152" t="s">
        <v>213</v>
      </c>
      <c r="O683" s="152" t="s">
        <v>10</v>
      </c>
      <c r="P683" s="176">
        <v>5250</v>
      </c>
      <c r="Q683" s="177">
        <v>1450</v>
      </c>
      <c r="R683" s="176">
        <v>19000</v>
      </c>
      <c r="S683" s="156">
        <f t="shared" si="215"/>
        <v>27550000</v>
      </c>
      <c r="T683" s="589"/>
      <c r="U683" s="157">
        <v>19000</v>
      </c>
      <c r="V683" s="158">
        <f t="shared" si="231"/>
        <v>18430</v>
      </c>
      <c r="W683" s="159">
        <f t="shared" si="216"/>
        <v>570</v>
      </c>
      <c r="X683" s="159">
        <f t="shared" si="217"/>
        <v>826500</v>
      </c>
      <c r="Y683" s="160"/>
      <c r="Z683" s="160">
        <f t="shared" si="218"/>
        <v>0</v>
      </c>
      <c r="AA683" s="165">
        <v>250</v>
      </c>
      <c r="AB683" s="161">
        <f t="shared" si="219"/>
        <v>362500</v>
      </c>
      <c r="AC683" s="162"/>
      <c r="AD683" s="162">
        <f t="shared" si="232"/>
        <v>0</v>
      </c>
      <c r="AE683" s="164"/>
      <c r="AF683" s="164">
        <f t="shared" si="233"/>
        <v>0</v>
      </c>
      <c r="AG683" s="165"/>
      <c r="AH683" s="165">
        <f t="shared" si="234"/>
        <v>0</v>
      </c>
      <c r="AI683" s="166">
        <v>0</v>
      </c>
      <c r="AJ683" s="166">
        <f t="shared" si="235"/>
        <v>0</v>
      </c>
      <c r="AK683" s="162"/>
      <c r="AL683" s="162">
        <f t="shared" si="230"/>
        <v>0</v>
      </c>
      <c r="AM683" s="173"/>
      <c r="AN683" s="167">
        <f t="shared" si="220"/>
        <v>0</v>
      </c>
      <c r="AO683" s="163"/>
      <c r="AP683" s="163">
        <f t="shared" si="221"/>
        <v>0</v>
      </c>
      <c r="AQ683" s="168"/>
      <c r="AR683" s="168">
        <f t="shared" si="222"/>
        <v>0</v>
      </c>
      <c r="AS683" s="170">
        <v>320</v>
      </c>
      <c r="AT683" s="170">
        <f t="shared" si="223"/>
        <v>464000</v>
      </c>
      <c r="AU683" s="166"/>
      <c r="AV683" s="166">
        <f t="shared" si="224"/>
        <v>0</v>
      </c>
    </row>
    <row r="684" spans="1:48" s="131" customFormat="1" ht="31.5">
      <c r="A684" s="148" t="s">
        <v>5495</v>
      </c>
      <c r="B684" s="150" t="s">
        <v>5328</v>
      </c>
      <c r="C684" s="150" t="s">
        <v>215</v>
      </c>
      <c r="D684" s="634" t="s">
        <v>5496</v>
      </c>
      <c r="E684" s="631"/>
      <c r="F684" s="175" t="s">
        <v>227</v>
      </c>
      <c r="G684" s="151" t="s">
        <v>229</v>
      </c>
      <c r="H684" s="174" t="s">
        <v>5325</v>
      </c>
      <c r="I684" s="150" t="s">
        <v>5497</v>
      </c>
      <c r="J684" s="153" t="s">
        <v>5498</v>
      </c>
      <c r="K684" s="151" t="s">
        <v>5104</v>
      </c>
      <c r="L684" s="151" t="s">
        <v>230</v>
      </c>
      <c r="M684" s="151" t="s">
        <v>215</v>
      </c>
      <c r="N684" s="152" t="s">
        <v>213</v>
      </c>
      <c r="O684" s="152" t="s">
        <v>12</v>
      </c>
      <c r="P684" s="176">
        <v>1750</v>
      </c>
      <c r="Q684" s="177">
        <v>330</v>
      </c>
      <c r="R684" s="176">
        <v>116000</v>
      </c>
      <c r="S684" s="156">
        <f t="shared" si="215"/>
        <v>38280000</v>
      </c>
      <c r="T684" s="589"/>
      <c r="U684" s="157">
        <v>96000</v>
      </c>
      <c r="V684" s="158">
        <f t="shared" si="231"/>
        <v>96000</v>
      </c>
      <c r="W684" s="159">
        <f t="shared" si="216"/>
        <v>0</v>
      </c>
      <c r="X684" s="159">
        <f t="shared" si="217"/>
        <v>0</v>
      </c>
      <c r="Y684" s="160"/>
      <c r="Z684" s="160">
        <f t="shared" si="218"/>
        <v>0</v>
      </c>
      <c r="AA684" s="165"/>
      <c r="AB684" s="161">
        <f t="shared" si="219"/>
        <v>0</v>
      </c>
      <c r="AC684" s="162"/>
      <c r="AD684" s="162">
        <f t="shared" si="232"/>
        <v>0</v>
      </c>
      <c r="AE684" s="164"/>
      <c r="AF684" s="164">
        <f t="shared" si="233"/>
        <v>0</v>
      </c>
      <c r="AG684" s="165"/>
      <c r="AH684" s="165">
        <f t="shared" si="234"/>
        <v>0</v>
      </c>
      <c r="AI684" s="166">
        <v>0</v>
      </c>
      <c r="AJ684" s="166">
        <f t="shared" si="235"/>
        <v>0</v>
      </c>
      <c r="AK684" s="162"/>
      <c r="AL684" s="162">
        <f t="shared" si="230"/>
        <v>0</v>
      </c>
      <c r="AM684" s="173"/>
      <c r="AN684" s="167">
        <f t="shared" si="220"/>
        <v>0</v>
      </c>
      <c r="AO684" s="163"/>
      <c r="AP684" s="163">
        <f t="shared" si="221"/>
        <v>0</v>
      </c>
      <c r="AQ684" s="168"/>
      <c r="AR684" s="168">
        <f t="shared" si="222"/>
        <v>0</v>
      </c>
      <c r="AS684" s="170"/>
      <c r="AT684" s="170">
        <f t="shared" si="223"/>
        <v>0</v>
      </c>
      <c r="AU684" s="166"/>
      <c r="AV684" s="166">
        <f t="shared" si="224"/>
        <v>0</v>
      </c>
    </row>
    <row r="685" spans="1:48" s="131" customFormat="1" ht="31.5">
      <c r="A685" s="148" t="s">
        <v>5499</v>
      </c>
      <c r="B685" s="150" t="s">
        <v>5328</v>
      </c>
      <c r="C685" s="150" t="s">
        <v>215</v>
      </c>
      <c r="D685" s="634" t="s">
        <v>5500</v>
      </c>
      <c r="E685" s="631" t="s">
        <v>12642</v>
      </c>
      <c r="F685" s="175" t="s">
        <v>227</v>
      </c>
      <c r="G685" s="151" t="s">
        <v>232</v>
      </c>
      <c r="H685" s="174" t="s">
        <v>5325</v>
      </c>
      <c r="I685" s="150" t="s">
        <v>4787</v>
      </c>
      <c r="J685" s="153" t="s">
        <v>5498</v>
      </c>
      <c r="K685" s="151" t="s">
        <v>5104</v>
      </c>
      <c r="L685" s="151" t="s">
        <v>233</v>
      </c>
      <c r="M685" s="151" t="s">
        <v>215</v>
      </c>
      <c r="N685" s="152" t="s">
        <v>213</v>
      </c>
      <c r="O685" s="152" t="s">
        <v>12</v>
      </c>
      <c r="P685" s="176">
        <v>1500</v>
      </c>
      <c r="Q685" s="177">
        <v>365</v>
      </c>
      <c r="R685" s="176">
        <v>232000</v>
      </c>
      <c r="S685" s="156">
        <f t="shared" si="215"/>
        <v>84680000</v>
      </c>
      <c r="T685" s="589"/>
      <c r="U685" s="157">
        <v>182000</v>
      </c>
      <c r="V685" s="158">
        <f t="shared" si="231"/>
        <v>158520</v>
      </c>
      <c r="W685" s="159">
        <f t="shared" si="216"/>
        <v>23480</v>
      </c>
      <c r="X685" s="159">
        <f t="shared" si="217"/>
        <v>8570200</v>
      </c>
      <c r="Y685" s="160"/>
      <c r="Z685" s="160">
        <f t="shared" si="218"/>
        <v>0</v>
      </c>
      <c r="AA685" s="165"/>
      <c r="AB685" s="161">
        <f t="shared" si="219"/>
        <v>0</v>
      </c>
      <c r="AC685" s="162"/>
      <c r="AD685" s="162">
        <f t="shared" si="232"/>
        <v>0</v>
      </c>
      <c r="AE685" s="164"/>
      <c r="AF685" s="164">
        <f t="shared" si="233"/>
        <v>0</v>
      </c>
      <c r="AG685" s="165"/>
      <c r="AH685" s="165">
        <f t="shared" si="234"/>
        <v>0</v>
      </c>
      <c r="AI685" s="166">
        <v>0</v>
      </c>
      <c r="AJ685" s="166">
        <f t="shared" si="235"/>
        <v>0</v>
      </c>
      <c r="AK685" s="162"/>
      <c r="AL685" s="162">
        <f t="shared" si="230"/>
        <v>0</v>
      </c>
      <c r="AM685" s="173"/>
      <c r="AN685" s="167">
        <f t="shared" si="220"/>
        <v>0</v>
      </c>
      <c r="AO685" s="163"/>
      <c r="AP685" s="163">
        <f t="shared" si="221"/>
        <v>0</v>
      </c>
      <c r="AQ685" s="168"/>
      <c r="AR685" s="168">
        <f t="shared" si="222"/>
        <v>0</v>
      </c>
      <c r="AS685" s="170">
        <v>3500</v>
      </c>
      <c r="AT685" s="170">
        <f t="shared" si="223"/>
        <v>1277500</v>
      </c>
      <c r="AU685" s="166">
        <f>10740+9240</f>
        <v>19980</v>
      </c>
      <c r="AV685" s="166">
        <f t="shared" si="224"/>
        <v>7292700</v>
      </c>
    </row>
    <row r="686" spans="1:48" s="131" customFormat="1" ht="31.5">
      <c r="A686" s="172" t="s">
        <v>5501</v>
      </c>
      <c r="B686" s="150" t="s">
        <v>5328</v>
      </c>
      <c r="C686" s="150" t="s">
        <v>215</v>
      </c>
      <c r="D686" s="634" t="s">
        <v>4803</v>
      </c>
      <c r="E686" s="631" t="s">
        <v>12642</v>
      </c>
      <c r="F686" s="175" t="s">
        <v>216</v>
      </c>
      <c r="G686" s="151" t="s">
        <v>3528</v>
      </c>
      <c r="H686" s="174" t="s">
        <v>5325</v>
      </c>
      <c r="I686" s="150" t="s">
        <v>3542</v>
      </c>
      <c r="J686" s="153" t="s">
        <v>5345</v>
      </c>
      <c r="K686" s="151" t="s">
        <v>5104</v>
      </c>
      <c r="L686" s="151" t="s">
        <v>5502</v>
      </c>
      <c r="M686" s="151" t="s">
        <v>217</v>
      </c>
      <c r="N686" s="152" t="s">
        <v>213</v>
      </c>
      <c r="O686" s="152" t="s">
        <v>10</v>
      </c>
      <c r="P686" s="176">
        <v>7500</v>
      </c>
      <c r="Q686" s="177">
        <v>1750</v>
      </c>
      <c r="R686" s="176">
        <v>364000</v>
      </c>
      <c r="S686" s="156">
        <f t="shared" si="215"/>
        <v>637000000</v>
      </c>
      <c r="T686" s="589"/>
      <c r="U686" s="157">
        <v>352300</v>
      </c>
      <c r="V686" s="158">
        <f t="shared" si="231"/>
        <v>349960</v>
      </c>
      <c r="W686" s="159">
        <f t="shared" si="216"/>
        <v>2340</v>
      </c>
      <c r="X686" s="159">
        <f t="shared" si="217"/>
        <v>4095000</v>
      </c>
      <c r="Y686" s="160"/>
      <c r="Z686" s="160">
        <f t="shared" si="218"/>
        <v>0</v>
      </c>
      <c r="AA686" s="161">
        <v>2340</v>
      </c>
      <c r="AB686" s="161">
        <f t="shared" si="219"/>
        <v>4095000</v>
      </c>
      <c r="AC686" s="162"/>
      <c r="AD686" s="162">
        <f t="shared" si="232"/>
        <v>0</v>
      </c>
      <c r="AE686" s="164"/>
      <c r="AF686" s="164">
        <f t="shared" si="233"/>
        <v>0</v>
      </c>
      <c r="AG686" s="165"/>
      <c r="AH686" s="165">
        <f t="shared" si="234"/>
        <v>0</v>
      </c>
      <c r="AI686" s="166">
        <v>0</v>
      </c>
      <c r="AJ686" s="166">
        <f t="shared" si="235"/>
        <v>0</v>
      </c>
      <c r="AK686" s="162"/>
      <c r="AL686" s="162">
        <f t="shared" si="230"/>
        <v>0</v>
      </c>
      <c r="AM686" s="167"/>
      <c r="AN686" s="167">
        <f t="shared" si="220"/>
        <v>0</v>
      </c>
      <c r="AO686" s="163"/>
      <c r="AP686" s="163">
        <f t="shared" si="221"/>
        <v>0</v>
      </c>
      <c r="AQ686" s="168"/>
      <c r="AR686" s="168">
        <f t="shared" si="222"/>
        <v>0</v>
      </c>
      <c r="AS686" s="170"/>
      <c r="AT686" s="170">
        <f t="shared" si="223"/>
        <v>0</v>
      </c>
      <c r="AU686" s="166"/>
      <c r="AV686" s="166">
        <f t="shared" si="224"/>
        <v>0</v>
      </c>
    </row>
    <row r="687" spans="1:48" s="131" customFormat="1" ht="31.5">
      <c r="A687" s="172" t="s">
        <v>5552</v>
      </c>
      <c r="B687" s="150" t="s">
        <v>5328</v>
      </c>
      <c r="C687" s="150" t="s">
        <v>215</v>
      </c>
      <c r="D687" s="634" t="s">
        <v>5553</v>
      </c>
      <c r="E687" s="631"/>
      <c r="F687" s="175" t="s">
        <v>234</v>
      </c>
      <c r="G687" s="151" t="s">
        <v>235</v>
      </c>
      <c r="H687" s="174" t="s">
        <v>5554</v>
      </c>
      <c r="I687" s="150" t="s">
        <v>5330</v>
      </c>
      <c r="J687" s="153" t="s">
        <v>5331</v>
      </c>
      <c r="K687" s="151" t="s">
        <v>5104</v>
      </c>
      <c r="L687" s="151" t="s">
        <v>5332</v>
      </c>
      <c r="M687" s="151" t="s">
        <v>215</v>
      </c>
      <c r="N687" s="152" t="s">
        <v>213</v>
      </c>
      <c r="O687" s="152" t="s">
        <v>10</v>
      </c>
      <c r="P687" s="176">
        <v>4200</v>
      </c>
      <c r="Q687" s="177">
        <v>465</v>
      </c>
      <c r="R687" s="176">
        <v>37000</v>
      </c>
      <c r="S687" s="156">
        <f t="shared" si="215"/>
        <v>17205000</v>
      </c>
      <c r="T687" s="589"/>
      <c r="U687" s="157">
        <v>37000</v>
      </c>
      <c r="V687" s="158">
        <f t="shared" si="231"/>
        <v>37000</v>
      </c>
      <c r="W687" s="159">
        <f t="shared" si="216"/>
        <v>0</v>
      </c>
      <c r="X687" s="159">
        <f t="shared" si="217"/>
        <v>0</v>
      </c>
      <c r="Y687" s="160"/>
      <c r="Z687" s="160">
        <f t="shared" si="218"/>
        <v>0</v>
      </c>
      <c r="AA687" s="165"/>
      <c r="AB687" s="161">
        <f t="shared" si="219"/>
        <v>0</v>
      </c>
      <c r="AC687" s="162"/>
      <c r="AD687" s="162">
        <f t="shared" si="232"/>
        <v>0</v>
      </c>
      <c r="AE687" s="164"/>
      <c r="AF687" s="164">
        <f t="shared" si="233"/>
        <v>0</v>
      </c>
      <c r="AG687" s="165"/>
      <c r="AH687" s="165">
        <f t="shared" si="234"/>
        <v>0</v>
      </c>
      <c r="AI687" s="166">
        <v>0</v>
      </c>
      <c r="AJ687" s="166">
        <f t="shared" si="235"/>
        <v>0</v>
      </c>
      <c r="AK687" s="162"/>
      <c r="AL687" s="162">
        <f t="shared" si="230"/>
        <v>0</v>
      </c>
      <c r="AM687" s="173"/>
      <c r="AN687" s="167">
        <f t="shared" si="220"/>
        <v>0</v>
      </c>
      <c r="AO687" s="163"/>
      <c r="AP687" s="163">
        <f t="shared" si="221"/>
        <v>0</v>
      </c>
      <c r="AQ687" s="168"/>
      <c r="AR687" s="168">
        <f t="shared" si="222"/>
        <v>0</v>
      </c>
      <c r="AS687" s="170"/>
      <c r="AT687" s="170">
        <f t="shared" si="223"/>
        <v>0</v>
      </c>
      <c r="AU687" s="166"/>
      <c r="AV687" s="166">
        <f t="shared" si="224"/>
        <v>0</v>
      </c>
    </row>
    <row r="688" spans="1:48" s="131" customFormat="1" ht="31.5">
      <c r="A688" s="148" t="s">
        <v>5586</v>
      </c>
      <c r="B688" s="150" t="s">
        <v>5328</v>
      </c>
      <c r="C688" s="150" t="s">
        <v>215</v>
      </c>
      <c r="D688" s="634" t="s">
        <v>4877</v>
      </c>
      <c r="E688" s="631" t="s">
        <v>12642</v>
      </c>
      <c r="F688" s="175" t="s">
        <v>224</v>
      </c>
      <c r="G688" s="151" t="s">
        <v>225</v>
      </c>
      <c r="H688" s="174" t="s">
        <v>5554</v>
      </c>
      <c r="I688" s="150" t="s">
        <v>4876</v>
      </c>
      <c r="J688" s="153" t="s">
        <v>5463</v>
      </c>
      <c r="K688" s="151" t="s">
        <v>5104</v>
      </c>
      <c r="L688" s="151" t="s">
        <v>226</v>
      </c>
      <c r="M688" s="151" t="s">
        <v>215</v>
      </c>
      <c r="N688" s="152" t="s">
        <v>213</v>
      </c>
      <c r="O688" s="152" t="s">
        <v>10</v>
      </c>
      <c r="P688" s="176">
        <v>5250</v>
      </c>
      <c r="Q688" s="177">
        <v>1450</v>
      </c>
      <c r="R688" s="176">
        <v>19000</v>
      </c>
      <c r="S688" s="156">
        <f t="shared" si="215"/>
        <v>27550000</v>
      </c>
      <c r="T688" s="589"/>
      <c r="U688" s="157">
        <v>18170</v>
      </c>
      <c r="V688" s="158">
        <f t="shared" si="231"/>
        <v>17970</v>
      </c>
      <c r="W688" s="159">
        <f t="shared" si="216"/>
        <v>200</v>
      </c>
      <c r="X688" s="159">
        <f t="shared" si="217"/>
        <v>290000</v>
      </c>
      <c r="Y688" s="160"/>
      <c r="Z688" s="160">
        <f t="shared" si="218"/>
        <v>0</v>
      </c>
      <c r="AA688" s="165"/>
      <c r="AB688" s="161">
        <f t="shared" si="219"/>
        <v>0</v>
      </c>
      <c r="AC688" s="162"/>
      <c r="AD688" s="162">
        <f t="shared" si="232"/>
        <v>0</v>
      </c>
      <c r="AE688" s="164"/>
      <c r="AF688" s="164">
        <f t="shared" si="233"/>
        <v>0</v>
      </c>
      <c r="AG688" s="165"/>
      <c r="AH688" s="165">
        <f t="shared" si="234"/>
        <v>0</v>
      </c>
      <c r="AI688" s="166">
        <v>0</v>
      </c>
      <c r="AJ688" s="166">
        <f t="shared" si="235"/>
        <v>0</v>
      </c>
      <c r="AK688" s="162"/>
      <c r="AL688" s="162">
        <f t="shared" si="230"/>
        <v>0</v>
      </c>
      <c r="AM688" s="173"/>
      <c r="AN688" s="167">
        <f t="shared" si="220"/>
        <v>0</v>
      </c>
      <c r="AO688" s="163"/>
      <c r="AP688" s="163">
        <f t="shared" si="221"/>
        <v>0</v>
      </c>
      <c r="AQ688" s="168"/>
      <c r="AR688" s="168">
        <f t="shared" si="222"/>
        <v>0</v>
      </c>
      <c r="AS688" s="170"/>
      <c r="AT688" s="170">
        <f t="shared" si="223"/>
        <v>0</v>
      </c>
      <c r="AU688" s="166">
        <v>200</v>
      </c>
      <c r="AV688" s="166">
        <f t="shared" si="224"/>
        <v>290000</v>
      </c>
    </row>
    <row r="689" spans="1:48" s="131" customFormat="1" ht="31.5">
      <c r="A689" s="172" t="s">
        <v>7133</v>
      </c>
      <c r="B689" s="150" t="s">
        <v>5328</v>
      </c>
      <c r="C689" s="150" t="s">
        <v>215</v>
      </c>
      <c r="D689" s="240" t="s">
        <v>4983</v>
      </c>
      <c r="E689" s="590" t="s">
        <v>12642</v>
      </c>
      <c r="F689" s="203" t="s">
        <v>579</v>
      </c>
      <c r="G689" s="204" t="s">
        <v>581</v>
      </c>
      <c r="H689" s="204">
        <v>3</v>
      </c>
      <c r="I689" s="203" t="s">
        <v>580</v>
      </c>
      <c r="J689" s="205" t="s">
        <v>7134</v>
      </c>
      <c r="K689" s="203" t="s">
        <v>5104</v>
      </c>
      <c r="L689" s="205" t="s">
        <v>7135</v>
      </c>
      <c r="M689" s="205" t="s">
        <v>7136</v>
      </c>
      <c r="N689" s="204" t="s">
        <v>213</v>
      </c>
      <c r="O689" s="204" t="s">
        <v>11</v>
      </c>
      <c r="P689" s="206">
        <v>430</v>
      </c>
      <c r="Q689" s="206">
        <v>245</v>
      </c>
      <c r="R689" s="207">
        <v>60000</v>
      </c>
      <c r="S689" s="207">
        <f t="shared" si="215"/>
        <v>14700000</v>
      </c>
      <c r="T689" s="589"/>
      <c r="U689" s="157">
        <v>60000</v>
      </c>
      <c r="V689" s="158">
        <f t="shared" si="231"/>
        <v>56500</v>
      </c>
      <c r="W689" s="159">
        <f t="shared" si="216"/>
        <v>3500</v>
      </c>
      <c r="X689" s="159">
        <f t="shared" si="217"/>
        <v>857500</v>
      </c>
      <c r="Y689" s="160"/>
      <c r="Z689" s="160">
        <f t="shared" si="218"/>
        <v>0</v>
      </c>
      <c r="AA689" s="165">
        <v>3500</v>
      </c>
      <c r="AB689" s="161">
        <f t="shared" si="219"/>
        <v>857500</v>
      </c>
      <c r="AC689" s="162"/>
      <c r="AD689" s="162">
        <f t="shared" si="232"/>
        <v>0</v>
      </c>
      <c r="AE689" s="163"/>
      <c r="AF689" s="164">
        <f t="shared" si="233"/>
        <v>0</v>
      </c>
      <c r="AG689" s="161"/>
      <c r="AH689" s="165">
        <f t="shared" si="234"/>
        <v>0</v>
      </c>
      <c r="AI689" s="160">
        <v>0</v>
      </c>
      <c r="AJ689" s="166">
        <f t="shared" si="235"/>
        <v>0</v>
      </c>
      <c r="AK689" s="162"/>
      <c r="AL689" s="162">
        <f t="shared" si="230"/>
        <v>0</v>
      </c>
      <c r="AM689" s="173"/>
      <c r="AN689" s="167">
        <f t="shared" si="220"/>
        <v>0</v>
      </c>
      <c r="AO689" s="163"/>
      <c r="AP689" s="163">
        <f t="shared" si="221"/>
        <v>0</v>
      </c>
      <c r="AQ689" s="162"/>
      <c r="AR689" s="168">
        <f t="shared" si="222"/>
        <v>0</v>
      </c>
      <c r="AS689" s="169"/>
      <c r="AT689" s="170">
        <f t="shared" si="223"/>
        <v>0</v>
      </c>
      <c r="AU689" s="160"/>
      <c r="AV689" s="166">
        <f t="shared" si="224"/>
        <v>0</v>
      </c>
    </row>
    <row r="690" spans="1:48" s="131" customFormat="1" ht="31.5">
      <c r="A690" s="148" t="s">
        <v>7206</v>
      </c>
      <c r="B690" s="150" t="s">
        <v>5328</v>
      </c>
      <c r="C690" s="150" t="s">
        <v>215</v>
      </c>
      <c r="D690" s="240" t="s">
        <v>7207</v>
      </c>
      <c r="E690" s="590"/>
      <c r="F690" s="203" t="s">
        <v>659</v>
      </c>
      <c r="G690" s="204" t="s">
        <v>262</v>
      </c>
      <c r="H690" s="204">
        <v>3</v>
      </c>
      <c r="I690" s="203" t="s">
        <v>7208</v>
      </c>
      <c r="J690" s="205" t="s">
        <v>7209</v>
      </c>
      <c r="K690" s="203" t="s">
        <v>5104</v>
      </c>
      <c r="L690" s="205" t="s">
        <v>7210</v>
      </c>
      <c r="M690" s="205" t="s">
        <v>7211</v>
      </c>
      <c r="N690" s="204" t="s">
        <v>213</v>
      </c>
      <c r="O690" s="204" t="s">
        <v>11</v>
      </c>
      <c r="P690" s="206">
        <v>5950</v>
      </c>
      <c r="Q690" s="206">
        <v>495</v>
      </c>
      <c r="R690" s="207">
        <v>50000</v>
      </c>
      <c r="S690" s="207">
        <f t="shared" si="215"/>
        <v>24750000</v>
      </c>
      <c r="T690" s="589"/>
      <c r="U690" s="157">
        <v>50000</v>
      </c>
      <c r="V690" s="158">
        <f t="shared" si="231"/>
        <v>50000</v>
      </c>
      <c r="W690" s="159">
        <f t="shared" si="216"/>
        <v>0</v>
      </c>
      <c r="X690" s="159">
        <f t="shared" si="217"/>
        <v>0</v>
      </c>
      <c r="Y690" s="160"/>
      <c r="Z690" s="160">
        <f t="shared" si="218"/>
        <v>0</v>
      </c>
      <c r="AA690" s="165"/>
      <c r="AB690" s="161">
        <f t="shared" si="219"/>
        <v>0</v>
      </c>
      <c r="AC690" s="162"/>
      <c r="AD690" s="162">
        <f t="shared" si="232"/>
        <v>0</v>
      </c>
      <c r="AE690" s="164"/>
      <c r="AF690" s="164">
        <f t="shared" si="233"/>
        <v>0</v>
      </c>
      <c r="AG690" s="165"/>
      <c r="AH690" s="165">
        <f t="shared" si="234"/>
        <v>0</v>
      </c>
      <c r="AI690" s="166">
        <v>0</v>
      </c>
      <c r="AJ690" s="166">
        <f t="shared" si="235"/>
        <v>0</v>
      </c>
      <c r="AK690" s="162"/>
      <c r="AL690" s="162">
        <f t="shared" si="230"/>
        <v>0</v>
      </c>
      <c r="AM690" s="173"/>
      <c r="AN690" s="167">
        <f t="shared" si="220"/>
        <v>0</v>
      </c>
      <c r="AO690" s="163"/>
      <c r="AP690" s="163">
        <f t="shared" si="221"/>
        <v>0</v>
      </c>
      <c r="AQ690" s="168"/>
      <c r="AR690" s="168">
        <f t="shared" si="222"/>
        <v>0</v>
      </c>
      <c r="AS690" s="170"/>
      <c r="AT690" s="170">
        <f t="shared" si="223"/>
        <v>0</v>
      </c>
      <c r="AU690" s="166"/>
      <c r="AV690" s="166">
        <f t="shared" si="224"/>
        <v>0</v>
      </c>
    </row>
    <row r="691" spans="1:48" s="131" customFormat="1" ht="31.5">
      <c r="A691" s="148" t="s">
        <v>7342</v>
      </c>
      <c r="B691" s="150" t="s">
        <v>5328</v>
      </c>
      <c r="C691" s="150" t="s">
        <v>215</v>
      </c>
      <c r="D691" s="240" t="s">
        <v>4457</v>
      </c>
      <c r="E691" s="590" t="s">
        <v>12642</v>
      </c>
      <c r="F691" s="203" t="s">
        <v>4459</v>
      </c>
      <c r="G691" s="204" t="s">
        <v>4460</v>
      </c>
      <c r="H691" s="204">
        <v>3</v>
      </c>
      <c r="I691" s="203" t="s">
        <v>4458</v>
      </c>
      <c r="J691" s="205" t="s">
        <v>7343</v>
      </c>
      <c r="K691" s="203" t="s">
        <v>5104</v>
      </c>
      <c r="L691" s="205" t="s">
        <v>7344</v>
      </c>
      <c r="M691" s="205" t="s">
        <v>7211</v>
      </c>
      <c r="N691" s="204" t="s">
        <v>213</v>
      </c>
      <c r="O691" s="204" t="s">
        <v>11</v>
      </c>
      <c r="P691" s="206">
        <v>3300</v>
      </c>
      <c r="Q691" s="206">
        <v>1090</v>
      </c>
      <c r="R691" s="207">
        <v>5000</v>
      </c>
      <c r="S691" s="207">
        <f t="shared" si="215"/>
        <v>5450000</v>
      </c>
      <c r="T691" s="589"/>
      <c r="U691" s="157">
        <v>5000</v>
      </c>
      <c r="V691" s="158">
        <f t="shared" si="231"/>
        <v>1200</v>
      </c>
      <c r="W691" s="159">
        <f t="shared" si="216"/>
        <v>3800</v>
      </c>
      <c r="X691" s="159">
        <f t="shared" si="217"/>
        <v>4142000</v>
      </c>
      <c r="Y691" s="160"/>
      <c r="Z691" s="160">
        <f t="shared" si="218"/>
        <v>0</v>
      </c>
      <c r="AA691" s="165"/>
      <c r="AB691" s="161">
        <f t="shared" si="219"/>
        <v>0</v>
      </c>
      <c r="AC691" s="162"/>
      <c r="AD691" s="162">
        <f t="shared" si="232"/>
        <v>0</v>
      </c>
      <c r="AE691" s="164"/>
      <c r="AF691" s="164">
        <f t="shared" si="233"/>
        <v>0</v>
      </c>
      <c r="AG691" s="165"/>
      <c r="AH691" s="165">
        <f t="shared" si="234"/>
        <v>0</v>
      </c>
      <c r="AI691" s="166">
        <v>0</v>
      </c>
      <c r="AJ691" s="166">
        <f t="shared" si="235"/>
        <v>0</v>
      </c>
      <c r="AK691" s="162"/>
      <c r="AL691" s="162">
        <f t="shared" si="230"/>
        <v>0</v>
      </c>
      <c r="AM691" s="173">
        <v>200</v>
      </c>
      <c r="AN691" s="167">
        <f t="shared" si="220"/>
        <v>218000</v>
      </c>
      <c r="AO691" s="163"/>
      <c r="AP691" s="163">
        <f t="shared" si="221"/>
        <v>0</v>
      </c>
      <c r="AQ691" s="168"/>
      <c r="AR691" s="168">
        <f t="shared" si="222"/>
        <v>0</v>
      </c>
      <c r="AS691" s="170">
        <v>3600</v>
      </c>
      <c r="AT691" s="170">
        <f t="shared" si="223"/>
        <v>3924000</v>
      </c>
      <c r="AU691" s="166"/>
      <c r="AV691" s="166">
        <f t="shared" si="224"/>
        <v>0</v>
      </c>
    </row>
    <row r="692" spans="1:48" s="131" customFormat="1" ht="31.5">
      <c r="A692" s="148" t="s">
        <v>7368</v>
      </c>
      <c r="B692" s="150" t="s">
        <v>5328</v>
      </c>
      <c r="C692" s="150" t="s">
        <v>215</v>
      </c>
      <c r="D692" s="240" t="s">
        <v>7369</v>
      </c>
      <c r="E692" s="590"/>
      <c r="F692" s="203" t="s">
        <v>7370</v>
      </c>
      <c r="G692" s="204" t="s">
        <v>232</v>
      </c>
      <c r="H692" s="204">
        <v>3</v>
      </c>
      <c r="I692" s="203" t="s">
        <v>7371</v>
      </c>
      <c r="J692" s="205" t="s">
        <v>7372</v>
      </c>
      <c r="K692" s="203" t="s">
        <v>5104</v>
      </c>
      <c r="L692" s="205" t="s">
        <v>7373</v>
      </c>
      <c r="M692" s="205" t="s">
        <v>7211</v>
      </c>
      <c r="N692" s="204" t="s">
        <v>213</v>
      </c>
      <c r="O692" s="204" t="s">
        <v>11</v>
      </c>
      <c r="P692" s="206">
        <v>1820</v>
      </c>
      <c r="Q692" s="206">
        <v>465</v>
      </c>
      <c r="R692" s="207">
        <v>30000</v>
      </c>
      <c r="S692" s="207">
        <f t="shared" si="215"/>
        <v>13950000</v>
      </c>
      <c r="T692" s="589"/>
      <c r="U692" s="157">
        <v>30000</v>
      </c>
      <c r="V692" s="158">
        <f t="shared" si="231"/>
        <v>30000</v>
      </c>
      <c r="W692" s="159">
        <f t="shared" si="216"/>
        <v>0</v>
      </c>
      <c r="X692" s="159">
        <f t="shared" si="217"/>
        <v>0</v>
      </c>
      <c r="Y692" s="160"/>
      <c r="Z692" s="160">
        <f t="shared" si="218"/>
        <v>0</v>
      </c>
      <c r="AA692" s="165"/>
      <c r="AB692" s="161">
        <f t="shared" si="219"/>
        <v>0</v>
      </c>
      <c r="AC692" s="162"/>
      <c r="AD692" s="162">
        <f t="shared" si="232"/>
        <v>0</v>
      </c>
      <c r="AE692" s="164"/>
      <c r="AF692" s="164">
        <f t="shared" si="233"/>
        <v>0</v>
      </c>
      <c r="AG692" s="165"/>
      <c r="AH692" s="165">
        <f t="shared" si="234"/>
        <v>0</v>
      </c>
      <c r="AI692" s="166">
        <v>0</v>
      </c>
      <c r="AJ692" s="166">
        <f t="shared" si="235"/>
        <v>0</v>
      </c>
      <c r="AK692" s="162"/>
      <c r="AL692" s="162">
        <f t="shared" si="230"/>
        <v>0</v>
      </c>
      <c r="AM692" s="173"/>
      <c r="AN692" s="167">
        <f t="shared" si="220"/>
        <v>0</v>
      </c>
      <c r="AO692" s="163"/>
      <c r="AP692" s="163">
        <f t="shared" si="221"/>
        <v>0</v>
      </c>
      <c r="AQ692" s="168"/>
      <c r="AR692" s="168">
        <f t="shared" si="222"/>
        <v>0</v>
      </c>
      <c r="AS692" s="170"/>
      <c r="AT692" s="170">
        <f t="shared" si="223"/>
        <v>0</v>
      </c>
      <c r="AU692" s="166"/>
      <c r="AV692" s="166">
        <f t="shared" si="224"/>
        <v>0</v>
      </c>
    </row>
    <row r="693" spans="1:48" s="131" customFormat="1" ht="31.5">
      <c r="A693" s="148" t="s">
        <v>7414</v>
      </c>
      <c r="B693" s="150" t="s">
        <v>5328</v>
      </c>
      <c r="C693" s="150" t="s">
        <v>215</v>
      </c>
      <c r="D693" s="240" t="s">
        <v>3741</v>
      </c>
      <c r="E693" s="590" t="s">
        <v>12642</v>
      </c>
      <c r="F693" s="203" t="s">
        <v>639</v>
      </c>
      <c r="G693" s="204" t="s">
        <v>299</v>
      </c>
      <c r="H693" s="204">
        <v>3</v>
      </c>
      <c r="I693" s="203" t="s">
        <v>3742</v>
      </c>
      <c r="J693" s="205" t="s">
        <v>7415</v>
      </c>
      <c r="K693" s="203" t="s">
        <v>5104</v>
      </c>
      <c r="L693" s="205" t="s">
        <v>7416</v>
      </c>
      <c r="M693" s="205" t="s">
        <v>7211</v>
      </c>
      <c r="N693" s="204" t="s">
        <v>213</v>
      </c>
      <c r="O693" s="204" t="s">
        <v>11</v>
      </c>
      <c r="P693" s="206">
        <v>2000</v>
      </c>
      <c r="Q693" s="206">
        <v>340</v>
      </c>
      <c r="R693" s="207">
        <v>20000</v>
      </c>
      <c r="S693" s="207">
        <f t="shared" si="215"/>
        <v>6800000</v>
      </c>
      <c r="T693" s="589"/>
      <c r="U693" s="157">
        <v>20000</v>
      </c>
      <c r="V693" s="158">
        <f t="shared" si="231"/>
        <v>19800</v>
      </c>
      <c r="W693" s="159">
        <f t="shared" si="216"/>
        <v>200</v>
      </c>
      <c r="X693" s="159">
        <f t="shared" si="217"/>
        <v>68000</v>
      </c>
      <c r="Y693" s="160"/>
      <c r="Z693" s="160">
        <f t="shared" si="218"/>
        <v>0</v>
      </c>
      <c r="AA693" s="161">
        <v>200</v>
      </c>
      <c r="AB693" s="161">
        <f t="shared" si="219"/>
        <v>68000</v>
      </c>
      <c r="AC693" s="162"/>
      <c r="AD693" s="162">
        <f t="shared" si="232"/>
        <v>0</v>
      </c>
      <c r="AE693" s="164"/>
      <c r="AF693" s="164">
        <f t="shared" si="233"/>
        <v>0</v>
      </c>
      <c r="AG693" s="165"/>
      <c r="AH693" s="165">
        <f t="shared" si="234"/>
        <v>0</v>
      </c>
      <c r="AI693" s="166">
        <v>0</v>
      </c>
      <c r="AJ693" s="166">
        <f t="shared" si="235"/>
        <v>0</v>
      </c>
      <c r="AK693" s="162"/>
      <c r="AL693" s="162">
        <f t="shared" si="230"/>
        <v>0</v>
      </c>
      <c r="AM693" s="167"/>
      <c r="AN693" s="167">
        <f t="shared" si="220"/>
        <v>0</v>
      </c>
      <c r="AO693" s="163"/>
      <c r="AP693" s="163">
        <f t="shared" si="221"/>
        <v>0</v>
      </c>
      <c r="AQ693" s="168"/>
      <c r="AR693" s="168">
        <f t="shared" si="222"/>
        <v>0</v>
      </c>
      <c r="AS693" s="170"/>
      <c r="AT693" s="170">
        <f t="shared" si="223"/>
        <v>0</v>
      </c>
      <c r="AU693" s="166"/>
      <c r="AV693" s="166">
        <f t="shared" si="224"/>
        <v>0</v>
      </c>
    </row>
    <row r="694" spans="1:48" s="131" customFormat="1" ht="31.5">
      <c r="A694" s="172" t="s">
        <v>7432</v>
      </c>
      <c r="B694" s="150" t="s">
        <v>5328</v>
      </c>
      <c r="C694" s="150" t="s">
        <v>215</v>
      </c>
      <c r="D694" s="240" t="s">
        <v>4437</v>
      </c>
      <c r="E694" s="590" t="s">
        <v>12642</v>
      </c>
      <c r="F694" s="203" t="s">
        <v>543</v>
      </c>
      <c r="G694" s="204" t="s">
        <v>225</v>
      </c>
      <c r="H694" s="204">
        <v>3</v>
      </c>
      <c r="I694" s="203" t="s">
        <v>4438</v>
      </c>
      <c r="J694" s="205" t="s">
        <v>7433</v>
      </c>
      <c r="K694" s="203" t="s">
        <v>5104</v>
      </c>
      <c r="L694" s="205" t="s">
        <v>7434</v>
      </c>
      <c r="M694" s="205" t="s">
        <v>7211</v>
      </c>
      <c r="N694" s="204" t="s">
        <v>213</v>
      </c>
      <c r="O694" s="204" t="s">
        <v>11</v>
      </c>
      <c r="P694" s="206">
        <v>6500</v>
      </c>
      <c r="Q694" s="206">
        <v>4350</v>
      </c>
      <c r="R694" s="207">
        <v>10000</v>
      </c>
      <c r="S694" s="207">
        <f t="shared" si="215"/>
        <v>43500000</v>
      </c>
      <c r="T694" s="589"/>
      <c r="U694" s="157">
        <v>10000</v>
      </c>
      <c r="V694" s="158">
        <f t="shared" si="231"/>
        <v>9650</v>
      </c>
      <c r="W694" s="159">
        <f t="shared" si="216"/>
        <v>350</v>
      </c>
      <c r="X694" s="159">
        <f t="shared" si="217"/>
        <v>1522500</v>
      </c>
      <c r="Y694" s="160"/>
      <c r="Z694" s="160">
        <f t="shared" si="218"/>
        <v>0</v>
      </c>
      <c r="AA694" s="161">
        <v>350</v>
      </c>
      <c r="AB694" s="161">
        <f t="shared" si="219"/>
        <v>1522500</v>
      </c>
      <c r="AC694" s="162"/>
      <c r="AD694" s="162">
        <f t="shared" si="232"/>
        <v>0</v>
      </c>
      <c r="AE694" s="164"/>
      <c r="AF694" s="164">
        <f t="shared" si="233"/>
        <v>0</v>
      </c>
      <c r="AG694" s="165"/>
      <c r="AH694" s="165">
        <f t="shared" si="234"/>
        <v>0</v>
      </c>
      <c r="AI694" s="166">
        <v>0</v>
      </c>
      <c r="AJ694" s="166">
        <f t="shared" si="235"/>
        <v>0</v>
      </c>
      <c r="AK694" s="162"/>
      <c r="AL694" s="162">
        <f t="shared" si="230"/>
        <v>0</v>
      </c>
      <c r="AM694" s="167"/>
      <c r="AN694" s="167">
        <f t="shared" si="220"/>
        <v>0</v>
      </c>
      <c r="AO694" s="163"/>
      <c r="AP694" s="163">
        <f t="shared" si="221"/>
        <v>0</v>
      </c>
      <c r="AQ694" s="168"/>
      <c r="AR694" s="168">
        <f t="shared" si="222"/>
        <v>0</v>
      </c>
      <c r="AS694" s="170"/>
      <c r="AT694" s="170">
        <f t="shared" si="223"/>
        <v>0</v>
      </c>
      <c r="AU694" s="166"/>
      <c r="AV694" s="166">
        <f t="shared" si="224"/>
        <v>0</v>
      </c>
    </row>
    <row r="695" spans="1:48" s="131" customFormat="1" ht="31.5">
      <c r="A695" s="148" t="s">
        <v>7471</v>
      </c>
      <c r="B695" s="150" t="s">
        <v>5328</v>
      </c>
      <c r="C695" s="150" t="s">
        <v>215</v>
      </c>
      <c r="D695" s="240" t="s">
        <v>7472</v>
      </c>
      <c r="E695" s="590" t="s">
        <v>12642</v>
      </c>
      <c r="F695" s="203" t="s">
        <v>5979</v>
      </c>
      <c r="G695" s="204" t="s">
        <v>7473</v>
      </c>
      <c r="H695" s="204">
        <v>3</v>
      </c>
      <c r="I695" s="203" t="s">
        <v>4458</v>
      </c>
      <c r="J695" s="205" t="s">
        <v>7343</v>
      </c>
      <c r="K695" s="203" t="s">
        <v>5104</v>
      </c>
      <c r="L695" s="205" t="s">
        <v>7344</v>
      </c>
      <c r="M695" s="205" t="s">
        <v>7211</v>
      </c>
      <c r="N695" s="204" t="s">
        <v>213</v>
      </c>
      <c r="O695" s="204" t="s">
        <v>11</v>
      </c>
      <c r="P695" s="206">
        <v>3300</v>
      </c>
      <c r="Q695" s="206">
        <v>1090</v>
      </c>
      <c r="R695" s="207">
        <v>2000</v>
      </c>
      <c r="S695" s="207">
        <f t="shared" si="215"/>
        <v>2180000</v>
      </c>
      <c r="T695" s="589"/>
      <c r="U695" s="157">
        <v>2000</v>
      </c>
      <c r="V695" s="158">
        <f t="shared" si="231"/>
        <v>2000</v>
      </c>
      <c r="W695" s="159">
        <f t="shared" si="216"/>
        <v>0</v>
      </c>
      <c r="X695" s="159">
        <f t="shared" si="217"/>
        <v>0</v>
      </c>
      <c r="Y695" s="160"/>
      <c r="Z695" s="160">
        <f t="shared" si="218"/>
        <v>0</v>
      </c>
      <c r="AA695" s="165"/>
      <c r="AB695" s="161">
        <f t="shared" si="219"/>
        <v>0</v>
      </c>
      <c r="AC695" s="162"/>
      <c r="AD695" s="162">
        <f t="shared" si="232"/>
        <v>0</v>
      </c>
      <c r="AE695" s="164"/>
      <c r="AF695" s="164">
        <f t="shared" si="233"/>
        <v>0</v>
      </c>
      <c r="AG695" s="165"/>
      <c r="AH695" s="165">
        <f t="shared" si="234"/>
        <v>0</v>
      </c>
      <c r="AI695" s="166">
        <v>0</v>
      </c>
      <c r="AJ695" s="166">
        <f t="shared" si="235"/>
        <v>0</v>
      </c>
      <c r="AK695" s="162"/>
      <c r="AL695" s="162">
        <f t="shared" si="230"/>
        <v>0</v>
      </c>
      <c r="AM695" s="173"/>
      <c r="AN695" s="167">
        <f t="shared" si="220"/>
        <v>0</v>
      </c>
      <c r="AO695" s="163"/>
      <c r="AP695" s="163">
        <f t="shared" si="221"/>
        <v>0</v>
      </c>
      <c r="AQ695" s="168"/>
      <c r="AR695" s="168">
        <f t="shared" si="222"/>
        <v>0</v>
      </c>
      <c r="AS695" s="170"/>
      <c r="AT695" s="170">
        <f t="shared" si="223"/>
        <v>0</v>
      </c>
      <c r="AU695" s="166"/>
      <c r="AV695" s="166">
        <f t="shared" si="224"/>
        <v>0</v>
      </c>
    </row>
    <row r="696" spans="1:48" s="131" customFormat="1" ht="31.5">
      <c r="A696" s="172" t="s">
        <v>7489</v>
      </c>
      <c r="B696" s="150" t="s">
        <v>5328</v>
      </c>
      <c r="C696" s="150" t="s">
        <v>215</v>
      </c>
      <c r="D696" s="240" t="s">
        <v>3777</v>
      </c>
      <c r="E696" s="590" t="s">
        <v>12642</v>
      </c>
      <c r="F696" s="203" t="s">
        <v>3779</v>
      </c>
      <c r="G696" s="204" t="s">
        <v>1915</v>
      </c>
      <c r="H696" s="204">
        <v>3</v>
      </c>
      <c r="I696" s="203" t="s">
        <v>3778</v>
      </c>
      <c r="J696" s="205" t="s">
        <v>7490</v>
      </c>
      <c r="K696" s="203" t="s">
        <v>253</v>
      </c>
      <c r="L696" s="205" t="s">
        <v>7491</v>
      </c>
      <c r="M696" s="205" t="s">
        <v>7211</v>
      </c>
      <c r="N696" s="204" t="s">
        <v>213</v>
      </c>
      <c r="O696" s="204" t="s">
        <v>11</v>
      </c>
      <c r="P696" s="206">
        <v>252</v>
      </c>
      <c r="Q696" s="206">
        <v>72</v>
      </c>
      <c r="R696" s="207">
        <v>150000</v>
      </c>
      <c r="S696" s="207">
        <f t="shared" si="215"/>
        <v>10800000</v>
      </c>
      <c r="T696" s="589"/>
      <c r="U696" s="157">
        <v>150000</v>
      </c>
      <c r="V696" s="158">
        <f t="shared" si="231"/>
        <v>41800</v>
      </c>
      <c r="W696" s="159">
        <f t="shared" si="216"/>
        <v>108200</v>
      </c>
      <c r="X696" s="159">
        <f t="shared" si="217"/>
        <v>7790400</v>
      </c>
      <c r="Y696" s="160"/>
      <c r="Z696" s="160">
        <f t="shared" si="218"/>
        <v>0</v>
      </c>
      <c r="AA696" s="161">
        <v>4200</v>
      </c>
      <c r="AB696" s="161">
        <f t="shared" si="219"/>
        <v>302400</v>
      </c>
      <c r="AC696" s="162"/>
      <c r="AD696" s="162">
        <f t="shared" si="232"/>
        <v>0</v>
      </c>
      <c r="AE696" s="163">
        <v>30000</v>
      </c>
      <c r="AF696" s="164">
        <f t="shared" si="233"/>
        <v>2160000</v>
      </c>
      <c r="AG696" s="161"/>
      <c r="AH696" s="165">
        <f t="shared" si="234"/>
        <v>0</v>
      </c>
      <c r="AI696" s="160">
        <v>0</v>
      </c>
      <c r="AJ696" s="166">
        <f t="shared" si="235"/>
        <v>0</v>
      </c>
      <c r="AK696" s="162"/>
      <c r="AL696" s="162">
        <f t="shared" si="230"/>
        <v>0</v>
      </c>
      <c r="AM696" s="167">
        <v>21600</v>
      </c>
      <c r="AN696" s="167">
        <f t="shared" si="220"/>
        <v>1555200</v>
      </c>
      <c r="AO696" s="163"/>
      <c r="AP696" s="163">
        <f t="shared" si="221"/>
        <v>0</v>
      </c>
      <c r="AQ696" s="162"/>
      <c r="AR696" s="168">
        <f t="shared" si="222"/>
        <v>0</v>
      </c>
      <c r="AS696" s="169">
        <v>52400</v>
      </c>
      <c r="AT696" s="170">
        <f t="shared" si="223"/>
        <v>3772800</v>
      </c>
      <c r="AU696" s="160"/>
      <c r="AV696" s="166">
        <f t="shared" si="224"/>
        <v>0</v>
      </c>
    </row>
    <row r="697" spans="1:48" s="131" customFormat="1" ht="31.5">
      <c r="A697" s="148" t="s">
        <v>7571</v>
      </c>
      <c r="B697" s="150" t="s">
        <v>5328</v>
      </c>
      <c r="C697" s="150" t="s">
        <v>215</v>
      </c>
      <c r="D697" s="240" t="s">
        <v>4287</v>
      </c>
      <c r="E697" s="590"/>
      <c r="F697" s="203" t="s">
        <v>1119</v>
      </c>
      <c r="G697" s="204" t="s">
        <v>225</v>
      </c>
      <c r="H697" s="204">
        <v>3</v>
      </c>
      <c r="I697" s="203" t="s">
        <v>7572</v>
      </c>
      <c r="J697" s="205" t="s">
        <v>7573</v>
      </c>
      <c r="K697" s="203" t="s">
        <v>253</v>
      </c>
      <c r="L697" s="205" t="s">
        <v>7574</v>
      </c>
      <c r="M697" s="205" t="s">
        <v>7575</v>
      </c>
      <c r="N697" s="204" t="s">
        <v>213</v>
      </c>
      <c r="O697" s="204" t="s">
        <v>11</v>
      </c>
      <c r="P697" s="206">
        <v>5000</v>
      </c>
      <c r="Q697" s="206">
        <v>1670</v>
      </c>
      <c r="R697" s="207">
        <v>30000</v>
      </c>
      <c r="S697" s="207">
        <f t="shared" si="215"/>
        <v>50100000</v>
      </c>
      <c r="T697" s="589"/>
      <c r="U697" s="157">
        <v>30000</v>
      </c>
      <c r="V697" s="158">
        <f t="shared" si="231"/>
        <v>30000</v>
      </c>
      <c r="W697" s="159">
        <f t="shared" si="216"/>
        <v>0</v>
      </c>
      <c r="X697" s="159">
        <f t="shared" si="217"/>
        <v>0</v>
      </c>
      <c r="Y697" s="160"/>
      <c r="Z697" s="160">
        <f t="shared" si="218"/>
        <v>0</v>
      </c>
      <c r="AA697" s="165"/>
      <c r="AB697" s="161">
        <f t="shared" si="219"/>
        <v>0</v>
      </c>
      <c r="AC697" s="162"/>
      <c r="AD697" s="162">
        <f t="shared" si="232"/>
        <v>0</v>
      </c>
      <c r="AE697" s="164"/>
      <c r="AF697" s="164">
        <f t="shared" si="233"/>
        <v>0</v>
      </c>
      <c r="AG697" s="165"/>
      <c r="AH697" s="165">
        <f t="shared" si="234"/>
        <v>0</v>
      </c>
      <c r="AI697" s="166">
        <v>0</v>
      </c>
      <c r="AJ697" s="166">
        <f t="shared" si="235"/>
        <v>0</v>
      </c>
      <c r="AK697" s="162"/>
      <c r="AL697" s="162">
        <f t="shared" si="230"/>
        <v>0</v>
      </c>
      <c r="AM697" s="173"/>
      <c r="AN697" s="167">
        <f t="shared" si="220"/>
        <v>0</v>
      </c>
      <c r="AO697" s="163"/>
      <c r="AP697" s="163">
        <f t="shared" si="221"/>
        <v>0</v>
      </c>
      <c r="AQ697" s="168"/>
      <c r="AR697" s="168">
        <f t="shared" si="222"/>
        <v>0</v>
      </c>
      <c r="AS697" s="170"/>
      <c r="AT697" s="170">
        <f t="shared" si="223"/>
        <v>0</v>
      </c>
      <c r="AU697" s="166"/>
      <c r="AV697" s="166">
        <f t="shared" si="224"/>
        <v>0</v>
      </c>
    </row>
    <row r="698" spans="1:48" s="131" customFormat="1" ht="31.5">
      <c r="A698" s="148" t="s">
        <v>7576</v>
      </c>
      <c r="B698" s="150" t="s">
        <v>5328</v>
      </c>
      <c r="C698" s="150" t="s">
        <v>215</v>
      </c>
      <c r="D698" s="240" t="s">
        <v>7577</v>
      </c>
      <c r="E698" s="590"/>
      <c r="F698" s="203" t="s">
        <v>1119</v>
      </c>
      <c r="G698" s="204" t="s">
        <v>17</v>
      </c>
      <c r="H698" s="204">
        <v>3</v>
      </c>
      <c r="I698" s="203" t="s">
        <v>7578</v>
      </c>
      <c r="J698" s="205" t="s">
        <v>7579</v>
      </c>
      <c r="K698" s="203" t="s">
        <v>5104</v>
      </c>
      <c r="L698" s="205" t="s">
        <v>7580</v>
      </c>
      <c r="M698" s="205" t="s">
        <v>7211</v>
      </c>
      <c r="N698" s="204" t="s">
        <v>213</v>
      </c>
      <c r="O698" s="204" t="s">
        <v>11</v>
      </c>
      <c r="P698" s="206">
        <v>8800</v>
      </c>
      <c r="Q698" s="206">
        <v>3640</v>
      </c>
      <c r="R698" s="207">
        <v>30000</v>
      </c>
      <c r="S698" s="207">
        <f t="shared" si="215"/>
        <v>109200000</v>
      </c>
      <c r="T698" s="589"/>
      <c r="U698" s="157">
        <v>30000</v>
      </c>
      <c r="V698" s="158">
        <f t="shared" si="231"/>
        <v>30000</v>
      </c>
      <c r="W698" s="159">
        <f t="shared" si="216"/>
        <v>0</v>
      </c>
      <c r="X698" s="159">
        <f t="shared" si="217"/>
        <v>0</v>
      </c>
      <c r="Y698" s="160"/>
      <c r="Z698" s="160">
        <f t="shared" si="218"/>
        <v>0</v>
      </c>
      <c r="AA698" s="165"/>
      <c r="AB698" s="161">
        <f t="shared" si="219"/>
        <v>0</v>
      </c>
      <c r="AC698" s="162"/>
      <c r="AD698" s="162">
        <f t="shared" si="232"/>
        <v>0</v>
      </c>
      <c r="AE698" s="164"/>
      <c r="AF698" s="164">
        <f t="shared" si="233"/>
        <v>0</v>
      </c>
      <c r="AG698" s="165"/>
      <c r="AH698" s="165">
        <f t="shared" si="234"/>
        <v>0</v>
      </c>
      <c r="AI698" s="166">
        <v>0</v>
      </c>
      <c r="AJ698" s="166">
        <f t="shared" si="235"/>
        <v>0</v>
      </c>
      <c r="AK698" s="162"/>
      <c r="AL698" s="162">
        <f t="shared" si="230"/>
        <v>0</v>
      </c>
      <c r="AM698" s="173"/>
      <c r="AN698" s="167">
        <f t="shared" si="220"/>
        <v>0</v>
      </c>
      <c r="AO698" s="163"/>
      <c r="AP698" s="163">
        <f t="shared" si="221"/>
        <v>0</v>
      </c>
      <c r="AQ698" s="168"/>
      <c r="AR698" s="168">
        <f t="shared" si="222"/>
        <v>0</v>
      </c>
      <c r="AS698" s="170"/>
      <c r="AT698" s="170">
        <f t="shared" si="223"/>
        <v>0</v>
      </c>
      <c r="AU698" s="166"/>
      <c r="AV698" s="166">
        <f t="shared" si="224"/>
        <v>0</v>
      </c>
    </row>
    <row r="699" spans="1:48" ht="31.5">
      <c r="A699" s="172" t="s">
        <v>7685</v>
      </c>
      <c r="B699" s="150" t="s">
        <v>5328</v>
      </c>
      <c r="C699" s="150" t="s">
        <v>215</v>
      </c>
      <c r="D699" s="240" t="s">
        <v>4116</v>
      </c>
      <c r="E699" s="590" t="s">
        <v>12642</v>
      </c>
      <c r="F699" s="203" t="s">
        <v>555</v>
      </c>
      <c r="G699" s="204" t="s">
        <v>232</v>
      </c>
      <c r="H699" s="204">
        <v>3</v>
      </c>
      <c r="I699" s="203" t="s">
        <v>4117</v>
      </c>
      <c r="J699" s="205" t="s">
        <v>7579</v>
      </c>
      <c r="K699" s="203" t="s">
        <v>5104</v>
      </c>
      <c r="L699" s="205" t="s">
        <v>7686</v>
      </c>
      <c r="M699" s="205" t="s">
        <v>7211</v>
      </c>
      <c r="N699" s="204" t="s">
        <v>213</v>
      </c>
      <c r="O699" s="204" t="s">
        <v>11</v>
      </c>
      <c r="P699" s="206">
        <v>2960</v>
      </c>
      <c r="Q699" s="206">
        <v>410</v>
      </c>
      <c r="R699" s="207">
        <v>30000</v>
      </c>
      <c r="S699" s="207">
        <f t="shared" si="215"/>
        <v>12300000</v>
      </c>
      <c r="T699" s="589"/>
      <c r="U699" s="157">
        <v>30000</v>
      </c>
      <c r="V699" s="158">
        <f t="shared" si="231"/>
        <v>60</v>
      </c>
      <c r="W699" s="159">
        <f t="shared" si="216"/>
        <v>29940</v>
      </c>
      <c r="X699" s="159">
        <f t="shared" si="217"/>
        <v>12275400</v>
      </c>
      <c r="Y699" s="160">
        <v>4980</v>
      </c>
      <c r="Z699" s="160">
        <f t="shared" si="218"/>
        <v>2041800</v>
      </c>
      <c r="AA699" s="165">
        <v>16980</v>
      </c>
      <c r="AB699" s="161">
        <f t="shared" si="219"/>
        <v>6961800</v>
      </c>
      <c r="AC699" s="162"/>
      <c r="AD699" s="162">
        <f t="shared" si="232"/>
        <v>0</v>
      </c>
      <c r="AE699" s="164">
        <v>7980</v>
      </c>
      <c r="AF699" s="164">
        <f t="shared" si="233"/>
        <v>3271800</v>
      </c>
      <c r="AG699" s="165"/>
      <c r="AH699" s="165">
        <f t="shared" si="234"/>
        <v>0</v>
      </c>
      <c r="AI699" s="166">
        <v>0</v>
      </c>
      <c r="AJ699" s="166">
        <f t="shared" si="235"/>
        <v>0</v>
      </c>
      <c r="AK699" s="162"/>
      <c r="AL699" s="162">
        <f t="shared" si="230"/>
        <v>0</v>
      </c>
      <c r="AM699" s="173"/>
      <c r="AN699" s="167">
        <f t="shared" si="220"/>
        <v>0</v>
      </c>
      <c r="AO699" s="163"/>
      <c r="AP699" s="163">
        <f t="shared" si="221"/>
        <v>0</v>
      </c>
      <c r="AQ699" s="168"/>
      <c r="AR699" s="168">
        <f t="shared" si="222"/>
        <v>0</v>
      </c>
      <c r="AS699" s="170"/>
      <c r="AT699" s="170">
        <f t="shared" si="223"/>
        <v>0</v>
      </c>
      <c r="AU699" s="166"/>
      <c r="AV699" s="166">
        <f t="shared" si="224"/>
        <v>0</v>
      </c>
    </row>
    <row r="700" spans="1:48" ht="31.5">
      <c r="A700" s="148" t="s">
        <v>7709</v>
      </c>
      <c r="B700" s="150" t="s">
        <v>5328</v>
      </c>
      <c r="C700" s="150" t="s">
        <v>215</v>
      </c>
      <c r="D700" s="240" t="s">
        <v>7710</v>
      </c>
      <c r="E700" s="590" t="s">
        <v>12642</v>
      </c>
      <c r="F700" s="203" t="s">
        <v>556</v>
      </c>
      <c r="G700" s="204" t="s">
        <v>238</v>
      </c>
      <c r="H700" s="204">
        <v>3</v>
      </c>
      <c r="I700" s="203" t="s">
        <v>7711</v>
      </c>
      <c r="J700" s="205" t="s">
        <v>7712</v>
      </c>
      <c r="K700" s="203" t="s">
        <v>5104</v>
      </c>
      <c r="L700" s="205" t="s">
        <v>7713</v>
      </c>
      <c r="M700" s="205" t="s">
        <v>7211</v>
      </c>
      <c r="N700" s="204" t="s">
        <v>213</v>
      </c>
      <c r="O700" s="204" t="s">
        <v>11</v>
      </c>
      <c r="P700" s="206">
        <v>2450</v>
      </c>
      <c r="Q700" s="206">
        <v>330</v>
      </c>
      <c r="R700" s="207">
        <v>20000</v>
      </c>
      <c r="S700" s="207">
        <f t="shared" si="215"/>
        <v>6600000</v>
      </c>
      <c r="T700" s="589"/>
      <c r="U700" s="157">
        <v>20000</v>
      </c>
      <c r="V700" s="158">
        <f t="shared" si="231"/>
        <v>20000</v>
      </c>
      <c r="W700" s="159">
        <f t="shared" si="216"/>
        <v>0</v>
      </c>
      <c r="X700" s="159">
        <f t="shared" si="217"/>
        <v>0</v>
      </c>
      <c r="Y700" s="160"/>
      <c r="Z700" s="160">
        <f t="shared" si="218"/>
        <v>0</v>
      </c>
      <c r="AA700" s="165"/>
      <c r="AB700" s="161">
        <f t="shared" si="219"/>
        <v>0</v>
      </c>
      <c r="AC700" s="162"/>
      <c r="AD700" s="162">
        <f t="shared" si="232"/>
        <v>0</v>
      </c>
      <c r="AE700" s="164"/>
      <c r="AF700" s="164">
        <f t="shared" si="233"/>
        <v>0</v>
      </c>
      <c r="AG700" s="165"/>
      <c r="AH700" s="165">
        <f t="shared" si="234"/>
        <v>0</v>
      </c>
      <c r="AI700" s="166">
        <v>0</v>
      </c>
      <c r="AJ700" s="166">
        <f t="shared" si="235"/>
        <v>0</v>
      </c>
      <c r="AK700" s="162"/>
      <c r="AL700" s="162">
        <f t="shared" si="230"/>
        <v>0</v>
      </c>
      <c r="AM700" s="173"/>
      <c r="AN700" s="167">
        <f t="shared" si="220"/>
        <v>0</v>
      </c>
      <c r="AO700" s="163"/>
      <c r="AP700" s="163">
        <f t="shared" si="221"/>
        <v>0</v>
      </c>
      <c r="AQ700" s="168"/>
      <c r="AR700" s="168">
        <f t="shared" si="222"/>
        <v>0</v>
      </c>
      <c r="AS700" s="170"/>
      <c r="AT700" s="170">
        <f t="shared" si="223"/>
        <v>0</v>
      </c>
      <c r="AU700" s="166"/>
      <c r="AV700" s="166">
        <f t="shared" si="224"/>
        <v>0</v>
      </c>
    </row>
    <row r="701" spans="1:48" ht="31.5">
      <c r="A701" s="172" t="s">
        <v>7714</v>
      </c>
      <c r="B701" s="150" t="s">
        <v>5328</v>
      </c>
      <c r="C701" s="150" t="s">
        <v>215</v>
      </c>
      <c r="D701" s="240" t="s">
        <v>3746</v>
      </c>
      <c r="E701" s="590" t="s">
        <v>12642</v>
      </c>
      <c r="F701" s="203" t="s">
        <v>556</v>
      </c>
      <c r="G701" s="204" t="s">
        <v>327</v>
      </c>
      <c r="H701" s="204">
        <v>3</v>
      </c>
      <c r="I701" s="203" t="s">
        <v>3747</v>
      </c>
      <c r="J701" s="205" t="s">
        <v>7712</v>
      </c>
      <c r="K701" s="203" t="s">
        <v>5104</v>
      </c>
      <c r="L701" s="205" t="s">
        <v>7715</v>
      </c>
      <c r="M701" s="205" t="s">
        <v>7211</v>
      </c>
      <c r="N701" s="204" t="s">
        <v>213</v>
      </c>
      <c r="O701" s="204" t="s">
        <v>11</v>
      </c>
      <c r="P701" s="206">
        <v>1385</v>
      </c>
      <c r="Q701" s="206">
        <v>272</v>
      </c>
      <c r="R701" s="207">
        <v>20000</v>
      </c>
      <c r="S701" s="207">
        <f t="shared" si="215"/>
        <v>5440000</v>
      </c>
      <c r="T701" s="589"/>
      <c r="U701" s="157">
        <v>20000</v>
      </c>
      <c r="V701" s="158">
        <f t="shared" si="231"/>
        <v>1010</v>
      </c>
      <c r="W701" s="159">
        <f t="shared" si="216"/>
        <v>18990</v>
      </c>
      <c r="X701" s="159">
        <f t="shared" si="217"/>
        <v>5165280</v>
      </c>
      <c r="Y701" s="160"/>
      <c r="Z701" s="160">
        <f t="shared" si="218"/>
        <v>0</v>
      </c>
      <c r="AA701" s="165">
        <v>9990</v>
      </c>
      <c r="AB701" s="161">
        <f t="shared" si="219"/>
        <v>2717280</v>
      </c>
      <c r="AC701" s="162"/>
      <c r="AD701" s="162">
        <f t="shared" si="232"/>
        <v>0</v>
      </c>
      <c r="AE701" s="163">
        <f>8190+810</f>
        <v>9000</v>
      </c>
      <c r="AF701" s="164">
        <f t="shared" si="233"/>
        <v>2448000</v>
      </c>
      <c r="AG701" s="161"/>
      <c r="AH701" s="165">
        <f t="shared" si="234"/>
        <v>0</v>
      </c>
      <c r="AI701" s="160">
        <v>0</v>
      </c>
      <c r="AJ701" s="166">
        <f t="shared" si="235"/>
        <v>0</v>
      </c>
      <c r="AK701" s="162"/>
      <c r="AL701" s="162">
        <f t="shared" si="230"/>
        <v>0</v>
      </c>
      <c r="AM701" s="173"/>
      <c r="AN701" s="167">
        <f t="shared" si="220"/>
        <v>0</v>
      </c>
      <c r="AO701" s="163"/>
      <c r="AP701" s="163">
        <f t="shared" si="221"/>
        <v>0</v>
      </c>
      <c r="AQ701" s="162"/>
      <c r="AR701" s="168">
        <f t="shared" si="222"/>
        <v>0</v>
      </c>
      <c r="AS701" s="169"/>
      <c r="AT701" s="170">
        <f t="shared" si="223"/>
        <v>0</v>
      </c>
      <c r="AU701" s="160"/>
      <c r="AV701" s="166">
        <f t="shared" si="224"/>
        <v>0</v>
      </c>
    </row>
    <row r="702" spans="1:48" ht="31.5">
      <c r="A702" s="148" t="s">
        <v>7719</v>
      </c>
      <c r="B702" s="150" t="s">
        <v>5328</v>
      </c>
      <c r="C702" s="150" t="s">
        <v>215</v>
      </c>
      <c r="D702" s="240" t="s">
        <v>7720</v>
      </c>
      <c r="E702" s="590" t="s">
        <v>12642</v>
      </c>
      <c r="F702" s="203" t="s">
        <v>645</v>
      </c>
      <c r="G702" s="204" t="s">
        <v>291</v>
      </c>
      <c r="H702" s="204">
        <v>3</v>
      </c>
      <c r="I702" s="203" t="s">
        <v>7721</v>
      </c>
      <c r="J702" s="205" t="s">
        <v>7722</v>
      </c>
      <c r="K702" s="203" t="s">
        <v>253</v>
      </c>
      <c r="L702" s="205" t="s">
        <v>7723</v>
      </c>
      <c r="M702" s="205" t="s">
        <v>7575</v>
      </c>
      <c r="N702" s="204" t="s">
        <v>213</v>
      </c>
      <c r="O702" s="204" t="s">
        <v>11</v>
      </c>
      <c r="P702" s="206">
        <v>3000</v>
      </c>
      <c r="Q702" s="206">
        <v>199</v>
      </c>
      <c r="R702" s="207">
        <v>30000</v>
      </c>
      <c r="S702" s="207">
        <f t="shared" si="215"/>
        <v>5970000</v>
      </c>
      <c r="T702" s="589"/>
      <c r="U702" s="157">
        <v>30000</v>
      </c>
      <c r="V702" s="158">
        <f t="shared" si="231"/>
        <v>30000</v>
      </c>
      <c r="W702" s="159">
        <f t="shared" si="216"/>
        <v>0</v>
      </c>
      <c r="X702" s="159">
        <f t="shared" si="217"/>
        <v>0</v>
      </c>
      <c r="Y702" s="160"/>
      <c r="Z702" s="160">
        <f t="shared" si="218"/>
        <v>0</v>
      </c>
      <c r="AA702" s="165"/>
      <c r="AB702" s="161">
        <f t="shared" si="219"/>
        <v>0</v>
      </c>
      <c r="AC702" s="162"/>
      <c r="AD702" s="162">
        <f t="shared" si="232"/>
        <v>0</v>
      </c>
      <c r="AE702" s="164"/>
      <c r="AF702" s="164">
        <f t="shared" si="233"/>
        <v>0</v>
      </c>
      <c r="AG702" s="165"/>
      <c r="AH702" s="165">
        <f t="shared" si="234"/>
        <v>0</v>
      </c>
      <c r="AI702" s="166">
        <v>0</v>
      </c>
      <c r="AJ702" s="166">
        <f t="shared" si="235"/>
        <v>0</v>
      </c>
      <c r="AK702" s="162"/>
      <c r="AL702" s="162">
        <f t="shared" si="230"/>
        <v>0</v>
      </c>
      <c r="AM702" s="173"/>
      <c r="AN702" s="167">
        <f t="shared" si="220"/>
        <v>0</v>
      </c>
      <c r="AO702" s="163"/>
      <c r="AP702" s="163">
        <f t="shared" si="221"/>
        <v>0</v>
      </c>
      <c r="AQ702" s="168"/>
      <c r="AR702" s="168">
        <f t="shared" si="222"/>
        <v>0</v>
      </c>
      <c r="AS702" s="170"/>
      <c r="AT702" s="170">
        <f t="shared" si="223"/>
        <v>0</v>
      </c>
      <c r="AU702" s="166"/>
      <c r="AV702" s="166">
        <f t="shared" si="224"/>
        <v>0</v>
      </c>
    </row>
    <row r="703" spans="1:48" ht="31.5">
      <c r="A703" s="172" t="s">
        <v>7724</v>
      </c>
      <c r="B703" s="150" t="s">
        <v>5328</v>
      </c>
      <c r="C703" s="150" t="s">
        <v>215</v>
      </c>
      <c r="D703" s="240" t="s">
        <v>3744</v>
      </c>
      <c r="E703" s="590" t="s">
        <v>12642</v>
      </c>
      <c r="F703" s="203" t="s">
        <v>1488</v>
      </c>
      <c r="G703" s="204" t="s">
        <v>1173</v>
      </c>
      <c r="H703" s="204">
        <v>3</v>
      </c>
      <c r="I703" s="203" t="s">
        <v>3745</v>
      </c>
      <c r="J703" s="205" t="s">
        <v>7579</v>
      </c>
      <c r="K703" s="203" t="s">
        <v>5104</v>
      </c>
      <c r="L703" s="205" t="s">
        <v>7725</v>
      </c>
      <c r="M703" s="205" t="s">
        <v>7211</v>
      </c>
      <c r="N703" s="204" t="s">
        <v>213</v>
      </c>
      <c r="O703" s="204" t="s">
        <v>11</v>
      </c>
      <c r="P703" s="206">
        <v>3900</v>
      </c>
      <c r="Q703" s="206">
        <v>525</v>
      </c>
      <c r="R703" s="207">
        <v>20000</v>
      </c>
      <c r="S703" s="207">
        <f t="shared" si="215"/>
        <v>10500000</v>
      </c>
      <c r="T703" s="589"/>
      <c r="U703" s="157">
        <v>20000</v>
      </c>
      <c r="V703" s="158">
        <f t="shared" si="231"/>
        <v>20</v>
      </c>
      <c r="W703" s="159">
        <f t="shared" si="216"/>
        <v>19980</v>
      </c>
      <c r="X703" s="159">
        <f t="shared" si="217"/>
        <v>10489500</v>
      </c>
      <c r="Y703" s="160"/>
      <c r="Z703" s="160">
        <f t="shared" si="218"/>
        <v>0</v>
      </c>
      <c r="AA703" s="165">
        <v>19980</v>
      </c>
      <c r="AB703" s="161">
        <f t="shared" si="219"/>
        <v>10489500</v>
      </c>
      <c r="AC703" s="162"/>
      <c r="AD703" s="162">
        <f t="shared" si="232"/>
        <v>0</v>
      </c>
      <c r="AE703" s="164"/>
      <c r="AF703" s="164">
        <f t="shared" si="233"/>
        <v>0</v>
      </c>
      <c r="AG703" s="165"/>
      <c r="AH703" s="165">
        <f t="shared" si="234"/>
        <v>0</v>
      </c>
      <c r="AI703" s="166">
        <v>0</v>
      </c>
      <c r="AJ703" s="166">
        <f t="shared" si="235"/>
        <v>0</v>
      </c>
      <c r="AK703" s="162"/>
      <c r="AL703" s="162">
        <f t="shared" si="230"/>
        <v>0</v>
      </c>
      <c r="AM703" s="173"/>
      <c r="AN703" s="167">
        <f t="shared" si="220"/>
        <v>0</v>
      </c>
      <c r="AO703" s="163"/>
      <c r="AP703" s="163">
        <f t="shared" si="221"/>
        <v>0</v>
      </c>
      <c r="AQ703" s="168"/>
      <c r="AR703" s="168">
        <f t="shared" si="222"/>
        <v>0</v>
      </c>
      <c r="AS703" s="170"/>
      <c r="AT703" s="170">
        <f t="shared" si="223"/>
        <v>0</v>
      </c>
      <c r="AU703" s="166"/>
      <c r="AV703" s="166">
        <f t="shared" si="224"/>
        <v>0</v>
      </c>
    </row>
    <row r="704" spans="1:48" ht="31.5">
      <c r="A704" s="172" t="s">
        <v>7735</v>
      </c>
      <c r="B704" s="150" t="s">
        <v>5328</v>
      </c>
      <c r="C704" s="150" t="s">
        <v>215</v>
      </c>
      <c r="D704" s="240" t="s">
        <v>3883</v>
      </c>
      <c r="E704" s="590" t="s">
        <v>12642</v>
      </c>
      <c r="F704" s="203" t="s">
        <v>788</v>
      </c>
      <c r="G704" s="204" t="s">
        <v>390</v>
      </c>
      <c r="H704" s="204">
        <v>3</v>
      </c>
      <c r="I704" s="203" t="s">
        <v>3884</v>
      </c>
      <c r="J704" s="205" t="s">
        <v>7736</v>
      </c>
      <c r="K704" s="203" t="s">
        <v>5104</v>
      </c>
      <c r="L704" s="205" t="s">
        <v>7737</v>
      </c>
      <c r="M704" s="205" t="s">
        <v>7211</v>
      </c>
      <c r="N704" s="204" t="s">
        <v>213</v>
      </c>
      <c r="O704" s="204" t="s">
        <v>11</v>
      </c>
      <c r="P704" s="206">
        <v>3000</v>
      </c>
      <c r="Q704" s="206">
        <v>365</v>
      </c>
      <c r="R704" s="207">
        <v>20000</v>
      </c>
      <c r="S704" s="207">
        <f t="shared" si="215"/>
        <v>7300000</v>
      </c>
      <c r="T704" s="589"/>
      <c r="U704" s="157">
        <v>20000</v>
      </c>
      <c r="V704" s="158">
        <f t="shared" si="231"/>
        <v>14510</v>
      </c>
      <c r="W704" s="159">
        <f t="shared" si="216"/>
        <v>5490</v>
      </c>
      <c r="X704" s="159">
        <f t="shared" si="217"/>
        <v>2003850</v>
      </c>
      <c r="Y704" s="160"/>
      <c r="Z704" s="160">
        <f t="shared" si="218"/>
        <v>0</v>
      </c>
      <c r="AA704" s="165">
        <v>5490</v>
      </c>
      <c r="AB704" s="161">
        <f t="shared" si="219"/>
        <v>2003850</v>
      </c>
      <c r="AC704" s="162"/>
      <c r="AD704" s="162">
        <f t="shared" si="232"/>
        <v>0</v>
      </c>
      <c r="AE704" s="164"/>
      <c r="AF704" s="164">
        <f t="shared" si="233"/>
        <v>0</v>
      </c>
      <c r="AG704" s="165"/>
      <c r="AH704" s="165">
        <f t="shared" si="234"/>
        <v>0</v>
      </c>
      <c r="AI704" s="166">
        <v>0</v>
      </c>
      <c r="AJ704" s="166">
        <f t="shared" si="235"/>
        <v>0</v>
      </c>
      <c r="AK704" s="162"/>
      <c r="AL704" s="162">
        <f t="shared" si="230"/>
        <v>0</v>
      </c>
      <c r="AM704" s="173"/>
      <c r="AN704" s="167">
        <f t="shared" si="220"/>
        <v>0</v>
      </c>
      <c r="AO704" s="163"/>
      <c r="AP704" s="163">
        <f t="shared" si="221"/>
        <v>0</v>
      </c>
      <c r="AQ704" s="168"/>
      <c r="AR704" s="168">
        <f t="shared" si="222"/>
        <v>0</v>
      </c>
      <c r="AS704" s="170"/>
      <c r="AT704" s="170">
        <f t="shared" si="223"/>
        <v>0</v>
      </c>
      <c r="AU704" s="166"/>
      <c r="AV704" s="166">
        <f t="shared" si="224"/>
        <v>0</v>
      </c>
    </row>
    <row r="705" spans="1:48" ht="31.5">
      <c r="A705" s="172" t="s">
        <v>7927</v>
      </c>
      <c r="B705" s="150" t="s">
        <v>5328</v>
      </c>
      <c r="C705" s="150" t="s">
        <v>215</v>
      </c>
      <c r="D705" s="240" t="s">
        <v>7928</v>
      </c>
      <c r="E705" s="590"/>
      <c r="F705" s="203" t="s">
        <v>7929</v>
      </c>
      <c r="G705" s="204" t="s">
        <v>232</v>
      </c>
      <c r="H705" s="204">
        <v>3</v>
      </c>
      <c r="I705" s="203" t="s">
        <v>7930</v>
      </c>
      <c r="J705" s="205" t="s">
        <v>7931</v>
      </c>
      <c r="K705" s="203" t="s">
        <v>5104</v>
      </c>
      <c r="L705" s="205" t="s">
        <v>7932</v>
      </c>
      <c r="M705" s="205" t="s">
        <v>7211</v>
      </c>
      <c r="N705" s="204" t="s">
        <v>213</v>
      </c>
      <c r="O705" s="204" t="s">
        <v>11</v>
      </c>
      <c r="P705" s="206">
        <v>3500</v>
      </c>
      <c r="Q705" s="206">
        <v>1690</v>
      </c>
      <c r="R705" s="207">
        <v>30000</v>
      </c>
      <c r="S705" s="207">
        <f t="shared" si="215"/>
        <v>50700000</v>
      </c>
      <c r="T705" s="589"/>
      <c r="U705" s="157">
        <v>30000</v>
      </c>
      <c r="V705" s="158">
        <f t="shared" si="231"/>
        <v>30000</v>
      </c>
      <c r="W705" s="159">
        <f t="shared" si="216"/>
        <v>0</v>
      </c>
      <c r="X705" s="159">
        <f t="shared" si="217"/>
        <v>0</v>
      </c>
      <c r="Y705" s="160"/>
      <c r="Z705" s="160">
        <f t="shared" si="218"/>
        <v>0</v>
      </c>
      <c r="AA705" s="165"/>
      <c r="AB705" s="161">
        <f t="shared" si="219"/>
        <v>0</v>
      </c>
      <c r="AC705" s="162"/>
      <c r="AD705" s="162">
        <f t="shared" si="232"/>
        <v>0</v>
      </c>
      <c r="AE705" s="163"/>
      <c r="AF705" s="164">
        <f t="shared" si="233"/>
        <v>0</v>
      </c>
      <c r="AG705" s="161"/>
      <c r="AH705" s="165">
        <f t="shared" si="234"/>
        <v>0</v>
      </c>
      <c r="AI705" s="160">
        <v>0</v>
      </c>
      <c r="AJ705" s="166">
        <f t="shared" si="235"/>
        <v>0</v>
      </c>
      <c r="AK705" s="162"/>
      <c r="AL705" s="162">
        <f t="shared" si="230"/>
        <v>0</v>
      </c>
      <c r="AM705" s="173"/>
      <c r="AN705" s="167">
        <f t="shared" si="220"/>
        <v>0</v>
      </c>
      <c r="AO705" s="163"/>
      <c r="AP705" s="163">
        <f t="shared" si="221"/>
        <v>0</v>
      </c>
      <c r="AQ705" s="162"/>
      <c r="AR705" s="168">
        <f t="shared" si="222"/>
        <v>0</v>
      </c>
      <c r="AS705" s="169"/>
      <c r="AT705" s="170">
        <f t="shared" si="223"/>
        <v>0</v>
      </c>
      <c r="AU705" s="160"/>
      <c r="AV705" s="166">
        <f t="shared" si="224"/>
        <v>0</v>
      </c>
    </row>
    <row r="706" spans="1:48" ht="31.5">
      <c r="A706" s="172" t="s">
        <v>7941</v>
      </c>
      <c r="B706" s="150" t="s">
        <v>5328</v>
      </c>
      <c r="C706" s="150" t="s">
        <v>215</v>
      </c>
      <c r="D706" s="240" t="s">
        <v>7942</v>
      </c>
      <c r="E706" s="590"/>
      <c r="F706" s="203" t="s">
        <v>572</v>
      </c>
      <c r="G706" s="204" t="s">
        <v>235</v>
      </c>
      <c r="H706" s="204">
        <v>3</v>
      </c>
      <c r="I706" s="203" t="s">
        <v>573</v>
      </c>
      <c r="J706" s="205" t="s">
        <v>7579</v>
      </c>
      <c r="K706" s="203" t="s">
        <v>253</v>
      </c>
      <c r="L706" s="205" t="s">
        <v>7943</v>
      </c>
      <c r="M706" s="205" t="s">
        <v>7575</v>
      </c>
      <c r="N706" s="204" t="s">
        <v>213</v>
      </c>
      <c r="O706" s="204" t="s">
        <v>11</v>
      </c>
      <c r="P706" s="206">
        <v>4500</v>
      </c>
      <c r="Q706" s="206">
        <v>530</v>
      </c>
      <c r="R706" s="207">
        <v>80000</v>
      </c>
      <c r="S706" s="207">
        <f t="shared" si="215"/>
        <v>42400000</v>
      </c>
      <c r="T706" s="589"/>
      <c r="U706" s="157">
        <v>80000</v>
      </c>
      <c r="V706" s="158">
        <f t="shared" si="231"/>
        <v>80000</v>
      </c>
      <c r="W706" s="159">
        <f t="shared" si="216"/>
        <v>0</v>
      </c>
      <c r="X706" s="159">
        <f t="shared" si="217"/>
        <v>0</v>
      </c>
      <c r="Y706" s="160"/>
      <c r="Z706" s="160">
        <f t="shared" si="218"/>
        <v>0</v>
      </c>
      <c r="AA706" s="165"/>
      <c r="AB706" s="161">
        <f t="shared" si="219"/>
        <v>0</v>
      </c>
      <c r="AC706" s="162"/>
      <c r="AD706" s="162">
        <f t="shared" si="232"/>
        <v>0</v>
      </c>
      <c r="AE706" s="164"/>
      <c r="AF706" s="164">
        <f t="shared" si="233"/>
        <v>0</v>
      </c>
      <c r="AG706" s="165"/>
      <c r="AH706" s="165">
        <f t="shared" si="234"/>
        <v>0</v>
      </c>
      <c r="AI706" s="166">
        <v>0</v>
      </c>
      <c r="AJ706" s="166">
        <f t="shared" si="235"/>
        <v>0</v>
      </c>
      <c r="AK706" s="162"/>
      <c r="AL706" s="162">
        <f t="shared" si="230"/>
        <v>0</v>
      </c>
      <c r="AM706" s="173"/>
      <c r="AN706" s="167">
        <f t="shared" si="220"/>
        <v>0</v>
      </c>
      <c r="AO706" s="163"/>
      <c r="AP706" s="163">
        <f t="shared" si="221"/>
        <v>0</v>
      </c>
      <c r="AQ706" s="168"/>
      <c r="AR706" s="168">
        <f t="shared" si="222"/>
        <v>0</v>
      </c>
      <c r="AS706" s="170"/>
      <c r="AT706" s="170">
        <f t="shared" si="223"/>
        <v>0</v>
      </c>
      <c r="AU706" s="166"/>
      <c r="AV706" s="166">
        <f t="shared" si="224"/>
        <v>0</v>
      </c>
    </row>
    <row r="707" spans="1:48" ht="31.5">
      <c r="A707" s="148" t="s">
        <v>7962</v>
      </c>
      <c r="B707" s="150" t="s">
        <v>5328</v>
      </c>
      <c r="C707" s="150" t="s">
        <v>215</v>
      </c>
      <c r="D707" s="240" t="s">
        <v>3750</v>
      </c>
      <c r="E707" s="590" t="s">
        <v>12642</v>
      </c>
      <c r="F707" s="203" t="s">
        <v>629</v>
      </c>
      <c r="G707" s="204" t="s">
        <v>631</v>
      </c>
      <c r="H707" s="204">
        <v>3</v>
      </c>
      <c r="I707" s="203" t="s">
        <v>3751</v>
      </c>
      <c r="J707" s="205" t="s">
        <v>7963</v>
      </c>
      <c r="K707" s="203" t="s">
        <v>253</v>
      </c>
      <c r="L707" s="205" t="s">
        <v>7964</v>
      </c>
      <c r="M707" s="205" t="s">
        <v>7575</v>
      </c>
      <c r="N707" s="204" t="s">
        <v>213</v>
      </c>
      <c r="O707" s="204" t="s">
        <v>5639</v>
      </c>
      <c r="P707" s="206">
        <v>45000</v>
      </c>
      <c r="Q707" s="206">
        <v>11270</v>
      </c>
      <c r="R707" s="207">
        <v>6000</v>
      </c>
      <c r="S707" s="207">
        <f t="shared" si="215"/>
        <v>67620000</v>
      </c>
      <c r="T707" s="589"/>
      <c r="U707" s="157">
        <v>6000</v>
      </c>
      <c r="V707" s="158">
        <f t="shared" si="231"/>
        <v>5870</v>
      </c>
      <c r="W707" s="159">
        <f t="shared" si="216"/>
        <v>130</v>
      </c>
      <c r="X707" s="159">
        <f t="shared" si="217"/>
        <v>1465100</v>
      </c>
      <c r="Y707" s="160"/>
      <c r="Z707" s="160">
        <f t="shared" si="218"/>
        <v>0</v>
      </c>
      <c r="AA707" s="161">
        <f>128+2</f>
        <v>130</v>
      </c>
      <c r="AB707" s="161">
        <f t="shared" si="219"/>
        <v>1465100</v>
      </c>
      <c r="AC707" s="162"/>
      <c r="AD707" s="162">
        <f t="shared" si="232"/>
        <v>0</v>
      </c>
      <c r="AE707" s="163"/>
      <c r="AF707" s="164">
        <f t="shared" si="233"/>
        <v>0</v>
      </c>
      <c r="AG707" s="161"/>
      <c r="AH707" s="165">
        <f t="shared" si="234"/>
        <v>0</v>
      </c>
      <c r="AI707" s="160">
        <v>0</v>
      </c>
      <c r="AJ707" s="166">
        <f t="shared" si="235"/>
        <v>0</v>
      </c>
      <c r="AK707" s="162"/>
      <c r="AL707" s="162">
        <f t="shared" si="230"/>
        <v>0</v>
      </c>
      <c r="AM707" s="167"/>
      <c r="AN707" s="167">
        <f t="shared" si="220"/>
        <v>0</v>
      </c>
      <c r="AO707" s="163"/>
      <c r="AP707" s="163">
        <f t="shared" si="221"/>
        <v>0</v>
      </c>
      <c r="AQ707" s="162"/>
      <c r="AR707" s="168">
        <f t="shared" si="222"/>
        <v>0</v>
      </c>
      <c r="AS707" s="169"/>
      <c r="AT707" s="170">
        <f t="shared" si="223"/>
        <v>0</v>
      </c>
      <c r="AU707" s="160"/>
      <c r="AV707" s="166">
        <f t="shared" si="224"/>
        <v>0</v>
      </c>
    </row>
    <row r="708" spans="1:48" s="115" customFormat="1" ht="31.5">
      <c r="A708" s="148" t="s">
        <v>7977</v>
      </c>
      <c r="B708" s="150" t="s">
        <v>5328</v>
      </c>
      <c r="C708" s="150" t="s">
        <v>215</v>
      </c>
      <c r="D708" s="240" t="s">
        <v>4343</v>
      </c>
      <c r="E708" s="590" t="s">
        <v>12642</v>
      </c>
      <c r="F708" s="203" t="s">
        <v>4345</v>
      </c>
      <c r="G708" s="204" t="s">
        <v>869</v>
      </c>
      <c r="H708" s="204">
        <v>3</v>
      </c>
      <c r="I708" s="203" t="s">
        <v>4344</v>
      </c>
      <c r="J708" s="205" t="s">
        <v>7931</v>
      </c>
      <c r="K708" s="203" t="s">
        <v>5104</v>
      </c>
      <c r="L708" s="205" t="s">
        <v>7978</v>
      </c>
      <c r="M708" s="205" t="s">
        <v>7211</v>
      </c>
      <c r="N708" s="204" t="s">
        <v>213</v>
      </c>
      <c r="O708" s="204" t="s">
        <v>11</v>
      </c>
      <c r="P708" s="206">
        <v>900</v>
      </c>
      <c r="Q708" s="206">
        <v>465</v>
      </c>
      <c r="R708" s="207">
        <v>100000</v>
      </c>
      <c r="S708" s="207">
        <f t="shared" si="215"/>
        <v>46500000</v>
      </c>
      <c r="T708" s="589"/>
      <c r="U708" s="157">
        <v>100000</v>
      </c>
      <c r="V708" s="158">
        <f t="shared" si="231"/>
        <v>89080</v>
      </c>
      <c r="W708" s="159">
        <f t="shared" si="216"/>
        <v>10920</v>
      </c>
      <c r="X708" s="159">
        <f t="shared" si="217"/>
        <v>5077800</v>
      </c>
      <c r="Y708" s="160"/>
      <c r="Z708" s="160">
        <f t="shared" si="218"/>
        <v>0</v>
      </c>
      <c r="AA708" s="161">
        <v>1200</v>
      </c>
      <c r="AB708" s="161">
        <f t="shared" si="219"/>
        <v>558000</v>
      </c>
      <c r="AC708" s="162"/>
      <c r="AD708" s="162">
        <f t="shared" si="232"/>
        <v>0</v>
      </c>
      <c r="AE708" s="164"/>
      <c r="AF708" s="164">
        <f t="shared" si="233"/>
        <v>0</v>
      </c>
      <c r="AG708" s="165"/>
      <c r="AH708" s="165">
        <f t="shared" si="234"/>
        <v>0</v>
      </c>
      <c r="AI708" s="166">
        <v>0</v>
      </c>
      <c r="AJ708" s="166">
        <f t="shared" si="235"/>
        <v>0</v>
      </c>
      <c r="AK708" s="162"/>
      <c r="AL708" s="162">
        <f t="shared" si="230"/>
        <v>0</v>
      </c>
      <c r="AM708" s="167">
        <v>4200</v>
      </c>
      <c r="AN708" s="167">
        <f t="shared" si="220"/>
        <v>1953000</v>
      </c>
      <c r="AO708" s="163"/>
      <c r="AP708" s="163">
        <f t="shared" si="221"/>
        <v>0</v>
      </c>
      <c r="AQ708" s="168"/>
      <c r="AR708" s="168">
        <f t="shared" si="222"/>
        <v>0</v>
      </c>
      <c r="AS708" s="170">
        <v>5520</v>
      </c>
      <c r="AT708" s="170">
        <f t="shared" si="223"/>
        <v>2566800</v>
      </c>
      <c r="AU708" s="166"/>
      <c r="AV708" s="166">
        <f t="shared" si="224"/>
        <v>0</v>
      </c>
    </row>
    <row r="709" spans="1:48" s="115" customFormat="1" ht="31.5">
      <c r="A709" s="172" t="s">
        <v>8067</v>
      </c>
      <c r="B709" s="150" t="s">
        <v>5328</v>
      </c>
      <c r="C709" s="150" t="s">
        <v>215</v>
      </c>
      <c r="D709" s="240" t="s">
        <v>3753</v>
      </c>
      <c r="E709" s="590" t="s">
        <v>12642</v>
      </c>
      <c r="F709" s="203" t="s">
        <v>576</v>
      </c>
      <c r="G709" s="204" t="s">
        <v>299</v>
      </c>
      <c r="H709" s="204">
        <v>3</v>
      </c>
      <c r="I709" s="203" t="s">
        <v>577</v>
      </c>
      <c r="J709" s="205" t="s">
        <v>8068</v>
      </c>
      <c r="K709" s="203" t="s">
        <v>5104</v>
      </c>
      <c r="L709" s="205" t="s">
        <v>8069</v>
      </c>
      <c r="M709" s="205" t="s">
        <v>7575</v>
      </c>
      <c r="N709" s="204" t="s">
        <v>213</v>
      </c>
      <c r="O709" s="204" t="s">
        <v>11</v>
      </c>
      <c r="P709" s="206">
        <v>1500</v>
      </c>
      <c r="Q709" s="206">
        <v>600</v>
      </c>
      <c r="R709" s="207">
        <v>20000</v>
      </c>
      <c r="S709" s="207">
        <f t="shared" ref="S709:S772" si="236">R709*Q709</f>
        <v>12000000</v>
      </c>
      <c r="T709" s="589"/>
      <c r="U709" s="157">
        <v>20000</v>
      </c>
      <c r="V709" s="158">
        <f t="shared" si="231"/>
        <v>20000</v>
      </c>
      <c r="W709" s="159">
        <f t="shared" ref="W709:W772" si="237">Y709+AA709+AC709+AE709+AG709+AI709+AK709+AM709+AO709+AQ709+AS709+AU709</f>
        <v>0</v>
      </c>
      <c r="X709" s="159">
        <f t="shared" ref="X709:X772" si="238">W709*Q709</f>
        <v>0</v>
      </c>
      <c r="Y709" s="160"/>
      <c r="Z709" s="160">
        <f t="shared" ref="Z709:Z772" si="239">Y709*Q709</f>
        <v>0</v>
      </c>
      <c r="AA709" s="165"/>
      <c r="AB709" s="161">
        <f t="shared" ref="AB709:AB772" si="240">AA709*Q709</f>
        <v>0</v>
      </c>
      <c r="AC709" s="162"/>
      <c r="AD709" s="162">
        <f t="shared" si="232"/>
        <v>0</v>
      </c>
      <c r="AE709" s="164"/>
      <c r="AF709" s="164">
        <f t="shared" si="233"/>
        <v>0</v>
      </c>
      <c r="AG709" s="165"/>
      <c r="AH709" s="165">
        <f t="shared" si="234"/>
        <v>0</v>
      </c>
      <c r="AI709" s="166">
        <v>0</v>
      </c>
      <c r="AJ709" s="166">
        <f t="shared" si="235"/>
        <v>0</v>
      </c>
      <c r="AK709" s="162"/>
      <c r="AL709" s="162">
        <f t="shared" si="230"/>
        <v>0</v>
      </c>
      <c r="AM709" s="173"/>
      <c r="AN709" s="167">
        <f t="shared" ref="AN709:AN772" si="241">AM709*Q709</f>
        <v>0</v>
      </c>
      <c r="AO709" s="163"/>
      <c r="AP709" s="163">
        <f t="shared" ref="AP709:AP772" si="242">AO709*Q709</f>
        <v>0</v>
      </c>
      <c r="AQ709" s="168"/>
      <c r="AR709" s="168">
        <f t="shared" ref="AR709:AR772" si="243">AQ709*Q709</f>
        <v>0</v>
      </c>
      <c r="AS709" s="170"/>
      <c r="AT709" s="170">
        <f t="shared" ref="AT709:AT772" si="244">AS709*Q709</f>
        <v>0</v>
      </c>
      <c r="AU709" s="166"/>
      <c r="AV709" s="166">
        <f t="shared" ref="AV709:AV772" si="245">AU709*Q709</f>
        <v>0</v>
      </c>
    </row>
    <row r="710" spans="1:48" ht="31.5">
      <c r="A710" s="172" t="s">
        <v>8099</v>
      </c>
      <c r="B710" s="150" t="s">
        <v>5328</v>
      </c>
      <c r="C710" s="150" t="s">
        <v>215</v>
      </c>
      <c r="D710" s="240" t="s">
        <v>3775</v>
      </c>
      <c r="E710" s="590" t="s">
        <v>12642</v>
      </c>
      <c r="F710" s="203" t="s">
        <v>289</v>
      </c>
      <c r="G710" s="204" t="s">
        <v>258</v>
      </c>
      <c r="H710" s="204">
        <v>3</v>
      </c>
      <c r="I710" s="203" t="s">
        <v>3776</v>
      </c>
      <c r="J710" s="205" t="s">
        <v>7579</v>
      </c>
      <c r="K710" s="203" t="s">
        <v>253</v>
      </c>
      <c r="L710" s="205" t="s">
        <v>8100</v>
      </c>
      <c r="M710" s="205" t="s">
        <v>7211</v>
      </c>
      <c r="N710" s="204" t="s">
        <v>213</v>
      </c>
      <c r="O710" s="204" t="s">
        <v>11</v>
      </c>
      <c r="P710" s="206">
        <v>3500</v>
      </c>
      <c r="Q710" s="206">
        <v>1390</v>
      </c>
      <c r="R710" s="207">
        <v>50000</v>
      </c>
      <c r="S710" s="207">
        <f t="shared" si="236"/>
        <v>69500000</v>
      </c>
      <c r="T710" s="589"/>
      <c r="U710" s="157">
        <v>50000</v>
      </c>
      <c r="V710" s="158">
        <f t="shared" si="231"/>
        <v>20</v>
      </c>
      <c r="W710" s="159">
        <f t="shared" si="237"/>
        <v>49980</v>
      </c>
      <c r="X710" s="159">
        <f t="shared" si="238"/>
        <v>69472200</v>
      </c>
      <c r="Y710" s="160"/>
      <c r="Z710" s="160">
        <f t="shared" si="239"/>
        <v>0</v>
      </c>
      <c r="AA710" s="161">
        <v>15000</v>
      </c>
      <c r="AB710" s="161">
        <f t="shared" si="240"/>
        <v>20850000</v>
      </c>
      <c r="AC710" s="162"/>
      <c r="AD710" s="162">
        <f t="shared" si="232"/>
        <v>0</v>
      </c>
      <c r="AE710" s="164">
        <f>9030+25950</f>
        <v>34980</v>
      </c>
      <c r="AF710" s="164">
        <f t="shared" si="233"/>
        <v>48622200</v>
      </c>
      <c r="AG710" s="165"/>
      <c r="AH710" s="165">
        <f t="shared" si="234"/>
        <v>0</v>
      </c>
      <c r="AI710" s="166">
        <v>0</v>
      </c>
      <c r="AJ710" s="166">
        <f t="shared" si="235"/>
        <v>0</v>
      </c>
      <c r="AK710" s="162"/>
      <c r="AL710" s="162">
        <f t="shared" si="230"/>
        <v>0</v>
      </c>
      <c r="AM710" s="167"/>
      <c r="AN710" s="167">
        <f t="shared" si="241"/>
        <v>0</v>
      </c>
      <c r="AO710" s="163"/>
      <c r="AP710" s="163">
        <f t="shared" si="242"/>
        <v>0</v>
      </c>
      <c r="AQ710" s="168"/>
      <c r="AR710" s="168">
        <f t="shared" si="243"/>
        <v>0</v>
      </c>
      <c r="AS710" s="170"/>
      <c r="AT710" s="170">
        <f t="shared" si="244"/>
        <v>0</v>
      </c>
      <c r="AU710" s="166"/>
      <c r="AV710" s="166">
        <f t="shared" si="245"/>
        <v>0</v>
      </c>
    </row>
    <row r="711" spans="1:48" ht="31.5">
      <c r="A711" s="148" t="s">
        <v>8104</v>
      </c>
      <c r="B711" s="150" t="s">
        <v>5328</v>
      </c>
      <c r="C711" s="150" t="s">
        <v>215</v>
      </c>
      <c r="D711" s="240" t="s">
        <v>4063</v>
      </c>
      <c r="E711" s="590" t="s">
        <v>12642</v>
      </c>
      <c r="F711" s="203" t="s">
        <v>583</v>
      </c>
      <c r="G711" s="204" t="s">
        <v>222</v>
      </c>
      <c r="H711" s="204">
        <v>3</v>
      </c>
      <c r="I711" s="203" t="s">
        <v>4064</v>
      </c>
      <c r="J711" s="205" t="s">
        <v>7712</v>
      </c>
      <c r="K711" s="203" t="s">
        <v>5104</v>
      </c>
      <c r="L711" s="205" t="s">
        <v>8105</v>
      </c>
      <c r="M711" s="205" t="s">
        <v>7211</v>
      </c>
      <c r="N711" s="204" t="s">
        <v>213</v>
      </c>
      <c r="O711" s="204" t="s">
        <v>11</v>
      </c>
      <c r="P711" s="206">
        <v>1677</v>
      </c>
      <c r="Q711" s="206">
        <v>245</v>
      </c>
      <c r="R711" s="207">
        <v>20000</v>
      </c>
      <c r="S711" s="207">
        <f t="shared" si="236"/>
        <v>4900000</v>
      </c>
      <c r="T711" s="589"/>
      <c r="U711" s="157">
        <v>20000</v>
      </c>
      <c r="V711" s="158">
        <f t="shared" si="231"/>
        <v>20</v>
      </c>
      <c r="W711" s="159">
        <f t="shared" si="237"/>
        <v>19980</v>
      </c>
      <c r="X711" s="159">
        <f t="shared" si="238"/>
        <v>4895100</v>
      </c>
      <c r="Y711" s="160"/>
      <c r="Z711" s="160">
        <f t="shared" si="239"/>
        <v>0</v>
      </c>
      <c r="AA711" s="165"/>
      <c r="AB711" s="161">
        <f t="shared" si="240"/>
        <v>0</v>
      </c>
      <c r="AC711" s="162"/>
      <c r="AD711" s="162">
        <f t="shared" si="232"/>
        <v>0</v>
      </c>
      <c r="AE711" s="164">
        <v>19980</v>
      </c>
      <c r="AF711" s="164">
        <f t="shared" si="233"/>
        <v>4895100</v>
      </c>
      <c r="AG711" s="165"/>
      <c r="AH711" s="165">
        <f t="shared" si="234"/>
        <v>0</v>
      </c>
      <c r="AI711" s="166">
        <v>0</v>
      </c>
      <c r="AJ711" s="166">
        <f t="shared" si="235"/>
        <v>0</v>
      </c>
      <c r="AK711" s="162"/>
      <c r="AL711" s="162">
        <f t="shared" ref="AL711:AL774" si="246">AK711*Q711</f>
        <v>0</v>
      </c>
      <c r="AM711" s="173"/>
      <c r="AN711" s="167">
        <f t="shared" si="241"/>
        <v>0</v>
      </c>
      <c r="AO711" s="163"/>
      <c r="AP711" s="163">
        <f t="shared" si="242"/>
        <v>0</v>
      </c>
      <c r="AQ711" s="168"/>
      <c r="AR711" s="168">
        <f t="shared" si="243"/>
        <v>0</v>
      </c>
      <c r="AS711" s="170"/>
      <c r="AT711" s="170">
        <f t="shared" si="244"/>
        <v>0</v>
      </c>
      <c r="AU711" s="166"/>
      <c r="AV711" s="166">
        <f t="shared" si="245"/>
        <v>0</v>
      </c>
    </row>
    <row r="712" spans="1:48" ht="31.5">
      <c r="A712" s="148" t="s">
        <v>8133</v>
      </c>
      <c r="B712" s="150" t="s">
        <v>5328</v>
      </c>
      <c r="C712" s="150" t="s">
        <v>215</v>
      </c>
      <c r="D712" s="240" t="s">
        <v>4331</v>
      </c>
      <c r="E712" s="590"/>
      <c r="F712" s="203" t="s">
        <v>4333</v>
      </c>
      <c r="G712" s="204" t="s">
        <v>291</v>
      </c>
      <c r="H712" s="204">
        <v>3</v>
      </c>
      <c r="I712" s="203" t="s">
        <v>4332</v>
      </c>
      <c r="J712" s="205" t="s">
        <v>8134</v>
      </c>
      <c r="K712" s="203" t="s">
        <v>5104</v>
      </c>
      <c r="L712" s="205" t="s">
        <v>8135</v>
      </c>
      <c r="M712" s="205" t="s">
        <v>7211</v>
      </c>
      <c r="N712" s="204" t="s">
        <v>213</v>
      </c>
      <c r="O712" s="204" t="s">
        <v>11</v>
      </c>
      <c r="P712" s="206">
        <v>9800</v>
      </c>
      <c r="Q712" s="206">
        <v>4095</v>
      </c>
      <c r="R712" s="207">
        <v>30000</v>
      </c>
      <c r="S712" s="207">
        <f t="shared" si="236"/>
        <v>122850000</v>
      </c>
      <c r="T712" s="589"/>
      <c r="U712" s="157">
        <v>30000</v>
      </c>
      <c r="V712" s="158">
        <f t="shared" si="231"/>
        <v>10232</v>
      </c>
      <c r="W712" s="159">
        <f t="shared" si="237"/>
        <v>19768</v>
      </c>
      <c r="X712" s="159">
        <f t="shared" si="238"/>
        <v>80949960</v>
      </c>
      <c r="Y712" s="160">
        <v>4984</v>
      </c>
      <c r="Z712" s="160">
        <f t="shared" si="239"/>
        <v>20409480</v>
      </c>
      <c r="AA712" s="165"/>
      <c r="AB712" s="161">
        <f t="shared" si="240"/>
        <v>0</v>
      </c>
      <c r="AC712" s="162"/>
      <c r="AD712" s="162">
        <f t="shared" si="232"/>
        <v>0</v>
      </c>
      <c r="AE712" s="164">
        <v>4984</v>
      </c>
      <c r="AF712" s="164">
        <f t="shared" si="233"/>
        <v>20409480</v>
      </c>
      <c r="AG712" s="165"/>
      <c r="AH712" s="165">
        <f t="shared" si="234"/>
        <v>0</v>
      </c>
      <c r="AI712" s="166">
        <v>0</v>
      </c>
      <c r="AJ712" s="166">
        <f t="shared" si="235"/>
        <v>0</v>
      </c>
      <c r="AK712" s="162"/>
      <c r="AL712" s="162">
        <f t="shared" si="246"/>
        <v>0</v>
      </c>
      <c r="AM712" s="173"/>
      <c r="AN712" s="167">
        <f t="shared" si="241"/>
        <v>0</v>
      </c>
      <c r="AO712" s="163"/>
      <c r="AP712" s="163">
        <f t="shared" si="242"/>
        <v>0</v>
      </c>
      <c r="AQ712" s="168">
        <v>9800</v>
      </c>
      <c r="AR712" s="168">
        <f t="shared" si="243"/>
        <v>40131000</v>
      </c>
      <c r="AS712" s="170"/>
      <c r="AT712" s="170">
        <f t="shared" si="244"/>
        <v>0</v>
      </c>
      <c r="AU712" s="166"/>
      <c r="AV712" s="166">
        <f t="shared" si="245"/>
        <v>0</v>
      </c>
    </row>
    <row r="713" spans="1:48" ht="31.5">
      <c r="A713" s="172" t="s">
        <v>8413</v>
      </c>
      <c r="B713" s="150" t="s">
        <v>5328</v>
      </c>
      <c r="C713" s="150" t="s">
        <v>215</v>
      </c>
      <c r="D713" s="240" t="s">
        <v>8414</v>
      </c>
      <c r="E713" s="590"/>
      <c r="F713" s="203" t="s">
        <v>7370</v>
      </c>
      <c r="G713" s="204" t="s">
        <v>232</v>
      </c>
      <c r="H713" s="204">
        <v>5</v>
      </c>
      <c r="I713" s="203" t="s">
        <v>7371</v>
      </c>
      <c r="J713" s="205" t="s">
        <v>7372</v>
      </c>
      <c r="K713" s="203" t="s">
        <v>5104</v>
      </c>
      <c r="L713" s="205" t="s">
        <v>7373</v>
      </c>
      <c r="M713" s="205" t="s">
        <v>7211</v>
      </c>
      <c r="N713" s="204" t="s">
        <v>213</v>
      </c>
      <c r="O713" s="204" t="s">
        <v>11</v>
      </c>
      <c r="P713" s="206">
        <v>1820</v>
      </c>
      <c r="Q713" s="206">
        <v>465</v>
      </c>
      <c r="R713" s="207">
        <v>20000</v>
      </c>
      <c r="S713" s="207">
        <f t="shared" si="236"/>
        <v>9300000</v>
      </c>
      <c r="T713" s="589"/>
      <c r="U713" s="157">
        <v>20000</v>
      </c>
      <c r="V713" s="158">
        <f t="shared" si="231"/>
        <v>20000</v>
      </c>
      <c r="W713" s="159">
        <f t="shared" si="237"/>
        <v>0</v>
      </c>
      <c r="X713" s="159">
        <f t="shared" si="238"/>
        <v>0</v>
      </c>
      <c r="Y713" s="160"/>
      <c r="Z713" s="160">
        <f t="shared" si="239"/>
        <v>0</v>
      </c>
      <c r="AA713" s="165"/>
      <c r="AB713" s="161">
        <f t="shared" si="240"/>
        <v>0</v>
      </c>
      <c r="AC713" s="162"/>
      <c r="AD713" s="162">
        <f t="shared" si="232"/>
        <v>0</v>
      </c>
      <c r="AE713" s="164"/>
      <c r="AF713" s="164">
        <f t="shared" si="233"/>
        <v>0</v>
      </c>
      <c r="AG713" s="165"/>
      <c r="AH713" s="165">
        <f t="shared" si="234"/>
        <v>0</v>
      </c>
      <c r="AI713" s="166">
        <v>0</v>
      </c>
      <c r="AJ713" s="166">
        <f t="shared" si="235"/>
        <v>0</v>
      </c>
      <c r="AK713" s="162"/>
      <c r="AL713" s="162">
        <f t="shared" si="246"/>
        <v>0</v>
      </c>
      <c r="AM713" s="173"/>
      <c r="AN713" s="167">
        <f t="shared" si="241"/>
        <v>0</v>
      </c>
      <c r="AO713" s="163"/>
      <c r="AP713" s="163">
        <f t="shared" si="242"/>
        <v>0</v>
      </c>
      <c r="AQ713" s="168"/>
      <c r="AR713" s="168">
        <f t="shared" si="243"/>
        <v>0</v>
      </c>
      <c r="AS713" s="170"/>
      <c r="AT713" s="170">
        <f t="shared" si="244"/>
        <v>0</v>
      </c>
      <c r="AU713" s="166"/>
      <c r="AV713" s="166">
        <f t="shared" si="245"/>
        <v>0</v>
      </c>
    </row>
    <row r="714" spans="1:48" ht="31.5">
      <c r="A714" s="172" t="s">
        <v>8464</v>
      </c>
      <c r="B714" s="150" t="s">
        <v>5328</v>
      </c>
      <c r="C714" s="150" t="s">
        <v>215</v>
      </c>
      <c r="D714" s="240" t="s">
        <v>8465</v>
      </c>
      <c r="E714" s="590" t="s">
        <v>12642</v>
      </c>
      <c r="F714" s="203" t="s">
        <v>629</v>
      </c>
      <c r="G714" s="204" t="s">
        <v>631</v>
      </c>
      <c r="H714" s="204">
        <v>5</v>
      </c>
      <c r="I714" s="203" t="s">
        <v>3751</v>
      </c>
      <c r="J714" s="205" t="s">
        <v>7963</v>
      </c>
      <c r="K714" s="203" t="s">
        <v>253</v>
      </c>
      <c r="L714" s="205" t="s">
        <v>7964</v>
      </c>
      <c r="M714" s="205" t="s">
        <v>7575</v>
      </c>
      <c r="N714" s="204" t="s">
        <v>213</v>
      </c>
      <c r="O714" s="204" t="s">
        <v>5639</v>
      </c>
      <c r="P714" s="206">
        <v>45000</v>
      </c>
      <c r="Q714" s="206">
        <v>11270</v>
      </c>
      <c r="R714" s="207">
        <v>6000</v>
      </c>
      <c r="S714" s="207">
        <f t="shared" si="236"/>
        <v>67620000</v>
      </c>
      <c r="T714" s="589"/>
      <c r="U714" s="157">
        <v>6000</v>
      </c>
      <c r="V714" s="158">
        <f t="shared" si="231"/>
        <v>6000</v>
      </c>
      <c r="W714" s="159">
        <f t="shared" si="237"/>
        <v>0</v>
      </c>
      <c r="X714" s="159">
        <f t="shared" si="238"/>
        <v>0</v>
      </c>
      <c r="Y714" s="160"/>
      <c r="Z714" s="160">
        <f t="shared" si="239"/>
        <v>0</v>
      </c>
      <c r="AA714" s="161"/>
      <c r="AB714" s="161">
        <f t="shared" si="240"/>
        <v>0</v>
      </c>
      <c r="AC714" s="162"/>
      <c r="AD714" s="162">
        <f t="shared" si="232"/>
        <v>0</v>
      </c>
      <c r="AE714" s="163"/>
      <c r="AF714" s="164">
        <f t="shared" si="233"/>
        <v>0</v>
      </c>
      <c r="AG714" s="161"/>
      <c r="AH714" s="165">
        <f t="shared" si="234"/>
        <v>0</v>
      </c>
      <c r="AI714" s="160">
        <v>0</v>
      </c>
      <c r="AJ714" s="166">
        <f t="shared" si="235"/>
        <v>0</v>
      </c>
      <c r="AK714" s="162"/>
      <c r="AL714" s="162">
        <f t="shared" si="246"/>
        <v>0</v>
      </c>
      <c r="AM714" s="167"/>
      <c r="AN714" s="167">
        <f t="shared" si="241"/>
        <v>0</v>
      </c>
      <c r="AO714" s="163"/>
      <c r="AP714" s="163">
        <f t="shared" si="242"/>
        <v>0</v>
      </c>
      <c r="AQ714" s="162"/>
      <c r="AR714" s="168">
        <f t="shared" si="243"/>
        <v>0</v>
      </c>
      <c r="AS714" s="169"/>
      <c r="AT714" s="170">
        <f t="shared" si="244"/>
        <v>0</v>
      </c>
      <c r="AU714" s="160"/>
      <c r="AV714" s="166">
        <f t="shared" si="245"/>
        <v>0</v>
      </c>
    </row>
    <row r="715" spans="1:48" s="115" customFormat="1">
      <c r="A715" s="172" t="s">
        <v>3725</v>
      </c>
      <c r="B715" s="150" t="s">
        <v>5353</v>
      </c>
      <c r="C715" s="150" t="s">
        <v>5354</v>
      </c>
      <c r="D715" s="634" t="s">
        <v>4804</v>
      </c>
      <c r="E715" s="631"/>
      <c r="F715" s="175" t="s">
        <v>337</v>
      </c>
      <c r="G715" s="151" t="s">
        <v>225</v>
      </c>
      <c r="H715" s="174" t="s">
        <v>5325</v>
      </c>
      <c r="I715" s="150" t="s">
        <v>4805</v>
      </c>
      <c r="J715" s="153" t="s">
        <v>5355</v>
      </c>
      <c r="K715" s="151" t="s">
        <v>5104</v>
      </c>
      <c r="L715" s="151" t="s">
        <v>339</v>
      </c>
      <c r="M715" s="151" t="s">
        <v>336</v>
      </c>
      <c r="N715" s="152" t="s">
        <v>213</v>
      </c>
      <c r="O715" s="152" t="s">
        <v>10</v>
      </c>
      <c r="P715" s="176">
        <v>8000</v>
      </c>
      <c r="Q715" s="177">
        <v>2950</v>
      </c>
      <c r="R715" s="176">
        <v>36400</v>
      </c>
      <c r="S715" s="156">
        <f t="shared" si="236"/>
        <v>107380000</v>
      </c>
      <c r="T715" s="589"/>
      <c r="U715" s="157">
        <v>27400</v>
      </c>
      <c r="V715" s="158">
        <f t="shared" si="231"/>
        <v>27400</v>
      </c>
      <c r="W715" s="159">
        <f t="shared" si="237"/>
        <v>0</v>
      </c>
      <c r="X715" s="159">
        <f t="shared" si="238"/>
        <v>0</v>
      </c>
      <c r="Y715" s="160"/>
      <c r="Z715" s="160">
        <f t="shared" si="239"/>
        <v>0</v>
      </c>
      <c r="AA715" s="161"/>
      <c r="AB715" s="161">
        <f t="shared" si="240"/>
        <v>0</v>
      </c>
      <c r="AC715" s="162"/>
      <c r="AD715" s="162">
        <f t="shared" si="232"/>
        <v>0</v>
      </c>
      <c r="AE715" s="164"/>
      <c r="AF715" s="164">
        <f t="shared" si="233"/>
        <v>0</v>
      </c>
      <c r="AG715" s="165"/>
      <c r="AH715" s="165">
        <f t="shared" si="234"/>
        <v>0</v>
      </c>
      <c r="AI715" s="166">
        <v>0</v>
      </c>
      <c r="AJ715" s="166">
        <f t="shared" si="235"/>
        <v>0</v>
      </c>
      <c r="AK715" s="162"/>
      <c r="AL715" s="162">
        <f t="shared" si="246"/>
        <v>0</v>
      </c>
      <c r="AM715" s="167"/>
      <c r="AN715" s="167">
        <f t="shared" si="241"/>
        <v>0</v>
      </c>
      <c r="AO715" s="163"/>
      <c r="AP715" s="163">
        <f t="shared" si="242"/>
        <v>0</v>
      </c>
      <c r="AQ715" s="168"/>
      <c r="AR715" s="168">
        <f t="shared" si="243"/>
        <v>0</v>
      </c>
      <c r="AS715" s="170"/>
      <c r="AT715" s="170">
        <f t="shared" si="244"/>
        <v>0</v>
      </c>
      <c r="AU715" s="166"/>
      <c r="AV715" s="166">
        <f t="shared" si="245"/>
        <v>0</v>
      </c>
    </row>
    <row r="716" spans="1:48" s="115" customFormat="1">
      <c r="A716" s="172" t="s">
        <v>5373</v>
      </c>
      <c r="B716" s="150" t="s">
        <v>5353</v>
      </c>
      <c r="C716" s="150" t="s">
        <v>5354</v>
      </c>
      <c r="D716" s="634" t="s">
        <v>5374</v>
      </c>
      <c r="E716" s="631" t="s">
        <v>12642</v>
      </c>
      <c r="F716" s="175" t="s">
        <v>332</v>
      </c>
      <c r="G716" s="151" t="s">
        <v>334</v>
      </c>
      <c r="H716" s="174" t="s">
        <v>5325</v>
      </c>
      <c r="I716" s="150" t="s">
        <v>5375</v>
      </c>
      <c r="J716" s="153" t="s">
        <v>5376</v>
      </c>
      <c r="K716" s="151" t="s">
        <v>5104</v>
      </c>
      <c r="L716" s="151" t="s">
        <v>335</v>
      </c>
      <c r="M716" s="151" t="s">
        <v>336</v>
      </c>
      <c r="N716" s="152" t="s">
        <v>213</v>
      </c>
      <c r="O716" s="152" t="s">
        <v>10</v>
      </c>
      <c r="P716" s="176">
        <v>3000</v>
      </c>
      <c r="Q716" s="177">
        <v>1575</v>
      </c>
      <c r="R716" s="176">
        <v>15000</v>
      </c>
      <c r="S716" s="156">
        <f t="shared" si="236"/>
        <v>23625000</v>
      </c>
      <c r="T716" s="589"/>
      <c r="U716" s="157">
        <v>14700</v>
      </c>
      <c r="V716" s="158">
        <f t="shared" si="231"/>
        <v>14700</v>
      </c>
      <c r="W716" s="159">
        <f t="shared" si="237"/>
        <v>0</v>
      </c>
      <c r="X716" s="159">
        <f t="shared" si="238"/>
        <v>0</v>
      </c>
      <c r="Y716" s="160"/>
      <c r="Z716" s="160">
        <f t="shared" si="239"/>
        <v>0</v>
      </c>
      <c r="AA716" s="161"/>
      <c r="AB716" s="161">
        <f t="shared" si="240"/>
        <v>0</v>
      </c>
      <c r="AC716" s="162"/>
      <c r="AD716" s="162">
        <f t="shared" si="232"/>
        <v>0</v>
      </c>
      <c r="AE716" s="164"/>
      <c r="AF716" s="164">
        <f t="shared" si="233"/>
        <v>0</v>
      </c>
      <c r="AG716" s="165"/>
      <c r="AH716" s="165">
        <f t="shared" si="234"/>
        <v>0</v>
      </c>
      <c r="AI716" s="166">
        <v>0</v>
      </c>
      <c r="AJ716" s="166">
        <f t="shared" si="235"/>
        <v>0</v>
      </c>
      <c r="AK716" s="162"/>
      <c r="AL716" s="162">
        <f t="shared" si="246"/>
        <v>0</v>
      </c>
      <c r="AM716" s="167"/>
      <c r="AN716" s="167">
        <f t="shared" si="241"/>
        <v>0</v>
      </c>
      <c r="AO716" s="163"/>
      <c r="AP716" s="163">
        <f t="shared" si="242"/>
        <v>0</v>
      </c>
      <c r="AQ716" s="168"/>
      <c r="AR716" s="168">
        <f t="shared" si="243"/>
        <v>0</v>
      </c>
      <c r="AS716" s="170"/>
      <c r="AT716" s="170">
        <f t="shared" si="244"/>
        <v>0</v>
      </c>
      <c r="AU716" s="166"/>
      <c r="AV716" s="166">
        <f t="shared" si="245"/>
        <v>0</v>
      </c>
    </row>
    <row r="717" spans="1:48" s="115" customFormat="1">
      <c r="A717" s="148" t="s">
        <v>5037</v>
      </c>
      <c r="B717" s="150" t="s">
        <v>5353</v>
      </c>
      <c r="C717" s="150" t="s">
        <v>5354</v>
      </c>
      <c r="D717" s="634" t="s">
        <v>5411</v>
      </c>
      <c r="E717" s="631" t="s">
        <v>12642</v>
      </c>
      <c r="F717" s="175" t="s">
        <v>287</v>
      </c>
      <c r="G717" s="151" t="s">
        <v>267</v>
      </c>
      <c r="H717" s="174" t="s">
        <v>5325</v>
      </c>
      <c r="I717" s="150" t="s">
        <v>5412</v>
      </c>
      <c r="J717" s="153" t="s">
        <v>5413</v>
      </c>
      <c r="K717" s="151" t="s">
        <v>5104</v>
      </c>
      <c r="L717" s="151" t="s">
        <v>340</v>
      </c>
      <c r="M717" s="151" t="s">
        <v>336</v>
      </c>
      <c r="N717" s="152" t="s">
        <v>213</v>
      </c>
      <c r="O717" s="152" t="s">
        <v>10</v>
      </c>
      <c r="P717" s="176">
        <v>420</v>
      </c>
      <c r="Q717" s="177">
        <v>210</v>
      </c>
      <c r="R717" s="176">
        <v>364000</v>
      </c>
      <c r="S717" s="156">
        <f t="shared" si="236"/>
        <v>76440000</v>
      </c>
      <c r="T717" s="589"/>
      <c r="U717" s="157">
        <v>345700</v>
      </c>
      <c r="V717" s="158">
        <f t="shared" si="231"/>
        <v>345700</v>
      </c>
      <c r="W717" s="159">
        <f t="shared" si="237"/>
        <v>0</v>
      </c>
      <c r="X717" s="159">
        <f t="shared" si="238"/>
        <v>0</v>
      </c>
      <c r="Y717" s="160"/>
      <c r="Z717" s="160">
        <f t="shared" si="239"/>
        <v>0</v>
      </c>
      <c r="AA717" s="161"/>
      <c r="AB717" s="161">
        <f t="shared" si="240"/>
        <v>0</v>
      </c>
      <c r="AC717" s="162"/>
      <c r="AD717" s="162">
        <f t="shared" si="232"/>
        <v>0</v>
      </c>
      <c r="AE717" s="164"/>
      <c r="AF717" s="164">
        <f t="shared" si="233"/>
        <v>0</v>
      </c>
      <c r="AG717" s="165"/>
      <c r="AH717" s="165">
        <f t="shared" si="234"/>
        <v>0</v>
      </c>
      <c r="AI717" s="166">
        <v>0</v>
      </c>
      <c r="AJ717" s="166">
        <f t="shared" si="235"/>
        <v>0</v>
      </c>
      <c r="AK717" s="162"/>
      <c r="AL717" s="162">
        <f t="shared" si="246"/>
        <v>0</v>
      </c>
      <c r="AM717" s="167"/>
      <c r="AN717" s="167">
        <f t="shared" si="241"/>
        <v>0</v>
      </c>
      <c r="AO717" s="163"/>
      <c r="AP717" s="163">
        <f t="shared" si="242"/>
        <v>0</v>
      </c>
      <c r="AQ717" s="168"/>
      <c r="AR717" s="168">
        <f t="shared" si="243"/>
        <v>0</v>
      </c>
      <c r="AS717" s="170"/>
      <c r="AT717" s="170">
        <f t="shared" si="244"/>
        <v>0</v>
      </c>
      <c r="AU717" s="166"/>
      <c r="AV717" s="166">
        <f t="shared" si="245"/>
        <v>0</v>
      </c>
    </row>
    <row r="718" spans="1:48" s="115" customFormat="1">
      <c r="A718" s="148" t="s">
        <v>5482</v>
      </c>
      <c r="B718" s="150" t="s">
        <v>5353</v>
      </c>
      <c r="C718" s="150" t="s">
        <v>5354</v>
      </c>
      <c r="D718" s="634" t="s">
        <v>5483</v>
      </c>
      <c r="E718" s="631" t="s">
        <v>12642</v>
      </c>
      <c r="F718" s="175" t="s">
        <v>341</v>
      </c>
      <c r="G718" s="151" t="s">
        <v>342</v>
      </c>
      <c r="H718" s="174" t="s">
        <v>5325</v>
      </c>
      <c r="I718" s="150" t="s">
        <v>5484</v>
      </c>
      <c r="J718" s="153" t="s">
        <v>5485</v>
      </c>
      <c r="K718" s="151" t="s">
        <v>5104</v>
      </c>
      <c r="L718" s="151" t="s">
        <v>343</v>
      </c>
      <c r="M718" s="151" t="s">
        <v>336</v>
      </c>
      <c r="N718" s="152" t="s">
        <v>213</v>
      </c>
      <c r="O718" s="152" t="s">
        <v>5141</v>
      </c>
      <c r="P718" s="176">
        <v>945</v>
      </c>
      <c r="Q718" s="177">
        <v>499</v>
      </c>
      <c r="R718" s="176">
        <v>37000</v>
      </c>
      <c r="S718" s="156">
        <f t="shared" si="236"/>
        <v>18463000</v>
      </c>
      <c r="T718" s="589"/>
      <c r="U718" s="157">
        <v>34800</v>
      </c>
      <c r="V718" s="158">
        <f t="shared" si="231"/>
        <v>29800</v>
      </c>
      <c r="W718" s="159">
        <f t="shared" si="237"/>
        <v>5000</v>
      </c>
      <c r="X718" s="159">
        <f t="shared" si="238"/>
        <v>2495000</v>
      </c>
      <c r="Y718" s="160"/>
      <c r="Z718" s="160">
        <f t="shared" si="239"/>
        <v>0</v>
      </c>
      <c r="AA718" s="161"/>
      <c r="AB718" s="161">
        <f t="shared" si="240"/>
        <v>0</v>
      </c>
      <c r="AC718" s="162"/>
      <c r="AD718" s="162">
        <f t="shared" si="232"/>
        <v>0</v>
      </c>
      <c r="AE718" s="164"/>
      <c r="AF718" s="164">
        <f t="shared" si="233"/>
        <v>0</v>
      </c>
      <c r="AG718" s="165"/>
      <c r="AH718" s="165">
        <f t="shared" si="234"/>
        <v>0</v>
      </c>
      <c r="AI718" s="166">
        <v>0</v>
      </c>
      <c r="AJ718" s="166">
        <f t="shared" si="235"/>
        <v>0</v>
      </c>
      <c r="AK718" s="162"/>
      <c r="AL718" s="162">
        <f t="shared" si="246"/>
        <v>0</v>
      </c>
      <c r="AM718" s="167"/>
      <c r="AN718" s="167">
        <f t="shared" si="241"/>
        <v>0</v>
      </c>
      <c r="AO718" s="163"/>
      <c r="AP718" s="163">
        <f t="shared" si="242"/>
        <v>0</v>
      </c>
      <c r="AQ718" s="168"/>
      <c r="AR718" s="168">
        <f t="shared" si="243"/>
        <v>0</v>
      </c>
      <c r="AS718" s="170"/>
      <c r="AT718" s="170">
        <f t="shared" si="244"/>
        <v>0</v>
      </c>
      <c r="AU718" s="166">
        <v>5000</v>
      </c>
      <c r="AV718" s="166">
        <f t="shared" si="245"/>
        <v>2495000</v>
      </c>
    </row>
    <row r="719" spans="1:48" s="115" customFormat="1">
      <c r="A719" s="172" t="s">
        <v>5559</v>
      </c>
      <c r="B719" s="150" t="s">
        <v>5353</v>
      </c>
      <c r="C719" s="150" t="s">
        <v>5354</v>
      </c>
      <c r="D719" s="634" t="s">
        <v>5560</v>
      </c>
      <c r="E719" s="631"/>
      <c r="F719" s="175" t="s">
        <v>337</v>
      </c>
      <c r="G719" s="151" t="s">
        <v>225</v>
      </c>
      <c r="H719" s="174" t="s">
        <v>5554</v>
      </c>
      <c r="I719" s="150" t="s">
        <v>4805</v>
      </c>
      <c r="J719" s="153" t="s">
        <v>5355</v>
      </c>
      <c r="K719" s="151" t="s">
        <v>5104</v>
      </c>
      <c r="L719" s="151" t="s">
        <v>339</v>
      </c>
      <c r="M719" s="151" t="s">
        <v>336</v>
      </c>
      <c r="N719" s="152" t="s">
        <v>213</v>
      </c>
      <c r="O719" s="152" t="s">
        <v>10</v>
      </c>
      <c r="P719" s="176">
        <v>8000</v>
      </c>
      <c r="Q719" s="177">
        <v>2950</v>
      </c>
      <c r="R719" s="176">
        <v>36400</v>
      </c>
      <c r="S719" s="156">
        <f t="shared" si="236"/>
        <v>107380000</v>
      </c>
      <c r="T719" s="589"/>
      <c r="U719" s="157">
        <v>36400</v>
      </c>
      <c r="V719" s="158">
        <f t="shared" si="231"/>
        <v>36400</v>
      </c>
      <c r="W719" s="159">
        <f t="shared" si="237"/>
        <v>0</v>
      </c>
      <c r="X719" s="159">
        <f t="shared" si="238"/>
        <v>0</v>
      </c>
      <c r="Y719" s="160"/>
      <c r="Z719" s="160">
        <f t="shared" si="239"/>
        <v>0</v>
      </c>
      <c r="AA719" s="161"/>
      <c r="AB719" s="161">
        <f t="shared" si="240"/>
        <v>0</v>
      </c>
      <c r="AC719" s="162"/>
      <c r="AD719" s="162">
        <f t="shared" si="232"/>
        <v>0</v>
      </c>
      <c r="AE719" s="163"/>
      <c r="AF719" s="164">
        <f t="shared" si="233"/>
        <v>0</v>
      </c>
      <c r="AG719" s="161"/>
      <c r="AH719" s="165">
        <f t="shared" si="234"/>
        <v>0</v>
      </c>
      <c r="AI719" s="160">
        <v>0</v>
      </c>
      <c r="AJ719" s="166">
        <f t="shared" si="235"/>
        <v>0</v>
      </c>
      <c r="AK719" s="162"/>
      <c r="AL719" s="162">
        <f t="shared" si="246"/>
        <v>0</v>
      </c>
      <c r="AM719" s="167"/>
      <c r="AN719" s="167">
        <f t="shared" si="241"/>
        <v>0</v>
      </c>
      <c r="AO719" s="163"/>
      <c r="AP719" s="163">
        <f t="shared" si="242"/>
        <v>0</v>
      </c>
      <c r="AQ719" s="162"/>
      <c r="AR719" s="168">
        <f t="shared" si="243"/>
        <v>0</v>
      </c>
      <c r="AS719" s="169"/>
      <c r="AT719" s="170">
        <f t="shared" si="244"/>
        <v>0</v>
      </c>
      <c r="AU719" s="160"/>
      <c r="AV719" s="166">
        <f t="shared" si="245"/>
        <v>0</v>
      </c>
    </row>
    <row r="720" spans="1:48" s="115" customFormat="1" ht="31.5">
      <c r="A720" s="172" t="s">
        <v>6811</v>
      </c>
      <c r="B720" s="149" t="s">
        <v>6812</v>
      </c>
      <c r="C720" s="149" t="s">
        <v>6813</v>
      </c>
      <c r="D720" s="240" t="s">
        <v>4094</v>
      </c>
      <c r="E720" s="590" t="s">
        <v>12642</v>
      </c>
      <c r="F720" s="203" t="s">
        <v>1585</v>
      </c>
      <c r="G720" s="204" t="s">
        <v>1587</v>
      </c>
      <c r="H720" s="204">
        <v>2</v>
      </c>
      <c r="I720" s="203" t="s">
        <v>1586</v>
      </c>
      <c r="J720" s="205" t="s">
        <v>6814</v>
      </c>
      <c r="K720" s="203" t="s">
        <v>5104</v>
      </c>
      <c r="L720" s="205" t="s">
        <v>1589</v>
      </c>
      <c r="M720" s="205" t="s">
        <v>772</v>
      </c>
      <c r="N720" s="204" t="s">
        <v>5551</v>
      </c>
      <c r="O720" s="204" t="s">
        <v>13</v>
      </c>
      <c r="P720" s="206">
        <v>8500</v>
      </c>
      <c r="Q720" s="206">
        <v>7750</v>
      </c>
      <c r="R720" s="207">
        <v>30000</v>
      </c>
      <c r="S720" s="207">
        <f t="shared" si="236"/>
        <v>232500000</v>
      </c>
      <c r="T720" s="589"/>
      <c r="U720" s="157">
        <v>30000</v>
      </c>
      <c r="V720" s="158">
        <f t="shared" si="231"/>
        <v>30000</v>
      </c>
      <c r="W720" s="159">
        <f t="shared" si="237"/>
        <v>0</v>
      </c>
      <c r="X720" s="159">
        <f t="shared" si="238"/>
        <v>0</v>
      </c>
      <c r="Y720" s="160"/>
      <c r="Z720" s="160">
        <f t="shared" si="239"/>
        <v>0</v>
      </c>
      <c r="AA720" s="165"/>
      <c r="AB720" s="161">
        <f t="shared" si="240"/>
        <v>0</v>
      </c>
      <c r="AC720" s="162"/>
      <c r="AD720" s="162">
        <f t="shared" si="232"/>
        <v>0</v>
      </c>
      <c r="AE720" s="164"/>
      <c r="AF720" s="164">
        <f t="shared" si="233"/>
        <v>0</v>
      </c>
      <c r="AG720" s="165"/>
      <c r="AH720" s="165">
        <f t="shared" si="234"/>
        <v>0</v>
      </c>
      <c r="AI720" s="166">
        <v>0</v>
      </c>
      <c r="AJ720" s="166">
        <f t="shared" si="235"/>
        <v>0</v>
      </c>
      <c r="AK720" s="162"/>
      <c r="AL720" s="162">
        <f t="shared" si="246"/>
        <v>0</v>
      </c>
      <c r="AM720" s="173"/>
      <c r="AN720" s="167">
        <f t="shared" si="241"/>
        <v>0</v>
      </c>
      <c r="AO720" s="163"/>
      <c r="AP720" s="163">
        <f t="shared" si="242"/>
        <v>0</v>
      </c>
      <c r="AQ720" s="168"/>
      <c r="AR720" s="168">
        <f t="shared" si="243"/>
        <v>0</v>
      </c>
      <c r="AS720" s="170"/>
      <c r="AT720" s="170">
        <f t="shared" si="244"/>
        <v>0</v>
      </c>
      <c r="AU720" s="166"/>
      <c r="AV720" s="166">
        <f t="shared" si="245"/>
        <v>0</v>
      </c>
    </row>
    <row r="721" spans="1:49" s="238" customFormat="1" ht="31.5">
      <c r="A721" s="148" t="s">
        <v>7333</v>
      </c>
      <c r="B721" s="149" t="s">
        <v>6812</v>
      </c>
      <c r="C721" s="149" t="s">
        <v>6813</v>
      </c>
      <c r="D721" s="240" t="s">
        <v>4527</v>
      </c>
      <c r="E721" s="590" t="s">
        <v>12642</v>
      </c>
      <c r="F721" s="203" t="s">
        <v>4528</v>
      </c>
      <c r="G721" s="204" t="s">
        <v>4529</v>
      </c>
      <c r="H721" s="204">
        <v>3</v>
      </c>
      <c r="I721" s="203" t="s">
        <v>1594</v>
      </c>
      <c r="J721" s="205" t="s">
        <v>7334</v>
      </c>
      <c r="K721" s="203" t="s">
        <v>5104</v>
      </c>
      <c r="L721" s="205" t="s">
        <v>1597</v>
      </c>
      <c r="M721" s="205" t="s">
        <v>7335</v>
      </c>
      <c r="N721" s="204" t="s">
        <v>213</v>
      </c>
      <c r="O721" s="204" t="s">
        <v>658</v>
      </c>
      <c r="P721" s="206">
        <v>37000</v>
      </c>
      <c r="Q721" s="206">
        <v>37000</v>
      </c>
      <c r="R721" s="207">
        <v>2000</v>
      </c>
      <c r="S721" s="207">
        <f t="shared" si="236"/>
        <v>74000000</v>
      </c>
      <c r="T721" s="589"/>
      <c r="U721" s="157">
        <v>2000</v>
      </c>
      <c r="V721" s="158">
        <f t="shared" si="231"/>
        <v>1670</v>
      </c>
      <c r="W721" s="159">
        <f t="shared" si="237"/>
        <v>330</v>
      </c>
      <c r="X721" s="159">
        <f t="shared" si="238"/>
        <v>12210000</v>
      </c>
      <c r="Y721" s="160"/>
      <c r="Z721" s="160">
        <f t="shared" si="239"/>
        <v>0</v>
      </c>
      <c r="AA721" s="165">
        <v>130</v>
      </c>
      <c r="AB721" s="161">
        <f t="shared" si="240"/>
        <v>4810000</v>
      </c>
      <c r="AC721" s="162"/>
      <c r="AD721" s="162">
        <f t="shared" si="232"/>
        <v>0</v>
      </c>
      <c r="AE721" s="164"/>
      <c r="AF721" s="164">
        <f t="shared" si="233"/>
        <v>0</v>
      </c>
      <c r="AG721" s="165">
        <v>100</v>
      </c>
      <c r="AH721" s="165">
        <f t="shared" si="234"/>
        <v>3700000</v>
      </c>
      <c r="AI721" s="166">
        <v>0</v>
      </c>
      <c r="AJ721" s="166">
        <f t="shared" si="235"/>
        <v>0</v>
      </c>
      <c r="AK721" s="162"/>
      <c r="AL721" s="162">
        <f t="shared" si="246"/>
        <v>0</v>
      </c>
      <c r="AM721" s="173">
        <v>100</v>
      </c>
      <c r="AN721" s="167">
        <f t="shared" si="241"/>
        <v>3700000</v>
      </c>
      <c r="AO721" s="163"/>
      <c r="AP721" s="163">
        <f t="shared" si="242"/>
        <v>0</v>
      </c>
      <c r="AQ721" s="168"/>
      <c r="AR721" s="168">
        <f t="shared" si="243"/>
        <v>0</v>
      </c>
      <c r="AS721" s="170"/>
      <c r="AT721" s="170">
        <f t="shared" si="244"/>
        <v>0</v>
      </c>
      <c r="AU721" s="166"/>
      <c r="AV721" s="166">
        <f t="shared" si="245"/>
        <v>0</v>
      </c>
    </row>
    <row r="722" spans="1:49" s="115" customFormat="1" ht="31.5">
      <c r="A722" s="172" t="s">
        <v>7891</v>
      </c>
      <c r="B722" s="149" t="s">
        <v>6812</v>
      </c>
      <c r="C722" s="149" t="s">
        <v>6813</v>
      </c>
      <c r="D722" s="240" t="s">
        <v>7892</v>
      </c>
      <c r="E722" s="590" t="s">
        <v>12642</v>
      </c>
      <c r="F722" s="203" t="s">
        <v>736</v>
      </c>
      <c r="G722" s="204" t="s">
        <v>7893</v>
      </c>
      <c r="H722" s="204">
        <v>3</v>
      </c>
      <c r="I722" s="203" t="s">
        <v>7894</v>
      </c>
      <c r="J722" s="205" t="s">
        <v>7895</v>
      </c>
      <c r="K722" s="203" t="s">
        <v>5104</v>
      </c>
      <c r="L722" s="205" t="s">
        <v>7896</v>
      </c>
      <c r="M722" s="205" t="s">
        <v>7335</v>
      </c>
      <c r="N722" s="204" t="s">
        <v>213</v>
      </c>
      <c r="O722" s="204" t="s">
        <v>13</v>
      </c>
      <c r="P722" s="206">
        <v>3300</v>
      </c>
      <c r="Q722" s="206">
        <v>3300</v>
      </c>
      <c r="R722" s="207">
        <v>60000</v>
      </c>
      <c r="S722" s="207">
        <f t="shared" si="236"/>
        <v>198000000</v>
      </c>
      <c r="T722" s="589"/>
      <c r="U722" s="157">
        <v>60000</v>
      </c>
      <c r="V722" s="158">
        <f t="shared" si="231"/>
        <v>60000</v>
      </c>
      <c r="W722" s="159">
        <f t="shared" si="237"/>
        <v>0</v>
      </c>
      <c r="X722" s="159">
        <f t="shared" si="238"/>
        <v>0</v>
      </c>
      <c r="Y722" s="160"/>
      <c r="Z722" s="160">
        <f t="shared" si="239"/>
        <v>0</v>
      </c>
      <c r="AA722" s="165"/>
      <c r="AB722" s="161">
        <f t="shared" si="240"/>
        <v>0</v>
      </c>
      <c r="AC722" s="162"/>
      <c r="AD722" s="162">
        <f t="shared" si="232"/>
        <v>0</v>
      </c>
      <c r="AE722" s="164"/>
      <c r="AF722" s="164">
        <f t="shared" si="233"/>
        <v>0</v>
      </c>
      <c r="AG722" s="165"/>
      <c r="AH722" s="165">
        <f t="shared" si="234"/>
        <v>0</v>
      </c>
      <c r="AI722" s="166">
        <v>0</v>
      </c>
      <c r="AJ722" s="166">
        <f t="shared" si="235"/>
        <v>0</v>
      </c>
      <c r="AK722" s="162"/>
      <c r="AL722" s="162">
        <f t="shared" si="246"/>
        <v>0</v>
      </c>
      <c r="AM722" s="173"/>
      <c r="AN722" s="167">
        <f t="shared" si="241"/>
        <v>0</v>
      </c>
      <c r="AO722" s="163"/>
      <c r="AP722" s="163">
        <f t="shared" si="242"/>
        <v>0</v>
      </c>
      <c r="AQ722" s="168"/>
      <c r="AR722" s="168">
        <f t="shared" si="243"/>
        <v>0</v>
      </c>
      <c r="AS722" s="170"/>
      <c r="AT722" s="170">
        <f t="shared" si="244"/>
        <v>0</v>
      </c>
      <c r="AU722" s="166"/>
      <c r="AV722" s="166">
        <f t="shared" si="245"/>
        <v>0</v>
      </c>
    </row>
    <row r="723" spans="1:49" s="115" customFormat="1" ht="31.5">
      <c r="A723" s="148" t="s">
        <v>8075</v>
      </c>
      <c r="B723" s="149" t="s">
        <v>6812</v>
      </c>
      <c r="C723" s="149" t="s">
        <v>6813</v>
      </c>
      <c r="D723" s="240" t="s">
        <v>8076</v>
      </c>
      <c r="E723" s="590"/>
      <c r="F723" s="203" t="s">
        <v>876</v>
      </c>
      <c r="G723" s="204" t="s">
        <v>1575</v>
      </c>
      <c r="H723" s="204">
        <v>3</v>
      </c>
      <c r="I723" s="203" t="s">
        <v>1574</v>
      </c>
      <c r="J723" s="205" t="s">
        <v>8077</v>
      </c>
      <c r="K723" s="203" t="s">
        <v>253</v>
      </c>
      <c r="L723" s="205" t="s">
        <v>1577</v>
      </c>
      <c r="M723" s="205" t="s">
        <v>7335</v>
      </c>
      <c r="N723" s="204" t="s">
        <v>213</v>
      </c>
      <c r="O723" s="204" t="s">
        <v>658</v>
      </c>
      <c r="P723" s="206">
        <v>100000</v>
      </c>
      <c r="Q723" s="206">
        <v>90000</v>
      </c>
      <c r="R723" s="207">
        <v>1000</v>
      </c>
      <c r="S723" s="207">
        <f t="shared" si="236"/>
        <v>90000000</v>
      </c>
      <c r="T723" s="589"/>
      <c r="U723" s="157">
        <v>1000</v>
      </c>
      <c r="V723" s="158">
        <f t="shared" si="231"/>
        <v>1000</v>
      </c>
      <c r="W723" s="159">
        <f t="shared" si="237"/>
        <v>0</v>
      </c>
      <c r="X723" s="159">
        <f t="shared" si="238"/>
        <v>0</v>
      </c>
      <c r="Y723" s="160"/>
      <c r="Z723" s="160">
        <f t="shared" si="239"/>
        <v>0</v>
      </c>
      <c r="AA723" s="165"/>
      <c r="AB723" s="161">
        <f t="shared" si="240"/>
        <v>0</v>
      </c>
      <c r="AC723" s="162"/>
      <c r="AD723" s="162">
        <f t="shared" si="232"/>
        <v>0</v>
      </c>
      <c r="AE723" s="164"/>
      <c r="AF723" s="164">
        <f t="shared" si="233"/>
        <v>0</v>
      </c>
      <c r="AG723" s="165"/>
      <c r="AH723" s="165">
        <f t="shared" si="234"/>
        <v>0</v>
      </c>
      <c r="AI723" s="166">
        <v>0</v>
      </c>
      <c r="AJ723" s="166">
        <f t="shared" si="235"/>
        <v>0</v>
      </c>
      <c r="AK723" s="162"/>
      <c r="AL723" s="162">
        <f t="shared" si="246"/>
        <v>0</v>
      </c>
      <c r="AM723" s="173"/>
      <c r="AN723" s="167">
        <f t="shared" si="241"/>
        <v>0</v>
      </c>
      <c r="AO723" s="163"/>
      <c r="AP723" s="163">
        <f t="shared" si="242"/>
        <v>0</v>
      </c>
      <c r="AQ723" s="168"/>
      <c r="AR723" s="168">
        <f t="shared" si="243"/>
        <v>0</v>
      </c>
      <c r="AS723" s="170"/>
      <c r="AT723" s="170">
        <f t="shared" si="244"/>
        <v>0</v>
      </c>
      <c r="AU723" s="166"/>
      <c r="AV723" s="166">
        <f t="shared" si="245"/>
        <v>0</v>
      </c>
    </row>
    <row r="724" spans="1:49" ht="31.5">
      <c r="A724" s="148" t="s">
        <v>8172</v>
      </c>
      <c r="B724" s="149" t="s">
        <v>6812</v>
      </c>
      <c r="C724" s="149" t="s">
        <v>6813</v>
      </c>
      <c r="D724" s="240" t="s">
        <v>4356</v>
      </c>
      <c r="E724" s="590"/>
      <c r="F724" s="203" t="s">
        <v>8173</v>
      </c>
      <c r="G724" s="204" t="s">
        <v>4359</v>
      </c>
      <c r="H724" s="204">
        <v>3</v>
      </c>
      <c r="I724" s="203" t="s">
        <v>4357</v>
      </c>
      <c r="J724" s="205" t="s">
        <v>8174</v>
      </c>
      <c r="K724" s="203" t="s">
        <v>253</v>
      </c>
      <c r="L724" s="205" t="s">
        <v>8175</v>
      </c>
      <c r="M724" s="205" t="s">
        <v>7335</v>
      </c>
      <c r="N724" s="204" t="s">
        <v>213</v>
      </c>
      <c r="O724" s="204" t="s">
        <v>658</v>
      </c>
      <c r="P724" s="206">
        <v>36000</v>
      </c>
      <c r="Q724" s="206">
        <v>30000</v>
      </c>
      <c r="R724" s="207">
        <v>3000</v>
      </c>
      <c r="S724" s="207">
        <f t="shared" si="236"/>
        <v>90000000</v>
      </c>
      <c r="T724" s="589"/>
      <c r="U724" s="157">
        <v>3000</v>
      </c>
      <c r="V724" s="158">
        <f t="shared" si="231"/>
        <v>2900</v>
      </c>
      <c r="W724" s="159">
        <f t="shared" si="237"/>
        <v>100</v>
      </c>
      <c r="X724" s="159">
        <f t="shared" si="238"/>
        <v>3000000</v>
      </c>
      <c r="Y724" s="160"/>
      <c r="Z724" s="160">
        <f t="shared" si="239"/>
        <v>0</v>
      </c>
      <c r="AA724" s="165"/>
      <c r="AB724" s="161">
        <f t="shared" si="240"/>
        <v>0</v>
      </c>
      <c r="AC724" s="162"/>
      <c r="AD724" s="162">
        <f t="shared" si="232"/>
        <v>0</v>
      </c>
      <c r="AE724" s="164"/>
      <c r="AF724" s="164">
        <f t="shared" si="233"/>
        <v>0</v>
      </c>
      <c r="AG724" s="165"/>
      <c r="AH724" s="165">
        <f t="shared" si="234"/>
        <v>0</v>
      </c>
      <c r="AI724" s="166">
        <v>0</v>
      </c>
      <c r="AJ724" s="166">
        <f t="shared" si="235"/>
        <v>0</v>
      </c>
      <c r="AK724" s="162"/>
      <c r="AL724" s="162">
        <f t="shared" si="246"/>
        <v>0</v>
      </c>
      <c r="AM724" s="173">
        <v>100</v>
      </c>
      <c r="AN724" s="167">
        <f t="shared" si="241"/>
        <v>3000000</v>
      </c>
      <c r="AO724" s="163"/>
      <c r="AP724" s="163">
        <f t="shared" si="242"/>
        <v>0</v>
      </c>
      <c r="AQ724" s="168"/>
      <c r="AR724" s="168">
        <f t="shared" si="243"/>
        <v>0</v>
      </c>
      <c r="AS724" s="170"/>
      <c r="AT724" s="170">
        <f t="shared" si="244"/>
        <v>0</v>
      </c>
      <c r="AU724" s="166"/>
      <c r="AV724" s="166">
        <f t="shared" si="245"/>
        <v>0</v>
      </c>
    </row>
    <row r="725" spans="1:49" ht="31.5">
      <c r="A725" s="148" t="s">
        <v>8199</v>
      </c>
      <c r="B725" s="149" t="s">
        <v>6812</v>
      </c>
      <c r="C725" s="149" t="s">
        <v>6813</v>
      </c>
      <c r="D725" s="240" t="s">
        <v>8200</v>
      </c>
      <c r="E725" s="590"/>
      <c r="F725" s="203" t="s">
        <v>6873</v>
      </c>
      <c r="G725" s="204" t="s">
        <v>8201</v>
      </c>
      <c r="H725" s="204">
        <v>3</v>
      </c>
      <c r="I725" s="203" t="s">
        <v>8202</v>
      </c>
      <c r="J725" s="205" t="s">
        <v>8203</v>
      </c>
      <c r="K725" s="203" t="s">
        <v>5104</v>
      </c>
      <c r="L725" s="205" t="s">
        <v>8204</v>
      </c>
      <c r="M725" s="205" t="s">
        <v>7335</v>
      </c>
      <c r="N725" s="204" t="s">
        <v>213</v>
      </c>
      <c r="O725" s="204" t="s">
        <v>658</v>
      </c>
      <c r="P725" s="206">
        <v>98000</v>
      </c>
      <c r="Q725" s="206">
        <v>96000</v>
      </c>
      <c r="R725" s="207">
        <v>1000</v>
      </c>
      <c r="S725" s="207">
        <f t="shared" si="236"/>
        <v>96000000</v>
      </c>
      <c r="T725" s="589"/>
      <c r="U725" s="157">
        <v>1000</v>
      </c>
      <c r="V725" s="158">
        <f t="shared" si="231"/>
        <v>1000</v>
      </c>
      <c r="W725" s="159">
        <f t="shared" si="237"/>
        <v>0</v>
      </c>
      <c r="X725" s="159">
        <f t="shared" si="238"/>
        <v>0</v>
      </c>
      <c r="Y725" s="160"/>
      <c r="Z725" s="160">
        <f t="shared" si="239"/>
        <v>0</v>
      </c>
      <c r="AA725" s="165"/>
      <c r="AB725" s="161">
        <f t="shared" si="240"/>
        <v>0</v>
      </c>
      <c r="AC725" s="162"/>
      <c r="AD725" s="162">
        <f t="shared" si="232"/>
        <v>0</v>
      </c>
      <c r="AE725" s="164"/>
      <c r="AF725" s="164">
        <f t="shared" si="233"/>
        <v>0</v>
      </c>
      <c r="AG725" s="165"/>
      <c r="AH725" s="165">
        <f t="shared" si="234"/>
        <v>0</v>
      </c>
      <c r="AI725" s="166">
        <v>0</v>
      </c>
      <c r="AJ725" s="166">
        <f t="shared" si="235"/>
        <v>0</v>
      </c>
      <c r="AK725" s="162"/>
      <c r="AL725" s="162">
        <f t="shared" si="246"/>
        <v>0</v>
      </c>
      <c r="AM725" s="173"/>
      <c r="AN725" s="167">
        <f t="shared" si="241"/>
        <v>0</v>
      </c>
      <c r="AO725" s="163"/>
      <c r="AP725" s="163">
        <f t="shared" si="242"/>
        <v>0</v>
      </c>
      <c r="AQ725" s="168"/>
      <c r="AR725" s="168">
        <f t="shared" si="243"/>
        <v>0</v>
      </c>
      <c r="AS725" s="170"/>
      <c r="AT725" s="170">
        <f t="shared" si="244"/>
        <v>0</v>
      </c>
      <c r="AU725" s="166"/>
      <c r="AV725" s="166">
        <f t="shared" si="245"/>
        <v>0</v>
      </c>
    </row>
    <row r="726" spans="1:49" ht="31.5">
      <c r="A726" s="148" t="s">
        <v>5098</v>
      </c>
      <c r="B726" s="149" t="s">
        <v>5099</v>
      </c>
      <c r="C726" s="150" t="s">
        <v>5100</v>
      </c>
      <c r="D726" s="263" t="s">
        <v>5101</v>
      </c>
      <c r="E726" s="632" t="s">
        <v>12642</v>
      </c>
      <c r="F726" s="150" t="s">
        <v>289</v>
      </c>
      <c r="G726" s="151" t="s">
        <v>291</v>
      </c>
      <c r="H726" s="152" t="s">
        <v>5102</v>
      </c>
      <c r="I726" s="150" t="s">
        <v>290</v>
      </c>
      <c r="J726" s="153" t="s">
        <v>5103</v>
      </c>
      <c r="K726" s="151" t="s">
        <v>5104</v>
      </c>
      <c r="L726" s="151" t="s">
        <v>292</v>
      </c>
      <c r="M726" s="151" t="s">
        <v>293</v>
      </c>
      <c r="N726" s="151" t="s">
        <v>5105</v>
      </c>
      <c r="O726" s="151" t="s">
        <v>10</v>
      </c>
      <c r="P726" s="154">
        <v>2761</v>
      </c>
      <c r="Q726" s="155">
        <v>2760</v>
      </c>
      <c r="R726" s="154">
        <v>230000</v>
      </c>
      <c r="S726" s="156">
        <f t="shared" si="236"/>
        <v>634800000</v>
      </c>
      <c r="T726" s="589"/>
      <c r="U726" s="157">
        <v>220000</v>
      </c>
      <c r="V726" s="158">
        <f t="shared" si="231"/>
        <v>220000</v>
      </c>
      <c r="W726" s="159">
        <f t="shared" si="237"/>
        <v>0</v>
      </c>
      <c r="X726" s="159">
        <f t="shared" si="238"/>
        <v>0</v>
      </c>
      <c r="Y726" s="160"/>
      <c r="Z726" s="160">
        <f t="shared" si="239"/>
        <v>0</v>
      </c>
      <c r="AA726" s="161"/>
      <c r="AB726" s="161">
        <f t="shared" si="240"/>
        <v>0</v>
      </c>
      <c r="AC726" s="162"/>
      <c r="AD726" s="162">
        <f t="shared" si="232"/>
        <v>0</v>
      </c>
      <c r="AE726" s="163"/>
      <c r="AF726" s="164">
        <f t="shared" si="233"/>
        <v>0</v>
      </c>
      <c r="AG726" s="161"/>
      <c r="AH726" s="165">
        <f t="shared" si="234"/>
        <v>0</v>
      </c>
      <c r="AI726" s="160">
        <v>0</v>
      </c>
      <c r="AJ726" s="166">
        <f t="shared" si="235"/>
        <v>0</v>
      </c>
      <c r="AK726" s="162"/>
      <c r="AL726" s="162">
        <f t="shared" si="246"/>
        <v>0</v>
      </c>
      <c r="AM726" s="167"/>
      <c r="AN726" s="167">
        <f t="shared" si="241"/>
        <v>0</v>
      </c>
      <c r="AO726" s="163"/>
      <c r="AP726" s="163">
        <f t="shared" si="242"/>
        <v>0</v>
      </c>
      <c r="AQ726" s="162"/>
      <c r="AR726" s="168">
        <f t="shared" si="243"/>
        <v>0</v>
      </c>
      <c r="AS726" s="169"/>
      <c r="AT726" s="170">
        <f t="shared" si="244"/>
        <v>0</v>
      </c>
      <c r="AU726" s="160"/>
      <c r="AV726" s="166">
        <f t="shared" si="245"/>
        <v>0</v>
      </c>
    </row>
    <row r="727" spans="1:49" ht="31.5">
      <c r="A727" s="148" t="s">
        <v>5</v>
      </c>
      <c r="B727" s="149" t="s">
        <v>5099</v>
      </c>
      <c r="C727" s="150" t="s">
        <v>5100</v>
      </c>
      <c r="D727" s="263" t="s">
        <v>5106</v>
      </c>
      <c r="E727" s="632" t="s">
        <v>12642</v>
      </c>
      <c r="F727" s="150" t="s">
        <v>274</v>
      </c>
      <c r="G727" s="151" t="s">
        <v>225</v>
      </c>
      <c r="H727" s="152" t="s">
        <v>5102</v>
      </c>
      <c r="I727" s="150" t="s">
        <v>300</v>
      </c>
      <c r="J727" s="153" t="s">
        <v>5107</v>
      </c>
      <c r="K727" s="151" t="s">
        <v>5108</v>
      </c>
      <c r="L727" s="151" t="s">
        <v>301</v>
      </c>
      <c r="M727" s="151" t="s">
        <v>293</v>
      </c>
      <c r="N727" s="151" t="s">
        <v>5105</v>
      </c>
      <c r="O727" s="151" t="s">
        <v>10</v>
      </c>
      <c r="P727" s="154">
        <v>13913</v>
      </c>
      <c r="Q727" s="155">
        <v>13913</v>
      </c>
      <c r="R727" s="154">
        <v>37000</v>
      </c>
      <c r="S727" s="156">
        <f t="shared" si="236"/>
        <v>514781000</v>
      </c>
      <c r="T727" s="589"/>
      <c r="U727" s="157">
        <v>36000</v>
      </c>
      <c r="V727" s="158">
        <f t="shared" si="231"/>
        <v>36000</v>
      </c>
      <c r="W727" s="159">
        <f t="shared" si="237"/>
        <v>0</v>
      </c>
      <c r="X727" s="159">
        <f t="shared" si="238"/>
        <v>0</v>
      </c>
      <c r="Y727" s="160"/>
      <c r="Z727" s="160">
        <f t="shared" si="239"/>
        <v>0</v>
      </c>
      <c r="AA727" s="161"/>
      <c r="AB727" s="161">
        <f t="shared" si="240"/>
        <v>0</v>
      </c>
      <c r="AC727" s="162"/>
      <c r="AD727" s="162">
        <f t="shared" si="232"/>
        <v>0</v>
      </c>
      <c r="AE727" s="164"/>
      <c r="AF727" s="164">
        <f t="shared" si="233"/>
        <v>0</v>
      </c>
      <c r="AG727" s="165"/>
      <c r="AH727" s="165">
        <f t="shared" si="234"/>
        <v>0</v>
      </c>
      <c r="AI727" s="166">
        <v>0</v>
      </c>
      <c r="AJ727" s="166">
        <f t="shared" si="235"/>
        <v>0</v>
      </c>
      <c r="AK727" s="162"/>
      <c r="AL727" s="162">
        <f t="shared" si="246"/>
        <v>0</v>
      </c>
      <c r="AM727" s="167"/>
      <c r="AN727" s="167">
        <f t="shared" si="241"/>
        <v>0</v>
      </c>
      <c r="AO727" s="163"/>
      <c r="AP727" s="163">
        <f t="shared" si="242"/>
        <v>0</v>
      </c>
      <c r="AQ727" s="168"/>
      <c r="AR727" s="168">
        <f t="shared" si="243"/>
        <v>0</v>
      </c>
      <c r="AS727" s="170"/>
      <c r="AT727" s="170">
        <f t="shared" si="244"/>
        <v>0</v>
      </c>
      <c r="AU727" s="166"/>
      <c r="AV727" s="166">
        <f t="shared" si="245"/>
        <v>0</v>
      </c>
    </row>
    <row r="728" spans="1:49" ht="31.5">
      <c r="A728" s="172" t="s">
        <v>6</v>
      </c>
      <c r="B728" s="149" t="s">
        <v>5099</v>
      </c>
      <c r="C728" s="150" t="s">
        <v>5100</v>
      </c>
      <c r="D728" s="263" t="s">
        <v>4827</v>
      </c>
      <c r="E728" s="632"/>
      <c r="F728" s="150" t="s">
        <v>274</v>
      </c>
      <c r="G728" s="151" t="s">
        <v>5109</v>
      </c>
      <c r="H728" s="152" t="s">
        <v>5102</v>
      </c>
      <c r="I728" s="150" t="s">
        <v>302</v>
      </c>
      <c r="J728" s="153" t="s">
        <v>5110</v>
      </c>
      <c r="K728" s="151" t="s">
        <v>5111</v>
      </c>
      <c r="L728" s="151" t="s">
        <v>303</v>
      </c>
      <c r="M728" s="151" t="s">
        <v>293</v>
      </c>
      <c r="N728" s="151" t="s">
        <v>5105</v>
      </c>
      <c r="O728" s="151" t="s">
        <v>14</v>
      </c>
      <c r="P728" s="154">
        <v>246960</v>
      </c>
      <c r="Q728" s="155">
        <v>246960</v>
      </c>
      <c r="R728" s="154">
        <v>1900</v>
      </c>
      <c r="S728" s="156">
        <f t="shared" si="236"/>
        <v>469224000</v>
      </c>
      <c r="T728" s="589"/>
      <c r="U728" s="157">
        <v>1700</v>
      </c>
      <c r="V728" s="158">
        <f t="shared" si="231"/>
        <v>1700</v>
      </c>
      <c r="W728" s="159">
        <f t="shared" si="237"/>
        <v>0</v>
      </c>
      <c r="X728" s="159">
        <f t="shared" si="238"/>
        <v>0</v>
      </c>
      <c r="Y728" s="160"/>
      <c r="Z728" s="160">
        <f t="shared" si="239"/>
        <v>0</v>
      </c>
      <c r="AA728" s="161"/>
      <c r="AB728" s="161">
        <f t="shared" si="240"/>
        <v>0</v>
      </c>
      <c r="AC728" s="162"/>
      <c r="AD728" s="162">
        <f t="shared" si="232"/>
        <v>0</v>
      </c>
      <c r="AE728" s="164"/>
      <c r="AF728" s="164">
        <f t="shared" si="233"/>
        <v>0</v>
      </c>
      <c r="AG728" s="165"/>
      <c r="AH728" s="165">
        <f t="shared" si="234"/>
        <v>0</v>
      </c>
      <c r="AI728" s="166">
        <v>0</v>
      </c>
      <c r="AJ728" s="166">
        <f t="shared" si="235"/>
        <v>0</v>
      </c>
      <c r="AK728" s="162"/>
      <c r="AL728" s="162">
        <f t="shared" si="246"/>
        <v>0</v>
      </c>
      <c r="AM728" s="167"/>
      <c r="AN728" s="167">
        <f t="shared" si="241"/>
        <v>0</v>
      </c>
      <c r="AO728" s="163"/>
      <c r="AP728" s="163">
        <f t="shared" si="242"/>
        <v>0</v>
      </c>
      <c r="AQ728" s="168"/>
      <c r="AR728" s="168">
        <f t="shared" si="243"/>
        <v>0</v>
      </c>
      <c r="AS728" s="170"/>
      <c r="AT728" s="170">
        <f t="shared" si="244"/>
        <v>0</v>
      </c>
      <c r="AU728" s="166"/>
      <c r="AV728" s="166">
        <f t="shared" si="245"/>
        <v>0</v>
      </c>
    </row>
    <row r="729" spans="1:49" ht="31.5">
      <c r="A729" s="148" t="s">
        <v>7</v>
      </c>
      <c r="B729" s="149" t="s">
        <v>5099</v>
      </c>
      <c r="C729" s="150" t="s">
        <v>5100</v>
      </c>
      <c r="D729" s="263" t="s">
        <v>5112</v>
      </c>
      <c r="E729" s="632" t="s">
        <v>12642</v>
      </c>
      <c r="F729" s="150" t="s">
        <v>309</v>
      </c>
      <c r="G729" s="151" t="s">
        <v>310</v>
      </c>
      <c r="H729" s="152" t="s">
        <v>5102</v>
      </c>
      <c r="I729" s="150" t="s">
        <v>5113</v>
      </c>
      <c r="J729" s="153" t="s">
        <v>5114</v>
      </c>
      <c r="K729" s="151" t="s">
        <v>5104</v>
      </c>
      <c r="L729" s="151" t="s">
        <v>5115</v>
      </c>
      <c r="M729" s="151" t="s">
        <v>312</v>
      </c>
      <c r="N729" s="151" t="s">
        <v>5116</v>
      </c>
      <c r="O729" s="151" t="s">
        <v>10</v>
      </c>
      <c r="P729" s="154">
        <v>2865</v>
      </c>
      <c r="Q729" s="633">
        <v>2765</v>
      </c>
      <c r="R729" s="154">
        <v>120000</v>
      </c>
      <c r="S729" s="156">
        <f t="shared" si="236"/>
        <v>331800000</v>
      </c>
      <c r="T729" s="589"/>
      <c r="U729" s="157">
        <v>120000</v>
      </c>
      <c r="V729" s="158">
        <f t="shared" si="231"/>
        <v>104040</v>
      </c>
      <c r="W729" s="159">
        <f t="shared" si="237"/>
        <v>15960</v>
      </c>
      <c r="X729" s="159">
        <f t="shared" si="238"/>
        <v>44129400</v>
      </c>
      <c r="Y729" s="160"/>
      <c r="Z729" s="160">
        <f t="shared" si="239"/>
        <v>0</v>
      </c>
      <c r="AA729" s="165"/>
      <c r="AB729" s="161">
        <f t="shared" si="240"/>
        <v>0</v>
      </c>
      <c r="AC729" s="162"/>
      <c r="AD729" s="162">
        <f t="shared" si="232"/>
        <v>0</v>
      </c>
      <c r="AE729" s="164"/>
      <c r="AF729" s="164">
        <f t="shared" si="233"/>
        <v>0</v>
      </c>
      <c r="AG729" s="165"/>
      <c r="AH729" s="165">
        <f t="shared" si="234"/>
        <v>0</v>
      </c>
      <c r="AI729" s="166">
        <v>0</v>
      </c>
      <c r="AJ729" s="166">
        <f t="shared" si="235"/>
        <v>0</v>
      </c>
      <c r="AK729" s="162"/>
      <c r="AL729" s="162">
        <f t="shared" si="246"/>
        <v>0</v>
      </c>
      <c r="AM729" s="173"/>
      <c r="AN729" s="167">
        <f t="shared" si="241"/>
        <v>0</v>
      </c>
      <c r="AO729" s="163"/>
      <c r="AP729" s="163">
        <f t="shared" si="242"/>
        <v>0</v>
      </c>
      <c r="AQ729" s="168"/>
      <c r="AR729" s="168">
        <f t="shared" si="243"/>
        <v>0</v>
      </c>
      <c r="AS729" s="170"/>
      <c r="AT729" s="170">
        <f t="shared" si="244"/>
        <v>0</v>
      </c>
      <c r="AU729" s="166">
        <f>360+9600+1200+4800</f>
        <v>15960</v>
      </c>
      <c r="AV729" s="166">
        <f t="shared" si="245"/>
        <v>44129400</v>
      </c>
      <c r="AW729" s="134">
        <f>995400+26544000</f>
        <v>27539400</v>
      </c>
    </row>
    <row r="730" spans="1:49" ht="47.25">
      <c r="A730" s="172" t="s">
        <v>5122</v>
      </c>
      <c r="B730" s="149" t="s">
        <v>5099</v>
      </c>
      <c r="C730" s="150" t="s">
        <v>5100</v>
      </c>
      <c r="D730" s="263" t="s">
        <v>4839</v>
      </c>
      <c r="E730" s="632" t="s">
        <v>12642</v>
      </c>
      <c r="F730" s="150" t="s">
        <v>294</v>
      </c>
      <c r="G730" s="151" t="s">
        <v>296</v>
      </c>
      <c r="H730" s="152" t="s">
        <v>5102</v>
      </c>
      <c r="I730" s="150" t="s">
        <v>5123</v>
      </c>
      <c r="J730" s="153" t="s">
        <v>5124</v>
      </c>
      <c r="K730" s="151" t="s">
        <v>253</v>
      </c>
      <c r="L730" s="151" t="s">
        <v>297</v>
      </c>
      <c r="M730" s="151" t="s">
        <v>298</v>
      </c>
      <c r="N730" s="151" t="s">
        <v>5116</v>
      </c>
      <c r="O730" s="151" t="s">
        <v>10</v>
      </c>
      <c r="P730" s="154">
        <v>6753</v>
      </c>
      <c r="Q730" s="155">
        <v>6750</v>
      </c>
      <c r="R730" s="154">
        <v>19000</v>
      </c>
      <c r="S730" s="156">
        <f t="shared" si="236"/>
        <v>128250000</v>
      </c>
      <c r="T730" s="589"/>
      <c r="U730" s="157">
        <v>18850</v>
      </c>
      <c r="V730" s="158">
        <f t="shared" si="231"/>
        <v>18550</v>
      </c>
      <c r="W730" s="159">
        <f t="shared" si="237"/>
        <v>300</v>
      </c>
      <c r="X730" s="159">
        <f t="shared" si="238"/>
        <v>2025000</v>
      </c>
      <c r="Y730" s="160"/>
      <c r="Z730" s="160">
        <f t="shared" si="239"/>
        <v>0</v>
      </c>
      <c r="AA730" s="161">
        <v>300</v>
      </c>
      <c r="AB730" s="161">
        <f t="shared" si="240"/>
        <v>2025000</v>
      </c>
      <c r="AC730" s="162"/>
      <c r="AD730" s="162">
        <f t="shared" si="232"/>
        <v>0</v>
      </c>
      <c r="AE730" s="164"/>
      <c r="AF730" s="164">
        <f t="shared" si="233"/>
        <v>0</v>
      </c>
      <c r="AG730" s="165"/>
      <c r="AH730" s="165">
        <f t="shared" si="234"/>
        <v>0</v>
      </c>
      <c r="AI730" s="166">
        <v>0</v>
      </c>
      <c r="AJ730" s="166">
        <f t="shared" si="235"/>
        <v>0</v>
      </c>
      <c r="AK730" s="162"/>
      <c r="AL730" s="162">
        <f t="shared" si="246"/>
        <v>0</v>
      </c>
      <c r="AM730" s="167"/>
      <c r="AN730" s="167">
        <f t="shared" si="241"/>
        <v>0</v>
      </c>
      <c r="AO730" s="163"/>
      <c r="AP730" s="163">
        <f t="shared" si="242"/>
        <v>0</v>
      </c>
      <c r="AQ730" s="168"/>
      <c r="AR730" s="168">
        <f t="shared" si="243"/>
        <v>0</v>
      </c>
      <c r="AS730" s="170"/>
      <c r="AT730" s="170">
        <f t="shared" si="244"/>
        <v>0</v>
      </c>
      <c r="AU730" s="166"/>
      <c r="AV730" s="166">
        <f t="shared" si="245"/>
        <v>0</v>
      </c>
    </row>
    <row r="731" spans="1:49" s="131" customFormat="1" ht="31.5">
      <c r="A731" s="148" t="s">
        <v>5125</v>
      </c>
      <c r="B731" s="149" t="s">
        <v>5099</v>
      </c>
      <c r="C731" s="150" t="s">
        <v>5100</v>
      </c>
      <c r="D731" s="263" t="s">
        <v>5126</v>
      </c>
      <c r="E731" s="632" t="s">
        <v>12642</v>
      </c>
      <c r="F731" s="150" t="s">
        <v>313</v>
      </c>
      <c r="G731" s="151" t="s">
        <v>315</v>
      </c>
      <c r="H731" s="152" t="s">
        <v>5102</v>
      </c>
      <c r="I731" s="150" t="s">
        <v>314</v>
      </c>
      <c r="J731" s="153" t="s">
        <v>5127</v>
      </c>
      <c r="K731" s="151" t="s">
        <v>5104</v>
      </c>
      <c r="L731" s="151" t="s">
        <v>317</v>
      </c>
      <c r="M731" s="151" t="s">
        <v>293</v>
      </c>
      <c r="N731" s="151" t="s">
        <v>5105</v>
      </c>
      <c r="O731" s="151" t="s">
        <v>10</v>
      </c>
      <c r="P731" s="154">
        <v>6017</v>
      </c>
      <c r="Q731" s="155">
        <v>5950</v>
      </c>
      <c r="R731" s="154">
        <v>43000</v>
      </c>
      <c r="S731" s="156">
        <f t="shared" si="236"/>
        <v>255850000</v>
      </c>
      <c r="T731" s="589"/>
      <c r="U731" s="157">
        <v>40000</v>
      </c>
      <c r="V731" s="158">
        <f t="shared" si="231"/>
        <v>40000</v>
      </c>
      <c r="W731" s="159">
        <f t="shared" si="237"/>
        <v>0</v>
      </c>
      <c r="X731" s="159">
        <f t="shared" si="238"/>
        <v>0</v>
      </c>
      <c r="Y731" s="160"/>
      <c r="Z731" s="160">
        <f t="shared" si="239"/>
        <v>0</v>
      </c>
      <c r="AA731" s="165"/>
      <c r="AB731" s="161">
        <f t="shared" si="240"/>
        <v>0</v>
      </c>
      <c r="AC731" s="162"/>
      <c r="AD731" s="162">
        <f t="shared" si="232"/>
        <v>0</v>
      </c>
      <c r="AE731" s="164"/>
      <c r="AF731" s="164">
        <f t="shared" si="233"/>
        <v>0</v>
      </c>
      <c r="AG731" s="165"/>
      <c r="AH731" s="165">
        <f t="shared" si="234"/>
        <v>0</v>
      </c>
      <c r="AI731" s="166">
        <v>0</v>
      </c>
      <c r="AJ731" s="166">
        <f t="shared" si="235"/>
        <v>0</v>
      </c>
      <c r="AK731" s="162"/>
      <c r="AL731" s="162">
        <f t="shared" si="246"/>
        <v>0</v>
      </c>
      <c r="AM731" s="173"/>
      <c r="AN731" s="167">
        <f t="shared" si="241"/>
        <v>0</v>
      </c>
      <c r="AO731" s="163"/>
      <c r="AP731" s="163">
        <f t="shared" si="242"/>
        <v>0</v>
      </c>
      <c r="AQ731" s="168"/>
      <c r="AR731" s="168">
        <f t="shared" si="243"/>
        <v>0</v>
      </c>
      <c r="AS731" s="170"/>
      <c r="AT731" s="170">
        <f t="shared" si="244"/>
        <v>0</v>
      </c>
      <c r="AU731" s="166"/>
      <c r="AV731" s="166">
        <f t="shared" si="245"/>
        <v>0</v>
      </c>
    </row>
    <row r="732" spans="1:49" s="131" customFormat="1" ht="31.5">
      <c r="A732" s="148" t="s">
        <v>5128</v>
      </c>
      <c r="B732" s="149" t="s">
        <v>5099</v>
      </c>
      <c r="C732" s="150" t="s">
        <v>5100</v>
      </c>
      <c r="D732" s="263" t="s">
        <v>5129</v>
      </c>
      <c r="E732" s="632" t="s">
        <v>12642</v>
      </c>
      <c r="F732" s="150" t="s">
        <v>313</v>
      </c>
      <c r="G732" s="151" t="s">
        <v>238</v>
      </c>
      <c r="H732" s="152" t="s">
        <v>5102</v>
      </c>
      <c r="I732" s="150" t="s">
        <v>318</v>
      </c>
      <c r="J732" s="153" t="s">
        <v>5130</v>
      </c>
      <c r="K732" s="151" t="s">
        <v>5104</v>
      </c>
      <c r="L732" s="151" t="s">
        <v>319</v>
      </c>
      <c r="M732" s="151" t="s">
        <v>320</v>
      </c>
      <c r="N732" s="151" t="s">
        <v>5105</v>
      </c>
      <c r="O732" s="151" t="s">
        <v>10</v>
      </c>
      <c r="P732" s="154">
        <v>2254</v>
      </c>
      <c r="Q732" s="155">
        <v>2253</v>
      </c>
      <c r="R732" s="154">
        <v>21000</v>
      </c>
      <c r="S732" s="156">
        <f t="shared" si="236"/>
        <v>47313000</v>
      </c>
      <c r="T732" s="589"/>
      <c r="U732" s="157">
        <v>19800</v>
      </c>
      <c r="V732" s="158">
        <f t="shared" si="231"/>
        <v>19800</v>
      </c>
      <c r="W732" s="159">
        <f t="shared" si="237"/>
        <v>0</v>
      </c>
      <c r="X732" s="159">
        <f t="shared" si="238"/>
        <v>0</v>
      </c>
      <c r="Y732" s="160"/>
      <c r="Z732" s="160">
        <f t="shared" si="239"/>
        <v>0</v>
      </c>
      <c r="AA732" s="165"/>
      <c r="AB732" s="161">
        <f t="shared" si="240"/>
        <v>0</v>
      </c>
      <c r="AC732" s="162"/>
      <c r="AD732" s="162">
        <f t="shared" si="232"/>
        <v>0</v>
      </c>
      <c r="AE732" s="164"/>
      <c r="AF732" s="164">
        <f t="shared" si="233"/>
        <v>0</v>
      </c>
      <c r="AG732" s="165"/>
      <c r="AH732" s="165">
        <f t="shared" si="234"/>
        <v>0</v>
      </c>
      <c r="AI732" s="166">
        <v>0</v>
      </c>
      <c r="AJ732" s="166">
        <f t="shared" si="235"/>
        <v>0</v>
      </c>
      <c r="AK732" s="162"/>
      <c r="AL732" s="162">
        <f t="shared" si="246"/>
        <v>0</v>
      </c>
      <c r="AM732" s="173"/>
      <c r="AN732" s="167">
        <f t="shared" si="241"/>
        <v>0</v>
      </c>
      <c r="AO732" s="163"/>
      <c r="AP732" s="163">
        <f t="shared" si="242"/>
        <v>0</v>
      </c>
      <c r="AQ732" s="168"/>
      <c r="AR732" s="168">
        <f t="shared" si="243"/>
        <v>0</v>
      </c>
      <c r="AS732" s="170"/>
      <c r="AT732" s="170">
        <f t="shared" si="244"/>
        <v>0</v>
      </c>
      <c r="AU732" s="166"/>
      <c r="AV732" s="166">
        <f t="shared" si="245"/>
        <v>0</v>
      </c>
    </row>
    <row r="733" spans="1:49" s="131" customFormat="1" ht="31.5">
      <c r="A733" s="148" t="s">
        <v>5142</v>
      </c>
      <c r="B733" s="149" t="s">
        <v>5099</v>
      </c>
      <c r="C733" s="150" t="s">
        <v>5100</v>
      </c>
      <c r="D733" s="634" t="s">
        <v>5143</v>
      </c>
      <c r="E733" s="631"/>
      <c r="F733" s="175" t="s">
        <v>234</v>
      </c>
      <c r="G733" s="151" t="s">
        <v>235</v>
      </c>
      <c r="H733" s="174" t="s">
        <v>211</v>
      </c>
      <c r="I733" s="150" t="s">
        <v>5144</v>
      </c>
      <c r="J733" s="153" t="s">
        <v>5145</v>
      </c>
      <c r="K733" s="151" t="s">
        <v>5104</v>
      </c>
      <c r="L733" s="151" t="s">
        <v>5146</v>
      </c>
      <c r="M733" s="151" t="s">
        <v>321</v>
      </c>
      <c r="N733" s="152" t="s">
        <v>5105</v>
      </c>
      <c r="O733" s="152" t="s">
        <v>10</v>
      </c>
      <c r="P733" s="176">
        <v>2917</v>
      </c>
      <c r="Q733" s="177">
        <v>1580</v>
      </c>
      <c r="R733" s="176">
        <v>37000</v>
      </c>
      <c r="S733" s="156">
        <f t="shared" si="236"/>
        <v>58460000</v>
      </c>
      <c r="T733" s="589"/>
      <c r="U733" s="157">
        <v>37000</v>
      </c>
      <c r="V733" s="158">
        <f t="shared" si="231"/>
        <v>37000</v>
      </c>
      <c r="W733" s="159">
        <f t="shared" si="237"/>
        <v>0</v>
      </c>
      <c r="X733" s="159">
        <f t="shared" si="238"/>
        <v>0</v>
      </c>
      <c r="Y733" s="160"/>
      <c r="Z733" s="160">
        <f t="shared" si="239"/>
        <v>0</v>
      </c>
      <c r="AA733" s="165"/>
      <c r="AB733" s="161">
        <f t="shared" si="240"/>
        <v>0</v>
      </c>
      <c r="AC733" s="162"/>
      <c r="AD733" s="162">
        <f t="shared" si="232"/>
        <v>0</v>
      </c>
      <c r="AE733" s="164"/>
      <c r="AF733" s="164">
        <f t="shared" si="233"/>
        <v>0</v>
      </c>
      <c r="AG733" s="165"/>
      <c r="AH733" s="165">
        <f t="shared" si="234"/>
        <v>0</v>
      </c>
      <c r="AI733" s="166">
        <v>0</v>
      </c>
      <c r="AJ733" s="166">
        <f t="shared" si="235"/>
        <v>0</v>
      </c>
      <c r="AK733" s="162"/>
      <c r="AL733" s="162">
        <f t="shared" si="246"/>
        <v>0</v>
      </c>
      <c r="AM733" s="173"/>
      <c r="AN733" s="167">
        <f t="shared" si="241"/>
        <v>0</v>
      </c>
      <c r="AO733" s="163"/>
      <c r="AP733" s="163">
        <f t="shared" si="242"/>
        <v>0</v>
      </c>
      <c r="AQ733" s="168"/>
      <c r="AR733" s="168">
        <f t="shared" si="243"/>
        <v>0</v>
      </c>
      <c r="AS733" s="170"/>
      <c r="AT733" s="170">
        <f t="shared" si="244"/>
        <v>0</v>
      </c>
      <c r="AU733" s="166"/>
      <c r="AV733" s="166">
        <f t="shared" si="245"/>
        <v>0</v>
      </c>
    </row>
    <row r="734" spans="1:49" s="131" customFormat="1" ht="31.5">
      <c r="A734" s="148" t="s">
        <v>5147</v>
      </c>
      <c r="B734" s="149" t="s">
        <v>5099</v>
      </c>
      <c r="C734" s="150" t="s">
        <v>5100</v>
      </c>
      <c r="D734" s="634" t="s">
        <v>5148</v>
      </c>
      <c r="E734" s="631"/>
      <c r="F734" s="175" t="s">
        <v>234</v>
      </c>
      <c r="G734" s="151" t="s">
        <v>238</v>
      </c>
      <c r="H734" s="174" t="s">
        <v>211</v>
      </c>
      <c r="I734" s="150" t="s">
        <v>5149</v>
      </c>
      <c r="J734" s="153" t="s">
        <v>5150</v>
      </c>
      <c r="K734" s="151" t="s">
        <v>5104</v>
      </c>
      <c r="L734" s="151" t="s">
        <v>5151</v>
      </c>
      <c r="M734" s="151" t="s">
        <v>321</v>
      </c>
      <c r="N734" s="152" t="s">
        <v>5105</v>
      </c>
      <c r="O734" s="152" t="s">
        <v>10</v>
      </c>
      <c r="P734" s="176">
        <v>2311</v>
      </c>
      <c r="Q734" s="177">
        <v>1280</v>
      </c>
      <c r="R734" s="176">
        <v>37000</v>
      </c>
      <c r="S734" s="156">
        <f t="shared" si="236"/>
        <v>47360000</v>
      </c>
      <c r="T734" s="589"/>
      <c r="U734" s="157">
        <v>37000</v>
      </c>
      <c r="V734" s="158">
        <f t="shared" si="231"/>
        <v>37000</v>
      </c>
      <c r="W734" s="159">
        <f t="shared" si="237"/>
        <v>0</v>
      </c>
      <c r="X734" s="159">
        <f t="shared" si="238"/>
        <v>0</v>
      </c>
      <c r="Y734" s="160"/>
      <c r="Z734" s="160">
        <f t="shared" si="239"/>
        <v>0</v>
      </c>
      <c r="AA734" s="165"/>
      <c r="AB734" s="161">
        <f t="shared" si="240"/>
        <v>0</v>
      </c>
      <c r="AC734" s="162"/>
      <c r="AD734" s="162">
        <f t="shared" si="232"/>
        <v>0</v>
      </c>
      <c r="AE734" s="164"/>
      <c r="AF734" s="164">
        <f t="shared" si="233"/>
        <v>0</v>
      </c>
      <c r="AG734" s="165"/>
      <c r="AH734" s="165">
        <f t="shared" si="234"/>
        <v>0</v>
      </c>
      <c r="AI734" s="166">
        <v>0</v>
      </c>
      <c r="AJ734" s="166">
        <f t="shared" si="235"/>
        <v>0</v>
      </c>
      <c r="AK734" s="162"/>
      <c r="AL734" s="162">
        <f t="shared" si="246"/>
        <v>0</v>
      </c>
      <c r="AM734" s="173"/>
      <c r="AN734" s="167">
        <f t="shared" si="241"/>
        <v>0</v>
      </c>
      <c r="AO734" s="163"/>
      <c r="AP734" s="163">
        <f t="shared" si="242"/>
        <v>0</v>
      </c>
      <c r="AQ734" s="168"/>
      <c r="AR734" s="168">
        <f t="shared" si="243"/>
        <v>0</v>
      </c>
      <c r="AS734" s="170"/>
      <c r="AT734" s="170">
        <f t="shared" si="244"/>
        <v>0</v>
      </c>
      <c r="AU734" s="166"/>
      <c r="AV734" s="166">
        <f t="shared" si="245"/>
        <v>0</v>
      </c>
    </row>
    <row r="735" spans="1:49" s="131" customFormat="1" ht="31.5">
      <c r="A735" s="148" t="s">
        <v>5172</v>
      </c>
      <c r="B735" s="149" t="s">
        <v>5099</v>
      </c>
      <c r="C735" s="150" t="s">
        <v>5100</v>
      </c>
      <c r="D735" s="634" t="s">
        <v>5173</v>
      </c>
      <c r="E735" s="631"/>
      <c r="F735" s="175" t="s">
        <v>5174</v>
      </c>
      <c r="G735" s="151" t="s">
        <v>299</v>
      </c>
      <c r="H735" s="174" t="s">
        <v>211</v>
      </c>
      <c r="I735" s="150" t="s">
        <v>5175</v>
      </c>
      <c r="J735" s="153" t="s">
        <v>5176</v>
      </c>
      <c r="K735" s="151" t="s">
        <v>253</v>
      </c>
      <c r="L735" s="151" t="s">
        <v>5177</v>
      </c>
      <c r="M735" s="151" t="s">
        <v>5178</v>
      </c>
      <c r="N735" s="152" t="s">
        <v>5179</v>
      </c>
      <c r="O735" s="152" t="s">
        <v>10</v>
      </c>
      <c r="P735" s="176">
        <v>4028</v>
      </c>
      <c r="Q735" s="177">
        <v>3662</v>
      </c>
      <c r="R735" s="176">
        <v>1850</v>
      </c>
      <c r="S735" s="156">
        <f t="shared" si="236"/>
        <v>6774700</v>
      </c>
      <c r="T735" s="589"/>
      <c r="U735" s="157">
        <v>1850</v>
      </c>
      <c r="V735" s="158">
        <f t="shared" si="231"/>
        <v>1850</v>
      </c>
      <c r="W735" s="159">
        <f t="shared" si="237"/>
        <v>0</v>
      </c>
      <c r="X735" s="159">
        <f t="shared" si="238"/>
        <v>0</v>
      </c>
      <c r="Y735" s="160"/>
      <c r="Z735" s="160">
        <f t="shared" si="239"/>
        <v>0</v>
      </c>
      <c r="AA735" s="161"/>
      <c r="AB735" s="161">
        <f t="shared" si="240"/>
        <v>0</v>
      </c>
      <c r="AC735" s="162"/>
      <c r="AD735" s="162">
        <f t="shared" si="232"/>
        <v>0</v>
      </c>
      <c r="AE735" s="164"/>
      <c r="AF735" s="164">
        <f t="shared" si="233"/>
        <v>0</v>
      </c>
      <c r="AG735" s="165"/>
      <c r="AH735" s="165">
        <f t="shared" si="234"/>
        <v>0</v>
      </c>
      <c r="AI735" s="166">
        <v>0</v>
      </c>
      <c r="AJ735" s="166">
        <f t="shared" si="235"/>
        <v>0</v>
      </c>
      <c r="AK735" s="162"/>
      <c r="AL735" s="162">
        <f t="shared" si="246"/>
        <v>0</v>
      </c>
      <c r="AM735" s="167"/>
      <c r="AN735" s="167">
        <f t="shared" si="241"/>
        <v>0</v>
      </c>
      <c r="AO735" s="163"/>
      <c r="AP735" s="163">
        <f t="shared" si="242"/>
        <v>0</v>
      </c>
      <c r="AQ735" s="168"/>
      <c r="AR735" s="168">
        <f t="shared" si="243"/>
        <v>0</v>
      </c>
      <c r="AS735" s="170"/>
      <c r="AT735" s="170">
        <f t="shared" si="244"/>
        <v>0</v>
      </c>
      <c r="AU735" s="166"/>
      <c r="AV735" s="166">
        <f t="shared" si="245"/>
        <v>0</v>
      </c>
    </row>
    <row r="736" spans="1:49" s="131" customFormat="1" ht="31.5">
      <c r="A736" s="172" t="s">
        <v>5186</v>
      </c>
      <c r="B736" s="149" t="s">
        <v>5099</v>
      </c>
      <c r="C736" s="150" t="s">
        <v>5100</v>
      </c>
      <c r="D736" s="634" t="s">
        <v>4824</v>
      </c>
      <c r="E736" s="631" t="s">
        <v>12642</v>
      </c>
      <c r="F736" s="175" t="s">
        <v>274</v>
      </c>
      <c r="G736" s="151" t="s">
        <v>305</v>
      </c>
      <c r="H736" s="174" t="s">
        <v>211</v>
      </c>
      <c r="I736" s="150" t="s">
        <v>4825</v>
      </c>
      <c r="J736" s="153" t="s">
        <v>5187</v>
      </c>
      <c r="K736" s="151" t="s">
        <v>253</v>
      </c>
      <c r="L736" s="151" t="s">
        <v>307</v>
      </c>
      <c r="M736" s="151" t="s">
        <v>308</v>
      </c>
      <c r="N736" s="152" t="s">
        <v>5188</v>
      </c>
      <c r="O736" s="152" t="s">
        <v>5141</v>
      </c>
      <c r="P736" s="176">
        <v>69000</v>
      </c>
      <c r="Q736" s="177">
        <v>69000</v>
      </c>
      <c r="R736" s="176">
        <v>2100</v>
      </c>
      <c r="S736" s="156">
        <f t="shared" si="236"/>
        <v>144900000</v>
      </c>
      <c r="T736" s="589"/>
      <c r="U736" s="157">
        <v>1700</v>
      </c>
      <c r="V736" s="158">
        <f t="shared" si="231"/>
        <v>1610</v>
      </c>
      <c r="W736" s="159">
        <f t="shared" si="237"/>
        <v>90</v>
      </c>
      <c r="X736" s="159">
        <f t="shared" si="238"/>
        <v>6210000</v>
      </c>
      <c r="Y736" s="160"/>
      <c r="Z736" s="160">
        <f t="shared" si="239"/>
        <v>0</v>
      </c>
      <c r="AA736" s="161"/>
      <c r="AB736" s="161">
        <f t="shared" si="240"/>
        <v>0</v>
      </c>
      <c r="AC736" s="162"/>
      <c r="AD736" s="162">
        <f t="shared" si="232"/>
        <v>0</v>
      </c>
      <c r="AE736" s="164"/>
      <c r="AF736" s="164">
        <f t="shared" si="233"/>
        <v>0</v>
      </c>
      <c r="AG736" s="165">
        <v>90</v>
      </c>
      <c r="AH736" s="165">
        <f t="shared" si="234"/>
        <v>6210000</v>
      </c>
      <c r="AI736" s="166">
        <v>0</v>
      </c>
      <c r="AJ736" s="166">
        <f t="shared" si="235"/>
        <v>0</v>
      </c>
      <c r="AK736" s="162"/>
      <c r="AL736" s="162">
        <f t="shared" si="246"/>
        <v>0</v>
      </c>
      <c r="AM736" s="167"/>
      <c r="AN736" s="167">
        <f t="shared" si="241"/>
        <v>0</v>
      </c>
      <c r="AO736" s="163"/>
      <c r="AP736" s="163">
        <f t="shared" si="242"/>
        <v>0</v>
      </c>
      <c r="AQ736" s="168"/>
      <c r="AR736" s="168">
        <f t="shared" si="243"/>
        <v>0</v>
      </c>
      <c r="AS736" s="170"/>
      <c r="AT736" s="170">
        <f t="shared" si="244"/>
        <v>0</v>
      </c>
      <c r="AU736" s="166"/>
      <c r="AV736" s="166">
        <f t="shared" si="245"/>
        <v>0</v>
      </c>
    </row>
    <row r="737" spans="1:48" s="131" customFormat="1" ht="31.5">
      <c r="A737" s="148" t="s">
        <v>5199</v>
      </c>
      <c r="B737" s="149" t="s">
        <v>5099</v>
      </c>
      <c r="C737" s="150" t="s">
        <v>5100</v>
      </c>
      <c r="D737" s="634" t="s">
        <v>5200</v>
      </c>
      <c r="E737" s="631" t="s">
        <v>12642</v>
      </c>
      <c r="F737" s="175" t="s">
        <v>260</v>
      </c>
      <c r="G737" s="151" t="s">
        <v>262</v>
      </c>
      <c r="H737" s="174" t="s">
        <v>211</v>
      </c>
      <c r="I737" s="150" t="s">
        <v>5201</v>
      </c>
      <c r="J737" s="153" t="s">
        <v>5202</v>
      </c>
      <c r="K737" s="151" t="s">
        <v>253</v>
      </c>
      <c r="L737" s="151" t="s">
        <v>5203</v>
      </c>
      <c r="M737" s="151" t="s">
        <v>5204</v>
      </c>
      <c r="N737" s="152" t="s">
        <v>5116</v>
      </c>
      <c r="O737" s="152" t="s">
        <v>10</v>
      </c>
      <c r="P737" s="176">
        <v>11273</v>
      </c>
      <c r="Q737" s="177">
        <v>11273</v>
      </c>
      <c r="R737" s="176">
        <v>75000</v>
      </c>
      <c r="S737" s="156">
        <f t="shared" si="236"/>
        <v>845475000</v>
      </c>
      <c r="T737" s="589"/>
      <c r="U737" s="157">
        <v>75000</v>
      </c>
      <c r="V737" s="158">
        <f t="shared" si="231"/>
        <v>75000</v>
      </c>
      <c r="W737" s="159">
        <f t="shared" si="237"/>
        <v>0</v>
      </c>
      <c r="X737" s="159">
        <f t="shared" si="238"/>
        <v>0</v>
      </c>
      <c r="Y737" s="160"/>
      <c r="Z737" s="160">
        <f t="shared" si="239"/>
        <v>0</v>
      </c>
      <c r="AA737" s="161"/>
      <c r="AB737" s="161">
        <f t="shared" si="240"/>
        <v>0</v>
      </c>
      <c r="AC737" s="162"/>
      <c r="AD737" s="162">
        <f t="shared" si="232"/>
        <v>0</v>
      </c>
      <c r="AE737" s="164"/>
      <c r="AF737" s="164">
        <f t="shared" si="233"/>
        <v>0</v>
      </c>
      <c r="AG737" s="165"/>
      <c r="AH737" s="165">
        <f t="shared" si="234"/>
        <v>0</v>
      </c>
      <c r="AI737" s="166">
        <v>0</v>
      </c>
      <c r="AJ737" s="166">
        <f t="shared" si="235"/>
        <v>0</v>
      </c>
      <c r="AK737" s="162"/>
      <c r="AL737" s="162">
        <f t="shared" si="246"/>
        <v>0</v>
      </c>
      <c r="AM737" s="167"/>
      <c r="AN737" s="167">
        <f t="shared" si="241"/>
        <v>0</v>
      </c>
      <c r="AO737" s="163"/>
      <c r="AP737" s="163">
        <f t="shared" si="242"/>
        <v>0</v>
      </c>
      <c r="AQ737" s="168"/>
      <c r="AR737" s="168">
        <f t="shared" si="243"/>
        <v>0</v>
      </c>
      <c r="AS737" s="170"/>
      <c r="AT737" s="170">
        <f t="shared" si="244"/>
        <v>0</v>
      </c>
      <c r="AU737" s="166"/>
      <c r="AV737" s="166">
        <f t="shared" si="245"/>
        <v>0</v>
      </c>
    </row>
    <row r="738" spans="1:48" s="131" customFormat="1" ht="47.25">
      <c r="A738" s="148" t="s">
        <v>5243</v>
      </c>
      <c r="B738" s="149" t="s">
        <v>5099</v>
      </c>
      <c r="C738" s="150" t="s">
        <v>5100</v>
      </c>
      <c r="D738" s="634" t="s">
        <v>4836</v>
      </c>
      <c r="E738" s="631" t="s">
        <v>12642</v>
      </c>
      <c r="F738" s="175" t="s">
        <v>294</v>
      </c>
      <c r="G738" s="151" t="s">
        <v>296</v>
      </c>
      <c r="H738" s="174" t="s">
        <v>211</v>
      </c>
      <c r="I738" s="150" t="s">
        <v>5123</v>
      </c>
      <c r="J738" s="153" t="s">
        <v>5124</v>
      </c>
      <c r="K738" s="151" t="s">
        <v>253</v>
      </c>
      <c r="L738" s="151" t="s">
        <v>297</v>
      </c>
      <c r="M738" s="151" t="s">
        <v>298</v>
      </c>
      <c r="N738" s="152" t="s">
        <v>5116</v>
      </c>
      <c r="O738" s="152" t="s">
        <v>10</v>
      </c>
      <c r="P738" s="176">
        <v>6753</v>
      </c>
      <c r="Q738" s="177">
        <v>6750</v>
      </c>
      <c r="R738" s="176">
        <v>18200</v>
      </c>
      <c r="S738" s="156">
        <f t="shared" si="236"/>
        <v>122850000</v>
      </c>
      <c r="T738" s="589"/>
      <c r="U738" s="157">
        <v>18200</v>
      </c>
      <c r="V738" s="158">
        <f t="shared" si="231"/>
        <v>18200</v>
      </c>
      <c r="W738" s="159">
        <f t="shared" si="237"/>
        <v>0</v>
      </c>
      <c r="X738" s="159">
        <f t="shared" si="238"/>
        <v>0</v>
      </c>
      <c r="Y738" s="160"/>
      <c r="Z738" s="160">
        <f t="shared" si="239"/>
        <v>0</v>
      </c>
      <c r="AA738" s="161"/>
      <c r="AB738" s="161">
        <f t="shared" si="240"/>
        <v>0</v>
      </c>
      <c r="AC738" s="162"/>
      <c r="AD738" s="162">
        <f t="shared" si="232"/>
        <v>0</v>
      </c>
      <c r="AE738" s="164"/>
      <c r="AF738" s="164">
        <f t="shared" si="233"/>
        <v>0</v>
      </c>
      <c r="AG738" s="165"/>
      <c r="AH738" s="165">
        <f t="shared" si="234"/>
        <v>0</v>
      </c>
      <c r="AI738" s="166">
        <v>0</v>
      </c>
      <c r="AJ738" s="166">
        <f t="shared" si="235"/>
        <v>0</v>
      </c>
      <c r="AK738" s="162"/>
      <c r="AL738" s="162">
        <f t="shared" si="246"/>
        <v>0</v>
      </c>
      <c r="AM738" s="167"/>
      <c r="AN738" s="167">
        <f t="shared" si="241"/>
        <v>0</v>
      </c>
      <c r="AO738" s="163"/>
      <c r="AP738" s="163">
        <f t="shared" si="242"/>
        <v>0</v>
      </c>
      <c r="AQ738" s="168"/>
      <c r="AR738" s="168">
        <f t="shared" si="243"/>
        <v>0</v>
      </c>
      <c r="AS738" s="170"/>
      <c r="AT738" s="170">
        <f t="shared" si="244"/>
        <v>0</v>
      </c>
      <c r="AU738" s="166"/>
      <c r="AV738" s="166">
        <f t="shared" si="245"/>
        <v>0</v>
      </c>
    </row>
    <row r="739" spans="1:48" s="131" customFormat="1" ht="31.5">
      <c r="A739" s="148" t="s">
        <v>5257</v>
      </c>
      <c r="B739" s="149" t="s">
        <v>5099</v>
      </c>
      <c r="C739" s="150" t="s">
        <v>5100</v>
      </c>
      <c r="D739" s="634" t="s">
        <v>5258</v>
      </c>
      <c r="E739" s="631" t="s">
        <v>12642</v>
      </c>
      <c r="F739" s="175" t="s">
        <v>313</v>
      </c>
      <c r="G739" s="151" t="s">
        <v>238</v>
      </c>
      <c r="H739" s="174" t="s">
        <v>211</v>
      </c>
      <c r="I739" s="150" t="s">
        <v>318</v>
      </c>
      <c r="J739" s="153" t="s">
        <v>5130</v>
      </c>
      <c r="K739" s="151" t="s">
        <v>5104</v>
      </c>
      <c r="L739" s="151" t="s">
        <v>319</v>
      </c>
      <c r="M739" s="151" t="s">
        <v>5259</v>
      </c>
      <c r="N739" s="152" t="s">
        <v>5105</v>
      </c>
      <c r="O739" s="152" t="s">
        <v>10</v>
      </c>
      <c r="P739" s="176">
        <v>2254</v>
      </c>
      <c r="Q739" s="177">
        <v>2253</v>
      </c>
      <c r="R739" s="176">
        <v>74000</v>
      </c>
      <c r="S739" s="156">
        <f t="shared" si="236"/>
        <v>166722000</v>
      </c>
      <c r="T739" s="589"/>
      <c r="U739" s="157">
        <v>74000</v>
      </c>
      <c r="V739" s="158">
        <f t="shared" si="231"/>
        <v>74000</v>
      </c>
      <c r="W739" s="159">
        <f t="shared" si="237"/>
        <v>0</v>
      </c>
      <c r="X739" s="159">
        <f t="shared" si="238"/>
        <v>0</v>
      </c>
      <c r="Y739" s="160"/>
      <c r="Z739" s="160">
        <f t="shared" si="239"/>
        <v>0</v>
      </c>
      <c r="AA739" s="165"/>
      <c r="AB739" s="161">
        <f t="shared" si="240"/>
        <v>0</v>
      </c>
      <c r="AC739" s="162"/>
      <c r="AD739" s="162">
        <f t="shared" si="232"/>
        <v>0</v>
      </c>
      <c r="AE739" s="164"/>
      <c r="AF739" s="164">
        <f t="shared" si="233"/>
        <v>0</v>
      </c>
      <c r="AG739" s="165"/>
      <c r="AH739" s="165">
        <f t="shared" si="234"/>
        <v>0</v>
      </c>
      <c r="AI739" s="166">
        <v>0</v>
      </c>
      <c r="AJ739" s="166">
        <f t="shared" si="235"/>
        <v>0</v>
      </c>
      <c r="AK739" s="162"/>
      <c r="AL739" s="162">
        <f t="shared" si="246"/>
        <v>0</v>
      </c>
      <c r="AM739" s="173"/>
      <c r="AN739" s="167">
        <f t="shared" si="241"/>
        <v>0</v>
      </c>
      <c r="AO739" s="163"/>
      <c r="AP739" s="163">
        <f t="shared" si="242"/>
        <v>0</v>
      </c>
      <c r="AQ739" s="168"/>
      <c r="AR739" s="168">
        <f t="shared" si="243"/>
        <v>0</v>
      </c>
      <c r="AS739" s="170"/>
      <c r="AT739" s="170">
        <f t="shared" si="244"/>
        <v>0</v>
      </c>
      <c r="AU739" s="166"/>
      <c r="AV739" s="166">
        <f t="shared" si="245"/>
        <v>0</v>
      </c>
    </row>
    <row r="740" spans="1:48" s="131" customFormat="1" ht="47.25">
      <c r="A740" s="148" t="s">
        <v>5615</v>
      </c>
      <c r="B740" s="149" t="s">
        <v>5099</v>
      </c>
      <c r="C740" s="150" t="s">
        <v>5100</v>
      </c>
      <c r="D740" s="604" t="s">
        <v>5616</v>
      </c>
      <c r="E740" s="153"/>
      <c r="F740" s="184" t="s">
        <v>1526</v>
      </c>
      <c r="G740" s="153" t="s">
        <v>5617</v>
      </c>
      <c r="H740" s="188" t="s">
        <v>5612</v>
      </c>
      <c r="I740" s="153" t="s">
        <v>5618</v>
      </c>
      <c r="J740" s="153" t="s">
        <v>5619</v>
      </c>
      <c r="K740" s="153" t="s">
        <v>5104</v>
      </c>
      <c r="L740" s="153" t="s">
        <v>5620</v>
      </c>
      <c r="M740" s="153" t="s">
        <v>5621</v>
      </c>
      <c r="N740" s="153" t="s">
        <v>5622</v>
      </c>
      <c r="O740" s="153" t="s">
        <v>520</v>
      </c>
      <c r="P740" s="189">
        <v>5377</v>
      </c>
      <c r="Q740" s="189">
        <v>4575</v>
      </c>
      <c r="R740" s="190">
        <v>10000</v>
      </c>
      <c r="S740" s="191">
        <f t="shared" si="236"/>
        <v>45750000</v>
      </c>
      <c r="T740" s="589"/>
      <c r="U740" s="192">
        <v>10000</v>
      </c>
      <c r="V740" s="158">
        <f t="shared" ref="V740:V746" si="247">R740-W740</f>
        <v>10000</v>
      </c>
      <c r="W740" s="159">
        <f t="shared" si="237"/>
        <v>0</v>
      </c>
      <c r="X740" s="159">
        <f t="shared" si="238"/>
        <v>0</v>
      </c>
      <c r="Y740" s="193"/>
      <c r="Z740" s="160">
        <f t="shared" si="239"/>
        <v>0</v>
      </c>
      <c r="AA740" s="194"/>
      <c r="AB740" s="161">
        <f t="shared" si="240"/>
        <v>0</v>
      </c>
      <c r="AC740" s="195"/>
      <c r="AD740" s="162">
        <f t="shared" ref="AD740:AD777" si="248">AC740*Q740</f>
        <v>0</v>
      </c>
      <c r="AE740" s="196"/>
      <c r="AF740" s="164">
        <f t="shared" ref="AF740:AF777" si="249">AE740*Q740</f>
        <v>0</v>
      </c>
      <c r="AG740" s="197"/>
      <c r="AH740" s="165">
        <f t="shared" ref="AH740:AH777" si="250">AG740*Q740</f>
        <v>0</v>
      </c>
      <c r="AI740" s="198">
        <v>0</v>
      </c>
      <c r="AJ740" s="166">
        <f t="shared" ref="AJ740:AJ777" si="251">AI740*Q740</f>
        <v>0</v>
      </c>
      <c r="AK740" s="195"/>
      <c r="AL740" s="162">
        <f t="shared" si="246"/>
        <v>0</v>
      </c>
      <c r="AM740" s="199"/>
      <c r="AN740" s="167">
        <f t="shared" si="241"/>
        <v>0</v>
      </c>
      <c r="AO740" s="196"/>
      <c r="AP740" s="163">
        <f t="shared" si="242"/>
        <v>0</v>
      </c>
      <c r="AQ740" s="195"/>
      <c r="AR740" s="168">
        <f t="shared" si="243"/>
        <v>0</v>
      </c>
      <c r="AS740" s="200"/>
      <c r="AT740" s="170">
        <f t="shared" si="244"/>
        <v>0</v>
      </c>
      <c r="AU740" s="198"/>
      <c r="AV740" s="166">
        <f t="shared" si="245"/>
        <v>0</v>
      </c>
    </row>
    <row r="741" spans="1:48" s="131" customFormat="1" ht="47.25">
      <c r="A741" s="148" t="s">
        <v>5623</v>
      </c>
      <c r="B741" s="149" t="s">
        <v>5099</v>
      </c>
      <c r="C741" s="150" t="s">
        <v>5100</v>
      </c>
      <c r="D741" s="604" t="s">
        <v>5624</v>
      </c>
      <c r="E741" s="153"/>
      <c r="F741" s="184" t="s">
        <v>1526</v>
      </c>
      <c r="G741" s="153" t="s">
        <v>5625</v>
      </c>
      <c r="H741" s="188" t="s">
        <v>5612</v>
      </c>
      <c r="I741" s="153" t="s">
        <v>5626</v>
      </c>
      <c r="J741" s="153" t="s">
        <v>5619</v>
      </c>
      <c r="K741" s="153" t="s">
        <v>5104</v>
      </c>
      <c r="L741" s="153" t="s">
        <v>5627</v>
      </c>
      <c r="M741" s="153" t="s">
        <v>929</v>
      </c>
      <c r="N741" s="153" t="s">
        <v>5622</v>
      </c>
      <c r="O741" s="153" t="s">
        <v>520</v>
      </c>
      <c r="P741" s="189">
        <v>10009</v>
      </c>
      <c r="Q741" s="189">
        <v>8513</v>
      </c>
      <c r="R741" s="190">
        <v>10000</v>
      </c>
      <c r="S741" s="191">
        <f t="shared" si="236"/>
        <v>85130000</v>
      </c>
      <c r="T741" s="589"/>
      <c r="U741" s="192">
        <v>10000</v>
      </c>
      <c r="V741" s="158">
        <f t="shared" si="247"/>
        <v>10000</v>
      </c>
      <c r="W741" s="159">
        <f t="shared" si="237"/>
        <v>0</v>
      </c>
      <c r="X741" s="159">
        <f t="shared" si="238"/>
        <v>0</v>
      </c>
      <c r="Y741" s="193"/>
      <c r="Z741" s="160">
        <f t="shared" si="239"/>
        <v>0</v>
      </c>
      <c r="AA741" s="194"/>
      <c r="AB741" s="161">
        <f t="shared" si="240"/>
        <v>0</v>
      </c>
      <c r="AC741" s="195"/>
      <c r="AD741" s="162">
        <f t="shared" si="248"/>
        <v>0</v>
      </c>
      <c r="AE741" s="196"/>
      <c r="AF741" s="164">
        <f t="shared" si="249"/>
        <v>0</v>
      </c>
      <c r="AG741" s="197"/>
      <c r="AH741" s="165">
        <f t="shared" si="250"/>
        <v>0</v>
      </c>
      <c r="AI741" s="198">
        <v>0</v>
      </c>
      <c r="AJ741" s="166">
        <f t="shared" si="251"/>
        <v>0</v>
      </c>
      <c r="AK741" s="195"/>
      <c r="AL741" s="162">
        <f t="shared" si="246"/>
        <v>0</v>
      </c>
      <c r="AM741" s="199"/>
      <c r="AN741" s="167">
        <f t="shared" si="241"/>
        <v>0</v>
      </c>
      <c r="AO741" s="196"/>
      <c r="AP741" s="163">
        <f t="shared" si="242"/>
        <v>0</v>
      </c>
      <c r="AQ741" s="195"/>
      <c r="AR741" s="168">
        <f t="shared" si="243"/>
        <v>0</v>
      </c>
      <c r="AS741" s="200"/>
      <c r="AT741" s="170">
        <f t="shared" si="244"/>
        <v>0</v>
      </c>
      <c r="AU741" s="198"/>
      <c r="AV741" s="166">
        <f t="shared" si="245"/>
        <v>0</v>
      </c>
    </row>
    <row r="742" spans="1:48" s="239" customFormat="1" ht="126">
      <c r="A742" s="148" t="s">
        <v>5633</v>
      </c>
      <c r="B742" s="149" t="s">
        <v>5099</v>
      </c>
      <c r="C742" s="150" t="s">
        <v>5100</v>
      </c>
      <c r="D742" s="604" t="s">
        <v>4318</v>
      </c>
      <c r="E742" s="153"/>
      <c r="F742" s="184" t="s">
        <v>5634</v>
      </c>
      <c r="G742" s="153" t="s">
        <v>5635</v>
      </c>
      <c r="H742" s="188" t="s">
        <v>5612</v>
      </c>
      <c r="I742" s="153" t="s">
        <v>4319</v>
      </c>
      <c r="J742" s="153" t="s">
        <v>5636</v>
      </c>
      <c r="K742" s="153" t="s">
        <v>253</v>
      </c>
      <c r="L742" s="153" t="s">
        <v>5637</v>
      </c>
      <c r="M742" s="153" t="s">
        <v>5638</v>
      </c>
      <c r="N742" s="153" t="s">
        <v>5121</v>
      </c>
      <c r="O742" s="153" t="s">
        <v>5639</v>
      </c>
      <c r="P742" s="189">
        <v>225996</v>
      </c>
      <c r="Q742" s="189">
        <v>225996</v>
      </c>
      <c r="R742" s="190">
        <v>200</v>
      </c>
      <c r="S742" s="191">
        <f t="shared" si="236"/>
        <v>45199200</v>
      </c>
      <c r="T742" s="589"/>
      <c r="U742" s="192">
        <v>200</v>
      </c>
      <c r="V742" s="158">
        <f t="shared" si="247"/>
        <v>190</v>
      </c>
      <c r="W742" s="159">
        <f t="shared" si="237"/>
        <v>10</v>
      </c>
      <c r="X742" s="159">
        <f t="shared" si="238"/>
        <v>2259960</v>
      </c>
      <c r="Y742" s="193"/>
      <c r="Z742" s="160">
        <f t="shared" si="239"/>
        <v>0</v>
      </c>
      <c r="AA742" s="194"/>
      <c r="AB742" s="161">
        <f t="shared" si="240"/>
        <v>0</v>
      </c>
      <c r="AC742" s="195"/>
      <c r="AD742" s="162">
        <f t="shared" si="248"/>
        <v>0</v>
      </c>
      <c r="AE742" s="196"/>
      <c r="AF742" s="164">
        <f t="shared" si="249"/>
        <v>0</v>
      </c>
      <c r="AG742" s="197"/>
      <c r="AH742" s="165">
        <f t="shared" si="250"/>
        <v>0</v>
      </c>
      <c r="AI742" s="198">
        <v>10</v>
      </c>
      <c r="AJ742" s="166">
        <f t="shared" si="251"/>
        <v>2259960</v>
      </c>
      <c r="AK742" s="195"/>
      <c r="AL742" s="162">
        <f t="shared" si="246"/>
        <v>0</v>
      </c>
      <c r="AM742" s="199"/>
      <c r="AN742" s="167">
        <f t="shared" si="241"/>
        <v>0</v>
      </c>
      <c r="AO742" s="196"/>
      <c r="AP742" s="163">
        <f t="shared" si="242"/>
        <v>0</v>
      </c>
      <c r="AQ742" s="195"/>
      <c r="AR742" s="168">
        <f t="shared" si="243"/>
        <v>0</v>
      </c>
      <c r="AS742" s="200"/>
      <c r="AT742" s="170">
        <f t="shared" si="244"/>
        <v>0</v>
      </c>
      <c r="AU742" s="198"/>
      <c r="AV742" s="166">
        <f t="shared" si="245"/>
        <v>0</v>
      </c>
    </row>
    <row r="743" spans="1:48" s="239" customFormat="1" ht="47.25">
      <c r="A743" s="148" t="s">
        <v>5640</v>
      </c>
      <c r="B743" s="149" t="s">
        <v>5099</v>
      </c>
      <c r="C743" s="150" t="s">
        <v>5100</v>
      </c>
      <c r="D743" s="604" t="s">
        <v>5641</v>
      </c>
      <c r="E743" s="153"/>
      <c r="F743" s="184" t="s">
        <v>5634</v>
      </c>
      <c r="G743" s="153" t="s">
        <v>5642</v>
      </c>
      <c r="H743" s="188" t="s">
        <v>5612</v>
      </c>
      <c r="I743" s="153" t="s">
        <v>4323</v>
      </c>
      <c r="J743" s="153" t="s">
        <v>5643</v>
      </c>
      <c r="K743" s="153" t="s">
        <v>253</v>
      </c>
      <c r="L743" s="153" t="s">
        <v>5644</v>
      </c>
      <c r="M743" s="153" t="s">
        <v>935</v>
      </c>
      <c r="N743" s="153" t="s">
        <v>5121</v>
      </c>
      <c r="O743" s="153" t="s">
        <v>5639</v>
      </c>
      <c r="P743" s="189">
        <v>305852</v>
      </c>
      <c r="Q743" s="189">
        <v>278090</v>
      </c>
      <c r="R743" s="190">
        <v>2000</v>
      </c>
      <c r="S743" s="191">
        <f t="shared" si="236"/>
        <v>556180000</v>
      </c>
      <c r="T743" s="589"/>
      <c r="U743" s="192">
        <v>2000</v>
      </c>
      <c r="V743" s="158">
        <f t="shared" si="247"/>
        <v>1900</v>
      </c>
      <c r="W743" s="159">
        <f t="shared" si="237"/>
        <v>100</v>
      </c>
      <c r="X743" s="159">
        <f t="shared" si="238"/>
        <v>27809000</v>
      </c>
      <c r="Y743" s="193"/>
      <c r="Z743" s="160">
        <f t="shared" si="239"/>
        <v>0</v>
      </c>
      <c r="AA743" s="194"/>
      <c r="AB743" s="161">
        <f t="shared" si="240"/>
        <v>0</v>
      </c>
      <c r="AC743" s="195"/>
      <c r="AD743" s="162">
        <f t="shared" si="248"/>
        <v>0</v>
      </c>
      <c r="AE743" s="196"/>
      <c r="AF743" s="164">
        <f t="shared" si="249"/>
        <v>0</v>
      </c>
      <c r="AG743" s="197"/>
      <c r="AH743" s="165">
        <f t="shared" si="250"/>
        <v>0</v>
      </c>
      <c r="AI743" s="198">
        <v>0</v>
      </c>
      <c r="AJ743" s="166">
        <f t="shared" si="251"/>
        <v>0</v>
      </c>
      <c r="AK743" s="195"/>
      <c r="AL743" s="162">
        <f t="shared" si="246"/>
        <v>0</v>
      </c>
      <c r="AM743" s="199">
        <v>100</v>
      </c>
      <c r="AN743" s="167">
        <f t="shared" si="241"/>
        <v>27809000</v>
      </c>
      <c r="AO743" s="196"/>
      <c r="AP743" s="163">
        <f t="shared" si="242"/>
        <v>0</v>
      </c>
      <c r="AQ743" s="195"/>
      <c r="AR743" s="168">
        <f t="shared" si="243"/>
        <v>0</v>
      </c>
      <c r="AS743" s="200"/>
      <c r="AT743" s="170">
        <f t="shared" si="244"/>
        <v>0</v>
      </c>
      <c r="AU743" s="198"/>
      <c r="AV743" s="166">
        <f t="shared" si="245"/>
        <v>0</v>
      </c>
    </row>
    <row r="744" spans="1:48" s="239" customFormat="1" ht="47.25">
      <c r="A744" s="148" t="s">
        <v>5649</v>
      </c>
      <c r="B744" s="149" t="s">
        <v>5099</v>
      </c>
      <c r="C744" s="150" t="s">
        <v>5100</v>
      </c>
      <c r="D744" s="604" t="s">
        <v>5650</v>
      </c>
      <c r="E744" s="153"/>
      <c r="F744" s="184" t="s">
        <v>4220</v>
      </c>
      <c r="G744" s="153" t="s">
        <v>5651</v>
      </c>
      <c r="H744" s="188" t="s">
        <v>5612</v>
      </c>
      <c r="I744" s="153" t="s">
        <v>5652</v>
      </c>
      <c r="J744" s="153" t="s">
        <v>5653</v>
      </c>
      <c r="K744" s="153" t="s">
        <v>5104</v>
      </c>
      <c r="L744" s="153" t="s">
        <v>917</v>
      </c>
      <c r="M744" s="153" t="s">
        <v>918</v>
      </c>
      <c r="N744" s="153" t="s">
        <v>5654</v>
      </c>
      <c r="O744" s="153" t="s">
        <v>5655</v>
      </c>
      <c r="P744" s="189">
        <v>241526</v>
      </c>
      <c r="Q744" s="189">
        <v>241525</v>
      </c>
      <c r="R744" s="190">
        <v>300</v>
      </c>
      <c r="S744" s="191">
        <f t="shared" si="236"/>
        <v>72457500</v>
      </c>
      <c r="T744" s="589"/>
      <c r="U744" s="192">
        <v>300</v>
      </c>
      <c r="V744" s="158">
        <f t="shared" si="247"/>
        <v>300</v>
      </c>
      <c r="W744" s="159">
        <f t="shared" si="237"/>
        <v>0</v>
      </c>
      <c r="X744" s="159">
        <f t="shared" si="238"/>
        <v>0</v>
      </c>
      <c r="Y744" s="193"/>
      <c r="Z744" s="160">
        <f t="shared" si="239"/>
        <v>0</v>
      </c>
      <c r="AA744" s="194"/>
      <c r="AB744" s="161">
        <f t="shared" si="240"/>
        <v>0</v>
      </c>
      <c r="AC744" s="195"/>
      <c r="AD744" s="162">
        <f t="shared" si="248"/>
        <v>0</v>
      </c>
      <c r="AE744" s="196"/>
      <c r="AF744" s="164">
        <f t="shared" si="249"/>
        <v>0</v>
      </c>
      <c r="AG744" s="197"/>
      <c r="AH744" s="165">
        <f t="shared" si="250"/>
        <v>0</v>
      </c>
      <c r="AI744" s="198">
        <v>0</v>
      </c>
      <c r="AJ744" s="166">
        <f t="shared" si="251"/>
        <v>0</v>
      </c>
      <c r="AK744" s="195"/>
      <c r="AL744" s="162">
        <f t="shared" si="246"/>
        <v>0</v>
      </c>
      <c r="AM744" s="199"/>
      <c r="AN744" s="167">
        <f t="shared" si="241"/>
        <v>0</v>
      </c>
      <c r="AO744" s="196"/>
      <c r="AP744" s="163">
        <f t="shared" si="242"/>
        <v>0</v>
      </c>
      <c r="AQ744" s="195"/>
      <c r="AR744" s="168">
        <f t="shared" si="243"/>
        <v>0</v>
      </c>
      <c r="AS744" s="200"/>
      <c r="AT744" s="170">
        <f t="shared" si="244"/>
        <v>0</v>
      </c>
      <c r="AU744" s="198"/>
      <c r="AV744" s="166">
        <f t="shared" si="245"/>
        <v>0</v>
      </c>
    </row>
    <row r="745" spans="1:48" s="239" customFormat="1" ht="47.25">
      <c r="A745" s="148" t="s">
        <v>5656</v>
      </c>
      <c r="B745" s="149" t="s">
        <v>5099</v>
      </c>
      <c r="C745" s="150" t="s">
        <v>5100</v>
      </c>
      <c r="D745" s="604" t="s">
        <v>5657</v>
      </c>
      <c r="E745" s="153"/>
      <c r="F745" s="184" t="s">
        <v>876</v>
      </c>
      <c r="G745" s="153" t="s">
        <v>5658</v>
      </c>
      <c r="H745" s="188" t="s">
        <v>5612</v>
      </c>
      <c r="I745" s="153" t="s">
        <v>5659</v>
      </c>
      <c r="J745" s="153" t="s">
        <v>5660</v>
      </c>
      <c r="K745" s="153" t="s">
        <v>253</v>
      </c>
      <c r="L745" s="153" t="s">
        <v>880</v>
      </c>
      <c r="M745" s="153" t="s">
        <v>881</v>
      </c>
      <c r="N745" s="153" t="s">
        <v>5661</v>
      </c>
      <c r="O745" s="153" t="s">
        <v>520</v>
      </c>
      <c r="P745" s="189">
        <v>13835</v>
      </c>
      <c r="Q745" s="189">
        <v>13834</v>
      </c>
      <c r="R745" s="190">
        <v>3000</v>
      </c>
      <c r="S745" s="191">
        <f t="shared" si="236"/>
        <v>41502000</v>
      </c>
      <c r="T745" s="589"/>
      <c r="U745" s="192">
        <v>3000</v>
      </c>
      <c r="V745" s="158">
        <f t="shared" si="247"/>
        <v>3000</v>
      </c>
      <c r="W745" s="159">
        <f t="shared" si="237"/>
        <v>0</v>
      </c>
      <c r="X745" s="159">
        <f t="shared" si="238"/>
        <v>0</v>
      </c>
      <c r="Y745" s="193"/>
      <c r="Z745" s="160">
        <f t="shared" si="239"/>
        <v>0</v>
      </c>
      <c r="AA745" s="194"/>
      <c r="AB745" s="161">
        <f t="shared" si="240"/>
        <v>0</v>
      </c>
      <c r="AC745" s="195"/>
      <c r="AD745" s="162">
        <f t="shared" si="248"/>
        <v>0</v>
      </c>
      <c r="AE745" s="196"/>
      <c r="AF745" s="164">
        <f t="shared" si="249"/>
        <v>0</v>
      </c>
      <c r="AG745" s="197"/>
      <c r="AH745" s="165">
        <f t="shared" si="250"/>
        <v>0</v>
      </c>
      <c r="AI745" s="198">
        <v>0</v>
      </c>
      <c r="AJ745" s="166">
        <f t="shared" si="251"/>
        <v>0</v>
      </c>
      <c r="AK745" s="195"/>
      <c r="AL745" s="162">
        <f t="shared" si="246"/>
        <v>0</v>
      </c>
      <c r="AM745" s="199"/>
      <c r="AN745" s="167">
        <f t="shared" si="241"/>
        <v>0</v>
      </c>
      <c r="AO745" s="196"/>
      <c r="AP745" s="163">
        <f t="shared" si="242"/>
        <v>0</v>
      </c>
      <c r="AQ745" s="195"/>
      <c r="AR745" s="168">
        <f t="shared" si="243"/>
        <v>0</v>
      </c>
      <c r="AS745" s="200"/>
      <c r="AT745" s="170">
        <f t="shared" si="244"/>
        <v>0</v>
      </c>
      <c r="AU745" s="198"/>
      <c r="AV745" s="166">
        <f t="shared" si="245"/>
        <v>0</v>
      </c>
    </row>
    <row r="746" spans="1:48" s="239" customFormat="1" ht="47.25">
      <c r="A746" s="172" t="s">
        <v>5662</v>
      </c>
      <c r="B746" s="149" t="s">
        <v>5099</v>
      </c>
      <c r="C746" s="150" t="s">
        <v>5100</v>
      </c>
      <c r="D746" s="604" t="s">
        <v>5663</v>
      </c>
      <c r="E746" s="153"/>
      <c r="F746" s="184" t="s">
        <v>4589</v>
      </c>
      <c r="G746" s="153" t="s">
        <v>5664</v>
      </c>
      <c r="H746" s="188" t="s">
        <v>5612</v>
      </c>
      <c r="I746" s="153" t="s">
        <v>5665</v>
      </c>
      <c r="J746" s="153" t="s">
        <v>5666</v>
      </c>
      <c r="K746" s="153" t="s">
        <v>253</v>
      </c>
      <c r="L746" s="153" t="s">
        <v>5667</v>
      </c>
      <c r="M746" s="153" t="s">
        <v>881</v>
      </c>
      <c r="N746" s="153" t="s">
        <v>5661</v>
      </c>
      <c r="O746" s="153" t="s">
        <v>2780</v>
      </c>
      <c r="P746" s="189">
        <v>486948</v>
      </c>
      <c r="Q746" s="189">
        <v>486948</v>
      </c>
      <c r="R746" s="190">
        <v>1000</v>
      </c>
      <c r="S746" s="191">
        <f t="shared" si="236"/>
        <v>486948000</v>
      </c>
      <c r="T746" s="589"/>
      <c r="U746" s="192">
        <v>1000</v>
      </c>
      <c r="V746" s="158">
        <f t="shared" si="247"/>
        <v>1000</v>
      </c>
      <c r="W746" s="159">
        <f t="shared" si="237"/>
        <v>0</v>
      </c>
      <c r="X746" s="159">
        <f t="shared" si="238"/>
        <v>0</v>
      </c>
      <c r="Y746" s="193"/>
      <c r="Z746" s="160">
        <f t="shared" si="239"/>
        <v>0</v>
      </c>
      <c r="AA746" s="194"/>
      <c r="AB746" s="161">
        <f t="shared" si="240"/>
        <v>0</v>
      </c>
      <c r="AC746" s="195"/>
      <c r="AD746" s="162">
        <f t="shared" si="248"/>
        <v>0</v>
      </c>
      <c r="AE746" s="196"/>
      <c r="AF746" s="164">
        <f t="shared" si="249"/>
        <v>0</v>
      </c>
      <c r="AG746" s="197"/>
      <c r="AH746" s="165">
        <f t="shared" si="250"/>
        <v>0</v>
      </c>
      <c r="AI746" s="198">
        <v>0</v>
      </c>
      <c r="AJ746" s="166">
        <f t="shared" si="251"/>
        <v>0</v>
      </c>
      <c r="AK746" s="195"/>
      <c r="AL746" s="162">
        <f t="shared" si="246"/>
        <v>0</v>
      </c>
      <c r="AM746" s="199"/>
      <c r="AN746" s="167">
        <f t="shared" si="241"/>
        <v>0</v>
      </c>
      <c r="AO746" s="196"/>
      <c r="AP746" s="163">
        <f t="shared" si="242"/>
        <v>0</v>
      </c>
      <c r="AQ746" s="195"/>
      <c r="AR746" s="168">
        <f t="shared" si="243"/>
        <v>0</v>
      </c>
      <c r="AS746" s="200"/>
      <c r="AT746" s="170">
        <f t="shared" si="244"/>
        <v>0</v>
      </c>
      <c r="AU746" s="198"/>
      <c r="AV746" s="166">
        <f t="shared" si="245"/>
        <v>0</v>
      </c>
    </row>
    <row r="747" spans="1:48" s="239" customFormat="1" ht="31.5">
      <c r="A747" s="172" t="s">
        <v>5681</v>
      </c>
      <c r="B747" s="149" t="s">
        <v>5099</v>
      </c>
      <c r="C747" s="150" t="s">
        <v>5100</v>
      </c>
      <c r="D747" s="603" t="s">
        <v>3810</v>
      </c>
      <c r="E747" s="588"/>
      <c r="F747" s="183" t="s">
        <v>1911</v>
      </c>
      <c r="G747" s="182" t="s">
        <v>248</v>
      </c>
      <c r="H747" s="182" t="s">
        <v>5607</v>
      </c>
      <c r="I747" s="184" t="s">
        <v>3811</v>
      </c>
      <c r="J747" s="182" t="s">
        <v>5682</v>
      </c>
      <c r="K747" s="153" t="s">
        <v>5104</v>
      </c>
      <c r="L747" s="153" t="s">
        <v>5683</v>
      </c>
      <c r="M747" s="153" t="s">
        <v>5684</v>
      </c>
      <c r="N747" s="94" t="s">
        <v>5661</v>
      </c>
      <c r="O747" s="185" t="s">
        <v>10</v>
      </c>
      <c r="P747" s="186"/>
      <c r="Q747" s="186">
        <v>4389</v>
      </c>
      <c r="R747" s="187">
        <v>20000</v>
      </c>
      <c r="S747" s="186">
        <f t="shared" si="236"/>
        <v>87780000</v>
      </c>
      <c r="T747" s="589"/>
      <c r="U747" s="157">
        <v>20000</v>
      </c>
      <c r="V747" s="158">
        <f t="shared" ref="V747:V777" si="252">U747-W747</f>
        <v>16864</v>
      </c>
      <c r="W747" s="159">
        <f t="shared" si="237"/>
        <v>3136</v>
      </c>
      <c r="X747" s="159">
        <f t="shared" si="238"/>
        <v>13763904</v>
      </c>
      <c r="Y747" s="160"/>
      <c r="Z747" s="160">
        <f t="shared" si="239"/>
        <v>0</v>
      </c>
      <c r="AA747" s="161">
        <v>2996</v>
      </c>
      <c r="AB747" s="161">
        <f t="shared" si="240"/>
        <v>13149444</v>
      </c>
      <c r="AC747" s="162"/>
      <c r="AD747" s="162">
        <f t="shared" si="248"/>
        <v>0</v>
      </c>
      <c r="AE747" s="164"/>
      <c r="AF747" s="164">
        <f t="shared" si="249"/>
        <v>0</v>
      </c>
      <c r="AG747" s="165"/>
      <c r="AH747" s="165">
        <f t="shared" si="250"/>
        <v>0</v>
      </c>
      <c r="AI747" s="166">
        <v>0</v>
      </c>
      <c r="AJ747" s="166">
        <f t="shared" si="251"/>
        <v>0</v>
      </c>
      <c r="AK747" s="162"/>
      <c r="AL747" s="162">
        <f t="shared" si="246"/>
        <v>0</v>
      </c>
      <c r="AM747" s="167">
        <v>140</v>
      </c>
      <c r="AN747" s="167">
        <f t="shared" si="241"/>
        <v>614460</v>
      </c>
      <c r="AO747" s="163"/>
      <c r="AP747" s="163">
        <f t="shared" si="242"/>
        <v>0</v>
      </c>
      <c r="AQ747" s="168"/>
      <c r="AR747" s="168">
        <f t="shared" si="243"/>
        <v>0</v>
      </c>
      <c r="AS747" s="170"/>
      <c r="AT747" s="170">
        <f t="shared" si="244"/>
        <v>0</v>
      </c>
      <c r="AU747" s="166"/>
      <c r="AV747" s="166">
        <f t="shared" si="245"/>
        <v>0</v>
      </c>
    </row>
    <row r="748" spans="1:48" s="239" customFormat="1" ht="31.5">
      <c r="A748" s="148" t="s">
        <v>5694</v>
      </c>
      <c r="B748" s="149" t="s">
        <v>5099</v>
      </c>
      <c r="C748" s="150" t="s">
        <v>5100</v>
      </c>
      <c r="D748" s="603" t="s">
        <v>4197</v>
      </c>
      <c r="E748" s="588"/>
      <c r="F748" s="183" t="s">
        <v>4199</v>
      </c>
      <c r="G748" s="182" t="s">
        <v>327</v>
      </c>
      <c r="H748" s="182" t="s">
        <v>5607</v>
      </c>
      <c r="I748" s="184" t="s">
        <v>4198</v>
      </c>
      <c r="J748" s="182" t="s">
        <v>5695</v>
      </c>
      <c r="K748" s="153" t="s">
        <v>5104</v>
      </c>
      <c r="L748" s="153" t="s">
        <v>1000</v>
      </c>
      <c r="M748" s="153" t="s">
        <v>5696</v>
      </c>
      <c r="N748" s="94" t="s">
        <v>5105</v>
      </c>
      <c r="O748" s="185" t="s">
        <v>10</v>
      </c>
      <c r="P748" s="186"/>
      <c r="Q748" s="186">
        <v>7600</v>
      </c>
      <c r="R748" s="187">
        <v>40000</v>
      </c>
      <c r="S748" s="186">
        <f t="shared" si="236"/>
        <v>304000000</v>
      </c>
      <c r="T748" s="589"/>
      <c r="U748" s="157">
        <v>40000</v>
      </c>
      <c r="V748" s="158">
        <f t="shared" si="252"/>
        <v>24600</v>
      </c>
      <c r="W748" s="159">
        <f t="shared" si="237"/>
        <v>15400</v>
      </c>
      <c r="X748" s="159">
        <f t="shared" si="238"/>
        <v>117040000</v>
      </c>
      <c r="Y748" s="160"/>
      <c r="Z748" s="160">
        <f t="shared" si="239"/>
        <v>0</v>
      </c>
      <c r="AA748" s="161">
        <f>1568+4032</f>
        <v>5600</v>
      </c>
      <c r="AB748" s="161">
        <f t="shared" si="240"/>
        <v>42560000</v>
      </c>
      <c r="AC748" s="162"/>
      <c r="AD748" s="162">
        <f t="shared" si="248"/>
        <v>0</v>
      </c>
      <c r="AE748" s="164"/>
      <c r="AF748" s="164">
        <f t="shared" si="249"/>
        <v>0</v>
      </c>
      <c r="AG748" s="165">
        <v>2800</v>
      </c>
      <c r="AH748" s="165">
        <f t="shared" si="250"/>
        <v>21280000</v>
      </c>
      <c r="AI748" s="166">
        <v>0</v>
      </c>
      <c r="AJ748" s="166">
        <f t="shared" si="251"/>
        <v>0</v>
      </c>
      <c r="AK748" s="162"/>
      <c r="AL748" s="162">
        <f t="shared" si="246"/>
        <v>0</v>
      </c>
      <c r="AM748" s="167">
        <f>1400+5600</f>
        <v>7000</v>
      </c>
      <c r="AN748" s="167">
        <f t="shared" si="241"/>
        <v>53200000</v>
      </c>
      <c r="AO748" s="163"/>
      <c r="AP748" s="163">
        <f t="shared" si="242"/>
        <v>0</v>
      </c>
      <c r="AQ748" s="168"/>
      <c r="AR748" s="168">
        <f t="shared" si="243"/>
        <v>0</v>
      </c>
      <c r="AS748" s="170"/>
      <c r="AT748" s="170">
        <f t="shared" si="244"/>
        <v>0</v>
      </c>
      <c r="AU748" s="166"/>
      <c r="AV748" s="166">
        <f t="shared" si="245"/>
        <v>0</v>
      </c>
    </row>
    <row r="749" spans="1:48" s="239" customFormat="1" ht="31.5">
      <c r="A749" s="148" t="s">
        <v>5742</v>
      </c>
      <c r="B749" s="149" t="s">
        <v>5099</v>
      </c>
      <c r="C749" s="150" t="s">
        <v>5100</v>
      </c>
      <c r="D749" s="240" t="s">
        <v>4587</v>
      </c>
      <c r="E749" s="590"/>
      <c r="F749" s="203" t="s">
        <v>4589</v>
      </c>
      <c r="G749" s="204" t="s">
        <v>4590</v>
      </c>
      <c r="H749" s="204">
        <v>1</v>
      </c>
      <c r="I749" s="203" t="s">
        <v>4588</v>
      </c>
      <c r="J749" s="205" t="s">
        <v>5743</v>
      </c>
      <c r="K749" s="203" t="s">
        <v>253</v>
      </c>
      <c r="L749" s="205" t="s">
        <v>5667</v>
      </c>
      <c r="M749" s="205" t="s">
        <v>881</v>
      </c>
      <c r="N749" s="204" t="s">
        <v>5661</v>
      </c>
      <c r="O749" s="204" t="s">
        <v>2780</v>
      </c>
      <c r="P749" s="206">
        <v>286440</v>
      </c>
      <c r="Q749" s="206">
        <v>286440</v>
      </c>
      <c r="R749" s="207">
        <v>1000</v>
      </c>
      <c r="S749" s="207">
        <f t="shared" si="236"/>
        <v>286440000</v>
      </c>
      <c r="T749" s="589"/>
      <c r="U749" s="157">
        <v>1000</v>
      </c>
      <c r="V749" s="158">
        <f t="shared" si="252"/>
        <v>950</v>
      </c>
      <c r="W749" s="159">
        <f t="shared" si="237"/>
        <v>50</v>
      </c>
      <c r="X749" s="159">
        <f t="shared" si="238"/>
        <v>14322000</v>
      </c>
      <c r="Y749" s="160"/>
      <c r="Z749" s="160">
        <f t="shared" si="239"/>
        <v>0</v>
      </c>
      <c r="AA749" s="161">
        <v>50</v>
      </c>
      <c r="AB749" s="161">
        <f t="shared" si="240"/>
        <v>14322000</v>
      </c>
      <c r="AC749" s="162"/>
      <c r="AD749" s="162">
        <f t="shared" si="248"/>
        <v>0</v>
      </c>
      <c r="AE749" s="163"/>
      <c r="AF749" s="164">
        <f t="shared" si="249"/>
        <v>0</v>
      </c>
      <c r="AG749" s="161"/>
      <c r="AH749" s="165">
        <f t="shared" si="250"/>
        <v>0</v>
      </c>
      <c r="AI749" s="160">
        <v>0</v>
      </c>
      <c r="AJ749" s="166">
        <f t="shared" si="251"/>
        <v>0</v>
      </c>
      <c r="AK749" s="162"/>
      <c r="AL749" s="162">
        <f t="shared" si="246"/>
        <v>0</v>
      </c>
      <c r="AM749" s="167"/>
      <c r="AN749" s="167">
        <f t="shared" si="241"/>
        <v>0</v>
      </c>
      <c r="AO749" s="163"/>
      <c r="AP749" s="163">
        <f t="shared" si="242"/>
        <v>0</v>
      </c>
      <c r="AQ749" s="162"/>
      <c r="AR749" s="168">
        <f t="shared" si="243"/>
        <v>0</v>
      </c>
      <c r="AS749" s="169"/>
      <c r="AT749" s="170">
        <f t="shared" si="244"/>
        <v>0</v>
      </c>
      <c r="AU749" s="160"/>
      <c r="AV749" s="166">
        <f t="shared" si="245"/>
        <v>0</v>
      </c>
    </row>
    <row r="750" spans="1:48" s="239" customFormat="1" ht="31.5">
      <c r="A750" s="148" t="s">
        <v>5754</v>
      </c>
      <c r="B750" s="149" t="s">
        <v>5099</v>
      </c>
      <c r="C750" s="150" t="s">
        <v>5100</v>
      </c>
      <c r="D750" s="240" t="s">
        <v>4431</v>
      </c>
      <c r="E750" s="590"/>
      <c r="F750" s="203" t="s">
        <v>1526</v>
      </c>
      <c r="G750" s="204" t="s">
        <v>5755</v>
      </c>
      <c r="H750" s="204">
        <v>1</v>
      </c>
      <c r="I750" s="203" t="s">
        <v>5626</v>
      </c>
      <c r="J750" s="205" t="s">
        <v>5619</v>
      </c>
      <c r="K750" s="203" t="s">
        <v>5104</v>
      </c>
      <c r="L750" s="205" t="s">
        <v>5627</v>
      </c>
      <c r="M750" s="205" t="s">
        <v>929</v>
      </c>
      <c r="N750" s="204" t="s">
        <v>5622</v>
      </c>
      <c r="O750" s="204" t="s">
        <v>520</v>
      </c>
      <c r="P750" s="206">
        <v>10009</v>
      </c>
      <c r="Q750" s="206">
        <v>8513</v>
      </c>
      <c r="R750" s="207">
        <v>5000</v>
      </c>
      <c r="S750" s="207">
        <f t="shared" si="236"/>
        <v>42565000</v>
      </c>
      <c r="T750" s="589"/>
      <c r="U750" s="157">
        <v>5000</v>
      </c>
      <c r="V750" s="158">
        <f t="shared" si="252"/>
        <v>5000</v>
      </c>
      <c r="W750" s="159">
        <f t="shared" si="237"/>
        <v>0</v>
      </c>
      <c r="X750" s="159">
        <f t="shared" si="238"/>
        <v>0</v>
      </c>
      <c r="Y750" s="160"/>
      <c r="Z750" s="160">
        <f t="shared" si="239"/>
        <v>0</v>
      </c>
      <c r="AA750" s="165"/>
      <c r="AB750" s="161">
        <f t="shared" si="240"/>
        <v>0</v>
      </c>
      <c r="AC750" s="162"/>
      <c r="AD750" s="162">
        <f t="shared" si="248"/>
        <v>0</v>
      </c>
      <c r="AE750" s="164"/>
      <c r="AF750" s="164">
        <f t="shared" si="249"/>
        <v>0</v>
      </c>
      <c r="AG750" s="165"/>
      <c r="AH750" s="165">
        <f t="shared" si="250"/>
        <v>0</v>
      </c>
      <c r="AI750" s="166">
        <v>0</v>
      </c>
      <c r="AJ750" s="166">
        <f t="shared" si="251"/>
        <v>0</v>
      </c>
      <c r="AK750" s="162"/>
      <c r="AL750" s="162">
        <f t="shared" si="246"/>
        <v>0</v>
      </c>
      <c r="AM750" s="173"/>
      <c r="AN750" s="167">
        <f t="shared" si="241"/>
        <v>0</v>
      </c>
      <c r="AO750" s="163"/>
      <c r="AP750" s="163">
        <f t="shared" si="242"/>
        <v>0</v>
      </c>
      <c r="AQ750" s="168"/>
      <c r="AR750" s="168">
        <f t="shared" si="243"/>
        <v>0</v>
      </c>
      <c r="AS750" s="170"/>
      <c r="AT750" s="170">
        <f t="shared" si="244"/>
        <v>0</v>
      </c>
      <c r="AU750" s="166"/>
      <c r="AV750" s="166">
        <f t="shared" si="245"/>
        <v>0</v>
      </c>
    </row>
    <row r="751" spans="1:48" s="239" customFormat="1" ht="63">
      <c r="A751" s="148" t="s">
        <v>5756</v>
      </c>
      <c r="B751" s="149" t="s">
        <v>5099</v>
      </c>
      <c r="C751" s="150" t="s">
        <v>5100</v>
      </c>
      <c r="D751" s="240" t="s">
        <v>4425</v>
      </c>
      <c r="E751" s="590"/>
      <c r="F751" s="203" t="s">
        <v>1526</v>
      </c>
      <c r="G751" s="204" t="s">
        <v>4427</v>
      </c>
      <c r="H751" s="204">
        <v>1</v>
      </c>
      <c r="I751" s="203" t="s">
        <v>4426</v>
      </c>
      <c r="J751" s="205" t="s">
        <v>5757</v>
      </c>
      <c r="K751" s="203" t="s">
        <v>253</v>
      </c>
      <c r="L751" s="205" t="s">
        <v>923</v>
      </c>
      <c r="M751" s="205" t="s">
        <v>5758</v>
      </c>
      <c r="N751" s="204" t="s">
        <v>5759</v>
      </c>
      <c r="O751" s="204" t="s">
        <v>658</v>
      </c>
      <c r="P751" s="206">
        <v>89800</v>
      </c>
      <c r="Q751" s="206">
        <v>76379</v>
      </c>
      <c r="R751" s="207">
        <v>1500</v>
      </c>
      <c r="S751" s="207">
        <f t="shared" si="236"/>
        <v>114568500</v>
      </c>
      <c r="T751" s="589"/>
      <c r="U751" s="157">
        <v>1500</v>
      </c>
      <c r="V751" s="158">
        <f t="shared" si="252"/>
        <v>1400</v>
      </c>
      <c r="W751" s="159">
        <f t="shared" si="237"/>
        <v>100</v>
      </c>
      <c r="X751" s="159">
        <f t="shared" si="238"/>
        <v>7637900</v>
      </c>
      <c r="Y751" s="160"/>
      <c r="Z751" s="160">
        <f t="shared" si="239"/>
        <v>0</v>
      </c>
      <c r="AA751" s="165">
        <v>100</v>
      </c>
      <c r="AB751" s="161">
        <f t="shared" si="240"/>
        <v>7637900</v>
      </c>
      <c r="AC751" s="162"/>
      <c r="AD751" s="162">
        <f t="shared" si="248"/>
        <v>0</v>
      </c>
      <c r="AE751" s="164"/>
      <c r="AF751" s="164">
        <f t="shared" si="249"/>
        <v>0</v>
      </c>
      <c r="AG751" s="165"/>
      <c r="AH751" s="165">
        <f t="shared" si="250"/>
        <v>0</v>
      </c>
      <c r="AI751" s="166">
        <v>0</v>
      </c>
      <c r="AJ751" s="166">
        <f t="shared" si="251"/>
        <v>0</v>
      </c>
      <c r="AK751" s="162"/>
      <c r="AL751" s="162">
        <f t="shared" si="246"/>
        <v>0</v>
      </c>
      <c r="AM751" s="173"/>
      <c r="AN751" s="167">
        <f t="shared" si="241"/>
        <v>0</v>
      </c>
      <c r="AO751" s="163"/>
      <c r="AP751" s="163">
        <f t="shared" si="242"/>
        <v>0</v>
      </c>
      <c r="AQ751" s="168"/>
      <c r="AR751" s="168">
        <f t="shared" si="243"/>
        <v>0</v>
      </c>
      <c r="AS751" s="170"/>
      <c r="AT751" s="170">
        <f t="shared" si="244"/>
        <v>0</v>
      </c>
      <c r="AU751" s="166"/>
      <c r="AV751" s="166">
        <f t="shared" si="245"/>
        <v>0</v>
      </c>
    </row>
    <row r="752" spans="1:48" s="239" customFormat="1" ht="47.25">
      <c r="A752" s="172" t="s">
        <v>5760</v>
      </c>
      <c r="B752" s="149" t="s">
        <v>5099</v>
      </c>
      <c r="C752" s="150" t="s">
        <v>5100</v>
      </c>
      <c r="D752" s="240" t="s">
        <v>4322</v>
      </c>
      <c r="E752" s="590"/>
      <c r="F752" s="203" t="s">
        <v>5634</v>
      </c>
      <c r="G752" s="204" t="s">
        <v>4324</v>
      </c>
      <c r="H752" s="204">
        <v>1</v>
      </c>
      <c r="I752" s="203" t="s">
        <v>4323</v>
      </c>
      <c r="J752" s="205" t="s">
        <v>5643</v>
      </c>
      <c r="K752" s="203" t="s">
        <v>253</v>
      </c>
      <c r="L752" s="205" t="s">
        <v>5644</v>
      </c>
      <c r="M752" s="205" t="s">
        <v>935</v>
      </c>
      <c r="N752" s="204" t="s">
        <v>5121</v>
      </c>
      <c r="O752" s="204" t="s">
        <v>5639</v>
      </c>
      <c r="P752" s="206">
        <v>305852</v>
      </c>
      <c r="Q752" s="206">
        <v>278090</v>
      </c>
      <c r="R752" s="207">
        <v>1000</v>
      </c>
      <c r="S752" s="207">
        <f t="shared" si="236"/>
        <v>278090000</v>
      </c>
      <c r="T752" s="589"/>
      <c r="U752" s="157">
        <v>1000</v>
      </c>
      <c r="V752" s="158">
        <f t="shared" si="252"/>
        <v>750</v>
      </c>
      <c r="W752" s="159">
        <f t="shared" si="237"/>
        <v>250</v>
      </c>
      <c r="X752" s="159">
        <f t="shared" si="238"/>
        <v>69522500</v>
      </c>
      <c r="Y752" s="160"/>
      <c r="Z752" s="160">
        <f t="shared" si="239"/>
        <v>0</v>
      </c>
      <c r="AA752" s="165">
        <v>150</v>
      </c>
      <c r="AB752" s="161">
        <f t="shared" si="240"/>
        <v>41713500</v>
      </c>
      <c r="AC752" s="162"/>
      <c r="AD752" s="162">
        <f t="shared" si="248"/>
        <v>0</v>
      </c>
      <c r="AE752" s="164"/>
      <c r="AF752" s="164">
        <f t="shared" si="249"/>
        <v>0</v>
      </c>
      <c r="AG752" s="165"/>
      <c r="AH752" s="165">
        <f t="shared" si="250"/>
        <v>0</v>
      </c>
      <c r="AI752" s="166">
        <v>100</v>
      </c>
      <c r="AJ752" s="166">
        <f t="shared" si="251"/>
        <v>27809000</v>
      </c>
      <c r="AK752" s="162"/>
      <c r="AL752" s="162">
        <f t="shared" si="246"/>
        <v>0</v>
      </c>
      <c r="AM752" s="173"/>
      <c r="AN752" s="167">
        <f t="shared" si="241"/>
        <v>0</v>
      </c>
      <c r="AO752" s="163"/>
      <c r="AP752" s="163">
        <f t="shared" si="242"/>
        <v>0</v>
      </c>
      <c r="AQ752" s="168"/>
      <c r="AR752" s="168">
        <f t="shared" si="243"/>
        <v>0</v>
      </c>
      <c r="AS752" s="170"/>
      <c r="AT752" s="170">
        <f t="shared" si="244"/>
        <v>0</v>
      </c>
      <c r="AU752" s="166"/>
      <c r="AV752" s="166">
        <f t="shared" si="245"/>
        <v>0</v>
      </c>
    </row>
    <row r="753" spans="1:48" s="239" customFormat="1" ht="31.5">
      <c r="A753" s="148" t="s">
        <v>5776</v>
      </c>
      <c r="B753" s="149" t="s">
        <v>5099</v>
      </c>
      <c r="C753" s="150" t="s">
        <v>5100</v>
      </c>
      <c r="D753" s="240" t="s">
        <v>3717</v>
      </c>
      <c r="E753" s="590" t="s">
        <v>12642</v>
      </c>
      <c r="F753" s="203" t="s">
        <v>560</v>
      </c>
      <c r="G753" s="204" t="s">
        <v>299</v>
      </c>
      <c r="H753" s="204">
        <v>1</v>
      </c>
      <c r="I753" s="203" t="s">
        <v>3718</v>
      </c>
      <c r="J753" s="205" t="s">
        <v>5777</v>
      </c>
      <c r="K753" s="203" t="s">
        <v>253</v>
      </c>
      <c r="L753" s="205" t="s">
        <v>5778</v>
      </c>
      <c r="M753" s="205" t="s">
        <v>5779</v>
      </c>
      <c r="N753" s="204" t="s">
        <v>5105</v>
      </c>
      <c r="O753" s="204" t="s">
        <v>13</v>
      </c>
      <c r="P753" s="206">
        <v>2677</v>
      </c>
      <c r="Q753" s="206">
        <v>2009</v>
      </c>
      <c r="R753" s="207">
        <v>30000</v>
      </c>
      <c r="S753" s="207">
        <f t="shared" si="236"/>
        <v>60270000</v>
      </c>
      <c r="T753" s="589"/>
      <c r="U753" s="157">
        <v>30000</v>
      </c>
      <c r="V753" s="158">
        <f t="shared" si="252"/>
        <v>22000</v>
      </c>
      <c r="W753" s="159">
        <f t="shared" si="237"/>
        <v>8000</v>
      </c>
      <c r="X753" s="159">
        <f t="shared" si="238"/>
        <v>16072000</v>
      </c>
      <c r="Y753" s="160"/>
      <c r="Z753" s="160">
        <f t="shared" si="239"/>
        <v>0</v>
      </c>
      <c r="AA753" s="165">
        <v>500</v>
      </c>
      <c r="AB753" s="161">
        <f t="shared" si="240"/>
        <v>1004500</v>
      </c>
      <c r="AC753" s="162"/>
      <c r="AD753" s="162">
        <f t="shared" si="248"/>
        <v>0</v>
      </c>
      <c r="AE753" s="164"/>
      <c r="AF753" s="164">
        <f t="shared" si="249"/>
        <v>0</v>
      </c>
      <c r="AG753" s="165">
        <v>2000</v>
      </c>
      <c r="AH753" s="165">
        <f t="shared" si="250"/>
        <v>4018000</v>
      </c>
      <c r="AI753" s="166">
        <v>0</v>
      </c>
      <c r="AJ753" s="166">
        <f t="shared" si="251"/>
        <v>0</v>
      </c>
      <c r="AK753" s="162"/>
      <c r="AL753" s="162">
        <f t="shared" si="246"/>
        <v>0</v>
      </c>
      <c r="AM753" s="173">
        <v>5500</v>
      </c>
      <c r="AN753" s="167">
        <f t="shared" si="241"/>
        <v>11049500</v>
      </c>
      <c r="AO753" s="163"/>
      <c r="AP753" s="163">
        <f t="shared" si="242"/>
        <v>0</v>
      </c>
      <c r="AQ753" s="168"/>
      <c r="AR753" s="168">
        <f t="shared" si="243"/>
        <v>0</v>
      </c>
      <c r="AS753" s="170"/>
      <c r="AT753" s="170">
        <f t="shared" si="244"/>
        <v>0</v>
      </c>
      <c r="AU753" s="166"/>
      <c r="AV753" s="166">
        <f t="shared" si="245"/>
        <v>0</v>
      </c>
    </row>
    <row r="754" spans="1:48" s="239" customFormat="1" ht="47.25">
      <c r="A754" s="172" t="s">
        <v>5798</v>
      </c>
      <c r="B754" s="149" t="s">
        <v>5099</v>
      </c>
      <c r="C754" s="150" t="s">
        <v>5100</v>
      </c>
      <c r="D754" s="240" t="s">
        <v>5799</v>
      </c>
      <c r="E754" s="590"/>
      <c r="F754" s="203" t="s">
        <v>5800</v>
      </c>
      <c r="G754" s="204" t="s">
        <v>5801</v>
      </c>
      <c r="H754" s="204">
        <v>1</v>
      </c>
      <c r="I754" s="203" t="s">
        <v>5802</v>
      </c>
      <c r="J754" s="205" t="s">
        <v>5803</v>
      </c>
      <c r="K754" s="203" t="s">
        <v>5804</v>
      </c>
      <c r="L754" s="205" t="s">
        <v>5805</v>
      </c>
      <c r="M754" s="205" t="s">
        <v>5806</v>
      </c>
      <c r="N754" s="204" t="s">
        <v>5807</v>
      </c>
      <c r="O754" s="204" t="s">
        <v>5639</v>
      </c>
      <c r="P754" s="206">
        <v>118000</v>
      </c>
      <c r="Q754" s="206">
        <v>98000</v>
      </c>
      <c r="R754" s="207">
        <v>40</v>
      </c>
      <c r="S754" s="207">
        <f t="shared" si="236"/>
        <v>3920000</v>
      </c>
      <c r="T754" s="589"/>
      <c r="U754" s="157">
        <v>40</v>
      </c>
      <c r="V754" s="158">
        <f t="shared" si="252"/>
        <v>40</v>
      </c>
      <c r="W754" s="159">
        <f t="shared" si="237"/>
        <v>0</v>
      </c>
      <c r="X754" s="159">
        <f t="shared" si="238"/>
        <v>0</v>
      </c>
      <c r="Y754" s="160"/>
      <c r="Z754" s="160">
        <f t="shared" si="239"/>
        <v>0</v>
      </c>
      <c r="AA754" s="165"/>
      <c r="AB754" s="161">
        <f t="shared" si="240"/>
        <v>0</v>
      </c>
      <c r="AC754" s="162"/>
      <c r="AD754" s="162">
        <f t="shared" si="248"/>
        <v>0</v>
      </c>
      <c r="AE754" s="164"/>
      <c r="AF754" s="164">
        <f t="shared" si="249"/>
        <v>0</v>
      </c>
      <c r="AG754" s="165"/>
      <c r="AH754" s="165">
        <f t="shared" si="250"/>
        <v>0</v>
      </c>
      <c r="AI754" s="166">
        <v>0</v>
      </c>
      <c r="AJ754" s="166">
        <f t="shared" si="251"/>
        <v>0</v>
      </c>
      <c r="AK754" s="162"/>
      <c r="AL754" s="162">
        <f t="shared" si="246"/>
        <v>0</v>
      </c>
      <c r="AM754" s="173"/>
      <c r="AN754" s="167">
        <f t="shared" si="241"/>
        <v>0</v>
      </c>
      <c r="AO754" s="163"/>
      <c r="AP754" s="163">
        <f t="shared" si="242"/>
        <v>0</v>
      </c>
      <c r="AQ754" s="168"/>
      <c r="AR754" s="168">
        <f t="shared" si="243"/>
        <v>0</v>
      </c>
      <c r="AS754" s="170"/>
      <c r="AT754" s="170">
        <f t="shared" si="244"/>
        <v>0</v>
      </c>
      <c r="AU754" s="166"/>
      <c r="AV754" s="166">
        <f t="shared" si="245"/>
        <v>0</v>
      </c>
    </row>
    <row r="755" spans="1:48" s="239" customFormat="1" ht="31.5">
      <c r="A755" s="148" t="s">
        <v>5838</v>
      </c>
      <c r="B755" s="149" t="s">
        <v>5099</v>
      </c>
      <c r="C755" s="150" t="s">
        <v>5100</v>
      </c>
      <c r="D755" s="240" t="s">
        <v>5839</v>
      </c>
      <c r="E755" s="590" t="s">
        <v>12642</v>
      </c>
      <c r="F755" s="203" t="s">
        <v>5840</v>
      </c>
      <c r="G755" s="204" t="s">
        <v>5841</v>
      </c>
      <c r="H755" s="204">
        <v>1</v>
      </c>
      <c r="I755" s="203" t="s">
        <v>908</v>
      </c>
      <c r="J755" s="205" t="s">
        <v>5842</v>
      </c>
      <c r="K755" s="203" t="s">
        <v>253</v>
      </c>
      <c r="L755" s="205" t="s">
        <v>911</v>
      </c>
      <c r="M755" s="205" t="s">
        <v>912</v>
      </c>
      <c r="N755" s="204" t="s">
        <v>5661</v>
      </c>
      <c r="O755" s="204" t="s">
        <v>3670</v>
      </c>
      <c r="P755" s="206">
        <v>55600</v>
      </c>
      <c r="Q755" s="206">
        <v>55600</v>
      </c>
      <c r="R755" s="207">
        <v>100</v>
      </c>
      <c r="S755" s="207">
        <f t="shared" si="236"/>
        <v>5560000</v>
      </c>
      <c r="T755" s="589"/>
      <c r="U755" s="157">
        <v>100</v>
      </c>
      <c r="V755" s="158">
        <f t="shared" si="252"/>
        <v>100</v>
      </c>
      <c r="W755" s="159">
        <f t="shared" si="237"/>
        <v>0</v>
      </c>
      <c r="X755" s="159">
        <f t="shared" si="238"/>
        <v>0</v>
      </c>
      <c r="Y755" s="160"/>
      <c r="Z755" s="160">
        <f t="shared" si="239"/>
        <v>0</v>
      </c>
      <c r="AA755" s="165"/>
      <c r="AB755" s="161">
        <f t="shared" si="240"/>
        <v>0</v>
      </c>
      <c r="AC755" s="162"/>
      <c r="AD755" s="162">
        <f t="shared" si="248"/>
        <v>0</v>
      </c>
      <c r="AE755" s="164"/>
      <c r="AF755" s="164">
        <f t="shared" si="249"/>
        <v>0</v>
      </c>
      <c r="AG755" s="165"/>
      <c r="AH755" s="165">
        <f t="shared" si="250"/>
        <v>0</v>
      </c>
      <c r="AI755" s="166">
        <v>0</v>
      </c>
      <c r="AJ755" s="166">
        <f t="shared" si="251"/>
        <v>0</v>
      </c>
      <c r="AK755" s="162"/>
      <c r="AL755" s="162">
        <f t="shared" si="246"/>
        <v>0</v>
      </c>
      <c r="AM755" s="173"/>
      <c r="AN755" s="167">
        <f t="shared" si="241"/>
        <v>0</v>
      </c>
      <c r="AO755" s="163"/>
      <c r="AP755" s="163">
        <f t="shared" si="242"/>
        <v>0</v>
      </c>
      <c r="AQ755" s="168"/>
      <c r="AR755" s="168">
        <f t="shared" si="243"/>
        <v>0</v>
      </c>
      <c r="AS755" s="170"/>
      <c r="AT755" s="170">
        <f t="shared" si="244"/>
        <v>0</v>
      </c>
      <c r="AU755" s="166"/>
      <c r="AV755" s="166">
        <f t="shared" si="245"/>
        <v>0</v>
      </c>
    </row>
    <row r="756" spans="1:48" s="239" customFormat="1" ht="31.5">
      <c r="A756" s="148" t="s">
        <v>5869</v>
      </c>
      <c r="B756" s="149" t="s">
        <v>5099</v>
      </c>
      <c r="C756" s="150" t="s">
        <v>5100</v>
      </c>
      <c r="D756" s="240" t="s">
        <v>4486</v>
      </c>
      <c r="E756" s="590" t="s">
        <v>12642</v>
      </c>
      <c r="F756" s="203" t="s">
        <v>411</v>
      </c>
      <c r="G756" s="204" t="s">
        <v>272</v>
      </c>
      <c r="H756" s="204">
        <v>1</v>
      </c>
      <c r="I756" s="203" t="s">
        <v>5870</v>
      </c>
      <c r="J756" s="205" t="s">
        <v>5871</v>
      </c>
      <c r="K756" s="203" t="s">
        <v>253</v>
      </c>
      <c r="L756" s="205" t="s">
        <v>5872</v>
      </c>
      <c r="M756" s="205" t="s">
        <v>955</v>
      </c>
      <c r="N756" s="204" t="s">
        <v>5116</v>
      </c>
      <c r="O756" s="204" t="s">
        <v>13</v>
      </c>
      <c r="P756" s="206">
        <v>5091</v>
      </c>
      <c r="Q756" s="206">
        <v>5090</v>
      </c>
      <c r="R756" s="207">
        <v>10000</v>
      </c>
      <c r="S756" s="207">
        <f t="shared" si="236"/>
        <v>50900000</v>
      </c>
      <c r="T756" s="589"/>
      <c r="U756" s="157">
        <v>10000</v>
      </c>
      <c r="V756" s="158">
        <f t="shared" si="252"/>
        <v>10000</v>
      </c>
      <c r="W756" s="159">
        <f t="shared" si="237"/>
        <v>0</v>
      </c>
      <c r="X756" s="159">
        <f t="shared" si="238"/>
        <v>0</v>
      </c>
      <c r="Y756" s="160"/>
      <c r="Z756" s="160">
        <f t="shared" si="239"/>
        <v>0</v>
      </c>
      <c r="AA756" s="161"/>
      <c r="AB756" s="161">
        <f t="shared" si="240"/>
        <v>0</v>
      </c>
      <c r="AC756" s="162"/>
      <c r="AD756" s="162">
        <f t="shared" si="248"/>
        <v>0</v>
      </c>
      <c r="AE756" s="164"/>
      <c r="AF756" s="164">
        <f t="shared" si="249"/>
        <v>0</v>
      </c>
      <c r="AG756" s="165"/>
      <c r="AH756" s="165">
        <f t="shared" si="250"/>
        <v>0</v>
      </c>
      <c r="AI756" s="166">
        <v>0</v>
      </c>
      <c r="AJ756" s="166">
        <f t="shared" si="251"/>
        <v>0</v>
      </c>
      <c r="AK756" s="162"/>
      <c r="AL756" s="162">
        <f t="shared" si="246"/>
        <v>0</v>
      </c>
      <c r="AM756" s="167"/>
      <c r="AN756" s="167">
        <f t="shared" si="241"/>
        <v>0</v>
      </c>
      <c r="AO756" s="163"/>
      <c r="AP756" s="163">
        <f t="shared" si="242"/>
        <v>0</v>
      </c>
      <c r="AQ756" s="168"/>
      <c r="AR756" s="168">
        <f t="shared" si="243"/>
        <v>0</v>
      </c>
      <c r="AS756" s="170"/>
      <c r="AT756" s="170">
        <f t="shared" si="244"/>
        <v>0</v>
      </c>
      <c r="AU756" s="166"/>
      <c r="AV756" s="166">
        <f t="shared" si="245"/>
        <v>0</v>
      </c>
    </row>
    <row r="757" spans="1:48" s="239" customFormat="1" ht="31.5">
      <c r="A757" s="172" t="s">
        <v>5880</v>
      </c>
      <c r="B757" s="149" t="s">
        <v>5099</v>
      </c>
      <c r="C757" s="150" t="s">
        <v>5100</v>
      </c>
      <c r="D757" s="240" t="s">
        <v>5881</v>
      </c>
      <c r="E757" s="590" t="s">
        <v>12642</v>
      </c>
      <c r="F757" s="203" t="s">
        <v>683</v>
      </c>
      <c r="G757" s="204" t="s">
        <v>5882</v>
      </c>
      <c r="H757" s="204">
        <v>1</v>
      </c>
      <c r="I757" s="203" t="s">
        <v>5883</v>
      </c>
      <c r="J757" s="205" t="s">
        <v>5884</v>
      </c>
      <c r="K757" s="203" t="s">
        <v>5104</v>
      </c>
      <c r="L757" s="205" t="s">
        <v>5885</v>
      </c>
      <c r="M757" s="205" t="s">
        <v>2731</v>
      </c>
      <c r="N757" s="204" t="s">
        <v>5807</v>
      </c>
      <c r="O757" s="204" t="s">
        <v>5639</v>
      </c>
      <c r="P757" s="206">
        <v>87579</v>
      </c>
      <c r="Q757" s="206">
        <v>83000</v>
      </c>
      <c r="R757" s="207">
        <v>2000</v>
      </c>
      <c r="S757" s="207">
        <f t="shared" si="236"/>
        <v>166000000</v>
      </c>
      <c r="T757" s="589"/>
      <c r="U757" s="157">
        <v>2000</v>
      </c>
      <c r="V757" s="158">
        <f t="shared" si="252"/>
        <v>2000</v>
      </c>
      <c r="W757" s="159">
        <f t="shared" si="237"/>
        <v>0</v>
      </c>
      <c r="X757" s="159">
        <f t="shared" si="238"/>
        <v>0</v>
      </c>
      <c r="Y757" s="160"/>
      <c r="Z757" s="160">
        <f t="shared" si="239"/>
        <v>0</v>
      </c>
      <c r="AA757" s="161"/>
      <c r="AB757" s="161">
        <f t="shared" si="240"/>
        <v>0</v>
      </c>
      <c r="AC757" s="162"/>
      <c r="AD757" s="162">
        <f t="shared" si="248"/>
        <v>0</v>
      </c>
      <c r="AE757" s="164"/>
      <c r="AF757" s="164">
        <f t="shared" si="249"/>
        <v>0</v>
      </c>
      <c r="AG757" s="165"/>
      <c r="AH757" s="165">
        <f t="shared" si="250"/>
        <v>0</v>
      </c>
      <c r="AI757" s="166">
        <v>0</v>
      </c>
      <c r="AJ757" s="166">
        <f t="shared" si="251"/>
        <v>0</v>
      </c>
      <c r="AK757" s="162"/>
      <c r="AL757" s="162">
        <f t="shared" si="246"/>
        <v>0</v>
      </c>
      <c r="AM757" s="167"/>
      <c r="AN757" s="167">
        <f t="shared" si="241"/>
        <v>0</v>
      </c>
      <c r="AO757" s="163"/>
      <c r="AP757" s="163">
        <f t="shared" si="242"/>
        <v>0</v>
      </c>
      <c r="AQ757" s="168"/>
      <c r="AR757" s="168">
        <f t="shared" si="243"/>
        <v>0</v>
      </c>
      <c r="AS757" s="170"/>
      <c r="AT757" s="170">
        <f t="shared" si="244"/>
        <v>0</v>
      </c>
      <c r="AU757" s="166"/>
      <c r="AV757" s="166">
        <f t="shared" si="245"/>
        <v>0</v>
      </c>
    </row>
    <row r="758" spans="1:48" s="239" customFormat="1" ht="47.25">
      <c r="A758" s="172" t="s">
        <v>5900</v>
      </c>
      <c r="B758" s="149" t="s">
        <v>5099</v>
      </c>
      <c r="C758" s="150" t="s">
        <v>5100</v>
      </c>
      <c r="D758" s="240" t="s">
        <v>5901</v>
      </c>
      <c r="E758" s="590"/>
      <c r="F758" s="203" t="s">
        <v>5902</v>
      </c>
      <c r="G758" s="204" t="s">
        <v>5903</v>
      </c>
      <c r="H758" s="204">
        <v>1</v>
      </c>
      <c r="I758" s="203" t="s">
        <v>5904</v>
      </c>
      <c r="J758" s="205" t="s">
        <v>5905</v>
      </c>
      <c r="K758" s="203" t="s">
        <v>5104</v>
      </c>
      <c r="L758" s="205" t="s">
        <v>5906</v>
      </c>
      <c r="M758" s="205" t="s">
        <v>5806</v>
      </c>
      <c r="N758" s="204" t="s">
        <v>5807</v>
      </c>
      <c r="O758" s="204" t="s">
        <v>5655</v>
      </c>
      <c r="P758" s="206">
        <v>88001</v>
      </c>
      <c r="Q758" s="206">
        <v>32500</v>
      </c>
      <c r="R758" s="207">
        <v>50</v>
      </c>
      <c r="S758" s="207">
        <f t="shared" si="236"/>
        <v>1625000</v>
      </c>
      <c r="T758" s="589"/>
      <c r="U758" s="157">
        <v>50</v>
      </c>
      <c r="V758" s="158">
        <f t="shared" si="252"/>
        <v>50</v>
      </c>
      <c r="W758" s="159">
        <f t="shared" si="237"/>
        <v>0</v>
      </c>
      <c r="X758" s="159">
        <f t="shared" si="238"/>
        <v>0</v>
      </c>
      <c r="Y758" s="160"/>
      <c r="Z758" s="160">
        <f t="shared" si="239"/>
        <v>0</v>
      </c>
      <c r="AA758" s="165"/>
      <c r="AB758" s="161">
        <f t="shared" si="240"/>
        <v>0</v>
      </c>
      <c r="AC758" s="162"/>
      <c r="AD758" s="162">
        <f t="shared" si="248"/>
        <v>0</v>
      </c>
      <c r="AE758" s="164"/>
      <c r="AF758" s="164">
        <f t="shared" si="249"/>
        <v>0</v>
      </c>
      <c r="AG758" s="165"/>
      <c r="AH758" s="165">
        <f t="shared" si="250"/>
        <v>0</v>
      </c>
      <c r="AI758" s="166">
        <v>0</v>
      </c>
      <c r="AJ758" s="166">
        <f t="shared" si="251"/>
        <v>0</v>
      </c>
      <c r="AK758" s="162"/>
      <c r="AL758" s="162">
        <f t="shared" si="246"/>
        <v>0</v>
      </c>
      <c r="AM758" s="173"/>
      <c r="AN758" s="167">
        <f t="shared" si="241"/>
        <v>0</v>
      </c>
      <c r="AO758" s="163"/>
      <c r="AP758" s="163">
        <f t="shared" si="242"/>
        <v>0</v>
      </c>
      <c r="AQ758" s="168"/>
      <c r="AR758" s="168">
        <f t="shared" si="243"/>
        <v>0</v>
      </c>
      <c r="AS758" s="170"/>
      <c r="AT758" s="170">
        <f t="shared" si="244"/>
        <v>0</v>
      </c>
      <c r="AU758" s="166"/>
      <c r="AV758" s="166">
        <f t="shared" si="245"/>
        <v>0</v>
      </c>
    </row>
    <row r="759" spans="1:48" s="239" customFormat="1" ht="31.5">
      <c r="A759" s="148" t="s">
        <v>6013</v>
      </c>
      <c r="B759" s="149" t="s">
        <v>5099</v>
      </c>
      <c r="C759" s="150" t="s">
        <v>5100</v>
      </c>
      <c r="D759" s="240" t="s">
        <v>4009</v>
      </c>
      <c r="E759" s="590" t="s">
        <v>12642</v>
      </c>
      <c r="F759" s="203" t="s">
        <v>4011</v>
      </c>
      <c r="G759" s="204" t="s">
        <v>4012</v>
      </c>
      <c r="H759" s="204">
        <v>1</v>
      </c>
      <c r="I759" s="203" t="s">
        <v>4010</v>
      </c>
      <c r="J759" s="205" t="s">
        <v>6014</v>
      </c>
      <c r="K759" s="203" t="s">
        <v>5108</v>
      </c>
      <c r="L759" s="205" t="s">
        <v>6015</v>
      </c>
      <c r="M759" s="205" t="s">
        <v>6016</v>
      </c>
      <c r="N759" s="204" t="s">
        <v>5179</v>
      </c>
      <c r="O759" s="204" t="s">
        <v>3670</v>
      </c>
      <c r="P759" s="206">
        <v>47700</v>
      </c>
      <c r="Q759" s="206">
        <v>47500</v>
      </c>
      <c r="R759" s="207">
        <v>2500</v>
      </c>
      <c r="S759" s="207">
        <f t="shared" si="236"/>
        <v>118750000</v>
      </c>
      <c r="T759" s="589"/>
      <c r="U759" s="157">
        <v>2500</v>
      </c>
      <c r="V759" s="158">
        <f t="shared" si="252"/>
        <v>2420</v>
      </c>
      <c r="W759" s="159">
        <f t="shared" si="237"/>
        <v>80</v>
      </c>
      <c r="X759" s="159">
        <f t="shared" si="238"/>
        <v>3800000</v>
      </c>
      <c r="Y759" s="160"/>
      <c r="Z759" s="160">
        <f t="shared" si="239"/>
        <v>0</v>
      </c>
      <c r="AA759" s="165">
        <v>30</v>
      </c>
      <c r="AB759" s="161">
        <f t="shared" si="240"/>
        <v>1425000</v>
      </c>
      <c r="AC759" s="162"/>
      <c r="AD759" s="162">
        <f t="shared" si="248"/>
        <v>0</v>
      </c>
      <c r="AE759" s="164"/>
      <c r="AF759" s="164">
        <f t="shared" si="249"/>
        <v>0</v>
      </c>
      <c r="AG759" s="165"/>
      <c r="AH759" s="165">
        <f t="shared" si="250"/>
        <v>0</v>
      </c>
      <c r="AI759" s="166">
        <v>0</v>
      </c>
      <c r="AJ759" s="166">
        <f t="shared" si="251"/>
        <v>0</v>
      </c>
      <c r="AK759" s="162"/>
      <c r="AL759" s="162">
        <f t="shared" si="246"/>
        <v>0</v>
      </c>
      <c r="AM759" s="173">
        <v>50</v>
      </c>
      <c r="AN759" s="167">
        <f t="shared" si="241"/>
        <v>2375000</v>
      </c>
      <c r="AO759" s="163"/>
      <c r="AP759" s="163">
        <f t="shared" si="242"/>
        <v>0</v>
      </c>
      <c r="AQ759" s="168"/>
      <c r="AR759" s="168">
        <f t="shared" si="243"/>
        <v>0</v>
      </c>
      <c r="AS759" s="170"/>
      <c r="AT759" s="170">
        <f t="shared" si="244"/>
        <v>0</v>
      </c>
      <c r="AU759" s="166"/>
      <c r="AV759" s="166">
        <f t="shared" si="245"/>
        <v>0</v>
      </c>
    </row>
    <row r="760" spans="1:48" s="239" customFormat="1" ht="47.25">
      <c r="A760" s="172" t="s">
        <v>6017</v>
      </c>
      <c r="B760" s="149" t="s">
        <v>5099</v>
      </c>
      <c r="C760" s="150" t="s">
        <v>5100</v>
      </c>
      <c r="D760" s="240" t="s">
        <v>4120</v>
      </c>
      <c r="E760" s="590" t="s">
        <v>12642</v>
      </c>
      <c r="F760" s="203" t="s">
        <v>1668</v>
      </c>
      <c r="G760" s="204" t="s">
        <v>869</v>
      </c>
      <c r="H760" s="204">
        <v>1</v>
      </c>
      <c r="I760" s="203" t="s">
        <v>4121</v>
      </c>
      <c r="J760" s="205" t="s">
        <v>6018</v>
      </c>
      <c r="K760" s="203" t="s">
        <v>5111</v>
      </c>
      <c r="L760" s="205" t="s">
        <v>6019</v>
      </c>
      <c r="M760" s="205" t="s">
        <v>6020</v>
      </c>
      <c r="N760" s="204" t="s">
        <v>6021</v>
      </c>
      <c r="O760" s="204" t="s">
        <v>11</v>
      </c>
      <c r="P760" s="206">
        <v>4620</v>
      </c>
      <c r="Q760" s="206">
        <v>4620</v>
      </c>
      <c r="R760" s="207">
        <v>20000</v>
      </c>
      <c r="S760" s="207">
        <f t="shared" si="236"/>
        <v>92400000</v>
      </c>
      <c r="T760" s="589"/>
      <c r="U760" s="157">
        <v>20000</v>
      </c>
      <c r="V760" s="158">
        <f t="shared" si="252"/>
        <v>14000</v>
      </c>
      <c r="W760" s="159">
        <f t="shared" si="237"/>
        <v>6000</v>
      </c>
      <c r="X760" s="159">
        <f t="shared" si="238"/>
        <v>27720000</v>
      </c>
      <c r="Y760" s="160"/>
      <c r="Z760" s="160">
        <f t="shared" si="239"/>
        <v>0</v>
      </c>
      <c r="AA760" s="165"/>
      <c r="AB760" s="161">
        <f t="shared" si="240"/>
        <v>0</v>
      </c>
      <c r="AC760" s="162"/>
      <c r="AD760" s="162">
        <f t="shared" si="248"/>
        <v>0</v>
      </c>
      <c r="AE760" s="163"/>
      <c r="AF760" s="164">
        <f t="shared" si="249"/>
        <v>0</v>
      </c>
      <c r="AG760" s="161">
        <v>6000</v>
      </c>
      <c r="AH760" s="165">
        <f t="shared" si="250"/>
        <v>27720000</v>
      </c>
      <c r="AI760" s="160">
        <v>0</v>
      </c>
      <c r="AJ760" s="166">
        <f t="shared" si="251"/>
        <v>0</v>
      </c>
      <c r="AK760" s="162"/>
      <c r="AL760" s="162">
        <f t="shared" si="246"/>
        <v>0</v>
      </c>
      <c r="AM760" s="173"/>
      <c r="AN760" s="167">
        <f t="shared" si="241"/>
        <v>0</v>
      </c>
      <c r="AO760" s="163"/>
      <c r="AP760" s="163">
        <f t="shared" si="242"/>
        <v>0</v>
      </c>
      <c r="AQ760" s="162"/>
      <c r="AR760" s="168">
        <f t="shared" si="243"/>
        <v>0</v>
      </c>
      <c r="AS760" s="169"/>
      <c r="AT760" s="170">
        <f t="shared" si="244"/>
        <v>0</v>
      </c>
      <c r="AU760" s="160"/>
      <c r="AV760" s="166">
        <f t="shared" si="245"/>
        <v>0</v>
      </c>
    </row>
    <row r="761" spans="1:48" s="239" customFormat="1" ht="31.5">
      <c r="A761" s="148" t="s">
        <v>6070</v>
      </c>
      <c r="B761" s="149" t="s">
        <v>5099</v>
      </c>
      <c r="C761" s="150" t="s">
        <v>5100</v>
      </c>
      <c r="D761" s="240" t="s">
        <v>3771</v>
      </c>
      <c r="E761" s="590" t="s">
        <v>12642</v>
      </c>
      <c r="F761" s="203" t="s">
        <v>347</v>
      </c>
      <c r="G761" s="204" t="s">
        <v>238</v>
      </c>
      <c r="H761" s="204">
        <v>1</v>
      </c>
      <c r="I761" s="203" t="s">
        <v>3772</v>
      </c>
      <c r="J761" s="205" t="s">
        <v>6071</v>
      </c>
      <c r="K761" s="203" t="s">
        <v>5104</v>
      </c>
      <c r="L761" s="205" t="s">
        <v>6072</v>
      </c>
      <c r="M761" s="205" t="s">
        <v>954</v>
      </c>
      <c r="N761" s="204" t="s">
        <v>6012</v>
      </c>
      <c r="O761" s="204" t="s">
        <v>11</v>
      </c>
      <c r="P761" s="206">
        <v>3020</v>
      </c>
      <c r="Q761" s="206">
        <v>1009</v>
      </c>
      <c r="R761" s="207">
        <v>40000</v>
      </c>
      <c r="S761" s="207">
        <f t="shared" si="236"/>
        <v>40360000</v>
      </c>
      <c r="T761" s="589"/>
      <c r="U761" s="157">
        <v>40000</v>
      </c>
      <c r="V761" s="158">
        <f t="shared" si="252"/>
        <v>24310</v>
      </c>
      <c r="W761" s="159">
        <f t="shared" si="237"/>
        <v>15690</v>
      </c>
      <c r="X761" s="159">
        <f t="shared" si="238"/>
        <v>15831210</v>
      </c>
      <c r="Y761" s="160"/>
      <c r="Z761" s="160">
        <f t="shared" si="239"/>
        <v>0</v>
      </c>
      <c r="AA761" s="161">
        <v>2400</v>
      </c>
      <c r="AB761" s="161">
        <f t="shared" si="240"/>
        <v>2421600</v>
      </c>
      <c r="AC761" s="162"/>
      <c r="AD761" s="162">
        <f t="shared" si="248"/>
        <v>0</v>
      </c>
      <c r="AE761" s="164"/>
      <c r="AF761" s="164">
        <f t="shared" si="249"/>
        <v>0</v>
      </c>
      <c r="AG761" s="165"/>
      <c r="AH761" s="165">
        <f t="shared" si="250"/>
        <v>0</v>
      </c>
      <c r="AI761" s="166">
        <v>0</v>
      </c>
      <c r="AJ761" s="166">
        <f t="shared" si="251"/>
        <v>0</v>
      </c>
      <c r="AK761" s="162"/>
      <c r="AL761" s="162">
        <f t="shared" si="246"/>
        <v>0</v>
      </c>
      <c r="AM761" s="167">
        <v>3300</v>
      </c>
      <c r="AN761" s="167">
        <f t="shared" si="241"/>
        <v>3329700</v>
      </c>
      <c r="AO761" s="163"/>
      <c r="AP761" s="163">
        <f t="shared" si="242"/>
        <v>0</v>
      </c>
      <c r="AQ761" s="168"/>
      <c r="AR761" s="168">
        <f t="shared" si="243"/>
        <v>0</v>
      </c>
      <c r="AS761" s="170"/>
      <c r="AT761" s="170">
        <f t="shared" si="244"/>
        <v>0</v>
      </c>
      <c r="AU761" s="166">
        <v>9990</v>
      </c>
      <c r="AV761" s="166">
        <f t="shared" si="245"/>
        <v>10079910</v>
      </c>
    </row>
    <row r="762" spans="1:48" s="239" customFormat="1" ht="31.5">
      <c r="A762" s="172" t="s">
        <v>6107</v>
      </c>
      <c r="B762" s="149" t="s">
        <v>5099</v>
      </c>
      <c r="C762" s="150" t="s">
        <v>5100</v>
      </c>
      <c r="D762" s="240" t="s">
        <v>6108</v>
      </c>
      <c r="E762" s="590" t="s">
        <v>12642</v>
      </c>
      <c r="F762" s="203" t="s">
        <v>1540</v>
      </c>
      <c r="G762" s="204" t="s">
        <v>1542</v>
      </c>
      <c r="H762" s="204">
        <v>1</v>
      </c>
      <c r="I762" s="203" t="s">
        <v>6109</v>
      </c>
      <c r="J762" s="205" t="s">
        <v>6009</v>
      </c>
      <c r="K762" s="203" t="s">
        <v>253</v>
      </c>
      <c r="L762" s="205" t="s">
        <v>6110</v>
      </c>
      <c r="M762" s="205" t="s">
        <v>954</v>
      </c>
      <c r="N762" s="204" t="s">
        <v>6012</v>
      </c>
      <c r="O762" s="204" t="s">
        <v>11</v>
      </c>
      <c r="P762" s="206">
        <v>6000</v>
      </c>
      <c r="Q762" s="206">
        <v>4159</v>
      </c>
      <c r="R762" s="207">
        <v>40000</v>
      </c>
      <c r="S762" s="207">
        <f t="shared" si="236"/>
        <v>166360000</v>
      </c>
      <c r="T762" s="589"/>
      <c r="U762" s="157">
        <v>40000</v>
      </c>
      <c r="V762" s="158">
        <f t="shared" si="252"/>
        <v>40000</v>
      </c>
      <c r="W762" s="159">
        <f t="shared" si="237"/>
        <v>0</v>
      </c>
      <c r="X762" s="159">
        <f t="shared" si="238"/>
        <v>0</v>
      </c>
      <c r="Y762" s="160"/>
      <c r="Z762" s="160">
        <f t="shared" si="239"/>
        <v>0</v>
      </c>
      <c r="AA762" s="165"/>
      <c r="AB762" s="161">
        <f t="shared" si="240"/>
        <v>0</v>
      </c>
      <c r="AC762" s="162"/>
      <c r="AD762" s="162">
        <f t="shared" si="248"/>
        <v>0</v>
      </c>
      <c r="AE762" s="164"/>
      <c r="AF762" s="164">
        <f t="shared" si="249"/>
        <v>0</v>
      </c>
      <c r="AG762" s="165"/>
      <c r="AH762" s="165">
        <f t="shared" si="250"/>
        <v>0</v>
      </c>
      <c r="AI762" s="166">
        <v>0</v>
      </c>
      <c r="AJ762" s="166">
        <f t="shared" si="251"/>
        <v>0</v>
      </c>
      <c r="AK762" s="162"/>
      <c r="AL762" s="162">
        <f t="shared" si="246"/>
        <v>0</v>
      </c>
      <c r="AM762" s="173"/>
      <c r="AN762" s="167">
        <f t="shared" si="241"/>
        <v>0</v>
      </c>
      <c r="AO762" s="163"/>
      <c r="AP762" s="163">
        <f t="shared" si="242"/>
        <v>0</v>
      </c>
      <c r="AQ762" s="168"/>
      <c r="AR762" s="168">
        <f t="shared" si="243"/>
        <v>0</v>
      </c>
      <c r="AS762" s="170"/>
      <c r="AT762" s="170">
        <f t="shared" si="244"/>
        <v>0</v>
      </c>
      <c r="AU762" s="166"/>
      <c r="AV762" s="166">
        <f t="shared" si="245"/>
        <v>0</v>
      </c>
    </row>
    <row r="763" spans="1:48" s="239" customFormat="1" ht="31.5">
      <c r="A763" s="172" t="s">
        <v>6137</v>
      </c>
      <c r="B763" s="149" t="s">
        <v>5099</v>
      </c>
      <c r="C763" s="150" t="s">
        <v>5100</v>
      </c>
      <c r="D763" s="240" t="s">
        <v>6138</v>
      </c>
      <c r="E763" s="590"/>
      <c r="F763" s="203" t="s">
        <v>1123</v>
      </c>
      <c r="G763" s="204" t="s">
        <v>310</v>
      </c>
      <c r="H763" s="204">
        <v>1</v>
      </c>
      <c r="I763" s="203" t="s">
        <v>6139</v>
      </c>
      <c r="J763" s="205" t="s">
        <v>6140</v>
      </c>
      <c r="K763" s="203" t="s">
        <v>253</v>
      </c>
      <c r="L763" s="205" t="s">
        <v>6141</v>
      </c>
      <c r="M763" s="205" t="s">
        <v>954</v>
      </c>
      <c r="N763" s="204" t="s">
        <v>6012</v>
      </c>
      <c r="O763" s="204" t="s">
        <v>11</v>
      </c>
      <c r="P763" s="206">
        <v>6351</v>
      </c>
      <c r="Q763" s="206">
        <v>3555</v>
      </c>
      <c r="R763" s="207">
        <v>20000</v>
      </c>
      <c r="S763" s="207">
        <f t="shared" si="236"/>
        <v>71100000</v>
      </c>
      <c r="T763" s="589"/>
      <c r="U763" s="157">
        <v>20000</v>
      </c>
      <c r="V763" s="158">
        <f t="shared" si="252"/>
        <v>20000</v>
      </c>
      <c r="W763" s="159">
        <f t="shared" si="237"/>
        <v>0</v>
      </c>
      <c r="X763" s="159">
        <f t="shared" si="238"/>
        <v>0</v>
      </c>
      <c r="Y763" s="160"/>
      <c r="Z763" s="160">
        <f t="shared" si="239"/>
        <v>0</v>
      </c>
      <c r="AA763" s="165"/>
      <c r="AB763" s="161">
        <f t="shared" si="240"/>
        <v>0</v>
      </c>
      <c r="AC763" s="162"/>
      <c r="AD763" s="162">
        <f t="shared" si="248"/>
        <v>0</v>
      </c>
      <c r="AE763" s="164"/>
      <c r="AF763" s="164">
        <f t="shared" si="249"/>
        <v>0</v>
      </c>
      <c r="AG763" s="165"/>
      <c r="AH763" s="165">
        <f t="shared" si="250"/>
        <v>0</v>
      </c>
      <c r="AI763" s="166">
        <v>0</v>
      </c>
      <c r="AJ763" s="166">
        <f t="shared" si="251"/>
        <v>0</v>
      </c>
      <c r="AK763" s="162"/>
      <c r="AL763" s="162">
        <f t="shared" si="246"/>
        <v>0</v>
      </c>
      <c r="AM763" s="173"/>
      <c r="AN763" s="167">
        <f t="shared" si="241"/>
        <v>0</v>
      </c>
      <c r="AO763" s="163"/>
      <c r="AP763" s="163">
        <f t="shared" si="242"/>
        <v>0</v>
      </c>
      <c r="AQ763" s="168"/>
      <c r="AR763" s="168">
        <f t="shared" si="243"/>
        <v>0</v>
      </c>
      <c r="AS763" s="170"/>
      <c r="AT763" s="170">
        <f t="shared" si="244"/>
        <v>0</v>
      </c>
      <c r="AU763" s="166"/>
      <c r="AV763" s="166">
        <f t="shared" si="245"/>
        <v>0</v>
      </c>
    </row>
    <row r="764" spans="1:48" s="239" customFormat="1" ht="31.5">
      <c r="A764" s="148" t="s">
        <v>6142</v>
      </c>
      <c r="B764" s="149" t="s">
        <v>5099</v>
      </c>
      <c r="C764" s="150" t="s">
        <v>5100</v>
      </c>
      <c r="D764" s="240" t="s">
        <v>4251</v>
      </c>
      <c r="E764" s="590" t="s">
        <v>12642</v>
      </c>
      <c r="F764" s="203" t="s">
        <v>788</v>
      </c>
      <c r="G764" s="204" t="s">
        <v>390</v>
      </c>
      <c r="H764" s="204">
        <v>1</v>
      </c>
      <c r="I764" s="203" t="s">
        <v>4252</v>
      </c>
      <c r="J764" s="205" t="s">
        <v>6143</v>
      </c>
      <c r="K764" s="203" t="s">
        <v>253</v>
      </c>
      <c r="L764" s="205" t="s">
        <v>6144</v>
      </c>
      <c r="M764" s="205" t="s">
        <v>954</v>
      </c>
      <c r="N764" s="204" t="s">
        <v>6012</v>
      </c>
      <c r="O764" s="204" t="s">
        <v>11</v>
      </c>
      <c r="P764" s="206">
        <v>3000</v>
      </c>
      <c r="Q764" s="206">
        <v>1515</v>
      </c>
      <c r="R764" s="207">
        <v>10000</v>
      </c>
      <c r="S764" s="207">
        <f t="shared" si="236"/>
        <v>15150000</v>
      </c>
      <c r="T764" s="589"/>
      <c r="U764" s="157">
        <v>10000</v>
      </c>
      <c r="V764" s="158">
        <f t="shared" si="252"/>
        <v>7000</v>
      </c>
      <c r="W764" s="159">
        <f t="shared" si="237"/>
        <v>3000</v>
      </c>
      <c r="X764" s="159">
        <f t="shared" si="238"/>
        <v>4545000</v>
      </c>
      <c r="Y764" s="160"/>
      <c r="Z764" s="160">
        <f t="shared" si="239"/>
        <v>0</v>
      </c>
      <c r="AA764" s="165"/>
      <c r="AB764" s="161">
        <f t="shared" si="240"/>
        <v>0</v>
      </c>
      <c r="AC764" s="162"/>
      <c r="AD764" s="162">
        <f t="shared" si="248"/>
        <v>0</v>
      </c>
      <c r="AE764" s="164"/>
      <c r="AF764" s="164">
        <f t="shared" si="249"/>
        <v>0</v>
      </c>
      <c r="AG764" s="165"/>
      <c r="AH764" s="165">
        <f t="shared" si="250"/>
        <v>0</v>
      </c>
      <c r="AI764" s="166">
        <v>0</v>
      </c>
      <c r="AJ764" s="166">
        <f t="shared" si="251"/>
        <v>0</v>
      </c>
      <c r="AK764" s="162"/>
      <c r="AL764" s="162">
        <f t="shared" si="246"/>
        <v>0</v>
      </c>
      <c r="AM764" s="173">
        <f>300+2700</f>
        <v>3000</v>
      </c>
      <c r="AN764" s="167">
        <f t="shared" si="241"/>
        <v>4545000</v>
      </c>
      <c r="AO764" s="163"/>
      <c r="AP764" s="163">
        <f t="shared" si="242"/>
        <v>0</v>
      </c>
      <c r="AQ764" s="168"/>
      <c r="AR764" s="168">
        <f t="shared" si="243"/>
        <v>0</v>
      </c>
      <c r="AS764" s="170"/>
      <c r="AT764" s="170">
        <f t="shared" si="244"/>
        <v>0</v>
      </c>
      <c r="AU764" s="166"/>
      <c r="AV764" s="166">
        <f t="shared" si="245"/>
        <v>0</v>
      </c>
    </row>
    <row r="765" spans="1:48" s="239" customFormat="1" ht="31.5">
      <c r="A765" s="148" t="s">
        <v>6145</v>
      </c>
      <c r="B765" s="149" t="s">
        <v>5099</v>
      </c>
      <c r="C765" s="150" t="s">
        <v>5100</v>
      </c>
      <c r="D765" s="240" t="s">
        <v>3896</v>
      </c>
      <c r="E765" s="590"/>
      <c r="F765" s="203" t="s">
        <v>3898</v>
      </c>
      <c r="G765" s="204" t="s">
        <v>3899</v>
      </c>
      <c r="H765" s="204">
        <v>1</v>
      </c>
      <c r="I765" s="203" t="s">
        <v>3897</v>
      </c>
      <c r="J765" s="205" t="s">
        <v>6146</v>
      </c>
      <c r="K765" s="203" t="s">
        <v>5104</v>
      </c>
      <c r="L765" s="205" t="s">
        <v>1009</v>
      </c>
      <c r="M765" s="205" t="s">
        <v>1010</v>
      </c>
      <c r="N765" s="204" t="s">
        <v>6147</v>
      </c>
      <c r="O765" s="204" t="s">
        <v>11</v>
      </c>
      <c r="P765" s="206">
        <v>7242</v>
      </c>
      <c r="Q765" s="206">
        <v>6589</v>
      </c>
      <c r="R765" s="207">
        <v>40000</v>
      </c>
      <c r="S765" s="207">
        <f t="shared" si="236"/>
        <v>263560000</v>
      </c>
      <c r="T765" s="589"/>
      <c r="U765" s="157">
        <v>40000</v>
      </c>
      <c r="V765" s="158">
        <f t="shared" si="252"/>
        <v>32050</v>
      </c>
      <c r="W765" s="159">
        <f t="shared" si="237"/>
        <v>7950</v>
      </c>
      <c r="X765" s="159">
        <f t="shared" si="238"/>
        <v>52382550</v>
      </c>
      <c r="Y765" s="160"/>
      <c r="Z765" s="160">
        <f t="shared" si="239"/>
        <v>0</v>
      </c>
      <c r="AA765" s="165">
        <v>3000</v>
      </c>
      <c r="AB765" s="161">
        <f t="shared" si="240"/>
        <v>19767000</v>
      </c>
      <c r="AC765" s="162"/>
      <c r="AD765" s="162">
        <f t="shared" si="248"/>
        <v>0</v>
      </c>
      <c r="AE765" s="164"/>
      <c r="AF765" s="164">
        <f t="shared" si="249"/>
        <v>0</v>
      </c>
      <c r="AG765" s="165">
        <v>1500</v>
      </c>
      <c r="AH765" s="165">
        <f t="shared" si="250"/>
        <v>9883500</v>
      </c>
      <c r="AI765" s="166">
        <v>0</v>
      </c>
      <c r="AJ765" s="166">
        <f t="shared" si="251"/>
        <v>0</v>
      </c>
      <c r="AK765" s="162"/>
      <c r="AL765" s="162">
        <f t="shared" si="246"/>
        <v>0</v>
      </c>
      <c r="AM765" s="173">
        <v>450</v>
      </c>
      <c r="AN765" s="167">
        <f t="shared" si="241"/>
        <v>2965050</v>
      </c>
      <c r="AO765" s="163"/>
      <c r="AP765" s="163">
        <f t="shared" si="242"/>
        <v>0</v>
      </c>
      <c r="AQ765" s="168"/>
      <c r="AR765" s="168">
        <f t="shared" si="243"/>
        <v>0</v>
      </c>
      <c r="AS765" s="170"/>
      <c r="AT765" s="170">
        <f t="shared" si="244"/>
        <v>0</v>
      </c>
      <c r="AU765" s="166">
        <v>3000</v>
      </c>
      <c r="AV765" s="166">
        <f t="shared" si="245"/>
        <v>19767000</v>
      </c>
    </row>
    <row r="766" spans="1:48" s="239" customFormat="1" ht="31.5">
      <c r="A766" s="172" t="s">
        <v>6148</v>
      </c>
      <c r="B766" s="149" t="s">
        <v>5099</v>
      </c>
      <c r="C766" s="150" t="s">
        <v>5100</v>
      </c>
      <c r="D766" s="240" t="s">
        <v>3903</v>
      </c>
      <c r="E766" s="590"/>
      <c r="F766" s="203" t="s">
        <v>1245</v>
      </c>
      <c r="G766" s="204" t="s">
        <v>3905</v>
      </c>
      <c r="H766" s="204">
        <v>1</v>
      </c>
      <c r="I766" s="203" t="s">
        <v>3904</v>
      </c>
      <c r="J766" s="205" t="s">
        <v>6149</v>
      </c>
      <c r="K766" s="203" t="s">
        <v>5104</v>
      </c>
      <c r="L766" s="205" t="s">
        <v>2850</v>
      </c>
      <c r="M766" s="205" t="s">
        <v>312</v>
      </c>
      <c r="N766" s="204" t="s">
        <v>5116</v>
      </c>
      <c r="O766" s="204" t="s">
        <v>11</v>
      </c>
      <c r="P766" s="206">
        <v>6500</v>
      </c>
      <c r="Q766" s="206">
        <v>6500</v>
      </c>
      <c r="R766" s="207">
        <v>30000</v>
      </c>
      <c r="S766" s="207">
        <f t="shared" si="236"/>
        <v>195000000</v>
      </c>
      <c r="T766" s="589"/>
      <c r="U766" s="157">
        <v>30000</v>
      </c>
      <c r="V766" s="158">
        <f t="shared" si="252"/>
        <v>23550</v>
      </c>
      <c r="W766" s="159">
        <f t="shared" si="237"/>
        <v>6450</v>
      </c>
      <c r="X766" s="159">
        <f t="shared" si="238"/>
        <v>41925000</v>
      </c>
      <c r="Y766" s="160"/>
      <c r="Z766" s="160">
        <f t="shared" si="239"/>
        <v>0</v>
      </c>
      <c r="AA766" s="165"/>
      <c r="AB766" s="161">
        <f t="shared" si="240"/>
        <v>0</v>
      </c>
      <c r="AC766" s="162">
        <v>3000</v>
      </c>
      <c r="AD766" s="162">
        <f t="shared" si="248"/>
        <v>19500000</v>
      </c>
      <c r="AE766" s="164"/>
      <c r="AF766" s="164">
        <f t="shared" si="249"/>
        <v>0</v>
      </c>
      <c r="AG766" s="165"/>
      <c r="AH766" s="165">
        <f t="shared" si="250"/>
        <v>0</v>
      </c>
      <c r="AI766" s="166">
        <v>0</v>
      </c>
      <c r="AJ766" s="166">
        <f t="shared" si="251"/>
        <v>0</v>
      </c>
      <c r="AK766" s="162"/>
      <c r="AL766" s="162">
        <f t="shared" si="246"/>
        <v>0</v>
      </c>
      <c r="AM766" s="173">
        <v>450</v>
      </c>
      <c r="AN766" s="167">
        <f t="shared" si="241"/>
        <v>2925000</v>
      </c>
      <c r="AO766" s="163"/>
      <c r="AP766" s="163">
        <f t="shared" si="242"/>
        <v>0</v>
      </c>
      <c r="AQ766" s="168"/>
      <c r="AR766" s="168">
        <f t="shared" si="243"/>
        <v>0</v>
      </c>
      <c r="AS766" s="170"/>
      <c r="AT766" s="170">
        <f t="shared" si="244"/>
        <v>0</v>
      </c>
      <c r="AU766" s="166">
        <v>3000</v>
      </c>
      <c r="AV766" s="166">
        <f t="shared" si="245"/>
        <v>19500000</v>
      </c>
    </row>
    <row r="767" spans="1:48" s="239" customFormat="1" ht="31.5">
      <c r="A767" s="172" t="s">
        <v>6331</v>
      </c>
      <c r="B767" s="149" t="s">
        <v>5099</v>
      </c>
      <c r="C767" s="150" t="s">
        <v>5100</v>
      </c>
      <c r="D767" s="240" t="s">
        <v>4003</v>
      </c>
      <c r="E767" s="590" t="s">
        <v>12643</v>
      </c>
      <c r="F767" s="203" t="s">
        <v>1780</v>
      </c>
      <c r="G767" s="204" t="s">
        <v>6332</v>
      </c>
      <c r="H767" s="204">
        <v>1</v>
      </c>
      <c r="I767" s="203" t="s">
        <v>6333</v>
      </c>
      <c r="J767" s="205" t="s">
        <v>6334</v>
      </c>
      <c r="K767" s="203" t="s">
        <v>5104</v>
      </c>
      <c r="L767" s="205" t="s">
        <v>6335</v>
      </c>
      <c r="M767" s="205" t="s">
        <v>5696</v>
      </c>
      <c r="N767" s="204" t="s">
        <v>5105</v>
      </c>
      <c r="O767" s="204" t="s">
        <v>5639</v>
      </c>
      <c r="P767" s="206">
        <v>53300</v>
      </c>
      <c r="Q767" s="206">
        <v>53300</v>
      </c>
      <c r="R767" s="207">
        <v>5000</v>
      </c>
      <c r="S767" s="207">
        <f t="shared" si="236"/>
        <v>266500000</v>
      </c>
      <c r="T767" s="589"/>
      <c r="U767" s="157">
        <v>5000</v>
      </c>
      <c r="V767" s="158">
        <f t="shared" si="252"/>
        <v>5000</v>
      </c>
      <c r="W767" s="159">
        <f t="shared" si="237"/>
        <v>0</v>
      </c>
      <c r="X767" s="159">
        <f t="shared" si="238"/>
        <v>0</v>
      </c>
      <c r="Y767" s="160"/>
      <c r="Z767" s="160">
        <f t="shared" si="239"/>
        <v>0</v>
      </c>
      <c r="AA767" s="165"/>
      <c r="AB767" s="161">
        <f t="shared" si="240"/>
        <v>0</v>
      </c>
      <c r="AC767" s="162"/>
      <c r="AD767" s="162">
        <f t="shared" si="248"/>
        <v>0</v>
      </c>
      <c r="AE767" s="164"/>
      <c r="AF767" s="164">
        <f t="shared" si="249"/>
        <v>0</v>
      </c>
      <c r="AG767" s="165"/>
      <c r="AH767" s="165">
        <f t="shared" si="250"/>
        <v>0</v>
      </c>
      <c r="AI767" s="166">
        <v>0</v>
      </c>
      <c r="AJ767" s="166">
        <f t="shared" si="251"/>
        <v>0</v>
      </c>
      <c r="AK767" s="162"/>
      <c r="AL767" s="162">
        <f t="shared" si="246"/>
        <v>0</v>
      </c>
      <c r="AM767" s="173"/>
      <c r="AN767" s="167">
        <f t="shared" si="241"/>
        <v>0</v>
      </c>
      <c r="AO767" s="163"/>
      <c r="AP767" s="163">
        <f t="shared" si="242"/>
        <v>0</v>
      </c>
      <c r="AQ767" s="168"/>
      <c r="AR767" s="168">
        <f t="shared" si="243"/>
        <v>0</v>
      </c>
      <c r="AS767" s="170"/>
      <c r="AT767" s="170">
        <f t="shared" si="244"/>
        <v>0</v>
      </c>
      <c r="AU767" s="166"/>
      <c r="AV767" s="166">
        <f t="shared" si="245"/>
        <v>0</v>
      </c>
    </row>
    <row r="768" spans="1:48" s="239" customFormat="1" ht="31.5">
      <c r="A768" s="148" t="s">
        <v>6336</v>
      </c>
      <c r="B768" s="149" t="s">
        <v>5099</v>
      </c>
      <c r="C768" s="150" t="s">
        <v>5100</v>
      </c>
      <c r="D768" s="240" t="s">
        <v>3999</v>
      </c>
      <c r="E768" s="590" t="s">
        <v>12643</v>
      </c>
      <c r="F768" s="203" t="s">
        <v>1780</v>
      </c>
      <c r="G768" s="204" t="s">
        <v>267</v>
      </c>
      <c r="H768" s="204">
        <v>1</v>
      </c>
      <c r="I768" s="203" t="s">
        <v>4000</v>
      </c>
      <c r="J768" s="205" t="s">
        <v>6337</v>
      </c>
      <c r="K768" s="203" t="s">
        <v>5104</v>
      </c>
      <c r="L768" s="205" t="s">
        <v>1027</v>
      </c>
      <c r="M768" s="205" t="s">
        <v>1028</v>
      </c>
      <c r="N768" s="204" t="s">
        <v>5105</v>
      </c>
      <c r="O768" s="204" t="s">
        <v>11</v>
      </c>
      <c r="P768" s="206">
        <v>838</v>
      </c>
      <c r="Q768" s="206">
        <v>838</v>
      </c>
      <c r="R768" s="207">
        <v>50000</v>
      </c>
      <c r="S768" s="207">
        <f t="shared" si="236"/>
        <v>41900000</v>
      </c>
      <c r="T768" s="589"/>
      <c r="U768" s="157">
        <v>50000</v>
      </c>
      <c r="V768" s="158">
        <f t="shared" si="252"/>
        <v>49000</v>
      </c>
      <c r="W768" s="159">
        <f t="shared" si="237"/>
        <v>1000</v>
      </c>
      <c r="X768" s="159">
        <f t="shared" si="238"/>
        <v>838000</v>
      </c>
      <c r="Y768" s="160"/>
      <c r="Z768" s="160">
        <f t="shared" si="239"/>
        <v>0</v>
      </c>
      <c r="AA768" s="165">
        <v>1000</v>
      </c>
      <c r="AB768" s="161">
        <f t="shared" si="240"/>
        <v>838000</v>
      </c>
      <c r="AC768" s="162"/>
      <c r="AD768" s="162">
        <f t="shared" si="248"/>
        <v>0</v>
      </c>
      <c r="AE768" s="164"/>
      <c r="AF768" s="164">
        <f t="shared" si="249"/>
        <v>0</v>
      </c>
      <c r="AG768" s="165"/>
      <c r="AH768" s="165">
        <f t="shared" si="250"/>
        <v>0</v>
      </c>
      <c r="AI768" s="166">
        <v>0</v>
      </c>
      <c r="AJ768" s="166">
        <f t="shared" si="251"/>
        <v>0</v>
      </c>
      <c r="AK768" s="162"/>
      <c r="AL768" s="162">
        <f t="shared" si="246"/>
        <v>0</v>
      </c>
      <c r="AM768" s="173"/>
      <c r="AN768" s="167">
        <f t="shared" si="241"/>
        <v>0</v>
      </c>
      <c r="AO768" s="163"/>
      <c r="AP768" s="163">
        <f t="shared" si="242"/>
        <v>0</v>
      </c>
      <c r="AQ768" s="168"/>
      <c r="AR768" s="168">
        <f t="shared" si="243"/>
        <v>0</v>
      </c>
      <c r="AS768" s="170"/>
      <c r="AT768" s="170">
        <f t="shared" si="244"/>
        <v>0</v>
      </c>
      <c r="AU768" s="166"/>
      <c r="AV768" s="166">
        <f t="shared" si="245"/>
        <v>0</v>
      </c>
    </row>
    <row r="769" spans="1:48" s="239" customFormat="1" ht="31.5">
      <c r="A769" s="148" t="s">
        <v>6338</v>
      </c>
      <c r="B769" s="149" t="s">
        <v>5099</v>
      </c>
      <c r="C769" s="150" t="s">
        <v>5100</v>
      </c>
      <c r="D769" s="240" t="s">
        <v>6339</v>
      </c>
      <c r="E769" s="590"/>
      <c r="F769" s="203" t="s">
        <v>4589</v>
      </c>
      <c r="G769" s="204" t="s">
        <v>5664</v>
      </c>
      <c r="H769" s="204">
        <v>1</v>
      </c>
      <c r="I769" s="203" t="s">
        <v>5665</v>
      </c>
      <c r="J769" s="205" t="s">
        <v>5666</v>
      </c>
      <c r="K769" s="203" t="s">
        <v>253</v>
      </c>
      <c r="L769" s="205" t="s">
        <v>5667</v>
      </c>
      <c r="M769" s="205" t="s">
        <v>881</v>
      </c>
      <c r="N769" s="204" t="s">
        <v>5661</v>
      </c>
      <c r="O769" s="204" t="s">
        <v>2780</v>
      </c>
      <c r="P769" s="206">
        <v>486948</v>
      </c>
      <c r="Q769" s="206">
        <v>486948</v>
      </c>
      <c r="R769" s="207">
        <v>500</v>
      </c>
      <c r="S769" s="207">
        <f t="shared" si="236"/>
        <v>243474000</v>
      </c>
      <c r="T769" s="589"/>
      <c r="U769" s="157">
        <v>500</v>
      </c>
      <c r="V769" s="158">
        <f t="shared" si="252"/>
        <v>500</v>
      </c>
      <c r="W769" s="159">
        <f t="shared" si="237"/>
        <v>0</v>
      </c>
      <c r="X769" s="159">
        <f t="shared" si="238"/>
        <v>0</v>
      </c>
      <c r="Y769" s="160"/>
      <c r="Z769" s="160">
        <f t="shared" si="239"/>
        <v>0</v>
      </c>
      <c r="AA769" s="161"/>
      <c r="AB769" s="161">
        <f t="shared" si="240"/>
        <v>0</v>
      </c>
      <c r="AC769" s="162"/>
      <c r="AD769" s="162">
        <f t="shared" si="248"/>
        <v>0</v>
      </c>
      <c r="AE769" s="164"/>
      <c r="AF769" s="164">
        <f t="shared" si="249"/>
        <v>0</v>
      </c>
      <c r="AG769" s="165"/>
      <c r="AH769" s="165">
        <f t="shared" si="250"/>
        <v>0</v>
      </c>
      <c r="AI769" s="166">
        <v>0</v>
      </c>
      <c r="AJ769" s="166">
        <f t="shared" si="251"/>
        <v>0</v>
      </c>
      <c r="AK769" s="162"/>
      <c r="AL769" s="162">
        <f t="shared" si="246"/>
        <v>0</v>
      </c>
      <c r="AM769" s="167"/>
      <c r="AN769" s="167">
        <f t="shared" si="241"/>
        <v>0</v>
      </c>
      <c r="AO769" s="163"/>
      <c r="AP769" s="163">
        <f t="shared" si="242"/>
        <v>0</v>
      </c>
      <c r="AQ769" s="168"/>
      <c r="AR769" s="168">
        <f t="shared" si="243"/>
        <v>0</v>
      </c>
      <c r="AS769" s="170"/>
      <c r="AT769" s="170">
        <f t="shared" si="244"/>
        <v>0</v>
      </c>
      <c r="AU769" s="166"/>
      <c r="AV769" s="166">
        <f t="shared" si="245"/>
        <v>0</v>
      </c>
    </row>
    <row r="770" spans="1:48" s="239" customFormat="1" ht="63">
      <c r="A770" s="172" t="s">
        <v>6358</v>
      </c>
      <c r="B770" s="149" t="s">
        <v>5099</v>
      </c>
      <c r="C770" s="150" t="s">
        <v>5100</v>
      </c>
      <c r="D770" s="240" t="s">
        <v>6359</v>
      </c>
      <c r="E770" s="590"/>
      <c r="F770" s="203" t="s">
        <v>4403</v>
      </c>
      <c r="G770" s="204" t="s">
        <v>258</v>
      </c>
      <c r="H770" s="204">
        <v>1</v>
      </c>
      <c r="I770" s="203" t="s">
        <v>6360</v>
      </c>
      <c r="J770" s="205" t="s">
        <v>6361</v>
      </c>
      <c r="K770" s="203" t="s">
        <v>5104</v>
      </c>
      <c r="L770" s="205" t="s">
        <v>6362</v>
      </c>
      <c r="M770" s="205" t="s">
        <v>6363</v>
      </c>
      <c r="N770" s="204" t="s">
        <v>6364</v>
      </c>
      <c r="O770" s="204" t="s">
        <v>11</v>
      </c>
      <c r="P770" s="206">
        <v>7424</v>
      </c>
      <c r="Q770" s="206">
        <v>6500</v>
      </c>
      <c r="R770" s="207">
        <v>1000</v>
      </c>
      <c r="S770" s="207">
        <f t="shared" si="236"/>
        <v>6500000</v>
      </c>
      <c r="T770" s="589"/>
      <c r="U770" s="157">
        <v>1000</v>
      </c>
      <c r="V770" s="158">
        <f t="shared" si="252"/>
        <v>1000</v>
      </c>
      <c r="W770" s="159">
        <f t="shared" si="237"/>
        <v>0</v>
      </c>
      <c r="X770" s="159">
        <f t="shared" si="238"/>
        <v>0</v>
      </c>
      <c r="Y770" s="160"/>
      <c r="Z770" s="160">
        <f t="shared" si="239"/>
        <v>0</v>
      </c>
      <c r="AA770" s="165"/>
      <c r="AB770" s="161">
        <f t="shared" si="240"/>
        <v>0</v>
      </c>
      <c r="AC770" s="162"/>
      <c r="AD770" s="162">
        <f t="shared" si="248"/>
        <v>0</v>
      </c>
      <c r="AE770" s="164"/>
      <c r="AF770" s="164">
        <f t="shared" si="249"/>
        <v>0</v>
      </c>
      <c r="AG770" s="165"/>
      <c r="AH770" s="165">
        <f t="shared" si="250"/>
        <v>0</v>
      </c>
      <c r="AI770" s="166">
        <v>0</v>
      </c>
      <c r="AJ770" s="166">
        <f t="shared" si="251"/>
        <v>0</v>
      </c>
      <c r="AK770" s="162"/>
      <c r="AL770" s="162">
        <f t="shared" si="246"/>
        <v>0</v>
      </c>
      <c r="AM770" s="173"/>
      <c r="AN770" s="167">
        <f t="shared" si="241"/>
        <v>0</v>
      </c>
      <c r="AO770" s="163"/>
      <c r="AP770" s="163">
        <f t="shared" si="242"/>
        <v>0</v>
      </c>
      <c r="AQ770" s="168"/>
      <c r="AR770" s="168">
        <f t="shared" si="243"/>
        <v>0</v>
      </c>
      <c r="AS770" s="170"/>
      <c r="AT770" s="170">
        <f t="shared" si="244"/>
        <v>0</v>
      </c>
      <c r="AU770" s="166"/>
      <c r="AV770" s="166">
        <f t="shared" si="245"/>
        <v>0</v>
      </c>
    </row>
    <row r="771" spans="1:48" s="239" customFormat="1" ht="63">
      <c r="A771" s="148" t="s">
        <v>6365</v>
      </c>
      <c r="B771" s="149" t="s">
        <v>5099</v>
      </c>
      <c r="C771" s="150" t="s">
        <v>5100</v>
      </c>
      <c r="D771" s="240" t="s">
        <v>4402</v>
      </c>
      <c r="E771" s="590"/>
      <c r="F771" s="203" t="s">
        <v>4403</v>
      </c>
      <c r="G771" s="204" t="s">
        <v>299</v>
      </c>
      <c r="H771" s="204">
        <v>1</v>
      </c>
      <c r="I771" s="203" t="s">
        <v>6366</v>
      </c>
      <c r="J771" s="205" t="s">
        <v>6367</v>
      </c>
      <c r="K771" s="203" t="s">
        <v>5104</v>
      </c>
      <c r="L771" s="205" t="s">
        <v>6368</v>
      </c>
      <c r="M771" s="205" t="s">
        <v>6363</v>
      </c>
      <c r="N771" s="204" t="s">
        <v>6364</v>
      </c>
      <c r="O771" s="204" t="s">
        <v>11</v>
      </c>
      <c r="P771" s="206">
        <v>14850</v>
      </c>
      <c r="Q771" s="206">
        <v>13000</v>
      </c>
      <c r="R771" s="207">
        <v>2000</v>
      </c>
      <c r="S771" s="207">
        <f t="shared" si="236"/>
        <v>26000000</v>
      </c>
      <c r="T771" s="589"/>
      <c r="U771" s="157">
        <v>2000</v>
      </c>
      <c r="V771" s="158">
        <f t="shared" si="252"/>
        <v>2000</v>
      </c>
      <c r="W771" s="159">
        <f t="shared" si="237"/>
        <v>0</v>
      </c>
      <c r="X771" s="159">
        <f t="shared" si="238"/>
        <v>0</v>
      </c>
      <c r="Y771" s="160"/>
      <c r="Z771" s="160">
        <f t="shared" si="239"/>
        <v>0</v>
      </c>
      <c r="AA771" s="165"/>
      <c r="AB771" s="161">
        <f t="shared" si="240"/>
        <v>0</v>
      </c>
      <c r="AC771" s="162"/>
      <c r="AD771" s="162">
        <f t="shared" si="248"/>
        <v>0</v>
      </c>
      <c r="AE771" s="164"/>
      <c r="AF771" s="164">
        <f t="shared" si="249"/>
        <v>0</v>
      </c>
      <c r="AG771" s="165"/>
      <c r="AH771" s="165">
        <f t="shared" si="250"/>
        <v>0</v>
      </c>
      <c r="AI771" s="166">
        <v>0</v>
      </c>
      <c r="AJ771" s="166">
        <f t="shared" si="251"/>
        <v>0</v>
      </c>
      <c r="AK771" s="162"/>
      <c r="AL771" s="162">
        <f t="shared" si="246"/>
        <v>0</v>
      </c>
      <c r="AM771" s="173"/>
      <c r="AN771" s="167">
        <f t="shared" si="241"/>
        <v>0</v>
      </c>
      <c r="AO771" s="163"/>
      <c r="AP771" s="163">
        <f t="shared" si="242"/>
        <v>0</v>
      </c>
      <c r="AQ771" s="168"/>
      <c r="AR771" s="168">
        <f t="shared" si="243"/>
        <v>0</v>
      </c>
      <c r="AS771" s="170"/>
      <c r="AT771" s="170">
        <f t="shared" si="244"/>
        <v>0</v>
      </c>
      <c r="AU771" s="166"/>
      <c r="AV771" s="166">
        <f t="shared" si="245"/>
        <v>0</v>
      </c>
    </row>
    <row r="772" spans="1:48" s="239" customFormat="1" ht="31.5">
      <c r="A772" s="148" t="s">
        <v>6369</v>
      </c>
      <c r="B772" s="149" t="s">
        <v>5099</v>
      </c>
      <c r="C772" s="150" t="s">
        <v>5100</v>
      </c>
      <c r="D772" s="240" t="s">
        <v>3845</v>
      </c>
      <c r="E772" s="590" t="s">
        <v>12642</v>
      </c>
      <c r="F772" s="203" t="s">
        <v>583</v>
      </c>
      <c r="G772" s="204" t="s">
        <v>222</v>
      </c>
      <c r="H772" s="204">
        <v>1</v>
      </c>
      <c r="I772" s="203" t="s">
        <v>6370</v>
      </c>
      <c r="J772" s="205" t="s">
        <v>6143</v>
      </c>
      <c r="K772" s="203" t="s">
        <v>5104</v>
      </c>
      <c r="L772" s="205" t="s">
        <v>6371</v>
      </c>
      <c r="M772" s="205" t="s">
        <v>979</v>
      </c>
      <c r="N772" s="204" t="s">
        <v>6058</v>
      </c>
      <c r="O772" s="204" t="s">
        <v>11</v>
      </c>
      <c r="P772" s="206">
        <v>1677</v>
      </c>
      <c r="Q772" s="206">
        <v>1677</v>
      </c>
      <c r="R772" s="207">
        <v>40000</v>
      </c>
      <c r="S772" s="207">
        <f t="shared" si="236"/>
        <v>67080000</v>
      </c>
      <c r="T772" s="589"/>
      <c r="U772" s="157">
        <v>40000</v>
      </c>
      <c r="V772" s="158">
        <f t="shared" si="252"/>
        <v>40000</v>
      </c>
      <c r="W772" s="159">
        <f t="shared" si="237"/>
        <v>0</v>
      </c>
      <c r="X772" s="159">
        <f t="shared" si="238"/>
        <v>0</v>
      </c>
      <c r="Y772" s="160"/>
      <c r="Z772" s="160">
        <f t="shared" si="239"/>
        <v>0</v>
      </c>
      <c r="AA772" s="165"/>
      <c r="AB772" s="161">
        <f t="shared" si="240"/>
        <v>0</v>
      </c>
      <c r="AC772" s="162"/>
      <c r="AD772" s="162">
        <f t="shared" si="248"/>
        <v>0</v>
      </c>
      <c r="AE772" s="164"/>
      <c r="AF772" s="164">
        <f t="shared" si="249"/>
        <v>0</v>
      </c>
      <c r="AG772" s="165"/>
      <c r="AH772" s="165">
        <f t="shared" si="250"/>
        <v>0</v>
      </c>
      <c r="AI772" s="166">
        <v>0</v>
      </c>
      <c r="AJ772" s="166">
        <f t="shared" si="251"/>
        <v>0</v>
      </c>
      <c r="AK772" s="162"/>
      <c r="AL772" s="162">
        <f t="shared" si="246"/>
        <v>0</v>
      </c>
      <c r="AM772" s="173"/>
      <c r="AN772" s="167">
        <f t="shared" si="241"/>
        <v>0</v>
      </c>
      <c r="AO772" s="163"/>
      <c r="AP772" s="163">
        <f t="shared" si="242"/>
        <v>0</v>
      </c>
      <c r="AQ772" s="168"/>
      <c r="AR772" s="168">
        <f t="shared" si="243"/>
        <v>0</v>
      </c>
      <c r="AS772" s="170"/>
      <c r="AT772" s="170">
        <f t="shared" si="244"/>
        <v>0</v>
      </c>
      <c r="AU772" s="166"/>
      <c r="AV772" s="166">
        <f t="shared" si="245"/>
        <v>0</v>
      </c>
    </row>
    <row r="773" spans="1:48" s="239" customFormat="1" ht="31.5">
      <c r="A773" s="172" t="s">
        <v>6372</v>
      </c>
      <c r="B773" s="149" t="s">
        <v>5099</v>
      </c>
      <c r="C773" s="150" t="s">
        <v>5100</v>
      </c>
      <c r="D773" s="240" t="s">
        <v>3846</v>
      </c>
      <c r="E773" s="590" t="s">
        <v>12642</v>
      </c>
      <c r="F773" s="203" t="s">
        <v>583</v>
      </c>
      <c r="G773" s="204" t="s">
        <v>390</v>
      </c>
      <c r="H773" s="204">
        <v>1</v>
      </c>
      <c r="I773" s="203" t="s">
        <v>3847</v>
      </c>
      <c r="J773" s="205" t="s">
        <v>6143</v>
      </c>
      <c r="K773" s="203" t="s">
        <v>5104</v>
      </c>
      <c r="L773" s="205" t="s">
        <v>6373</v>
      </c>
      <c r="M773" s="205" t="s">
        <v>979</v>
      </c>
      <c r="N773" s="204" t="s">
        <v>6058</v>
      </c>
      <c r="O773" s="204" t="s">
        <v>11</v>
      </c>
      <c r="P773" s="206">
        <v>3029</v>
      </c>
      <c r="Q773" s="206">
        <v>2754</v>
      </c>
      <c r="R773" s="207">
        <v>30000</v>
      </c>
      <c r="S773" s="207">
        <f t="shared" ref="S773:S836" si="253">R773*Q773</f>
        <v>82620000</v>
      </c>
      <c r="T773" s="589"/>
      <c r="U773" s="157">
        <v>30000</v>
      </c>
      <c r="V773" s="158">
        <f t="shared" si="252"/>
        <v>18000</v>
      </c>
      <c r="W773" s="159">
        <f t="shared" ref="W773:W836" si="254">Y773+AA773+AC773+AE773+AG773+AI773+AK773+AM773+AO773+AQ773+AS773+AU773</f>
        <v>12000</v>
      </c>
      <c r="X773" s="159">
        <f t="shared" ref="X773:X836" si="255">W773*Q773</f>
        <v>33048000</v>
      </c>
      <c r="Y773" s="160"/>
      <c r="Z773" s="160">
        <f t="shared" ref="Z773:Z836" si="256">Y773*Q773</f>
        <v>0</v>
      </c>
      <c r="AA773" s="165"/>
      <c r="AB773" s="161">
        <f t="shared" ref="AB773:AB836" si="257">AA773*Q773</f>
        <v>0</v>
      </c>
      <c r="AC773" s="162"/>
      <c r="AD773" s="162">
        <f t="shared" si="248"/>
        <v>0</v>
      </c>
      <c r="AE773" s="164"/>
      <c r="AF773" s="164">
        <f t="shared" si="249"/>
        <v>0</v>
      </c>
      <c r="AG773" s="165"/>
      <c r="AH773" s="165">
        <f t="shared" si="250"/>
        <v>0</v>
      </c>
      <c r="AI773" s="166">
        <v>0</v>
      </c>
      <c r="AJ773" s="166">
        <f t="shared" si="251"/>
        <v>0</v>
      </c>
      <c r="AK773" s="162"/>
      <c r="AL773" s="162">
        <f t="shared" si="246"/>
        <v>0</v>
      </c>
      <c r="AM773" s="173">
        <v>12000</v>
      </c>
      <c r="AN773" s="167">
        <f t="shared" ref="AN773:AN836" si="258">AM773*Q773</f>
        <v>33048000</v>
      </c>
      <c r="AO773" s="163"/>
      <c r="AP773" s="163">
        <f t="shared" ref="AP773:AP836" si="259">AO773*Q773</f>
        <v>0</v>
      </c>
      <c r="AQ773" s="168"/>
      <c r="AR773" s="168">
        <f t="shared" ref="AR773:AR836" si="260">AQ773*Q773</f>
        <v>0</v>
      </c>
      <c r="AS773" s="170"/>
      <c r="AT773" s="170">
        <f t="shared" ref="AT773:AT836" si="261">AS773*Q773</f>
        <v>0</v>
      </c>
      <c r="AU773" s="166"/>
      <c r="AV773" s="166">
        <f t="shared" ref="AV773:AV836" si="262">AU773*Q773</f>
        <v>0</v>
      </c>
    </row>
    <row r="774" spans="1:48" s="239" customFormat="1" ht="31.5">
      <c r="A774" s="172" t="s">
        <v>6421</v>
      </c>
      <c r="B774" s="149" t="s">
        <v>5099</v>
      </c>
      <c r="C774" s="150" t="s">
        <v>5100</v>
      </c>
      <c r="D774" s="240" t="s">
        <v>6422</v>
      </c>
      <c r="E774" s="590" t="s">
        <v>12642</v>
      </c>
      <c r="F774" s="203" t="s">
        <v>1618</v>
      </c>
      <c r="G774" s="204" t="s">
        <v>994</v>
      </c>
      <c r="H774" s="204">
        <v>1</v>
      </c>
      <c r="I774" s="203" t="s">
        <v>6423</v>
      </c>
      <c r="J774" s="205" t="s">
        <v>6009</v>
      </c>
      <c r="K774" s="203" t="s">
        <v>5104</v>
      </c>
      <c r="L774" s="205" t="s">
        <v>995</v>
      </c>
      <c r="M774" s="205" t="s">
        <v>979</v>
      </c>
      <c r="N774" s="204" t="s">
        <v>6058</v>
      </c>
      <c r="O774" s="204" t="s">
        <v>11</v>
      </c>
      <c r="P774" s="206">
        <v>1550</v>
      </c>
      <c r="Q774" s="206">
        <v>599</v>
      </c>
      <c r="R774" s="207">
        <v>100000</v>
      </c>
      <c r="S774" s="207">
        <f t="shared" si="253"/>
        <v>59900000</v>
      </c>
      <c r="T774" s="589"/>
      <c r="U774" s="157">
        <v>100000</v>
      </c>
      <c r="V774" s="158">
        <f t="shared" si="252"/>
        <v>100000</v>
      </c>
      <c r="W774" s="159">
        <f t="shared" si="254"/>
        <v>0</v>
      </c>
      <c r="X774" s="159">
        <f t="shared" si="255"/>
        <v>0</v>
      </c>
      <c r="Y774" s="160"/>
      <c r="Z774" s="160">
        <f t="shared" si="256"/>
        <v>0</v>
      </c>
      <c r="AA774" s="165"/>
      <c r="AB774" s="161">
        <f t="shared" si="257"/>
        <v>0</v>
      </c>
      <c r="AC774" s="162"/>
      <c r="AD774" s="162">
        <f t="shared" si="248"/>
        <v>0</v>
      </c>
      <c r="AE774" s="164"/>
      <c r="AF774" s="164">
        <f t="shared" si="249"/>
        <v>0</v>
      </c>
      <c r="AG774" s="165"/>
      <c r="AH774" s="165">
        <f t="shared" si="250"/>
        <v>0</v>
      </c>
      <c r="AI774" s="166">
        <v>0</v>
      </c>
      <c r="AJ774" s="166">
        <f t="shared" si="251"/>
        <v>0</v>
      </c>
      <c r="AK774" s="162"/>
      <c r="AL774" s="162">
        <f t="shared" si="246"/>
        <v>0</v>
      </c>
      <c r="AM774" s="173"/>
      <c r="AN774" s="167">
        <f t="shared" si="258"/>
        <v>0</v>
      </c>
      <c r="AO774" s="163"/>
      <c r="AP774" s="163">
        <f t="shared" si="259"/>
        <v>0</v>
      </c>
      <c r="AQ774" s="168"/>
      <c r="AR774" s="168">
        <f t="shared" si="260"/>
        <v>0</v>
      </c>
      <c r="AS774" s="170"/>
      <c r="AT774" s="170">
        <f t="shared" si="261"/>
        <v>0</v>
      </c>
      <c r="AU774" s="166"/>
      <c r="AV774" s="166">
        <f t="shared" si="262"/>
        <v>0</v>
      </c>
    </row>
    <row r="775" spans="1:48" s="239" customFormat="1" ht="31.5">
      <c r="A775" s="148" t="s">
        <v>6430</v>
      </c>
      <c r="B775" s="149" t="s">
        <v>5099</v>
      </c>
      <c r="C775" s="150" t="s">
        <v>5100</v>
      </c>
      <c r="D775" s="240" t="s">
        <v>6431</v>
      </c>
      <c r="E775" s="590"/>
      <c r="F775" s="203" t="s">
        <v>611</v>
      </c>
      <c r="G775" s="204" t="s">
        <v>291</v>
      </c>
      <c r="H775" s="204">
        <v>1</v>
      </c>
      <c r="I775" s="203" t="s">
        <v>6432</v>
      </c>
      <c r="J775" s="205" t="s">
        <v>6433</v>
      </c>
      <c r="K775" s="203" t="s">
        <v>5104</v>
      </c>
      <c r="L775" s="205" t="s">
        <v>6434</v>
      </c>
      <c r="M775" s="205" t="s">
        <v>6435</v>
      </c>
      <c r="N775" s="204" t="s">
        <v>5121</v>
      </c>
      <c r="O775" s="204" t="s">
        <v>11</v>
      </c>
      <c r="P775" s="206">
        <v>8226</v>
      </c>
      <c r="Q775" s="206">
        <v>8225</v>
      </c>
      <c r="R775" s="207">
        <v>20000</v>
      </c>
      <c r="S775" s="207">
        <f t="shared" si="253"/>
        <v>164500000</v>
      </c>
      <c r="T775" s="589"/>
      <c r="U775" s="157">
        <v>20000</v>
      </c>
      <c r="V775" s="158">
        <f t="shared" si="252"/>
        <v>20000</v>
      </c>
      <c r="W775" s="159">
        <f t="shared" si="254"/>
        <v>0</v>
      </c>
      <c r="X775" s="159">
        <f t="shared" si="255"/>
        <v>0</v>
      </c>
      <c r="Y775" s="160"/>
      <c r="Z775" s="160">
        <f t="shared" si="256"/>
        <v>0</v>
      </c>
      <c r="AA775" s="165"/>
      <c r="AB775" s="161">
        <f t="shared" si="257"/>
        <v>0</v>
      </c>
      <c r="AC775" s="162"/>
      <c r="AD775" s="162">
        <f t="shared" si="248"/>
        <v>0</v>
      </c>
      <c r="AE775" s="163"/>
      <c r="AF775" s="164">
        <f t="shared" si="249"/>
        <v>0</v>
      </c>
      <c r="AG775" s="161"/>
      <c r="AH775" s="165">
        <f t="shared" si="250"/>
        <v>0</v>
      </c>
      <c r="AI775" s="160">
        <v>0</v>
      </c>
      <c r="AJ775" s="166">
        <f t="shared" si="251"/>
        <v>0</v>
      </c>
      <c r="AK775" s="162"/>
      <c r="AL775" s="162">
        <f t="shared" ref="AL775:AL777" si="263">AK775*Q775</f>
        <v>0</v>
      </c>
      <c r="AM775" s="173"/>
      <c r="AN775" s="167">
        <f t="shared" si="258"/>
        <v>0</v>
      </c>
      <c r="AO775" s="163"/>
      <c r="AP775" s="163">
        <f t="shared" si="259"/>
        <v>0</v>
      </c>
      <c r="AQ775" s="162"/>
      <c r="AR775" s="168">
        <f t="shared" si="260"/>
        <v>0</v>
      </c>
      <c r="AS775" s="169"/>
      <c r="AT775" s="170">
        <f t="shared" si="261"/>
        <v>0</v>
      </c>
      <c r="AU775" s="160"/>
      <c r="AV775" s="166">
        <f t="shared" si="262"/>
        <v>0</v>
      </c>
    </row>
    <row r="776" spans="1:48" s="239" customFormat="1" ht="31.5">
      <c r="A776" s="172" t="s">
        <v>6436</v>
      </c>
      <c r="B776" s="149" t="s">
        <v>5099</v>
      </c>
      <c r="C776" s="150" t="s">
        <v>5100</v>
      </c>
      <c r="D776" s="240" t="s">
        <v>6437</v>
      </c>
      <c r="E776" s="590"/>
      <c r="F776" s="203" t="s">
        <v>6438</v>
      </c>
      <c r="G776" s="204" t="s">
        <v>6439</v>
      </c>
      <c r="H776" s="204">
        <v>1</v>
      </c>
      <c r="I776" s="203" t="s">
        <v>6440</v>
      </c>
      <c r="J776" s="205" t="s">
        <v>6441</v>
      </c>
      <c r="K776" s="203" t="s">
        <v>5804</v>
      </c>
      <c r="L776" s="205" t="s">
        <v>6442</v>
      </c>
      <c r="M776" s="205" t="s">
        <v>6443</v>
      </c>
      <c r="N776" s="204" t="s">
        <v>5105</v>
      </c>
      <c r="O776" s="204" t="s">
        <v>11</v>
      </c>
      <c r="P776" s="206">
        <v>9686</v>
      </c>
      <c r="Q776" s="206">
        <v>9274</v>
      </c>
      <c r="R776" s="207">
        <v>20000</v>
      </c>
      <c r="S776" s="207">
        <f t="shared" si="253"/>
        <v>185480000</v>
      </c>
      <c r="T776" s="589"/>
      <c r="U776" s="157">
        <v>20000</v>
      </c>
      <c r="V776" s="158">
        <f t="shared" si="252"/>
        <v>20000</v>
      </c>
      <c r="W776" s="159">
        <f t="shared" si="254"/>
        <v>0</v>
      </c>
      <c r="X776" s="159">
        <f t="shared" si="255"/>
        <v>0</v>
      </c>
      <c r="Y776" s="160"/>
      <c r="Z776" s="160">
        <f t="shared" si="256"/>
        <v>0</v>
      </c>
      <c r="AA776" s="165"/>
      <c r="AB776" s="161">
        <f t="shared" si="257"/>
        <v>0</v>
      </c>
      <c r="AC776" s="162"/>
      <c r="AD776" s="162">
        <f t="shared" si="248"/>
        <v>0</v>
      </c>
      <c r="AE776" s="163"/>
      <c r="AF776" s="164">
        <f t="shared" si="249"/>
        <v>0</v>
      </c>
      <c r="AG776" s="161"/>
      <c r="AH776" s="165">
        <f t="shared" si="250"/>
        <v>0</v>
      </c>
      <c r="AI776" s="160">
        <v>0</v>
      </c>
      <c r="AJ776" s="166">
        <f t="shared" si="251"/>
        <v>0</v>
      </c>
      <c r="AK776" s="162"/>
      <c r="AL776" s="162">
        <f t="shared" si="263"/>
        <v>0</v>
      </c>
      <c r="AM776" s="173"/>
      <c r="AN776" s="167">
        <f t="shared" si="258"/>
        <v>0</v>
      </c>
      <c r="AO776" s="163"/>
      <c r="AP776" s="163">
        <f t="shared" si="259"/>
        <v>0</v>
      </c>
      <c r="AQ776" s="162"/>
      <c r="AR776" s="168">
        <f t="shared" si="260"/>
        <v>0</v>
      </c>
      <c r="AS776" s="169"/>
      <c r="AT776" s="170">
        <f t="shared" si="261"/>
        <v>0</v>
      </c>
      <c r="AU776" s="160"/>
      <c r="AV776" s="166">
        <f t="shared" si="262"/>
        <v>0</v>
      </c>
    </row>
    <row r="777" spans="1:48" s="239" customFormat="1" ht="31.5">
      <c r="A777" s="172" t="s">
        <v>6679</v>
      </c>
      <c r="B777" s="149" t="s">
        <v>5099</v>
      </c>
      <c r="C777" s="150" t="s">
        <v>5100</v>
      </c>
      <c r="D777" s="240" t="s">
        <v>6680</v>
      </c>
      <c r="E777" s="590" t="s">
        <v>12642</v>
      </c>
      <c r="F777" s="203" t="s">
        <v>347</v>
      </c>
      <c r="G777" s="204" t="s">
        <v>238</v>
      </c>
      <c r="H777" s="204">
        <v>2</v>
      </c>
      <c r="I777" s="203" t="s">
        <v>3772</v>
      </c>
      <c r="J777" s="205" t="s">
        <v>6071</v>
      </c>
      <c r="K777" s="203" t="s">
        <v>5104</v>
      </c>
      <c r="L777" s="205" t="s">
        <v>6072</v>
      </c>
      <c r="M777" s="205" t="s">
        <v>954</v>
      </c>
      <c r="N777" s="204" t="s">
        <v>6012</v>
      </c>
      <c r="O777" s="204" t="s">
        <v>11</v>
      </c>
      <c r="P777" s="206">
        <v>3020</v>
      </c>
      <c r="Q777" s="206">
        <v>1009</v>
      </c>
      <c r="R777" s="207">
        <v>20000</v>
      </c>
      <c r="S777" s="207">
        <f t="shared" si="253"/>
        <v>20180000</v>
      </c>
      <c r="T777" s="589"/>
      <c r="U777" s="157">
        <v>20000</v>
      </c>
      <c r="V777" s="158">
        <f t="shared" si="252"/>
        <v>20000</v>
      </c>
      <c r="W777" s="159">
        <f t="shared" si="254"/>
        <v>0</v>
      </c>
      <c r="X777" s="159">
        <f t="shared" si="255"/>
        <v>0</v>
      </c>
      <c r="Y777" s="160"/>
      <c r="Z777" s="160">
        <f t="shared" si="256"/>
        <v>0</v>
      </c>
      <c r="AA777" s="161"/>
      <c r="AB777" s="161">
        <f t="shared" si="257"/>
        <v>0</v>
      </c>
      <c r="AC777" s="162"/>
      <c r="AD777" s="162">
        <f t="shared" si="248"/>
        <v>0</v>
      </c>
      <c r="AE777" s="164"/>
      <c r="AF777" s="164">
        <f t="shared" si="249"/>
        <v>0</v>
      </c>
      <c r="AG777" s="165"/>
      <c r="AH777" s="165">
        <f t="shared" si="250"/>
        <v>0</v>
      </c>
      <c r="AI777" s="166">
        <v>0</v>
      </c>
      <c r="AJ777" s="166">
        <f t="shared" si="251"/>
        <v>0</v>
      </c>
      <c r="AK777" s="162"/>
      <c r="AL777" s="162">
        <f t="shared" si="263"/>
        <v>0</v>
      </c>
      <c r="AM777" s="167"/>
      <c r="AN777" s="167">
        <f t="shared" si="258"/>
        <v>0</v>
      </c>
      <c r="AO777" s="163"/>
      <c r="AP777" s="163">
        <f t="shared" si="259"/>
        <v>0</v>
      </c>
      <c r="AQ777" s="168"/>
      <c r="AR777" s="168">
        <f t="shared" si="260"/>
        <v>0</v>
      </c>
      <c r="AS777" s="170"/>
      <c r="AT777" s="170">
        <f t="shared" si="261"/>
        <v>0</v>
      </c>
      <c r="AU777" s="166"/>
      <c r="AV777" s="166">
        <f t="shared" si="262"/>
        <v>0</v>
      </c>
    </row>
    <row r="778" spans="1:48" s="239" customFormat="1" ht="31.5">
      <c r="A778" s="255">
        <v>1</v>
      </c>
      <c r="B778" s="256" t="s">
        <v>8901</v>
      </c>
      <c r="C778" s="257" t="s">
        <v>5100</v>
      </c>
      <c r="D778" s="605" t="s">
        <v>8902</v>
      </c>
      <c r="E778" s="257"/>
      <c r="F778" s="184" t="s">
        <v>8903</v>
      </c>
      <c r="G778" s="151" t="s">
        <v>8904</v>
      </c>
      <c r="H778" s="257" t="s">
        <v>5073</v>
      </c>
      <c r="I778" s="256" t="s">
        <v>8905</v>
      </c>
      <c r="J778" s="151" t="s">
        <v>8906</v>
      </c>
      <c r="K778" s="152" t="s">
        <v>5104</v>
      </c>
      <c r="L778" s="257" t="str">
        <f>VLOOKUP(D778,'[2]File Vaccin'!$B$9:$X$28,7,0)</f>
        <v>QLVX-883-15</v>
      </c>
      <c r="M778" s="153" t="s">
        <v>8907</v>
      </c>
      <c r="N778" s="151" t="s">
        <v>8908</v>
      </c>
      <c r="O778" s="151" t="s">
        <v>14</v>
      </c>
      <c r="P778" s="257"/>
      <c r="Q778" s="258">
        <v>1182109</v>
      </c>
      <c r="R778" s="94">
        <v>50</v>
      </c>
      <c r="S778" s="259">
        <f t="shared" si="253"/>
        <v>59105450</v>
      </c>
      <c r="T778" s="589"/>
      <c r="U778" s="257"/>
      <c r="V778" s="247">
        <f>R778-W778</f>
        <v>50</v>
      </c>
      <c r="W778" s="159">
        <f t="shared" si="254"/>
        <v>0</v>
      </c>
      <c r="X778" s="159">
        <f t="shared" si="255"/>
        <v>0</v>
      </c>
      <c r="Y778" s="257"/>
      <c r="Z778" s="160">
        <f t="shared" si="256"/>
        <v>0</v>
      </c>
      <c r="AA778" s="257"/>
      <c r="AB778" s="161">
        <f t="shared" si="257"/>
        <v>0</v>
      </c>
      <c r="AC778" s="257"/>
      <c r="AD778" s="257"/>
      <c r="AE778" s="257"/>
      <c r="AF778" s="257"/>
      <c r="AG778" s="257"/>
      <c r="AH778" s="257"/>
      <c r="AI778" s="257"/>
      <c r="AJ778" s="257"/>
      <c r="AK778" s="257"/>
      <c r="AL778" s="257"/>
      <c r="AM778" s="257"/>
      <c r="AN778" s="167">
        <f t="shared" si="258"/>
        <v>0</v>
      </c>
      <c r="AO778" s="257"/>
      <c r="AP778" s="163">
        <f t="shared" si="259"/>
        <v>0</v>
      </c>
      <c r="AQ778" s="257"/>
      <c r="AR778" s="168">
        <f t="shared" si="260"/>
        <v>0</v>
      </c>
      <c r="AS778" s="257"/>
      <c r="AT778" s="170">
        <f t="shared" si="261"/>
        <v>0</v>
      </c>
      <c r="AU778" s="257"/>
      <c r="AV778" s="166">
        <f t="shared" si="262"/>
        <v>0</v>
      </c>
    </row>
    <row r="779" spans="1:48" s="239" customFormat="1">
      <c r="A779" s="148" t="s">
        <v>5529</v>
      </c>
      <c r="B779" s="149" t="s">
        <v>5530</v>
      </c>
      <c r="C779" s="149" t="s">
        <v>5531</v>
      </c>
      <c r="D779" s="634" t="s">
        <v>5532</v>
      </c>
      <c r="E779" s="631"/>
      <c r="F779" s="175" t="s">
        <v>286</v>
      </c>
      <c r="G779" s="151" t="s">
        <v>272</v>
      </c>
      <c r="H779" s="174" t="s">
        <v>5525</v>
      </c>
      <c r="I779" s="150" t="s">
        <v>5533</v>
      </c>
      <c r="J779" s="153" t="s">
        <v>5534</v>
      </c>
      <c r="K779" s="151" t="s">
        <v>5535</v>
      </c>
      <c r="L779" s="151" t="s">
        <v>5536</v>
      </c>
      <c r="M779" s="151" t="s">
        <v>352</v>
      </c>
      <c r="N779" s="152" t="s">
        <v>213</v>
      </c>
      <c r="O779" s="152" t="s">
        <v>10</v>
      </c>
      <c r="P779" s="176">
        <v>4410</v>
      </c>
      <c r="Q779" s="177">
        <v>1575</v>
      </c>
      <c r="R779" s="176">
        <v>74000</v>
      </c>
      <c r="S779" s="156">
        <f t="shared" si="253"/>
        <v>116550000</v>
      </c>
      <c r="T779" s="589"/>
      <c r="U779" s="157">
        <v>74000</v>
      </c>
      <c r="V779" s="158">
        <f t="shared" ref="V779:V796" si="264">U779-W779</f>
        <v>74000</v>
      </c>
      <c r="W779" s="159">
        <f t="shared" si="254"/>
        <v>0</v>
      </c>
      <c r="X779" s="159">
        <f t="shared" si="255"/>
        <v>0</v>
      </c>
      <c r="Y779" s="160"/>
      <c r="Z779" s="160">
        <f t="shared" si="256"/>
        <v>0</v>
      </c>
      <c r="AA779" s="165"/>
      <c r="AB779" s="161">
        <f t="shared" si="257"/>
        <v>0</v>
      </c>
      <c r="AC779" s="162"/>
      <c r="AD779" s="162">
        <f t="shared" ref="AD779:AD796" si="265">AC779*Q779</f>
        <v>0</v>
      </c>
      <c r="AE779" s="164"/>
      <c r="AF779" s="164">
        <f t="shared" ref="AF779:AF796" si="266">AE779*Q779</f>
        <v>0</v>
      </c>
      <c r="AG779" s="165"/>
      <c r="AH779" s="165">
        <f t="shared" ref="AH779:AH796" si="267">AG779*Q779</f>
        <v>0</v>
      </c>
      <c r="AI779" s="166">
        <v>0</v>
      </c>
      <c r="AJ779" s="166">
        <f t="shared" ref="AJ779:AJ796" si="268">AI779*Q779</f>
        <v>0</v>
      </c>
      <c r="AK779" s="162"/>
      <c r="AL779" s="162">
        <f t="shared" ref="AL779:AL842" si="269">AK779*Q779</f>
        <v>0</v>
      </c>
      <c r="AM779" s="173"/>
      <c r="AN779" s="167">
        <f t="shared" si="258"/>
        <v>0</v>
      </c>
      <c r="AO779" s="163"/>
      <c r="AP779" s="163">
        <f t="shared" si="259"/>
        <v>0</v>
      </c>
      <c r="AQ779" s="168"/>
      <c r="AR779" s="168">
        <f t="shared" si="260"/>
        <v>0</v>
      </c>
      <c r="AS779" s="170"/>
      <c r="AT779" s="170">
        <f t="shared" si="261"/>
        <v>0</v>
      </c>
      <c r="AU779" s="166"/>
      <c r="AV779" s="166">
        <f t="shared" si="262"/>
        <v>0</v>
      </c>
    </row>
    <row r="780" spans="1:48" s="239" customFormat="1" ht="31.5">
      <c r="A780" s="148" t="s">
        <v>6533</v>
      </c>
      <c r="B780" s="149" t="s">
        <v>5530</v>
      </c>
      <c r="C780" s="149" t="s">
        <v>5531</v>
      </c>
      <c r="D780" s="240" t="s">
        <v>6534</v>
      </c>
      <c r="E780" s="590" t="s">
        <v>12643</v>
      </c>
      <c r="F780" s="203" t="s">
        <v>843</v>
      </c>
      <c r="G780" s="204" t="s">
        <v>1232</v>
      </c>
      <c r="H780" s="204">
        <v>2</v>
      </c>
      <c r="I780" s="203" t="s">
        <v>1231</v>
      </c>
      <c r="J780" s="205" t="s">
        <v>6535</v>
      </c>
      <c r="K780" s="203" t="s">
        <v>253</v>
      </c>
      <c r="L780" s="205" t="s">
        <v>1234</v>
      </c>
      <c r="M780" s="205" t="s">
        <v>6536</v>
      </c>
      <c r="N780" s="204" t="s">
        <v>213</v>
      </c>
      <c r="O780" s="204" t="s">
        <v>11</v>
      </c>
      <c r="P780" s="206">
        <v>1575</v>
      </c>
      <c r="Q780" s="206">
        <v>1150</v>
      </c>
      <c r="R780" s="207">
        <v>100000</v>
      </c>
      <c r="S780" s="207">
        <f t="shared" si="253"/>
        <v>115000000</v>
      </c>
      <c r="T780" s="589"/>
      <c r="U780" s="157">
        <v>100000</v>
      </c>
      <c r="V780" s="158">
        <f t="shared" si="264"/>
        <v>99300</v>
      </c>
      <c r="W780" s="159">
        <f t="shared" si="254"/>
        <v>700</v>
      </c>
      <c r="X780" s="159">
        <f t="shared" si="255"/>
        <v>805000</v>
      </c>
      <c r="Y780" s="160"/>
      <c r="Z780" s="160">
        <f t="shared" si="256"/>
        <v>0</v>
      </c>
      <c r="AA780" s="165"/>
      <c r="AB780" s="161">
        <f t="shared" si="257"/>
        <v>0</v>
      </c>
      <c r="AC780" s="162"/>
      <c r="AD780" s="162">
        <f t="shared" si="265"/>
        <v>0</v>
      </c>
      <c r="AE780" s="164"/>
      <c r="AF780" s="164">
        <f t="shared" si="266"/>
        <v>0</v>
      </c>
      <c r="AG780" s="165"/>
      <c r="AH780" s="165">
        <f t="shared" si="267"/>
        <v>0</v>
      </c>
      <c r="AI780" s="166">
        <v>0</v>
      </c>
      <c r="AJ780" s="166">
        <f t="shared" si="268"/>
        <v>0</v>
      </c>
      <c r="AK780" s="162"/>
      <c r="AL780" s="162">
        <f t="shared" si="269"/>
        <v>0</v>
      </c>
      <c r="AM780" s="173"/>
      <c r="AN780" s="167">
        <f t="shared" si="258"/>
        <v>0</v>
      </c>
      <c r="AO780" s="163"/>
      <c r="AP780" s="163">
        <f t="shared" si="259"/>
        <v>0</v>
      </c>
      <c r="AQ780" s="168"/>
      <c r="AR780" s="168">
        <f t="shared" si="260"/>
        <v>0</v>
      </c>
      <c r="AS780" s="170"/>
      <c r="AT780" s="170">
        <f t="shared" si="261"/>
        <v>0</v>
      </c>
      <c r="AU780" s="166">
        <v>700</v>
      </c>
      <c r="AV780" s="166">
        <f t="shared" si="262"/>
        <v>805000</v>
      </c>
    </row>
    <row r="781" spans="1:48" s="239" customFormat="1" ht="31.5">
      <c r="A781" s="148" t="s">
        <v>6890</v>
      </c>
      <c r="B781" s="149" t="s">
        <v>5530</v>
      </c>
      <c r="C781" s="149" t="s">
        <v>5531</v>
      </c>
      <c r="D781" s="240" t="s">
        <v>6891</v>
      </c>
      <c r="E781" s="590"/>
      <c r="F781" s="203" t="s">
        <v>2449</v>
      </c>
      <c r="G781" s="204" t="s">
        <v>238</v>
      </c>
      <c r="H781" s="204">
        <v>2</v>
      </c>
      <c r="I781" s="203" t="s">
        <v>6892</v>
      </c>
      <c r="J781" s="205" t="s">
        <v>6893</v>
      </c>
      <c r="K781" s="203" t="s">
        <v>6894</v>
      </c>
      <c r="L781" s="205" t="s">
        <v>6895</v>
      </c>
      <c r="M781" s="205" t="s">
        <v>6536</v>
      </c>
      <c r="N781" s="204" t="s">
        <v>213</v>
      </c>
      <c r="O781" s="204" t="s">
        <v>11</v>
      </c>
      <c r="P781" s="206">
        <v>4200</v>
      </c>
      <c r="Q781" s="206">
        <v>2940</v>
      </c>
      <c r="R781" s="207">
        <v>5000</v>
      </c>
      <c r="S781" s="207">
        <f t="shared" si="253"/>
        <v>14700000</v>
      </c>
      <c r="T781" s="589"/>
      <c r="U781" s="157">
        <v>5000</v>
      </c>
      <c r="V781" s="158">
        <f t="shared" si="264"/>
        <v>5000</v>
      </c>
      <c r="W781" s="159">
        <f t="shared" si="254"/>
        <v>0</v>
      </c>
      <c r="X781" s="159">
        <f t="shared" si="255"/>
        <v>0</v>
      </c>
      <c r="Y781" s="160"/>
      <c r="Z781" s="160">
        <f t="shared" si="256"/>
        <v>0</v>
      </c>
      <c r="AA781" s="165"/>
      <c r="AB781" s="161">
        <f t="shared" si="257"/>
        <v>0</v>
      </c>
      <c r="AC781" s="162"/>
      <c r="AD781" s="162">
        <f t="shared" si="265"/>
        <v>0</v>
      </c>
      <c r="AE781" s="163"/>
      <c r="AF781" s="164">
        <f t="shared" si="266"/>
        <v>0</v>
      </c>
      <c r="AG781" s="161"/>
      <c r="AH781" s="165">
        <f t="shared" si="267"/>
        <v>0</v>
      </c>
      <c r="AI781" s="160">
        <v>0</v>
      </c>
      <c r="AJ781" s="166">
        <f t="shared" si="268"/>
        <v>0</v>
      </c>
      <c r="AK781" s="162"/>
      <c r="AL781" s="162">
        <f t="shared" si="269"/>
        <v>0</v>
      </c>
      <c r="AM781" s="173"/>
      <c r="AN781" s="167">
        <f t="shared" si="258"/>
        <v>0</v>
      </c>
      <c r="AO781" s="163"/>
      <c r="AP781" s="163">
        <f t="shared" si="259"/>
        <v>0</v>
      </c>
      <c r="AQ781" s="162"/>
      <c r="AR781" s="168">
        <f t="shared" si="260"/>
        <v>0</v>
      </c>
      <c r="AS781" s="169"/>
      <c r="AT781" s="170">
        <f t="shared" si="261"/>
        <v>0</v>
      </c>
      <c r="AU781" s="160"/>
      <c r="AV781" s="166">
        <f t="shared" si="262"/>
        <v>0</v>
      </c>
    </row>
    <row r="782" spans="1:48" s="239" customFormat="1" ht="31.5">
      <c r="A782" s="148" t="s">
        <v>7232</v>
      </c>
      <c r="B782" s="149" t="s">
        <v>5530</v>
      </c>
      <c r="C782" s="149" t="s">
        <v>5531</v>
      </c>
      <c r="D782" s="240" t="s">
        <v>4511</v>
      </c>
      <c r="E782" s="590" t="s">
        <v>12642</v>
      </c>
      <c r="F782" s="203" t="s">
        <v>411</v>
      </c>
      <c r="G782" s="204" t="s">
        <v>272</v>
      </c>
      <c r="H782" s="204">
        <v>3</v>
      </c>
      <c r="I782" s="203" t="s">
        <v>1192</v>
      </c>
      <c r="J782" s="205" t="s">
        <v>7233</v>
      </c>
      <c r="K782" s="203" t="s">
        <v>5104</v>
      </c>
      <c r="L782" s="205" t="s">
        <v>1194</v>
      </c>
      <c r="M782" s="205" t="s">
        <v>6536</v>
      </c>
      <c r="N782" s="204" t="s">
        <v>213</v>
      </c>
      <c r="O782" s="204" t="s">
        <v>13</v>
      </c>
      <c r="P782" s="206">
        <v>1386</v>
      </c>
      <c r="Q782" s="206">
        <v>536</v>
      </c>
      <c r="R782" s="207">
        <v>40000</v>
      </c>
      <c r="S782" s="207">
        <f t="shared" si="253"/>
        <v>21440000</v>
      </c>
      <c r="T782" s="589"/>
      <c r="U782" s="157">
        <v>40000</v>
      </c>
      <c r="V782" s="158">
        <f t="shared" si="264"/>
        <v>36640</v>
      </c>
      <c r="W782" s="159">
        <f t="shared" si="254"/>
        <v>3360</v>
      </c>
      <c r="X782" s="159">
        <f t="shared" si="255"/>
        <v>1800960</v>
      </c>
      <c r="Y782" s="160"/>
      <c r="Z782" s="160">
        <f t="shared" si="256"/>
        <v>0</v>
      </c>
      <c r="AA782" s="165"/>
      <c r="AB782" s="161">
        <f t="shared" si="257"/>
        <v>0</v>
      </c>
      <c r="AC782" s="162"/>
      <c r="AD782" s="162">
        <f t="shared" si="265"/>
        <v>0</v>
      </c>
      <c r="AE782" s="164"/>
      <c r="AF782" s="164">
        <f t="shared" si="266"/>
        <v>0</v>
      </c>
      <c r="AG782" s="165"/>
      <c r="AH782" s="165">
        <f t="shared" si="267"/>
        <v>0</v>
      </c>
      <c r="AI782" s="166">
        <v>0</v>
      </c>
      <c r="AJ782" s="166">
        <f t="shared" si="268"/>
        <v>0</v>
      </c>
      <c r="AK782" s="162"/>
      <c r="AL782" s="162">
        <f t="shared" si="269"/>
        <v>0</v>
      </c>
      <c r="AM782" s="173"/>
      <c r="AN782" s="167">
        <f t="shared" si="258"/>
        <v>0</v>
      </c>
      <c r="AO782" s="163"/>
      <c r="AP782" s="163">
        <f t="shared" si="259"/>
        <v>0</v>
      </c>
      <c r="AQ782" s="168"/>
      <c r="AR782" s="168">
        <f t="shared" si="260"/>
        <v>0</v>
      </c>
      <c r="AS782" s="170"/>
      <c r="AT782" s="170">
        <f t="shared" si="261"/>
        <v>0</v>
      </c>
      <c r="AU782" s="166">
        <v>3360</v>
      </c>
      <c r="AV782" s="166">
        <f t="shared" si="262"/>
        <v>1800960</v>
      </c>
    </row>
    <row r="783" spans="1:48" s="239" customFormat="1" ht="31.5">
      <c r="A783" s="148" t="s">
        <v>7261</v>
      </c>
      <c r="B783" s="149" t="s">
        <v>5530</v>
      </c>
      <c r="C783" s="149" t="s">
        <v>5531</v>
      </c>
      <c r="D783" s="240" t="s">
        <v>7262</v>
      </c>
      <c r="E783" s="590" t="s">
        <v>12642</v>
      </c>
      <c r="F783" s="203" t="s">
        <v>809</v>
      </c>
      <c r="G783" s="204" t="s">
        <v>272</v>
      </c>
      <c r="H783" s="204">
        <v>3</v>
      </c>
      <c r="I783" s="203" t="s">
        <v>1210</v>
      </c>
      <c r="J783" s="205" t="s">
        <v>7263</v>
      </c>
      <c r="K783" s="203" t="s">
        <v>253</v>
      </c>
      <c r="L783" s="205" t="s">
        <v>1211</v>
      </c>
      <c r="M783" s="205" t="s">
        <v>6536</v>
      </c>
      <c r="N783" s="204" t="s">
        <v>213</v>
      </c>
      <c r="O783" s="204" t="s">
        <v>13</v>
      </c>
      <c r="P783" s="206">
        <v>1680</v>
      </c>
      <c r="Q783" s="206">
        <v>689</v>
      </c>
      <c r="R783" s="207">
        <v>30000</v>
      </c>
      <c r="S783" s="207">
        <f t="shared" si="253"/>
        <v>20670000</v>
      </c>
      <c r="T783" s="589"/>
      <c r="U783" s="157">
        <v>30000</v>
      </c>
      <c r="V783" s="158">
        <f t="shared" si="264"/>
        <v>29040</v>
      </c>
      <c r="W783" s="159">
        <f t="shared" si="254"/>
        <v>960</v>
      </c>
      <c r="X783" s="159">
        <f t="shared" si="255"/>
        <v>661440</v>
      </c>
      <c r="Y783" s="160"/>
      <c r="Z783" s="160">
        <f t="shared" si="256"/>
        <v>0</v>
      </c>
      <c r="AA783" s="165"/>
      <c r="AB783" s="161">
        <f t="shared" si="257"/>
        <v>0</v>
      </c>
      <c r="AC783" s="162"/>
      <c r="AD783" s="162">
        <f t="shared" si="265"/>
        <v>0</v>
      </c>
      <c r="AE783" s="164"/>
      <c r="AF783" s="164">
        <f t="shared" si="266"/>
        <v>0</v>
      </c>
      <c r="AG783" s="165"/>
      <c r="AH783" s="165">
        <f t="shared" si="267"/>
        <v>0</v>
      </c>
      <c r="AI783" s="166">
        <v>0</v>
      </c>
      <c r="AJ783" s="166">
        <f t="shared" si="268"/>
        <v>0</v>
      </c>
      <c r="AK783" s="162"/>
      <c r="AL783" s="162">
        <f t="shared" si="269"/>
        <v>0</v>
      </c>
      <c r="AM783" s="173"/>
      <c r="AN783" s="167">
        <f t="shared" si="258"/>
        <v>0</v>
      </c>
      <c r="AO783" s="163"/>
      <c r="AP783" s="163">
        <f t="shared" si="259"/>
        <v>0</v>
      </c>
      <c r="AQ783" s="168"/>
      <c r="AR783" s="168">
        <f t="shared" si="260"/>
        <v>0</v>
      </c>
      <c r="AS783" s="170"/>
      <c r="AT783" s="170">
        <f t="shared" si="261"/>
        <v>0</v>
      </c>
      <c r="AU783" s="166">
        <v>960</v>
      </c>
      <c r="AV783" s="166">
        <f t="shared" si="262"/>
        <v>661440</v>
      </c>
    </row>
    <row r="784" spans="1:48" s="239" customFormat="1" ht="31.5">
      <c r="A784" s="172" t="s">
        <v>7266</v>
      </c>
      <c r="B784" s="149" t="s">
        <v>5530</v>
      </c>
      <c r="C784" s="149" t="s">
        <v>5531</v>
      </c>
      <c r="D784" s="240" t="s">
        <v>7267</v>
      </c>
      <c r="E784" s="590" t="s">
        <v>12642</v>
      </c>
      <c r="F784" s="203" t="s">
        <v>809</v>
      </c>
      <c r="G784" s="204" t="s">
        <v>225</v>
      </c>
      <c r="H784" s="204">
        <v>3</v>
      </c>
      <c r="I784" s="203" t="s">
        <v>7268</v>
      </c>
      <c r="J784" s="205" t="s">
        <v>7269</v>
      </c>
      <c r="K784" s="203" t="s">
        <v>253</v>
      </c>
      <c r="L784" s="205" t="s">
        <v>7270</v>
      </c>
      <c r="M784" s="205" t="s">
        <v>6536</v>
      </c>
      <c r="N784" s="204" t="s">
        <v>213</v>
      </c>
      <c r="O784" s="204" t="s">
        <v>11</v>
      </c>
      <c r="P784" s="206">
        <v>1890</v>
      </c>
      <c r="Q784" s="206">
        <v>670</v>
      </c>
      <c r="R784" s="207">
        <v>100000</v>
      </c>
      <c r="S784" s="207">
        <f t="shared" si="253"/>
        <v>67000000</v>
      </c>
      <c r="T784" s="589"/>
      <c r="U784" s="157">
        <v>100000</v>
      </c>
      <c r="V784" s="158">
        <f t="shared" si="264"/>
        <v>96000</v>
      </c>
      <c r="W784" s="159">
        <f t="shared" si="254"/>
        <v>4000</v>
      </c>
      <c r="X784" s="159">
        <f t="shared" si="255"/>
        <v>2680000</v>
      </c>
      <c r="Y784" s="160"/>
      <c r="Z784" s="160">
        <f t="shared" si="256"/>
        <v>0</v>
      </c>
      <c r="AA784" s="165"/>
      <c r="AB784" s="161">
        <f t="shared" si="257"/>
        <v>0</v>
      </c>
      <c r="AC784" s="162"/>
      <c r="AD784" s="162">
        <f t="shared" si="265"/>
        <v>0</v>
      </c>
      <c r="AE784" s="164"/>
      <c r="AF784" s="164">
        <f t="shared" si="266"/>
        <v>0</v>
      </c>
      <c r="AG784" s="165"/>
      <c r="AH784" s="165">
        <f t="shared" si="267"/>
        <v>0</v>
      </c>
      <c r="AI784" s="166">
        <v>0</v>
      </c>
      <c r="AJ784" s="166">
        <f t="shared" si="268"/>
        <v>0</v>
      </c>
      <c r="AK784" s="162"/>
      <c r="AL784" s="162">
        <f t="shared" si="269"/>
        <v>0</v>
      </c>
      <c r="AM784" s="173"/>
      <c r="AN784" s="167">
        <f t="shared" si="258"/>
        <v>0</v>
      </c>
      <c r="AO784" s="163"/>
      <c r="AP784" s="163">
        <f t="shared" si="259"/>
        <v>0</v>
      </c>
      <c r="AQ784" s="168"/>
      <c r="AR784" s="168">
        <f t="shared" si="260"/>
        <v>0</v>
      </c>
      <c r="AS784" s="170"/>
      <c r="AT784" s="170">
        <f t="shared" si="261"/>
        <v>0</v>
      </c>
      <c r="AU784" s="166">
        <v>4000</v>
      </c>
      <c r="AV784" s="166">
        <f t="shared" si="262"/>
        <v>2680000</v>
      </c>
    </row>
    <row r="785" spans="1:48" s="239" customFormat="1" ht="31.5">
      <c r="A785" s="172" t="s">
        <v>7374</v>
      </c>
      <c r="B785" s="149" t="s">
        <v>5530</v>
      </c>
      <c r="C785" s="149" t="s">
        <v>5531</v>
      </c>
      <c r="D785" s="240" t="s">
        <v>7375</v>
      </c>
      <c r="E785" s="590" t="s">
        <v>12643</v>
      </c>
      <c r="F785" s="203" t="s">
        <v>1029</v>
      </c>
      <c r="G785" s="204" t="s">
        <v>1229</v>
      </c>
      <c r="H785" s="204">
        <v>3</v>
      </c>
      <c r="I785" s="203" t="s">
        <v>1228</v>
      </c>
      <c r="J785" s="205" t="s">
        <v>7376</v>
      </c>
      <c r="K785" s="203" t="s">
        <v>5104</v>
      </c>
      <c r="L785" s="205" t="s">
        <v>7377</v>
      </c>
      <c r="M785" s="205" t="s">
        <v>6536</v>
      </c>
      <c r="N785" s="204" t="s">
        <v>213</v>
      </c>
      <c r="O785" s="204" t="s">
        <v>13</v>
      </c>
      <c r="P785" s="206">
        <v>2100</v>
      </c>
      <c r="Q785" s="206">
        <v>1155</v>
      </c>
      <c r="R785" s="207">
        <v>30000</v>
      </c>
      <c r="S785" s="207">
        <f t="shared" si="253"/>
        <v>34650000</v>
      </c>
      <c r="T785" s="589"/>
      <c r="U785" s="157">
        <v>30000</v>
      </c>
      <c r="V785" s="158">
        <f t="shared" si="264"/>
        <v>28776</v>
      </c>
      <c r="W785" s="159">
        <f t="shared" si="254"/>
        <v>1224</v>
      </c>
      <c r="X785" s="159">
        <f t="shared" si="255"/>
        <v>1413720</v>
      </c>
      <c r="Y785" s="160"/>
      <c r="Z785" s="160">
        <f t="shared" si="256"/>
        <v>0</v>
      </c>
      <c r="AA785" s="165"/>
      <c r="AB785" s="161">
        <f t="shared" si="257"/>
        <v>0</v>
      </c>
      <c r="AC785" s="162"/>
      <c r="AD785" s="162">
        <f t="shared" si="265"/>
        <v>0</v>
      </c>
      <c r="AE785" s="164"/>
      <c r="AF785" s="164">
        <f t="shared" si="266"/>
        <v>0</v>
      </c>
      <c r="AG785" s="165"/>
      <c r="AH785" s="165">
        <f t="shared" si="267"/>
        <v>0</v>
      </c>
      <c r="AI785" s="166">
        <v>0</v>
      </c>
      <c r="AJ785" s="166">
        <f t="shared" si="268"/>
        <v>0</v>
      </c>
      <c r="AK785" s="162"/>
      <c r="AL785" s="162">
        <f t="shared" si="269"/>
        <v>0</v>
      </c>
      <c r="AM785" s="173"/>
      <c r="AN785" s="167">
        <f t="shared" si="258"/>
        <v>0</v>
      </c>
      <c r="AO785" s="163"/>
      <c r="AP785" s="163">
        <f t="shared" si="259"/>
        <v>0</v>
      </c>
      <c r="AQ785" s="168"/>
      <c r="AR785" s="168">
        <f t="shared" si="260"/>
        <v>0</v>
      </c>
      <c r="AS785" s="170"/>
      <c r="AT785" s="170">
        <f t="shared" si="261"/>
        <v>0</v>
      </c>
      <c r="AU785" s="166">
        <v>1224</v>
      </c>
      <c r="AV785" s="166">
        <f t="shared" si="262"/>
        <v>1413720</v>
      </c>
    </row>
    <row r="786" spans="1:48" s="239" customFormat="1" ht="31.5">
      <c r="A786" s="172" t="s">
        <v>7420</v>
      </c>
      <c r="B786" s="149" t="s">
        <v>5530</v>
      </c>
      <c r="C786" s="149" t="s">
        <v>5531</v>
      </c>
      <c r="D786" s="240" t="s">
        <v>7421</v>
      </c>
      <c r="E786" s="590" t="s">
        <v>12642</v>
      </c>
      <c r="F786" s="203" t="s">
        <v>639</v>
      </c>
      <c r="G786" s="204" t="s">
        <v>641</v>
      </c>
      <c r="H786" s="204">
        <v>3</v>
      </c>
      <c r="I786" s="203" t="s">
        <v>7422</v>
      </c>
      <c r="J786" s="205" t="s">
        <v>6893</v>
      </c>
      <c r="K786" s="203" t="s">
        <v>5104</v>
      </c>
      <c r="L786" s="205" t="s">
        <v>7423</v>
      </c>
      <c r="M786" s="205" t="s">
        <v>6536</v>
      </c>
      <c r="N786" s="204" t="s">
        <v>213</v>
      </c>
      <c r="O786" s="204" t="s">
        <v>11</v>
      </c>
      <c r="P786" s="206">
        <v>4200</v>
      </c>
      <c r="Q786" s="206">
        <v>3600</v>
      </c>
      <c r="R786" s="207">
        <v>30000</v>
      </c>
      <c r="S786" s="207">
        <f t="shared" si="253"/>
        <v>108000000</v>
      </c>
      <c r="T786" s="589" t="s">
        <v>11</v>
      </c>
      <c r="U786" s="157">
        <v>30000</v>
      </c>
      <c r="V786" s="158">
        <f t="shared" si="264"/>
        <v>30000</v>
      </c>
      <c r="W786" s="159">
        <f t="shared" si="254"/>
        <v>0</v>
      </c>
      <c r="X786" s="159">
        <f t="shared" si="255"/>
        <v>0</v>
      </c>
      <c r="Y786" s="160"/>
      <c r="Z786" s="160">
        <f t="shared" si="256"/>
        <v>0</v>
      </c>
      <c r="AA786" s="161"/>
      <c r="AB786" s="161">
        <f t="shared" si="257"/>
        <v>0</v>
      </c>
      <c r="AC786" s="162"/>
      <c r="AD786" s="162">
        <f t="shared" si="265"/>
        <v>0</v>
      </c>
      <c r="AE786" s="164"/>
      <c r="AF786" s="164">
        <f t="shared" si="266"/>
        <v>0</v>
      </c>
      <c r="AG786" s="165"/>
      <c r="AH786" s="165">
        <f t="shared" si="267"/>
        <v>0</v>
      </c>
      <c r="AI786" s="166">
        <v>0</v>
      </c>
      <c r="AJ786" s="166">
        <f t="shared" si="268"/>
        <v>0</v>
      </c>
      <c r="AK786" s="162"/>
      <c r="AL786" s="162">
        <f t="shared" si="269"/>
        <v>0</v>
      </c>
      <c r="AM786" s="167"/>
      <c r="AN786" s="167">
        <f t="shared" si="258"/>
        <v>0</v>
      </c>
      <c r="AO786" s="163"/>
      <c r="AP786" s="163">
        <f t="shared" si="259"/>
        <v>0</v>
      </c>
      <c r="AQ786" s="168"/>
      <c r="AR786" s="168">
        <f t="shared" si="260"/>
        <v>0</v>
      </c>
      <c r="AS786" s="170"/>
      <c r="AT786" s="170">
        <f t="shared" si="261"/>
        <v>0</v>
      </c>
      <c r="AU786" s="166"/>
      <c r="AV786" s="166">
        <f t="shared" si="262"/>
        <v>0</v>
      </c>
    </row>
    <row r="787" spans="1:48" s="239" customFormat="1" ht="31.5">
      <c r="A787" s="148" t="s">
        <v>7662</v>
      </c>
      <c r="B787" s="149" t="s">
        <v>5530</v>
      </c>
      <c r="C787" s="149" t="s">
        <v>5531</v>
      </c>
      <c r="D787" s="240" t="s">
        <v>4096</v>
      </c>
      <c r="E787" s="590" t="s">
        <v>12642</v>
      </c>
      <c r="F787" s="203" t="s">
        <v>1562</v>
      </c>
      <c r="G787" s="204" t="s">
        <v>7663</v>
      </c>
      <c r="H787" s="204">
        <v>3</v>
      </c>
      <c r="I787" s="203" t="s">
        <v>3042</v>
      </c>
      <c r="J787" s="205" t="s">
        <v>7664</v>
      </c>
      <c r="K787" s="203" t="s">
        <v>5104</v>
      </c>
      <c r="L787" s="205" t="s">
        <v>7665</v>
      </c>
      <c r="M787" s="205" t="s">
        <v>6536</v>
      </c>
      <c r="N787" s="204" t="s">
        <v>213</v>
      </c>
      <c r="O787" s="204" t="s">
        <v>13</v>
      </c>
      <c r="P787" s="206">
        <v>1785</v>
      </c>
      <c r="Q787" s="206">
        <v>1050</v>
      </c>
      <c r="R787" s="207">
        <v>100000</v>
      </c>
      <c r="S787" s="207">
        <f t="shared" si="253"/>
        <v>105000000</v>
      </c>
      <c r="T787" s="589"/>
      <c r="U787" s="157">
        <v>100000</v>
      </c>
      <c r="V787" s="158">
        <f t="shared" si="264"/>
        <v>96040</v>
      </c>
      <c r="W787" s="159">
        <f t="shared" si="254"/>
        <v>3960</v>
      </c>
      <c r="X787" s="159">
        <f t="shared" si="255"/>
        <v>4158000</v>
      </c>
      <c r="Y787" s="160"/>
      <c r="Z787" s="160">
        <f t="shared" si="256"/>
        <v>0</v>
      </c>
      <c r="AA787" s="165"/>
      <c r="AB787" s="161">
        <f t="shared" si="257"/>
        <v>0</v>
      </c>
      <c r="AC787" s="162"/>
      <c r="AD787" s="162">
        <f t="shared" si="265"/>
        <v>0</v>
      </c>
      <c r="AE787" s="164"/>
      <c r="AF787" s="164">
        <f t="shared" si="266"/>
        <v>0</v>
      </c>
      <c r="AG787" s="165"/>
      <c r="AH787" s="165">
        <f t="shared" si="267"/>
        <v>0</v>
      </c>
      <c r="AI787" s="166">
        <v>0</v>
      </c>
      <c r="AJ787" s="166">
        <f t="shared" si="268"/>
        <v>0</v>
      </c>
      <c r="AK787" s="162"/>
      <c r="AL787" s="162">
        <f t="shared" si="269"/>
        <v>0</v>
      </c>
      <c r="AM787" s="173"/>
      <c r="AN787" s="167">
        <f t="shared" si="258"/>
        <v>0</v>
      </c>
      <c r="AO787" s="163"/>
      <c r="AP787" s="163">
        <f t="shared" si="259"/>
        <v>0</v>
      </c>
      <c r="AQ787" s="168"/>
      <c r="AR787" s="168">
        <f t="shared" si="260"/>
        <v>0</v>
      </c>
      <c r="AS787" s="170"/>
      <c r="AT787" s="170">
        <f t="shared" si="261"/>
        <v>0</v>
      </c>
      <c r="AU787" s="166">
        <v>3960</v>
      </c>
      <c r="AV787" s="166">
        <f t="shared" si="262"/>
        <v>4158000</v>
      </c>
    </row>
    <row r="788" spans="1:48" s="239" customFormat="1" ht="31.5">
      <c r="A788" s="148" t="s">
        <v>7988</v>
      </c>
      <c r="B788" s="149" t="s">
        <v>5530</v>
      </c>
      <c r="C788" s="149" t="s">
        <v>5531</v>
      </c>
      <c r="D788" s="240" t="s">
        <v>3823</v>
      </c>
      <c r="E788" s="590" t="s">
        <v>12642</v>
      </c>
      <c r="F788" s="203" t="s">
        <v>1195</v>
      </c>
      <c r="G788" s="204" t="s">
        <v>327</v>
      </c>
      <c r="H788" s="204">
        <v>3</v>
      </c>
      <c r="I788" s="203" t="s">
        <v>1196</v>
      </c>
      <c r="J788" s="205" t="s">
        <v>7989</v>
      </c>
      <c r="K788" s="203" t="s">
        <v>5535</v>
      </c>
      <c r="L788" s="205" t="s">
        <v>7990</v>
      </c>
      <c r="M788" s="205" t="s">
        <v>6536</v>
      </c>
      <c r="N788" s="204" t="s">
        <v>213</v>
      </c>
      <c r="O788" s="204" t="s">
        <v>11</v>
      </c>
      <c r="P788" s="206">
        <v>315</v>
      </c>
      <c r="Q788" s="206">
        <v>250</v>
      </c>
      <c r="R788" s="207">
        <v>10000</v>
      </c>
      <c r="S788" s="207">
        <f t="shared" si="253"/>
        <v>2500000</v>
      </c>
      <c r="T788" s="589"/>
      <c r="U788" s="157">
        <v>10000</v>
      </c>
      <c r="V788" s="158">
        <f t="shared" si="264"/>
        <v>9500</v>
      </c>
      <c r="W788" s="159">
        <f t="shared" si="254"/>
        <v>500</v>
      </c>
      <c r="X788" s="159">
        <f t="shared" si="255"/>
        <v>125000</v>
      </c>
      <c r="Y788" s="160"/>
      <c r="Z788" s="160">
        <f t="shared" si="256"/>
        <v>0</v>
      </c>
      <c r="AA788" s="165"/>
      <c r="AB788" s="161">
        <f t="shared" si="257"/>
        <v>0</v>
      </c>
      <c r="AC788" s="162"/>
      <c r="AD788" s="162">
        <f t="shared" si="265"/>
        <v>0</v>
      </c>
      <c r="AE788" s="164"/>
      <c r="AF788" s="164">
        <f t="shared" si="266"/>
        <v>0</v>
      </c>
      <c r="AG788" s="165"/>
      <c r="AH788" s="165">
        <f t="shared" si="267"/>
        <v>0</v>
      </c>
      <c r="AI788" s="166">
        <v>0</v>
      </c>
      <c r="AJ788" s="166">
        <f t="shared" si="268"/>
        <v>0</v>
      </c>
      <c r="AK788" s="162"/>
      <c r="AL788" s="162">
        <f t="shared" si="269"/>
        <v>0</v>
      </c>
      <c r="AM788" s="173"/>
      <c r="AN788" s="167">
        <f t="shared" si="258"/>
        <v>0</v>
      </c>
      <c r="AO788" s="163"/>
      <c r="AP788" s="163">
        <f t="shared" si="259"/>
        <v>0</v>
      </c>
      <c r="AQ788" s="168"/>
      <c r="AR788" s="168">
        <f t="shared" si="260"/>
        <v>0</v>
      </c>
      <c r="AS788" s="170"/>
      <c r="AT788" s="170">
        <f t="shared" si="261"/>
        <v>0</v>
      </c>
      <c r="AU788" s="166">
        <v>500</v>
      </c>
      <c r="AV788" s="166">
        <f t="shared" si="262"/>
        <v>125000</v>
      </c>
    </row>
    <row r="789" spans="1:48" s="239" customFormat="1" ht="31.5">
      <c r="A789" s="148" t="s">
        <v>8059</v>
      </c>
      <c r="B789" s="149" t="s">
        <v>5530</v>
      </c>
      <c r="C789" s="149" t="s">
        <v>5531</v>
      </c>
      <c r="D789" s="240" t="s">
        <v>8060</v>
      </c>
      <c r="E789" s="590" t="s">
        <v>12642</v>
      </c>
      <c r="F789" s="203" t="s">
        <v>1215</v>
      </c>
      <c r="G789" s="204" t="s">
        <v>1217</v>
      </c>
      <c r="H789" s="204">
        <v>3</v>
      </c>
      <c r="I789" s="203" t="s">
        <v>1216</v>
      </c>
      <c r="J789" s="205" t="s">
        <v>8061</v>
      </c>
      <c r="K789" s="203" t="s">
        <v>5104</v>
      </c>
      <c r="L789" s="205" t="s">
        <v>1219</v>
      </c>
      <c r="M789" s="205" t="s">
        <v>6536</v>
      </c>
      <c r="N789" s="204" t="s">
        <v>213</v>
      </c>
      <c r="O789" s="204" t="s">
        <v>11</v>
      </c>
      <c r="P789" s="206">
        <v>2310</v>
      </c>
      <c r="Q789" s="206">
        <v>720</v>
      </c>
      <c r="R789" s="207">
        <v>30000</v>
      </c>
      <c r="S789" s="207">
        <f t="shared" si="253"/>
        <v>21600000</v>
      </c>
      <c r="T789" s="589"/>
      <c r="U789" s="157">
        <v>30000</v>
      </c>
      <c r="V789" s="158">
        <f t="shared" si="264"/>
        <v>27000</v>
      </c>
      <c r="W789" s="159">
        <f t="shared" si="254"/>
        <v>3000</v>
      </c>
      <c r="X789" s="159">
        <f t="shared" si="255"/>
        <v>2160000</v>
      </c>
      <c r="Y789" s="160"/>
      <c r="Z789" s="160">
        <f t="shared" si="256"/>
        <v>0</v>
      </c>
      <c r="AA789" s="165"/>
      <c r="AB789" s="161">
        <f t="shared" si="257"/>
        <v>0</v>
      </c>
      <c r="AC789" s="162"/>
      <c r="AD789" s="162">
        <f t="shared" si="265"/>
        <v>0</v>
      </c>
      <c r="AE789" s="163"/>
      <c r="AF789" s="164">
        <f t="shared" si="266"/>
        <v>0</v>
      </c>
      <c r="AG789" s="161"/>
      <c r="AH789" s="165">
        <f t="shared" si="267"/>
        <v>0</v>
      </c>
      <c r="AI789" s="160">
        <v>0</v>
      </c>
      <c r="AJ789" s="166">
        <f t="shared" si="268"/>
        <v>0</v>
      </c>
      <c r="AK789" s="162"/>
      <c r="AL789" s="162">
        <f t="shared" si="269"/>
        <v>0</v>
      </c>
      <c r="AM789" s="173"/>
      <c r="AN789" s="167">
        <f t="shared" si="258"/>
        <v>0</v>
      </c>
      <c r="AO789" s="163"/>
      <c r="AP789" s="163">
        <f t="shared" si="259"/>
        <v>0</v>
      </c>
      <c r="AQ789" s="162"/>
      <c r="AR789" s="168">
        <f t="shared" si="260"/>
        <v>0</v>
      </c>
      <c r="AS789" s="169"/>
      <c r="AT789" s="170">
        <f t="shared" si="261"/>
        <v>0</v>
      </c>
      <c r="AU789" s="160">
        <v>3000</v>
      </c>
      <c r="AV789" s="166">
        <f t="shared" si="262"/>
        <v>2160000</v>
      </c>
    </row>
    <row r="790" spans="1:48" s="239" customFormat="1" ht="31.5">
      <c r="A790" s="148" t="s">
        <v>8267</v>
      </c>
      <c r="B790" s="149" t="s">
        <v>5530</v>
      </c>
      <c r="C790" s="149" t="s">
        <v>5531</v>
      </c>
      <c r="D790" s="240" t="s">
        <v>8268</v>
      </c>
      <c r="E790" s="590"/>
      <c r="F790" s="203" t="s">
        <v>337</v>
      </c>
      <c r="G790" s="204" t="s">
        <v>299</v>
      </c>
      <c r="H790" s="204">
        <v>4</v>
      </c>
      <c r="I790" s="203" t="s">
        <v>8269</v>
      </c>
      <c r="J790" s="205" t="s">
        <v>8270</v>
      </c>
      <c r="K790" s="203" t="s">
        <v>5535</v>
      </c>
      <c r="L790" s="205" t="s">
        <v>8271</v>
      </c>
      <c r="M790" s="205" t="s">
        <v>6536</v>
      </c>
      <c r="N790" s="204" t="s">
        <v>213</v>
      </c>
      <c r="O790" s="204" t="s">
        <v>13</v>
      </c>
      <c r="P790" s="206">
        <v>3780</v>
      </c>
      <c r="Q790" s="206">
        <v>1800</v>
      </c>
      <c r="R790" s="207">
        <v>20000</v>
      </c>
      <c r="S790" s="207">
        <f t="shared" si="253"/>
        <v>36000000</v>
      </c>
      <c r="T790" s="589"/>
      <c r="U790" s="157">
        <v>20000</v>
      </c>
      <c r="V790" s="158">
        <f t="shared" si="264"/>
        <v>20000</v>
      </c>
      <c r="W790" s="159">
        <f t="shared" si="254"/>
        <v>0</v>
      </c>
      <c r="X790" s="159">
        <f t="shared" si="255"/>
        <v>0</v>
      </c>
      <c r="Y790" s="160"/>
      <c r="Z790" s="160">
        <f t="shared" si="256"/>
        <v>0</v>
      </c>
      <c r="AA790" s="165"/>
      <c r="AB790" s="161">
        <f t="shared" si="257"/>
        <v>0</v>
      </c>
      <c r="AC790" s="162"/>
      <c r="AD790" s="162">
        <f t="shared" si="265"/>
        <v>0</v>
      </c>
      <c r="AE790" s="164"/>
      <c r="AF790" s="164">
        <f t="shared" si="266"/>
        <v>0</v>
      </c>
      <c r="AG790" s="165"/>
      <c r="AH790" s="165">
        <f t="shared" si="267"/>
        <v>0</v>
      </c>
      <c r="AI790" s="166">
        <v>0</v>
      </c>
      <c r="AJ790" s="166">
        <f t="shared" si="268"/>
        <v>0</v>
      </c>
      <c r="AK790" s="162"/>
      <c r="AL790" s="162">
        <f t="shared" si="269"/>
        <v>0</v>
      </c>
      <c r="AM790" s="173"/>
      <c r="AN790" s="167">
        <f t="shared" si="258"/>
        <v>0</v>
      </c>
      <c r="AO790" s="163"/>
      <c r="AP790" s="163">
        <f t="shared" si="259"/>
        <v>0</v>
      </c>
      <c r="AQ790" s="168"/>
      <c r="AR790" s="168">
        <f t="shared" si="260"/>
        <v>0</v>
      </c>
      <c r="AS790" s="170"/>
      <c r="AT790" s="170">
        <f t="shared" si="261"/>
        <v>0</v>
      </c>
      <c r="AU790" s="166"/>
      <c r="AV790" s="166">
        <f t="shared" si="262"/>
        <v>0</v>
      </c>
    </row>
    <row r="791" spans="1:48" s="239" customFormat="1">
      <c r="A791" s="148" t="s">
        <v>7726</v>
      </c>
      <c r="B791" s="150" t="s">
        <v>7727</v>
      </c>
      <c r="C791" s="149" t="s">
        <v>863</v>
      </c>
      <c r="D791" s="240" t="s">
        <v>3922</v>
      </c>
      <c r="E791" s="590" t="s">
        <v>12642</v>
      </c>
      <c r="F791" s="203" t="s">
        <v>568</v>
      </c>
      <c r="G791" s="204" t="s">
        <v>570</v>
      </c>
      <c r="H791" s="204">
        <v>3</v>
      </c>
      <c r="I791" s="203" t="s">
        <v>2600</v>
      </c>
      <c r="J791" s="205" t="s">
        <v>7728</v>
      </c>
      <c r="K791" s="203" t="s">
        <v>5104</v>
      </c>
      <c r="L791" s="205" t="s">
        <v>7729</v>
      </c>
      <c r="M791" s="205" t="s">
        <v>867</v>
      </c>
      <c r="N791" s="204" t="s">
        <v>213</v>
      </c>
      <c r="O791" s="204" t="s">
        <v>11</v>
      </c>
      <c r="P791" s="206">
        <v>400</v>
      </c>
      <c r="Q791" s="206">
        <v>252</v>
      </c>
      <c r="R791" s="207">
        <v>100000</v>
      </c>
      <c r="S791" s="207">
        <f t="shared" si="253"/>
        <v>25200000</v>
      </c>
      <c r="T791" s="589"/>
      <c r="U791" s="157">
        <v>100000</v>
      </c>
      <c r="V791" s="158">
        <f t="shared" si="264"/>
        <v>53700</v>
      </c>
      <c r="W791" s="159">
        <f t="shared" si="254"/>
        <v>46300</v>
      </c>
      <c r="X791" s="159">
        <f t="shared" si="255"/>
        <v>11667600</v>
      </c>
      <c r="Y791" s="160"/>
      <c r="Z791" s="160">
        <f t="shared" si="256"/>
        <v>0</v>
      </c>
      <c r="AA791" s="165">
        <v>12000</v>
      </c>
      <c r="AB791" s="161">
        <f t="shared" si="257"/>
        <v>3024000</v>
      </c>
      <c r="AC791" s="162"/>
      <c r="AD791" s="162">
        <f t="shared" si="265"/>
        <v>0</v>
      </c>
      <c r="AE791" s="164"/>
      <c r="AF791" s="164">
        <f t="shared" si="266"/>
        <v>0</v>
      </c>
      <c r="AG791" s="165">
        <v>14000</v>
      </c>
      <c r="AH791" s="165">
        <f t="shared" si="267"/>
        <v>3528000</v>
      </c>
      <c r="AI791" s="166">
        <v>0</v>
      </c>
      <c r="AJ791" s="166">
        <f t="shared" si="268"/>
        <v>0</v>
      </c>
      <c r="AK791" s="162"/>
      <c r="AL791" s="162">
        <f t="shared" si="269"/>
        <v>0</v>
      </c>
      <c r="AM791" s="173">
        <v>20300</v>
      </c>
      <c r="AN791" s="167">
        <f t="shared" si="258"/>
        <v>5115600</v>
      </c>
      <c r="AO791" s="163"/>
      <c r="AP791" s="163">
        <f t="shared" si="259"/>
        <v>0</v>
      </c>
      <c r="AQ791" s="168"/>
      <c r="AR791" s="168">
        <f t="shared" si="260"/>
        <v>0</v>
      </c>
      <c r="AS791" s="170"/>
      <c r="AT791" s="170">
        <f t="shared" si="261"/>
        <v>0</v>
      </c>
      <c r="AU791" s="166"/>
      <c r="AV791" s="166">
        <f t="shared" si="262"/>
        <v>0</v>
      </c>
    </row>
    <row r="792" spans="1:48" s="239" customFormat="1" ht="31.5">
      <c r="A792" s="148" t="s">
        <v>7843</v>
      </c>
      <c r="B792" s="150" t="s">
        <v>7727</v>
      </c>
      <c r="C792" s="149" t="s">
        <v>863</v>
      </c>
      <c r="D792" s="240" t="s">
        <v>7844</v>
      </c>
      <c r="E792" s="590" t="s">
        <v>12642</v>
      </c>
      <c r="F792" s="203" t="s">
        <v>870</v>
      </c>
      <c r="G792" s="204" t="s">
        <v>7845</v>
      </c>
      <c r="H792" s="204">
        <v>3</v>
      </c>
      <c r="I792" s="203" t="s">
        <v>7846</v>
      </c>
      <c r="J792" s="205" t="s">
        <v>7847</v>
      </c>
      <c r="K792" s="203" t="s">
        <v>253</v>
      </c>
      <c r="L792" s="205" t="s">
        <v>7848</v>
      </c>
      <c r="M792" s="205" t="s">
        <v>867</v>
      </c>
      <c r="N792" s="204" t="s">
        <v>213</v>
      </c>
      <c r="O792" s="204" t="s">
        <v>658</v>
      </c>
      <c r="P792" s="206">
        <v>8200</v>
      </c>
      <c r="Q792" s="206">
        <v>3150</v>
      </c>
      <c r="R792" s="207">
        <v>10000</v>
      </c>
      <c r="S792" s="207">
        <f t="shared" si="253"/>
        <v>31500000</v>
      </c>
      <c r="T792" s="589"/>
      <c r="U792" s="157">
        <v>10000</v>
      </c>
      <c r="V792" s="158">
        <f t="shared" si="264"/>
        <v>9800</v>
      </c>
      <c r="W792" s="159">
        <f t="shared" si="254"/>
        <v>200</v>
      </c>
      <c r="X792" s="159">
        <f t="shared" si="255"/>
        <v>630000</v>
      </c>
      <c r="Y792" s="160"/>
      <c r="Z792" s="160">
        <f t="shared" si="256"/>
        <v>0</v>
      </c>
      <c r="AA792" s="165"/>
      <c r="AB792" s="161">
        <f t="shared" si="257"/>
        <v>0</v>
      </c>
      <c r="AC792" s="162"/>
      <c r="AD792" s="162">
        <f t="shared" si="265"/>
        <v>0</v>
      </c>
      <c r="AE792" s="164"/>
      <c r="AF792" s="164">
        <f t="shared" si="266"/>
        <v>0</v>
      </c>
      <c r="AG792" s="165">
        <v>200</v>
      </c>
      <c r="AH792" s="165">
        <f t="shared" si="267"/>
        <v>630000</v>
      </c>
      <c r="AI792" s="166">
        <v>0</v>
      </c>
      <c r="AJ792" s="166">
        <f t="shared" si="268"/>
        <v>0</v>
      </c>
      <c r="AK792" s="162"/>
      <c r="AL792" s="162">
        <f t="shared" si="269"/>
        <v>0</v>
      </c>
      <c r="AM792" s="173"/>
      <c r="AN792" s="167">
        <f t="shared" si="258"/>
        <v>0</v>
      </c>
      <c r="AO792" s="163"/>
      <c r="AP792" s="163">
        <f t="shared" si="259"/>
        <v>0</v>
      </c>
      <c r="AQ792" s="168"/>
      <c r="AR792" s="168">
        <f t="shared" si="260"/>
        <v>0</v>
      </c>
      <c r="AS792" s="170"/>
      <c r="AT792" s="170">
        <f t="shared" si="261"/>
        <v>0</v>
      </c>
      <c r="AU792" s="166"/>
      <c r="AV792" s="166">
        <f t="shared" si="262"/>
        <v>0</v>
      </c>
    </row>
    <row r="793" spans="1:48" s="239" customFormat="1" ht="31.5">
      <c r="A793" s="148" t="s">
        <v>8002</v>
      </c>
      <c r="B793" s="150" t="s">
        <v>7727</v>
      </c>
      <c r="C793" s="149" t="s">
        <v>863</v>
      </c>
      <c r="D793" s="240" t="s">
        <v>4338</v>
      </c>
      <c r="E793" s="590" t="s">
        <v>12643</v>
      </c>
      <c r="F793" s="203" t="s">
        <v>1631</v>
      </c>
      <c r="G793" s="204" t="s">
        <v>1632</v>
      </c>
      <c r="H793" s="204">
        <v>3</v>
      </c>
      <c r="I793" s="203" t="s">
        <v>3667</v>
      </c>
      <c r="J793" s="205" t="s">
        <v>8003</v>
      </c>
      <c r="K793" s="203" t="s">
        <v>253</v>
      </c>
      <c r="L793" s="205" t="s">
        <v>8004</v>
      </c>
      <c r="M793" s="205" t="s">
        <v>867</v>
      </c>
      <c r="N793" s="204" t="s">
        <v>213</v>
      </c>
      <c r="O793" s="204" t="s">
        <v>12</v>
      </c>
      <c r="P793" s="206">
        <v>735</v>
      </c>
      <c r="Q793" s="206">
        <v>390</v>
      </c>
      <c r="R793" s="207">
        <v>120000</v>
      </c>
      <c r="S793" s="207">
        <f t="shared" si="253"/>
        <v>46800000</v>
      </c>
      <c r="T793" s="589"/>
      <c r="U793" s="157">
        <v>120000</v>
      </c>
      <c r="V793" s="158">
        <f t="shared" si="264"/>
        <v>116860</v>
      </c>
      <c r="W793" s="159">
        <f t="shared" si="254"/>
        <v>3140</v>
      </c>
      <c r="X793" s="159">
        <f t="shared" si="255"/>
        <v>1224600</v>
      </c>
      <c r="Y793" s="160"/>
      <c r="Z793" s="160">
        <f t="shared" si="256"/>
        <v>0</v>
      </c>
      <c r="AA793" s="165">
        <v>140</v>
      </c>
      <c r="AB793" s="161">
        <f t="shared" si="257"/>
        <v>54600</v>
      </c>
      <c r="AC793" s="162"/>
      <c r="AD793" s="162">
        <f t="shared" si="265"/>
        <v>0</v>
      </c>
      <c r="AE793" s="164"/>
      <c r="AF793" s="164">
        <f t="shared" si="266"/>
        <v>0</v>
      </c>
      <c r="AG793" s="165">
        <v>1500</v>
      </c>
      <c r="AH793" s="165">
        <f t="shared" si="267"/>
        <v>585000</v>
      </c>
      <c r="AI793" s="166">
        <v>0</v>
      </c>
      <c r="AJ793" s="166">
        <f t="shared" si="268"/>
        <v>0</v>
      </c>
      <c r="AK793" s="162"/>
      <c r="AL793" s="162">
        <f t="shared" si="269"/>
        <v>0</v>
      </c>
      <c r="AM793" s="173">
        <v>1500</v>
      </c>
      <c r="AN793" s="167">
        <f t="shared" si="258"/>
        <v>585000</v>
      </c>
      <c r="AO793" s="163"/>
      <c r="AP793" s="163">
        <f t="shared" si="259"/>
        <v>0</v>
      </c>
      <c r="AQ793" s="168"/>
      <c r="AR793" s="168">
        <f t="shared" si="260"/>
        <v>0</v>
      </c>
      <c r="AS793" s="170"/>
      <c r="AT793" s="170">
        <f t="shared" si="261"/>
        <v>0</v>
      </c>
      <c r="AU793" s="166"/>
      <c r="AV793" s="166">
        <f t="shared" si="262"/>
        <v>0</v>
      </c>
    </row>
    <row r="794" spans="1:48" s="239" customFormat="1" ht="31.5">
      <c r="A794" s="148" t="s">
        <v>8347</v>
      </c>
      <c r="B794" s="150" t="s">
        <v>7727</v>
      </c>
      <c r="C794" s="149" t="s">
        <v>863</v>
      </c>
      <c r="D794" s="240" t="s">
        <v>8348</v>
      </c>
      <c r="E794" s="590"/>
      <c r="F794" s="203" t="s">
        <v>868</v>
      </c>
      <c r="G794" s="204" t="s">
        <v>869</v>
      </c>
      <c r="H794" s="204">
        <v>4</v>
      </c>
      <c r="I794" s="203" t="s">
        <v>8349</v>
      </c>
      <c r="J794" s="205" t="s">
        <v>8350</v>
      </c>
      <c r="K794" s="203" t="s">
        <v>5104</v>
      </c>
      <c r="L794" s="205" t="s">
        <v>8351</v>
      </c>
      <c r="M794" s="205" t="s">
        <v>867</v>
      </c>
      <c r="N794" s="204" t="s">
        <v>213</v>
      </c>
      <c r="O794" s="204" t="s">
        <v>11</v>
      </c>
      <c r="P794" s="206">
        <v>1890</v>
      </c>
      <c r="Q794" s="206">
        <v>1890</v>
      </c>
      <c r="R794" s="207">
        <v>40000</v>
      </c>
      <c r="S794" s="207">
        <f t="shared" si="253"/>
        <v>75600000</v>
      </c>
      <c r="T794" s="589"/>
      <c r="U794" s="157">
        <v>40000</v>
      </c>
      <c r="V794" s="158">
        <f t="shared" si="264"/>
        <v>40000</v>
      </c>
      <c r="W794" s="159">
        <f t="shared" si="254"/>
        <v>0</v>
      </c>
      <c r="X794" s="159">
        <f t="shared" si="255"/>
        <v>0</v>
      </c>
      <c r="Y794" s="160"/>
      <c r="Z794" s="160">
        <f t="shared" si="256"/>
        <v>0</v>
      </c>
      <c r="AA794" s="165"/>
      <c r="AB794" s="161">
        <f t="shared" si="257"/>
        <v>0</v>
      </c>
      <c r="AC794" s="162"/>
      <c r="AD794" s="162">
        <f t="shared" si="265"/>
        <v>0</v>
      </c>
      <c r="AE794" s="164"/>
      <c r="AF794" s="164">
        <f t="shared" si="266"/>
        <v>0</v>
      </c>
      <c r="AG794" s="165"/>
      <c r="AH794" s="165">
        <f t="shared" si="267"/>
        <v>0</v>
      </c>
      <c r="AI794" s="166">
        <v>0</v>
      </c>
      <c r="AJ794" s="166">
        <f t="shared" si="268"/>
        <v>0</v>
      </c>
      <c r="AK794" s="162"/>
      <c r="AL794" s="162">
        <f t="shared" si="269"/>
        <v>0</v>
      </c>
      <c r="AM794" s="173"/>
      <c r="AN794" s="167">
        <f t="shared" si="258"/>
        <v>0</v>
      </c>
      <c r="AO794" s="163"/>
      <c r="AP794" s="163">
        <f t="shared" si="259"/>
        <v>0</v>
      </c>
      <c r="AQ794" s="168"/>
      <c r="AR794" s="168">
        <f t="shared" si="260"/>
        <v>0</v>
      </c>
      <c r="AS794" s="170"/>
      <c r="AT794" s="170">
        <f t="shared" si="261"/>
        <v>0</v>
      </c>
      <c r="AU794" s="166"/>
      <c r="AV794" s="166">
        <f t="shared" si="262"/>
        <v>0</v>
      </c>
    </row>
    <row r="795" spans="1:48" s="239" customFormat="1" ht="31.5">
      <c r="A795" s="148" t="s">
        <v>8393</v>
      </c>
      <c r="B795" s="150" t="s">
        <v>7727</v>
      </c>
      <c r="C795" s="149" t="s">
        <v>863</v>
      </c>
      <c r="D795" s="240" t="s">
        <v>8394</v>
      </c>
      <c r="E795" s="590"/>
      <c r="F795" s="203" t="s">
        <v>2618</v>
      </c>
      <c r="G795" s="204" t="s">
        <v>2619</v>
      </c>
      <c r="H795" s="204">
        <v>5</v>
      </c>
      <c r="I795" s="203" t="s">
        <v>8395</v>
      </c>
      <c r="J795" s="205" t="s">
        <v>8396</v>
      </c>
      <c r="K795" s="203" t="s">
        <v>5104</v>
      </c>
      <c r="L795" s="205" t="s">
        <v>8397</v>
      </c>
      <c r="M795" s="205" t="s">
        <v>867</v>
      </c>
      <c r="N795" s="204" t="s">
        <v>213</v>
      </c>
      <c r="O795" s="204" t="s">
        <v>520</v>
      </c>
      <c r="P795" s="206">
        <v>14700</v>
      </c>
      <c r="Q795" s="206">
        <v>14700</v>
      </c>
      <c r="R795" s="207">
        <v>200</v>
      </c>
      <c r="S795" s="207">
        <f t="shared" si="253"/>
        <v>2940000</v>
      </c>
      <c r="T795" s="589"/>
      <c r="U795" s="157">
        <v>200</v>
      </c>
      <c r="V795" s="158">
        <f t="shared" si="264"/>
        <v>200</v>
      </c>
      <c r="W795" s="159">
        <f t="shared" si="254"/>
        <v>0</v>
      </c>
      <c r="X795" s="159">
        <f t="shared" si="255"/>
        <v>0</v>
      </c>
      <c r="Y795" s="160"/>
      <c r="Z795" s="160">
        <f t="shared" si="256"/>
        <v>0</v>
      </c>
      <c r="AA795" s="165"/>
      <c r="AB795" s="161">
        <f t="shared" si="257"/>
        <v>0</v>
      </c>
      <c r="AC795" s="162"/>
      <c r="AD795" s="162">
        <f t="shared" si="265"/>
        <v>0</v>
      </c>
      <c r="AE795" s="164"/>
      <c r="AF795" s="164">
        <f t="shared" si="266"/>
        <v>0</v>
      </c>
      <c r="AG795" s="165"/>
      <c r="AH795" s="165">
        <f t="shared" si="267"/>
        <v>0</v>
      </c>
      <c r="AI795" s="166">
        <v>0</v>
      </c>
      <c r="AJ795" s="166">
        <f t="shared" si="268"/>
        <v>0</v>
      </c>
      <c r="AK795" s="162"/>
      <c r="AL795" s="162">
        <f t="shared" si="269"/>
        <v>0</v>
      </c>
      <c r="AM795" s="173"/>
      <c r="AN795" s="167">
        <f t="shared" si="258"/>
        <v>0</v>
      </c>
      <c r="AO795" s="163"/>
      <c r="AP795" s="163">
        <f t="shared" si="259"/>
        <v>0</v>
      </c>
      <c r="AQ795" s="168"/>
      <c r="AR795" s="168">
        <f t="shared" si="260"/>
        <v>0</v>
      </c>
      <c r="AS795" s="170"/>
      <c r="AT795" s="170">
        <f t="shared" si="261"/>
        <v>0</v>
      </c>
      <c r="AU795" s="166"/>
      <c r="AV795" s="166">
        <f t="shared" si="262"/>
        <v>0</v>
      </c>
    </row>
    <row r="796" spans="1:48" s="239" customFormat="1" ht="31.5">
      <c r="A796" s="148" t="s">
        <v>8468</v>
      </c>
      <c r="B796" s="150" t="s">
        <v>7727</v>
      </c>
      <c r="C796" s="149" t="s">
        <v>863</v>
      </c>
      <c r="D796" s="240" t="s">
        <v>8469</v>
      </c>
      <c r="E796" s="590" t="s">
        <v>12643</v>
      </c>
      <c r="F796" s="203" t="s">
        <v>1631</v>
      </c>
      <c r="G796" s="204" t="s">
        <v>1632</v>
      </c>
      <c r="H796" s="204">
        <v>5</v>
      </c>
      <c r="I796" s="203" t="s">
        <v>3667</v>
      </c>
      <c r="J796" s="205" t="s">
        <v>8003</v>
      </c>
      <c r="K796" s="203" t="s">
        <v>253</v>
      </c>
      <c r="L796" s="205" t="s">
        <v>8004</v>
      </c>
      <c r="M796" s="205" t="s">
        <v>867</v>
      </c>
      <c r="N796" s="204" t="s">
        <v>213</v>
      </c>
      <c r="O796" s="204" t="s">
        <v>12</v>
      </c>
      <c r="P796" s="206">
        <v>735</v>
      </c>
      <c r="Q796" s="206">
        <v>390</v>
      </c>
      <c r="R796" s="207">
        <v>50000</v>
      </c>
      <c r="S796" s="207">
        <f t="shared" si="253"/>
        <v>19500000</v>
      </c>
      <c r="T796" s="589"/>
      <c r="U796" s="157">
        <v>50000</v>
      </c>
      <c r="V796" s="158">
        <f t="shared" si="264"/>
        <v>38120</v>
      </c>
      <c r="W796" s="159">
        <f t="shared" si="254"/>
        <v>11880</v>
      </c>
      <c r="X796" s="159">
        <f t="shared" si="255"/>
        <v>4633200</v>
      </c>
      <c r="Y796" s="160"/>
      <c r="Z796" s="160">
        <f t="shared" si="256"/>
        <v>0</v>
      </c>
      <c r="AA796" s="165"/>
      <c r="AB796" s="161">
        <f t="shared" si="257"/>
        <v>0</v>
      </c>
      <c r="AC796" s="162">
        <v>11880</v>
      </c>
      <c r="AD796" s="162">
        <f t="shared" si="265"/>
        <v>4633200</v>
      </c>
      <c r="AE796" s="164"/>
      <c r="AF796" s="164">
        <f t="shared" si="266"/>
        <v>0</v>
      </c>
      <c r="AG796" s="165"/>
      <c r="AH796" s="165">
        <f t="shared" si="267"/>
        <v>0</v>
      </c>
      <c r="AI796" s="166">
        <v>0</v>
      </c>
      <c r="AJ796" s="166">
        <f t="shared" si="268"/>
        <v>0</v>
      </c>
      <c r="AK796" s="162"/>
      <c r="AL796" s="162">
        <f t="shared" si="269"/>
        <v>0</v>
      </c>
      <c r="AM796" s="173"/>
      <c r="AN796" s="167">
        <f t="shared" si="258"/>
        <v>0</v>
      </c>
      <c r="AO796" s="163"/>
      <c r="AP796" s="163">
        <f t="shared" si="259"/>
        <v>0</v>
      </c>
      <c r="AQ796" s="168"/>
      <c r="AR796" s="168">
        <f t="shared" si="260"/>
        <v>0</v>
      </c>
      <c r="AS796" s="170"/>
      <c r="AT796" s="170">
        <f t="shared" si="261"/>
        <v>0</v>
      </c>
      <c r="AU796" s="166"/>
      <c r="AV796" s="166">
        <f t="shared" si="262"/>
        <v>0</v>
      </c>
    </row>
    <row r="797" spans="1:48" s="239" customFormat="1" ht="63">
      <c r="A797" s="148">
        <v>1</v>
      </c>
      <c r="B797" s="150" t="s">
        <v>7727</v>
      </c>
      <c r="C797" s="149" t="s">
        <v>863</v>
      </c>
      <c r="D797" s="250" t="s">
        <v>8500</v>
      </c>
      <c r="E797" s="241"/>
      <c r="F797" s="242" t="s">
        <v>8501</v>
      </c>
      <c r="G797" s="243" t="s">
        <v>8502</v>
      </c>
      <c r="H797" s="244" t="s">
        <v>211</v>
      </c>
      <c r="I797" s="244" t="s">
        <v>2838</v>
      </c>
      <c r="J797" s="244" t="s">
        <v>8503</v>
      </c>
      <c r="K797" s="244" t="s">
        <v>5104</v>
      </c>
      <c r="L797" s="241" t="s">
        <v>8504</v>
      </c>
      <c r="M797" s="244" t="s">
        <v>2182</v>
      </c>
      <c r="N797" s="241" t="s">
        <v>213</v>
      </c>
      <c r="O797" s="241" t="s">
        <v>11</v>
      </c>
      <c r="P797" s="245">
        <v>3000</v>
      </c>
      <c r="Q797" s="245">
        <v>2500</v>
      </c>
      <c r="R797" s="246">
        <v>20000</v>
      </c>
      <c r="S797" s="245">
        <f t="shared" si="253"/>
        <v>50000000</v>
      </c>
      <c r="T797" s="589"/>
      <c r="U797" s="244"/>
      <c r="V797" s="247">
        <f>R797-W797</f>
        <v>20000</v>
      </c>
      <c r="W797" s="159">
        <f t="shared" si="254"/>
        <v>0</v>
      </c>
      <c r="X797" s="159">
        <f t="shared" si="255"/>
        <v>0</v>
      </c>
      <c r="Y797" s="248"/>
      <c r="Z797" s="160">
        <f t="shared" si="256"/>
        <v>0</v>
      </c>
      <c r="AA797" s="248"/>
      <c r="AB797" s="161">
        <f t="shared" si="257"/>
        <v>0</v>
      </c>
      <c r="AC797" s="249"/>
      <c r="AD797" s="249"/>
      <c r="AE797" s="249"/>
      <c r="AF797" s="249"/>
      <c r="AG797" s="249"/>
      <c r="AH797" s="249"/>
      <c r="AI797" s="249"/>
      <c r="AJ797" s="249"/>
      <c r="AK797" s="249"/>
      <c r="AL797" s="162">
        <f t="shared" si="269"/>
        <v>0</v>
      </c>
      <c r="AM797" s="249"/>
      <c r="AN797" s="167">
        <f t="shared" si="258"/>
        <v>0</v>
      </c>
      <c r="AO797" s="249"/>
      <c r="AP797" s="163">
        <f t="shared" si="259"/>
        <v>0</v>
      </c>
      <c r="AQ797" s="249"/>
      <c r="AR797" s="168">
        <f t="shared" si="260"/>
        <v>0</v>
      </c>
      <c r="AS797" s="249"/>
      <c r="AT797" s="170">
        <f t="shared" si="261"/>
        <v>0</v>
      </c>
      <c r="AU797" s="249"/>
      <c r="AV797" s="166">
        <f t="shared" si="262"/>
        <v>0</v>
      </c>
    </row>
    <row r="798" spans="1:48" s="239" customFormat="1" ht="135.75">
      <c r="A798" s="250">
        <v>14</v>
      </c>
      <c r="B798" s="150" t="s">
        <v>7727</v>
      </c>
      <c r="C798" s="149" t="s">
        <v>863</v>
      </c>
      <c r="D798" s="250" t="s">
        <v>4654</v>
      </c>
      <c r="E798" s="241"/>
      <c r="F798" s="242" t="s">
        <v>4655</v>
      </c>
      <c r="G798" s="243" t="s">
        <v>8571</v>
      </c>
      <c r="H798" s="244" t="s">
        <v>211</v>
      </c>
      <c r="I798" s="244" t="s">
        <v>85</v>
      </c>
      <c r="J798" s="244" t="s">
        <v>6644</v>
      </c>
      <c r="K798" s="244" t="s">
        <v>5104</v>
      </c>
      <c r="L798" s="241" t="s">
        <v>8572</v>
      </c>
      <c r="M798" s="244" t="s">
        <v>2182</v>
      </c>
      <c r="N798" s="241" t="s">
        <v>213</v>
      </c>
      <c r="O798" s="241" t="s">
        <v>11</v>
      </c>
      <c r="P798" s="245">
        <v>1365</v>
      </c>
      <c r="Q798" s="245">
        <v>1260</v>
      </c>
      <c r="R798" s="246">
        <v>70000</v>
      </c>
      <c r="S798" s="245">
        <f t="shared" si="253"/>
        <v>88200000</v>
      </c>
      <c r="T798" s="589"/>
      <c r="U798" s="244"/>
      <c r="V798" s="247">
        <f>R798-W798</f>
        <v>60700</v>
      </c>
      <c r="W798" s="159">
        <f t="shared" si="254"/>
        <v>9300</v>
      </c>
      <c r="X798" s="159">
        <f t="shared" si="255"/>
        <v>11718000</v>
      </c>
      <c r="Y798" s="248"/>
      <c r="Z798" s="160">
        <f t="shared" si="256"/>
        <v>0</v>
      </c>
      <c r="AA798" s="248"/>
      <c r="AB798" s="161">
        <f t="shared" si="257"/>
        <v>0</v>
      </c>
      <c r="AC798" s="249"/>
      <c r="AD798" s="249"/>
      <c r="AE798" s="249"/>
      <c r="AF798" s="249"/>
      <c r="AG798" s="249"/>
      <c r="AH798" s="249"/>
      <c r="AI798" s="249"/>
      <c r="AJ798" s="249"/>
      <c r="AK798" s="249">
        <v>9300</v>
      </c>
      <c r="AL798" s="162">
        <f t="shared" si="269"/>
        <v>11718000</v>
      </c>
      <c r="AM798" s="249"/>
      <c r="AN798" s="167">
        <f t="shared" si="258"/>
        <v>0</v>
      </c>
      <c r="AO798" s="249"/>
      <c r="AP798" s="163">
        <f t="shared" si="259"/>
        <v>0</v>
      </c>
      <c r="AQ798" s="249"/>
      <c r="AR798" s="168">
        <f t="shared" si="260"/>
        <v>0</v>
      </c>
      <c r="AS798" s="249"/>
      <c r="AT798" s="170">
        <f t="shared" si="261"/>
        <v>0</v>
      </c>
      <c r="AU798" s="249"/>
      <c r="AV798" s="166">
        <f t="shared" si="262"/>
        <v>0</v>
      </c>
    </row>
    <row r="799" spans="1:48" s="239" customFormat="1" ht="141.75">
      <c r="A799" s="250">
        <v>62</v>
      </c>
      <c r="B799" s="150" t="s">
        <v>7727</v>
      </c>
      <c r="C799" s="149" t="s">
        <v>863</v>
      </c>
      <c r="D799" s="250" t="s">
        <v>4604</v>
      </c>
      <c r="E799" s="241"/>
      <c r="F799" s="242" t="s">
        <v>4605</v>
      </c>
      <c r="G799" s="244" t="s">
        <v>8782</v>
      </c>
      <c r="H799" s="244" t="s">
        <v>211</v>
      </c>
      <c r="I799" s="244" t="s">
        <v>21</v>
      </c>
      <c r="J799" s="244" t="s">
        <v>8783</v>
      </c>
      <c r="K799" s="244" t="s">
        <v>5104</v>
      </c>
      <c r="L799" s="241" t="s">
        <v>8784</v>
      </c>
      <c r="M799" s="244" t="s">
        <v>2182</v>
      </c>
      <c r="N799" s="241" t="s">
        <v>213</v>
      </c>
      <c r="O799" s="241" t="s">
        <v>11</v>
      </c>
      <c r="P799" s="245">
        <v>1600</v>
      </c>
      <c r="Q799" s="245">
        <v>1260</v>
      </c>
      <c r="R799" s="246">
        <v>150000</v>
      </c>
      <c r="S799" s="245">
        <f t="shared" si="253"/>
        <v>189000000</v>
      </c>
      <c r="T799" s="589"/>
      <c r="U799" s="244"/>
      <c r="V799" s="247">
        <f>R799-W799</f>
        <v>99500</v>
      </c>
      <c r="W799" s="159">
        <f t="shared" si="254"/>
        <v>50500</v>
      </c>
      <c r="X799" s="159">
        <f t="shared" si="255"/>
        <v>63630000</v>
      </c>
      <c r="Y799" s="248"/>
      <c r="Z799" s="160">
        <f t="shared" si="256"/>
        <v>0</v>
      </c>
      <c r="AA799" s="248"/>
      <c r="AB799" s="161">
        <f t="shared" si="257"/>
        <v>0</v>
      </c>
      <c r="AC799" s="249"/>
      <c r="AD799" s="249"/>
      <c r="AE799" s="249"/>
      <c r="AF799" s="249"/>
      <c r="AG799" s="249"/>
      <c r="AH799" s="249"/>
      <c r="AI799" s="249"/>
      <c r="AJ799" s="249"/>
      <c r="AK799" s="249">
        <v>50500</v>
      </c>
      <c r="AL799" s="162">
        <f t="shared" si="269"/>
        <v>63630000</v>
      </c>
      <c r="AM799" s="249"/>
      <c r="AN799" s="167">
        <f t="shared" si="258"/>
        <v>0</v>
      </c>
      <c r="AO799" s="249"/>
      <c r="AP799" s="163">
        <f t="shared" si="259"/>
        <v>0</v>
      </c>
      <c r="AQ799" s="249"/>
      <c r="AR799" s="168">
        <f t="shared" si="260"/>
        <v>0</v>
      </c>
      <c r="AS799" s="249"/>
      <c r="AT799" s="170">
        <f t="shared" si="261"/>
        <v>0</v>
      </c>
      <c r="AU799" s="249"/>
      <c r="AV799" s="166">
        <f t="shared" si="262"/>
        <v>0</v>
      </c>
    </row>
    <row r="800" spans="1:48" s="239" customFormat="1" ht="31.5">
      <c r="A800" s="148" t="s">
        <v>6235</v>
      </c>
      <c r="B800" s="149" t="s">
        <v>6236</v>
      </c>
      <c r="C800" s="149" t="s">
        <v>6237</v>
      </c>
      <c r="D800" s="240" t="s">
        <v>6238</v>
      </c>
      <c r="E800" s="590"/>
      <c r="F800" s="203" t="s">
        <v>392</v>
      </c>
      <c r="G800" s="204" t="s">
        <v>267</v>
      </c>
      <c r="H800" s="204">
        <v>1</v>
      </c>
      <c r="I800" s="203" t="s">
        <v>2533</v>
      </c>
      <c r="J800" s="205" t="s">
        <v>6239</v>
      </c>
      <c r="K800" s="203" t="s">
        <v>253</v>
      </c>
      <c r="L800" s="205" t="s">
        <v>6240</v>
      </c>
      <c r="M800" s="205" t="s">
        <v>6241</v>
      </c>
      <c r="N800" s="204" t="s">
        <v>5717</v>
      </c>
      <c r="O800" s="204" t="s">
        <v>658</v>
      </c>
      <c r="P800" s="206">
        <v>75000</v>
      </c>
      <c r="Q800" s="206">
        <v>34950</v>
      </c>
      <c r="R800" s="207">
        <v>400</v>
      </c>
      <c r="S800" s="207">
        <f t="shared" si="253"/>
        <v>13980000</v>
      </c>
      <c r="T800" s="589"/>
      <c r="U800" s="157">
        <v>400</v>
      </c>
      <c r="V800" s="158">
        <f t="shared" ref="V800:V863" si="270">U800-W800</f>
        <v>400</v>
      </c>
      <c r="W800" s="159">
        <f t="shared" si="254"/>
        <v>0</v>
      </c>
      <c r="X800" s="159">
        <f t="shared" si="255"/>
        <v>0</v>
      </c>
      <c r="Y800" s="160"/>
      <c r="Z800" s="160">
        <f t="shared" si="256"/>
        <v>0</v>
      </c>
      <c r="AA800" s="165"/>
      <c r="AB800" s="161">
        <f t="shared" si="257"/>
        <v>0</v>
      </c>
      <c r="AC800" s="162"/>
      <c r="AD800" s="162">
        <f t="shared" ref="AD800:AD863" si="271">AC800*Q800</f>
        <v>0</v>
      </c>
      <c r="AE800" s="164"/>
      <c r="AF800" s="164">
        <f t="shared" ref="AF800:AF863" si="272">AE800*Q800</f>
        <v>0</v>
      </c>
      <c r="AG800" s="165"/>
      <c r="AH800" s="165">
        <f t="shared" ref="AH800:AH863" si="273">AG800*Q800</f>
        <v>0</v>
      </c>
      <c r="AI800" s="166">
        <v>0</v>
      </c>
      <c r="AJ800" s="166">
        <f t="shared" ref="AJ800:AJ863" si="274">AI800*Q800</f>
        <v>0</v>
      </c>
      <c r="AK800" s="162"/>
      <c r="AL800" s="162">
        <f t="shared" si="269"/>
        <v>0</v>
      </c>
      <c r="AM800" s="173"/>
      <c r="AN800" s="167">
        <f t="shared" si="258"/>
        <v>0</v>
      </c>
      <c r="AO800" s="163"/>
      <c r="AP800" s="163">
        <f t="shared" si="259"/>
        <v>0</v>
      </c>
      <c r="AQ800" s="168"/>
      <c r="AR800" s="168">
        <f t="shared" si="260"/>
        <v>0</v>
      </c>
      <c r="AS800" s="170"/>
      <c r="AT800" s="170">
        <f t="shared" si="261"/>
        <v>0</v>
      </c>
      <c r="AU800" s="166"/>
      <c r="AV800" s="166">
        <f t="shared" si="262"/>
        <v>0</v>
      </c>
    </row>
    <row r="801" spans="1:49" s="239" customFormat="1" ht="31.5">
      <c r="A801" s="148" t="s">
        <v>5886</v>
      </c>
      <c r="B801" s="149" t="s">
        <v>5887</v>
      </c>
      <c r="C801" s="149" t="s">
        <v>5888</v>
      </c>
      <c r="D801" s="240" t="s">
        <v>5889</v>
      </c>
      <c r="E801" s="590" t="s">
        <v>12642</v>
      </c>
      <c r="F801" s="203" t="s">
        <v>802</v>
      </c>
      <c r="G801" s="204" t="s">
        <v>5890</v>
      </c>
      <c r="H801" s="204">
        <v>1</v>
      </c>
      <c r="I801" s="203" t="s">
        <v>5891</v>
      </c>
      <c r="J801" s="205" t="s">
        <v>5892</v>
      </c>
      <c r="K801" s="203" t="s">
        <v>253</v>
      </c>
      <c r="L801" s="205" t="s">
        <v>5893</v>
      </c>
      <c r="M801" s="205" t="s">
        <v>5894</v>
      </c>
      <c r="N801" s="204" t="s">
        <v>5222</v>
      </c>
      <c r="O801" s="204" t="s">
        <v>15</v>
      </c>
      <c r="P801" s="206">
        <v>92000</v>
      </c>
      <c r="Q801" s="206">
        <v>92000</v>
      </c>
      <c r="R801" s="207">
        <v>500</v>
      </c>
      <c r="S801" s="207">
        <f t="shared" si="253"/>
        <v>46000000</v>
      </c>
      <c r="T801" s="589"/>
      <c r="U801" s="157">
        <v>500</v>
      </c>
      <c r="V801" s="158">
        <f t="shared" si="270"/>
        <v>500</v>
      </c>
      <c r="W801" s="159">
        <f t="shared" si="254"/>
        <v>0</v>
      </c>
      <c r="X801" s="159">
        <f t="shared" si="255"/>
        <v>0</v>
      </c>
      <c r="Y801" s="160"/>
      <c r="Z801" s="160">
        <f t="shared" si="256"/>
        <v>0</v>
      </c>
      <c r="AA801" s="165"/>
      <c r="AB801" s="161">
        <f t="shared" si="257"/>
        <v>0</v>
      </c>
      <c r="AC801" s="162"/>
      <c r="AD801" s="162">
        <f t="shared" si="271"/>
        <v>0</v>
      </c>
      <c r="AE801" s="164"/>
      <c r="AF801" s="164">
        <f t="shared" si="272"/>
        <v>0</v>
      </c>
      <c r="AG801" s="165"/>
      <c r="AH801" s="165">
        <f t="shared" si="273"/>
        <v>0</v>
      </c>
      <c r="AI801" s="166">
        <v>0</v>
      </c>
      <c r="AJ801" s="166">
        <f t="shared" si="274"/>
        <v>0</v>
      </c>
      <c r="AK801" s="162"/>
      <c r="AL801" s="162">
        <f t="shared" si="269"/>
        <v>0</v>
      </c>
      <c r="AM801" s="173"/>
      <c r="AN801" s="167">
        <f t="shared" si="258"/>
        <v>0</v>
      </c>
      <c r="AO801" s="163"/>
      <c r="AP801" s="163">
        <f t="shared" si="259"/>
        <v>0</v>
      </c>
      <c r="AQ801" s="168"/>
      <c r="AR801" s="168">
        <f t="shared" si="260"/>
        <v>0</v>
      </c>
      <c r="AS801" s="170"/>
      <c r="AT801" s="170">
        <f t="shared" si="261"/>
        <v>0</v>
      </c>
      <c r="AU801" s="166"/>
      <c r="AV801" s="166">
        <f t="shared" si="262"/>
        <v>0</v>
      </c>
    </row>
    <row r="802" spans="1:49" s="239" customFormat="1" ht="31.5">
      <c r="A802" s="148" t="s">
        <v>7517</v>
      </c>
      <c r="B802" s="149" t="s">
        <v>5887</v>
      </c>
      <c r="C802" s="149" t="s">
        <v>5888</v>
      </c>
      <c r="D802" s="240" t="s">
        <v>7518</v>
      </c>
      <c r="E802" s="590"/>
      <c r="F802" s="203" t="s">
        <v>7519</v>
      </c>
      <c r="G802" s="204" t="s">
        <v>4782</v>
      </c>
      <c r="H802" s="204">
        <v>3</v>
      </c>
      <c r="I802" s="203" t="s">
        <v>7520</v>
      </c>
      <c r="J802" s="205" t="s">
        <v>7521</v>
      </c>
      <c r="K802" s="203" t="s">
        <v>5104</v>
      </c>
      <c r="L802" s="205" t="s">
        <v>7522</v>
      </c>
      <c r="M802" s="205" t="s">
        <v>7523</v>
      </c>
      <c r="N802" s="204" t="s">
        <v>213</v>
      </c>
      <c r="O802" s="204" t="s">
        <v>11</v>
      </c>
      <c r="P802" s="206">
        <v>12600</v>
      </c>
      <c r="Q802" s="206">
        <v>12200</v>
      </c>
      <c r="R802" s="207">
        <v>10000</v>
      </c>
      <c r="S802" s="207">
        <f t="shared" si="253"/>
        <v>122000000</v>
      </c>
      <c r="T802" s="589"/>
      <c r="U802" s="157">
        <v>10000</v>
      </c>
      <c r="V802" s="158">
        <f t="shared" si="270"/>
        <v>10000</v>
      </c>
      <c r="W802" s="159">
        <f t="shared" si="254"/>
        <v>0</v>
      </c>
      <c r="X802" s="159">
        <f t="shared" si="255"/>
        <v>0</v>
      </c>
      <c r="Y802" s="160"/>
      <c r="Z802" s="160">
        <f t="shared" si="256"/>
        <v>0</v>
      </c>
      <c r="AA802" s="165"/>
      <c r="AB802" s="161">
        <f t="shared" si="257"/>
        <v>0</v>
      </c>
      <c r="AC802" s="162"/>
      <c r="AD802" s="162">
        <f t="shared" si="271"/>
        <v>0</v>
      </c>
      <c r="AE802" s="163"/>
      <c r="AF802" s="164">
        <f t="shared" si="272"/>
        <v>0</v>
      </c>
      <c r="AG802" s="161"/>
      <c r="AH802" s="165">
        <f t="shared" si="273"/>
        <v>0</v>
      </c>
      <c r="AI802" s="160">
        <v>0</v>
      </c>
      <c r="AJ802" s="166">
        <f t="shared" si="274"/>
        <v>0</v>
      </c>
      <c r="AK802" s="162"/>
      <c r="AL802" s="162">
        <f t="shared" si="269"/>
        <v>0</v>
      </c>
      <c r="AM802" s="173"/>
      <c r="AN802" s="167">
        <f t="shared" si="258"/>
        <v>0</v>
      </c>
      <c r="AO802" s="163"/>
      <c r="AP802" s="163">
        <f t="shared" si="259"/>
        <v>0</v>
      </c>
      <c r="AQ802" s="162"/>
      <c r="AR802" s="168">
        <f t="shared" si="260"/>
        <v>0</v>
      </c>
      <c r="AS802" s="169"/>
      <c r="AT802" s="170">
        <f t="shared" si="261"/>
        <v>0</v>
      </c>
      <c r="AU802" s="160"/>
      <c r="AV802" s="166">
        <f t="shared" si="262"/>
        <v>0</v>
      </c>
    </row>
    <row r="803" spans="1:49" s="239" customFormat="1" ht="31.5">
      <c r="A803" s="172" t="s">
        <v>5507</v>
      </c>
      <c r="B803" s="150" t="s">
        <v>5508</v>
      </c>
      <c r="C803" s="150" t="s">
        <v>5509</v>
      </c>
      <c r="D803" s="634" t="s">
        <v>4842</v>
      </c>
      <c r="E803" s="631" t="s">
        <v>12642</v>
      </c>
      <c r="F803" s="175" t="s">
        <v>227</v>
      </c>
      <c r="G803" s="151" t="s">
        <v>225</v>
      </c>
      <c r="H803" s="174" t="s">
        <v>5325</v>
      </c>
      <c r="I803" s="150" t="s">
        <v>4843</v>
      </c>
      <c r="J803" s="153" t="s">
        <v>5510</v>
      </c>
      <c r="K803" s="151" t="s">
        <v>5104</v>
      </c>
      <c r="L803" s="151" t="s">
        <v>5511</v>
      </c>
      <c r="M803" s="151" t="s">
        <v>5512</v>
      </c>
      <c r="N803" s="152" t="s">
        <v>213</v>
      </c>
      <c r="O803" s="152" t="s">
        <v>410</v>
      </c>
      <c r="P803" s="176">
        <v>850</v>
      </c>
      <c r="Q803" s="177">
        <v>790</v>
      </c>
      <c r="R803" s="176">
        <v>210000</v>
      </c>
      <c r="S803" s="156">
        <f t="shared" si="253"/>
        <v>165900000</v>
      </c>
      <c r="T803" s="589"/>
      <c r="U803" s="157">
        <v>200512</v>
      </c>
      <c r="V803" s="158">
        <f t="shared" si="270"/>
        <v>120432</v>
      </c>
      <c r="W803" s="159">
        <f t="shared" si="254"/>
        <v>80080</v>
      </c>
      <c r="X803" s="159">
        <f t="shared" si="255"/>
        <v>63263200</v>
      </c>
      <c r="Y803" s="160"/>
      <c r="Z803" s="160">
        <f t="shared" si="256"/>
        <v>0</v>
      </c>
      <c r="AA803" s="165">
        <v>7200</v>
      </c>
      <c r="AB803" s="161">
        <f t="shared" si="257"/>
        <v>5688000</v>
      </c>
      <c r="AC803" s="162"/>
      <c r="AD803" s="162">
        <f t="shared" si="271"/>
        <v>0</v>
      </c>
      <c r="AE803" s="164">
        <v>6400</v>
      </c>
      <c r="AF803" s="164">
        <f t="shared" si="272"/>
        <v>5056000</v>
      </c>
      <c r="AG803" s="165"/>
      <c r="AH803" s="165">
        <f t="shared" si="273"/>
        <v>0</v>
      </c>
      <c r="AI803" s="166">
        <v>0</v>
      </c>
      <c r="AJ803" s="166">
        <f t="shared" si="274"/>
        <v>0</v>
      </c>
      <c r="AK803" s="162"/>
      <c r="AL803" s="162">
        <f t="shared" si="269"/>
        <v>0</v>
      </c>
      <c r="AM803" s="173">
        <v>16480</v>
      </c>
      <c r="AN803" s="167">
        <f t="shared" si="258"/>
        <v>13019200</v>
      </c>
      <c r="AO803" s="163"/>
      <c r="AP803" s="163">
        <f t="shared" si="259"/>
        <v>0</v>
      </c>
      <c r="AQ803" s="168"/>
      <c r="AR803" s="168">
        <f t="shared" si="260"/>
        <v>0</v>
      </c>
      <c r="AS803" s="170"/>
      <c r="AT803" s="170">
        <f t="shared" si="261"/>
        <v>0</v>
      </c>
      <c r="AU803" s="166">
        <f>26384+23616</f>
        <v>50000</v>
      </c>
      <c r="AV803" s="166">
        <f t="shared" si="262"/>
        <v>39500000</v>
      </c>
      <c r="AW803" s="239">
        <f>18656640+20843360</f>
        <v>39500000</v>
      </c>
    </row>
    <row r="804" spans="1:49" s="239" customFormat="1" ht="31.5">
      <c r="A804" s="148" t="s">
        <v>7245</v>
      </c>
      <c r="B804" s="150" t="s">
        <v>5508</v>
      </c>
      <c r="C804" s="150" t="s">
        <v>5509</v>
      </c>
      <c r="D804" s="240" t="s">
        <v>4462</v>
      </c>
      <c r="E804" s="590" t="s">
        <v>12642</v>
      </c>
      <c r="F804" s="203" t="s">
        <v>683</v>
      </c>
      <c r="G804" s="204" t="s">
        <v>1452</v>
      </c>
      <c r="H804" s="204">
        <v>3</v>
      </c>
      <c r="I804" s="203" t="s">
        <v>4463</v>
      </c>
      <c r="J804" s="205" t="s">
        <v>7246</v>
      </c>
      <c r="K804" s="203" t="s">
        <v>5104</v>
      </c>
      <c r="L804" s="205" t="s">
        <v>7247</v>
      </c>
      <c r="M804" s="205" t="s">
        <v>7248</v>
      </c>
      <c r="N804" s="204" t="s">
        <v>213</v>
      </c>
      <c r="O804" s="204" t="s">
        <v>11</v>
      </c>
      <c r="P804" s="206">
        <v>4000</v>
      </c>
      <c r="Q804" s="206">
        <v>1900</v>
      </c>
      <c r="R804" s="207">
        <v>50000</v>
      </c>
      <c r="S804" s="207">
        <f t="shared" si="253"/>
        <v>95000000</v>
      </c>
      <c r="T804" s="589"/>
      <c r="U804" s="157">
        <v>50000</v>
      </c>
      <c r="V804" s="158">
        <f t="shared" si="270"/>
        <v>48800</v>
      </c>
      <c r="W804" s="159">
        <f t="shared" si="254"/>
        <v>1200</v>
      </c>
      <c r="X804" s="159">
        <f t="shared" si="255"/>
        <v>2280000</v>
      </c>
      <c r="Y804" s="160"/>
      <c r="Z804" s="160">
        <f t="shared" si="256"/>
        <v>0</v>
      </c>
      <c r="AA804" s="161">
        <v>1000</v>
      </c>
      <c r="AB804" s="161">
        <f t="shared" si="257"/>
        <v>1900000</v>
      </c>
      <c r="AC804" s="162"/>
      <c r="AD804" s="162">
        <f t="shared" si="271"/>
        <v>0</v>
      </c>
      <c r="AE804" s="164"/>
      <c r="AF804" s="164">
        <f t="shared" si="272"/>
        <v>0</v>
      </c>
      <c r="AG804" s="165"/>
      <c r="AH804" s="165">
        <f t="shared" si="273"/>
        <v>0</v>
      </c>
      <c r="AI804" s="166">
        <v>0</v>
      </c>
      <c r="AJ804" s="166">
        <f t="shared" si="274"/>
        <v>0</v>
      </c>
      <c r="AK804" s="162"/>
      <c r="AL804" s="162">
        <f t="shared" si="269"/>
        <v>0</v>
      </c>
      <c r="AM804" s="167">
        <v>200</v>
      </c>
      <c r="AN804" s="167">
        <f t="shared" si="258"/>
        <v>380000</v>
      </c>
      <c r="AO804" s="163"/>
      <c r="AP804" s="163">
        <f t="shared" si="259"/>
        <v>0</v>
      </c>
      <c r="AQ804" s="168"/>
      <c r="AR804" s="168">
        <f t="shared" si="260"/>
        <v>0</v>
      </c>
      <c r="AS804" s="170"/>
      <c r="AT804" s="170">
        <f t="shared" si="261"/>
        <v>0</v>
      </c>
      <c r="AU804" s="166"/>
      <c r="AV804" s="166">
        <f t="shared" si="262"/>
        <v>0</v>
      </c>
    </row>
    <row r="805" spans="1:49" s="239" customFormat="1" ht="31.5">
      <c r="A805" s="148" t="s">
        <v>5322</v>
      </c>
      <c r="B805" s="150" t="s">
        <v>5323</v>
      </c>
      <c r="C805" s="150" t="s">
        <v>5324</v>
      </c>
      <c r="D805" s="634" t="s">
        <v>4798</v>
      </c>
      <c r="E805" s="631" t="s">
        <v>12642</v>
      </c>
      <c r="F805" s="175" t="s">
        <v>216</v>
      </c>
      <c r="G805" s="151" t="s">
        <v>251</v>
      </c>
      <c r="H805" s="174" t="s">
        <v>5325</v>
      </c>
      <c r="I805" s="150" t="s">
        <v>250</v>
      </c>
      <c r="J805" s="153" t="s">
        <v>5326</v>
      </c>
      <c r="K805" s="151" t="s">
        <v>253</v>
      </c>
      <c r="L805" s="151" t="s">
        <v>254</v>
      </c>
      <c r="M805" s="151" t="s">
        <v>255</v>
      </c>
      <c r="N805" s="152" t="s">
        <v>213</v>
      </c>
      <c r="O805" s="152" t="s">
        <v>10</v>
      </c>
      <c r="P805" s="176">
        <v>8400</v>
      </c>
      <c r="Q805" s="177">
        <v>2246</v>
      </c>
      <c r="R805" s="176">
        <v>120000</v>
      </c>
      <c r="S805" s="156">
        <f t="shared" si="253"/>
        <v>269520000</v>
      </c>
      <c r="T805" s="589"/>
      <c r="U805" s="157">
        <v>100008</v>
      </c>
      <c r="V805" s="158">
        <f t="shared" si="270"/>
        <v>98508</v>
      </c>
      <c r="W805" s="159">
        <f t="shared" si="254"/>
        <v>1500</v>
      </c>
      <c r="X805" s="159">
        <f t="shared" si="255"/>
        <v>3369000</v>
      </c>
      <c r="Y805" s="160"/>
      <c r="Z805" s="160">
        <f t="shared" si="256"/>
        <v>0</v>
      </c>
      <c r="AA805" s="161"/>
      <c r="AB805" s="161">
        <f t="shared" si="257"/>
        <v>0</v>
      </c>
      <c r="AC805" s="162"/>
      <c r="AD805" s="162">
        <f t="shared" si="271"/>
        <v>0</v>
      </c>
      <c r="AE805" s="164"/>
      <c r="AF805" s="164">
        <f t="shared" si="272"/>
        <v>0</v>
      </c>
      <c r="AG805" s="165"/>
      <c r="AH805" s="165">
        <f t="shared" si="273"/>
        <v>0</v>
      </c>
      <c r="AI805" s="166">
        <v>0</v>
      </c>
      <c r="AJ805" s="166">
        <f t="shared" si="274"/>
        <v>0</v>
      </c>
      <c r="AK805" s="162"/>
      <c r="AL805" s="162">
        <f t="shared" si="269"/>
        <v>0</v>
      </c>
      <c r="AM805" s="167">
        <v>1500</v>
      </c>
      <c r="AN805" s="167">
        <f t="shared" si="258"/>
        <v>3369000</v>
      </c>
      <c r="AO805" s="163"/>
      <c r="AP805" s="163">
        <f t="shared" si="259"/>
        <v>0</v>
      </c>
      <c r="AQ805" s="168"/>
      <c r="AR805" s="168">
        <f t="shared" si="260"/>
        <v>0</v>
      </c>
      <c r="AS805" s="170"/>
      <c r="AT805" s="170">
        <f t="shared" si="261"/>
        <v>0</v>
      </c>
      <c r="AU805" s="166"/>
      <c r="AV805" s="166">
        <f t="shared" si="262"/>
        <v>0</v>
      </c>
    </row>
    <row r="806" spans="1:49" s="239" customFormat="1" ht="31.5">
      <c r="A806" s="148" t="s">
        <v>5361</v>
      </c>
      <c r="B806" s="150" t="s">
        <v>5323</v>
      </c>
      <c r="C806" s="150" t="s">
        <v>5324</v>
      </c>
      <c r="D806" s="634" t="s">
        <v>4806</v>
      </c>
      <c r="E806" s="631"/>
      <c r="F806" s="175" t="s">
        <v>256</v>
      </c>
      <c r="G806" s="151" t="s">
        <v>258</v>
      </c>
      <c r="H806" s="174" t="s">
        <v>5325</v>
      </c>
      <c r="I806" s="150" t="s">
        <v>257</v>
      </c>
      <c r="J806" s="153" t="s">
        <v>5362</v>
      </c>
      <c r="K806" s="151" t="s">
        <v>5104</v>
      </c>
      <c r="L806" s="151" t="s">
        <v>259</v>
      </c>
      <c r="M806" s="151" t="s">
        <v>255</v>
      </c>
      <c r="N806" s="152" t="s">
        <v>213</v>
      </c>
      <c r="O806" s="152" t="s">
        <v>10</v>
      </c>
      <c r="P806" s="176">
        <v>3150</v>
      </c>
      <c r="Q806" s="177">
        <v>693</v>
      </c>
      <c r="R806" s="176">
        <v>150000</v>
      </c>
      <c r="S806" s="156">
        <f t="shared" si="253"/>
        <v>103950000</v>
      </c>
      <c r="T806" s="589"/>
      <c r="U806" s="157">
        <v>137000</v>
      </c>
      <c r="V806" s="158">
        <f t="shared" si="270"/>
        <v>137000</v>
      </c>
      <c r="W806" s="159">
        <f t="shared" si="254"/>
        <v>0</v>
      </c>
      <c r="X806" s="159">
        <f t="shared" si="255"/>
        <v>0</v>
      </c>
      <c r="Y806" s="160"/>
      <c r="Z806" s="160">
        <f t="shared" si="256"/>
        <v>0</v>
      </c>
      <c r="AA806" s="161"/>
      <c r="AB806" s="161">
        <f t="shared" si="257"/>
        <v>0</v>
      </c>
      <c r="AC806" s="162"/>
      <c r="AD806" s="162">
        <f t="shared" si="271"/>
        <v>0</v>
      </c>
      <c r="AE806" s="164"/>
      <c r="AF806" s="164">
        <f t="shared" si="272"/>
        <v>0</v>
      </c>
      <c r="AG806" s="165"/>
      <c r="AH806" s="165">
        <f t="shared" si="273"/>
        <v>0</v>
      </c>
      <c r="AI806" s="166">
        <v>0</v>
      </c>
      <c r="AJ806" s="166">
        <f t="shared" si="274"/>
        <v>0</v>
      </c>
      <c r="AK806" s="162"/>
      <c r="AL806" s="162">
        <f t="shared" si="269"/>
        <v>0</v>
      </c>
      <c r="AM806" s="167"/>
      <c r="AN806" s="167">
        <f t="shared" si="258"/>
        <v>0</v>
      </c>
      <c r="AO806" s="163"/>
      <c r="AP806" s="163">
        <f t="shared" si="259"/>
        <v>0</v>
      </c>
      <c r="AQ806" s="168"/>
      <c r="AR806" s="168">
        <f t="shared" si="260"/>
        <v>0</v>
      </c>
      <c r="AS806" s="170"/>
      <c r="AT806" s="170">
        <f t="shared" si="261"/>
        <v>0</v>
      </c>
      <c r="AU806" s="166"/>
      <c r="AV806" s="166">
        <f t="shared" si="262"/>
        <v>0</v>
      </c>
    </row>
    <row r="807" spans="1:49" s="239" customFormat="1" ht="31.5">
      <c r="A807" s="148" t="s">
        <v>5399</v>
      </c>
      <c r="B807" s="150" t="s">
        <v>5323</v>
      </c>
      <c r="C807" s="150" t="s">
        <v>5324</v>
      </c>
      <c r="D807" s="634" t="s">
        <v>4835</v>
      </c>
      <c r="E807" s="631" t="s">
        <v>12642</v>
      </c>
      <c r="F807" s="175" t="s">
        <v>260</v>
      </c>
      <c r="G807" s="151" t="s">
        <v>262</v>
      </c>
      <c r="H807" s="174" t="s">
        <v>5325</v>
      </c>
      <c r="I807" s="150" t="s">
        <v>261</v>
      </c>
      <c r="J807" s="153" t="s">
        <v>2292</v>
      </c>
      <c r="K807" s="151" t="s">
        <v>5104</v>
      </c>
      <c r="L807" s="151" t="s">
        <v>264</v>
      </c>
      <c r="M807" s="151" t="s">
        <v>255</v>
      </c>
      <c r="N807" s="152" t="s">
        <v>213</v>
      </c>
      <c r="O807" s="152" t="s">
        <v>10</v>
      </c>
      <c r="P807" s="176">
        <v>1890</v>
      </c>
      <c r="Q807" s="177">
        <v>1638</v>
      </c>
      <c r="R807" s="176">
        <v>107000</v>
      </c>
      <c r="S807" s="156">
        <f t="shared" si="253"/>
        <v>175266000</v>
      </c>
      <c r="T807" s="589"/>
      <c r="U807" s="157">
        <v>103000</v>
      </c>
      <c r="V807" s="158">
        <f t="shared" si="270"/>
        <v>101000</v>
      </c>
      <c r="W807" s="159">
        <f t="shared" si="254"/>
        <v>2000</v>
      </c>
      <c r="X807" s="159">
        <f t="shared" si="255"/>
        <v>3276000</v>
      </c>
      <c r="Y807" s="160"/>
      <c r="Z807" s="160">
        <f t="shared" si="256"/>
        <v>0</v>
      </c>
      <c r="AA807" s="161"/>
      <c r="AB807" s="161">
        <f t="shared" si="257"/>
        <v>0</v>
      </c>
      <c r="AC807" s="162"/>
      <c r="AD807" s="162">
        <f t="shared" si="271"/>
        <v>0</v>
      </c>
      <c r="AE807" s="164"/>
      <c r="AF807" s="164">
        <f t="shared" si="272"/>
        <v>0</v>
      </c>
      <c r="AG807" s="165"/>
      <c r="AH807" s="165">
        <f t="shared" si="273"/>
        <v>0</v>
      </c>
      <c r="AI807" s="166">
        <v>0</v>
      </c>
      <c r="AJ807" s="166">
        <f t="shared" si="274"/>
        <v>0</v>
      </c>
      <c r="AK807" s="162"/>
      <c r="AL807" s="162">
        <f t="shared" si="269"/>
        <v>0</v>
      </c>
      <c r="AM807" s="167">
        <v>1000</v>
      </c>
      <c r="AN807" s="167">
        <f t="shared" si="258"/>
        <v>1638000</v>
      </c>
      <c r="AO807" s="163"/>
      <c r="AP807" s="163">
        <f t="shared" si="259"/>
        <v>0</v>
      </c>
      <c r="AQ807" s="168"/>
      <c r="AR807" s="168">
        <f t="shared" si="260"/>
        <v>0</v>
      </c>
      <c r="AS807" s="170"/>
      <c r="AT807" s="170">
        <f t="shared" si="261"/>
        <v>0</v>
      </c>
      <c r="AU807" s="166">
        <v>1000</v>
      </c>
      <c r="AV807" s="166">
        <f t="shared" si="262"/>
        <v>1638000</v>
      </c>
    </row>
    <row r="808" spans="1:49" s="239" customFormat="1" ht="31.5">
      <c r="A808" s="172" t="s">
        <v>5400</v>
      </c>
      <c r="B808" s="150" t="s">
        <v>5323</v>
      </c>
      <c r="C808" s="150" t="s">
        <v>5324</v>
      </c>
      <c r="D808" s="634" t="s">
        <v>5401</v>
      </c>
      <c r="E808" s="631" t="s">
        <v>12642</v>
      </c>
      <c r="F808" s="175" t="s">
        <v>260</v>
      </c>
      <c r="G808" s="151" t="s">
        <v>232</v>
      </c>
      <c r="H808" s="174" t="s">
        <v>5325</v>
      </c>
      <c r="I808" s="150" t="s">
        <v>5402</v>
      </c>
      <c r="J808" s="153" t="s">
        <v>5403</v>
      </c>
      <c r="K808" s="151" t="s">
        <v>5104</v>
      </c>
      <c r="L808" s="151" t="s">
        <v>5404</v>
      </c>
      <c r="M808" s="151" t="s">
        <v>255</v>
      </c>
      <c r="N808" s="152" t="s">
        <v>213</v>
      </c>
      <c r="O808" s="152" t="s">
        <v>10</v>
      </c>
      <c r="P808" s="176">
        <v>1150</v>
      </c>
      <c r="Q808" s="177">
        <v>745</v>
      </c>
      <c r="R808" s="176">
        <v>75000</v>
      </c>
      <c r="S808" s="156">
        <f t="shared" si="253"/>
        <v>55875000</v>
      </c>
      <c r="T808" s="589"/>
      <c r="U808" s="157">
        <v>75000</v>
      </c>
      <c r="V808" s="158">
        <f t="shared" si="270"/>
        <v>75000</v>
      </c>
      <c r="W808" s="159">
        <f t="shared" si="254"/>
        <v>0</v>
      </c>
      <c r="X808" s="159">
        <f t="shared" si="255"/>
        <v>0</v>
      </c>
      <c r="Y808" s="160"/>
      <c r="Z808" s="160">
        <f t="shared" si="256"/>
        <v>0</v>
      </c>
      <c r="AA808" s="161"/>
      <c r="AB808" s="161">
        <f t="shared" si="257"/>
        <v>0</v>
      </c>
      <c r="AC808" s="162"/>
      <c r="AD808" s="162">
        <f t="shared" si="271"/>
        <v>0</v>
      </c>
      <c r="AE808" s="164"/>
      <c r="AF808" s="164">
        <f t="shared" si="272"/>
        <v>0</v>
      </c>
      <c r="AG808" s="165"/>
      <c r="AH808" s="165">
        <f t="shared" si="273"/>
        <v>0</v>
      </c>
      <c r="AI808" s="166">
        <v>0</v>
      </c>
      <c r="AJ808" s="166">
        <f t="shared" si="274"/>
        <v>0</v>
      </c>
      <c r="AK808" s="162"/>
      <c r="AL808" s="162">
        <f t="shared" si="269"/>
        <v>0</v>
      </c>
      <c r="AM808" s="167"/>
      <c r="AN808" s="167">
        <f t="shared" si="258"/>
        <v>0</v>
      </c>
      <c r="AO808" s="163"/>
      <c r="AP808" s="163">
        <f t="shared" si="259"/>
        <v>0</v>
      </c>
      <c r="AQ808" s="168"/>
      <c r="AR808" s="168">
        <f t="shared" si="260"/>
        <v>0</v>
      </c>
      <c r="AS808" s="170"/>
      <c r="AT808" s="170">
        <f t="shared" si="261"/>
        <v>0</v>
      </c>
      <c r="AU808" s="166"/>
      <c r="AV808" s="166">
        <f t="shared" si="262"/>
        <v>0</v>
      </c>
    </row>
    <row r="809" spans="1:49" s="239" customFormat="1" ht="31.5">
      <c r="A809" s="148" t="s">
        <v>5468</v>
      </c>
      <c r="B809" s="150" t="s">
        <v>5323</v>
      </c>
      <c r="C809" s="150" t="s">
        <v>5324</v>
      </c>
      <c r="D809" s="634" t="s">
        <v>4933</v>
      </c>
      <c r="E809" s="631"/>
      <c r="F809" s="175" t="s">
        <v>265</v>
      </c>
      <c r="G809" s="151" t="s">
        <v>267</v>
      </c>
      <c r="H809" s="174" t="s">
        <v>5325</v>
      </c>
      <c r="I809" s="150" t="s">
        <v>266</v>
      </c>
      <c r="J809" s="153" t="s">
        <v>5469</v>
      </c>
      <c r="K809" s="151" t="s">
        <v>5104</v>
      </c>
      <c r="L809" s="151" t="s">
        <v>269</v>
      </c>
      <c r="M809" s="151" t="s">
        <v>255</v>
      </c>
      <c r="N809" s="152" t="s">
        <v>213</v>
      </c>
      <c r="O809" s="152" t="s">
        <v>5141</v>
      </c>
      <c r="P809" s="176">
        <v>31500</v>
      </c>
      <c r="Q809" s="177">
        <v>8988</v>
      </c>
      <c r="R809" s="176">
        <v>4500</v>
      </c>
      <c r="S809" s="156">
        <f t="shared" si="253"/>
        <v>40446000</v>
      </c>
      <c r="T809" s="589"/>
      <c r="U809" s="157">
        <v>2800</v>
      </c>
      <c r="V809" s="158">
        <f t="shared" si="270"/>
        <v>2350</v>
      </c>
      <c r="W809" s="159">
        <f t="shared" si="254"/>
        <v>450</v>
      </c>
      <c r="X809" s="159">
        <f t="shared" si="255"/>
        <v>4044600</v>
      </c>
      <c r="Y809" s="160"/>
      <c r="Z809" s="160">
        <f t="shared" si="256"/>
        <v>0</v>
      </c>
      <c r="AA809" s="165"/>
      <c r="AB809" s="161">
        <f t="shared" si="257"/>
        <v>0</v>
      </c>
      <c r="AC809" s="162"/>
      <c r="AD809" s="162">
        <f t="shared" si="271"/>
        <v>0</v>
      </c>
      <c r="AE809" s="164"/>
      <c r="AF809" s="164">
        <f t="shared" si="272"/>
        <v>0</v>
      </c>
      <c r="AG809" s="165"/>
      <c r="AH809" s="165">
        <f t="shared" si="273"/>
        <v>0</v>
      </c>
      <c r="AI809" s="166">
        <v>0</v>
      </c>
      <c r="AJ809" s="166">
        <f t="shared" si="274"/>
        <v>0</v>
      </c>
      <c r="AK809" s="162"/>
      <c r="AL809" s="162">
        <f t="shared" si="269"/>
        <v>0</v>
      </c>
      <c r="AM809" s="173"/>
      <c r="AN809" s="167">
        <f t="shared" si="258"/>
        <v>0</v>
      </c>
      <c r="AO809" s="163"/>
      <c r="AP809" s="163">
        <f t="shared" si="259"/>
        <v>0</v>
      </c>
      <c r="AQ809" s="168"/>
      <c r="AR809" s="168">
        <f t="shared" si="260"/>
        <v>0</v>
      </c>
      <c r="AS809" s="170">
        <f>200+100</f>
        <v>300</v>
      </c>
      <c r="AT809" s="170">
        <f t="shared" si="261"/>
        <v>2696400</v>
      </c>
      <c r="AU809" s="166">
        <v>150</v>
      </c>
      <c r="AV809" s="166">
        <f t="shared" si="262"/>
        <v>1348200</v>
      </c>
    </row>
    <row r="810" spans="1:49" s="239" customFormat="1" ht="31.5">
      <c r="A810" s="148" t="s">
        <v>5590</v>
      </c>
      <c r="B810" s="150" t="s">
        <v>5323</v>
      </c>
      <c r="C810" s="150" t="s">
        <v>5324</v>
      </c>
      <c r="D810" s="634" t="s">
        <v>5591</v>
      </c>
      <c r="E810" s="631" t="s">
        <v>12642</v>
      </c>
      <c r="F810" s="175" t="s">
        <v>270</v>
      </c>
      <c r="G810" s="151" t="s">
        <v>272</v>
      </c>
      <c r="H810" s="174" t="s">
        <v>5554</v>
      </c>
      <c r="I810" s="150" t="s">
        <v>271</v>
      </c>
      <c r="J810" s="153" t="s">
        <v>5150</v>
      </c>
      <c r="K810" s="151" t="s">
        <v>5104</v>
      </c>
      <c r="L810" s="151" t="s">
        <v>273</v>
      </c>
      <c r="M810" s="151" t="s">
        <v>255</v>
      </c>
      <c r="N810" s="152" t="s">
        <v>213</v>
      </c>
      <c r="O810" s="152" t="s">
        <v>10</v>
      </c>
      <c r="P810" s="176">
        <v>1700</v>
      </c>
      <c r="Q810" s="177">
        <v>609</v>
      </c>
      <c r="R810" s="176">
        <v>3000</v>
      </c>
      <c r="S810" s="156">
        <f t="shared" si="253"/>
        <v>1827000</v>
      </c>
      <c r="T810" s="589"/>
      <c r="U810" s="157">
        <v>2300</v>
      </c>
      <c r="V810" s="158">
        <f t="shared" si="270"/>
        <v>2300</v>
      </c>
      <c r="W810" s="159">
        <f t="shared" si="254"/>
        <v>0</v>
      </c>
      <c r="X810" s="159">
        <f t="shared" si="255"/>
        <v>0</v>
      </c>
      <c r="Y810" s="160"/>
      <c r="Z810" s="160">
        <f t="shared" si="256"/>
        <v>0</v>
      </c>
      <c r="AA810" s="165"/>
      <c r="AB810" s="161">
        <f t="shared" si="257"/>
        <v>0</v>
      </c>
      <c r="AC810" s="162"/>
      <c r="AD810" s="162">
        <f t="shared" si="271"/>
        <v>0</v>
      </c>
      <c r="AE810" s="164"/>
      <c r="AF810" s="164">
        <f t="shared" si="272"/>
        <v>0</v>
      </c>
      <c r="AG810" s="165"/>
      <c r="AH810" s="165">
        <f t="shared" si="273"/>
        <v>0</v>
      </c>
      <c r="AI810" s="166">
        <v>0</v>
      </c>
      <c r="AJ810" s="166">
        <f t="shared" si="274"/>
        <v>0</v>
      </c>
      <c r="AK810" s="162"/>
      <c r="AL810" s="162">
        <f t="shared" si="269"/>
        <v>0</v>
      </c>
      <c r="AM810" s="173"/>
      <c r="AN810" s="167">
        <f t="shared" si="258"/>
        <v>0</v>
      </c>
      <c r="AO810" s="163"/>
      <c r="AP810" s="163">
        <f t="shared" si="259"/>
        <v>0</v>
      </c>
      <c r="AQ810" s="168"/>
      <c r="AR810" s="168">
        <f t="shared" si="260"/>
        <v>0</v>
      </c>
      <c r="AS810" s="170"/>
      <c r="AT810" s="170">
        <f t="shared" si="261"/>
        <v>0</v>
      </c>
      <c r="AU810" s="166"/>
      <c r="AV810" s="166">
        <f t="shared" si="262"/>
        <v>0</v>
      </c>
    </row>
    <row r="811" spans="1:49" s="239" customFormat="1" ht="31.5">
      <c r="A811" s="148" t="s">
        <v>7007</v>
      </c>
      <c r="B811" s="150" t="s">
        <v>5323</v>
      </c>
      <c r="C811" s="150" t="s">
        <v>5324</v>
      </c>
      <c r="D811" s="240" t="s">
        <v>4226</v>
      </c>
      <c r="E811" s="590" t="s">
        <v>12642</v>
      </c>
      <c r="F811" s="203" t="s">
        <v>7008</v>
      </c>
      <c r="G811" s="204" t="s">
        <v>4229</v>
      </c>
      <c r="H811" s="204">
        <v>3</v>
      </c>
      <c r="I811" s="203" t="s">
        <v>4227</v>
      </c>
      <c r="J811" s="205" t="s">
        <v>7009</v>
      </c>
      <c r="K811" s="203" t="s">
        <v>5104</v>
      </c>
      <c r="L811" s="205" t="s">
        <v>7010</v>
      </c>
      <c r="M811" s="205" t="s">
        <v>7011</v>
      </c>
      <c r="N811" s="204" t="s">
        <v>213</v>
      </c>
      <c r="O811" s="204" t="s">
        <v>12</v>
      </c>
      <c r="P811" s="206">
        <v>2400</v>
      </c>
      <c r="Q811" s="206">
        <v>1386</v>
      </c>
      <c r="R811" s="207">
        <v>10000</v>
      </c>
      <c r="S811" s="207">
        <f t="shared" si="253"/>
        <v>13860000</v>
      </c>
      <c r="T811" s="589"/>
      <c r="U811" s="157">
        <v>10000</v>
      </c>
      <c r="V811" s="158">
        <f t="shared" si="270"/>
        <v>6850</v>
      </c>
      <c r="W811" s="159">
        <f t="shared" si="254"/>
        <v>3150</v>
      </c>
      <c r="X811" s="159">
        <f t="shared" si="255"/>
        <v>4365900</v>
      </c>
      <c r="Y811" s="160"/>
      <c r="Z811" s="160">
        <f t="shared" si="256"/>
        <v>0</v>
      </c>
      <c r="AA811" s="165">
        <v>1150</v>
      </c>
      <c r="AB811" s="161">
        <f t="shared" si="257"/>
        <v>1593900</v>
      </c>
      <c r="AC811" s="162"/>
      <c r="AD811" s="162">
        <f t="shared" si="271"/>
        <v>0</v>
      </c>
      <c r="AE811" s="164"/>
      <c r="AF811" s="164">
        <f t="shared" si="272"/>
        <v>0</v>
      </c>
      <c r="AG811" s="165"/>
      <c r="AH811" s="165">
        <f t="shared" si="273"/>
        <v>0</v>
      </c>
      <c r="AI811" s="166">
        <v>0</v>
      </c>
      <c r="AJ811" s="166">
        <f t="shared" si="274"/>
        <v>0</v>
      </c>
      <c r="AK811" s="162"/>
      <c r="AL811" s="162">
        <f t="shared" si="269"/>
        <v>0</v>
      </c>
      <c r="AM811" s="173"/>
      <c r="AN811" s="167">
        <f t="shared" si="258"/>
        <v>0</v>
      </c>
      <c r="AO811" s="163"/>
      <c r="AP811" s="163">
        <f t="shared" si="259"/>
        <v>0</v>
      </c>
      <c r="AQ811" s="168"/>
      <c r="AR811" s="168">
        <f t="shared" si="260"/>
        <v>0</v>
      </c>
      <c r="AS811" s="170">
        <v>2000</v>
      </c>
      <c r="AT811" s="170">
        <f t="shared" si="261"/>
        <v>2772000</v>
      </c>
      <c r="AU811" s="166"/>
      <c r="AV811" s="166">
        <f t="shared" si="262"/>
        <v>0</v>
      </c>
    </row>
    <row r="812" spans="1:49" s="239" customFormat="1" ht="31.5">
      <c r="A812" s="148" t="s">
        <v>7339</v>
      </c>
      <c r="B812" s="150" t="s">
        <v>5323</v>
      </c>
      <c r="C812" s="150" t="s">
        <v>5324</v>
      </c>
      <c r="D812" s="240" t="s">
        <v>4572</v>
      </c>
      <c r="E812" s="590" t="s">
        <v>12643</v>
      </c>
      <c r="F812" s="203" t="s">
        <v>4491</v>
      </c>
      <c r="G812" s="204" t="s">
        <v>4574</v>
      </c>
      <c r="H812" s="204">
        <v>3</v>
      </c>
      <c r="I812" s="203" t="s">
        <v>4573</v>
      </c>
      <c r="J812" s="205" t="s">
        <v>7340</v>
      </c>
      <c r="K812" s="203" t="s">
        <v>5104</v>
      </c>
      <c r="L812" s="205" t="s">
        <v>7341</v>
      </c>
      <c r="M812" s="205" t="s">
        <v>7011</v>
      </c>
      <c r="N812" s="204" t="s">
        <v>213</v>
      </c>
      <c r="O812" s="204" t="s">
        <v>658</v>
      </c>
      <c r="P812" s="206">
        <v>21000</v>
      </c>
      <c r="Q812" s="206">
        <v>5985</v>
      </c>
      <c r="R812" s="207">
        <v>3000</v>
      </c>
      <c r="S812" s="207">
        <f t="shared" si="253"/>
        <v>17955000</v>
      </c>
      <c r="T812" s="589"/>
      <c r="U812" s="157">
        <v>3000</v>
      </c>
      <c r="V812" s="158">
        <f t="shared" si="270"/>
        <v>2440</v>
      </c>
      <c r="W812" s="159">
        <f t="shared" si="254"/>
        <v>560</v>
      </c>
      <c r="X812" s="159">
        <f t="shared" si="255"/>
        <v>3351600</v>
      </c>
      <c r="Y812" s="160"/>
      <c r="Z812" s="160">
        <f t="shared" si="256"/>
        <v>0</v>
      </c>
      <c r="AA812" s="165">
        <v>170</v>
      </c>
      <c r="AB812" s="161">
        <f t="shared" si="257"/>
        <v>1017450</v>
      </c>
      <c r="AC812" s="162"/>
      <c r="AD812" s="162">
        <f t="shared" si="271"/>
        <v>0</v>
      </c>
      <c r="AE812" s="164"/>
      <c r="AF812" s="164">
        <f t="shared" si="272"/>
        <v>0</v>
      </c>
      <c r="AG812" s="165"/>
      <c r="AH812" s="165">
        <f t="shared" si="273"/>
        <v>0</v>
      </c>
      <c r="AI812" s="166">
        <v>0</v>
      </c>
      <c r="AJ812" s="166">
        <f t="shared" si="274"/>
        <v>0</v>
      </c>
      <c r="AK812" s="162"/>
      <c r="AL812" s="162">
        <f t="shared" si="269"/>
        <v>0</v>
      </c>
      <c r="AM812" s="173">
        <v>200</v>
      </c>
      <c r="AN812" s="167">
        <f t="shared" si="258"/>
        <v>1197000</v>
      </c>
      <c r="AO812" s="163"/>
      <c r="AP812" s="163">
        <f t="shared" si="259"/>
        <v>0</v>
      </c>
      <c r="AQ812" s="168"/>
      <c r="AR812" s="168">
        <f t="shared" si="260"/>
        <v>0</v>
      </c>
      <c r="AS812" s="170">
        <f>100+90</f>
        <v>190</v>
      </c>
      <c r="AT812" s="170">
        <f t="shared" si="261"/>
        <v>1137150</v>
      </c>
      <c r="AU812" s="166"/>
      <c r="AV812" s="166">
        <f t="shared" si="262"/>
        <v>0</v>
      </c>
    </row>
    <row r="813" spans="1:49" s="239" customFormat="1" ht="31.5">
      <c r="A813" s="148" t="s">
        <v>7626</v>
      </c>
      <c r="B813" s="150" t="s">
        <v>5323</v>
      </c>
      <c r="C813" s="150" t="s">
        <v>5324</v>
      </c>
      <c r="D813" s="240" t="s">
        <v>3818</v>
      </c>
      <c r="E813" s="590" t="s">
        <v>12642</v>
      </c>
      <c r="F813" s="203" t="s">
        <v>750</v>
      </c>
      <c r="G813" s="204" t="s">
        <v>232</v>
      </c>
      <c r="H813" s="204">
        <v>3</v>
      </c>
      <c r="I813" s="203" t="s">
        <v>3819</v>
      </c>
      <c r="J813" s="205" t="s">
        <v>7627</v>
      </c>
      <c r="K813" s="203" t="s">
        <v>5104</v>
      </c>
      <c r="L813" s="205" t="s">
        <v>7628</v>
      </c>
      <c r="M813" s="205" t="s">
        <v>7011</v>
      </c>
      <c r="N813" s="204" t="s">
        <v>213</v>
      </c>
      <c r="O813" s="204" t="s">
        <v>11</v>
      </c>
      <c r="P813" s="206">
        <v>2100</v>
      </c>
      <c r="Q813" s="206">
        <v>1554</v>
      </c>
      <c r="R813" s="207">
        <v>15000</v>
      </c>
      <c r="S813" s="207">
        <f t="shared" si="253"/>
        <v>23310000</v>
      </c>
      <c r="T813" s="589"/>
      <c r="U813" s="157">
        <v>15000</v>
      </c>
      <c r="V813" s="158">
        <f t="shared" si="270"/>
        <v>14750</v>
      </c>
      <c r="W813" s="159">
        <f t="shared" si="254"/>
        <v>250</v>
      </c>
      <c r="X813" s="159">
        <f t="shared" si="255"/>
        <v>388500</v>
      </c>
      <c r="Y813" s="160"/>
      <c r="Z813" s="160">
        <f t="shared" si="256"/>
        <v>0</v>
      </c>
      <c r="AA813" s="165">
        <v>250</v>
      </c>
      <c r="AB813" s="161">
        <f t="shared" si="257"/>
        <v>388500</v>
      </c>
      <c r="AC813" s="162"/>
      <c r="AD813" s="162">
        <f t="shared" si="271"/>
        <v>0</v>
      </c>
      <c r="AE813" s="163"/>
      <c r="AF813" s="164">
        <f t="shared" si="272"/>
        <v>0</v>
      </c>
      <c r="AG813" s="161"/>
      <c r="AH813" s="165">
        <f t="shared" si="273"/>
        <v>0</v>
      </c>
      <c r="AI813" s="160">
        <v>0</v>
      </c>
      <c r="AJ813" s="166">
        <f t="shared" si="274"/>
        <v>0</v>
      </c>
      <c r="AK813" s="162"/>
      <c r="AL813" s="162">
        <f t="shared" si="269"/>
        <v>0</v>
      </c>
      <c r="AM813" s="173"/>
      <c r="AN813" s="167">
        <f t="shared" si="258"/>
        <v>0</v>
      </c>
      <c r="AO813" s="163"/>
      <c r="AP813" s="163">
        <f t="shared" si="259"/>
        <v>0</v>
      </c>
      <c r="AQ813" s="162"/>
      <c r="AR813" s="168">
        <f t="shared" si="260"/>
        <v>0</v>
      </c>
      <c r="AS813" s="169"/>
      <c r="AT813" s="170">
        <f t="shared" si="261"/>
        <v>0</v>
      </c>
      <c r="AU813" s="160"/>
      <c r="AV813" s="166">
        <f t="shared" si="262"/>
        <v>0</v>
      </c>
    </row>
    <row r="814" spans="1:49" s="239" customFormat="1" ht="31.5">
      <c r="A814" s="148" t="s">
        <v>7629</v>
      </c>
      <c r="B814" s="150" t="s">
        <v>5323</v>
      </c>
      <c r="C814" s="150" t="s">
        <v>5324</v>
      </c>
      <c r="D814" s="240" t="s">
        <v>3821</v>
      </c>
      <c r="E814" s="590" t="s">
        <v>12642</v>
      </c>
      <c r="F814" s="203" t="s">
        <v>750</v>
      </c>
      <c r="G814" s="204" t="s">
        <v>262</v>
      </c>
      <c r="H814" s="204">
        <v>3</v>
      </c>
      <c r="I814" s="203" t="s">
        <v>3822</v>
      </c>
      <c r="J814" s="205" t="s">
        <v>7627</v>
      </c>
      <c r="K814" s="203" t="s">
        <v>5104</v>
      </c>
      <c r="L814" s="205" t="s">
        <v>7630</v>
      </c>
      <c r="M814" s="205" t="s">
        <v>7011</v>
      </c>
      <c r="N814" s="204" t="s">
        <v>213</v>
      </c>
      <c r="O814" s="204" t="s">
        <v>11</v>
      </c>
      <c r="P814" s="206">
        <v>2200</v>
      </c>
      <c r="Q814" s="206">
        <v>1869</v>
      </c>
      <c r="R814" s="207">
        <v>10000</v>
      </c>
      <c r="S814" s="207">
        <f t="shared" si="253"/>
        <v>18690000</v>
      </c>
      <c r="T814" s="589"/>
      <c r="U814" s="157">
        <v>10000</v>
      </c>
      <c r="V814" s="158">
        <f t="shared" si="270"/>
        <v>9930</v>
      </c>
      <c r="W814" s="159">
        <f t="shared" si="254"/>
        <v>70</v>
      </c>
      <c r="X814" s="159">
        <f t="shared" si="255"/>
        <v>130830</v>
      </c>
      <c r="Y814" s="160"/>
      <c r="Z814" s="160">
        <f t="shared" si="256"/>
        <v>0</v>
      </c>
      <c r="AA814" s="165"/>
      <c r="AB814" s="161">
        <f t="shared" si="257"/>
        <v>0</v>
      </c>
      <c r="AC814" s="162"/>
      <c r="AD814" s="162">
        <f t="shared" si="271"/>
        <v>0</v>
      </c>
      <c r="AE814" s="163"/>
      <c r="AF814" s="164">
        <f t="shared" si="272"/>
        <v>0</v>
      </c>
      <c r="AG814" s="161"/>
      <c r="AH814" s="165">
        <f t="shared" si="273"/>
        <v>0</v>
      </c>
      <c r="AI814" s="160">
        <v>0</v>
      </c>
      <c r="AJ814" s="166">
        <f t="shared" si="274"/>
        <v>0</v>
      </c>
      <c r="AK814" s="162"/>
      <c r="AL814" s="162">
        <f t="shared" si="269"/>
        <v>0</v>
      </c>
      <c r="AM814" s="173">
        <v>50</v>
      </c>
      <c r="AN814" s="167">
        <f t="shared" si="258"/>
        <v>93450</v>
      </c>
      <c r="AO814" s="163"/>
      <c r="AP814" s="163">
        <f t="shared" si="259"/>
        <v>0</v>
      </c>
      <c r="AQ814" s="162"/>
      <c r="AR814" s="168">
        <f t="shared" si="260"/>
        <v>0</v>
      </c>
      <c r="AS814" s="169">
        <v>20</v>
      </c>
      <c r="AT814" s="170">
        <f t="shared" si="261"/>
        <v>37380</v>
      </c>
      <c r="AU814" s="160"/>
      <c r="AV814" s="166">
        <f t="shared" si="262"/>
        <v>0</v>
      </c>
    </row>
    <row r="815" spans="1:49" s="239" customFormat="1" ht="31.5">
      <c r="A815" s="172" t="s">
        <v>7952</v>
      </c>
      <c r="B815" s="150" t="s">
        <v>5323</v>
      </c>
      <c r="C815" s="150" t="s">
        <v>5324</v>
      </c>
      <c r="D815" s="240" t="s">
        <v>3762</v>
      </c>
      <c r="E815" s="590" t="s">
        <v>12642</v>
      </c>
      <c r="F815" s="203" t="s">
        <v>2038</v>
      </c>
      <c r="G815" s="204" t="s">
        <v>225</v>
      </c>
      <c r="H815" s="204">
        <v>3</v>
      </c>
      <c r="I815" s="203" t="s">
        <v>3763</v>
      </c>
      <c r="J815" s="205" t="s">
        <v>7953</v>
      </c>
      <c r="K815" s="203" t="s">
        <v>5104</v>
      </c>
      <c r="L815" s="205" t="s">
        <v>7954</v>
      </c>
      <c r="M815" s="205" t="s">
        <v>7011</v>
      </c>
      <c r="N815" s="204" t="s">
        <v>213</v>
      </c>
      <c r="O815" s="204" t="s">
        <v>11</v>
      </c>
      <c r="P815" s="206">
        <v>1155</v>
      </c>
      <c r="Q815" s="206">
        <v>420</v>
      </c>
      <c r="R815" s="207">
        <v>200000</v>
      </c>
      <c r="S815" s="207">
        <f t="shared" si="253"/>
        <v>84000000</v>
      </c>
      <c r="T815" s="589"/>
      <c r="U815" s="157">
        <v>200000</v>
      </c>
      <c r="V815" s="158">
        <f t="shared" si="270"/>
        <v>117590</v>
      </c>
      <c r="W815" s="159">
        <f t="shared" si="254"/>
        <v>82410</v>
      </c>
      <c r="X815" s="159">
        <f t="shared" si="255"/>
        <v>34612200</v>
      </c>
      <c r="Y815" s="160"/>
      <c r="Z815" s="160">
        <f t="shared" si="256"/>
        <v>0</v>
      </c>
      <c r="AA815" s="161"/>
      <c r="AB815" s="161">
        <f t="shared" si="257"/>
        <v>0</v>
      </c>
      <c r="AC815" s="162"/>
      <c r="AD815" s="162">
        <f t="shared" si="271"/>
        <v>0</v>
      </c>
      <c r="AE815" s="163"/>
      <c r="AF815" s="164">
        <f t="shared" si="272"/>
        <v>0</v>
      </c>
      <c r="AG815" s="161"/>
      <c r="AH815" s="165">
        <f t="shared" si="273"/>
        <v>0</v>
      </c>
      <c r="AI815" s="160">
        <v>0</v>
      </c>
      <c r="AJ815" s="166">
        <f t="shared" si="274"/>
        <v>0</v>
      </c>
      <c r="AK815" s="162"/>
      <c r="AL815" s="162">
        <f t="shared" si="269"/>
        <v>0</v>
      </c>
      <c r="AM815" s="167">
        <v>34920</v>
      </c>
      <c r="AN815" s="167">
        <f t="shared" si="258"/>
        <v>14666400</v>
      </c>
      <c r="AO815" s="163"/>
      <c r="AP815" s="163">
        <f t="shared" si="259"/>
        <v>0</v>
      </c>
      <c r="AQ815" s="162"/>
      <c r="AR815" s="168">
        <f t="shared" si="260"/>
        <v>0</v>
      </c>
      <c r="AS815" s="169">
        <f>7500+39990</f>
        <v>47490</v>
      </c>
      <c r="AT815" s="170">
        <f t="shared" si="261"/>
        <v>19945800</v>
      </c>
      <c r="AU815" s="160"/>
      <c r="AV815" s="166">
        <f t="shared" si="262"/>
        <v>0</v>
      </c>
    </row>
    <row r="816" spans="1:49" s="239" customFormat="1" ht="31.5">
      <c r="A816" s="148" t="s">
        <v>8013</v>
      </c>
      <c r="B816" s="150" t="s">
        <v>5323</v>
      </c>
      <c r="C816" s="150" t="s">
        <v>5324</v>
      </c>
      <c r="D816" s="240" t="s">
        <v>3798</v>
      </c>
      <c r="E816" s="590" t="s">
        <v>12642</v>
      </c>
      <c r="F816" s="203" t="s">
        <v>2452</v>
      </c>
      <c r="G816" s="204" t="s">
        <v>258</v>
      </c>
      <c r="H816" s="204">
        <v>3</v>
      </c>
      <c r="I816" s="203" t="s">
        <v>3799</v>
      </c>
      <c r="J816" s="205" t="s">
        <v>8014</v>
      </c>
      <c r="K816" s="203" t="s">
        <v>253</v>
      </c>
      <c r="L816" s="205" t="s">
        <v>8015</v>
      </c>
      <c r="M816" s="205" t="s">
        <v>7011</v>
      </c>
      <c r="N816" s="204" t="s">
        <v>213</v>
      </c>
      <c r="O816" s="204" t="s">
        <v>11</v>
      </c>
      <c r="P816" s="206">
        <v>630</v>
      </c>
      <c r="Q816" s="206">
        <v>399</v>
      </c>
      <c r="R816" s="207">
        <v>25000</v>
      </c>
      <c r="S816" s="207">
        <f t="shared" si="253"/>
        <v>9975000</v>
      </c>
      <c r="T816" s="589"/>
      <c r="U816" s="157">
        <v>25000</v>
      </c>
      <c r="V816" s="158">
        <f t="shared" si="270"/>
        <v>23600</v>
      </c>
      <c r="W816" s="159">
        <f t="shared" si="254"/>
        <v>1400</v>
      </c>
      <c r="X816" s="159">
        <f t="shared" si="255"/>
        <v>558600</v>
      </c>
      <c r="Y816" s="160"/>
      <c r="Z816" s="160">
        <f t="shared" si="256"/>
        <v>0</v>
      </c>
      <c r="AA816" s="161">
        <v>1400</v>
      </c>
      <c r="AB816" s="161">
        <f t="shared" si="257"/>
        <v>558600</v>
      </c>
      <c r="AC816" s="162"/>
      <c r="AD816" s="162">
        <f t="shared" si="271"/>
        <v>0</v>
      </c>
      <c r="AE816" s="164"/>
      <c r="AF816" s="164">
        <f t="shared" si="272"/>
        <v>0</v>
      </c>
      <c r="AG816" s="165"/>
      <c r="AH816" s="165">
        <f t="shared" si="273"/>
        <v>0</v>
      </c>
      <c r="AI816" s="166">
        <v>0</v>
      </c>
      <c r="AJ816" s="166">
        <f t="shared" si="274"/>
        <v>0</v>
      </c>
      <c r="AK816" s="162"/>
      <c r="AL816" s="162">
        <f t="shared" si="269"/>
        <v>0</v>
      </c>
      <c r="AM816" s="167"/>
      <c r="AN816" s="167">
        <f t="shared" si="258"/>
        <v>0</v>
      </c>
      <c r="AO816" s="163"/>
      <c r="AP816" s="163">
        <f t="shared" si="259"/>
        <v>0</v>
      </c>
      <c r="AQ816" s="168"/>
      <c r="AR816" s="168">
        <f t="shared" si="260"/>
        <v>0</v>
      </c>
      <c r="AS816" s="170"/>
      <c r="AT816" s="170">
        <f t="shared" si="261"/>
        <v>0</v>
      </c>
      <c r="AU816" s="166"/>
      <c r="AV816" s="166">
        <f t="shared" si="262"/>
        <v>0</v>
      </c>
    </row>
    <row r="817" spans="1:48" s="239" customFormat="1" ht="31.5">
      <c r="A817" s="148" t="s">
        <v>8035</v>
      </c>
      <c r="B817" s="150" t="s">
        <v>5323</v>
      </c>
      <c r="C817" s="150" t="s">
        <v>5324</v>
      </c>
      <c r="D817" s="240" t="s">
        <v>3993</v>
      </c>
      <c r="E817" s="590" t="s">
        <v>12642</v>
      </c>
      <c r="F817" s="203" t="s">
        <v>3793</v>
      </c>
      <c r="G817" s="204" t="s">
        <v>4134</v>
      </c>
      <c r="H817" s="204">
        <v>3</v>
      </c>
      <c r="I817" s="203" t="s">
        <v>8036</v>
      </c>
      <c r="J817" s="205" t="s">
        <v>8037</v>
      </c>
      <c r="K817" s="203" t="s">
        <v>5104</v>
      </c>
      <c r="L817" s="205" t="s">
        <v>8038</v>
      </c>
      <c r="M817" s="205" t="s">
        <v>7011</v>
      </c>
      <c r="N817" s="204" t="s">
        <v>213</v>
      </c>
      <c r="O817" s="204" t="s">
        <v>12</v>
      </c>
      <c r="P817" s="206">
        <v>1890</v>
      </c>
      <c r="Q817" s="206">
        <v>720</v>
      </c>
      <c r="R817" s="207">
        <v>50000</v>
      </c>
      <c r="S817" s="207">
        <f t="shared" si="253"/>
        <v>36000000</v>
      </c>
      <c r="T817" s="589"/>
      <c r="U817" s="157">
        <v>50000</v>
      </c>
      <c r="V817" s="158">
        <f t="shared" si="270"/>
        <v>46000</v>
      </c>
      <c r="W817" s="159">
        <f t="shared" si="254"/>
        <v>4000</v>
      </c>
      <c r="X817" s="159">
        <f t="shared" si="255"/>
        <v>2880000</v>
      </c>
      <c r="Y817" s="160"/>
      <c r="Z817" s="160">
        <f t="shared" si="256"/>
        <v>0</v>
      </c>
      <c r="AA817" s="165">
        <v>4000</v>
      </c>
      <c r="AB817" s="161">
        <f t="shared" si="257"/>
        <v>2880000</v>
      </c>
      <c r="AC817" s="162"/>
      <c r="AD817" s="162">
        <f t="shared" si="271"/>
        <v>0</v>
      </c>
      <c r="AE817" s="164"/>
      <c r="AF817" s="164">
        <f t="shared" si="272"/>
        <v>0</v>
      </c>
      <c r="AG817" s="165"/>
      <c r="AH817" s="165">
        <f t="shared" si="273"/>
        <v>0</v>
      </c>
      <c r="AI817" s="166">
        <v>0</v>
      </c>
      <c r="AJ817" s="166">
        <f t="shared" si="274"/>
        <v>0</v>
      </c>
      <c r="AK817" s="162"/>
      <c r="AL817" s="162">
        <f t="shared" si="269"/>
        <v>0</v>
      </c>
      <c r="AM817" s="173"/>
      <c r="AN817" s="167">
        <f t="shared" si="258"/>
        <v>0</v>
      </c>
      <c r="AO817" s="163"/>
      <c r="AP817" s="163">
        <f t="shared" si="259"/>
        <v>0</v>
      </c>
      <c r="AQ817" s="168"/>
      <c r="AR817" s="168">
        <f t="shared" si="260"/>
        <v>0</v>
      </c>
      <c r="AS817" s="170"/>
      <c r="AT817" s="170">
        <f t="shared" si="261"/>
        <v>0</v>
      </c>
      <c r="AU817" s="166"/>
      <c r="AV817" s="166">
        <f t="shared" si="262"/>
        <v>0</v>
      </c>
    </row>
    <row r="818" spans="1:48" s="239" customFormat="1" ht="31.5">
      <c r="A818" s="148" t="s">
        <v>8417</v>
      </c>
      <c r="B818" s="150" t="s">
        <v>5323</v>
      </c>
      <c r="C818" s="150" t="s">
        <v>5324</v>
      </c>
      <c r="D818" s="240" t="s">
        <v>4470</v>
      </c>
      <c r="E818" s="590" t="s">
        <v>12642</v>
      </c>
      <c r="F818" s="203" t="s">
        <v>1368</v>
      </c>
      <c r="G818" s="204" t="s">
        <v>1941</v>
      </c>
      <c r="H818" s="204">
        <v>5</v>
      </c>
      <c r="I818" s="203" t="s">
        <v>2725</v>
      </c>
      <c r="J818" s="205" t="s">
        <v>7340</v>
      </c>
      <c r="K818" s="203" t="s">
        <v>253</v>
      </c>
      <c r="L818" s="205" t="s">
        <v>8418</v>
      </c>
      <c r="M818" s="205" t="s">
        <v>7011</v>
      </c>
      <c r="N818" s="204" t="s">
        <v>213</v>
      </c>
      <c r="O818" s="204" t="s">
        <v>658</v>
      </c>
      <c r="P818" s="206">
        <v>11025</v>
      </c>
      <c r="Q818" s="206">
        <v>2394</v>
      </c>
      <c r="R818" s="207">
        <v>1500</v>
      </c>
      <c r="S818" s="207">
        <f t="shared" si="253"/>
        <v>3591000</v>
      </c>
      <c r="T818" s="589"/>
      <c r="U818" s="157">
        <v>1500</v>
      </c>
      <c r="V818" s="158">
        <f t="shared" si="270"/>
        <v>1320</v>
      </c>
      <c r="W818" s="159">
        <f t="shared" si="254"/>
        <v>180</v>
      </c>
      <c r="X818" s="159">
        <f t="shared" si="255"/>
        <v>430920</v>
      </c>
      <c r="Y818" s="160"/>
      <c r="Z818" s="160">
        <f t="shared" si="256"/>
        <v>0</v>
      </c>
      <c r="AA818" s="165">
        <v>50</v>
      </c>
      <c r="AB818" s="161">
        <f t="shared" si="257"/>
        <v>119700</v>
      </c>
      <c r="AC818" s="162"/>
      <c r="AD818" s="162">
        <f t="shared" si="271"/>
        <v>0</v>
      </c>
      <c r="AE818" s="164"/>
      <c r="AF818" s="164">
        <f t="shared" si="272"/>
        <v>0</v>
      </c>
      <c r="AG818" s="165"/>
      <c r="AH818" s="165">
        <f t="shared" si="273"/>
        <v>0</v>
      </c>
      <c r="AI818" s="166">
        <v>0</v>
      </c>
      <c r="AJ818" s="166">
        <f t="shared" si="274"/>
        <v>0</v>
      </c>
      <c r="AK818" s="162"/>
      <c r="AL818" s="162">
        <f t="shared" si="269"/>
        <v>0</v>
      </c>
      <c r="AM818" s="173"/>
      <c r="AN818" s="167">
        <f t="shared" si="258"/>
        <v>0</v>
      </c>
      <c r="AO818" s="163"/>
      <c r="AP818" s="163">
        <f t="shared" si="259"/>
        <v>0</v>
      </c>
      <c r="AQ818" s="168"/>
      <c r="AR818" s="168">
        <f t="shared" si="260"/>
        <v>0</v>
      </c>
      <c r="AS818" s="170">
        <f>100+30</f>
        <v>130</v>
      </c>
      <c r="AT818" s="170">
        <f t="shared" si="261"/>
        <v>311220</v>
      </c>
      <c r="AU818" s="166"/>
      <c r="AV818" s="166">
        <f t="shared" si="262"/>
        <v>0</v>
      </c>
    </row>
    <row r="819" spans="1:48" s="239" customFormat="1" ht="31.5">
      <c r="A819" s="172" t="s">
        <v>5228</v>
      </c>
      <c r="B819" s="150" t="s">
        <v>5229</v>
      </c>
      <c r="C819" s="150" t="s">
        <v>5230</v>
      </c>
      <c r="D819" s="634" t="s">
        <v>5231</v>
      </c>
      <c r="E819" s="631"/>
      <c r="F819" s="175" t="s">
        <v>286</v>
      </c>
      <c r="G819" s="151" t="s">
        <v>225</v>
      </c>
      <c r="H819" s="174" t="s">
        <v>211</v>
      </c>
      <c r="I819" s="150" t="s">
        <v>5232</v>
      </c>
      <c r="J819" s="153" t="s">
        <v>5107</v>
      </c>
      <c r="K819" s="151" t="s">
        <v>5104</v>
      </c>
      <c r="L819" s="151" t="s">
        <v>5233</v>
      </c>
      <c r="M819" s="151" t="s">
        <v>5234</v>
      </c>
      <c r="N819" s="151" t="s">
        <v>5222</v>
      </c>
      <c r="O819" s="152" t="s">
        <v>10</v>
      </c>
      <c r="P819" s="154">
        <v>35000</v>
      </c>
      <c r="Q819" s="155">
        <v>21480</v>
      </c>
      <c r="R819" s="154">
        <v>54600</v>
      </c>
      <c r="S819" s="156">
        <f t="shared" si="253"/>
        <v>1172808000</v>
      </c>
      <c r="T819" s="589"/>
      <c r="U819" s="157">
        <v>54600</v>
      </c>
      <c r="V819" s="158">
        <f t="shared" si="270"/>
        <v>54600</v>
      </c>
      <c r="W819" s="159">
        <f t="shared" si="254"/>
        <v>0</v>
      </c>
      <c r="X819" s="159">
        <f t="shared" si="255"/>
        <v>0</v>
      </c>
      <c r="Y819" s="160"/>
      <c r="Z819" s="160">
        <f t="shared" si="256"/>
        <v>0</v>
      </c>
      <c r="AA819" s="161"/>
      <c r="AB819" s="161">
        <f t="shared" si="257"/>
        <v>0</v>
      </c>
      <c r="AC819" s="162"/>
      <c r="AD819" s="162">
        <f t="shared" si="271"/>
        <v>0</v>
      </c>
      <c r="AE819" s="164"/>
      <c r="AF819" s="164">
        <f t="shared" si="272"/>
        <v>0</v>
      </c>
      <c r="AG819" s="165"/>
      <c r="AH819" s="165">
        <f t="shared" si="273"/>
        <v>0</v>
      </c>
      <c r="AI819" s="166">
        <v>0</v>
      </c>
      <c r="AJ819" s="166">
        <f t="shared" si="274"/>
        <v>0</v>
      </c>
      <c r="AK819" s="162"/>
      <c r="AL819" s="162">
        <f t="shared" si="269"/>
        <v>0</v>
      </c>
      <c r="AM819" s="167"/>
      <c r="AN819" s="167">
        <f t="shared" si="258"/>
        <v>0</v>
      </c>
      <c r="AO819" s="163"/>
      <c r="AP819" s="163">
        <f t="shared" si="259"/>
        <v>0</v>
      </c>
      <c r="AQ819" s="168"/>
      <c r="AR819" s="168">
        <f t="shared" si="260"/>
        <v>0</v>
      </c>
      <c r="AS819" s="170"/>
      <c r="AT819" s="170">
        <f t="shared" si="261"/>
        <v>0</v>
      </c>
      <c r="AU819" s="166"/>
      <c r="AV819" s="166">
        <f t="shared" si="262"/>
        <v>0</v>
      </c>
    </row>
    <row r="820" spans="1:48" s="239" customFormat="1" ht="31.5">
      <c r="A820" s="172" t="s">
        <v>5711</v>
      </c>
      <c r="B820" s="150" t="s">
        <v>5229</v>
      </c>
      <c r="C820" s="150" t="s">
        <v>5230</v>
      </c>
      <c r="D820" s="603" t="s">
        <v>5712</v>
      </c>
      <c r="E820" s="588"/>
      <c r="F820" s="183" t="s">
        <v>588</v>
      </c>
      <c r="G820" s="182" t="s">
        <v>229</v>
      </c>
      <c r="H820" s="182" t="s">
        <v>211</v>
      </c>
      <c r="I820" s="184" t="s">
        <v>5713</v>
      </c>
      <c r="J820" s="182" t="s">
        <v>5714</v>
      </c>
      <c r="K820" s="153"/>
      <c r="L820" s="153" t="s">
        <v>5715</v>
      </c>
      <c r="M820" s="153" t="s">
        <v>5716</v>
      </c>
      <c r="N820" s="94" t="s">
        <v>5717</v>
      </c>
      <c r="O820" s="185" t="s">
        <v>10</v>
      </c>
      <c r="P820" s="186"/>
      <c r="Q820" s="186">
        <v>10300</v>
      </c>
      <c r="R820" s="187">
        <v>40000</v>
      </c>
      <c r="S820" s="186">
        <f t="shared" si="253"/>
        <v>412000000</v>
      </c>
      <c r="T820" s="589"/>
      <c r="U820" s="157">
        <v>40000</v>
      </c>
      <c r="V820" s="158">
        <f t="shared" si="270"/>
        <v>40000</v>
      </c>
      <c r="W820" s="159">
        <f t="shared" si="254"/>
        <v>0</v>
      </c>
      <c r="X820" s="159">
        <f t="shared" si="255"/>
        <v>0</v>
      </c>
      <c r="Y820" s="160"/>
      <c r="Z820" s="160">
        <f t="shared" si="256"/>
        <v>0</v>
      </c>
      <c r="AA820" s="161"/>
      <c r="AB820" s="161">
        <f t="shared" si="257"/>
        <v>0</v>
      </c>
      <c r="AC820" s="162"/>
      <c r="AD820" s="162">
        <f t="shared" si="271"/>
        <v>0</v>
      </c>
      <c r="AE820" s="164"/>
      <c r="AF820" s="164">
        <f t="shared" si="272"/>
        <v>0</v>
      </c>
      <c r="AG820" s="165"/>
      <c r="AH820" s="165">
        <f t="shared" si="273"/>
        <v>0</v>
      </c>
      <c r="AI820" s="166">
        <v>0</v>
      </c>
      <c r="AJ820" s="166">
        <f t="shared" si="274"/>
        <v>0</v>
      </c>
      <c r="AK820" s="162"/>
      <c r="AL820" s="162">
        <f t="shared" si="269"/>
        <v>0</v>
      </c>
      <c r="AM820" s="167"/>
      <c r="AN820" s="167">
        <f t="shared" si="258"/>
        <v>0</v>
      </c>
      <c r="AO820" s="163"/>
      <c r="AP820" s="163">
        <f t="shared" si="259"/>
        <v>0</v>
      </c>
      <c r="AQ820" s="168"/>
      <c r="AR820" s="168">
        <f t="shared" si="260"/>
        <v>0</v>
      </c>
      <c r="AS820" s="170"/>
      <c r="AT820" s="170">
        <f t="shared" si="261"/>
        <v>0</v>
      </c>
      <c r="AU820" s="166"/>
      <c r="AV820" s="166">
        <f t="shared" si="262"/>
        <v>0</v>
      </c>
    </row>
    <row r="821" spans="1:48" s="239" customFormat="1" ht="31.5">
      <c r="A821" s="148" t="s">
        <v>5730</v>
      </c>
      <c r="B821" s="150" t="s">
        <v>5229</v>
      </c>
      <c r="C821" s="150" t="s">
        <v>5230</v>
      </c>
      <c r="D821" s="603" t="s">
        <v>4265</v>
      </c>
      <c r="E821" s="588"/>
      <c r="F821" s="183" t="s">
        <v>1302</v>
      </c>
      <c r="G821" s="182" t="s">
        <v>235</v>
      </c>
      <c r="H821" s="182" t="s">
        <v>211</v>
      </c>
      <c r="I821" s="184" t="s">
        <v>4266</v>
      </c>
      <c r="J821" s="182" t="s">
        <v>3524</v>
      </c>
      <c r="K821" s="153"/>
      <c r="L821" s="153" t="s">
        <v>5731</v>
      </c>
      <c r="M821" s="153" t="s">
        <v>5732</v>
      </c>
      <c r="N821" s="94" t="s">
        <v>5733</v>
      </c>
      <c r="O821" s="185" t="s">
        <v>10</v>
      </c>
      <c r="P821" s="186"/>
      <c r="Q821" s="186">
        <v>2540</v>
      </c>
      <c r="R821" s="187">
        <v>20000</v>
      </c>
      <c r="S821" s="186">
        <f t="shared" si="253"/>
        <v>50800000</v>
      </c>
      <c r="T821" s="589"/>
      <c r="U821" s="157">
        <v>20000</v>
      </c>
      <c r="V821" s="158">
        <f t="shared" si="270"/>
        <v>0</v>
      </c>
      <c r="W821" s="159">
        <f t="shared" si="254"/>
        <v>20000</v>
      </c>
      <c r="X821" s="159">
        <f t="shared" si="255"/>
        <v>50800000</v>
      </c>
      <c r="Y821" s="160"/>
      <c r="Z821" s="160">
        <f t="shared" si="256"/>
        <v>0</v>
      </c>
      <c r="AA821" s="161">
        <v>5000</v>
      </c>
      <c r="AB821" s="161">
        <f t="shared" si="257"/>
        <v>12700000</v>
      </c>
      <c r="AC821" s="162"/>
      <c r="AD821" s="162">
        <f t="shared" si="271"/>
        <v>0</v>
      </c>
      <c r="AE821" s="164"/>
      <c r="AF821" s="164">
        <f t="shared" si="272"/>
        <v>0</v>
      </c>
      <c r="AG821" s="165"/>
      <c r="AH821" s="165">
        <f t="shared" si="273"/>
        <v>0</v>
      </c>
      <c r="AI821" s="166">
        <v>0</v>
      </c>
      <c r="AJ821" s="166">
        <f t="shared" si="274"/>
        <v>0</v>
      </c>
      <c r="AK821" s="162"/>
      <c r="AL821" s="162">
        <f t="shared" si="269"/>
        <v>0</v>
      </c>
      <c r="AM821" s="167"/>
      <c r="AN821" s="167">
        <f t="shared" si="258"/>
        <v>0</v>
      </c>
      <c r="AO821" s="163"/>
      <c r="AP821" s="163">
        <f t="shared" si="259"/>
        <v>0</v>
      </c>
      <c r="AQ821" s="168">
        <v>15000</v>
      </c>
      <c r="AR821" s="168">
        <f t="shared" si="260"/>
        <v>38100000</v>
      </c>
      <c r="AS821" s="170"/>
      <c r="AT821" s="170">
        <f t="shared" si="261"/>
        <v>0</v>
      </c>
      <c r="AU821" s="166"/>
      <c r="AV821" s="166">
        <f t="shared" si="262"/>
        <v>0</v>
      </c>
    </row>
    <row r="822" spans="1:48" s="239" customFormat="1">
      <c r="A822" s="148" t="s">
        <v>7452</v>
      </c>
      <c r="B822" s="149" t="s">
        <v>7453</v>
      </c>
      <c r="C822" s="149" t="s">
        <v>1913</v>
      </c>
      <c r="D822" s="240" t="s">
        <v>4504</v>
      </c>
      <c r="E822" s="590" t="s">
        <v>12642</v>
      </c>
      <c r="F822" s="203" t="s">
        <v>1439</v>
      </c>
      <c r="G822" s="204" t="s">
        <v>225</v>
      </c>
      <c r="H822" s="204">
        <v>3</v>
      </c>
      <c r="I822" s="203" t="s">
        <v>1923</v>
      </c>
      <c r="J822" s="205" t="s">
        <v>6935</v>
      </c>
      <c r="K822" s="203" t="s">
        <v>5104</v>
      </c>
      <c r="L822" s="205" t="s">
        <v>1924</v>
      </c>
      <c r="M822" s="205" t="s">
        <v>1913</v>
      </c>
      <c r="N822" s="204" t="s">
        <v>213</v>
      </c>
      <c r="O822" s="204" t="s">
        <v>11</v>
      </c>
      <c r="P822" s="206">
        <v>1395</v>
      </c>
      <c r="Q822" s="206">
        <v>1208</v>
      </c>
      <c r="R822" s="207">
        <v>15000</v>
      </c>
      <c r="S822" s="207">
        <f t="shared" si="253"/>
        <v>18120000</v>
      </c>
      <c r="T822" s="589"/>
      <c r="U822" s="157">
        <v>15000</v>
      </c>
      <c r="V822" s="158">
        <f t="shared" si="270"/>
        <v>14300</v>
      </c>
      <c r="W822" s="159">
        <f t="shared" si="254"/>
        <v>700</v>
      </c>
      <c r="X822" s="159">
        <f t="shared" si="255"/>
        <v>845600</v>
      </c>
      <c r="Y822" s="160"/>
      <c r="Z822" s="160">
        <f t="shared" si="256"/>
        <v>0</v>
      </c>
      <c r="AA822" s="165"/>
      <c r="AB822" s="161">
        <f t="shared" si="257"/>
        <v>0</v>
      </c>
      <c r="AC822" s="162"/>
      <c r="AD822" s="162">
        <f t="shared" si="271"/>
        <v>0</v>
      </c>
      <c r="AE822" s="164"/>
      <c r="AF822" s="164">
        <f t="shared" si="272"/>
        <v>0</v>
      </c>
      <c r="AG822" s="165"/>
      <c r="AH822" s="165">
        <f t="shared" si="273"/>
        <v>0</v>
      </c>
      <c r="AI822" s="166">
        <v>0</v>
      </c>
      <c r="AJ822" s="166">
        <f t="shared" si="274"/>
        <v>0</v>
      </c>
      <c r="AK822" s="162"/>
      <c r="AL822" s="162">
        <f t="shared" si="269"/>
        <v>0</v>
      </c>
      <c r="AM822" s="173">
        <v>700</v>
      </c>
      <c r="AN822" s="167">
        <f t="shared" si="258"/>
        <v>845600</v>
      </c>
      <c r="AO822" s="163"/>
      <c r="AP822" s="163">
        <f t="shared" si="259"/>
        <v>0</v>
      </c>
      <c r="AQ822" s="168"/>
      <c r="AR822" s="168">
        <f t="shared" si="260"/>
        <v>0</v>
      </c>
      <c r="AS822" s="170"/>
      <c r="AT822" s="170">
        <f t="shared" si="261"/>
        <v>0</v>
      </c>
      <c r="AU822" s="166"/>
      <c r="AV822" s="166">
        <f t="shared" si="262"/>
        <v>0</v>
      </c>
    </row>
    <row r="823" spans="1:48" s="239" customFormat="1">
      <c r="A823" s="148" t="s">
        <v>7459</v>
      </c>
      <c r="B823" s="149" t="s">
        <v>7453</v>
      </c>
      <c r="C823" s="149" t="s">
        <v>1913</v>
      </c>
      <c r="D823" s="240" t="s">
        <v>4548</v>
      </c>
      <c r="E823" s="590" t="s">
        <v>12642</v>
      </c>
      <c r="F823" s="203" t="s">
        <v>564</v>
      </c>
      <c r="G823" s="204" t="s">
        <v>566</v>
      </c>
      <c r="H823" s="204">
        <v>3</v>
      </c>
      <c r="I823" s="203" t="s">
        <v>4552</v>
      </c>
      <c r="J823" s="205" t="s">
        <v>7460</v>
      </c>
      <c r="K823" s="203" t="s">
        <v>5104</v>
      </c>
      <c r="L823" s="205" t="s">
        <v>7461</v>
      </c>
      <c r="M823" s="205" t="s">
        <v>1913</v>
      </c>
      <c r="N823" s="204" t="s">
        <v>213</v>
      </c>
      <c r="O823" s="204" t="s">
        <v>11</v>
      </c>
      <c r="P823" s="206">
        <v>900</v>
      </c>
      <c r="Q823" s="206">
        <v>651</v>
      </c>
      <c r="R823" s="207">
        <v>20000</v>
      </c>
      <c r="S823" s="207">
        <f t="shared" si="253"/>
        <v>13020000</v>
      </c>
      <c r="T823" s="589"/>
      <c r="U823" s="157">
        <v>20000</v>
      </c>
      <c r="V823" s="158">
        <f t="shared" si="270"/>
        <v>19760</v>
      </c>
      <c r="W823" s="159">
        <f t="shared" si="254"/>
        <v>240</v>
      </c>
      <c r="X823" s="159">
        <f t="shared" si="255"/>
        <v>156240</v>
      </c>
      <c r="Y823" s="160"/>
      <c r="Z823" s="160">
        <f t="shared" si="256"/>
        <v>0</v>
      </c>
      <c r="AA823" s="165"/>
      <c r="AB823" s="161">
        <f t="shared" si="257"/>
        <v>0</v>
      </c>
      <c r="AC823" s="162"/>
      <c r="AD823" s="162">
        <f t="shared" si="271"/>
        <v>0</v>
      </c>
      <c r="AE823" s="164"/>
      <c r="AF823" s="164">
        <f t="shared" si="272"/>
        <v>0</v>
      </c>
      <c r="AG823" s="165"/>
      <c r="AH823" s="165">
        <f t="shared" si="273"/>
        <v>0</v>
      </c>
      <c r="AI823" s="166">
        <v>0</v>
      </c>
      <c r="AJ823" s="166">
        <f t="shared" si="274"/>
        <v>0</v>
      </c>
      <c r="AK823" s="162"/>
      <c r="AL823" s="162">
        <f t="shared" si="269"/>
        <v>0</v>
      </c>
      <c r="AM823" s="173">
        <v>80</v>
      </c>
      <c r="AN823" s="167">
        <f t="shared" si="258"/>
        <v>52080</v>
      </c>
      <c r="AO823" s="163"/>
      <c r="AP823" s="163">
        <f t="shared" si="259"/>
        <v>0</v>
      </c>
      <c r="AQ823" s="168"/>
      <c r="AR823" s="168">
        <f t="shared" si="260"/>
        <v>0</v>
      </c>
      <c r="AS823" s="170">
        <v>160</v>
      </c>
      <c r="AT823" s="170">
        <f t="shared" si="261"/>
        <v>104160</v>
      </c>
      <c r="AU823" s="166"/>
      <c r="AV823" s="166">
        <f t="shared" si="262"/>
        <v>0</v>
      </c>
    </row>
    <row r="824" spans="1:48" s="239" customFormat="1">
      <c r="A824" s="148" t="s">
        <v>8083</v>
      </c>
      <c r="B824" s="149" t="s">
        <v>7453</v>
      </c>
      <c r="C824" s="149" t="s">
        <v>1913</v>
      </c>
      <c r="D824" s="240" t="s">
        <v>8084</v>
      </c>
      <c r="E824" s="590" t="s">
        <v>12642</v>
      </c>
      <c r="F824" s="203" t="s">
        <v>1307</v>
      </c>
      <c r="G824" s="204" t="s">
        <v>8085</v>
      </c>
      <c r="H824" s="204">
        <v>3</v>
      </c>
      <c r="I824" s="203" t="s">
        <v>8086</v>
      </c>
      <c r="J824" s="205" t="s">
        <v>8087</v>
      </c>
      <c r="K824" s="203" t="s">
        <v>5104</v>
      </c>
      <c r="L824" s="205" t="s">
        <v>8088</v>
      </c>
      <c r="M824" s="205" t="s">
        <v>1913</v>
      </c>
      <c r="N824" s="204" t="s">
        <v>213</v>
      </c>
      <c r="O824" s="204" t="s">
        <v>15</v>
      </c>
      <c r="P824" s="206">
        <v>10540</v>
      </c>
      <c r="Q824" s="206">
        <v>10500</v>
      </c>
      <c r="R824" s="207">
        <v>2000</v>
      </c>
      <c r="S824" s="207">
        <f t="shared" si="253"/>
        <v>21000000</v>
      </c>
      <c r="T824" s="589" t="s">
        <v>15</v>
      </c>
      <c r="U824" s="157">
        <v>2000</v>
      </c>
      <c r="V824" s="158">
        <f t="shared" si="270"/>
        <v>1980</v>
      </c>
      <c r="W824" s="159">
        <f t="shared" si="254"/>
        <v>20</v>
      </c>
      <c r="X824" s="159">
        <f t="shared" si="255"/>
        <v>210000</v>
      </c>
      <c r="Y824" s="160"/>
      <c r="Z824" s="160">
        <f t="shared" si="256"/>
        <v>0</v>
      </c>
      <c r="AA824" s="165"/>
      <c r="AB824" s="161">
        <f t="shared" si="257"/>
        <v>0</v>
      </c>
      <c r="AC824" s="162"/>
      <c r="AD824" s="162">
        <f t="shared" si="271"/>
        <v>0</v>
      </c>
      <c r="AE824" s="164"/>
      <c r="AF824" s="164">
        <f t="shared" si="272"/>
        <v>0</v>
      </c>
      <c r="AG824" s="165"/>
      <c r="AH824" s="165">
        <f t="shared" si="273"/>
        <v>0</v>
      </c>
      <c r="AI824" s="166">
        <v>0</v>
      </c>
      <c r="AJ824" s="166">
        <f t="shared" si="274"/>
        <v>0</v>
      </c>
      <c r="AK824" s="162"/>
      <c r="AL824" s="162">
        <f t="shared" si="269"/>
        <v>0</v>
      </c>
      <c r="AM824" s="173"/>
      <c r="AN824" s="167">
        <f t="shared" si="258"/>
        <v>0</v>
      </c>
      <c r="AO824" s="163"/>
      <c r="AP824" s="163">
        <f t="shared" si="259"/>
        <v>0</v>
      </c>
      <c r="AQ824" s="168"/>
      <c r="AR824" s="168">
        <f t="shared" si="260"/>
        <v>0</v>
      </c>
      <c r="AS824" s="170">
        <v>20</v>
      </c>
      <c r="AT824" s="170">
        <f t="shared" si="261"/>
        <v>210000</v>
      </c>
      <c r="AU824" s="166"/>
      <c r="AV824" s="166">
        <f t="shared" si="262"/>
        <v>0</v>
      </c>
    </row>
    <row r="825" spans="1:48" s="239" customFormat="1">
      <c r="A825" s="172" t="s">
        <v>8240</v>
      </c>
      <c r="B825" s="149" t="s">
        <v>7453</v>
      </c>
      <c r="C825" s="149" t="s">
        <v>1913</v>
      </c>
      <c r="D825" s="240" t="s">
        <v>4274</v>
      </c>
      <c r="E825" s="590" t="s">
        <v>12642</v>
      </c>
      <c r="F825" s="203" t="s">
        <v>792</v>
      </c>
      <c r="G825" s="204" t="s">
        <v>4275</v>
      </c>
      <c r="H825" s="204">
        <v>3</v>
      </c>
      <c r="I825" s="203" t="s">
        <v>1934</v>
      </c>
      <c r="J825" s="205" t="s">
        <v>8241</v>
      </c>
      <c r="K825" s="203" t="s">
        <v>5104</v>
      </c>
      <c r="L825" s="205" t="s">
        <v>8242</v>
      </c>
      <c r="M825" s="205" t="s">
        <v>1913</v>
      </c>
      <c r="N825" s="204" t="s">
        <v>213</v>
      </c>
      <c r="O825" s="204" t="s">
        <v>15</v>
      </c>
      <c r="P825" s="206">
        <v>9440</v>
      </c>
      <c r="Q825" s="206">
        <v>9345</v>
      </c>
      <c r="R825" s="207">
        <v>3000</v>
      </c>
      <c r="S825" s="207">
        <f t="shared" si="253"/>
        <v>28035000</v>
      </c>
      <c r="T825" s="589"/>
      <c r="U825" s="157">
        <v>3000</v>
      </c>
      <c r="V825" s="158">
        <f t="shared" si="270"/>
        <v>2640</v>
      </c>
      <c r="W825" s="159">
        <f t="shared" si="254"/>
        <v>360</v>
      </c>
      <c r="X825" s="159">
        <f t="shared" si="255"/>
        <v>3364200</v>
      </c>
      <c r="Y825" s="160"/>
      <c r="Z825" s="160">
        <f t="shared" si="256"/>
        <v>0</v>
      </c>
      <c r="AA825" s="165"/>
      <c r="AB825" s="161">
        <f t="shared" si="257"/>
        <v>0</v>
      </c>
      <c r="AC825" s="162"/>
      <c r="AD825" s="162">
        <f t="shared" si="271"/>
        <v>0</v>
      </c>
      <c r="AE825" s="164"/>
      <c r="AF825" s="164">
        <f t="shared" si="272"/>
        <v>0</v>
      </c>
      <c r="AG825" s="165"/>
      <c r="AH825" s="165">
        <f t="shared" si="273"/>
        <v>0</v>
      </c>
      <c r="AI825" s="166">
        <v>0</v>
      </c>
      <c r="AJ825" s="166">
        <f t="shared" si="274"/>
        <v>0</v>
      </c>
      <c r="AK825" s="162"/>
      <c r="AL825" s="162">
        <f t="shared" si="269"/>
        <v>0</v>
      </c>
      <c r="AM825" s="173">
        <v>310</v>
      </c>
      <c r="AN825" s="167">
        <f t="shared" si="258"/>
        <v>2896950</v>
      </c>
      <c r="AO825" s="163"/>
      <c r="AP825" s="163">
        <f t="shared" si="259"/>
        <v>0</v>
      </c>
      <c r="AQ825" s="168"/>
      <c r="AR825" s="168">
        <f t="shared" si="260"/>
        <v>0</v>
      </c>
      <c r="AS825" s="170">
        <v>50</v>
      </c>
      <c r="AT825" s="170">
        <f t="shared" si="261"/>
        <v>467250</v>
      </c>
      <c r="AU825" s="166"/>
      <c r="AV825" s="166">
        <f t="shared" si="262"/>
        <v>0</v>
      </c>
    </row>
    <row r="826" spans="1:48" s="239" customFormat="1" ht="31.5">
      <c r="A826" s="148" t="s">
        <v>5829</v>
      </c>
      <c r="B826" s="149" t="s">
        <v>5830</v>
      </c>
      <c r="C826" s="149" t="s">
        <v>5831</v>
      </c>
      <c r="D826" s="240" t="s">
        <v>4186</v>
      </c>
      <c r="E826" s="590" t="s">
        <v>12642</v>
      </c>
      <c r="F826" s="203" t="s">
        <v>742</v>
      </c>
      <c r="G826" s="204" t="s">
        <v>4187</v>
      </c>
      <c r="H826" s="204">
        <v>1</v>
      </c>
      <c r="I826" s="203" t="s">
        <v>743</v>
      </c>
      <c r="J826" s="205" t="s">
        <v>5316</v>
      </c>
      <c r="K826" s="203" t="s">
        <v>5104</v>
      </c>
      <c r="L826" s="205" t="s">
        <v>5832</v>
      </c>
      <c r="M826" s="205" t="s">
        <v>5833</v>
      </c>
      <c r="N826" s="204" t="s">
        <v>5185</v>
      </c>
      <c r="O826" s="204" t="s">
        <v>520</v>
      </c>
      <c r="P826" s="206">
        <v>44000</v>
      </c>
      <c r="Q826" s="206">
        <v>43995</v>
      </c>
      <c r="R826" s="207">
        <v>100</v>
      </c>
      <c r="S826" s="207">
        <f t="shared" si="253"/>
        <v>4399500</v>
      </c>
      <c r="T826" s="589"/>
      <c r="U826" s="157">
        <v>100</v>
      </c>
      <c r="V826" s="158">
        <f t="shared" si="270"/>
        <v>90</v>
      </c>
      <c r="W826" s="159">
        <f t="shared" si="254"/>
        <v>10</v>
      </c>
      <c r="X826" s="159">
        <f t="shared" si="255"/>
        <v>439950</v>
      </c>
      <c r="Y826" s="160"/>
      <c r="Z826" s="160">
        <f t="shared" si="256"/>
        <v>0</v>
      </c>
      <c r="AA826" s="165"/>
      <c r="AB826" s="161">
        <f t="shared" si="257"/>
        <v>0</v>
      </c>
      <c r="AC826" s="162"/>
      <c r="AD826" s="162">
        <f t="shared" si="271"/>
        <v>0</v>
      </c>
      <c r="AE826" s="164"/>
      <c r="AF826" s="164">
        <f t="shared" si="272"/>
        <v>0</v>
      </c>
      <c r="AG826" s="165"/>
      <c r="AH826" s="165">
        <f t="shared" si="273"/>
        <v>0</v>
      </c>
      <c r="AI826" s="166">
        <v>0</v>
      </c>
      <c r="AJ826" s="166">
        <f t="shared" si="274"/>
        <v>0</v>
      </c>
      <c r="AK826" s="162"/>
      <c r="AL826" s="162">
        <f t="shared" si="269"/>
        <v>0</v>
      </c>
      <c r="AM826" s="173">
        <v>10</v>
      </c>
      <c r="AN826" s="167">
        <f t="shared" si="258"/>
        <v>439950</v>
      </c>
      <c r="AO826" s="163"/>
      <c r="AP826" s="163">
        <f t="shared" si="259"/>
        <v>0</v>
      </c>
      <c r="AQ826" s="168"/>
      <c r="AR826" s="168">
        <f t="shared" si="260"/>
        <v>0</v>
      </c>
      <c r="AS826" s="170"/>
      <c r="AT826" s="170">
        <f t="shared" si="261"/>
        <v>0</v>
      </c>
      <c r="AU826" s="166"/>
      <c r="AV826" s="166">
        <f t="shared" si="262"/>
        <v>0</v>
      </c>
    </row>
    <row r="827" spans="1:48" s="239" customFormat="1">
      <c r="A827" s="172" t="s">
        <v>5865</v>
      </c>
      <c r="B827" s="149" t="s">
        <v>5830</v>
      </c>
      <c r="C827" s="149" t="s">
        <v>5831</v>
      </c>
      <c r="D827" s="240" t="s">
        <v>4963</v>
      </c>
      <c r="E827" s="590"/>
      <c r="F827" s="203" t="s">
        <v>2618</v>
      </c>
      <c r="G827" s="204" t="s">
        <v>5866</v>
      </c>
      <c r="H827" s="204">
        <v>1</v>
      </c>
      <c r="I827" s="203" t="s">
        <v>5867</v>
      </c>
      <c r="J827" s="205" t="s">
        <v>5316</v>
      </c>
      <c r="K827" s="203" t="s">
        <v>5104</v>
      </c>
      <c r="L827" s="205" t="s">
        <v>5868</v>
      </c>
      <c r="M827" s="205" t="s">
        <v>5833</v>
      </c>
      <c r="N827" s="204" t="s">
        <v>5185</v>
      </c>
      <c r="O827" s="204" t="s">
        <v>520</v>
      </c>
      <c r="P827" s="206">
        <v>18900</v>
      </c>
      <c r="Q827" s="206">
        <v>18375</v>
      </c>
      <c r="R827" s="207">
        <v>50</v>
      </c>
      <c r="S827" s="207">
        <f t="shared" si="253"/>
        <v>918750</v>
      </c>
      <c r="T827" s="589"/>
      <c r="U827" s="157">
        <v>50</v>
      </c>
      <c r="V827" s="158">
        <f t="shared" si="270"/>
        <v>50</v>
      </c>
      <c r="W827" s="159">
        <f t="shared" si="254"/>
        <v>0</v>
      </c>
      <c r="X827" s="159">
        <f t="shared" si="255"/>
        <v>0</v>
      </c>
      <c r="Y827" s="160"/>
      <c r="Z827" s="160">
        <f t="shared" si="256"/>
        <v>0</v>
      </c>
      <c r="AA827" s="165"/>
      <c r="AB827" s="161">
        <f t="shared" si="257"/>
        <v>0</v>
      </c>
      <c r="AC827" s="162"/>
      <c r="AD827" s="162">
        <f t="shared" si="271"/>
        <v>0</v>
      </c>
      <c r="AE827" s="164"/>
      <c r="AF827" s="164">
        <f t="shared" si="272"/>
        <v>0</v>
      </c>
      <c r="AG827" s="165"/>
      <c r="AH827" s="165">
        <f t="shared" si="273"/>
        <v>0</v>
      </c>
      <c r="AI827" s="166">
        <v>0</v>
      </c>
      <c r="AJ827" s="166">
        <f t="shared" si="274"/>
        <v>0</v>
      </c>
      <c r="AK827" s="162"/>
      <c r="AL827" s="162">
        <f t="shared" si="269"/>
        <v>0</v>
      </c>
      <c r="AM827" s="173"/>
      <c r="AN827" s="167">
        <f t="shared" si="258"/>
        <v>0</v>
      </c>
      <c r="AO827" s="163"/>
      <c r="AP827" s="163">
        <f t="shared" si="259"/>
        <v>0</v>
      </c>
      <c r="AQ827" s="168"/>
      <c r="AR827" s="168">
        <f t="shared" si="260"/>
        <v>0</v>
      </c>
      <c r="AS827" s="170"/>
      <c r="AT827" s="170">
        <f t="shared" si="261"/>
        <v>0</v>
      </c>
      <c r="AU827" s="166"/>
      <c r="AV827" s="166">
        <f t="shared" si="262"/>
        <v>0</v>
      </c>
    </row>
    <row r="828" spans="1:48" s="239" customFormat="1">
      <c r="A828" s="148" t="s">
        <v>5895</v>
      </c>
      <c r="B828" s="149" t="s">
        <v>5830</v>
      </c>
      <c r="C828" s="149" t="s">
        <v>5831</v>
      </c>
      <c r="D828" s="240" t="s">
        <v>5896</v>
      </c>
      <c r="E828" s="590"/>
      <c r="F828" s="203" t="s">
        <v>2477</v>
      </c>
      <c r="G828" s="204" t="s">
        <v>799</v>
      </c>
      <c r="H828" s="204">
        <v>1</v>
      </c>
      <c r="I828" s="203" t="s">
        <v>5897</v>
      </c>
      <c r="J828" s="205" t="s">
        <v>5898</v>
      </c>
      <c r="K828" s="203" t="s">
        <v>5104</v>
      </c>
      <c r="L828" s="205" t="s">
        <v>5899</v>
      </c>
      <c r="M828" s="205" t="s">
        <v>5833</v>
      </c>
      <c r="N828" s="204" t="s">
        <v>5185</v>
      </c>
      <c r="O828" s="204" t="s">
        <v>520</v>
      </c>
      <c r="P828" s="206">
        <v>18000</v>
      </c>
      <c r="Q828" s="206">
        <v>17850</v>
      </c>
      <c r="R828" s="207">
        <v>50</v>
      </c>
      <c r="S828" s="207">
        <f t="shared" si="253"/>
        <v>892500</v>
      </c>
      <c r="T828" s="589"/>
      <c r="U828" s="157">
        <v>50</v>
      </c>
      <c r="V828" s="158">
        <f t="shared" si="270"/>
        <v>50</v>
      </c>
      <c r="W828" s="159">
        <f t="shared" si="254"/>
        <v>0</v>
      </c>
      <c r="X828" s="159">
        <f t="shared" si="255"/>
        <v>0</v>
      </c>
      <c r="Y828" s="160"/>
      <c r="Z828" s="160">
        <f t="shared" si="256"/>
        <v>0</v>
      </c>
      <c r="AA828" s="165"/>
      <c r="AB828" s="161">
        <f t="shared" si="257"/>
        <v>0</v>
      </c>
      <c r="AC828" s="162"/>
      <c r="AD828" s="162">
        <f t="shared" si="271"/>
        <v>0</v>
      </c>
      <c r="AE828" s="164"/>
      <c r="AF828" s="164">
        <f t="shared" si="272"/>
        <v>0</v>
      </c>
      <c r="AG828" s="165"/>
      <c r="AH828" s="165">
        <f t="shared" si="273"/>
        <v>0</v>
      </c>
      <c r="AI828" s="166">
        <v>0</v>
      </c>
      <c r="AJ828" s="166">
        <f t="shared" si="274"/>
        <v>0</v>
      </c>
      <c r="AK828" s="162"/>
      <c r="AL828" s="162">
        <f t="shared" si="269"/>
        <v>0</v>
      </c>
      <c r="AM828" s="173"/>
      <c r="AN828" s="167">
        <f t="shared" si="258"/>
        <v>0</v>
      </c>
      <c r="AO828" s="163"/>
      <c r="AP828" s="163">
        <f t="shared" si="259"/>
        <v>0</v>
      </c>
      <c r="AQ828" s="168"/>
      <c r="AR828" s="168">
        <f t="shared" si="260"/>
        <v>0</v>
      </c>
      <c r="AS828" s="170"/>
      <c r="AT828" s="170">
        <f t="shared" si="261"/>
        <v>0</v>
      </c>
      <c r="AU828" s="166"/>
      <c r="AV828" s="166">
        <f t="shared" si="262"/>
        <v>0</v>
      </c>
    </row>
    <row r="829" spans="1:48" s="239" customFormat="1">
      <c r="A829" s="148" t="s">
        <v>6022</v>
      </c>
      <c r="B829" s="149" t="s">
        <v>5830</v>
      </c>
      <c r="C829" s="149" t="s">
        <v>5831</v>
      </c>
      <c r="D829" s="240" t="s">
        <v>4957</v>
      </c>
      <c r="E829" s="590" t="s">
        <v>12642</v>
      </c>
      <c r="F829" s="203" t="s">
        <v>4958</v>
      </c>
      <c r="G829" s="204" t="s">
        <v>1016</v>
      </c>
      <c r="H829" s="204">
        <v>1</v>
      </c>
      <c r="I829" s="203" t="s">
        <v>738</v>
      </c>
      <c r="J829" s="205" t="s">
        <v>5316</v>
      </c>
      <c r="K829" s="203" t="s">
        <v>5104</v>
      </c>
      <c r="L829" s="205" t="s">
        <v>741</v>
      </c>
      <c r="M829" s="205" t="s">
        <v>5833</v>
      </c>
      <c r="N829" s="204" t="s">
        <v>5185</v>
      </c>
      <c r="O829" s="204" t="s">
        <v>520</v>
      </c>
      <c r="P829" s="206">
        <v>28000</v>
      </c>
      <c r="Q829" s="206">
        <v>27930</v>
      </c>
      <c r="R829" s="207">
        <v>2000</v>
      </c>
      <c r="S829" s="207">
        <f t="shared" si="253"/>
        <v>55860000</v>
      </c>
      <c r="T829" s="589"/>
      <c r="U829" s="157">
        <v>2000</v>
      </c>
      <c r="V829" s="158">
        <f t="shared" si="270"/>
        <v>2000</v>
      </c>
      <c r="W829" s="159">
        <f t="shared" si="254"/>
        <v>0</v>
      </c>
      <c r="X829" s="159">
        <f t="shared" si="255"/>
        <v>0</v>
      </c>
      <c r="Y829" s="160"/>
      <c r="Z829" s="160">
        <f t="shared" si="256"/>
        <v>0</v>
      </c>
      <c r="AA829" s="165"/>
      <c r="AB829" s="161">
        <f t="shared" si="257"/>
        <v>0</v>
      </c>
      <c r="AC829" s="162"/>
      <c r="AD829" s="162">
        <f t="shared" si="271"/>
        <v>0</v>
      </c>
      <c r="AE829" s="163"/>
      <c r="AF829" s="164">
        <f t="shared" si="272"/>
        <v>0</v>
      </c>
      <c r="AG829" s="161"/>
      <c r="AH829" s="165">
        <f t="shared" si="273"/>
        <v>0</v>
      </c>
      <c r="AI829" s="160">
        <v>0</v>
      </c>
      <c r="AJ829" s="166">
        <f t="shared" si="274"/>
        <v>0</v>
      </c>
      <c r="AK829" s="162"/>
      <c r="AL829" s="162">
        <f t="shared" si="269"/>
        <v>0</v>
      </c>
      <c r="AM829" s="173"/>
      <c r="AN829" s="167">
        <f t="shared" si="258"/>
        <v>0</v>
      </c>
      <c r="AO829" s="163"/>
      <c r="AP829" s="163">
        <f t="shared" si="259"/>
        <v>0</v>
      </c>
      <c r="AQ829" s="162"/>
      <c r="AR829" s="168">
        <f t="shared" si="260"/>
        <v>0</v>
      </c>
      <c r="AS829" s="169"/>
      <c r="AT829" s="170">
        <f t="shared" si="261"/>
        <v>0</v>
      </c>
      <c r="AU829" s="160"/>
      <c r="AV829" s="166">
        <f t="shared" si="262"/>
        <v>0</v>
      </c>
    </row>
    <row r="830" spans="1:48" s="239" customFormat="1" ht="31.5">
      <c r="A830" s="172" t="s">
        <v>6026</v>
      </c>
      <c r="B830" s="149" t="s">
        <v>5830</v>
      </c>
      <c r="C830" s="149" t="s">
        <v>5831</v>
      </c>
      <c r="D830" s="240" t="s">
        <v>4167</v>
      </c>
      <c r="E830" s="590"/>
      <c r="F830" s="203" t="s">
        <v>765</v>
      </c>
      <c r="G830" s="204" t="s">
        <v>767</v>
      </c>
      <c r="H830" s="204">
        <v>1</v>
      </c>
      <c r="I830" s="203" t="s">
        <v>3631</v>
      </c>
      <c r="J830" s="205" t="s">
        <v>6027</v>
      </c>
      <c r="K830" s="203" t="s">
        <v>5108</v>
      </c>
      <c r="L830" s="205" t="s">
        <v>6028</v>
      </c>
      <c r="M830" s="205" t="s">
        <v>6029</v>
      </c>
      <c r="N830" s="204" t="s">
        <v>5222</v>
      </c>
      <c r="O830" s="204" t="s">
        <v>520</v>
      </c>
      <c r="P830" s="206">
        <v>11288</v>
      </c>
      <c r="Q830" s="206">
        <v>9430</v>
      </c>
      <c r="R830" s="207">
        <v>500</v>
      </c>
      <c r="S830" s="207">
        <f t="shared" si="253"/>
        <v>4715000</v>
      </c>
      <c r="T830" s="589"/>
      <c r="U830" s="157">
        <v>500</v>
      </c>
      <c r="V830" s="158">
        <f t="shared" si="270"/>
        <v>500</v>
      </c>
      <c r="W830" s="159">
        <f t="shared" si="254"/>
        <v>0</v>
      </c>
      <c r="X830" s="159">
        <f t="shared" si="255"/>
        <v>0</v>
      </c>
      <c r="Y830" s="160"/>
      <c r="Z830" s="160">
        <f t="shared" si="256"/>
        <v>0</v>
      </c>
      <c r="AA830" s="165"/>
      <c r="AB830" s="161">
        <f t="shared" si="257"/>
        <v>0</v>
      </c>
      <c r="AC830" s="162"/>
      <c r="AD830" s="162">
        <f t="shared" si="271"/>
        <v>0</v>
      </c>
      <c r="AE830" s="164"/>
      <c r="AF830" s="164">
        <f t="shared" si="272"/>
        <v>0</v>
      </c>
      <c r="AG830" s="165"/>
      <c r="AH830" s="165">
        <f t="shared" si="273"/>
        <v>0</v>
      </c>
      <c r="AI830" s="166">
        <v>0</v>
      </c>
      <c r="AJ830" s="166">
        <f t="shared" si="274"/>
        <v>0</v>
      </c>
      <c r="AK830" s="162"/>
      <c r="AL830" s="162">
        <f t="shared" si="269"/>
        <v>0</v>
      </c>
      <c r="AM830" s="173"/>
      <c r="AN830" s="167">
        <f t="shared" si="258"/>
        <v>0</v>
      </c>
      <c r="AO830" s="163"/>
      <c r="AP830" s="163">
        <f t="shared" si="259"/>
        <v>0</v>
      </c>
      <c r="AQ830" s="168"/>
      <c r="AR830" s="168">
        <f t="shared" si="260"/>
        <v>0</v>
      </c>
      <c r="AS830" s="170"/>
      <c r="AT830" s="170">
        <f t="shared" si="261"/>
        <v>0</v>
      </c>
      <c r="AU830" s="166"/>
      <c r="AV830" s="166">
        <f t="shared" si="262"/>
        <v>0</v>
      </c>
    </row>
    <row r="831" spans="1:48" s="239" customFormat="1" ht="31.5">
      <c r="A831" s="148" t="s">
        <v>6030</v>
      </c>
      <c r="B831" s="149" t="s">
        <v>5830</v>
      </c>
      <c r="C831" s="149" t="s">
        <v>5831</v>
      </c>
      <c r="D831" s="240" t="s">
        <v>6031</v>
      </c>
      <c r="E831" s="590"/>
      <c r="F831" s="203" t="s">
        <v>765</v>
      </c>
      <c r="G831" s="204" t="s">
        <v>770</v>
      </c>
      <c r="H831" s="204">
        <v>1</v>
      </c>
      <c r="I831" s="203" t="s">
        <v>6032</v>
      </c>
      <c r="J831" s="205" t="s">
        <v>6033</v>
      </c>
      <c r="K831" s="203" t="s">
        <v>5108</v>
      </c>
      <c r="L831" s="205" t="s">
        <v>6034</v>
      </c>
      <c r="M831" s="205" t="s">
        <v>6003</v>
      </c>
      <c r="N831" s="204" t="s">
        <v>5222</v>
      </c>
      <c r="O831" s="204" t="s">
        <v>520</v>
      </c>
      <c r="P831" s="206">
        <v>21546</v>
      </c>
      <c r="Q831" s="206">
        <v>19300</v>
      </c>
      <c r="R831" s="207">
        <v>500</v>
      </c>
      <c r="S831" s="207">
        <f t="shared" si="253"/>
        <v>9650000</v>
      </c>
      <c r="T831" s="589"/>
      <c r="U831" s="157">
        <v>500</v>
      </c>
      <c r="V831" s="158">
        <f t="shared" si="270"/>
        <v>500</v>
      </c>
      <c r="W831" s="159">
        <f t="shared" si="254"/>
        <v>0</v>
      </c>
      <c r="X831" s="159">
        <f t="shared" si="255"/>
        <v>0</v>
      </c>
      <c r="Y831" s="160"/>
      <c r="Z831" s="160">
        <f t="shared" si="256"/>
        <v>0</v>
      </c>
      <c r="AA831" s="165"/>
      <c r="AB831" s="161">
        <f t="shared" si="257"/>
        <v>0</v>
      </c>
      <c r="AC831" s="162"/>
      <c r="AD831" s="162">
        <f t="shared" si="271"/>
        <v>0</v>
      </c>
      <c r="AE831" s="164"/>
      <c r="AF831" s="164">
        <f t="shared" si="272"/>
        <v>0</v>
      </c>
      <c r="AG831" s="165"/>
      <c r="AH831" s="165">
        <f t="shared" si="273"/>
        <v>0</v>
      </c>
      <c r="AI831" s="166">
        <v>0</v>
      </c>
      <c r="AJ831" s="166">
        <f t="shared" si="274"/>
        <v>0</v>
      </c>
      <c r="AK831" s="162"/>
      <c r="AL831" s="162">
        <f t="shared" si="269"/>
        <v>0</v>
      </c>
      <c r="AM831" s="173"/>
      <c r="AN831" s="167">
        <f t="shared" si="258"/>
        <v>0</v>
      </c>
      <c r="AO831" s="163"/>
      <c r="AP831" s="163">
        <f t="shared" si="259"/>
        <v>0</v>
      </c>
      <c r="AQ831" s="168"/>
      <c r="AR831" s="168">
        <f t="shared" si="260"/>
        <v>0</v>
      </c>
      <c r="AS831" s="170"/>
      <c r="AT831" s="170">
        <f t="shared" si="261"/>
        <v>0</v>
      </c>
      <c r="AU831" s="166"/>
      <c r="AV831" s="166">
        <f t="shared" si="262"/>
        <v>0</v>
      </c>
    </row>
    <row r="832" spans="1:48" s="239" customFormat="1" ht="31.5">
      <c r="A832" s="148" t="s">
        <v>6044</v>
      </c>
      <c r="B832" s="149" t="s">
        <v>5830</v>
      </c>
      <c r="C832" s="149" t="s">
        <v>5831</v>
      </c>
      <c r="D832" s="240" t="s">
        <v>4086</v>
      </c>
      <c r="E832" s="590"/>
      <c r="F832" s="203" t="s">
        <v>731</v>
      </c>
      <c r="G832" s="204" t="s">
        <v>6045</v>
      </c>
      <c r="H832" s="204">
        <v>1</v>
      </c>
      <c r="I832" s="203" t="s">
        <v>732</v>
      </c>
      <c r="J832" s="205" t="s">
        <v>6046</v>
      </c>
      <c r="K832" s="203" t="s">
        <v>5104</v>
      </c>
      <c r="L832" s="205" t="s">
        <v>735</v>
      </c>
      <c r="M832" s="205" t="s">
        <v>5833</v>
      </c>
      <c r="N832" s="204" t="s">
        <v>5185</v>
      </c>
      <c r="O832" s="204" t="s">
        <v>520</v>
      </c>
      <c r="P832" s="206">
        <v>80300</v>
      </c>
      <c r="Q832" s="206">
        <v>80283</v>
      </c>
      <c r="R832" s="207">
        <v>200</v>
      </c>
      <c r="S832" s="207">
        <f t="shared" si="253"/>
        <v>16056600</v>
      </c>
      <c r="T832" s="589"/>
      <c r="U832" s="157">
        <v>200</v>
      </c>
      <c r="V832" s="158">
        <f t="shared" si="270"/>
        <v>200</v>
      </c>
      <c r="W832" s="159">
        <f t="shared" si="254"/>
        <v>0</v>
      </c>
      <c r="X832" s="159">
        <f t="shared" si="255"/>
        <v>0</v>
      </c>
      <c r="Y832" s="160"/>
      <c r="Z832" s="160">
        <f t="shared" si="256"/>
        <v>0</v>
      </c>
      <c r="AA832" s="165"/>
      <c r="AB832" s="161">
        <f t="shared" si="257"/>
        <v>0</v>
      </c>
      <c r="AC832" s="162"/>
      <c r="AD832" s="162">
        <f t="shared" si="271"/>
        <v>0</v>
      </c>
      <c r="AE832" s="164"/>
      <c r="AF832" s="164">
        <f t="shared" si="272"/>
        <v>0</v>
      </c>
      <c r="AG832" s="165"/>
      <c r="AH832" s="165">
        <f t="shared" si="273"/>
        <v>0</v>
      </c>
      <c r="AI832" s="166">
        <v>0</v>
      </c>
      <c r="AJ832" s="166">
        <f t="shared" si="274"/>
        <v>0</v>
      </c>
      <c r="AK832" s="162"/>
      <c r="AL832" s="162">
        <f t="shared" si="269"/>
        <v>0</v>
      </c>
      <c r="AM832" s="173"/>
      <c r="AN832" s="167">
        <f t="shared" si="258"/>
        <v>0</v>
      </c>
      <c r="AO832" s="163"/>
      <c r="AP832" s="163">
        <f t="shared" si="259"/>
        <v>0</v>
      </c>
      <c r="AQ832" s="168"/>
      <c r="AR832" s="168">
        <f t="shared" si="260"/>
        <v>0</v>
      </c>
      <c r="AS832" s="170"/>
      <c r="AT832" s="170">
        <f t="shared" si="261"/>
        <v>0</v>
      </c>
      <c r="AU832" s="166"/>
      <c r="AV832" s="166">
        <f t="shared" si="262"/>
        <v>0</v>
      </c>
    </row>
    <row r="833" spans="1:48" s="239" customFormat="1" ht="78.75">
      <c r="A833" s="172" t="s">
        <v>6064</v>
      </c>
      <c r="B833" s="149" t="s">
        <v>5830</v>
      </c>
      <c r="C833" s="149" t="s">
        <v>5831</v>
      </c>
      <c r="D833" s="240" t="s">
        <v>6065</v>
      </c>
      <c r="E833" s="590"/>
      <c r="F833" s="203" t="s">
        <v>750</v>
      </c>
      <c r="G833" s="204" t="s">
        <v>1772</v>
      </c>
      <c r="H833" s="204">
        <v>1</v>
      </c>
      <c r="I833" s="203" t="s">
        <v>6066</v>
      </c>
      <c r="J833" s="205" t="s">
        <v>6067</v>
      </c>
      <c r="K833" s="203" t="s">
        <v>253</v>
      </c>
      <c r="L833" s="205" t="s">
        <v>6068</v>
      </c>
      <c r="M833" s="205" t="s">
        <v>6069</v>
      </c>
      <c r="N833" s="204" t="s">
        <v>5185</v>
      </c>
      <c r="O833" s="204" t="s">
        <v>658</v>
      </c>
      <c r="P833" s="206">
        <v>46500</v>
      </c>
      <c r="Q833" s="206">
        <v>42000</v>
      </c>
      <c r="R833" s="207">
        <v>1000</v>
      </c>
      <c r="S833" s="207">
        <f t="shared" si="253"/>
        <v>42000000</v>
      </c>
      <c r="T833" s="589"/>
      <c r="U833" s="157">
        <v>1000</v>
      </c>
      <c r="V833" s="158">
        <f t="shared" si="270"/>
        <v>1000</v>
      </c>
      <c r="W833" s="159">
        <f t="shared" si="254"/>
        <v>0</v>
      </c>
      <c r="X833" s="159">
        <f t="shared" si="255"/>
        <v>0</v>
      </c>
      <c r="Y833" s="160"/>
      <c r="Z833" s="160">
        <f t="shared" si="256"/>
        <v>0</v>
      </c>
      <c r="AA833" s="165"/>
      <c r="AB833" s="161">
        <f t="shared" si="257"/>
        <v>0</v>
      </c>
      <c r="AC833" s="162"/>
      <c r="AD833" s="162">
        <f t="shared" si="271"/>
        <v>0</v>
      </c>
      <c r="AE833" s="163"/>
      <c r="AF833" s="164">
        <f t="shared" si="272"/>
        <v>0</v>
      </c>
      <c r="AG833" s="161"/>
      <c r="AH833" s="165">
        <f t="shared" si="273"/>
        <v>0</v>
      </c>
      <c r="AI833" s="160">
        <v>0</v>
      </c>
      <c r="AJ833" s="166">
        <f t="shared" si="274"/>
        <v>0</v>
      </c>
      <c r="AK833" s="162"/>
      <c r="AL833" s="162">
        <f t="shared" si="269"/>
        <v>0</v>
      </c>
      <c r="AM833" s="173"/>
      <c r="AN833" s="167">
        <f t="shared" si="258"/>
        <v>0</v>
      </c>
      <c r="AO833" s="163"/>
      <c r="AP833" s="163">
        <f t="shared" si="259"/>
        <v>0</v>
      </c>
      <c r="AQ833" s="162"/>
      <c r="AR833" s="168">
        <f t="shared" si="260"/>
        <v>0</v>
      </c>
      <c r="AS833" s="169"/>
      <c r="AT833" s="170">
        <f t="shared" si="261"/>
        <v>0</v>
      </c>
      <c r="AU833" s="160"/>
      <c r="AV833" s="166">
        <f t="shared" si="262"/>
        <v>0</v>
      </c>
    </row>
    <row r="834" spans="1:48" s="131" customFormat="1" ht="31.5">
      <c r="A834" s="172" t="s">
        <v>6159</v>
      </c>
      <c r="B834" s="149" t="s">
        <v>5830</v>
      </c>
      <c r="C834" s="149" t="s">
        <v>5831</v>
      </c>
      <c r="D834" s="240" t="s">
        <v>3940</v>
      </c>
      <c r="E834" s="590"/>
      <c r="F834" s="203" t="s">
        <v>719</v>
      </c>
      <c r="G834" s="204" t="s">
        <v>721</v>
      </c>
      <c r="H834" s="204">
        <v>1</v>
      </c>
      <c r="I834" s="203" t="s">
        <v>720</v>
      </c>
      <c r="J834" s="205" t="s">
        <v>6160</v>
      </c>
      <c r="K834" s="203" t="s">
        <v>253</v>
      </c>
      <c r="L834" s="205" t="s">
        <v>6161</v>
      </c>
      <c r="M834" s="205" t="s">
        <v>5833</v>
      </c>
      <c r="N834" s="204" t="s">
        <v>5185</v>
      </c>
      <c r="O834" s="204" t="s">
        <v>658</v>
      </c>
      <c r="P834" s="206">
        <v>145000</v>
      </c>
      <c r="Q834" s="206">
        <v>144900</v>
      </c>
      <c r="R834" s="207">
        <v>50</v>
      </c>
      <c r="S834" s="207">
        <f t="shared" si="253"/>
        <v>7245000</v>
      </c>
      <c r="T834" s="589"/>
      <c r="U834" s="157">
        <v>50</v>
      </c>
      <c r="V834" s="158">
        <f t="shared" si="270"/>
        <v>40</v>
      </c>
      <c r="W834" s="159">
        <f t="shared" si="254"/>
        <v>10</v>
      </c>
      <c r="X834" s="159">
        <f t="shared" si="255"/>
        <v>1449000</v>
      </c>
      <c r="Y834" s="160"/>
      <c r="Z834" s="160">
        <f t="shared" si="256"/>
        <v>0</v>
      </c>
      <c r="AA834" s="165">
        <v>10</v>
      </c>
      <c r="AB834" s="161">
        <f t="shared" si="257"/>
        <v>1449000</v>
      </c>
      <c r="AC834" s="162"/>
      <c r="AD834" s="162">
        <f t="shared" si="271"/>
        <v>0</v>
      </c>
      <c r="AE834" s="163"/>
      <c r="AF834" s="164">
        <f t="shared" si="272"/>
        <v>0</v>
      </c>
      <c r="AG834" s="161"/>
      <c r="AH834" s="165">
        <f t="shared" si="273"/>
        <v>0</v>
      </c>
      <c r="AI834" s="160">
        <v>0</v>
      </c>
      <c r="AJ834" s="166">
        <f t="shared" si="274"/>
        <v>0</v>
      </c>
      <c r="AK834" s="162"/>
      <c r="AL834" s="162">
        <f t="shared" si="269"/>
        <v>0</v>
      </c>
      <c r="AM834" s="173"/>
      <c r="AN834" s="167">
        <f t="shared" si="258"/>
        <v>0</v>
      </c>
      <c r="AO834" s="163"/>
      <c r="AP834" s="163">
        <f t="shared" si="259"/>
        <v>0</v>
      </c>
      <c r="AQ834" s="162"/>
      <c r="AR834" s="168">
        <f t="shared" si="260"/>
        <v>0</v>
      </c>
      <c r="AS834" s="169"/>
      <c r="AT834" s="170">
        <f t="shared" si="261"/>
        <v>0</v>
      </c>
      <c r="AU834" s="160"/>
      <c r="AV834" s="166">
        <f t="shared" si="262"/>
        <v>0</v>
      </c>
    </row>
    <row r="835" spans="1:48" s="131" customFormat="1" ht="31.5">
      <c r="A835" s="148" t="s">
        <v>6476</v>
      </c>
      <c r="B835" s="149" t="s">
        <v>5830</v>
      </c>
      <c r="C835" s="149" t="s">
        <v>5831</v>
      </c>
      <c r="D835" s="240" t="s">
        <v>4961</v>
      </c>
      <c r="E835" s="590" t="s">
        <v>12642</v>
      </c>
      <c r="F835" s="203" t="s">
        <v>713</v>
      </c>
      <c r="G835" s="204" t="s">
        <v>1767</v>
      </c>
      <c r="H835" s="204">
        <v>1</v>
      </c>
      <c r="I835" s="203" t="s">
        <v>714</v>
      </c>
      <c r="J835" s="205" t="s">
        <v>5898</v>
      </c>
      <c r="K835" s="203" t="s">
        <v>253</v>
      </c>
      <c r="L835" s="205" t="s">
        <v>717</v>
      </c>
      <c r="M835" s="205" t="s">
        <v>5833</v>
      </c>
      <c r="N835" s="204" t="s">
        <v>5185</v>
      </c>
      <c r="O835" s="204" t="s">
        <v>520</v>
      </c>
      <c r="P835" s="206">
        <v>7720</v>
      </c>
      <c r="Q835" s="206">
        <v>7707</v>
      </c>
      <c r="R835" s="207">
        <v>300</v>
      </c>
      <c r="S835" s="207">
        <f t="shared" si="253"/>
        <v>2312100</v>
      </c>
      <c r="T835" s="589"/>
      <c r="U835" s="157">
        <v>300</v>
      </c>
      <c r="V835" s="158">
        <f t="shared" si="270"/>
        <v>260</v>
      </c>
      <c r="W835" s="159">
        <f t="shared" si="254"/>
        <v>40</v>
      </c>
      <c r="X835" s="159">
        <f t="shared" si="255"/>
        <v>308280</v>
      </c>
      <c r="Y835" s="160"/>
      <c r="Z835" s="160">
        <f t="shared" si="256"/>
        <v>0</v>
      </c>
      <c r="AA835" s="165"/>
      <c r="AB835" s="161">
        <f t="shared" si="257"/>
        <v>0</v>
      </c>
      <c r="AC835" s="162"/>
      <c r="AD835" s="162">
        <f t="shared" si="271"/>
        <v>0</v>
      </c>
      <c r="AE835" s="163"/>
      <c r="AF835" s="164">
        <f t="shared" si="272"/>
        <v>0</v>
      </c>
      <c r="AG835" s="161">
        <v>20</v>
      </c>
      <c r="AH835" s="165">
        <f t="shared" si="273"/>
        <v>154140</v>
      </c>
      <c r="AI835" s="160">
        <v>0</v>
      </c>
      <c r="AJ835" s="166">
        <f t="shared" si="274"/>
        <v>0</v>
      </c>
      <c r="AK835" s="162"/>
      <c r="AL835" s="162">
        <f t="shared" si="269"/>
        <v>0</v>
      </c>
      <c r="AM835" s="173"/>
      <c r="AN835" s="167">
        <f t="shared" si="258"/>
        <v>0</v>
      </c>
      <c r="AO835" s="163"/>
      <c r="AP835" s="163">
        <f t="shared" si="259"/>
        <v>0</v>
      </c>
      <c r="AQ835" s="162"/>
      <c r="AR835" s="168">
        <f t="shared" si="260"/>
        <v>0</v>
      </c>
      <c r="AS835" s="169">
        <v>20</v>
      </c>
      <c r="AT835" s="170">
        <f t="shared" si="261"/>
        <v>154140</v>
      </c>
      <c r="AU835" s="160"/>
      <c r="AV835" s="166">
        <f t="shared" si="262"/>
        <v>0</v>
      </c>
    </row>
    <row r="836" spans="1:48" s="131" customFormat="1" ht="31.5">
      <c r="A836" s="148" t="s">
        <v>6494</v>
      </c>
      <c r="B836" s="149" t="s">
        <v>5830</v>
      </c>
      <c r="C836" s="149" t="s">
        <v>5831</v>
      </c>
      <c r="D836" s="240" t="s">
        <v>4062</v>
      </c>
      <c r="E836" s="590"/>
      <c r="F836" s="203" t="s">
        <v>1241</v>
      </c>
      <c r="G836" s="204" t="s">
        <v>238</v>
      </c>
      <c r="H836" s="204">
        <v>2</v>
      </c>
      <c r="I836" s="203" t="s">
        <v>6495</v>
      </c>
      <c r="J836" s="205" t="s">
        <v>6009</v>
      </c>
      <c r="K836" s="203" t="s">
        <v>253</v>
      </c>
      <c r="L836" s="205" t="s">
        <v>6496</v>
      </c>
      <c r="M836" s="205" t="s">
        <v>1765</v>
      </c>
      <c r="N836" s="204" t="s">
        <v>5605</v>
      </c>
      <c r="O836" s="204" t="s">
        <v>11</v>
      </c>
      <c r="P836" s="206">
        <v>6000</v>
      </c>
      <c r="Q836" s="206">
        <v>1250</v>
      </c>
      <c r="R836" s="207">
        <v>10000</v>
      </c>
      <c r="S836" s="207">
        <f t="shared" si="253"/>
        <v>12500000</v>
      </c>
      <c r="T836" s="589"/>
      <c r="U836" s="157">
        <v>10000</v>
      </c>
      <c r="V836" s="158">
        <f t="shared" si="270"/>
        <v>10000</v>
      </c>
      <c r="W836" s="159">
        <f t="shared" si="254"/>
        <v>0</v>
      </c>
      <c r="X836" s="159">
        <f t="shared" si="255"/>
        <v>0</v>
      </c>
      <c r="Y836" s="160"/>
      <c r="Z836" s="160">
        <f t="shared" si="256"/>
        <v>0</v>
      </c>
      <c r="AA836" s="165"/>
      <c r="AB836" s="161">
        <f t="shared" si="257"/>
        <v>0</v>
      </c>
      <c r="AC836" s="162"/>
      <c r="AD836" s="162">
        <f t="shared" si="271"/>
        <v>0</v>
      </c>
      <c r="AE836" s="164"/>
      <c r="AF836" s="164">
        <f t="shared" si="272"/>
        <v>0</v>
      </c>
      <c r="AG836" s="165"/>
      <c r="AH836" s="165">
        <f t="shared" si="273"/>
        <v>0</v>
      </c>
      <c r="AI836" s="166">
        <v>0</v>
      </c>
      <c r="AJ836" s="166">
        <f t="shared" si="274"/>
        <v>0</v>
      </c>
      <c r="AK836" s="162"/>
      <c r="AL836" s="162">
        <f t="shared" si="269"/>
        <v>0</v>
      </c>
      <c r="AM836" s="173"/>
      <c r="AN836" s="167">
        <f t="shared" si="258"/>
        <v>0</v>
      </c>
      <c r="AO836" s="163"/>
      <c r="AP836" s="163">
        <f t="shared" si="259"/>
        <v>0</v>
      </c>
      <c r="AQ836" s="168"/>
      <c r="AR836" s="168">
        <f t="shared" si="260"/>
        <v>0</v>
      </c>
      <c r="AS836" s="170"/>
      <c r="AT836" s="170">
        <f t="shared" si="261"/>
        <v>0</v>
      </c>
      <c r="AU836" s="166"/>
      <c r="AV836" s="166">
        <f t="shared" si="262"/>
        <v>0</v>
      </c>
    </row>
    <row r="837" spans="1:48" s="131" customFormat="1" ht="31.5">
      <c r="A837" s="148" t="s">
        <v>6612</v>
      </c>
      <c r="B837" s="149" t="s">
        <v>5830</v>
      </c>
      <c r="C837" s="149" t="s">
        <v>5831</v>
      </c>
      <c r="D837" s="240" t="s">
        <v>3863</v>
      </c>
      <c r="E837" s="590"/>
      <c r="F837" s="203" t="s">
        <v>816</v>
      </c>
      <c r="G837" s="204" t="s">
        <v>299</v>
      </c>
      <c r="H837" s="204">
        <v>2</v>
      </c>
      <c r="I837" s="203" t="s">
        <v>3864</v>
      </c>
      <c r="J837" s="205" t="s">
        <v>6321</v>
      </c>
      <c r="K837" s="203" t="s">
        <v>253</v>
      </c>
      <c r="L837" s="205" t="s">
        <v>6613</v>
      </c>
      <c r="M837" s="205" t="s">
        <v>1765</v>
      </c>
      <c r="N837" s="204" t="s">
        <v>5605</v>
      </c>
      <c r="O837" s="204" t="s">
        <v>11</v>
      </c>
      <c r="P837" s="206">
        <v>3200</v>
      </c>
      <c r="Q837" s="206">
        <v>830</v>
      </c>
      <c r="R837" s="207">
        <v>30000</v>
      </c>
      <c r="S837" s="207">
        <f t="shared" ref="S837:S900" si="275">R837*Q837</f>
        <v>24900000</v>
      </c>
      <c r="T837" s="589"/>
      <c r="U837" s="157">
        <v>30000</v>
      </c>
      <c r="V837" s="158">
        <f t="shared" si="270"/>
        <v>18000</v>
      </c>
      <c r="W837" s="159">
        <f t="shared" ref="W837:W900" si="276">Y837+AA837+AC837+AE837+AG837+AI837+AK837+AM837+AO837+AQ837+AS837+AU837</f>
        <v>12000</v>
      </c>
      <c r="X837" s="159">
        <f t="shared" ref="X837:X900" si="277">W837*Q837</f>
        <v>9960000</v>
      </c>
      <c r="Y837" s="160"/>
      <c r="Z837" s="160">
        <f t="shared" ref="Z837:Z900" si="278">Y837*Q837</f>
        <v>0</v>
      </c>
      <c r="AA837" s="165"/>
      <c r="AB837" s="161">
        <f t="shared" ref="AB837:AB900" si="279">AA837*Q837</f>
        <v>0</v>
      </c>
      <c r="AC837" s="162"/>
      <c r="AD837" s="162">
        <f t="shared" si="271"/>
        <v>0</v>
      </c>
      <c r="AE837" s="164"/>
      <c r="AF837" s="164">
        <f t="shared" si="272"/>
        <v>0</v>
      </c>
      <c r="AG837" s="165"/>
      <c r="AH837" s="165">
        <f t="shared" si="273"/>
        <v>0</v>
      </c>
      <c r="AI837" s="166">
        <v>0</v>
      </c>
      <c r="AJ837" s="166">
        <f t="shared" si="274"/>
        <v>0</v>
      </c>
      <c r="AK837" s="162"/>
      <c r="AL837" s="162">
        <f t="shared" si="269"/>
        <v>0</v>
      </c>
      <c r="AM837" s="173">
        <v>12000</v>
      </c>
      <c r="AN837" s="167">
        <f t="shared" ref="AN837:AN900" si="280">AM837*Q837</f>
        <v>9960000</v>
      </c>
      <c r="AO837" s="163"/>
      <c r="AP837" s="163">
        <f t="shared" ref="AP837:AP900" si="281">AO837*Q837</f>
        <v>0</v>
      </c>
      <c r="AQ837" s="168"/>
      <c r="AR837" s="168">
        <f t="shared" ref="AR837:AR900" si="282">AQ837*Q837</f>
        <v>0</v>
      </c>
      <c r="AS837" s="170"/>
      <c r="AT837" s="170">
        <f t="shared" ref="AT837:AT900" si="283">AS837*Q837</f>
        <v>0</v>
      </c>
      <c r="AU837" s="166"/>
      <c r="AV837" s="166">
        <f t="shared" ref="AV837:AV900" si="284">AU837*Q837</f>
        <v>0</v>
      </c>
    </row>
    <row r="838" spans="1:48" s="131" customFormat="1">
      <c r="A838" s="172" t="s">
        <v>6796</v>
      </c>
      <c r="B838" s="149" t="s">
        <v>5830</v>
      </c>
      <c r="C838" s="149" t="s">
        <v>5831</v>
      </c>
      <c r="D838" s="240" t="s">
        <v>6797</v>
      </c>
      <c r="E838" s="590" t="s">
        <v>12642</v>
      </c>
      <c r="F838" s="203" t="s">
        <v>1333</v>
      </c>
      <c r="G838" s="204" t="s">
        <v>238</v>
      </c>
      <c r="H838" s="204">
        <v>2</v>
      </c>
      <c r="I838" s="203" t="s">
        <v>6798</v>
      </c>
      <c r="J838" s="205" t="s">
        <v>6709</v>
      </c>
      <c r="K838" s="203" t="s">
        <v>5111</v>
      </c>
      <c r="L838" s="205" t="s">
        <v>6799</v>
      </c>
      <c r="M838" s="205" t="s">
        <v>6800</v>
      </c>
      <c r="N838" s="204" t="s">
        <v>5273</v>
      </c>
      <c r="O838" s="204" t="s">
        <v>11</v>
      </c>
      <c r="P838" s="206">
        <v>800</v>
      </c>
      <c r="Q838" s="206">
        <v>366</v>
      </c>
      <c r="R838" s="207">
        <v>40000</v>
      </c>
      <c r="S838" s="207">
        <f t="shared" si="275"/>
        <v>14640000</v>
      </c>
      <c r="T838" s="589"/>
      <c r="U838" s="157">
        <v>40000</v>
      </c>
      <c r="V838" s="158">
        <f t="shared" si="270"/>
        <v>36000</v>
      </c>
      <c r="W838" s="159">
        <f t="shared" si="276"/>
        <v>4000</v>
      </c>
      <c r="X838" s="159">
        <f t="shared" si="277"/>
        <v>1464000</v>
      </c>
      <c r="Y838" s="160"/>
      <c r="Z838" s="160">
        <f t="shared" si="278"/>
        <v>0</v>
      </c>
      <c r="AA838" s="165"/>
      <c r="AB838" s="161">
        <f t="shared" si="279"/>
        <v>0</v>
      </c>
      <c r="AC838" s="162"/>
      <c r="AD838" s="162">
        <f t="shared" si="271"/>
        <v>0</v>
      </c>
      <c r="AE838" s="163"/>
      <c r="AF838" s="164">
        <f t="shared" si="272"/>
        <v>0</v>
      </c>
      <c r="AG838" s="161"/>
      <c r="AH838" s="165">
        <f t="shared" si="273"/>
        <v>0</v>
      </c>
      <c r="AI838" s="160">
        <v>0</v>
      </c>
      <c r="AJ838" s="166">
        <f t="shared" si="274"/>
        <v>0</v>
      </c>
      <c r="AK838" s="162"/>
      <c r="AL838" s="162">
        <f t="shared" si="269"/>
        <v>0</v>
      </c>
      <c r="AM838" s="173"/>
      <c r="AN838" s="167">
        <f t="shared" si="280"/>
        <v>0</v>
      </c>
      <c r="AO838" s="163"/>
      <c r="AP838" s="163">
        <f t="shared" si="281"/>
        <v>0</v>
      </c>
      <c r="AQ838" s="162"/>
      <c r="AR838" s="168">
        <f t="shared" si="282"/>
        <v>0</v>
      </c>
      <c r="AS838" s="169"/>
      <c r="AT838" s="170">
        <f t="shared" si="283"/>
        <v>0</v>
      </c>
      <c r="AU838" s="160">
        <v>4000</v>
      </c>
      <c r="AV838" s="166">
        <f t="shared" si="284"/>
        <v>1464000</v>
      </c>
    </row>
    <row r="839" spans="1:48" s="131" customFormat="1" ht="31.5">
      <c r="A839" s="172" t="s">
        <v>6896</v>
      </c>
      <c r="B839" s="149" t="s">
        <v>5830</v>
      </c>
      <c r="C839" s="149" t="s">
        <v>5831</v>
      </c>
      <c r="D839" s="240" t="s">
        <v>6897</v>
      </c>
      <c r="E839" s="590"/>
      <c r="F839" s="203" t="s">
        <v>1241</v>
      </c>
      <c r="G839" s="204" t="s">
        <v>390</v>
      </c>
      <c r="H839" s="204">
        <v>3</v>
      </c>
      <c r="I839" s="203" t="s">
        <v>6898</v>
      </c>
      <c r="J839" s="205" t="s">
        <v>6899</v>
      </c>
      <c r="K839" s="203" t="s">
        <v>253</v>
      </c>
      <c r="L839" s="205" t="s">
        <v>6900</v>
      </c>
      <c r="M839" s="205" t="s">
        <v>621</v>
      </c>
      <c r="N839" s="204" t="s">
        <v>213</v>
      </c>
      <c r="O839" s="204" t="s">
        <v>12</v>
      </c>
      <c r="P839" s="206">
        <v>5000</v>
      </c>
      <c r="Q839" s="206">
        <v>2100</v>
      </c>
      <c r="R839" s="207">
        <v>40000</v>
      </c>
      <c r="S839" s="207">
        <f t="shared" si="275"/>
        <v>84000000</v>
      </c>
      <c r="T839" s="589"/>
      <c r="U839" s="157">
        <v>40000</v>
      </c>
      <c r="V839" s="158">
        <f t="shared" si="270"/>
        <v>40000</v>
      </c>
      <c r="W839" s="159">
        <f t="shared" si="276"/>
        <v>0</v>
      </c>
      <c r="X839" s="159">
        <f t="shared" si="277"/>
        <v>0</v>
      </c>
      <c r="Y839" s="160"/>
      <c r="Z839" s="160">
        <f t="shared" si="278"/>
        <v>0</v>
      </c>
      <c r="AA839" s="165"/>
      <c r="AB839" s="161">
        <f t="shared" si="279"/>
        <v>0</v>
      </c>
      <c r="AC839" s="162"/>
      <c r="AD839" s="162">
        <f t="shared" si="271"/>
        <v>0</v>
      </c>
      <c r="AE839" s="164"/>
      <c r="AF839" s="164">
        <f t="shared" si="272"/>
        <v>0</v>
      </c>
      <c r="AG839" s="165"/>
      <c r="AH839" s="165">
        <f t="shared" si="273"/>
        <v>0</v>
      </c>
      <c r="AI839" s="166">
        <v>0</v>
      </c>
      <c r="AJ839" s="166">
        <f t="shared" si="274"/>
        <v>0</v>
      </c>
      <c r="AK839" s="162"/>
      <c r="AL839" s="162">
        <f t="shared" si="269"/>
        <v>0</v>
      </c>
      <c r="AM839" s="173"/>
      <c r="AN839" s="167">
        <f t="shared" si="280"/>
        <v>0</v>
      </c>
      <c r="AO839" s="163"/>
      <c r="AP839" s="163">
        <f t="shared" si="281"/>
        <v>0</v>
      </c>
      <c r="AQ839" s="168"/>
      <c r="AR839" s="168">
        <f t="shared" si="282"/>
        <v>0</v>
      </c>
      <c r="AS839" s="170"/>
      <c r="AT839" s="170">
        <f t="shared" si="283"/>
        <v>0</v>
      </c>
      <c r="AU839" s="166"/>
      <c r="AV839" s="166">
        <f t="shared" si="284"/>
        <v>0</v>
      </c>
    </row>
    <row r="840" spans="1:48" s="131" customFormat="1" ht="31.5">
      <c r="A840" s="148" t="s">
        <v>6901</v>
      </c>
      <c r="B840" s="149" t="s">
        <v>5830</v>
      </c>
      <c r="C840" s="149" t="s">
        <v>5831</v>
      </c>
      <c r="D840" s="240" t="s">
        <v>6902</v>
      </c>
      <c r="E840" s="590"/>
      <c r="F840" s="203" t="s">
        <v>1526</v>
      </c>
      <c r="G840" s="204" t="s">
        <v>6903</v>
      </c>
      <c r="H840" s="204">
        <v>3</v>
      </c>
      <c r="I840" s="203" t="s">
        <v>6904</v>
      </c>
      <c r="J840" s="205" t="s">
        <v>6905</v>
      </c>
      <c r="K840" s="203" t="s">
        <v>5104</v>
      </c>
      <c r="L840" s="205" t="s">
        <v>6906</v>
      </c>
      <c r="M840" s="205" t="s">
        <v>6907</v>
      </c>
      <c r="N840" s="204" t="s">
        <v>213</v>
      </c>
      <c r="O840" s="204" t="s">
        <v>520</v>
      </c>
      <c r="P840" s="206">
        <v>4500</v>
      </c>
      <c r="Q840" s="206">
        <v>4410</v>
      </c>
      <c r="R840" s="207">
        <v>5000</v>
      </c>
      <c r="S840" s="207">
        <f t="shared" si="275"/>
        <v>22050000</v>
      </c>
      <c r="T840" s="589"/>
      <c r="U840" s="157">
        <v>5000</v>
      </c>
      <c r="V840" s="158">
        <f t="shared" si="270"/>
        <v>5000</v>
      </c>
      <c r="W840" s="159">
        <f t="shared" si="276"/>
        <v>0</v>
      </c>
      <c r="X840" s="159">
        <f t="shared" si="277"/>
        <v>0</v>
      </c>
      <c r="Y840" s="160"/>
      <c r="Z840" s="160">
        <f t="shared" si="278"/>
        <v>0</v>
      </c>
      <c r="AA840" s="165"/>
      <c r="AB840" s="161">
        <f t="shared" si="279"/>
        <v>0</v>
      </c>
      <c r="AC840" s="162"/>
      <c r="AD840" s="162">
        <f t="shared" si="271"/>
        <v>0</v>
      </c>
      <c r="AE840" s="164"/>
      <c r="AF840" s="164">
        <f t="shared" si="272"/>
        <v>0</v>
      </c>
      <c r="AG840" s="165"/>
      <c r="AH840" s="165">
        <f t="shared" si="273"/>
        <v>0</v>
      </c>
      <c r="AI840" s="166">
        <v>0</v>
      </c>
      <c r="AJ840" s="166">
        <f t="shared" si="274"/>
        <v>0</v>
      </c>
      <c r="AK840" s="162"/>
      <c r="AL840" s="162">
        <f t="shared" si="269"/>
        <v>0</v>
      </c>
      <c r="AM840" s="173"/>
      <c r="AN840" s="167">
        <f t="shared" si="280"/>
        <v>0</v>
      </c>
      <c r="AO840" s="163"/>
      <c r="AP840" s="163">
        <f t="shared" si="281"/>
        <v>0</v>
      </c>
      <c r="AQ840" s="168"/>
      <c r="AR840" s="168">
        <f t="shared" si="282"/>
        <v>0</v>
      </c>
      <c r="AS840" s="170"/>
      <c r="AT840" s="170">
        <f t="shared" si="283"/>
        <v>0</v>
      </c>
      <c r="AU840" s="166"/>
      <c r="AV840" s="166">
        <f t="shared" si="284"/>
        <v>0</v>
      </c>
    </row>
    <row r="841" spans="1:48" s="131" customFormat="1" ht="31.5">
      <c r="A841" s="148" t="s">
        <v>6908</v>
      </c>
      <c r="B841" s="149" t="s">
        <v>5830</v>
      </c>
      <c r="C841" s="149" t="s">
        <v>5831</v>
      </c>
      <c r="D841" s="240" t="s">
        <v>6909</v>
      </c>
      <c r="E841" s="590"/>
      <c r="F841" s="203" t="s">
        <v>1526</v>
      </c>
      <c r="G841" s="204" t="s">
        <v>5755</v>
      </c>
      <c r="H841" s="204">
        <v>3</v>
      </c>
      <c r="I841" s="203" t="s">
        <v>6910</v>
      </c>
      <c r="J841" s="205" t="s">
        <v>6905</v>
      </c>
      <c r="K841" s="203" t="s">
        <v>5104</v>
      </c>
      <c r="L841" s="205" t="s">
        <v>3507</v>
      </c>
      <c r="M841" s="205" t="s">
        <v>6907</v>
      </c>
      <c r="N841" s="204" t="s">
        <v>213</v>
      </c>
      <c r="O841" s="204" t="s">
        <v>520</v>
      </c>
      <c r="P841" s="206">
        <v>8500</v>
      </c>
      <c r="Q841" s="206">
        <v>8400</v>
      </c>
      <c r="R841" s="207">
        <v>5000</v>
      </c>
      <c r="S841" s="207">
        <f t="shared" si="275"/>
        <v>42000000</v>
      </c>
      <c r="T841" s="589"/>
      <c r="U841" s="157">
        <v>5000</v>
      </c>
      <c r="V841" s="158">
        <f t="shared" si="270"/>
        <v>5000</v>
      </c>
      <c r="W841" s="159">
        <f t="shared" si="276"/>
        <v>0</v>
      </c>
      <c r="X841" s="159">
        <f t="shared" si="277"/>
        <v>0</v>
      </c>
      <c r="Y841" s="160"/>
      <c r="Z841" s="160">
        <f t="shared" si="278"/>
        <v>0</v>
      </c>
      <c r="AA841" s="165"/>
      <c r="AB841" s="161">
        <f t="shared" si="279"/>
        <v>0</v>
      </c>
      <c r="AC841" s="162"/>
      <c r="AD841" s="162">
        <f t="shared" si="271"/>
        <v>0</v>
      </c>
      <c r="AE841" s="164"/>
      <c r="AF841" s="164">
        <f t="shared" si="272"/>
        <v>0</v>
      </c>
      <c r="AG841" s="165"/>
      <c r="AH841" s="165">
        <f t="shared" si="273"/>
        <v>0</v>
      </c>
      <c r="AI841" s="166">
        <v>0</v>
      </c>
      <c r="AJ841" s="166">
        <f t="shared" si="274"/>
        <v>0</v>
      </c>
      <c r="AK841" s="162"/>
      <c r="AL841" s="162">
        <f t="shared" si="269"/>
        <v>0</v>
      </c>
      <c r="AM841" s="173"/>
      <c r="AN841" s="167">
        <f t="shared" si="280"/>
        <v>0</v>
      </c>
      <c r="AO841" s="163"/>
      <c r="AP841" s="163">
        <f t="shared" si="281"/>
        <v>0</v>
      </c>
      <c r="AQ841" s="168"/>
      <c r="AR841" s="168">
        <f t="shared" si="282"/>
        <v>0</v>
      </c>
      <c r="AS841" s="170"/>
      <c r="AT841" s="170">
        <f t="shared" si="283"/>
        <v>0</v>
      </c>
      <c r="AU841" s="166"/>
      <c r="AV841" s="166">
        <f t="shared" si="284"/>
        <v>0</v>
      </c>
    </row>
    <row r="842" spans="1:48" s="131" customFormat="1" ht="31.5">
      <c r="A842" s="172" t="s">
        <v>6911</v>
      </c>
      <c r="B842" s="149" t="s">
        <v>5830</v>
      </c>
      <c r="C842" s="149" t="s">
        <v>5831</v>
      </c>
      <c r="D842" s="240" t="s">
        <v>6912</v>
      </c>
      <c r="E842" s="590"/>
      <c r="F842" s="203" t="s">
        <v>5630</v>
      </c>
      <c r="G842" s="204" t="s">
        <v>6913</v>
      </c>
      <c r="H842" s="204">
        <v>3</v>
      </c>
      <c r="I842" s="203" t="s">
        <v>6914</v>
      </c>
      <c r="J842" s="205" t="s">
        <v>6915</v>
      </c>
      <c r="K842" s="203" t="s">
        <v>253</v>
      </c>
      <c r="L842" s="205" t="s">
        <v>6916</v>
      </c>
      <c r="M842" s="205" t="s">
        <v>6907</v>
      </c>
      <c r="N842" s="204" t="s">
        <v>213</v>
      </c>
      <c r="O842" s="204" t="s">
        <v>658</v>
      </c>
      <c r="P842" s="206">
        <v>14000</v>
      </c>
      <c r="Q842" s="206">
        <v>12600</v>
      </c>
      <c r="R842" s="207">
        <v>3000</v>
      </c>
      <c r="S842" s="207">
        <f t="shared" si="275"/>
        <v>37800000</v>
      </c>
      <c r="T842" s="589"/>
      <c r="U842" s="157">
        <v>3000</v>
      </c>
      <c r="V842" s="158">
        <f t="shared" si="270"/>
        <v>3000</v>
      </c>
      <c r="W842" s="159">
        <f t="shared" si="276"/>
        <v>0</v>
      </c>
      <c r="X842" s="159">
        <f t="shared" si="277"/>
        <v>0</v>
      </c>
      <c r="Y842" s="160"/>
      <c r="Z842" s="160">
        <f t="shared" si="278"/>
        <v>0</v>
      </c>
      <c r="AA842" s="165"/>
      <c r="AB842" s="161">
        <f t="shared" si="279"/>
        <v>0</v>
      </c>
      <c r="AC842" s="162"/>
      <c r="AD842" s="162">
        <f t="shared" si="271"/>
        <v>0</v>
      </c>
      <c r="AE842" s="164"/>
      <c r="AF842" s="164">
        <f t="shared" si="272"/>
        <v>0</v>
      </c>
      <c r="AG842" s="165"/>
      <c r="AH842" s="165">
        <f t="shared" si="273"/>
        <v>0</v>
      </c>
      <c r="AI842" s="166">
        <v>0</v>
      </c>
      <c r="AJ842" s="166">
        <f t="shared" si="274"/>
        <v>0</v>
      </c>
      <c r="AK842" s="162"/>
      <c r="AL842" s="162">
        <f t="shared" si="269"/>
        <v>0</v>
      </c>
      <c r="AM842" s="173"/>
      <c r="AN842" s="167">
        <f t="shared" si="280"/>
        <v>0</v>
      </c>
      <c r="AO842" s="163"/>
      <c r="AP842" s="163">
        <f t="shared" si="281"/>
        <v>0</v>
      </c>
      <c r="AQ842" s="168"/>
      <c r="AR842" s="168">
        <f t="shared" si="282"/>
        <v>0</v>
      </c>
      <c r="AS842" s="170"/>
      <c r="AT842" s="170">
        <f t="shared" si="283"/>
        <v>0</v>
      </c>
      <c r="AU842" s="166"/>
      <c r="AV842" s="166">
        <f t="shared" si="284"/>
        <v>0</v>
      </c>
    </row>
    <row r="843" spans="1:48" s="131" customFormat="1" ht="31.5">
      <c r="A843" s="148" t="s">
        <v>6955</v>
      </c>
      <c r="B843" s="149" t="s">
        <v>5830</v>
      </c>
      <c r="C843" s="149" t="s">
        <v>5831</v>
      </c>
      <c r="D843" s="240" t="s">
        <v>6956</v>
      </c>
      <c r="E843" s="590" t="s">
        <v>12642</v>
      </c>
      <c r="F843" s="203" t="s">
        <v>695</v>
      </c>
      <c r="G843" s="204" t="s">
        <v>6957</v>
      </c>
      <c r="H843" s="204">
        <v>3</v>
      </c>
      <c r="I843" s="203" t="s">
        <v>6958</v>
      </c>
      <c r="J843" s="205" t="s">
        <v>6959</v>
      </c>
      <c r="K843" s="203" t="s">
        <v>253</v>
      </c>
      <c r="L843" s="205" t="s">
        <v>6960</v>
      </c>
      <c r="M843" s="205" t="s">
        <v>6907</v>
      </c>
      <c r="N843" s="204" t="s">
        <v>213</v>
      </c>
      <c r="O843" s="204" t="s">
        <v>520</v>
      </c>
      <c r="P843" s="206">
        <v>6000</v>
      </c>
      <c r="Q843" s="206">
        <v>3900</v>
      </c>
      <c r="R843" s="207">
        <v>40000</v>
      </c>
      <c r="S843" s="207">
        <f t="shared" si="275"/>
        <v>156000000</v>
      </c>
      <c r="T843" s="589"/>
      <c r="U843" s="157">
        <v>40000</v>
      </c>
      <c r="V843" s="158">
        <f t="shared" si="270"/>
        <v>40000</v>
      </c>
      <c r="W843" s="159">
        <f t="shared" si="276"/>
        <v>0</v>
      </c>
      <c r="X843" s="159">
        <f t="shared" si="277"/>
        <v>0</v>
      </c>
      <c r="Y843" s="160"/>
      <c r="Z843" s="160">
        <f t="shared" si="278"/>
        <v>0</v>
      </c>
      <c r="AA843" s="165"/>
      <c r="AB843" s="161">
        <f t="shared" si="279"/>
        <v>0</v>
      </c>
      <c r="AC843" s="162"/>
      <c r="AD843" s="162">
        <f t="shared" si="271"/>
        <v>0</v>
      </c>
      <c r="AE843" s="164"/>
      <c r="AF843" s="164">
        <f t="shared" si="272"/>
        <v>0</v>
      </c>
      <c r="AG843" s="165"/>
      <c r="AH843" s="165">
        <f t="shared" si="273"/>
        <v>0</v>
      </c>
      <c r="AI843" s="166">
        <v>0</v>
      </c>
      <c r="AJ843" s="166">
        <f t="shared" si="274"/>
        <v>0</v>
      </c>
      <c r="AK843" s="162"/>
      <c r="AL843" s="162">
        <f t="shared" ref="AL843:AL906" si="285">AK843*Q843</f>
        <v>0</v>
      </c>
      <c r="AM843" s="173"/>
      <c r="AN843" s="167">
        <f t="shared" si="280"/>
        <v>0</v>
      </c>
      <c r="AO843" s="163"/>
      <c r="AP843" s="163">
        <f t="shared" si="281"/>
        <v>0</v>
      </c>
      <c r="AQ843" s="168"/>
      <c r="AR843" s="168">
        <f t="shared" si="282"/>
        <v>0</v>
      </c>
      <c r="AS843" s="170"/>
      <c r="AT843" s="170">
        <f t="shared" si="283"/>
        <v>0</v>
      </c>
      <c r="AU843" s="166"/>
      <c r="AV843" s="166">
        <f t="shared" si="284"/>
        <v>0</v>
      </c>
    </row>
    <row r="844" spans="1:48" s="131" customFormat="1" ht="31.5">
      <c r="A844" s="148" t="s">
        <v>6991</v>
      </c>
      <c r="B844" s="149" t="s">
        <v>5830</v>
      </c>
      <c r="C844" s="149" t="s">
        <v>5831</v>
      </c>
      <c r="D844" s="240" t="s">
        <v>3939</v>
      </c>
      <c r="E844" s="590" t="s">
        <v>12642</v>
      </c>
      <c r="F844" s="203" t="s">
        <v>560</v>
      </c>
      <c r="G844" s="204" t="s">
        <v>1149</v>
      </c>
      <c r="H844" s="204">
        <v>3</v>
      </c>
      <c r="I844" s="203" t="s">
        <v>1148</v>
      </c>
      <c r="J844" s="205" t="s">
        <v>6992</v>
      </c>
      <c r="K844" s="203" t="s">
        <v>253</v>
      </c>
      <c r="L844" s="205" t="s">
        <v>1150</v>
      </c>
      <c r="M844" s="205" t="s">
        <v>6907</v>
      </c>
      <c r="N844" s="204" t="s">
        <v>213</v>
      </c>
      <c r="O844" s="204" t="s">
        <v>520</v>
      </c>
      <c r="P844" s="206">
        <v>3675</v>
      </c>
      <c r="Q844" s="206">
        <v>3675</v>
      </c>
      <c r="R844" s="207">
        <v>100000</v>
      </c>
      <c r="S844" s="207">
        <f t="shared" si="275"/>
        <v>367500000</v>
      </c>
      <c r="T844" s="589"/>
      <c r="U844" s="157">
        <v>100000</v>
      </c>
      <c r="V844" s="158">
        <f t="shared" si="270"/>
        <v>100000</v>
      </c>
      <c r="W844" s="159">
        <f t="shared" si="276"/>
        <v>0</v>
      </c>
      <c r="X844" s="159">
        <f t="shared" si="277"/>
        <v>0</v>
      </c>
      <c r="Y844" s="160"/>
      <c r="Z844" s="160">
        <f t="shared" si="278"/>
        <v>0</v>
      </c>
      <c r="AA844" s="165"/>
      <c r="AB844" s="161">
        <f t="shared" si="279"/>
        <v>0</v>
      </c>
      <c r="AC844" s="162"/>
      <c r="AD844" s="162">
        <f t="shared" si="271"/>
        <v>0</v>
      </c>
      <c r="AE844" s="164"/>
      <c r="AF844" s="164">
        <f t="shared" si="272"/>
        <v>0</v>
      </c>
      <c r="AG844" s="165"/>
      <c r="AH844" s="165">
        <f t="shared" si="273"/>
        <v>0</v>
      </c>
      <c r="AI844" s="166">
        <v>0</v>
      </c>
      <c r="AJ844" s="166">
        <f t="shared" si="274"/>
        <v>0</v>
      </c>
      <c r="AK844" s="162"/>
      <c r="AL844" s="162">
        <f t="shared" si="285"/>
        <v>0</v>
      </c>
      <c r="AM844" s="173"/>
      <c r="AN844" s="167">
        <f t="shared" si="280"/>
        <v>0</v>
      </c>
      <c r="AO844" s="163"/>
      <c r="AP844" s="163">
        <f t="shared" si="281"/>
        <v>0</v>
      </c>
      <c r="AQ844" s="168"/>
      <c r="AR844" s="168">
        <f t="shared" si="282"/>
        <v>0</v>
      </c>
      <c r="AS844" s="170"/>
      <c r="AT844" s="170">
        <f t="shared" si="283"/>
        <v>0</v>
      </c>
      <c r="AU844" s="166"/>
      <c r="AV844" s="166">
        <f t="shared" si="284"/>
        <v>0</v>
      </c>
    </row>
    <row r="845" spans="1:48" s="131" customFormat="1" ht="31.5">
      <c r="A845" s="148" t="s">
        <v>7137</v>
      </c>
      <c r="B845" s="149" t="s">
        <v>5830</v>
      </c>
      <c r="C845" s="149" t="s">
        <v>5831</v>
      </c>
      <c r="D845" s="240" t="s">
        <v>5055</v>
      </c>
      <c r="E845" s="590" t="s">
        <v>12643</v>
      </c>
      <c r="F845" s="203" t="s">
        <v>7138</v>
      </c>
      <c r="G845" s="204" t="s">
        <v>2949</v>
      </c>
      <c r="H845" s="204">
        <v>3</v>
      </c>
      <c r="I845" s="203" t="s">
        <v>5056</v>
      </c>
      <c r="J845" s="205" t="s">
        <v>7139</v>
      </c>
      <c r="K845" s="203" t="s">
        <v>5104</v>
      </c>
      <c r="L845" s="205" t="s">
        <v>7140</v>
      </c>
      <c r="M845" s="205" t="s">
        <v>1263</v>
      </c>
      <c r="N845" s="204" t="s">
        <v>6628</v>
      </c>
      <c r="O845" s="204" t="s">
        <v>11</v>
      </c>
      <c r="P845" s="206">
        <v>650</v>
      </c>
      <c r="Q845" s="206">
        <v>180</v>
      </c>
      <c r="R845" s="207">
        <v>50000</v>
      </c>
      <c r="S845" s="207">
        <f t="shared" si="275"/>
        <v>9000000</v>
      </c>
      <c r="T845" s="589"/>
      <c r="U845" s="157">
        <v>50000</v>
      </c>
      <c r="V845" s="158">
        <f t="shared" si="270"/>
        <v>44150</v>
      </c>
      <c r="W845" s="159">
        <f t="shared" si="276"/>
        <v>5850</v>
      </c>
      <c r="X845" s="159">
        <f t="shared" si="277"/>
        <v>1053000</v>
      </c>
      <c r="Y845" s="160"/>
      <c r="Z845" s="160">
        <f t="shared" si="278"/>
        <v>0</v>
      </c>
      <c r="AA845" s="165">
        <v>5850</v>
      </c>
      <c r="AB845" s="161">
        <f t="shared" si="279"/>
        <v>1053000</v>
      </c>
      <c r="AC845" s="162"/>
      <c r="AD845" s="162">
        <f t="shared" si="271"/>
        <v>0</v>
      </c>
      <c r="AE845" s="163"/>
      <c r="AF845" s="164">
        <f t="shared" si="272"/>
        <v>0</v>
      </c>
      <c r="AG845" s="161"/>
      <c r="AH845" s="165">
        <f t="shared" si="273"/>
        <v>0</v>
      </c>
      <c r="AI845" s="160">
        <v>0</v>
      </c>
      <c r="AJ845" s="166">
        <f t="shared" si="274"/>
        <v>0</v>
      </c>
      <c r="AK845" s="162"/>
      <c r="AL845" s="162">
        <f t="shared" si="285"/>
        <v>0</v>
      </c>
      <c r="AM845" s="173"/>
      <c r="AN845" s="167">
        <f t="shared" si="280"/>
        <v>0</v>
      </c>
      <c r="AO845" s="163"/>
      <c r="AP845" s="163">
        <f t="shared" si="281"/>
        <v>0</v>
      </c>
      <c r="AQ845" s="162"/>
      <c r="AR845" s="168">
        <f t="shared" si="282"/>
        <v>0</v>
      </c>
      <c r="AS845" s="169"/>
      <c r="AT845" s="170">
        <f t="shared" si="283"/>
        <v>0</v>
      </c>
      <c r="AU845" s="160"/>
      <c r="AV845" s="166">
        <f t="shared" si="284"/>
        <v>0</v>
      </c>
    </row>
    <row r="846" spans="1:48" s="131" customFormat="1">
      <c r="A846" s="148" t="s">
        <v>7186</v>
      </c>
      <c r="B846" s="149" t="s">
        <v>5830</v>
      </c>
      <c r="C846" s="149" t="s">
        <v>5831</v>
      </c>
      <c r="D846" s="240" t="s">
        <v>7187</v>
      </c>
      <c r="E846" s="590" t="s">
        <v>12643</v>
      </c>
      <c r="F846" s="203" t="s">
        <v>1785</v>
      </c>
      <c r="G846" s="204" t="s">
        <v>7188</v>
      </c>
      <c r="H846" s="204">
        <v>3</v>
      </c>
      <c r="I846" s="203" t="s">
        <v>7189</v>
      </c>
      <c r="J846" s="205" t="s">
        <v>7190</v>
      </c>
      <c r="K846" s="203" t="s">
        <v>5104</v>
      </c>
      <c r="L846" s="205" t="s">
        <v>7191</v>
      </c>
      <c r="M846" s="205" t="s">
        <v>7192</v>
      </c>
      <c r="N846" s="204" t="s">
        <v>213</v>
      </c>
      <c r="O846" s="204" t="s">
        <v>15</v>
      </c>
      <c r="P846" s="206">
        <v>40000</v>
      </c>
      <c r="Q846" s="206">
        <v>39480</v>
      </c>
      <c r="R846" s="207">
        <v>2000</v>
      </c>
      <c r="S846" s="207">
        <f t="shared" si="275"/>
        <v>78960000</v>
      </c>
      <c r="T846" s="589" t="s">
        <v>15</v>
      </c>
      <c r="U846" s="157">
        <v>2000</v>
      </c>
      <c r="V846" s="158">
        <f t="shared" si="270"/>
        <v>2000</v>
      </c>
      <c r="W846" s="159">
        <f t="shared" si="276"/>
        <v>0</v>
      </c>
      <c r="X846" s="159">
        <f t="shared" si="277"/>
        <v>0</v>
      </c>
      <c r="Y846" s="160"/>
      <c r="Z846" s="160">
        <f t="shared" si="278"/>
        <v>0</v>
      </c>
      <c r="AA846" s="165"/>
      <c r="AB846" s="161">
        <f t="shared" si="279"/>
        <v>0</v>
      </c>
      <c r="AC846" s="162"/>
      <c r="AD846" s="162">
        <f t="shared" si="271"/>
        <v>0</v>
      </c>
      <c r="AE846" s="164"/>
      <c r="AF846" s="164">
        <f t="shared" si="272"/>
        <v>0</v>
      </c>
      <c r="AG846" s="165"/>
      <c r="AH846" s="165">
        <f t="shared" si="273"/>
        <v>0</v>
      </c>
      <c r="AI846" s="166">
        <v>0</v>
      </c>
      <c r="AJ846" s="166">
        <f t="shared" si="274"/>
        <v>0</v>
      </c>
      <c r="AK846" s="162"/>
      <c r="AL846" s="162">
        <f t="shared" si="285"/>
        <v>0</v>
      </c>
      <c r="AM846" s="173"/>
      <c r="AN846" s="167">
        <f t="shared" si="280"/>
        <v>0</v>
      </c>
      <c r="AO846" s="163"/>
      <c r="AP846" s="163">
        <f t="shared" si="281"/>
        <v>0</v>
      </c>
      <c r="AQ846" s="168"/>
      <c r="AR846" s="168">
        <f t="shared" si="282"/>
        <v>0</v>
      </c>
      <c r="AS846" s="170"/>
      <c r="AT846" s="170">
        <f t="shared" si="283"/>
        <v>0</v>
      </c>
      <c r="AU846" s="166"/>
      <c r="AV846" s="166">
        <f t="shared" si="284"/>
        <v>0</v>
      </c>
    </row>
    <row r="847" spans="1:48" s="131" customFormat="1" ht="47.25">
      <c r="A847" s="172" t="s">
        <v>7218</v>
      </c>
      <c r="B847" s="149" t="s">
        <v>5830</v>
      </c>
      <c r="C847" s="149" t="s">
        <v>5831</v>
      </c>
      <c r="D847" s="240" t="s">
        <v>7219</v>
      </c>
      <c r="E847" s="590" t="s">
        <v>12642</v>
      </c>
      <c r="F847" s="203" t="s">
        <v>7220</v>
      </c>
      <c r="G847" s="204" t="s">
        <v>258</v>
      </c>
      <c r="H847" s="204">
        <v>3</v>
      </c>
      <c r="I847" s="203" t="s">
        <v>7221</v>
      </c>
      <c r="J847" s="205" t="s">
        <v>7222</v>
      </c>
      <c r="K847" s="203" t="s">
        <v>5104</v>
      </c>
      <c r="L847" s="205" t="s">
        <v>7223</v>
      </c>
      <c r="M847" s="205" t="s">
        <v>7224</v>
      </c>
      <c r="N847" s="204" t="s">
        <v>213</v>
      </c>
      <c r="O847" s="204" t="s">
        <v>11</v>
      </c>
      <c r="P847" s="206">
        <v>500</v>
      </c>
      <c r="Q847" s="206">
        <v>205</v>
      </c>
      <c r="R847" s="207">
        <v>500</v>
      </c>
      <c r="S847" s="207">
        <f t="shared" si="275"/>
        <v>102500</v>
      </c>
      <c r="T847" s="589"/>
      <c r="U847" s="157">
        <v>500</v>
      </c>
      <c r="V847" s="158">
        <f t="shared" si="270"/>
        <v>500</v>
      </c>
      <c r="W847" s="159">
        <f t="shared" si="276"/>
        <v>0</v>
      </c>
      <c r="X847" s="159">
        <f t="shared" si="277"/>
        <v>0</v>
      </c>
      <c r="Y847" s="160"/>
      <c r="Z847" s="160">
        <f t="shared" si="278"/>
        <v>0</v>
      </c>
      <c r="AA847" s="165"/>
      <c r="AB847" s="161">
        <f t="shared" si="279"/>
        <v>0</v>
      </c>
      <c r="AC847" s="162"/>
      <c r="AD847" s="162">
        <f t="shared" si="271"/>
        <v>0</v>
      </c>
      <c r="AE847" s="164"/>
      <c r="AF847" s="164">
        <f t="shared" si="272"/>
        <v>0</v>
      </c>
      <c r="AG847" s="165"/>
      <c r="AH847" s="165">
        <f t="shared" si="273"/>
        <v>0</v>
      </c>
      <c r="AI847" s="166">
        <v>0</v>
      </c>
      <c r="AJ847" s="166">
        <f t="shared" si="274"/>
        <v>0</v>
      </c>
      <c r="AK847" s="162"/>
      <c r="AL847" s="162">
        <f t="shared" si="285"/>
        <v>0</v>
      </c>
      <c r="AM847" s="173"/>
      <c r="AN847" s="167">
        <f t="shared" si="280"/>
        <v>0</v>
      </c>
      <c r="AO847" s="163"/>
      <c r="AP847" s="163">
        <f t="shared" si="281"/>
        <v>0</v>
      </c>
      <c r="AQ847" s="168"/>
      <c r="AR847" s="168">
        <f t="shared" si="282"/>
        <v>0</v>
      </c>
      <c r="AS847" s="170"/>
      <c r="AT847" s="170">
        <f t="shared" si="283"/>
        <v>0</v>
      </c>
      <c r="AU847" s="166"/>
      <c r="AV847" s="166">
        <f t="shared" si="284"/>
        <v>0</v>
      </c>
    </row>
    <row r="848" spans="1:48" ht="31.5">
      <c r="A848" s="148" t="s">
        <v>7304</v>
      </c>
      <c r="B848" s="149" t="s">
        <v>5830</v>
      </c>
      <c r="C848" s="149" t="s">
        <v>5831</v>
      </c>
      <c r="D848" s="240" t="s">
        <v>7305</v>
      </c>
      <c r="E848" s="590"/>
      <c r="F848" s="203" t="s">
        <v>813</v>
      </c>
      <c r="G848" s="204" t="s">
        <v>7306</v>
      </c>
      <c r="H848" s="204">
        <v>3</v>
      </c>
      <c r="I848" s="203" t="s">
        <v>7307</v>
      </c>
      <c r="J848" s="205" t="s">
        <v>7308</v>
      </c>
      <c r="K848" s="203" t="s">
        <v>253</v>
      </c>
      <c r="L848" s="205" t="s">
        <v>7309</v>
      </c>
      <c r="M848" s="205" t="s">
        <v>7310</v>
      </c>
      <c r="N848" s="204" t="s">
        <v>213</v>
      </c>
      <c r="O848" s="204" t="s">
        <v>658</v>
      </c>
      <c r="P848" s="206">
        <v>43000</v>
      </c>
      <c r="Q848" s="206">
        <v>37500</v>
      </c>
      <c r="R848" s="207">
        <v>1000</v>
      </c>
      <c r="S848" s="207">
        <f t="shared" si="275"/>
        <v>37500000</v>
      </c>
      <c r="T848" s="589"/>
      <c r="U848" s="157">
        <v>1000</v>
      </c>
      <c r="V848" s="158">
        <f t="shared" si="270"/>
        <v>1000</v>
      </c>
      <c r="W848" s="159">
        <f t="shared" si="276"/>
        <v>0</v>
      </c>
      <c r="X848" s="159">
        <f t="shared" si="277"/>
        <v>0</v>
      </c>
      <c r="Y848" s="160"/>
      <c r="Z848" s="160">
        <f t="shared" si="278"/>
        <v>0</v>
      </c>
      <c r="AA848" s="165"/>
      <c r="AB848" s="161">
        <f t="shared" si="279"/>
        <v>0</v>
      </c>
      <c r="AC848" s="162"/>
      <c r="AD848" s="162">
        <f t="shared" si="271"/>
        <v>0</v>
      </c>
      <c r="AE848" s="164"/>
      <c r="AF848" s="164">
        <f t="shared" si="272"/>
        <v>0</v>
      </c>
      <c r="AG848" s="165"/>
      <c r="AH848" s="165">
        <f t="shared" si="273"/>
        <v>0</v>
      </c>
      <c r="AI848" s="166">
        <v>0</v>
      </c>
      <c r="AJ848" s="166">
        <f t="shared" si="274"/>
        <v>0</v>
      </c>
      <c r="AK848" s="162"/>
      <c r="AL848" s="162">
        <f t="shared" si="285"/>
        <v>0</v>
      </c>
      <c r="AM848" s="173"/>
      <c r="AN848" s="167">
        <f t="shared" si="280"/>
        <v>0</v>
      </c>
      <c r="AO848" s="163"/>
      <c r="AP848" s="163">
        <f t="shared" si="281"/>
        <v>0</v>
      </c>
      <c r="AQ848" s="168"/>
      <c r="AR848" s="168">
        <f t="shared" si="282"/>
        <v>0</v>
      </c>
      <c r="AS848" s="170"/>
      <c r="AT848" s="170">
        <f t="shared" si="283"/>
        <v>0</v>
      </c>
      <c r="AU848" s="166"/>
      <c r="AV848" s="166">
        <f t="shared" si="284"/>
        <v>0</v>
      </c>
    </row>
    <row r="849" spans="1:48" ht="31.5">
      <c r="A849" s="172" t="s">
        <v>7499</v>
      </c>
      <c r="B849" s="149" t="s">
        <v>5830</v>
      </c>
      <c r="C849" s="149" t="s">
        <v>5831</v>
      </c>
      <c r="D849" s="240" t="s">
        <v>4327</v>
      </c>
      <c r="E849" s="590" t="s">
        <v>12642</v>
      </c>
      <c r="F849" s="203" t="s">
        <v>1702</v>
      </c>
      <c r="G849" s="204" t="s">
        <v>238</v>
      </c>
      <c r="H849" s="204">
        <v>3</v>
      </c>
      <c r="I849" s="203" t="s">
        <v>4328</v>
      </c>
      <c r="J849" s="205" t="s">
        <v>6709</v>
      </c>
      <c r="K849" s="203" t="s">
        <v>5104</v>
      </c>
      <c r="L849" s="205" t="s">
        <v>7500</v>
      </c>
      <c r="M849" s="205" t="s">
        <v>7501</v>
      </c>
      <c r="N849" s="204" t="s">
        <v>213</v>
      </c>
      <c r="O849" s="204" t="s">
        <v>11</v>
      </c>
      <c r="P849" s="206">
        <v>1000</v>
      </c>
      <c r="Q849" s="206">
        <v>475</v>
      </c>
      <c r="R849" s="207">
        <v>45000</v>
      </c>
      <c r="S849" s="207">
        <f t="shared" si="275"/>
        <v>21375000</v>
      </c>
      <c r="T849" s="589"/>
      <c r="U849" s="157">
        <v>45000</v>
      </c>
      <c r="V849" s="158">
        <f t="shared" si="270"/>
        <v>44700</v>
      </c>
      <c r="W849" s="159">
        <f t="shared" si="276"/>
        <v>300</v>
      </c>
      <c r="X849" s="159">
        <f t="shared" si="277"/>
        <v>142500</v>
      </c>
      <c r="Y849" s="160"/>
      <c r="Z849" s="160">
        <f t="shared" si="278"/>
        <v>0</v>
      </c>
      <c r="AA849" s="165">
        <v>300</v>
      </c>
      <c r="AB849" s="161">
        <f t="shared" si="279"/>
        <v>142500</v>
      </c>
      <c r="AC849" s="162"/>
      <c r="AD849" s="162">
        <f t="shared" si="271"/>
        <v>0</v>
      </c>
      <c r="AE849" s="164"/>
      <c r="AF849" s="164">
        <f t="shared" si="272"/>
        <v>0</v>
      </c>
      <c r="AG849" s="165"/>
      <c r="AH849" s="165">
        <f t="shared" si="273"/>
        <v>0</v>
      </c>
      <c r="AI849" s="166">
        <v>0</v>
      </c>
      <c r="AJ849" s="166">
        <f t="shared" si="274"/>
        <v>0</v>
      </c>
      <c r="AK849" s="162"/>
      <c r="AL849" s="162">
        <f t="shared" si="285"/>
        <v>0</v>
      </c>
      <c r="AM849" s="173"/>
      <c r="AN849" s="167">
        <f t="shared" si="280"/>
        <v>0</v>
      </c>
      <c r="AO849" s="163"/>
      <c r="AP849" s="163">
        <f t="shared" si="281"/>
        <v>0</v>
      </c>
      <c r="AQ849" s="168"/>
      <c r="AR849" s="168">
        <f t="shared" si="282"/>
        <v>0</v>
      </c>
      <c r="AS849" s="170"/>
      <c r="AT849" s="170">
        <f t="shared" si="283"/>
        <v>0</v>
      </c>
      <c r="AU849" s="166"/>
      <c r="AV849" s="166">
        <f t="shared" si="284"/>
        <v>0</v>
      </c>
    </row>
    <row r="850" spans="1:48" ht="47.25">
      <c r="A850" s="148" t="s">
        <v>7540</v>
      </c>
      <c r="B850" s="149" t="s">
        <v>5830</v>
      </c>
      <c r="C850" s="149" t="s">
        <v>5831</v>
      </c>
      <c r="D850" s="240" t="s">
        <v>7541</v>
      </c>
      <c r="E850" s="590" t="s">
        <v>12642</v>
      </c>
      <c r="F850" s="203" t="s">
        <v>4958</v>
      </c>
      <c r="G850" s="204" t="s">
        <v>1016</v>
      </c>
      <c r="H850" s="204">
        <v>3</v>
      </c>
      <c r="I850" s="203" t="s">
        <v>7542</v>
      </c>
      <c r="J850" s="205" t="s">
        <v>7543</v>
      </c>
      <c r="K850" s="203" t="s">
        <v>5104</v>
      </c>
      <c r="L850" s="205" t="s">
        <v>7544</v>
      </c>
      <c r="M850" s="205" t="s">
        <v>7545</v>
      </c>
      <c r="N850" s="204" t="s">
        <v>213</v>
      </c>
      <c r="O850" s="204" t="s">
        <v>520</v>
      </c>
      <c r="P850" s="206">
        <v>7000</v>
      </c>
      <c r="Q850" s="206">
        <v>4410</v>
      </c>
      <c r="R850" s="207">
        <v>3000</v>
      </c>
      <c r="S850" s="207">
        <f t="shared" si="275"/>
        <v>13230000</v>
      </c>
      <c r="T850" s="589"/>
      <c r="U850" s="157">
        <v>3000</v>
      </c>
      <c r="V850" s="158">
        <f t="shared" si="270"/>
        <v>3000</v>
      </c>
      <c r="W850" s="159">
        <f t="shared" si="276"/>
        <v>0</v>
      </c>
      <c r="X850" s="159">
        <f t="shared" si="277"/>
        <v>0</v>
      </c>
      <c r="Y850" s="160"/>
      <c r="Z850" s="160">
        <f t="shared" si="278"/>
        <v>0</v>
      </c>
      <c r="AA850" s="165"/>
      <c r="AB850" s="161">
        <f t="shared" si="279"/>
        <v>0</v>
      </c>
      <c r="AC850" s="162"/>
      <c r="AD850" s="162">
        <f t="shared" si="271"/>
        <v>0</v>
      </c>
      <c r="AE850" s="163"/>
      <c r="AF850" s="164">
        <f t="shared" si="272"/>
        <v>0</v>
      </c>
      <c r="AG850" s="161"/>
      <c r="AH850" s="165">
        <f t="shared" si="273"/>
        <v>0</v>
      </c>
      <c r="AI850" s="160">
        <v>0</v>
      </c>
      <c r="AJ850" s="166">
        <f t="shared" si="274"/>
        <v>0</v>
      </c>
      <c r="AK850" s="162"/>
      <c r="AL850" s="162">
        <f t="shared" si="285"/>
        <v>0</v>
      </c>
      <c r="AM850" s="173"/>
      <c r="AN850" s="167">
        <f t="shared" si="280"/>
        <v>0</v>
      </c>
      <c r="AO850" s="163"/>
      <c r="AP850" s="163">
        <f t="shared" si="281"/>
        <v>0</v>
      </c>
      <c r="AQ850" s="162"/>
      <c r="AR850" s="168">
        <f t="shared" si="282"/>
        <v>0</v>
      </c>
      <c r="AS850" s="169"/>
      <c r="AT850" s="170">
        <f t="shared" si="283"/>
        <v>0</v>
      </c>
      <c r="AU850" s="160"/>
      <c r="AV850" s="166">
        <f t="shared" si="284"/>
        <v>0</v>
      </c>
    </row>
    <row r="851" spans="1:48" s="115" customFormat="1" ht="31.5">
      <c r="A851" s="172" t="s">
        <v>7606</v>
      </c>
      <c r="B851" s="149" t="s">
        <v>5830</v>
      </c>
      <c r="C851" s="149" t="s">
        <v>5831</v>
      </c>
      <c r="D851" s="240" t="s">
        <v>7607</v>
      </c>
      <c r="E851" s="590" t="s">
        <v>12642</v>
      </c>
      <c r="F851" s="203" t="s">
        <v>750</v>
      </c>
      <c r="G851" s="204" t="s">
        <v>7608</v>
      </c>
      <c r="H851" s="204">
        <v>3</v>
      </c>
      <c r="I851" s="203" t="s">
        <v>7609</v>
      </c>
      <c r="J851" s="205" t="s">
        <v>7610</v>
      </c>
      <c r="K851" s="203" t="s">
        <v>5104</v>
      </c>
      <c r="L851" s="205" t="s">
        <v>7611</v>
      </c>
      <c r="M851" s="205" t="s">
        <v>6907</v>
      </c>
      <c r="N851" s="204" t="s">
        <v>213</v>
      </c>
      <c r="O851" s="204" t="s">
        <v>520</v>
      </c>
      <c r="P851" s="206">
        <v>4410</v>
      </c>
      <c r="Q851" s="206">
        <v>4200</v>
      </c>
      <c r="R851" s="207">
        <v>100000</v>
      </c>
      <c r="S851" s="207">
        <f t="shared" si="275"/>
        <v>420000000</v>
      </c>
      <c r="T851" s="589"/>
      <c r="U851" s="157">
        <v>100000</v>
      </c>
      <c r="V851" s="158">
        <f t="shared" si="270"/>
        <v>100000</v>
      </c>
      <c r="W851" s="159">
        <f t="shared" si="276"/>
        <v>0</v>
      </c>
      <c r="X851" s="159">
        <f t="shared" si="277"/>
        <v>0</v>
      </c>
      <c r="Y851" s="160"/>
      <c r="Z851" s="160">
        <f t="shared" si="278"/>
        <v>0</v>
      </c>
      <c r="AA851" s="165"/>
      <c r="AB851" s="161">
        <f t="shared" si="279"/>
        <v>0</v>
      </c>
      <c r="AC851" s="162"/>
      <c r="AD851" s="162">
        <f t="shared" si="271"/>
        <v>0</v>
      </c>
      <c r="AE851" s="163"/>
      <c r="AF851" s="164">
        <f t="shared" si="272"/>
        <v>0</v>
      </c>
      <c r="AG851" s="161"/>
      <c r="AH851" s="165">
        <f t="shared" si="273"/>
        <v>0</v>
      </c>
      <c r="AI851" s="160">
        <v>0</v>
      </c>
      <c r="AJ851" s="166">
        <f t="shared" si="274"/>
        <v>0</v>
      </c>
      <c r="AK851" s="162"/>
      <c r="AL851" s="162">
        <f t="shared" si="285"/>
        <v>0</v>
      </c>
      <c r="AM851" s="173"/>
      <c r="AN851" s="167">
        <f t="shared" si="280"/>
        <v>0</v>
      </c>
      <c r="AO851" s="163"/>
      <c r="AP851" s="163">
        <f t="shared" si="281"/>
        <v>0</v>
      </c>
      <c r="AQ851" s="162"/>
      <c r="AR851" s="168">
        <f t="shared" si="282"/>
        <v>0</v>
      </c>
      <c r="AS851" s="169"/>
      <c r="AT851" s="170">
        <f t="shared" si="283"/>
        <v>0</v>
      </c>
      <c r="AU851" s="160"/>
      <c r="AV851" s="166">
        <f t="shared" si="284"/>
        <v>0</v>
      </c>
    </row>
    <row r="852" spans="1:48" ht="31.5">
      <c r="A852" s="148" t="s">
        <v>7762</v>
      </c>
      <c r="B852" s="149" t="s">
        <v>5830</v>
      </c>
      <c r="C852" s="149" t="s">
        <v>5831</v>
      </c>
      <c r="D852" s="240" t="s">
        <v>4253</v>
      </c>
      <c r="E852" s="590"/>
      <c r="F852" s="203" t="s">
        <v>7763</v>
      </c>
      <c r="G852" s="204" t="s">
        <v>1165</v>
      </c>
      <c r="H852" s="204">
        <v>3</v>
      </c>
      <c r="I852" s="203" t="s">
        <v>7764</v>
      </c>
      <c r="J852" s="205" t="s">
        <v>7765</v>
      </c>
      <c r="K852" s="203" t="s">
        <v>5104</v>
      </c>
      <c r="L852" s="205" t="s">
        <v>7766</v>
      </c>
      <c r="M852" s="205" t="s">
        <v>7767</v>
      </c>
      <c r="N852" s="204" t="s">
        <v>213</v>
      </c>
      <c r="O852" s="204" t="s">
        <v>11</v>
      </c>
      <c r="P852" s="206">
        <v>10000</v>
      </c>
      <c r="Q852" s="206">
        <v>3800</v>
      </c>
      <c r="R852" s="207">
        <v>50000</v>
      </c>
      <c r="S852" s="207">
        <f t="shared" si="275"/>
        <v>190000000</v>
      </c>
      <c r="T852" s="589" t="s">
        <v>11</v>
      </c>
      <c r="U852" s="157">
        <v>50000</v>
      </c>
      <c r="V852" s="158">
        <f t="shared" si="270"/>
        <v>50000</v>
      </c>
      <c r="W852" s="159">
        <f t="shared" si="276"/>
        <v>0</v>
      </c>
      <c r="X852" s="159">
        <f t="shared" si="277"/>
        <v>0</v>
      </c>
      <c r="Y852" s="160"/>
      <c r="Z852" s="160">
        <f t="shared" si="278"/>
        <v>0</v>
      </c>
      <c r="AA852" s="165"/>
      <c r="AB852" s="161">
        <f t="shared" si="279"/>
        <v>0</v>
      </c>
      <c r="AC852" s="162"/>
      <c r="AD852" s="162">
        <f t="shared" si="271"/>
        <v>0</v>
      </c>
      <c r="AE852" s="163"/>
      <c r="AF852" s="164">
        <f t="shared" si="272"/>
        <v>0</v>
      </c>
      <c r="AG852" s="161"/>
      <c r="AH852" s="165">
        <f t="shared" si="273"/>
        <v>0</v>
      </c>
      <c r="AI852" s="160">
        <v>0</v>
      </c>
      <c r="AJ852" s="166">
        <f t="shared" si="274"/>
        <v>0</v>
      </c>
      <c r="AK852" s="162"/>
      <c r="AL852" s="162">
        <f t="shared" si="285"/>
        <v>0</v>
      </c>
      <c r="AM852" s="173"/>
      <c r="AN852" s="167">
        <f t="shared" si="280"/>
        <v>0</v>
      </c>
      <c r="AO852" s="163"/>
      <c r="AP852" s="163">
        <f t="shared" si="281"/>
        <v>0</v>
      </c>
      <c r="AQ852" s="162"/>
      <c r="AR852" s="168">
        <f t="shared" si="282"/>
        <v>0</v>
      </c>
      <c r="AS852" s="169"/>
      <c r="AT852" s="170">
        <f t="shared" si="283"/>
        <v>0</v>
      </c>
      <c r="AU852" s="160"/>
      <c r="AV852" s="166">
        <f t="shared" si="284"/>
        <v>0</v>
      </c>
    </row>
    <row r="853" spans="1:48" ht="31.5">
      <c r="A853" s="172" t="s">
        <v>7912</v>
      </c>
      <c r="B853" s="149" t="s">
        <v>5830</v>
      </c>
      <c r="C853" s="149" t="s">
        <v>5831</v>
      </c>
      <c r="D853" s="240" t="s">
        <v>7913</v>
      </c>
      <c r="E853" s="590" t="s">
        <v>12642</v>
      </c>
      <c r="F853" s="203" t="s">
        <v>736</v>
      </c>
      <c r="G853" s="204" t="s">
        <v>1115</v>
      </c>
      <c r="H853" s="204">
        <v>3</v>
      </c>
      <c r="I853" s="203" t="s">
        <v>7914</v>
      </c>
      <c r="J853" s="205" t="s">
        <v>7915</v>
      </c>
      <c r="K853" s="203" t="s">
        <v>5104</v>
      </c>
      <c r="L853" s="205" t="s">
        <v>7916</v>
      </c>
      <c r="M853" s="205" t="s">
        <v>7917</v>
      </c>
      <c r="N853" s="204" t="s">
        <v>213</v>
      </c>
      <c r="O853" s="204" t="s">
        <v>12</v>
      </c>
      <c r="P853" s="206">
        <v>4400</v>
      </c>
      <c r="Q853" s="206">
        <v>4198</v>
      </c>
      <c r="R853" s="207">
        <v>60000</v>
      </c>
      <c r="S853" s="207">
        <f t="shared" si="275"/>
        <v>251880000</v>
      </c>
      <c r="T853" s="589"/>
      <c r="U853" s="157">
        <v>60000</v>
      </c>
      <c r="V853" s="158">
        <f t="shared" si="270"/>
        <v>60000</v>
      </c>
      <c r="W853" s="159">
        <f t="shared" si="276"/>
        <v>0</v>
      </c>
      <c r="X853" s="159">
        <f t="shared" si="277"/>
        <v>0</v>
      </c>
      <c r="Y853" s="160"/>
      <c r="Z853" s="160">
        <f t="shared" si="278"/>
        <v>0</v>
      </c>
      <c r="AA853" s="165"/>
      <c r="AB853" s="161">
        <f t="shared" si="279"/>
        <v>0</v>
      </c>
      <c r="AC853" s="162"/>
      <c r="AD853" s="162">
        <f t="shared" si="271"/>
        <v>0</v>
      </c>
      <c r="AE853" s="164"/>
      <c r="AF853" s="164">
        <f t="shared" si="272"/>
        <v>0</v>
      </c>
      <c r="AG853" s="165"/>
      <c r="AH853" s="165">
        <f t="shared" si="273"/>
        <v>0</v>
      </c>
      <c r="AI853" s="166">
        <v>0</v>
      </c>
      <c r="AJ853" s="166">
        <f t="shared" si="274"/>
        <v>0</v>
      </c>
      <c r="AK853" s="162"/>
      <c r="AL853" s="162">
        <f t="shared" si="285"/>
        <v>0</v>
      </c>
      <c r="AM853" s="173"/>
      <c r="AN853" s="167">
        <f t="shared" si="280"/>
        <v>0</v>
      </c>
      <c r="AO853" s="163"/>
      <c r="AP853" s="163">
        <f t="shared" si="281"/>
        <v>0</v>
      </c>
      <c r="AQ853" s="168"/>
      <c r="AR853" s="168">
        <f t="shared" si="282"/>
        <v>0</v>
      </c>
      <c r="AS853" s="170"/>
      <c r="AT853" s="170">
        <f t="shared" si="283"/>
        <v>0</v>
      </c>
      <c r="AU853" s="166"/>
      <c r="AV853" s="166">
        <f t="shared" si="284"/>
        <v>0</v>
      </c>
    </row>
    <row r="854" spans="1:48" ht="31.5">
      <c r="A854" s="148" t="s">
        <v>8050</v>
      </c>
      <c r="B854" s="149" t="s">
        <v>5830</v>
      </c>
      <c r="C854" s="149" t="s">
        <v>5831</v>
      </c>
      <c r="D854" s="240" t="s">
        <v>3959</v>
      </c>
      <c r="E854" s="590" t="s">
        <v>12642</v>
      </c>
      <c r="F854" s="203" t="s">
        <v>6320</v>
      </c>
      <c r="G854" s="204" t="s">
        <v>3962</v>
      </c>
      <c r="H854" s="204">
        <v>3</v>
      </c>
      <c r="I854" s="203" t="s">
        <v>3960</v>
      </c>
      <c r="J854" s="205" t="s">
        <v>8051</v>
      </c>
      <c r="K854" s="203" t="s">
        <v>5104</v>
      </c>
      <c r="L854" s="205" t="s">
        <v>8052</v>
      </c>
      <c r="M854" s="205" t="s">
        <v>8053</v>
      </c>
      <c r="N854" s="204" t="s">
        <v>213</v>
      </c>
      <c r="O854" s="204" t="s">
        <v>11</v>
      </c>
      <c r="P854" s="206">
        <v>3320</v>
      </c>
      <c r="Q854" s="206">
        <v>3129</v>
      </c>
      <c r="R854" s="207">
        <v>5000</v>
      </c>
      <c r="S854" s="207">
        <f t="shared" si="275"/>
        <v>15645000</v>
      </c>
      <c r="T854" s="589"/>
      <c r="U854" s="157">
        <v>5000</v>
      </c>
      <c r="V854" s="158">
        <f t="shared" si="270"/>
        <v>20</v>
      </c>
      <c r="W854" s="159">
        <f t="shared" si="276"/>
        <v>4980</v>
      </c>
      <c r="X854" s="159">
        <f t="shared" si="277"/>
        <v>15582420</v>
      </c>
      <c r="Y854" s="160"/>
      <c r="Z854" s="160">
        <f t="shared" si="278"/>
        <v>0</v>
      </c>
      <c r="AA854" s="165"/>
      <c r="AB854" s="161">
        <f t="shared" si="279"/>
        <v>0</v>
      </c>
      <c r="AC854" s="162"/>
      <c r="AD854" s="162">
        <f t="shared" si="271"/>
        <v>0</v>
      </c>
      <c r="AE854" s="164"/>
      <c r="AF854" s="164">
        <f t="shared" si="272"/>
        <v>0</v>
      </c>
      <c r="AG854" s="165">
        <v>900</v>
      </c>
      <c r="AH854" s="165">
        <f t="shared" si="273"/>
        <v>2816100</v>
      </c>
      <c r="AI854" s="166">
        <v>0</v>
      </c>
      <c r="AJ854" s="166">
        <f t="shared" si="274"/>
        <v>0</v>
      </c>
      <c r="AK854" s="162"/>
      <c r="AL854" s="162">
        <f t="shared" si="285"/>
        <v>0</v>
      </c>
      <c r="AM854" s="173">
        <v>4080</v>
      </c>
      <c r="AN854" s="167">
        <f t="shared" si="280"/>
        <v>12766320</v>
      </c>
      <c r="AO854" s="163"/>
      <c r="AP854" s="163">
        <f t="shared" si="281"/>
        <v>0</v>
      </c>
      <c r="AQ854" s="168"/>
      <c r="AR854" s="168">
        <f t="shared" si="282"/>
        <v>0</v>
      </c>
      <c r="AS854" s="170"/>
      <c r="AT854" s="170">
        <f t="shared" si="283"/>
        <v>0</v>
      </c>
      <c r="AU854" s="166"/>
      <c r="AV854" s="166">
        <f t="shared" si="284"/>
        <v>0</v>
      </c>
    </row>
    <row r="855" spans="1:48" ht="31.5">
      <c r="A855" s="148" t="s">
        <v>8070</v>
      </c>
      <c r="B855" s="149" t="s">
        <v>5830</v>
      </c>
      <c r="C855" s="149" t="s">
        <v>5831</v>
      </c>
      <c r="D855" s="240" t="s">
        <v>8071</v>
      </c>
      <c r="E855" s="590"/>
      <c r="F855" s="203" t="s">
        <v>876</v>
      </c>
      <c r="G855" s="204" t="s">
        <v>5658</v>
      </c>
      <c r="H855" s="204">
        <v>3</v>
      </c>
      <c r="I855" s="203" t="s">
        <v>8072</v>
      </c>
      <c r="J855" s="205" t="s">
        <v>8073</v>
      </c>
      <c r="K855" s="203" t="s">
        <v>253</v>
      </c>
      <c r="L855" s="205" t="s">
        <v>8074</v>
      </c>
      <c r="M855" s="205" t="s">
        <v>6907</v>
      </c>
      <c r="N855" s="204" t="s">
        <v>213</v>
      </c>
      <c r="O855" s="204" t="s">
        <v>658</v>
      </c>
      <c r="P855" s="206">
        <v>12800</v>
      </c>
      <c r="Q855" s="206">
        <v>12600</v>
      </c>
      <c r="R855" s="207">
        <v>3000</v>
      </c>
      <c r="S855" s="207">
        <f t="shared" si="275"/>
        <v>37800000</v>
      </c>
      <c r="T855" s="589"/>
      <c r="U855" s="157">
        <v>3000</v>
      </c>
      <c r="V855" s="158">
        <f t="shared" si="270"/>
        <v>3000</v>
      </c>
      <c r="W855" s="159">
        <f t="shared" si="276"/>
        <v>0</v>
      </c>
      <c r="X855" s="159">
        <f t="shared" si="277"/>
        <v>0</v>
      </c>
      <c r="Y855" s="160"/>
      <c r="Z855" s="160">
        <f t="shared" si="278"/>
        <v>0</v>
      </c>
      <c r="AA855" s="165"/>
      <c r="AB855" s="161">
        <f t="shared" si="279"/>
        <v>0</v>
      </c>
      <c r="AC855" s="162"/>
      <c r="AD855" s="162">
        <f t="shared" si="271"/>
        <v>0</v>
      </c>
      <c r="AE855" s="164"/>
      <c r="AF855" s="164">
        <f t="shared" si="272"/>
        <v>0</v>
      </c>
      <c r="AG855" s="165"/>
      <c r="AH855" s="165">
        <f t="shared" si="273"/>
        <v>0</v>
      </c>
      <c r="AI855" s="166">
        <v>0</v>
      </c>
      <c r="AJ855" s="166">
        <f t="shared" si="274"/>
        <v>0</v>
      </c>
      <c r="AK855" s="162"/>
      <c r="AL855" s="162">
        <f t="shared" si="285"/>
        <v>0</v>
      </c>
      <c r="AM855" s="173"/>
      <c r="AN855" s="167">
        <f t="shared" si="280"/>
        <v>0</v>
      </c>
      <c r="AO855" s="163"/>
      <c r="AP855" s="163">
        <f t="shared" si="281"/>
        <v>0</v>
      </c>
      <c r="AQ855" s="168"/>
      <c r="AR855" s="168">
        <f t="shared" si="282"/>
        <v>0</v>
      </c>
      <c r="AS855" s="170"/>
      <c r="AT855" s="170">
        <f t="shared" si="283"/>
        <v>0</v>
      </c>
      <c r="AU855" s="166"/>
      <c r="AV855" s="166">
        <f t="shared" si="284"/>
        <v>0</v>
      </c>
    </row>
    <row r="856" spans="1:48" ht="47.25">
      <c r="A856" s="148" t="s">
        <v>8229</v>
      </c>
      <c r="B856" s="149" t="s">
        <v>5830</v>
      </c>
      <c r="C856" s="149" t="s">
        <v>5831</v>
      </c>
      <c r="D856" s="240" t="s">
        <v>8230</v>
      </c>
      <c r="E856" s="590" t="s">
        <v>12642</v>
      </c>
      <c r="F856" s="203" t="s">
        <v>713</v>
      </c>
      <c r="G856" s="204" t="s">
        <v>1767</v>
      </c>
      <c r="H856" s="204">
        <v>3</v>
      </c>
      <c r="I856" s="203" t="s">
        <v>2616</v>
      </c>
      <c r="J856" s="205" t="s">
        <v>8231</v>
      </c>
      <c r="K856" s="203" t="s">
        <v>5104</v>
      </c>
      <c r="L856" s="205" t="s">
        <v>8232</v>
      </c>
      <c r="M856" s="205" t="s">
        <v>8233</v>
      </c>
      <c r="N856" s="204" t="s">
        <v>213</v>
      </c>
      <c r="O856" s="204" t="s">
        <v>520</v>
      </c>
      <c r="P856" s="206">
        <v>4480</v>
      </c>
      <c r="Q856" s="206">
        <v>4410</v>
      </c>
      <c r="R856" s="207">
        <v>300</v>
      </c>
      <c r="S856" s="207">
        <f t="shared" si="275"/>
        <v>1323000</v>
      </c>
      <c r="T856" s="589"/>
      <c r="U856" s="157">
        <v>300</v>
      </c>
      <c r="V856" s="158">
        <f t="shared" si="270"/>
        <v>300</v>
      </c>
      <c r="W856" s="159">
        <f t="shared" si="276"/>
        <v>0</v>
      </c>
      <c r="X856" s="159">
        <f t="shared" si="277"/>
        <v>0</v>
      </c>
      <c r="Y856" s="160"/>
      <c r="Z856" s="160">
        <f t="shared" si="278"/>
        <v>0</v>
      </c>
      <c r="AA856" s="165"/>
      <c r="AB856" s="161">
        <f t="shared" si="279"/>
        <v>0</v>
      </c>
      <c r="AC856" s="162"/>
      <c r="AD856" s="162">
        <f t="shared" si="271"/>
        <v>0</v>
      </c>
      <c r="AE856" s="163"/>
      <c r="AF856" s="164">
        <f t="shared" si="272"/>
        <v>0</v>
      </c>
      <c r="AG856" s="161"/>
      <c r="AH856" s="165">
        <f t="shared" si="273"/>
        <v>0</v>
      </c>
      <c r="AI856" s="160">
        <v>0</v>
      </c>
      <c r="AJ856" s="166">
        <f t="shared" si="274"/>
        <v>0</v>
      </c>
      <c r="AK856" s="162"/>
      <c r="AL856" s="162">
        <f t="shared" si="285"/>
        <v>0</v>
      </c>
      <c r="AM856" s="173"/>
      <c r="AN856" s="167">
        <f t="shared" si="280"/>
        <v>0</v>
      </c>
      <c r="AO856" s="163"/>
      <c r="AP856" s="163">
        <f t="shared" si="281"/>
        <v>0</v>
      </c>
      <c r="AQ856" s="162"/>
      <c r="AR856" s="168">
        <f t="shared" si="282"/>
        <v>0</v>
      </c>
      <c r="AS856" s="169"/>
      <c r="AT856" s="170">
        <f t="shared" si="283"/>
        <v>0</v>
      </c>
      <c r="AU856" s="160"/>
      <c r="AV856" s="166">
        <f t="shared" si="284"/>
        <v>0</v>
      </c>
    </row>
    <row r="857" spans="1:48" ht="47.25">
      <c r="A857" s="172" t="s">
        <v>8234</v>
      </c>
      <c r="B857" s="149" t="s">
        <v>5830</v>
      </c>
      <c r="C857" s="149" t="s">
        <v>5831</v>
      </c>
      <c r="D857" s="240" t="s">
        <v>8235</v>
      </c>
      <c r="E857" s="590" t="s">
        <v>12642</v>
      </c>
      <c r="F857" s="203" t="s">
        <v>713</v>
      </c>
      <c r="G857" s="204" t="s">
        <v>327</v>
      </c>
      <c r="H857" s="204">
        <v>3</v>
      </c>
      <c r="I857" s="203" t="s">
        <v>2875</v>
      </c>
      <c r="J857" s="205" t="s">
        <v>6709</v>
      </c>
      <c r="K857" s="203" t="s">
        <v>5104</v>
      </c>
      <c r="L857" s="205" t="s">
        <v>8236</v>
      </c>
      <c r="M857" s="205" t="s">
        <v>7545</v>
      </c>
      <c r="N857" s="204" t="s">
        <v>213</v>
      </c>
      <c r="O857" s="204" t="s">
        <v>11</v>
      </c>
      <c r="P857" s="206">
        <v>240</v>
      </c>
      <c r="Q857" s="206">
        <v>240</v>
      </c>
      <c r="R857" s="207">
        <v>5000</v>
      </c>
      <c r="S857" s="207">
        <f t="shared" si="275"/>
        <v>1200000</v>
      </c>
      <c r="T857" s="589"/>
      <c r="U857" s="157">
        <v>5000</v>
      </c>
      <c r="V857" s="158">
        <f t="shared" si="270"/>
        <v>5000</v>
      </c>
      <c r="W857" s="159">
        <f t="shared" si="276"/>
        <v>0</v>
      </c>
      <c r="X857" s="159">
        <f t="shared" si="277"/>
        <v>0</v>
      </c>
      <c r="Y857" s="160"/>
      <c r="Z857" s="160">
        <f t="shared" si="278"/>
        <v>0</v>
      </c>
      <c r="AA857" s="165"/>
      <c r="AB857" s="161">
        <f t="shared" si="279"/>
        <v>0</v>
      </c>
      <c r="AC857" s="162"/>
      <c r="AD857" s="162">
        <f t="shared" si="271"/>
        <v>0</v>
      </c>
      <c r="AE857" s="164"/>
      <c r="AF857" s="164">
        <f t="shared" si="272"/>
        <v>0</v>
      </c>
      <c r="AG857" s="165"/>
      <c r="AH857" s="165">
        <f t="shared" si="273"/>
        <v>0</v>
      </c>
      <c r="AI857" s="166">
        <v>0</v>
      </c>
      <c r="AJ857" s="166">
        <f t="shared" si="274"/>
        <v>0</v>
      </c>
      <c r="AK857" s="162"/>
      <c r="AL857" s="162">
        <f t="shared" si="285"/>
        <v>0</v>
      </c>
      <c r="AM857" s="173"/>
      <c r="AN857" s="167">
        <f t="shared" si="280"/>
        <v>0</v>
      </c>
      <c r="AO857" s="163"/>
      <c r="AP857" s="163">
        <f t="shared" si="281"/>
        <v>0</v>
      </c>
      <c r="AQ857" s="168"/>
      <c r="AR857" s="168">
        <f t="shared" si="282"/>
        <v>0</v>
      </c>
      <c r="AS857" s="170"/>
      <c r="AT857" s="170">
        <f t="shared" si="283"/>
        <v>0</v>
      </c>
      <c r="AU857" s="166"/>
      <c r="AV857" s="166">
        <f t="shared" si="284"/>
        <v>0</v>
      </c>
    </row>
    <row r="858" spans="1:48" ht="31.5">
      <c r="A858" s="148" t="s">
        <v>8380</v>
      </c>
      <c r="B858" s="149" t="s">
        <v>5830</v>
      </c>
      <c r="C858" s="149" t="s">
        <v>5831</v>
      </c>
      <c r="D858" s="240" t="s">
        <v>8381</v>
      </c>
      <c r="E858" s="590" t="s">
        <v>12642</v>
      </c>
      <c r="F858" s="203" t="s">
        <v>742</v>
      </c>
      <c r="G858" s="204" t="s">
        <v>4187</v>
      </c>
      <c r="H858" s="204">
        <v>5</v>
      </c>
      <c r="I858" s="203" t="s">
        <v>8382</v>
      </c>
      <c r="J858" s="205" t="s">
        <v>7543</v>
      </c>
      <c r="K858" s="203" t="s">
        <v>5104</v>
      </c>
      <c r="L858" s="205" t="s">
        <v>8383</v>
      </c>
      <c r="M858" s="205" t="s">
        <v>6907</v>
      </c>
      <c r="N858" s="204" t="s">
        <v>213</v>
      </c>
      <c r="O858" s="204" t="s">
        <v>520</v>
      </c>
      <c r="P858" s="206">
        <v>32000</v>
      </c>
      <c r="Q858" s="206">
        <v>29400</v>
      </c>
      <c r="R858" s="207">
        <v>100</v>
      </c>
      <c r="S858" s="207">
        <f t="shared" si="275"/>
        <v>2940000</v>
      </c>
      <c r="T858" s="589"/>
      <c r="U858" s="157">
        <v>100</v>
      </c>
      <c r="V858" s="158">
        <f t="shared" si="270"/>
        <v>100</v>
      </c>
      <c r="W858" s="159">
        <f t="shared" si="276"/>
        <v>0</v>
      </c>
      <c r="X858" s="159">
        <f t="shared" si="277"/>
        <v>0</v>
      </c>
      <c r="Y858" s="160"/>
      <c r="Z858" s="160">
        <f t="shared" si="278"/>
        <v>0</v>
      </c>
      <c r="AA858" s="165"/>
      <c r="AB858" s="161">
        <f t="shared" si="279"/>
        <v>0</v>
      </c>
      <c r="AC858" s="162"/>
      <c r="AD858" s="162">
        <f t="shared" si="271"/>
        <v>0</v>
      </c>
      <c r="AE858" s="164"/>
      <c r="AF858" s="164">
        <f t="shared" si="272"/>
        <v>0</v>
      </c>
      <c r="AG858" s="165"/>
      <c r="AH858" s="165">
        <f t="shared" si="273"/>
        <v>0</v>
      </c>
      <c r="AI858" s="166">
        <v>0</v>
      </c>
      <c r="AJ858" s="166">
        <f t="shared" si="274"/>
        <v>0</v>
      </c>
      <c r="AK858" s="162"/>
      <c r="AL858" s="162">
        <f t="shared" si="285"/>
        <v>0</v>
      </c>
      <c r="AM858" s="173"/>
      <c r="AN858" s="167">
        <f t="shared" si="280"/>
        <v>0</v>
      </c>
      <c r="AO858" s="163"/>
      <c r="AP858" s="163">
        <f t="shared" si="281"/>
        <v>0</v>
      </c>
      <c r="AQ858" s="168"/>
      <c r="AR858" s="168">
        <f t="shared" si="282"/>
        <v>0</v>
      </c>
      <c r="AS858" s="170"/>
      <c r="AT858" s="170">
        <f t="shared" si="283"/>
        <v>0</v>
      </c>
      <c r="AU858" s="166"/>
      <c r="AV858" s="166">
        <f t="shared" si="284"/>
        <v>0</v>
      </c>
    </row>
    <row r="859" spans="1:48">
      <c r="A859" s="148" t="s">
        <v>8401</v>
      </c>
      <c r="B859" s="149" t="s">
        <v>5830</v>
      </c>
      <c r="C859" s="149" t="s">
        <v>5831</v>
      </c>
      <c r="D859" s="240" t="s">
        <v>8402</v>
      </c>
      <c r="E859" s="590"/>
      <c r="F859" s="203" t="s">
        <v>2477</v>
      </c>
      <c r="G859" s="204" t="s">
        <v>799</v>
      </c>
      <c r="H859" s="204">
        <v>5</v>
      </c>
      <c r="I859" s="203" t="s">
        <v>5897</v>
      </c>
      <c r="J859" s="205" t="s">
        <v>5898</v>
      </c>
      <c r="K859" s="203" t="s">
        <v>5104</v>
      </c>
      <c r="L859" s="205" t="s">
        <v>5899</v>
      </c>
      <c r="M859" s="205" t="s">
        <v>5833</v>
      </c>
      <c r="N859" s="204" t="s">
        <v>5185</v>
      </c>
      <c r="O859" s="204" t="s">
        <v>520</v>
      </c>
      <c r="P859" s="206">
        <v>18000</v>
      </c>
      <c r="Q859" s="206">
        <v>17850</v>
      </c>
      <c r="R859" s="207">
        <v>200</v>
      </c>
      <c r="S859" s="207">
        <f t="shared" si="275"/>
        <v>3570000</v>
      </c>
      <c r="T859" s="589"/>
      <c r="U859" s="157">
        <v>200</v>
      </c>
      <c r="V859" s="158">
        <f t="shared" si="270"/>
        <v>200</v>
      </c>
      <c r="W859" s="159">
        <f t="shared" si="276"/>
        <v>0</v>
      </c>
      <c r="X859" s="159">
        <f t="shared" si="277"/>
        <v>0</v>
      </c>
      <c r="Y859" s="160"/>
      <c r="Z859" s="160">
        <f t="shared" si="278"/>
        <v>0</v>
      </c>
      <c r="AA859" s="165"/>
      <c r="AB859" s="161">
        <f t="shared" si="279"/>
        <v>0</v>
      </c>
      <c r="AC859" s="162"/>
      <c r="AD859" s="162">
        <f t="shared" si="271"/>
        <v>0</v>
      </c>
      <c r="AE859" s="164"/>
      <c r="AF859" s="164">
        <f t="shared" si="272"/>
        <v>0</v>
      </c>
      <c r="AG859" s="165"/>
      <c r="AH859" s="165">
        <f t="shared" si="273"/>
        <v>0</v>
      </c>
      <c r="AI859" s="166">
        <v>0</v>
      </c>
      <c r="AJ859" s="166">
        <f t="shared" si="274"/>
        <v>0</v>
      </c>
      <c r="AK859" s="162"/>
      <c r="AL859" s="162">
        <f t="shared" si="285"/>
        <v>0</v>
      </c>
      <c r="AM859" s="173"/>
      <c r="AN859" s="167">
        <f t="shared" si="280"/>
        <v>0</v>
      </c>
      <c r="AO859" s="163"/>
      <c r="AP859" s="163">
        <f t="shared" si="281"/>
        <v>0</v>
      </c>
      <c r="AQ859" s="168"/>
      <c r="AR859" s="168">
        <f t="shared" si="282"/>
        <v>0</v>
      </c>
      <c r="AS859" s="170"/>
      <c r="AT859" s="170">
        <f t="shared" si="283"/>
        <v>0</v>
      </c>
      <c r="AU859" s="166"/>
      <c r="AV859" s="166">
        <f t="shared" si="284"/>
        <v>0</v>
      </c>
    </row>
    <row r="860" spans="1:48" ht="31.5">
      <c r="A860" s="148" t="s">
        <v>8421</v>
      </c>
      <c r="B860" s="149" t="s">
        <v>5830</v>
      </c>
      <c r="C860" s="149" t="s">
        <v>5831</v>
      </c>
      <c r="D860" s="240" t="s">
        <v>8422</v>
      </c>
      <c r="E860" s="590" t="s">
        <v>12642</v>
      </c>
      <c r="F860" s="203" t="s">
        <v>1702</v>
      </c>
      <c r="G860" s="204" t="s">
        <v>238</v>
      </c>
      <c r="H860" s="204">
        <v>5</v>
      </c>
      <c r="I860" s="203" t="s">
        <v>4328</v>
      </c>
      <c r="J860" s="205" t="s">
        <v>6709</v>
      </c>
      <c r="K860" s="203" t="s">
        <v>5104</v>
      </c>
      <c r="L860" s="205" t="s">
        <v>7500</v>
      </c>
      <c r="M860" s="205" t="s">
        <v>7501</v>
      </c>
      <c r="N860" s="204" t="s">
        <v>213</v>
      </c>
      <c r="O860" s="204" t="s">
        <v>11</v>
      </c>
      <c r="P860" s="206">
        <v>1000</v>
      </c>
      <c r="Q860" s="206">
        <v>475</v>
      </c>
      <c r="R860" s="207">
        <v>45000</v>
      </c>
      <c r="S860" s="207">
        <f t="shared" si="275"/>
        <v>21375000</v>
      </c>
      <c r="T860" s="589"/>
      <c r="U860" s="157">
        <v>45000</v>
      </c>
      <c r="V860" s="158">
        <f t="shared" si="270"/>
        <v>45000</v>
      </c>
      <c r="W860" s="159">
        <f t="shared" si="276"/>
        <v>0</v>
      </c>
      <c r="X860" s="159">
        <f t="shared" si="277"/>
        <v>0</v>
      </c>
      <c r="Y860" s="160"/>
      <c r="Z860" s="160">
        <f t="shared" si="278"/>
        <v>0</v>
      </c>
      <c r="AA860" s="165"/>
      <c r="AB860" s="161">
        <f t="shared" si="279"/>
        <v>0</v>
      </c>
      <c r="AC860" s="162"/>
      <c r="AD860" s="162">
        <f t="shared" si="271"/>
        <v>0</v>
      </c>
      <c r="AE860" s="164"/>
      <c r="AF860" s="164">
        <f t="shared" si="272"/>
        <v>0</v>
      </c>
      <c r="AG860" s="165"/>
      <c r="AH860" s="165">
        <f t="shared" si="273"/>
        <v>0</v>
      </c>
      <c r="AI860" s="166">
        <v>0</v>
      </c>
      <c r="AJ860" s="166">
        <f t="shared" si="274"/>
        <v>0</v>
      </c>
      <c r="AK860" s="162"/>
      <c r="AL860" s="162">
        <f t="shared" si="285"/>
        <v>0</v>
      </c>
      <c r="AM860" s="173"/>
      <c r="AN860" s="167">
        <f t="shared" si="280"/>
        <v>0</v>
      </c>
      <c r="AO860" s="163"/>
      <c r="AP860" s="163">
        <f t="shared" si="281"/>
        <v>0</v>
      </c>
      <c r="AQ860" s="168"/>
      <c r="AR860" s="168">
        <f t="shared" si="282"/>
        <v>0</v>
      </c>
      <c r="AS860" s="170"/>
      <c r="AT860" s="170">
        <f t="shared" si="283"/>
        <v>0</v>
      </c>
      <c r="AU860" s="166"/>
      <c r="AV860" s="166">
        <f t="shared" si="284"/>
        <v>0</v>
      </c>
    </row>
    <row r="861" spans="1:48" ht="31.5">
      <c r="A861" s="148" t="s">
        <v>8472</v>
      </c>
      <c r="B861" s="149" t="s">
        <v>5830</v>
      </c>
      <c r="C861" s="149" t="s">
        <v>5831</v>
      </c>
      <c r="D861" s="240" t="s">
        <v>8473</v>
      </c>
      <c r="E861" s="590" t="s">
        <v>12642</v>
      </c>
      <c r="F861" s="203" t="s">
        <v>6320</v>
      </c>
      <c r="G861" s="204" t="s">
        <v>3962</v>
      </c>
      <c r="H861" s="204">
        <v>5</v>
      </c>
      <c r="I861" s="203" t="s">
        <v>3960</v>
      </c>
      <c r="J861" s="205" t="s">
        <v>8051</v>
      </c>
      <c r="K861" s="203" t="s">
        <v>5104</v>
      </c>
      <c r="L861" s="205" t="s">
        <v>8052</v>
      </c>
      <c r="M861" s="205" t="s">
        <v>8053</v>
      </c>
      <c r="N861" s="204" t="s">
        <v>213</v>
      </c>
      <c r="O861" s="204" t="s">
        <v>11</v>
      </c>
      <c r="P861" s="206">
        <v>3320</v>
      </c>
      <c r="Q861" s="206">
        <v>3129</v>
      </c>
      <c r="R861" s="207">
        <v>5000</v>
      </c>
      <c r="S861" s="207">
        <f t="shared" si="275"/>
        <v>15645000</v>
      </c>
      <c r="T861" s="589"/>
      <c r="U861" s="157">
        <v>5000</v>
      </c>
      <c r="V861" s="158">
        <f t="shared" si="270"/>
        <v>5000</v>
      </c>
      <c r="W861" s="159">
        <f t="shared" si="276"/>
        <v>0</v>
      </c>
      <c r="X861" s="159">
        <f t="shared" si="277"/>
        <v>0</v>
      </c>
      <c r="Y861" s="160"/>
      <c r="Z861" s="160">
        <f t="shared" si="278"/>
        <v>0</v>
      </c>
      <c r="AA861" s="165"/>
      <c r="AB861" s="161">
        <f t="shared" si="279"/>
        <v>0</v>
      </c>
      <c r="AC861" s="162"/>
      <c r="AD861" s="162">
        <f t="shared" si="271"/>
        <v>0</v>
      </c>
      <c r="AE861" s="164"/>
      <c r="AF861" s="164">
        <f t="shared" si="272"/>
        <v>0</v>
      </c>
      <c r="AG861" s="165"/>
      <c r="AH861" s="165">
        <f t="shared" si="273"/>
        <v>0</v>
      </c>
      <c r="AI861" s="166">
        <v>0</v>
      </c>
      <c r="AJ861" s="166">
        <f t="shared" si="274"/>
        <v>0</v>
      </c>
      <c r="AK861" s="162"/>
      <c r="AL861" s="162">
        <f t="shared" si="285"/>
        <v>0</v>
      </c>
      <c r="AM861" s="173"/>
      <c r="AN861" s="167">
        <f t="shared" si="280"/>
        <v>0</v>
      </c>
      <c r="AO861" s="163"/>
      <c r="AP861" s="163">
        <f t="shared" si="281"/>
        <v>0</v>
      </c>
      <c r="AQ861" s="168"/>
      <c r="AR861" s="168">
        <f t="shared" si="282"/>
        <v>0</v>
      </c>
      <c r="AS861" s="170"/>
      <c r="AT861" s="170">
        <f t="shared" si="283"/>
        <v>0</v>
      </c>
      <c r="AU861" s="166"/>
      <c r="AV861" s="166">
        <f t="shared" si="284"/>
        <v>0</v>
      </c>
    </row>
    <row r="862" spans="1:48" ht="31.5">
      <c r="A862" s="148" t="s">
        <v>7897</v>
      </c>
      <c r="B862" s="149" t="s">
        <v>7898</v>
      </c>
      <c r="C862" s="149" t="s">
        <v>7899</v>
      </c>
      <c r="D862" s="240" t="s">
        <v>7900</v>
      </c>
      <c r="E862" s="590" t="s">
        <v>12642</v>
      </c>
      <c r="F862" s="203" t="s">
        <v>736</v>
      </c>
      <c r="G862" s="204" t="s">
        <v>7901</v>
      </c>
      <c r="H862" s="204">
        <v>3</v>
      </c>
      <c r="I862" s="203" t="s">
        <v>7902</v>
      </c>
      <c r="J862" s="205" t="s">
        <v>7903</v>
      </c>
      <c r="K862" s="203" t="s">
        <v>5104</v>
      </c>
      <c r="L862" s="205" t="s">
        <v>7904</v>
      </c>
      <c r="M862" s="205" t="s">
        <v>7905</v>
      </c>
      <c r="N862" s="204" t="s">
        <v>213</v>
      </c>
      <c r="O862" s="204" t="s">
        <v>11</v>
      </c>
      <c r="P862" s="206">
        <v>1500</v>
      </c>
      <c r="Q862" s="206">
        <v>1450</v>
      </c>
      <c r="R862" s="207">
        <v>60000</v>
      </c>
      <c r="S862" s="207">
        <f t="shared" si="275"/>
        <v>87000000</v>
      </c>
      <c r="T862" s="589" t="s">
        <v>11</v>
      </c>
      <c r="U862" s="157">
        <v>60000</v>
      </c>
      <c r="V862" s="158">
        <f t="shared" si="270"/>
        <v>60000</v>
      </c>
      <c r="W862" s="159">
        <f t="shared" si="276"/>
        <v>0</v>
      </c>
      <c r="X862" s="159">
        <f t="shared" si="277"/>
        <v>0</v>
      </c>
      <c r="Y862" s="160"/>
      <c r="Z862" s="160">
        <f t="shared" si="278"/>
        <v>0</v>
      </c>
      <c r="AA862" s="165"/>
      <c r="AB862" s="161">
        <f t="shared" si="279"/>
        <v>0</v>
      </c>
      <c r="AC862" s="162"/>
      <c r="AD862" s="162">
        <f t="shared" si="271"/>
        <v>0</v>
      </c>
      <c r="AE862" s="164"/>
      <c r="AF862" s="164">
        <f t="shared" si="272"/>
        <v>0</v>
      </c>
      <c r="AG862" s="165"/>
      <c r="AH862" s="165">
        <f t="shared" si="273"/>
        <v>0</v>
      </c>
      <c r="AI862" s="166">
        <v>0</v>
      </c>
      <c r="AJ862" s="166">
        <f t="shared" si="274"/>
        <v>0</v>
      </c>
      <c r="AK862" s="162"/>
      <c r="AL862" s="162">
        <f t="shared" si="285"/>
        <v>0</v>
      </c>
      <c r="AM862" s="173"/>
      <c r="AN862" s="167">
        <f t="shared" si="280"/>
        <v>0</v>
      </c>
      <c r="AO862" s="163"/>
      <c r="AP862" s="163">
        <f t="shared" si="281"/>
        <v>0</v>
      </c>
      <c r="AQ862" s="168"/>
      <c r="AR862" s="168">
        <f t="shared" si="282"/>
        <v>0</v>
      </c>
      <c r="AS862" s="170"/>
      <c r="AT862" s="170">
        <f t="shared" si="283"/>
        <v>0</v>
      </c>
      <c r="AU862" s="166"/>
      <c r="AV862" s="166">
        <f t="shared" si="284"/>
        <v>0</v>
      </c>
    </row>
    <row r="863" spans="1:48">
      <c r="A863" s="172" t="s">
        <v>8369</v>
      </c>
      <c r="B863" s="149" t="s">
        <v>7898</v>
      </c>
      <c r="C863" s="149" t="s">
        <v>7899</v>
      </c>
      <c r="D863" s="240" t="s">
        <v>8370</v>
      </c>
      <c r="E863" s="590" t="s">
        <v>12642</v>
      </c>
      <c r="F863" s="203" t="s">
        <v>2485</v>
      </c>
      <c r="G863" s="204" t="s">
        <v>2486</v>
      </c>
      <c r="H863" s="204">
        <v>5</v>
      </c>
      <c r="I863" s="203" t="s">
        <v>8371</v>
      </c>
      <c r="J863" s="205" t="s">
        <v>8372</v>
      </c>
      <c r="K863" s="203" t="s">
        <v>5104</v>
      </c>
      <c r="L863" s="205" t="s">
        <v>8373</v>
      </c>
      <c r="M863" s="205" t="s">
        <v>8374</v>
      </c>
      <c r="N863" s="204" t="s">
        <v>213</v>
      </c>
      <c r="O863" s="204" t="s">
        <v>11</v>
      </c>
      <c r="P863" s="206">
        <v>1400</v>
      </c>
      <c r="Q863" s="206">
        <v>1400</v>
      </c>
      <c r="R863" s="207">
        <v>50000</v>
      </c>
      <c r="S863" s="207">
        <f t="shared" si="275"/>
        <v>70000000</v>
      </c>
      <c r="T863" s="589"/>
      <c r="U863" s="157">
        <v>50000</v>
      </c>
      <c r="V863" s="158">
        <f t="shared" si="270"/>
        <v>50000</v>
      </c>
      <c r="W863" s="159">
        <f t="shared" si="276"/>
        <v>0</v>
      </c>
      <c r="X863" s="159">
        <f t="shared" si="277"/>
        <v>0</v>
      </c>
      <c r="Y863" s="160"/>
      <c r="Z863" s="160">
        <f t="shared" si="278"/>
        <v>0</v>
      </c>
      <c r="AA863" s="165"/>
      <c r="AB863" s="161">
        <f t="shared" si="279"/>
        <v>0</v>
      </c>
      <c r="AC863" s="162"/>
      <c r="AD863" s="162">
        <f t="shared" si="271"/>
        <v>0</v>
      </c>
      <c r="AE863" s="163"/>
      <c r="AF863" s="164">
        <f t="shared" si="272"/>
        <v>0</v>
      </c>
      <c r="AG863" s="161"/>
      <c r="AH863" s="165">
        <f t="shared" si="273"/>
        <v>0</v>
      </c>
      <c r="AI863" s="160">
        <v>0</v>
      </c>
      <c r="AJ863" s="166">
        <f t="shared" si="274"/>
        <v>0</v>
      </c>
      <c r="AK863" s="162"/>
      <c r="AL863" s="162">
        <f t="shared" si="285"/>
        <v>0</v>
      </c>
      <c r="AM863" s="173"/>
      <c r="AN863" s="167">
        <f t="shared" si="280"/>
        <v>0</v>
      </c>
      <c r="AO863" s="163"/>
      <c r="AP863" s="163">
        <f t="shared" si="281"/>
        <v>0</v>
      </c>
      <c r="AQ863" s="162"/>
      <c r="AR863" s="168">
        <f t="shared" si="282"/>
        <v>0</v>
      </c>
      <c r="AS863" s="169"/>
      <c r="AT863" s="170">
        <f t="shared" si="283"/>
        <v>0</v>
      </c>
      <c r="AU863" s="160"/>
      <c r="AV863" s="166">
        <f t="shared" si="284"/>
        <v>0</v>
      </c>
    </row>
    <row r="864" spans="1:48" s="131" customFormat="1">
      <c r="A864" s="148" t="s">
        <v>7358</v>
      </c>
      <c r="B864" s="149" t="s">
        <v>7359</v>
      </c>
      <c r="C864" s="149" t="s">
        <v>7360</v>
      </c>
      <c r="D864" s="240" t="s">
        <v>4557</v>
      </c>
      <c r="E864" s="590"/>
      <c r="F864" s="203" t="s">
        <v>337</v>
      </c>
      <c r="G864" s="204" t="s">
        <v>272</v>
      </c>
      <c r="H864" s="204">
        <v>3</v>
      </c>
      <c r="I864" s="203" t="s">
        <v>4558</v>
      </c>
      <c r="J864" s="205" t="s">
        <v>7361</v>
      </c>
      <c r="K864" s="203" t="s">
        <v>5104</v>
      </c>
      <c r="L864" s="205" t="s">
        <v>3319</v>
      </c>
      <c r="M864" s="205" t="s">
        <v>7362</v>
      </c>
      <c r="N864" s="204" t="s">
        <v>213</v>
      </c>
      <c r="O864" s="204" t="s">
        <v>11</v>
      </c>
      <c r="P864" s="206">
        <v>4290</v>
      </c>
      <c r="Q864" s="206">
        <v>1638</v>
      </c>
      <c r="R864" s="207">
        <v>10000</v>
      </c>
      <c r="S864" s="207">
        <f t="shared" si="275"/>
        <v>16380000</v>
      </c>
      <c r="T864" s="589"/>
      <c r="U864" s="157">
        <v>10000</v>
      </c>
      <c r="V864" s="158">
        <f t="shared" ref="V864:V915" si="286">U864-W864</f>
        <v>7000</v>
      </c>
      <c r="W864" s="159">
        <f t="shared" si="276"/>
        <v>3000</v>
      </c>
      <c r="X864" s="159">
        <f t="shared" si="277"/>
        <v>4914000</v>
      </c>
      <c r="Y864" s="160"/>
      <c r="Z864" s="160">
        <f t="shared" si="278"/>
        <v>0</v>
      </c>
      <c r="AA864" s="165">
        <v>3000</v>
      </c>
      <c r="AB864" s="161">
        <f t="shared" si="279"/>
        <v>4914000</v>
      </c>
      <c r="AC864" s="162"/>
      <c r="AD864" s="162">
        <f t="shared" ref="AD864:AD915" si="287">AC864*Q864</f>
        <v>0</v>
      </c>
      <c r="AE864" s="164"/>
      <c r="AF864" s="164">
        <f t="shared" ref="AF864:AF915" si="288">AE864*Q864</f>
        <v>0</v>
      </c>
      <c r="AG864" s="165"/>
      <c r="AH864" s="165">
        <f t="shared" ref="AH864:AH915" si="289">AG864*Q864</f>
        <v>0</v>
      </c>
      <c r="AI864" s="166">
        <v>0</v>
      </c>
      <c r="AJ864" s="166">
        <f t="shared" ref="AJ864:AJ915" si="290">AI864*Q864</f>
        <v>0</v>
      </c>
      <c r="AK864" s="162"/>
      <c r="AL864" s="162">
        <f t="shared" si="285"/>
        <v>0</v>
      </c>
      <c r="AM864" s="173"/>
      <c r="AN864" s="167">
        <f t="shared" si="280"/>
        <v>0</v>
      </c>
      <c r="AO864" s="163"/>
      <c r="AP864" s="163">
        <f t="shared" si="281"/>
        <v>0</v>
      </c>
      <c r="AQ864" s="168"/>
      <c r="AR864" s="168">
        <f t="shared" si="282"/>
        <v>0</v>
      </c>
      <c r="AS864" s="170"/>
      <c r="AT864" s="170">
        <f t="shared" si="283"/>
        <v>0</v>
      </c>
      <c r="AU864" s="166"/>
      <c r="AV864" s="166">
        <f t="shared" si="284"/>
        <v>0</v>
      </c>
    </row>
    <row r="865" spans="1:48" s="131" customFormat="1">
      <c r="A865" s="172" t="s">
        <v>7524</v>
      </c>
      <c r="B865" s="149" t="s">
        <v>7359</v>
      </c>
      <c r="C865" s="149" t="s">
        <v>7360</v>
      </c>
      <c r="D865" s="240" t="s">
        <v>4982</v>
      </c>
      <c r="E865" s="590" t="s">
        <v>12643</v>
      </c>
      <c r="F865" s="203" t="s">
        <v>1550</v>
      </c>
      <c r="G865" s="204" t="s">
        <v>1777</v>
      </c>
      <c r="H865" s="204">
        <v>3</v>
      </c>
      <c r="I865" s="203" t="s">
        <v>1776</v>
      </c>
      <c r="J865" s="205" t="s">
        <v>7525</v>
      </c>
      <c r="K865" s="203" t="s">
        <v>5104</v>
      </c>
      <c r="L865" s="205" t="s">
        <v>1778</v>
      </c>
      <c r="M865" s="205" t="s">
        <v>7362</v>
      </c>
      <c r="N865" s="204" t="s">
        <v>213</v>
      </c>
      <c r="O865" s="204" t="s">
        <v>11</v>
      </c>
      <c r="P865" s="206">
        <v>710</v>
      </c>
      <c r="Q865" s="206">
        <v>220</v>
      </c>
      <c r="R865" s="207">
        <v>50000</v>
      </c>
      <c r="S865" s="207">
        <f t="shared" si="275"/>
        <v>11000000</v>
      </c>
      <c r="T865" s="589"/>
      <c r="U865" s="157">
        <v>50000</v>
      </c>
      <c r="V865" s="158">
        <f t="shared" si="286"/>
        <v>40010</v>
      </c>
      <c r="W865" s="159">
        <f t="shared" si="276"/>
        <v>9990</v>
      </c>
      <c r="X865" s="159">
        <f t="shared" si="277"/>
        <v>2197800</v>
      </c>
      <c r="Y865" s="160"/>
      <c r="Z865" s="160">
        <f t="shared" si="278"/>
        <v>0</v>
      </c>
      <c r="AA865" s="165">
        <v>9990</v>
      </c>
      <c r="AB865" s="161">
        <f t="shared" si="279"/>
        <v>2197800</v>
      </c>
      <c r="AC865" s="162"/>
      <c r="AD865" s="162">
        <f t="shared" si="287"/>
        <v>0</v>
      </c>
      <c r="AE865" s="164"/>
      <c r="AF865" s="164">
        <f t="shared" si="288"/>
        <v>0</v>
      </c>
      <c r="AG865" s="165"/>
      <c r="AH865" s="165">
        <f t="shared" si="289"/>
        <v>0</v>
      </c>
      <c r="AI865" s="166">
        <v>0</v>
      </c>
      <c r="AJ865" s="166">
        <f t="shared" si="290"/>
        <v>0</v>
      </c>
      <c r="AK865" s="162"/>
      <c r="AL865" s="162">
        <f t="shared" si="285"/>
        <v>0</v>
      </c>
      <c r="AM865" s="173"/>
      <c r="AN865" s="167">
        <f t="shared" si="280"/>
        <v>0</v>
      </c>
      <c r="AO865" s="163"/>
      <c r="AP865" s="163">
        <f t="shared" si="281"/>
        <v>0</v>
      </c>
      <c r="AQ865" s="168"/>
      <c r="AR865" s="168">
        <f t="shared" si="282"/>
        <v>0</v>
      </c>
      <c r="AS865" s="170"/>
      <c r="AT865" s="170">
        <f t="shared" si="283"/>
        <v>0</v>
      </c>
      <c r="AU865" s="166"/>
      <c r="AV865" s="166">
        <f t="shared" si="284"/>
        <v>0</v>
      </c>
    </row>
    <row r="866" spans="1:48" s="131" customFormat="1" ht="31.5">
      <c r="A866" s="172" t="s">
        <v>7849</v>
      </c>
      <c r="B866" s="149" t="s">
        <v>7359</v>
      </c>
      <c r="C866" s="149" t="s">
        <v>7360</v>
      </c>
      <c r="D866" s="240" t="s">
        <v>7850</v>
      </c>
      <c r="E866" s="590" t="s">
        <v>12642</v>
      </c>
      <c r="F866" s="203" t="s">
        <v>870</v>
      </c>
      <c r="G866" s="204" t="s">
        <v>7018</v>
      </c>
      <c r="H866" s="204">
        <v>3</v>
      </c>
      <c r="I866" s="203" t="s">
        <v>7851</v>
      </c>
      <c r="J866" s="205" t="s">
        <v>7852</v>
      </c>
      <c r="K866" s="203" t="s">
        <v>5104</v>
      </c>
      <c r="L866" s="205" t="s">
        <v>7853</v>
      </c>
      <c r="M866" s="205" t="s">
        <v>7362</v>
      </c>
      <c r="N866" s="204" t="s">
        <v>213</v>
      </c>
      <c r="O866" s="204" t="s">
        <v>15</v>
      </c>
      <c r="P866" s="206">
        <v>50000</v>
      </c>
      <c r="Q866" s="206">
        <v>37480</v>
      </c>
      <c r="R866" s="207">
        <v>600</v>
      </c>
      <c r="S866" s="207">
        <f t="shared" si="275"/>
        <v>22488000</v>
      </c>
      <c r="T866" s="589"/>
      <c r="U866" s="157">
        <v>600</v>
      </c>
      <c r="V866" s="158">
        <f t="shared" si="286"/>
        <v>600</v>
      </c>
      <c r="W866" s="159">
        <f t="shared" si="276"/>
        <v>0</v>
      </c>
      <c r="X866" s="159">
        <f t="shared" si="277"/>
        <v>0</v>
      </c>
      <c r="Y866" s="160"/>
      <c r="Z866" s="160">
        <f t="shared" si="278"/>
        <v>0</v>
      </c>
      <c r="AA866" s="165"/>
      <c r="AB866" s="161">
        <f t="shared" si="279"/>
        <v>0</v>
      </c>
      <c r="AC866" s="162"/>
      <c r="AD866" s="162">
        <f t="shared" si="287"/>
        <v>0</v>
      </c>
      <c r="AE866" s="164"/>
      <c r="AF866" s="164">
        <f t="shared" si="288"/>
        <v>0</v>
      </c>
      <c r="AG866" s="165"/>
      <c r="AH866" s="165">
        <f t="shared" si="289"/>
        <v>0</v>
      </c>
      <c r="AI866" s="166">
        <v>0</v>
      </c>
      <c r="AJ866" s="166">
        <f t="shared" si="290"/>
        <v>0</v>
      </c>
      <c r="AK866" s="162"/>
      <c r="AL866" s="162">
        <f t="shared" si="285"/>
        <v>0</v>
      </c>
      <c r="AM866" s="173"/>
      <c r="AN866" s="167">
        <f t="shared" si="280"/>
        <v>0</v>
      </c>
      <c r="AO866" s="163"/>
      <c r="AP866" s="163">
        <f t="shared" si="281"/>
        <v>0</v>
      </c>
      <c r="AQ866" s="168"/>
      <c r="AR866" s="168">
        <f t="shared" si="282"/>
        <v>0</v>
      </c>
      <c r="AS866" s="170"/>
      <c r="AT866" s="170">
        <f t="shared" si="283"/>
        <v>0</v>
      </c>
      <c r="AU866" s="166"/>
      <c r="AV866" s="166">
        <f t="shared" si="284"/>
        <v>0</v>
      </c>
    </row>
    <row r="867" spans="1:48" s="131" customFormat="1" ht="31.5">
      <c r="A867" s="148" t="s">
        <v>8127</v>
      </c>
      <c r="B867" s="149" t="s">
        <v>7359</v>
      </c>
      <c r="C867" s="149" t="s">
        <v>7360</v>
      </c>
      <c r="D867" s="240" t="s">
        <v>4082</v>
      </c>
      <c r="E867" s="590" t="s">
        <v>12642</v>
      </c>
      <c r="F867" s="203" t="s">
        <v>1618</v>
      </c>
      <c r="G867" s="204" t="s">
        <v>994</v>
      </c>
      <c r="H867" s="204">
        <v>3</v>
      </c>
      <c r="I867" s="203" t="s">
        <v>2494</v>
      </c>
      <c r="J867" s="205" t="s">
        <v>6792</v>
      </c>
      <c r="K867" s="203" t="s">
        <v>5108</v>
      </c>
      <c r="L867" s="205" t="s">
        <v>3031</v>
      </c>
      <c r="M867" s="205" t="s">
        <v>7362</v>
      </c>
      <c r="N867" s="204" t="s">
        <v>213</v>
      </c>
      <c r="O867" s="204" t="s">
        <v>11</v>
      </c>
      <c r="P867" s="206">
        <v>2200</v>
      </c>
      <c r="Q867" s="206">
        <v>204</v>
      </c>
      <c r="R867" s="207">
        <v>100000</v>
      </c>
      <c r="S867" s="207">
        <f t="shared" si="275"/>
        <v>20400000</v>
      </c>
      <c r="T867" s="589"/>
      <c r="U867" s="157">
        <v>100000</v>
      </c>
      <c r="V867" s="158">
        <f t="shared" si="286"/>
        <v>36000</v>
      </c>
      <c r="W867" s="159">
        <f t="shared" si="276"/>
        <v>64000</v>
      </c>
      <c r="X867" s="159">
        <f t="shared" si="277"/>
        <v>13056000</v>
      </c>
      <c r="Y867" s="160"/>
      <c r="Z867" s="160">
        <f t="shared" si="278"/>
        <v>0</v>
      </c>
      <c r="AA867" s="165">
        <v>64000</v>
      </c>
      <c r="AB867" s="161">
        <f t="shared" si="279"/>
        <v>13056000</v>
      </c>
      <c r="AC867" s="162"/>
      <c r="AD867" s="162">
        <f t="shared" si="287"/>
        <v>0</v>
      </c>
      <c r="AE867" s="164"/>
      <c r="AF867" s="164">
        <f t="shared" si="288"/>
        <v>0</v>
      </c>
      <c r="AG867" s="165"/>
      <c r="AH867" s="165">
        <f t="shared" si="289"/>
        <v>0</v>
      </c>
      <c r="AI867" s="166">
        <v>0</v>
      </c>
      <c r="AJ867" s="166">
        <f t="shared" si="290"/>
        <v>0</v>
      </c>
      <c r="AK867" s="162"/>
      <c r="AL867" s="162">
        <f t="shared" si="285"/>
        <v>0</v>
      </c>
      <c r="AM867" s="173"/>
      <c r="AN867" s="167">
        <f t="shared" si="280"/>
        <v>0</v>
      </c>
      <c r="AO867" s="163"/>
      <c r="AP867" s="163">
        <f t="shared" si="281"/>
        <v>0</v>
      </c>
      <c r="AQ867" s="168"/>
      <c r="AR867" s="168">
        <f t="shared" si="282"/>
        <v>0</v>
      </c>
      <c r="AS867" s="170"/>
      <c r="AT867" s="170">
        <f t="shared" si="283"/>
        <v>0</v>
      </c>
      <c r="AU867" s="166"/>
      <c r="AV867" s="166">
        <f t="shared" si="284"/>
        <v>0</v>
      </c>
    </row>
    <row r="868" spans="1:48" s="131" customFormat="1" ht="31.5">
      <c r="A868" s="172" t="s">
        <v>6831</v>
      </c>
      <c r="B868" s="149" t="s">
        <v>6832</v>
      </c>
      <c r="C868" s="149" t="s">
        <v>6833</v>
      </c>
      <c r="D868" s="240" t="s">
        <v>6834</v>
      </c>
      <c r="E868" s="590" t="s">
        <v>12642</v>
      </c>
      <c r="F868" s="203" t="s">
        <v>583</v>
      </c>
      <c r="G868" s="204" t="s">
        <v>390</v>
      </c>
      <c r="H868" s="204">
        <v>2</v>
      </c>
      <c r="I868" s="203" t="s">
        <v>6835</v>
      </c>
      <c r="J868" s="205" t="s">
        <v>6836</v>
      </c>
      <c r="K868" s="203" t="s">
        <v>5104</v>
      </c>
      <c r="L868" s="205" t="s">
        <v>6837</v>
      </c>
      <c r="M868" s="205" t="s">
        <v>6838</v>
      </c>
      <c r="N868" s="204" t="s">
        <v>5605</v>
      </c>
      <c r="O868" s="204" t="s">
        <v>11</v>
      </c>
      <c r="P868" s="206">
        <v>1700</v>
      </c>
      <c r="Q868" s="206">
        <v>995</v>
      </c>
      <c r="R868" s="207">
        <v>30000</v>
      </c>
      <c r="S868" s="207">
        <f t="shared" si="275"/>
        <v>29850000</v>
      </c>
      <c r="T868" s="589"/>
      <c r="U868" s="157">
        <v>30000</v>
      </c>
      <c r="V868" s="158">
        <f t="shared" si="286"/>
        <v>30000</v>
      </c>
      <c r="W868" s="159">
        <f t="shared" si="276"/>
        <v>0</v>
      </c>
      <c r="X868" s="159">
        <f t="shared" si="277"/>
        <v>0</v>
      </c>
      <c r="Y868" s="160"/>
      <c r="Z868" s="160">
        <f t="shared" si="278"/>
        <v>0</v>
      </c>
      <c r="AA868" s="165"/>
      <c r="AB868" s="161">
        <f t="shared" si="279"/>
        <v>0</v>
      </c>
      <c r="AC868" s="162"/>
      <c r="AD868" s="162">
        <f t="shared" si="287"/>
        <v>0</v>
      </c>
      <c r="AE868" s="164"/>
      <c r="AF868" s="164">
        <f t="shared" si="288"/>
        <v>0</v>
      </c>
      <c r="AG868" s="165"/>
      <c r="AH868" s="165">
        <f t="shared" si="289"/>
        <v>0</v>
      </c>
      <c r="AI868" s="166">
        <v>0</v>
      </c>
      <c r="AJ868" s="166">
        <f t="shared" si="290"/>
        <v>0</v>
      </c>
      <c r="AK868" s="162"/>
      <c r="AL868" s="162">
        <f t="shared" si="285"/>
        <v>0</v>
      </c>
      <c r="AM868" s="173"/>
      <c r="AN868" s="167">
        <f t="shared" si="280"/>
        <v>0</v>
      </c>
      <c r="AO868" s="163"/>
      <c r="AP868" s="163">
        <f t="shared" si="281"/>
        <v>0</v>
      </c>
      <c r="AQ868" s="168"/>
      <c r="AR868" s="168">
        <f t="shared" si="282"/>
        <v>0</v>
      </c>
      <c r="AS868" s="170"/>
      <c r="AT868" s="170">
        <f t="shared" si="283"/>
        <v>0</v>
      </c>
      <c r="AU868" s="166"/>
      <c r="AV868" s="166">
        <f t="shared" si="284"/>
        <v>0</v>
      </c>
    </row>
    <row r="869" spans="1:48" s="131" customFormat="1">
      <c r="A869" s="148" t="s">
        <v>7936</v>
      </c>
      <c r="B869" s="149" t="s">
        <v>7937</v>
      </c>
      <c r="C869" s="149" t="s">
        <v>7938</v>
      </c>
      <c r="D869" s="240" t="s">
        <v>3997</v>
      </c>
      <c r="E869" s="590" t="s">
        <v>12642</v>
      </c>
      <c r="F869" s="203" t="s">
        <v>634</v>
      </c>
      <c r="G869" s="204" t="s">
        <v>235</v>
      </c>
      <c r="H869" s="204">
        <v>3</v>
      </c>
      <c r="I869" s="203" t="s">
        <v>3998</v>
      </c>
      <c r="J869" s="205" t="s">
        <v>7939</v>
      </c>
      <c r="K869" s="203" t="s">
        <v>5104</v>
      </c>
      <c r="L869" s="205" t="s">
        <v>2960</v>
      </c>
      <c r="M869" s="205" t="s">
        <v>7940</v>
      </c>
      <c r="N869" s="204" t="s">
        <v>213</v>
      </c>
      <c r="O869" s="204" t="s">
        <v>11</v>
      </c>
      <c r="P869" s="206">
        <v>3500</v>
      </c>
      <c r="Q869" s="206">
        <v>315</v>
      </c>
      <c r="R869" s="207">
        <v>30000</v>
      </c>
      <c r="S869" s="207">
        <f t="shared" si="275"/>
        <v>9450000</v>
      </c>
      <c r="T869" s="589"/>
      <c r="U869" s="157">
        <v>30000</v>
      </c>
      <c r="V869" s="158">
        <f t="shared" si="286"/>
        <v>19000</v>
      </c>
      <c r="W869" s="159">
        <f t="shared" si="276"/>
        <v>11000</v>
      </c>
      <c r="X869" s="159">
        <f t="shared" si="277"/>
        <v>3465000</v>
      </c>
      <c r="Y869" s="160"/>
      <c r="Z869" s="160">
        <f t="shared" si="278"/>
        <v>0</v>
      </c>
      <c r="AA869" s="165">
        <v>8000</v>
      </c>
      <c r="AB869" s="161">
        <f t="shared" si="279"/>
        <v>2520000</v>
      </c>
      <c r="AC869" s="162"/>
      <c r="AD869" s="162">
        <f t="shared" si="287"/>
        <v>0</v>
      </c>
      <c r="AE869" s="164"/>
      <c r="AF869" s="164">
        <f t="shared" si="288"/>
        <v>0</v>
      </c>
      <c r="AG869" s="165"/>
      <c r="AH869" s="165">
        <f t="shared" si="289"/>
        <v>0</v>
      </c>
      <c r="AI869" s="166">
        <v>0</v>
      </c>
      <c r="AJ869" s="166">
        <f t="shared" si="290"/>
        <v>0</v>
      </c>
      <c r="AK869" s="162"/>
      <c r="AL869" s="162">
        <f t="shared" si="285"/>
        <v>0</v>
      </c>
      <c r="AM869" s="173"/>
      <c r="AN869" s="167">
        <f t="shared" si="280"/>
        <v>0</v>
      </c>
      <c r="AO869" s="163"/>
      <c r="AP869" s="163">
        <f t="shared" si="281"/>
        <v>0</v>
      </c>
      <c r="AQ869" s="168"/>
      <c r="AR869" s="168">
        <f t="shared" si="282"/>
        <v>0</v>
      </c>
      <c r="AS869" s="170">
        <v>3000</v>
      </c>
      <c r="AT869" s="170">
        <f t="shared" si="283"/>
        <v>945000</v>
      </c>
      <c r="AU869" s="166"/>
      <c r="AV869" s="166">
        <f t="shared" si="284"/>
        <v>0</v>
      </c>
    </row>
    <row r="870" spans="1:48" s="131" customFormat="1" ht="31.5">
      <c r="A870" s="148" t="s">
        <v>7240</v>
      </c>
      <c r="B870" s="149" t="s">
        <v>7241</v>
      </c>
      <c r="C870" s="149" t="s">
        <v>7242</v>
      </c>
      <c r="D870" s="240" t="s">
        <v>4531</v>
      </c>
      <c r="E870" s="590" t="s">
        <v>12642</v>
      </c>
      <c r="F870" s="203" t="s">
        <v>683</v>
      </c>
      <c r="G870" s="204" t="s">
        <v>4533</v>
      </c>
      <c r="H870" s="204">
        <v>3</v>
      </c>
      <c r="I870" s="203" t="s">
        <v>4532</v>
      </c>
      <c r="J870" s="205" t="s">
        <v>7243</v>
      </c>
      <c r="K870" s="203" t="s">
        <v>253</v>
      </c>
      <c r="L870" s="205" t="s">
        <v>7244</v>
      </c>
      <c r="M870" s="205" t="s">
        <v>1449</v>
      </c>
      <c r="N870" s="204" t="s">
        <v>213</v>
      </c>
      <c r="O870" s="204" t="s">
        <v>12</v>
      </c>
      <c r="P870" s="206">
        <v>4660</v>
      </c>
      <c r="Q870" s="206">
        <v>1717</v>
      </c>
      <c r="R870" s="207">
        <v>50000</v>
      </c>
      <c r="S870" s="207">
        <f t="shared" si="275"/>
        <v>85850000</v>
      </c>
      <c r="T870" s="589"/>
      <c r="U870" s="157">
        <v>50000</v>
      </c>
      <c r="V870" s="158">
        <f t="shared" si="286"/>
        <v>45020</v>
      </c>
      <c r="W870" s="159">
        <f t="shared" si="276"/>
        <v>4980</v>
      </c>
      <c r="X870" s="159">
        <f t="shared" si="277"/>
        <v>8550660</v>
      </c>
      <c r="Y870" s="160"/>
      <c r="Z870" s="160">
        <f t="shared" si="278"/>
        <v>0</v>
      </c>
      <c r="AA870" s="165"/>
      <c r="AB870" s="161">
        <f t="shared" si="279"/>
        <v>0</v>
      </c>
      <c r="AC870" s="162"/>
      <c r="AD870" s="162">
        <f t="shared" si="287"/>
        <v>0</v>
      </c>
      <c r="AE870" s="164"/>
      <c r="AF870" s="164">
        <f t="shared" si="288"/>
        <v>0</v>
      </c>
      <c r="AG870" s="165"/>
      <c r="AH870" s="165">
        <f t="shared" si="289"/>
        <v>0</v>
      </c>
      <c r="AI870" s="166">
        <v>1740</v>
      </c>
      <c r="AJ870" s="166">
        <f t="shared" si="290"/>
        <v>2987580</v>
      </c>
      <c r="AK870" s="162"/>
      <c r="AL870" s="162">
        <f t="shared" si="285"/>
        <v>0</v>
      </c>
      <c r="AM870" s="173">
        <v>3240</v>
      </c>
      <c r="AN870" s="167">
        <f t="shared" si="280"/>
        <v>5563080</v>
      </c>
      <c r="AO870" s="163"/>
      <c r="AP870" s="163">
        <f t="shared" si="281"/>
        <v>0</v>
      </c>
      <c r="AQ870" s="168"/>
      <c r="AR870" s="168">
        <f t="shared" si="282"/>
        <v>0</v>
      </c>
      <c r="AS870" s="170"/>
      <c r="AT870" s="170">
        <f t="shared" si="283"/>
        <v>0</v>
      </c>
      <c r="AU870" s="166"/>
      <c r="AV870" s="166">
        <f t="shared" si="284"/>
        <v>0</v>
      </c>
    </row>
    <row r="871" spans="1:48" s="131" customFormat="1" ht="31.5">
      <c r="A871" s="172" t="s">
        <v>7249</v>
      </c>
      <c r="B871" s="149" t="s">
        <v>7241</v>
      </c>
      <c r="C871" s="149" t="s">
        <v>7242</v>
      </c>
      <c r="D871" s="240" t="s">
        <v>4472</v>
      </c>
      <c r="E871" s="590" t="s">
        <v>12642</v>
      </c>
      <c r="F871" s="203" t="s">
        <v>802</v>
      </c>
      <c r="G871" s="204" t="s">
        <v>1200</v>
      </c>
      <c r="H871" s="204">
        <v>3</v>
      </c>
      <c r="I871" s="203" t="s">
        <v>1455</v>
      </c>
      <c r="J871" s="205" t="s">
        <v>7250</v>
      </c>
      <c r="K871" s="203" t="s">
        <v>253</v>
      </c>
      <c r="L871" s="205" t="s">
        <v>1457</v>
      </c>
      <c r="M871" s="205" t="s">
        <v>1449</v>
      </c>
      <c r="N871" s="204" t="s">
        <v>213</v>
      </c>
      <c r="O871" s="204" t="s">
        <v>12</v>
      </c>
      <c r="P871" s="206">
        <v>2520</v>
      </c>
      <c r="Q871" s="206">
        <v>1186</v>
      </c>
      <c r="R871" s="207">
        <v>50000</v>
      </c>
      <c r="S871" s="207">
        <f t="shared" si="275"/>
        <v>59300000</v>
      </c>
      <c r="T871" s="589"/>
      <c r="U871" s="157">
        <v>50000</v>
      </c>
      <c r="V871" s="158">
        <f t="shared" si="286"/>
        <v>46400</v>
      </c>
      <c r="W871" s="159">
        <f t="shared" si="276"/>
        <v>3600</v>
      </c>
      <c r="X871" s="159">
        <f t="shared" si="277"/>
        <v>4269600</v>
      </c>
      <c r="Y871" s="160"/>
      <c r="Z871" s="160">
        <f t="shared" si="278"/>
        <v>0</v>
      </c>
      <c r="AA871" s="165"/>
      <c r="AB871" s="161">
        <f t="shared" si="279"/>
        <v>0</v>
      </c>
      <c r="AC871" s="162"/>
      <c r="AD871" s="162">
        <f t="shared" si="287"/>
        <v>0</v>
      </c>
      <c r="AE871" s="164"/>
      <c r="AF871" s="164">
        <f t="shared" si="288"/>
        <v>0</v>
      </c>
      <c r="AG871" s="165"/>
      <c r="AH871" s="165">
        <f t="shared" si="289"/>
        <v>0</v>
      </c>
      <c r="AI871" s="166">
        <v>1500</v>
      </c>
      <c r="AJ871" s="166">
        <f t="shared" si="290"/>
        <v>1779000</v>
      </c>
      <c r="AK871" s="162"/>
      <c r="AL871" s="162">
        <f t="shared" si="285"/>
        <v>0</v>
      </c>
      <c r="AM871" s="173">
        <v>2100</v>
      </c>
      <c r="AN871" s="167">
        <f t="shared" si="280"/>
        <v>2490600</v>
      </c>
      <c r="AO871" s="163"/>
      <c r="AP871" s="163">
        <f t="shared" si="281"/>
        <v>0</v>
      </c>
      <c r="AQ871" s="168"/>
      <c r="AR871" s="168">
        <f t="shared" si="282"/>
        <v>0</v>
      </c>
      <c r="AS871" s="170"/>
      <c r="AT871" s="170">
        <f t="shared" si="283"/>
        <v>0</v>
      </c>
      <c r="AU871" s="166"/>
      <c r="AV871" s="166">
        <f t="shared" si="284"/>
        <v>0</v>
      </c>
    </row>
    <row r="872" spans="1:48" s="131" customFormat="1" ht="31.5">
      <c r="A872" s="148" t="s">
        <v>7251</v>
      </c>
      <c r="B872" s="149" t="s">
        <v>7241</v>
      </c>
      <c r="C872" s="149" t="s">
        <v>7242</v>
      </c>
      <c r="D872" s="240" t="s">
        <v>4475</v>
      </c>
      <c r="E872" s="590" t="s">
        <v>12642</v>
      </c>
      <c r="F872" s="203" t="s">
        <v>802</v>
      </c>
      <c r="G872" s="204" t="s">
        <v>272</v>
      </c>
      <c r="H872" s="204">
        <v>3</v>
      </c>
      <c r="I872" s="203" t="s">
        <v>4476</v>
      </c>
      <c r="J872" s="205" t="s">
        <v>7252</v>
      </c>
      <c r="K872" s="203" t="s">
        <v>5104</v>
      </c>
      <c r="L872" s="205" t="s">
        <v>7253</v>
      </c>
      <c r="M872" s="205" t="s">
        <v>1449</v>
      </c>
      <c r="N872" s="204" t="s">
        <v>213</v>
      </c>
      <c r="O872" s="204" t="s">
        <v>11</v>
      </c>
      <c r="P872" s="206">
        <v>2400</v>
      </c>
      <c r="Q872" s="206">
        <v>1742</v>
      </c>
      <c r="R872" s="207">
        <v>50000</v>
      </c>
      <c r="S872" s="207">
        <f t="shared" si="275"/>
        <v>87100000</v>
      </c>
      <c r="T872" s="589"/>
      <c r="U872" s="157">
        <v>50000</v>
      </c>
      <c r="V872" s="158">
        <f t="shared" si="286"/>
        <v>49000</v>
      </c>
      <c r="W872" s="159">
        <f t="shared" si="276"/>
        <v>1000</v>
      </c>
      <c r="X872" s="159">
        <f t="shared" si="277"/>
        <v>1742000</v>
      </c>
      <c r="Y872" s="160"/>
      <c r="Z872" s="160">
        <f t="shared" si="278"/>
        <v>0</v>
      </c>
      <c r="AA872" s="165"/>
      <c r="AB872" s="161">
        <f t="shared" si="279"/>
        <v>0</v>
      </c>
      <c r="AC872" s="162"/>
      <c r="AD872" s="162">
        <f t="shared" si="287"/>
        <v>0</v>
      </c>
      <c r="AE872" s="164"/>
      <c r="AF872" s="164">
        <f t="shared" si="288"/>
        <v>0</v>
      </c>
      <c r="AG872" s="165"/>
      <c r="AH872" s="165">
        <f t="shared" si="289"/>
        <v>0</v>
      </c>
      <c r="AI872" s="166">
        <v>1000</v>
      </c>
      <c r="AJ872" s="166">
        <f t="shared" si="290"/>
        <v>1742000</v>
      </c>
      <c r="AK872" s="162"/>
      <c r="AL872" s="162">
        <f t="shared" si="285"/>
        <v>0</v>
      </c>
      <c r="AM872" s="173"/>
      <c r="AN872" s="167">
        <f t="shared" si="280"/>
        <v>0</v>
      </c>
      <c r="AO872" s="163"/>
      <c r="AP872" s="163">
        <f t="shared" si="281"/>
        <v>0</v>
      </c>
      <c r="AQ872" s="168"/>
      <c r="AR872" s="168">
        <f t="shared" si="282"/>
        <v>0</v>
      </c>
      <c r="AS872" s="170"/>
      <c r="AT872" s="170">
        <f t="shared" si="283"/>
        <v>0</v>
      </c>
      <c r="AU872" s="166"/>
      <c r="AV872" s="166">
        <f t="shared" si="284"/>
        <v>0</v>
      </c>
    </row>
    <row r="873" spans="1:48" s="131" customFormat="1" ht="31.5">
      <c r="A873" s="148" t="s">
        <v>7254</v>
      </c>
      <c r="B873" s="149" t="s">
        <v>7241</v>
      </c>
      <c r="C873" s="149" t="s">
        <v>7242</v>
      </c>
      <c r="D873" s="240" t="s">
        <v>4477</v>
      </c>
      <c r="E873" s="590" t="s">
        <v>12642</v>
      </c>
      <c r="F873" s="203" t="s">
        <v>847</v>
      </c>
      <c r="G873" s="204" t="s">
        <v>272</v>
      </c>
      <c r="H873" s="204">
        <v>3</v>
      </c>
      <c r="I873" s="203" t="s">
        <v>4478</v>
      </c>
      <c r="J873" s="205" t="s">
        <v>7255</v>
      </c>
      <c r="K873" s="203" t="s">
        <v>253</v>
      </c>
      <c r="L873" s="205" t="s">
        <v>7256</v>
      </c>
      <c r="M873" s="205" t="s">
        <v>1449</v>
      </c>
      <c r="N873" s="204" t="s">
        <v>213</v>
      </c>
      <c r="O873" s="204" t="s">
        <v>12</v>
      </c>
      <c r="P873" s="206">
        <v>1440</v>
      </c>
      <c r="Q873" s="206">
        <v>796</v>
      </c>
      <c r="R873" s="207">
        <v>20000</v>
      </c>
      <c r="S873" s="207">
        <f t="shared" si="275"/>
        <v>15920000</v>
      </c>
      <c r="T873" s="589"/>
      <c r="U873" s="157">
        <v>20000</v>
      </c>
      <c r="V873" s="158">
        <f t="shared" si="286"/>
        <v>18500</v>
      </c>
      <c r="W873" s="159">
        <f t="shared" si="276"/>
        <v>1500</v>
      </c>
      <c r="X873" s="159">
        <f t="shared" si="277"/>
        <v>1194000</v>
      </c>
      <c r="Y873" s="160"/>
      <c r="Z873" s="160">
        <f t="shared" si="278"/>
        <v>0</v>
      </c>
      <c r="AA873" s="165"/>
      <c r="AB873" s="161">
        <f t="shared" si="279"/>
        <v>0</v>
      </c>
      <c r="AC873" s="162"/>
      <c r="AD873" s="162">
        <f t="shared" si="287"/>
        <v>0</v>
      </c>
      <c r="AE873" s="164"/>
      <c r="AF873" s="164">
        <f t="shared" si="288"/>
        <v>0</v>
      </c>
      <c r="AG873" s="165"/>
      <c r="AH873" s="165">
        <f t="shared" si="289"/>
        <v>0</v>
      </c>
      <c r="AI873" s="166">
        <v>900</v>
      </c>
      <c r="AJ873" s="166">
        <f t="shared" si="290"/>
        <v>716400</v>
      </c>
      <c r="AK873" s="162"/>
      <c r="AL873" s="162">
        <f t="shared" si="285"/>
        <v>0</v>
      </c>
      <c r="AM873" s="173">
        <v>600</v>
      </c>
      <c r="AN873" s="167">
        <f t="shared" si="280"/>
        <v>477600</v>
      </c>
      <c r="AO873" s="163"/>
      <c r="AP873" s="163">
        <f t="shared" si="281"/>
        <v>0</v>
      </c>
      <c r="AQ873" s="168"/>
      <c r="AR873" s="168">
        <f t="shared" si="282"/>
        <v>0</v>
      </c>
      <c r="AS873" s="170"/>
      <c r="AT873" s="170">
        <f t="shared" si="283"/>
        <v>0</v>
      </c>
      <c r="AU873" s="166"/>
      <c r="AV873" s="166">
        <f t="shared" si="284"/>
        <v>0</v>
      </c>
    </row>
    <row r="874" spans="1:48" s="131" customFormat="1" ht="31.5">
      <c r="A874" s="172" t="s">
        <v>7257</v>
      </c>
      <c r="B874" s="149" t="s">
        <v>7241</v>
      </c>
      <c r="C874" s="149" t="s">
        <v>7242</v>
      </c>
      <c r="D874" s="240" t="s">
        <v>7258</v>
      </c>
      <c r="E874" s="590" t="s">
        <v>12642</v>
      </c>
      <c r="F874" s="203" t="s">
        <v>847</v>
      </c>
      <c r="G874" s="204" t="s">
        <v>225</v>
      </c>
      <c r="H874" s="204">
        <v>3</v>
      </c>
      <c r="I874" s="203" t="s">
        <v>1819</v>
      </c>
      <c r="J874" s="205" t="s">
        <v>7259</v>
      </c>
      <c r="K874" s="203" t="s">
        <v>5104</v>
      </c>
      <c r="L874" s="205" t="s">
        <v>7260</v>
      </c>
      <c r="M874" s="205" t="s">
        <v>1449</v>
      </c>
      <c r="N874" s="204" t="s">
        <v>213</v>
      </c>
      <c r="O874" s="204" t="s">
        <v>11</v>
      </c>
      <c r="P874" s="206">
        <v>1100</v>
      </c>
      <c r="Q874" s="206">
        <v>783</v>
      </c>
      <c r="R874" s="207">
        <v>60000</v>
      </c>
      <c r="S874" s="207">
        <f t="shared" si="275"/>
        <v>46980000</v>
      </c>
      <c r="T874" s="589"/>
      <c r="U874" s="157">
        <v>60000</v>
      </c>
      <c r="V874" s="158">
        <f t="shared" si="286"/>
        <v>60000</v>
      </c>
      <c r="W874" s="159">
        <f t="shared" si="276"/>
        <v>0</v>
      </c>
      <c r="X874" s="159">
        <f t="shared" si="277"/>
        <v>0</v>
      </c>
      <c r="Y874" s="160"/>
      <c r="Z874" s="160">
        <f t="shared" si="278"/>
        <v>0</v>
      </c>
      <c r="AA874" s="165"/>
      <c r="AB874" s="161">
        <f t="shared" si="279"/>
        <v>0</v>
      </c>
      <c r="AC874" s="162"/>
      <c r="AD874" s="162">
        <f t="shared" si="287"/>
        <v>0</v>
      </c>
      <c r="AE874" s="164"/>
      <c r="AF874" s="164">
        <f t="shared" si="288"/>
        <v>0</v>
      </c>
      <c r="AG874" s="165"/>
      <c r="AH874" s="165">
        <f t="shared" si="289"/>
        <v>0</v>
      </c>
      <c r="AI874" s="166">
        <v>0</v>
      </c>
      <c r="AJ874" s="166">
        <f t="shared" si="290"/>
        <v>0</v>
      </c>
      <c r="AK874" s="162"/>
      <c r="AL874" s="162">
        <f t="shared" si="285"/>
        <v>0</v>
      </c>
      <c r="AM874" s="173"/>
      <c r="AN874" s="167">
        <f t="shared" si="280"/>
        <v>0</v>
      </c>
      <c r="AO874" s="163"/>
      <c r="AP874" s="163">
        <f t="shared" si="281"/>
        <v>0</v>
      </c>
      <c r="AQ874" s="168"/>
      <c r="AR874" s="168">
        <f t="shared" si="282"/>
        <v>0</v>
      </c>
      <c r="AS874" s="170"/>
      <c r="AT874" s="170">
        <f t="shared" si="283"/>
        <v>0</v>
      </c>
      <c r="AU874" s="166"/>
      <c r="AV874" s="166">
        <f t="shared" si="284"/>
        <v>0</v>
      </c>
    </row>
    <row r="875" spans="1:48" s="131" customFormat="1" ht="31.5">
      <c r="A875" s="148" t="s">
        <v>7264</v>
      </c>
      <c r="B875" s="149" t="s">
        <v>7241</v>
      </c>
      <c r="C875" s="149" t="s">
        <v>7242</v>
      </c>
      <c r="D875" s="240" t="s">
        <v>4484</v>
      </c>
      <c r="E875" s="590" t="s">
        <v>12642</v>
      </c>
      <c r="F875" s="203" t="s">
        <v>809</v>
      </c>
      <c r="G875" s="204" t="s">
        <v>272</v>
      </c>
      <c r="H875" s="204">
        <v>3</v>
      </c>
      <c r="I875" s="203" t="s">
        <v>1458</v>
      </c>
      <c r="J875" s="205" t="s">
        <v>7259</v>
      </c>
      <c r="K875" s="203" t="s">
        <v>5104</v>
      </c>
      <c r="L875" s="205" t="s">
        <v>7265</v>
      </c>
      <c r="M875" s="205" t="s">
        <v>1449</v>
      </c>
      <c r="N875" s="204" t="s">
        <v>213</v>
      </c>
      <c r="O875" s="204" t="s">
        <v>11</v>
      </c>
      <c r="P875" s="206">
        <v>651</v>
      </c>
      <c r="Q875" s="206">
        <v>476</v>
      </c>
      <c r="R875" s="207">
        <v>70000</v>
      </c>
      <c r="S875" s="207">
        <f t="shared" si="275"/>
        <v>33320000</v>
      </c>
      <c r="T875" s="589"/>
      <c r="U875" s="157">
        <v>70000</v>
      </c>
      <c r="V875" s="158">
        <f t="shared" si="286"/>
        <v>67000</v>
      </c>
      <c r="W875" s="159">
        <f t="shared" si="276"/>
        <v>3000</v>
      </c>
      <c r="X875" s="159">
        <f t="shared" si="277"/>
        <v>1428000</v>
      </c>
      <c r="Y875" s="160"/>
      <c r="Z875" s="160">
        <f t="shared" si="278"/>
        <v>0</v>
      </c>
      <c r="AA875" s="165"/>
      <c r="AB875" s="161">
        <f t="shared" si="279"/>
        <v>0</v>
      </c>
      <c r="AC875" s="162"/>
      <c r="AD875" s="162">
        <f t="shared" si="287"/>
        <v>0</v>
      </c>
      <c r="AE875" s="164"/>
      <c r="AF875" s="164">
        <f t="shared" si="288"/>
        <v>0</v>
      </c>
      <c r="AG875" s="165"/>
      <c r="AH875" s="165">
        <f t="shared" si="289"/>
        <v>0</v>
      </c>
      <c r="AI875" s="166">
        <v>3000</v>
      </c>
      <c r="AJ875" s="166">
        <f t="shared" si="290"/>
        <v>1428000</v>
      </c>
      <c r="AK875" s="162"/>
      <c r="AL875" s="162">
        <f t="shared" si="285"/>
        <v>0</v>
      </c>
      <c r="AM875" s="173"/>
      <c r="AN875" s="167">
        <f t="shared" si="280"/>
        <v>0</v>
      </c>
      <c r="AO875" s="163"/>
      <c r="AP875" s="163">
        <f t="shared" si="281"/>
        <v>0</v>
      </c>
      <c r="AQ875" s="168"/>
      <c r="AR875" s="168">
        <f t="shared" si="282"/>
        <v>0</v>
      </c>
      <c r="AS875" s="170"/>
      <c r="AT875" s="170">
        <f t="shared" si="283"/>
        <v>0</v>
      </c>
      <c r="AU875" s="166"/>
      <c r="AV875" s="166">
        <f t="shared" si="284"/>
        <v>0</v>
      </c>
    </row>
    <row r="876" spans="1:48" s="131" customFormat="1" ht="31.5">
      <c r="A876" s="148" t="s">
        <v>3813</v>
      </c>
      <c r="B876" s="149" t="s">
        <v>7241</v>
      </c>
      <c r="C876" s="149" t="s">
        <v>7242</v>
      </c>
      <c r="D876" s="240" t="s">
        <v>7271</v>
      </c>
      <c r="E876" s="590"/>
      <c r="F876" s="203" t="s">
        <v>1235</v>
      </c>
      <c r="G876" s="204" t="s">
        <v>1200</v>
      </c>
      <c r="H876" s="204">
        <v>3</v>
      </c>
      <c r="I876" s="203" t="s">
        <v>7272</v>
      </c>
      <c r="J876" s="205" t="s">
        <v>7273</v>
      </c>
      <c r="K876" s="203" t="s">
        <v>253</v>
      </c>
      <c r="L876" s="205" t="s">
        <v>7274</v>
      </c>
      <c r="M876" s="205" t="s">
        <v>1449</v>
      </c>
      <c r="N876" s="204" t="s">
        <v>213</v>
      </c>
      <c r="O876" s="204" t="s">
        <v>12</v>
      </c>
      <c r="P876" s="206">
        <v>7000</v>
      </c>
      <c r="Q876" s="206">
        <v>1778</v>
      </c>
      <c r="R876" s="207">
        <v>10000</v>
      </c>
      <c r="S876" s="207">
        <f t="shared" si="275"/>
        <v>17780000</v>
      </c>
      <c r="T876" s="589"/>
      <c r="U876" s="157">
        <v>10000</v>
      </c>
      <c r="V876" s="158">
        <f t="shared" si="286"/>
        <v>10000</v>
      </c>
      <c r="W876" s="159">
        <f t="shared" si="276"/>
        <v>0</v>
      </c>
      <c r="X876" s="159">
        <f t="shared" si="277"/>
        <v>0</v>
      </c>
      <c r="Y876" s="160"/>
      <c r="Z876" s="160">
        <f t="shared" si="278"/>
        <v>0</v>
      </c>
      <c r="AA876" s="165"/>
      <c r="AB876" s="161">
        <f t="shared" si="279"/>
        <v>0</v>
      </c>
      <c r="AC876" s="162"/>
      <c r="AD876" s="162">
        <f t="shared" si="287"/>
        <v>0</v>
      </c>
      <c r="AE876" s="164"/>
      <c r="AF876" s="164">
        <f t="shared" si="288"/>
        <v>0</v>
      </c>
      <c r="AG876" s="165"/>
      <c r="AH876" s="165">
        <f t="shared" si="289"/>
        <v>0</v>
      </c>
      <c r="AI876" s="166">
        <v>0</v>
      </c>
      <c r="AJ876" s="166">
        <f t="shared" si="290"/>
        <v>0</v>
      </c>
      <c r="AK876" s="162"/>
      <c r="AL876" s="162">
        <f t="shared" si="285"/>
        <v>0</v>
      </c>
      <c r="AM876" s="173"/>
      <c r="AN876" s="167">
        <f t="shared" si="280"/>
        <v>0</v>
      </c>
      <c r="AO876" s="163"/>
      <c r="AP876" s="163">
        <f t="shared" si="281"/>
        <v>0</v>
      </c>
      <c r="AQ876" s="168"/>
      <c r="AR876" s="168">
        <f t="shared" si="282"/>
        <v>0</v>
      </c>
      <c r="AS876" s="170"/>
      <c r="AT876" s="170">
        <f t="shared" si="283"/>
        <v>0</v>
      </c>
      <c r="AU876" s="166"/>
      <c r="AV876" s="166">
        <f t="shared" si="284"/>
        <v>0</v>
      </c>
    </row>
    <row r="877" spans="1:48" s="131" customFormat="1" ht="31.5">
      <c r="A877" s="172" t="s">
        <v>7280</v>
      </c>
      <c r="B877" s="149" t="s">
        <v>7241</v>
      </c>
      <c r="C877" s="149" t="s">
        <v>7242</v>
      </c>
      <c r="D877" s="240" t="s">
        <v>7281</v>
      </c>
      <c r="E877" s="590"/>
      <c r="F877" s="203" t="s">
        <v>1235</v>
      </c>
      <c r="G877" s="204" t="s">
        <v>262</v>
      </c>
      <c r="H877" s="204">
        <v>3</v>
      </c>
      <c r="I877" s="203" t="s">
        <v>7282</v>
      </c>
      <c r="J877" s="205" t="s">
        <v>7283</v>
      </c>
      <c r="K877" s="203" t="s">
        <v>5104</v>
      </c>
      <c r="L877" s="205" t="s">
        <v>7284</v>
      </c>
      <c r="M877" s="205" t="s">
        <v>1449</v>
      </c>
      <c r="N877" s="204" t="s">
        <v>213</v>
      </c>
      <c r="O877" s="204" t="s">
        <v>11</v>
      </c>
      <c r="P877" s="206">
        <v>12500</v>
      </c>
      <c r="Q877" s="206">
        <v>2650</v>
      </c>
      <c r="R877" s="207">
        <v>30000</v>
      </c>
      <c r="S877" s="207">
        <f t="shared" si="275"/>
        <v>79500000</v>
      </c>
      <c r="T877" s="589"/>
      <c r="U877" s="157">
        <v>30000</v>
      </c>
      <c r="V877" s="158">
        <f t="shared" si="286"/>
        <v>30000</v>
      </c>
      <c r="W877" s="159">
        <f t="shared" si="276"/>
        <v>0</v>
      </c>
      <c r="X877" s="159">
        <f t="shared" si="277"/>
        <v>0</v>
      </c>
      <c r="Y877" s="160"/>
      <c r="Z877" s="160">
        <f t="shared" si="278"/>
        <v>0</v>
      </c>
      <c r="AA877" s="165"/>
      <c r="AB877" s="161">
        <f t="shared" si="279"/>
        <v>0</v>
      </c>
      <c r="AC877" s="162"/>
      <c r="AD877" s="162">
        <f t="shared" si="287"/>
        <v>0</v>
      </c>
      <c r="AE877" s="164"/>
      <c r="AF877" s="164">
        <f t="shared" si="288"/>
        <v>0</v>
      </c>
      <c r="AG877" s="165"/>
      <c r="AH877" s="165">
        <f t="shared" si="289"/>
        <v>0</v>
      </c>
      <c r="AI877" s="166">
        <v>0</v>
      </c>
      <c r="AJ877" s="166">
        <f t="shared" si="290"/>
        <v>0</v>
      </c>
      <c r="AK877" s="162"/>
      <c r="AL877" s="162">
        <f t="shared" si="285"/>
        <v>0</v>
      </c>
      <c r="AM877" s="173"/>
      <c r="AN877" s="167">
        <f t="shared" si="280"/>
        <v>0</v>
      </c>
      <c r="AO877" s="163"/>
      <c r="AP877" s="163">
        <f t="shared" si="281"/>
        <v>0</v>
      </c>
      <c r="AQ877" s="168"/>
      <c r="AR877" s="168">
        <f t="shared" si="282"/>
        <v>0</v>
      </c>
      <c r="AS877" s="170"/>
      <c r="AT877" s="170">
        <f t="shared" si="283"/>
        <v>0</v>
      </c>
      <c r="AU877" s="166"/>
      <c r="AV877" s="166">
        <f t="shared" si="284"/>
        <v>0</v>
      </c>
    </row>
    <row r="878" spans="1:48" s="131" customFormat="1" ht="31.5">
      <c r="A878" s="148" t="s">
        <v>7289</v>
      </c>
      <c r="B878" s="149" t="s">
        <v>7241</v>
      </c>
      <c r="C878" s="149" t="s">
        <v>7242</v>
      </c>
      <c r="D878" s="240" t="s">
        <v>7290</v>
      </c>
      <c r="E878" s="590"/>
      <c r="F878" s="203" t="s">
        <v>256</v>
      </c>
      <c r="G878" s="204" t="s">
        <v>258</v>
      </c>
      <c r="H878" s="204">
        <v>3</v>
      </c>
      <c r="I878" s="203" t="s">
        <v>7291</v>
      </c>
      <c r="J878" s="205" t="s">
        <v>7292</v>
      </c>
      <c r="K878" s="203" t="s">
        <v>253</v>
      </c>
      <c r="L878" s="205" t="s">
        <v>7293</v>
      </c>
      <c r="M878" s="205" t="s">
        <v>1449</v>
      </c>
      <c r="N878" s="204" t="s">
        <v>213</v>
      </c>
      <c r="O878" s="204" t="s">
        <v>12</v>
      </c>
      <c r="P878" s="206">
        <v>4700</v>
      </c>
      <c r="Q878" s="206">
        <v>1008</v>
      </c>
      <c r="R878" s="207">
        <v>10000</v>
      </c>
      <c r="S878" s="207">
        <f t="shared" si="275"/>
        <v>10080000</v>
      </c>
      <c r="T878" s="589"/>
      <c r="U878" s="157">
        <v>10000</v>
      </c>
      <c r="V878" s="158">
        <f t="shared" si="286"/>
        <v>10000</v>
      </c>
      <c r="W878" s="159">
        <f t="shared" si="276"/>
        <v>0</v>
      </c>
      <c r="X878" s="159">
        <f t="shared" si="277"/>
        <v>0</v>
      </c>
      <c r="Y878" s="160"/>
      <c r="Z878" s="160">
        <f t="shared" si="278"/>
        <v>0</v>
      </c>
      <c r="AA878" s="165"/>
      <c r="AB878" s="161">
        <f t="shared" si="279"/>
        <v>0</v>
      </c>
      <c r="AC878" s="162"/>
      <c r="AD878" s="162">
        <f t="shared" si="287"/>
        <v>0</v>
      </c>
      <c r="AE878" s="164"/>
      <c r="AF878" s="164">
        <f t="shared" si="288"/>
        <v>0</v>
      </c>
      <c r="AG878" s="165"/>
      <c r="AH878" s="165">
        <f t="shared" si="289"/>
        <v>0</v>
      </c>
      <c r="AI878" s="166">
        <v>0</v>
      </c>
      <c r="AJ878" s="166">
        <f t="shared" si="290"/>
        <v>0</v>
      </c>
      <c r="AK878" s="162"/>
      <c r="AL878" s="162">
        <f t="shared" si="285"/>
        <v>0</v>
      </c>
      <c r="AM878" s="173"/>
      <c r="AN878" s="167">
        <f t="shared" si="280"/>
        <v>0</v>
      </c>
      <c r="AO878" s="163"/>
      <c r="AP878" s="163">
        <f t="shared" si="281"/>
        <v>0</v>
      </c>
      <c r="AQ878" s="168"/>
      <c r="AR878" s="168">
        <f t="shared" si="282"/>
        <v>0</v>
      </c>
      <c r="AS878" s="170"/>
      <c r="AT878" s="170">
        <f t="shared" si="283"/>
        <v>0</v>
      </c>
      <c r="AU878" s="166"/>
      <c r="AV878" s="166">
        <f t="shared" si="284"/>
        <v>0</v>
      </c>
    </row>
    <row r="879" spans="1:48" ht="31.5">
      <c r="A879" s="172" t="s">
        <v>7294</v>
      </c>
      <c r="B879" s="149" t="s">
        <v>7241</v>
      </c>
      <c r="C879" s="149" t="s">
        <v>7242</v>
      </c>
      <c r="D879" s="240" t="s">
        <v>7295</v>
      </c>
      <c r="E879" s="590"/>
      <c r="F879" s="203" t="s">
        <v>256</v>
      </c>
      <c r="G879" s="204" t="s">
        <v>291</v>
      </c>
      <c r="H879" s="204">
        <v>3</v>
      </c>
      <c r="I879" s="203" t="s">
        <v>7296</v>
      </c>
      <c r="J879" s="205" t="s">
        <v>7292</v>
      </c>
      <c r="K879" s="203" t="s">
        <v>253</v>
      </c>
      <c r="L879" s="205" t="s">
        <v>7297</v>
      </c>
      <c r="M879" s="205" t="s">
        <v>1449</v>
      </c>
      <c r="N879" s="204" t="s">
        <v>213</v>
      </c>
      <c r="O879" s="204" t="s">
        <v>12</v>
      </c>
      <c r="P879" s="206">
        <v>3600</v>
      </c>
      <c r="Q879" s="206">
        <v>917</v>
      </c>
      <c r="R879" s="207">
        <v>5000</v>
      </c>
      <c r="S879" s="207">
        <f t="shared" si="275"/>
        <v>4585000</v>
      </c>
      <c r="T879" s="589"/>
      <c r="U879" s="157">
        <v>5000</v>
      </c>
      <c r="V879" s="158">
        <f t="shared" si="286"/>
        <v>5000</v>
      </c>
      <c r="W879" s="159">
        <f t="shared" si="276"/>
        <v>0</v>
      </c>
      <c r="X879" s="159">
        <f t="shared" si="277"/>
        <v>0</v>
      </c>
      <c r="Y879" s="160"/>
      <c r="Z879" s="160">
        <f t="shared" si="278"/>
        <v>0</v>
      </c>
      <c r="AA879" s="165"/>
      <c r="AB879" s="161">
        <f t="shared" si="279"/>
        <v>0</v>
      </c>
      <c r="AC879" s="162"/>
      <c r="AD879" s="162">
        <f t="shared" si="287"/>
        <v>0</v>
      </c>
      <c r="AE879" s="164"/>
      <c r="AF879" s="164">
        <f t="shared" si="288"/>
        <v>0</v>
      </c>
      <c r="AG879" s="165"/>
      <c r="AH879" s="165">
        <f t="shared" si="289"/>
        <v>0</v>
      </c>
      <c r="AI879" s="166">
        <v>0</v>
      </c>
      <c r="AJ879" s="166">
        <f t="shared" si="290"/>
        <v>0</v>
      </c>
      <c r="AK879" s="162"/>
      <c r="AL879" s="162">
        <f t="shared" si="285"/>
        <v>0</v>
      </c>
      <c r="AM879" s="173"/>
      <c r="AN879" s="167">
        <f t="shared" si="280"/>
        <v>0</v>
      </c>
      <c r="AO879" s="163"/>
      <c r="AP879" s="163">
        <f t="shared" si="281"/>
        <v>0</v>
      </c>
      <c r="AQ879" s="168"/>
      <c r="AR879" s="168">
        <f t="shared" si="282"/>
        <v>0</v>
      </c>
      <c r="AS879" s="170"/>
      <c r="AT879" s="170">
        <f t="shared" si="283"/>
        <v>0</v>
      </c>
      <c r="AU879" s="166"/>
      <c r="AV879" s="166">
        <f t="shared" si="284"/>
        <v>0</v>
      </c>
    </row>
    <row r="880" spans="1:48" ht="31.5">
      <c r="A880" s="148" t="s">
        <v>7321</v>
      </c>
      <c r="B880" s="149" t="s">
        <v>7241</v>
      </c>
      <c r="C880" s="149" t="s">
        <v>7242</v>
      </c>
      <c r="D880" s="240" t="s">
        <v>4482</v>
      </c>
      <c r="E880" s="590" t="s">
        <v>12642</v>
      </c>
      <c r="F880" s="203" t="s">
        <v>433</v>
      </c>
      <c r="G880" s="204" t="s">
        <v>1200</v>
      </c>
      <c r="H880" s="204">
        <v>3</v>
      </c>
      <c r="I880" s="203" t="s">
        <v>1463</v>
      </c>
      <c r="J880" s="205" t="s">
        <v>7322</v>
      </c>
      <c r="K880" s="203" t="s">
        <v>253</v>
      </c>
      <c r="L880" s="205" t="s">
        <v>1465</v>
      </c>
      <c r="M880" s="205" t="s">
        <v>1449</v>
      </c>
      <c r="N880" s="204" t="s">
        <v>213</v>
      </c>
      <c r="O880" s="204" t="s">
        <v>12</v>
      </c>
      <c r="P880" s="206">
        <v>2500</v>
      </c>
      <c r="Q880" s="206">
        <v>1323</v>
      </c>
      <c r="R880" s="207">
        <v>20000</v>
      </c>
      <c r="S880" s="207">
        <f t="shared" si="275"/>
        <v>26460000</v>
      </c>
      <c r="T880" s="589"/>
      <c r="U880" s="157">
        <v>20000</v>
      </c>
      <c r="V880" s="158">
        <f t="shared" si="286"/>
        <v>19000</v>
      </c>
      <c r="W880" s="159">
        <f t="shared" si="276"/>
        <v>1000</v>
      </c>
      <c r="X880" s="159">
        <f t="shared" si="277"/>
        <v>1323000</v>
      </c>
      <c r="Y880" s="160"/>
      <c r="Z880" s="160">
        <f t="shared" si="278"/>
        <v>0</v>
      </c>
      <c r="AA880" s="165"/>
      <c r="AB880" s="161">
        <f t="shared" si="279"/>
        <v>0</v>
      </c>
      <c r="AC880" s="162"/>
      <c r="AD880" s="162">
        <f t="shared" si="287"/>
        <v>0</v>
      </c>
      <c r="AE880" s="164"/>
      <c r="AF880" s="164">
        <f t="shared" si="288"/>
        <v>0</v>
      </c>
      <c r="AG880" s="165"/>
      <c r="AH880" s="165">
        <f t="shared" si="289"/>
        <v>0</v>
      </c>
      <c r="AI880" s="166">
        <v>1000</v>
      </c>
      <c r="AJ880" s="166">
        <f t="shared" si="290"/>
        <v>1323000</v>
      </c>
      <c r="AK880" s="162"/>
      <c r="AL880" s="162">
        <f t="shared" si="285"/>
        <v>0</v>
      </c>
      <c r="AM880" s="173"/>
      <c r="AN880" s="167">
        <f t="shared" si="280"/>
        <v>0</v>
      </c>
      <c r="AO880" s="163"/>
      <c r="AP880" s="163">
        <f t="shared" si="281"/>
        <v>0</v>
      </c>
      <c r="AQ880" s="168"/>
      <c r="AR880" s="168">
        <f t="shared" si="282"/>
        <v>0</v>
      </c>
      <c r="AS880" s="170"/>
      <c r="AT880" s="170">
        <f t="shared" si="283"/>
        <v>0</v>
      </c>
      <c r="AU880" s="166"/>
      <c r="AV880" s="166">
        <f t="shared" si="284"/>
        <v>0</v>
      </c>
    </row>
    <row r="881" spans="1:48">
      <c r="A881" s="172" t="s">
        <v>7336</v>
      </c>
      <c r="B881" s="149" t="s">
        <v>7241</v>
      </c>
      <c r="C881" s="149" t="s">
        <v>7242</v>
      </c>
      <c r="D881" s="240" t="s">
        <v>4576</v>
      </c>
      <c r="E881" s="590" t="s">
        <v>12643</v>
      </c>
      <c r="F881" s="203" t="s">
        <v>1510</v>
      </c>
      <c r="G881" s="204" t="s">
        <v>4499</v>
      </c>
      <c r="H881" s="204">
        <v>3</v>
      </c>
      <c r="I881" s="203" t="s">
        <v>4577</v>
      </c>
      <c r="J881" s="205" t="s">
        <v>7337</v>
      </c>
      <c r="K881" s="203" t="s">
        <v>253</v>
      </c>
      <c r="L881" s="205" t="s">
        <v>7338</v>
      </c>
      <c r="M881" s="205" t="s">
        <v>1449</v>
      </c>
      <c r="N881" s="204" t="s">
        <v>213</v>
      </c>
      <c r="O881" s="204" t="s">
        <v>658</v>
      </c>
      <c r="P881" s="206">
        <v>14500</v>
      </c>
      <c r="Q881" s="206">
        <v>2945</v>
      </c>
      <c r="R881" s="207">
        <v>2000</v>
      </c>
      <c r="S881" s="207">
        <f t="shared" si="275"/>
        <v>5890000</v>
      </c>
      <c r="T881" s="589"/>
      <c r="U881" s="157">
        <v>2000</v>
      </c>
      <c r="V881" s="158">
        <f t="shared" si="286"/>
        <v>1760</v>
      </c>
      <c r="W881" s="159">
        <f t="shared" si="276"/>
        <v>240</v>
      </c>
      <c r="X881" s="159">
        <f t="shared" si="277"/>
        <v>706800</v>
      </c>
      <c r="Y881" s="160"/>
      <c r="Z881" s="160">
        <f t="shared" si="278"/>
        <v>0</v>
      </c>
      <c r="AA881" s="165"/>
      <c r="AB881" s="161">
        <f t="shared" si="279"/>
        <v>0</v>
      </c>
      <c r="AC881" s="162"/>
      <c r="AD881" s="162">
        <f t="shared" si="287"/>
        <v>0</v>
      </c>
      <c r="AE881" s="164"/>
      <c r="AF881" s="164">
        <f t="shared" si="288"/>
        <v>0</v>
      </c>
      <c r="AG881" s="165"/>
      <c r="AH881" s="165">
        <f t="shared" si="289"/>
        <v>0</v>
      </c>
      <c r="AI881" s="166">
        <v>40</v>
      </c>
      <c r="AJ881" s="166">
        <f t="shared" si="290"/>
        <v>117800</v>
      </c>
      <c r="AK881" s="162"/>
      <c r="AL881" s="162">
        <f t="shared" si="285"/>
        <v>0</v>
      </c>
      <c r="AM881" s="173">
        <v>200</v>
      </c>
      <c r="AN881" s="167">
        <f t="shared" si="280"/>
        <v>589000</v>
      </c>
      <c r="AO881" s="163"/>
      <c r="AP881" s="163">
        <f t="shared" si="281"/>
        <v>0</v>
      </c>
      <c r="AQ881" s="168"/>
      <c r="AR881" s="168">
        <f t="shared" si="282"/>
        <v>0</v>
      </c>
      <c r="AS881" s="170"/>
      <c r="AT881" s="170">
        <f t="shared" si="283"/>
        <v>0</v>
      </c>
      <c r="AU881" s="166"/>
      <c r="AV881" s="166">
        <f t="shared" si="284"/>
        <v>0</v>
      </c>
    </row>
    <row r="882" spans="1:48" s="115" customFormat="1">
      <c r="A882" s="148" t="s">
        <v>7405</v>
      </c>
      <c r="B882" s="149" t="s">
        <v>7241</v>
      </c>
      <c r="C882" s="149" t="s">
        <v>7242</v>
      </c>
      <c r="D882" s="240" t="s">
        <v>4487</v>
      </c>
      <c r="E882" s="590" t="s">
        <v>12643</v>
      </c>
      <c r="F882" s="203" t="s">
        <v>841</v>
      </c>
      <c r="G882" s="204" t="s">
        <v>4489</v>
      </c>
      <c r="H882" s="204">
        <v>3</v>
      </c>
      <c r="I882" s="203" t="s">
        <v>4488</v>
      </c>
      <c r="J882" s="205" t="s">
        <v>7406</v>
      </c>
      <c r="K882" s="203" t="s">
        <v>5104</v>
      </c>
      <c r="L882" s="205" t="s">
        <v>7407</v>
      </c>
      <c r="M882" s="205" t="s">
        <v>1449</v>
      </c>
      <c r="N882" s="204" t="s">
        <v>213</v>
      </c>
      <c r="O882" s="204" t="s">
        <v>11</v>
      </c>
      <c r="P882" s="206">
        <v>700</v>
      </c>
      <c r="Q882" s="206">
        <v>215</v>
      </c>
      <c r="R882" s="207">
        <v>50000</v>
      </c>
      <c r="S882" s="207">
        <f t="shared" si="275"/>
        <v>10750000</v>
      </c>
      <c r="T882" s="589"/>
      <c r="U882" s="157">
        <v>50000</v>
      </c>
      <c r="V882" s="158">
        <f t="shared" si="286"/>
        <v>49200</v>
      </c>
      <c r="W882" s="159">
        <f t="shared" si="276"/>
        <v>800</v>
      </c>
      <c r="X882" s="159">
        <f t="shared" si="277"/>
        <v>172000</v>
      </c>
      <c r="Y882" s="160"/>
      <c r="Z882" s="160">
        <f t="shared" si="278"/>
        <v>0</v>
      </c>
      <c r="AA882" s="165"/>
      <c r="AB882" s="161">
        <f t="shared" si="279"/>
        <v>0</v>
      </c>
      <c r="AC882" s="162"/>
      <c r="AD882" s="162">
        <f t="shared" si="287"/>
        <v>0</v>
      </c>
      <c r="AE882" s="164"/>
      <c r="AF882" s="164">
        <f t="shared" si="288"/>
        <v>0</v>
      </c>
      <c r="AG882" s="165"/>
      <c r="AH882" s="165">
        <f t="shared" si="289"/>
        <v>0</v>
      </c>
      <c r="AI882" s="166">
        <v>800</v>
      </c>
      <c r="AJ882" s="166">
        <f t="shared" si="290"/>
        <v>172000</v>
      </c>
      <c r="AK882" s="162"/>
      <c r="AL882" s="162">
        <f t="shared" si="285"/>
        <v>0</v>
      </c>
      <c r="AM882" s="173"/>
      <c r="AN882" s="167">
        <f t="shared" si="280"/>
        <v>0</v>
      </c>
      <c r="AO882" s="163"/>
      <c r="AP882" s="163">
        <f t="shared" si="281"/>
        <v>0</v>
      </c>
      <c r="AQ882" s="168"/>
      <c r="AR882" s="168">
        <f t="shared" si="282"/>
        <v>0</v>
      </c>
      <c r="AS882" s="170"/>
      <c r="AT882" s="170">
        <f t="shared" si="283"/>
        <v>0</v>
      </c>
      <c r="AU882" s="166"/>
      <c r="AV882" s="166">
        <f t="shared" si="284"/>
        <v>0</v>
      </c>
    </row>
    <row r="883" spans="1:48">
      <c r="A883" s="148" t="s">
        <v>7514</v>
      </c>
      <c r="B883" s="149" t="s">
        <v>7241</v>
      </c>
      <c r="C883" s="149" t="s">
        <v>7242</v>
      </c>
      <c r="D883" s="240" t="s">
        <v>4150</v>
      </c>
      <c r="E883" s="590" t="s">
        <v>12642</v>
      </c>
      <c r="F883" s="203" t="s">
        <v>1668</v>
      </c>
      <c r="G883" s="204" t="s">
        <v>869</v>
      </c>
      <c r="H883" s="204">
        <v>3</v>
      </c>
      <c r="I883" s="203" t="s">
        <v>4151</v>
      </c>
      <c r="J883" s="205" t="s">
        <v>7515</v>
      </c>
      <c r="K883" s="203" t="s">
        <v>5104</v>
      </c>
      <c r="L883" s="205" t="s">
        <v>7516</v>
      </c>
      <c r="M883" s="205" t="s">
        <v>1449</v>
      </c>
      <c r="N883" s="204" t="s">
        <v>213</v>
      </c>
      <c r="O883" s="204" t="s">
        <v>11</v>
      </c>
      <c r="P883" s="206">
        <v>1900</v>
      </c>
      <c r="Q883" s="206">
        <v>542</v>
      </c>
      <c r="R883" s="207">
        <v>50000</v>
      </c>
      <c r="S883" s="207">
        <f t="shared" si="275"/>
        <v>27100000</v>
      </c>
      <c r="T883" s="589"/>
      <c r="U883" s="157">
        <v>50000</v>
      </c>
      <c r="V883" s="158">
        <f t="shared" si="286"/>
        <v>37000</v>
      </c>
      <c r="W883" s="159">
        <f t="shared" si="276"/>
        <v>13000</v>
      </c>
      <c r="X883" s="159">
        <f t="shared" si="277"/>
        <v>7046000</v>
      </c>
      <c r="Y883" s="160"/>
      <c r="Z883" s="160">
        <f t="shared" si="278"/>
        <v>0</v>
      </c>
      <c r="AA883" s="165"/>
      <c r="AB883" s="161">
        <f t="shared" si="279"/>
        <v>0</v>
      </c>
      <c r="AC883" s="162"/>
      <c r="AD883" s="162">
        <f t="shared" si="287"/>
        <v>0</v>
      </c>
      <c r="AE883" s="163"/>
      <c r="AF883" s="164">
        <f t="shared" si="288"/>
        <v>0</v>
      </c>
      <c r="AG883" s="161"/>
      <c r="AH883" s="165">
        <f t="shared" si="289"/>
        <v>0</v>
      </c>
      <c r="AI883" s="160">
        <v>8000</v>
      </c>
      <c r="AJ883" s="166">
        <f t="shared" si="290"/>
        <v>4336000</v>
      </c>
      <c r="AK883" s="162"/>
      <c r="AL883" s="162">
        <f t="shared" si="285"/>
        <v>0</v>
      </c>
      <c r="AM883" s="173">
        <v>5000</v>
      </c>
      <c r="AN883" s="167">
        <f t="shared" si="280"/>
        <v>2710000</v>
      </c>
      <c r="AO883" s="163"/>
      <c r="AP883" s="163">
        <f t="shared" si="281"/>
        <v>0</v>
      </c>
      <c r="AQ883" s="162"/>
      <c r="AR883" s="168">
        <f t="shared" si="282"/>
        <v>0</v>
      </c>
      <c r="AS883" s="169"/>
      <c r="AT883" s="170">
        <f t="shared" si="283"/>
        <v>0</v>
      </c>
      <c r="AU883" s="160"/>
      <c r="AV883" s="166">
        <f t="shared" si="284"/>
        <v>0</v>
      </c>
    </row>
    <row r="884" spans="1:48">
      <c r="A884" s="172" t="s">
        <v>8054</v>
      </c>
      <c r="B884" s="149" t="s">
        <v>7241</v>
      </c>
      <c r="C884" s="149" t="s">
        <v>7242</v>
      </c>
      <c r="D884" s="240" t="s">
        <v>8055</v>
      </c>
      <c r="E884" s="590"/>
      <c r="F884" s="203" t="s">
        <v>1522</v>
      </c>
      <c r="G884" s="204" t="s">
        <v>17</v>
      </c>
      <c r="H884" s="204">
        <v>3</v>
      </c>
      <c r="I884" s="203" t="s">
        <v>8056</v>
      </c>
      <c r="J884" s="205" t="s">
        <v>8057</v>
      </c>
      <c r="K884" s="203" t="s">
        <v>5104</v>
      </c>
      <c r="L884" s="205" t="s">
        <v>8058</v>
      </c>
      <c r="M884" s="205" t="s">
        <v>1449</v>
      </c>
      <c r="N884" s="204" t="s">
        <v>6628</v>
      </c>
      <c r="O884" s="204" t="s">
        <v>11</v>
      </c>
      <c r="P884" s="206">
        <v>2850</v>
      </c>
      <c r="Q884" s="206">
        <v>1043</v>
      </c>
      <c r="R884" s="207">
        <v>100000</v>
      </c>
      <c r="S884" s="207">
        <f t="shared" si="275"/>
        <v>104300000</v>
      </c>
      <c r="T884" s="589"/>
      <c r="U884" s="157">
        <v>100000</v>
      </c>
      <c r="V884" s="158">
        <f t="shared" si="286"/>
        <v>100000</v>
      </c>
      <c r="W884" s="159">
        <f t="shared" si="276"/>
        <v>0</v>
      </c>
      <c r="X884" s="159">
        <f t="shared" si="277"/>
        <v>0</v>
      </c>
      <c r="Y884" s="160"/>
      <c r="Z884" s="160">
        <f t="shared" si="278"/>
        <v>0</v>
      </c>
      <c r="AA884" s="165"/>
      <c r="AB884" s="161">
        <f t="shared" si="279"/>
        <v>0</v>
      </c>
      <c r="AC884" s="162"/>
      <c r="AD884" s="162">
        <f t="shared" si="287"/>
        <v>0</v>
      </c>
      <c r="AE884" s="164"/>
      <c r="AF884" s="164">
        <f t="shared" si="288"/>
        <v>0</v>
      </c>
      <c r="AG884" s="165"/>
      <c r="AH884" s="165">
        <f t="shared" si="289"/>
        <v>0</v>
      </c>
      <c r="AI884" s="166">
        <v>0</v>
      </c>
      <c r="AJ884" s="166">
        <f t="shared" si="290"/>
        <v>0</v>
      </c>
      <c r="AK884" s="162"/>
      <c r="AL884" s="162">
        <f t="shared" si="285"/>
        <v>0</v>
      </c>
      <c r="AM884" s="173"/>
      <c r="AN884" s="167">
        <f t="shared" si="280"/>
        <v>0</v>
      </c>
      <c r="AO884" s="163"/>
      <c r="AP884" s="163">
        <f t="shared" si="281"/>
        <v>0</v>
      </c>
      <c r="AQ884" s="168"/>
      <c r="AR884" s="168">
        <f t="shared" si="282"/>
        <v>0</v>
      </c>
      <c r="AS884" s="170"/>
      <c r="AT884" s="170">
        <f t="shared" si="283"/>
        <v>0</v>
      </c>
      <c r="AU884" s="166"/>
      <c r="AV884" s="166">
        <f t="shared" si="284"/>
        <v>0</v>
      </c>
    </row>
    <row r="885" spans="1:48">
      <c r="A885" s="172" t="s">
        <v>8183</v>
      </c>
      <c r="B885" s="149" t="s">
        <v>7241</v>
      </c>
      <c r="C885" s="149" t="s">
        <v>7242</v>
      </c>
      <c r="D885" s="240" t="s">
        <v>3989</v>
      </c>
      <c r="E885" s="590" t="s">
        <v>12642</v>
      </c>
      <c r="F885" s="203" t="s">
        <v>747</v>
      </c>
      <c r="G885" s="204" t="s">
        <v>4193</v>
      </c>
      <c r="H885" s="204">
        <v>3</v>
      </c>
      <c r="I885" s="203" t="s">
        <v>1068</v>
      </c>
      <c r="J885" s="205" t="s">
        <v>8184</v>
      </c>
      <c r="K885" s="203" t="s">
        <v>253</v>
      </c>
      <c r="L885" s="205" t="s">
        <v>3221</v>
      </c>
      <c r="M885" s="205" t="s">
        <v>1449</v>
      </c>
      <c r="N885" s="204" t="s">
        <v>213</v>
      </c>
      <c r="O885" s="204" t="s">
        <v>658</v>
      </c>
      <c r="P885" s="206">
        <v>2500</v>
      </c>
      <c r="Q885" s="206">
        <v>1320</v>
      </c>
      <c r="R885" s="207">
        <v>5000</v>
      </c>
      <c r="S885" s="207">
        <f t="shared" si="275"/>
        <v>6600000</v>
      </c>
      <c r="T885" s="589"/>
      <c r="U885" s="157">
        <v>5000</v>
      </c>
      <c r="V885" s="158">
        <f t="shared" si="286"/>
        <v>4060</v>
      </c>
      <c r="W885" s="159">
        <f t="shared" si="276"/>
        <v>940</v>
      </c>
      <c r="X885" s="159">
        <f t="shared" si="277"/>
        <v>1240800</v>
      </c>
      <c r="Y885" s="160"/>
      <c r="Z885" s="160">
        <f t="shared" si="278"/>
        <v>0</v>
      </c>
      <c r="AA885" s="165"/>
      <c r="AB885" s="161">
        <f t="shared" si="279"/>
        <v>0</v>
      </c>
      <c r="AC885" s="162"/>
      <c r="AD885" s="162">
        <f t="shared" si="287"/>
        <v>0</v>
      </c>
      <c r="AE885" s="164"/>
      <c r="AF885" s="164">
        <f t="shared" si="288"/>
        <v>0</v>
      </c>
      <c r="AG885" s="165"/>
      <c r="AH885" s="165">
        <f t="shared" si="289"/>
        <v>0</v>
      </c>
      <c r="AI885" s="166">
        <v>740</v>
      </c>
      <c r="AJ885" s="166">
        <f t="shared" si="290"/>
        <v>976800</v>
      </c>
      <c r="AK885" s="162"/>
      <c r="AL885" s="162">
        <f t="shared" si="285"/>
        <v>0</v>
      </c>
      <c r="AM885" s="173">
        <v>200</v>
      </c>
      <c r="AN885" s="167">
        <f t="shared" si="280"/>
        <v>264000</v>
      </c>
      <c r="AO885" s="163"/>
      <c r="AP885" s="163">
        <f t="shared" si="281"/>
        <v>0</v>
      </c>
      <c r="AQ885" s="168"/>
      <c r="AR885" s="168">
        <f t="shared" si="282"/>
        <v>0</v>
      </c>
      <c r="AS885" s="170"/>
      <c r="AT885" s="170">
        <f t="shared" si="283"/>
        <v>0</v>
      </c>
      <c r="AU885" s="166"/>
      <c r="AV885" s="166">
        <f t="shared" si="284"/>
        <v>0</v>
      </c>
    </row>
    <row r="886" spans="1:48">
      <c r="A886" s="148" t="s">
        <v>8189</v>
      </c>
      <c r="B886" s="149" t="s">
        <v>7241</v>
      </c>
      <c r="C886" s="149" t="s">
        <v>7242</v>
      </c>
      <c r="D886" s="240" t="s">
        <v>8190</v>
      </c>
      <c r="E886" s="590"/>
      <c r="F886" s="203" t="s">
        <v>8191</v>
      </c>
      <c r="G886" s="240" t="s">
        <v>2588</v>
      </c>
      <c r="H886" s="204">
        <v>3</v>
      </c>
      <c r="I886" s="203" t="s">
        <v>8192</v>
      </c>
      <c r="J886" s="205" t="s">
        <v>8193</v>
      </c>
      <c r="K886" s="203" t="s">
        <v>5104</v>
      </c>
      <c r="L886" s="205" t="s">
        <v>8194</v>
      </c>
      <c r="M886" s="205" t="s">
        <v>1449</v>
      </c>
      <c r="N886" s="204" t="s">
        <v>213</v>
      </c>
      <c r="O886" s="204" t="s">
        <v>658</v>
      </c>
      <c r="P886" s="206">
        <v>27000</v>
      </c>
      <c r="Q886" s="206">
        <v>14540</v>
      </c>
      <c r="R886" s="207">
        <v>1500</v>
      </c>
      <c r="S886" s="207">
        <f t="shared" si="275"/>
        <v>21810000</v>
      </c>
      <c r="T886" s="589"/>
      <c r="U886" s="157">
        <v>1500</v>
      </c>
      <c r="V886" s="158">
        <f t="shared" si="286"/>
        <v>1500</v>
      </c>
      <c r="W886" s="159">
        <f t="shared" si="276"/>
        <v>0</v>
      </c>
      <c r="X886" s="159">
        <f t="shared" si="277"/>
        <v>0</v>
      </c>
      <c r="Y886" s="160"/>
      <c r="Z886" s="160">
        <f t="shared" si="278"/>
        <v>0</v>
      </c>
      <c r="AA886" s="165"/>
      <c r="AB886" s="161">
        <f t="shared" si="279"/>
        <v>0</v>
      </c>
      <c r="AC886" s="162"/>
      <c r="AD886" s="162">
        <f t="shared" si="287"/>
        <v>0</v>
      </c>
      <c r="AE886" s="164"/>
      <c r="AF886" s="164">
        <f t="shared" si="288"/>
        <v>0</v>
      </c>
      <c r="AG886" s="165"/>
      <c r="AH886" s="165">
        <f t="shared" si="289"/>
        <v>0</v>
      </c>
      <c r="AI886" s="166">
        <v>0</v>
      </c>
      <c r="AJ886" s="166">
        <f t="shared" si="290"/>
        <v>0</v>
      </c>
      <c r="AK886" s="162"/>
      <c r="AL886" s="162">
        <f t="shared" si="285"/>
        <v>0</v>
      </c>
      <c r="AM886" s="173"/>
      <c r="AN886" s="167">
        <f t="shared" si="280"/>
        <v>0</v>
      </c>
      <c r="AO886" s="163"/>
      <c r="AP886" s="163">
        <f t="shared" si="281"/>
        <v>0</v>
      </c>
      <c r="AQ886" s="168"/>
      <c r="AR886" s="168">
        <f t="shared" si="282"/>
        <v>0</v>
      </c>
      <c r="AS886" s="170"/>
      <c r="AT886" s="170">
        <f t="shared" si="283"/>
        <v>0</v>
      </c>
      <c r="AU886" s="166"/>
      <c r="AV886" s="166">
        <f t="shared" si="284"/>
        <v>0</v>
      </c>
    </row>
    <row r="887" spans="1:48">
      <c r="A887" s="148" t="s">
        <v>8205</v>
      </c>
      <c r="B887" s="149" t="s">
        <v>7241</v>
      </c>
      <c r="C887" s="149" t="s">
        <v>7242</v>
      </c>
      <c r="D887" s="240" t="s">
        <v>8206</v>
      </c>
      <c r="E887" s="590" t="s">
        <v>12642</v>
      </c>
      <c r="F887" s="203" t="s">
        <v>8207</v>
      </c>
      <c r="G887" s="204" t="s">
        <v>8208</v>
      </c>
      <c r="H887" s="204">
        <v>3</v>
      </c>
      <c r="I887" s="203" t="s">
        <v>8209</v>
      </c>
      <c r="J887" s="205" t="s">
        <v>8210</v>
      </c>
      <c r="K887" s="203" t="s">
        <v>5104</v>
      </c>
      <c r="L887" s="205" t="s">
        <v>8211</v>
      </c>
      <c r="M887" s="205" t="s">
        <v>1449</v>
      </c>
      <c r="N887" s="204" t="s">
        <v>213</v>
      </c>
      <c r="O887" s="204" t="s">
        <v>658</v>
      </c>
      <c r="P887" s="206">
        <v>2300</v>
      </c>
      <c r="Q887" s="206">
        <v>2030</v>
      </c>
      <c r="R887" s="207">
        <v>3000</v>
      </c>
      <c r="S887" s="207">
        <f t="shared" si="275"/>
        <v>6090000</v>
      </c>
      <c r="T887" s="589"/>
      <c r="U887" s="157">
        <v>3000</v>
      </c>
      <c r="V887" s="158">
        <f t="shared" si="286"/>
        <v>3000</v>
      </c>
      <c r="W887" s="159">
        <f t="shared" si="276"/>
        <v>0</v>
      </c>
      <c r="X887" s="159">
        <f t="shared" si="277"/>
        <v>0</v>
      </c>
      <c r="Y887" s="160"/>
      <c r="Z887" s="160">
        <f t="shared" si="278"/>
        <v>0</v>
      </c>
      <c r="AA887" s="165"/>
      <c r="AB887" s="161">
        <f t="shared" si="279"/>
        <v>0</v>
      </c>
      <c r="AC887" s="162"/>
      <c r="AD887" s="162">
        <f t="shared" si="287"/>
        <v>0</v>
      </c>
      <c r="AE887" s="164"/>
      <c r="AF887" s="164">
        <f t="shared" si="288"/>
        <v>0</v>
      </c>
      <c r="AG887" s="165"/>
      <c r="AH887" s="165">
        <f t="shared" si="289"/>
        <v>0</v>
      </c>
      <c r="AI887" s="166">
        <v>0</v>
      </c>
      <c r="AJ887" s="166">
        <f t="shared" si="290"/>
        <v>0</v>
      </c>
      <c r="AK887" s="162"/>
      <c r="AL887" s="162">
        <f t="shared" si="285"/>
        <v>0</v>
      </c>
      <c r="AM887" s="173"/>
      <c r="AN887" s="167">
        <f t="shared" si="280"/>
        <v>0</v>
      </c>
      <c r="AO887" s="163"/>
      <c r="AP887" s="163">
        <f t="shared" si="281"/>
        <v>0</v>
      </c>
      <c r="AQ887" s="168"/>
      <c r="AR887" s="168">
        <f t="shared" si="282"/>
        <v>0</v>
      </c>
      <c r="AS887" s="170"/>
      <c r="AT887" s="170">
        <f t="shared" si="283"/>
        <v>0</v>
      </c>
      <c r="AU887" s="166"/>
      <c r="AV887" s="166">
        <f t="shared" si="284"/>
        <v>0</v>
      </c>
    </row>
    <row r="888" spans="1:48" ht="31.5">
      <c r="A888" s="148" t="s">
        <v>8263</v>
      </c>
      <c r="B888" s="149" t="s">
        <v>7241</v>
      </c>
      <c r="C888" s="149" t="s">
        <v>7242</v>
      </c>
      <c r="D888" s="240" t="s">
        <v>8264</v>
      </c>
      <c r="E888" s="590" t="s">
        <v>12642</v>
      </c>
      <c r="F888" s="203" t="s">
        <v>433</v>
      </c>
      <c r="G888" s="204" t="s">
        <v>1200</v>
      </c>
      <c r="H888" s="204">
        <v>4</v>
      </c>
      <c r="I888" s="203" t="s">
        <v>1463</v>
      </c>
      <c r="J888" s="205" t="s">
        <v>7322</v>
      </c>
      <c r="K888" s="203" t="s">
        <v>253</v>
      </c>
      <c r="L888" s="205" t="s">
        <v>1465</v>
      </c>
      <c r="M888" s="205" t="s">
        <v>1449</v>
      </c>
      <c r="N888" s="204" t="s">
        <v>213</v>
      </c>
      <c r="O888" s="204" t="s">
        <v>12</v>
      </c>
      <c r="P888" s="206">
        <v>2500</v>
      </c>
      <c r="Q888" s="206">
        <v>1323</v>
      </c>
      <c r="R888" s="207">
        <v>30000</v>
      </c>
      <c r="S888" s="207">
        <f t="shared" si="275"/>
        <v>39690000</v>
      </c>
      <c r="T888" s="589"/>
      <c r="U888" s="157">
        <v>30000</v>
      </c>
      <c r="V888" s="158">
        <f t="shared" si="286"/>
        <v>30000</v>
      </c>
      <c r="W888" s="159">
        <f t="shared" si="276"/>
        <v>0</v>
      </c>
      <c r="X888" s="159">
        <f t="shared" si="277"/>
        <v>0</v>
      </c>
      <c r="Y888" s="160"/>
      <c r="Z888" s="160">
        <f t="shared" si="278"/>
        <v>0</v>
      </c>
      <c r="AA888" s="165"/>
      <c r="AB888" s="161">
        <f t="shared" si="279"/>
        <v>0</v>
      </c>
      <c r="AC888" s="162"/>
      <c r="AD888" s="162">
        <f t="shared" si="287"/>
        <v>0</v>
      </c>
      <c r="AE888" s="164"/>
      <c r="AF888" s="164">
        <f t="shared" si="288"/>
        <v>0</v>
      </c>
      <c r="AG888" s="165"/>
      <c r="AH888" s="165">
        <f t="shared" si="289"/>
        <v>0</v>
      </c>
      <c r="AI888" s="166">
        <v>0</v>
      </c>
      <c r="AJ888" s="166">
        <f t="shared" si="290"/>
        <v>0</v>
      </c>
      <c r="AK888" s="162"/>
      <c r="AL888" s="162">
        <f t="shared" si="285"/>
        <v>0</v>
      </c>
      <c r="AM888" s="173"/>
      <c r="AN888" s="167">
        <f t="shared" si="280"/>
        <v>0</v>
      </c>
      <c r="AO888" s="163"/>
      <c r="AP888" s="163">
        <f t="shared" si="281"/>
        <v>0</v>
      </c>
      <c r="AQ888" s="168"/>
      <c r="AR888" s="168">
        <f t="shared" si="282"/>
        <v>0</v>
      </c>
      <c r="AS888" s="170"/>
      <c r="AT888" s="170">
        <f t="shared" si="283"/>
        <v>0</v>
      </c>
      <c r="AU888" s="166"/>
      <c r="AV888" s="166">
        <f t="shared" si="284"/>
        <v>0</v>
      </c>
    </row>
    <row r="889" spans="1:48" ht="31.5">
      <c r="A889" s="148" t="s">
        <v>8398</v>
      </c>
      <c r="B889" s="149" t="s">
        <v>7241</v>
      </c>
      <c r="C889" s="149" t="s">
        <v>7242</v>
      </c>
      <c r="D889" s="240" t="s">
        <v>4474</v>
      </c>
      <c r="E889" s="590" t="s">
        <v>12642</v>
      </c>
      <c r="F889" s="203" t="s">
        <v>802</v>
      </c>
      <c r="G889" s="204" t="s">
        <v>1200</v>
      </c>
      <c r="H889" s="204">
        <v>5</v>
      </c>
      <c r="I889" s="203" t="s">
        <v>1455</v>
      </c>
      <c r="J889" s="205" t="s">
        <v>7250</v>
      </c>
      <c r="K889" s="203" t="s">
        <v>253</v>
      </c>
      <c r="L889" s="205" t="s">
        <v>1457</v>
      </c>
      <c r="M889" s="205" t="s">
        <v>1449</v>
      </c>
      <c r="N889" s="204" t="s">
        <v>213</v>
      </c>
      <c r="O889" s="204" t="s">
        <v>12</v>
      </c>
      <c r="P889" s="206">
        <v>2520</v>
      </c>
      <c r="Q889" s="206">
        <v>1186</v>
      </c>
      <c r="R889" s="207">
        <v>40000</v>
      </c>
      <c r="S889" s="207">
        <f t="shared" si="275"/>
        <v>47440000</v>
      </c>
      <c r="T889" s="589"/>
      <c r="U889" s="157">
        <v>40000</v>
      </c>
      <c r="V889" s="158">
        <f t="shared" si="286"/>
        <v>40000</v>
      </c>
      <c r="W889" s="159">
        <f t="shared" si="276"/>
        <v>0</v>
      </c>
      <c r="X889" s="159">
        <f t="shared" si="277"/>
        <v>0</v>
      </c>
      <c r="Y889" s="160"/>
      <c r="Z889" s="160">
        <f t="shared" si="278"/>
        <v>0</v>
      </c>
      <c r="AA889" s="165"/>
      <c r="AB889" s="161">
        <f t="shared" si="279"/>
        <v>0</v>
      </c>
      <c r="AC889" s="162"/>
      <c r="AD889" s="162">
        <f t="shared" si="287"/>
        <v>0</v>
      </c>
      <c r="AE889" s="164"/>
      <c r="AF889" s="164">
        <f t="shared" si="288"/>
        <v>0</v>
      </c>
      <c r="AG889" s="165"/>
      <c r="AH889" s="165">
        <f t="shared" si="289"/>
        <v>0</v>
      </c>
      <c r="AI889" s="166">
        <v>0</v>
      </c>
      <c r="AJ889" s="166">
        <f t="shared" si="290"/>
        <v>0</v>
      </c>
      <c r="AK889" s="162"/>
      <c r="AL889" s="162">
        <f t="shared" si="285"/>
        <v>0</v>
      </c>
      <c r="AM889" s="173"/>
      <c r="AN889" s="167">
        <f t="shared" si="280"/>
        <v>0</v>
      </c>
      <c r="AO889" s="163"/>
      <c r="AP889" s="163">
        <f t="shared" si="281"/>
        <v>0</v>
      </c>
      <c r="AQ889" s="168"/>
      <c r="AR889" s="168">
        <f t="shared" si="282"/>
        <v>0</v>
      </c>
      <c r="AS889" s="170"/>
      <c r="AT889" s="170">
        <f t="shared" si="283"/>
        <v>0</v>
      </c>
      <c r="AU889" s="166"/>
      <c r="AV889" s="166">
        <f t="shared" si="284"/>
        <v>0</v>
      </c>
    </row>
    <row r="890" spans="1:48" ht="31.5">
      <c r="A890" s="172" t="s">
        <v>8399</v>
      </c>
      <c r="B890" s="149" t="s">
        <v>7241</v>
      </c>
      <c r="C890" s="149" t="s">
        <v>7242</v>
      </c>
      <c r="D890" s="240" t="s">
        <v>8400</v>
      </c>
      <c r="E890" s="590" t="s">
        <v>12642</v>
      </c>
      <c r="F890" s="203" t="s">
        <v>847</v>
      </c>
      <c r="G890" s="204" t="s">
        <v>272</v>
      </c>
      <c r="H890" s="204">
        <v>5</v>
      </c>
      <c r="I890" s="203" t="s">
        <v>4478</v>
      </c>
      <c r="J890" s="205" t="s">
        <v>7255</v>
      </c>
      <c r="K890" s="203" t="s">
        <v>253</v>
      </c>
      <c r="L890" s="205" t="s">
        <v>7256</v>
      </c>
      <c r="M890" s="205" t="s">
        <v>1449</v>
      </c>
      <c r="N890" s="204" t="s">
        <v>213</v>
      </c>
      <c r="O890" s="204" t="s">
        <v>12</v>
      </c>
      <c r="P890" s="206">
        <v>1440</v>
      </c>
      <c r="Q890" s="206">
        <v>796</v>
      </c>
      <c r="R890" s="207">
        <v>20000</v>
      </c>
      <c r="S890" s="207">
        <f t="shared" si="275"/>
        <v>15920000</v>
      </c>
      <c r="T890" s="589"/>
      <c r="U890" s="157">
        <v>20000</v>
      </c>
      <c r="V890" s="158">
        <f t="shared" si="286"/>
        <v>20000</v>
      </c>
      <c r="W890" s="159">
        <f t="shared" si="276"/>
        <v>0</v>
      </c>
      <c r="X890" s="159">
        <f t="shared" si="277"/>
        <v>0</v>
      </c>
      <c r="Y890" s="160"/>
      <c r="Z890" s="160">
        <f t="shared" si="278"/>
        <v>0</v>
      </c>
      <c r="AA890" s="165"/>
      <c r="AB890" s="161">
        <f t="shared" si="279"/>
        <v>0</v>
      </c>
      <c r="AC890" s="162"/>
      <c r="AD890" s="162">
        <f t="shared" si="287"/>
        <v>0</v>
      </c>
      <c r="AE890" s="164"/>
      <c r="AF890" s="164">
        <f t="shared" si="288"/>
        <v>0</v>
      </c>
      <c r="AG890" s="165"/>
      <c r="AH890" s="165">
        <f t="shared" si="289"/>
        <v>0</v>
      </c>
      <c r="AI890" s="166">
        <v>0</v>
      </c>
      <c r="AJ890" s="166">
        <f t="shared" si="290"/>
        <v>0</v>
      </c>
      <c r="AK890" s="162"/>
      <c r="AL890" s="162">
        <f t="shared" si="285"/>
        <v>0</v>
      </c>
      <c r="AM890" s="173"/>
      <c r="AN890" s="167">
        <f t="shared" si="280"/>
        <v>0</v>
      </c>
      <c r="AO890" s="163"/>
      <c r="AP890" s="163">
        <f t="shared" si="281"/>
        <v>0</v>
      </c>
      <c r="AQ890" s="168"/>
      <c r="AR890" s="168">
        <f t="shared" si="282"/>
        <v>0</v>
      </c>
      <c r="AS890" s="170"/>
      <c r="AT890" s="170">
        <f t="shared" si="283"/>
        <v>0</v>
      </c>
      <c r="AU890" s="166"/>
      <c r="AV890" s="166">
        <f t="shared" si="284"/>
        <v>0</v>
      </c>
    </row>
    <row r="891" spans="1:48" ht="31.5">
      <c r="A891" s="172" t="s">
        <v>8407</v>
      </c>
      <c r="B891" s="149" t="s">
        <v>7241</v>
      </c>
      <c r="C891" s="149" t="s">
        <v>7242</v>
      </c>
      <c r="D891" s="240" t="s">
        <v>8408</v>
      </c>
      <c r="E891" s="590"/>
      <c r="F891" s="203" t="s">
        <v>256</v>
      </c>
      <c r="G891" s="204" t="s">
        <v>258</v>
      </c>
      <c r="H891" s="204">
        <v>5</v>
      </c>
      <c r="I891" s="203" t="s">
        <v>7291</v>
      </c>
      <c r="J891" s="205" t="s">
        <v>7292</v>
      </c>
      <c r="K891" s="203" t="s">
        <v>253</v>
      </c>
      <c r="L891" s="205" t="s">
        <v>7293</v>
      </c>
      <c r="M891" s="205" t="s">
        <v>1449</v>
      </c>
      <c r="N891" s="204" t="s">
        <v>213</v>
      </c>
      <c r="O891" s="204" t="s">
        <v>12</v>
      </c>
      <c r="P891" s="206">
        <v>4700</v>
      </c>
      <c r="Q891" s="206">
        <v>1008</v>
      </c>
      <c r="R891" s="207">
        <v>10000</v>
      </c>
      <c r="S891" s="207">
        <f t="shared" si="275"/>
        <v>10080000</v>
      </c>
      <c r="T891" s="589"/>
      <c r="U891" s="157">
        <v>10000</v>
      </c>
      <c r="V891" s="158">
        <f t="shared" si="286"/>
        <v>10000</v>
      </c>
      <c r="W891" s="159">
        <f t="shared" si="276"/>
        <v>0</v>
      </c>
      <c r="X891" s="159">
        <f t="shared" si="277"/>
        <v>0</v>
      </c>
      <c r="Y891" s="160"/>
      <c r="Z891" s="160">
        <f t="shared" si="278"/>
        <v>0</v>
      </c>
      <c r="AA891" s="165"/>
      <c r="AB891" s="161">
        <f t="shared" si="279"/>
        <v>0</v>
      </c>
      <c r="AC891" s="162"/>
      <c r="AD891" s="162">
        <f t="shared" si="287"/>
        <v>0</v>
      </c>
      <c r="AE891" s="164"/>
      <c r="AF891" s="164">
        <f t="shared" si="288"/>
        <v>0</v>
      </c>
      <c r="AG891" s="165"/>
      <c r="AH891" s="165">
        <f t="shared" si="289"/>
        <v>0</v>
      </c>
      <c r="AI891" s="166">
        <v>0</v>
      </c>
      <c r="AJ891" s="166">
        <f t="shared" si="290"/>
        <v>0</v>
      </c>
      <c r="AK891" s="162"/>
      <c r="AL891" s="162">
        <f t="shared" si="285"/>
        <v>0</v>
      </c>
      <c r="AM891" s="173"/>
      <c r="AN891" s="167">
        <f t="shared" si="280"/>
        <v>0</v>
      </c>
      <c r="AO891" s="163"/>
      <c r="AP891" s="163">
        <f t="shared" si="281"/>
        <v>0</v>
      </c>
      <c r="AQ891" s="168"/>
      <c r="AR891" s="168">
        <f t="shared" si="282"/>
        <v>0</v>
      </c>
      <c r="AS891" s="170"/>
      <c r="AT891" s="170">
        <f t="shared" si="283"/>
        <v>0</v>
      </c>
      <c r="AU891" s="166"/>
      <c r="AV891" s="166">
        <f t="shared" si="284"/>
        <v>0</v>
      </c>
    </row>
    <row r="892" spans="1:48" ht="31.5">
      <c r="A892" s="148" t="s">
        <v>8409</v>
      </c>
      <c r="B892" s="149" t="s">
        <v>7241</v>
      </c>
      <c r="C892" s="149" t="s">
        <v>7242</v>
      </c>
      <c r="D892" s="240" t="s">
        <v>8410</v>
      </c>
      <c r="E892" s="590"/>
      <c r="F892" s="203" t="s">
        <v>256</v>
      </c>
      <c r="G892" s="204" t="s">
        <v>291</v>
      </c>
      <c r="H892" s="204">
        <v>5</v>
      </c>
      <c r="I892" s="203" t="s">
        <v>7296</v>
      </c>
      <c r="J892" s="205" t="s">
        <v>7292</v>
      </c>
      <c r="K892" s="203" t="s">
        <v>253</v>
      </c>
      <c r="L892" s="205" t="s">
        <v>7297</v>
      </c>
      <c r="M892" s="205" t="s">
        <v>1449</v>
      </c>
      <c r="N892" s="204" t="s">
        <v>213</v>
      </c>
      <c r="O892" s="204" t="s">
        <v>12</v>
      </c>
      <c r="P892" s="206">
        <v>3600</v>
      </c>
      <c r="Q892" s="206">
        <v>917</v>
      </c>
      <c r="R892" s="207">
        <v>5000</v>
      </c>
      <c r="S892" s="207">
        <f t="shared" si="275"/>
        <v>4585000</v>
      </c>
      <c r="T892" s="589"/>
      <c r="U892" s="157">
        <v>5000</v>
      </c>
      <c r="V892" s="158">
        <f t="shared" si="286"/>
        <v>5000</v>
      </c>
      <c r="W892" s="159">
        <f t="shared" si="276"/>
        <v>0</v>
      </c>
      <c r="X892" s="159">
        <f t="shared" si="277"/>
        <v>0</v>
      </c>
      <c r="Y892" s="160"/>
      <c r="Z892" s="160">
        <f t="shared" si="278"/>
        <v>0</v>
      </c>
      <c r="AA892" s="165"/>
      <c r="AB892" s="161">
        <f t="shared" si="279"/>
        <v>0</v>
      </c>
      <c r="AC892" s="162"/>
      <c r="AD892" s="162">
        <f t="shared" si="287"/>
        <v>0</v>
      </c>
      <c r="AE892" s="164"/>
      <c r="AF892" s="164">
        <f t="shared" si="288"/>
        <v>0</v>
      </c>
      <c r="AG892" s="165"/>
      <c r="AH892" s="165">
        <f t="shared" si="289"/>
        <v>0</v>
      </c>
      <c r="AI892" s="166">
        <v>0</v>
      </c>
      <c r="AJ892" s="166">
        <f t="shared" si="290"/>
        <v>0</v>
      </c>
      <c r="AK892" s="162"/>
      <c r="AL892" s="162">
        <f t="shared" si="285"/>
        <v>0</v>
      </c>
      <c r="AM892" s="173"/>
      <c r="AN892" s="167">
        <f t="shared" si="280"/>
        <v>0</v>
      </c>
      <c r="AO892" s="163"/>
      <c r="AP892" s="163">
        <f t="shared" si="281"/>
        <v>0</v>
      </c>
      <c r="AQ892" s="168"/>
      <c r="AR892" s="168">
        <f t="shared" si="282"/>
        <v>0</v>
      </c>
      <c r="AS892" s="170"/>
      <c r="AT892" s="170">
        <f t="shared" si="283"/>
        <v>0</v>
      </c>
      <c r="AU892" s="166"/>
      <c r="AV892" s="166">
        <f t="shared" si="284"/>
        <v>0</v>
      </c>
    </row>
    <row r="893" spans="1:48">
      <c r="A893" s="172" t="s">
        <v>8425</v>
      </c>
      <c r="B893" s="149" t="s">
        <v>7241</v>
      </c>
      <c r="C893" s="149" t="s">
        <v>7242</v>
      </c>
      <c r="D893" s="240" t="s">
        <v>8426</v>
      </c>
      <c r="E893" s="590" t="s">
        <v>12642</v>
      </c>
      <c r="F893" s="203" t="s">
        <v>1668</v>
      </c>
      <c r="G893" s="204" t="s">
        <v>869</v>
      </c>
      <c r="H893" s="204">
        <v>5</v>
      </c>
      <c r="I893" s="203" t="s">
        <v>4151</v>
      </c>
      <c r="J893" s="205" t="s">
        <v>7515</v>
      </c>
      <c r="K893" s="203" t="s">
        <v>5104</v>
      </c>
      <c r="L893" s="205" t="s">
        <v>7516</v>
      </c>
      <c r="M893" s="205" t="s">
        <v>1449</v>
      </c>
      <c r="N893" s="204" t="s">
        <v>213</v>
      </c>
      <c r="O893" s="204" t="s">
        <v>11</v>
      </c>
      <c r="P893" s="206">
        <v>1900</v>
      </c>
      <c r="Q893" s="206">
        <v>542</v>
      </c>
      <c r="R893" s="207">
        <v>30000</v>
      </c>
      <c r="S893" s="207">
        <f t="shared" si="275"/>
        <v>16260000</v>
      </c>
      <c r="T893" s="589"/>
      <c r="U893" s="157">
        <v>30000</v>
      </c>
      <c r="V893" s="158">
        <f t="shared" si="286"/>
        <v>30000</v>
      </c>
      <c r="W893" s="159">
        <f t="shared" si="276"/>
        <v>0</v>
      </c>
      <c r="X893" s="159">
        <f t="shared" si="277"/>
        <v>0</v>
      </c>
      <c r="Y893" s="160"/>
      <c r="Z893" s="160">
        <f t="shared" si="278"/>
        <v>0</v>
      </c>
      <c r="AA893" s="165"/>
      <c r="AB893" s="161">
        <f t="shared" si="279"/>
        <v>0</v>
      </c>
      <c r="AC893" s="162"/>
      <c r="AD893" s="162">
        <f t="shared" si="287"/>
        <v>0</v>
      </c>
      <c r="AE893" s="163"/>
      <c r="AF893" s="164">
        <f t="shared" si="288"/>
        <v>0</v>
      </c>
      <c r="AG893" s="161"/>
      <c r="AH893" s="165">
        <f t="shared" si="289"/>
        <v>0</v>
      </c>
      <c r="AI893" s="160">
        <v>0</v>
      </c>
      <c r="AJ893" s="166">
        <f t="shared" si="290"/>
        <v>0</v>
      </c>
      <c r="AK893" s="162"/>
      <c r="AL893" s="162">
        <f t="shared" si="285"/>
        <v>0</v>
      </c>
      <c r="AM893" s="173"/>
      <c r="AN893" s="167">
        <f t="shared" si="280"/>
        <v>0</v>
      </c>
      <c r="AO893" s="163"/>
      <c r="AP893" s="163">
        <f t="shared" si="281"/>
        <v>0</v>
      </c>
      <c r="AQ893" s="162"/>
      <c r="AR893" s="168">
        <f t="shared" si="282"/>
        <v>0</v>
      </c>
      <c r="AS893" s="169"/>
      <c r="AT893" s="170">
        <f t="shared" si="283"/>
        <v>0</v>
      </c>
      <c r="AU893" s="160"/>
      <c r="AV893" s="166">
        <f t="shared" si="284"/>
        <v>0</v>
      </c>
    </row>
    <row r="894" spans="1:48" ht="31.5">
      <c r="A894" s="148" t="s">
        <v>6924</v>
      </c>
      <c r="B894" s="149" t="s">
        <v>6925</v>
      </c>
      <c r="C894" s="149" t="s">
        <v>6926</v>
      </c>
      <c r="D894" s="240" t="s">
        <v>3970</v>
      </c>
      <c r="E894" s="590" t="s">
        <v>12642</v>
      </c>
      <c r="F894" s="203" t="s">
        <v>1480</v>
      </c>
      <c r="G894" s="204" t="s">
        <v>1512</v>
      </c>
      <c r="H894" s="204">
        <v>3</v>
      </c>
      <c r="I894" s="203" t="s">
        <v>3971</v>
      </c>
      <c r="J894" s="205" t="s">
        <v>6927</v>
      </c>
      <c r="K894" s="203" t="s">
        <v>253</v>
      </c>
      <c r="L894" s="205" t="s">
        <v>6928</v>
      </c>
      <c r="M894" s="205" t="s">
        <v>6929</v>
      </c>
      <c r="N894" s="204" t="s">
        <v>213</v>
      </c>
      <c r="O894" s="204" t="s">
        <v>520</v>
      </c>
      <c r="P894" s="206">
        <v>5000</v>
      </c>
      <c r="Q894" s="206">
        <v>3350</v>
      </c>
      <c r="R894" s="207">
        <v>30000</v>
      </c>
      <c r="S894" s="207">
        <f t="shared" si="275"/>
        <v>100500000</v>
      </c>
      <c r="T894" s="589"/>
      <c r="U894" s="157">
        <v>30000</v>
      </c>
      <c r="V894" s="158">
        <f t="shared" si="286"/>
        <v>27800</v>
      </c>
      <c r="W894" s="159">
        <f t="shared" si="276"/>
        <v>2200</v>
      </c>
      <c r="X894" s="159">
        <f t="shared" si="277"/>
        <v>7370000</v>
      </c>
      <c r="Y894" s="160"/>
      <c r="Z894" s="160">
        <f t="shared" si="278"/>
        <v>0</v>
      </c>
      <c r="AA894" s="165"/>
      <c r="AB894" s="161">
        <f t="shared" si="279"/>
        <v>0</v>
      </c>
      <c r="AC894" s="162"/>
      <c r="AD894" s="162">
        <f t="shared" si="287"/>
        <v>0</v>
      </c>
      <c r="AE894" s="164"/>
      <c r="AF894" s="164">
        <f t="shared" si="288"/>
        <v>0</v>
      </c>
      <c r="AG894" s="165"/>
      <c r="AH894" s="165">
        <f t="shared" si="289"/>
        <v>0</v>
      </c>
      <c r="AI894" s="166">
        <v>0</v>
      </c>
      <c r="AJ894" s="166">
        <f t="shared" si="290"/>
        <v>0</v>
      </c>
      <c r="AK894" s="162"/>
      <c r="AL894" s="162">
        <f t="shared" si="285"/>
        <v>0</v>
      </c>
      <c r="AM894" s="173">
        <v>200</v>
      </c>
      <c r="AN894" s="167">
        <f t="shared" si="280"/>
        <v>670000</v>
      </c>
      <c r="AO894" s="163"/>
      <c r="AP894" s="163">
        <f t="shared" si="281"/>
        <v>0</v>
      </c>
      <c r="AQ894" s="168"/>
      <c r="AR894" s="168">
        <f t="shared" si="282"/>
        <v>0</v>
      </c>
      <c r="AS894" s="170">
        <v>2000</v>
      </c>
      <c r="AT894" s="170">
        <f t="shared" si="283"/>
        <v>6700000</v>
      </c>
      <c r="AU894" s="166"/>
      <c r="AV894" s="166">
        <f t="shared" si="284"/>
        <v>0</v>
      </c>
    </row>
    <row r="895" spans="1:48" s="115" customFormat="1" ht="31.5">
      <c r="A895" s="148" t="s">
        <v>7164</v>
      </c>
      <c r="B895" s="149" t="s">
        <v>6925</v>
      </c>
      <c r="C895" s="149" t="s">
        <v>6926</v>
      </c>
      <c r="D895" s="240" t="s">
        <v>7165</v>
      </c>
      <c r="E895" s="590" t="s">
        <v>12643</v>
      </c>
      <c r="F895" s="203" t="s">
        <v>1636</v>
      </c>
      <c r="G895" s="204" t="s">
        <v>7166</v>
      </c>
      <c r="H895" s="204">
        <v>3</v>
      </c>
      <c r="I895" s="203" t="s">
        <v>7167</v>
      </c>
      <c r="J895" s="205" t="s">
        <v>7168</v>
      </c>
      <c r="K895" s="203" t="s">
        <v>253</v>
      </c>
      <c r="L895" s="205" t="s">
        <v>7169</v>
      </c>
      <c r="M895" s="205" t="s">
        <v>6929</v>
      </c>
      <c r="N895" s="204" t="s">
        <v>213</v>
      </c>
      <c r="O895" s="204" t="s">
        <v>520</v>
      </c>
      <c r="P895" s="206">
        <v>4080</v>
      </c>
      <c r="Q895" s="206">
        <v>4079</v>
      </c>
      <c r="R895" s="207">
        <v>60000</v>
      </c>
      <c r="S895" s="207">
        <f t="shared" si="275"/>
        <v>244740000</v>
      </c>
      <c r="T895" s="589" t="s">
        <v>520</v>
      </c>
      <c r="U895" s="157">
        <v>60000</v>
      </c>
      <c r="V895" s="158">
        <f t="shared" si="286"/>
        <v>60000</v>
      </c>
      <c r="W895" s="159">
        <f t="shared" si="276"/>
        <v>0</v>
      </c>
      <c r="X895" s="159">
        <f t="shared" si="277"/>
        <v>0</v>
      </c>
      <c r="Y895" s="160"/>
      <c r="Z895" s="160">
        <f t="shared" si="278"/>
        <v>0</v>
      </c>
      <c r="AA895" s="165"/>
      <c r="AB895" s="161">
        <f t="shared" si="279"/>
        <v>0</v>
      </c>
      <c r="AC895" s="162"/>
      <c r="AD895" s="162">
        <f t="shared" si="287"/>
        <v>0</v>
      </c>
      <c r="AE895" s="164"/>
      <c r="AF895" s="164">
        <f t="shared" si="288"/>
        <v>0</v>
      </c>
      <c r="AG895" s="165"/>
      <c r="AH895" s="165">
        <f t="shared" si="289"/>
        <v>0</v>
      </c>
      <c r="AI895" s="166">
        <v>0</v>
      </c>
      <c r="AJ895" s="166">
        <f t="shared" si="290"/>
        <v>0</v>
      </c>
      <c r="AK895" s="162"/>
      <c r="AL895" s="162">
        <f t="shared" si="285"/>
        <v>0</v>
      </c>
      <c r="AM895" s="173"/>
      <c r="AN895" s="167">
        <f t="shared" si="280"/>
        <v>0</v>
      </c>
      <c r="AO895" s="163"/>
      <c r="AP895" s="163">
        <f t="shared" si="281"/>
        <v>0</v>
      </c>
      <c r="AQ895" s="168"/>
      <c r="AR895" s="168">
        <f t="shared" si="282"/>
        <v>0</v>
      </c>
      <c r="AS895" s="170"/>
      <c r="AT895" s="170">
        <f t="shared" si="283"/>
        <v>0</v>
      </c>
      <c r="AU895" s="166"/>
      <c r="AV895" s="166">
        <f t="shared" si="284"/>
        <v>0</v>
      </c>
    </row>
    <row r="896" spans="1:48" s="115" customFormat="1" ht="31.5">
      <c r="A896" s="148" t="s">
        <v>8222</v>
      </c>
      <c r="B896" s="149" t="s">
        <v>6925</v>
      </c>
      <c r="C896" s="149" t="s">
        <v>6926</v>
      </c>
      <c r="D896" s="240" t="s">
        <v>8223</v>
      </c>
      <c r="E896" s="590" t="s">
        <v>12642</v>
      </c>
      <c r="F896" s="203" t="s">
        <v>8224</v>
      </c>
      <c r="G896" s="204" t="s">
        <v>8225</v>
      </c>
      <c r="H896" s="204">
        <v>3</v>
      </c>
      <c r="I896" s="203" t="s">
        <v>8224</v>
      </c>
      <c r="J896" s="205" t="s">
        <v>8226</v>
      </c>
      <c r="K896" s="203" t="s">
        <v>5104</v>
      </c>
      <c r="L896" s="205" t="s">
        <v>8227</v>
      </c>
      <c r="M896" s="205" t="s">
        <v>8228</v>
      </c>
      <c r="N896" s="204" t="s">
        <v>213</v>
      </c>
      <c r="O896" s="204" t="s">
        <v>11</v>
      </c>
      <c r="P896" s="206">
        <v>4500</v>
      </c>
      <c r="Q896" s="206">
        <v>3420</v>
      </c>
      <c r="R896" s="207">
        <v>1000</v>
      </c>
      <c r="S896" s="207">
        <f t="shared" si="275"/>
        <v>3420000</v>
      </c>
      <c r="T896" s="589"/>
      <c r="U896" s="157">
        <v>1000</v>
      </c>
      <c r="V896" s="158">
        <f t="shared" si="286"/>
        <v>1000</v>
      </c>
      <c r="W896" s="159">
        <f t="shared" si="276"/>
        <v>0</v>
      </c>
      <c r="X896" s="159">
        <f t="shared" si="277"/>
        <v>0</v>
      </c>
      <c r="Y896" s="160"/>
      <c r="Z896" s="160">
        <f t="shared" si="278"/>
        <v>0</v>
      </c>
      <c r="AA896" s="165"/>
      <c r="AB896" s="161">
        <f t="shared" si="279"/>
        <v>0</v>
      </c>
      <c r="AC896" s="162"/>
      <c r="AD896" s="162">
        <f t="shared" si="287"/>
        <v>0</v>
      </c>
      <c r="AE896" s="164"/>
      <c r="AF896" s="164">
        <f t="shared" si="288"/>
        <v>0</v>
      </c>
      <c r="AG896" s="165"/>
      <c r="AH896" s="165">
        <f t="shared" si="289"/>
        <v>0</v>
      </c>
      <c r="AI896" s="166">
        <v>0</v>
      </c>
      <c r="AJ896" s="166">
        <f t="shared" si="290"/>
        <v>0</v>
      </c>
      <c r="AK896" s="162"/>
      <c r="AL896" s="162">
        <f t="shared" si="285"/>
        <v>0</v>
      </c>
      <c r="AM896" s="173"/>
      <c r="AN896" s="167">
        <f t="shared" si="280"/>
        <v>0</v>
      </c>
      <c r="AO896" s="163"/>
      <c r="AP896" s="163">
        <f t="shared" si="281"/>
        <v>0</v>
      </c>
      <c r="AQ896" s="168"/>
      <c r="AR896" s="168">
        <f t="shared" si="282"/>
        <v>0</v>
      </c>
      <c r="AS896" s="170"/>
      <c r="AT896" s="170">
        <f t="shared" si="283"/>
        <v>0</v>
      </c>
      <c r="AU896" s="166"/>
      <c r="AV896" s="166">
        <f t="shared" si="284"/>
        <v>0</v>
      </c>
    </row>
    <row r="897" spans="1:48" ht="31.5">
      <c r="A897" s="221" t="s">
        <v>8498</v>
      </c>
      <c r="B897" s="149" t="s">
        <v>6925</v>
      </c>
      <c r="C897" s="149" t="s">
        <v>6926</v>
      </c>
      <c r="D897" s="240" t="s">
        <v>8499</v>
      </c>
      <c r="E897" s="590" t="s">
        <v>12642</v>
      </c>
      <c r="F897" s="203" t="s">
        <v>8224</v>
      </c>
      <c r="G897" s="204" t="s">
        <v>8225</v>
      </c>
      <c r="H897" s="204">
        <v>5</v>
      </c>
      <c r="I897" s="203" t="s">
        <v>8224</v>
      </c>
      <c r="J897" s="205" t="s">
        <v>8226</v>
      </c>
      <c r="K897" s="203" t="s">
        <v>5104</v>
      </c>
      <c r="L897" s="205" t="s">
        <v>8227</v>
      </c>
      <c r="M897" s="205" t="s">
        <v>8228</v>
      </c>
      <c r="N897" s="204" t="s">
        <v>213</v>
      </c>
      <c r="O897" s="204" t="s">
        <v>11</v>
      </c>
      <c r="P897" s="206">
        <v>4500</v>
      </c>
      <c r="Q897" s="206">
        <v>3420</v>
      </c>
      <c r="R897" s="207">
        <v>1000</v>
      </c>
      <c r="S897" s="207">
        <f t="shared" si="275"/>
        <v>3420000</v>
      </c>
      <c r="T897" s="589"/>
      <c r="U897" s="157">
        <v>1000</v>
      </c>
      <c r="V897" s="158">
        <f t="shared" si="286"/>
        <v>1000</v>
      </c>
      <c r="W897" s="159">
        <f t="shared" si="276"/>
        <v>0</v>
      </c>
      <c r="X897" s="159">
        <f t="shared" si="277"/>
        <v>0</v>
      </c>
      <c r="Y897" s="160"/>
      <c r="Z897" s="160">
        <f t="shared" si="278"/>
        <v>0</v>
      </c>
      <c r="AA897" s="165"/>
      <c r="AB897" s="161">
        <f t="shared" si="279"/>
        <v>0</v>
      </c>
      <c r="AC897" s="162"/>
      <c r="AD897" s="162">
        <f t="shared" si="287"/>
        <v>0</v>
      </c>
      <c r="AE897" s="164"/>
      <c r="AF897" s="164">
        <f t="shared" si="288"/>
        <v>0</v>
      </c>
      <c r="AG897" s="165"/>
      <c r="AH897" s="165">
        <f t="shared" si="289"/>
        <v>0</v>
      </c>
      <c r="AI897" s="166">
        <v>0</v>
      </c>
      <c r="AJ897" s="166">
        <f t="shared" si="290"/>
        <v>0</v>
      </c>
      <c r="AK897" s="162"/>
      <c r="AL897" s="162">
        <f t="shared" si="285"/>
        <v>0</v>
      </c>
      <c r="AM897" s="173"/>
      <c r="AN897" s="167">
        <f t="shared" si="280"/>
        <v>0</v>
      </c>
      <c r="AO897" s="163"/>
      <c r="AP897" s="163">
        <f t="shared" si="281"/>
        <v>0</v>
      </c>
      <c r="AQ897" s="168"/>
      <c r="AR897" s="168">
        <f t="shared" si="282"/>
        <v>0</v>
      </c>
      <c r="AS897" s="170"/>
      <c r="AT897" s="170">
        <f t="shared" si="283"/>
        <v>0</v>
      </c>
      <c r="AU897" s="166"/>
      <c r="AV897" s="166">
        <f t="shared" si="284"/>
        <v>0</v>
      </c>
    </row>
    <row r="898" spans="1:48" ht="31.5">
      <c r="A898" s="172" t="s">
        <v>7462</v>
      </c>
      <c r="B898" s="149" t="s">
        <v>7463</v>
      </c>
      <c r="C898" s="149" t="s">
        <v>7464</v>
      </c>
      <c r="D898" s="240" t="s">
        <v>7465</v>
      </c>
      <c r="E898" s="590"/>
      <c r="F898" s="203" t="s">
        <v>7466</v>
      </c>
      <c r="G898" s="204" t="s">
        <v>262</v>
      </c>
      <c r="H898" s="204">
        <v>3</v>
      </c>
      <c r="I898" s="203" t="s">
        <v>7467</v>
      </c>
      <c r="J898" s="205" t="s">
        <v>7468</v>
      </c>
      <c r="K898" s="203" t="s">
        <v>253</v>
      </c>
      <c r="L898" s="205" t="s">
        <v>7469</v>
      </c>
      <c r="M898" s="205" t="s">
        <v>7470</v>
      </c>
      <c r="N898" s="204" t="s">
        <v>213</v>
      </c>
      <c r="O898" s="204" t="s">
        <v>11</v>
      </c>
      <c r="P898" s="206">
        <v>3500</v>
      </c>
      <c r="Q898" s="206">
        <v>1800</v>
      </c>
      <c r="R898" s="207">
        <v>20000</v>
      </c>
      <c r="S898" s="207">
        <f t="shared" si="275"/>
        <v>36000000</v>
      </c>
      <c r="T898" s="589"/>
      <c r="U898" s="157">
        <v>20000</v>
      </c>
      <c r="V898" s="158">
        <f t="shared" si="286"/>
        <v>20000</v>
      </c>
      <c r="W898" s="159">
        <f t="shared" si="276"/>
        <v>0</v>
      </c>
      <c r="X898" s="159">
        <f t="shared" si="277"/>
        <v>0</v>
      </c>
      <c r="Y898" s="160"/>
      <c r="Z898" s="160">
        <f t="shared" si="278"/>
        <v>0</v>
      </c>
      <c r="AA898" s="165"/>
      <c r="AB898" s="161">
        <f t="shared" si="279"/>
        <v>0</v>
      </c>
      <c r="AC898" s="162"/>
      <c r="AD898" s="162">
        <f t="shared" si="287"/>
        <v>0</v>
      </c>
      <c r="AE898" s="164"/>
      <c r="AF898" s="164">
        <f t="shared" si="288"/>
        <v>0</v>
      </c>
      <c r="AG898" s="165"/>
      <c r="AH898" s="165">
        <f t="shared" si="289"/>
        <v>0</v>
      </c>
      <c r="AI898" s="166">
        <v>0</v>
      </c>
      <c r="AJ898" s="166">
        <f t="shared" si="290"/>
        <v>0</v>
      </c>
      <c r="AK898" s="162"/>
      <c r="AL898" s="162">
        <f t="shared" si="285"/>
        <v>0</v>
      </c>
      <c r="AM898" s="173"/>
      <c r="AN898" s="167">
        <f t="shared" si="280"/>
        <v>0</v>
      </c>
      <c r="AO898" s="163"/>
      <c r="AP898" s="163">
        <f t="shared" si="281"/>
        <v>0</v>
      </c>
      <c r="AQ898" s="168"/>
      <c r="AR898" s="168">
        <f t="shared" si="282"/>
        <v>0</v>
      </c>
      <c r="AS898" s="170"/>
      <c r="AT898" s="170">
        <f t="shared" si="283"/>
        <v>0</v>
      </c>
      <c r="AU898" s="166"/>
      <c r="AV898" s="166">
        <f t="shared" si="284"/>
        <v>0</v>
      </c>
    </row>
    <row r="899" spans="1:48" ht="31.5">
      <c r="A899" s="148" t="s">
        <v>6937</v>
      </c>
      <c r="B899" s="149" t="s">
        <v>6938</v>
      </c>
      <c r="C899" s="149" t="s">
        <v>6939</v>
      </c>
      <c r="D899" s="240" t="s">
        <v>3837</v>
      </c>
      <c r="E899" s="590" t="s">
        <v>12642</v>
      </c>
      <c r="F899" s="203" t="s">
        <v>695</v>
      </c>
      <c r="G899" s="204" t="s">
        <v>2474</v>
      </c>
      <c r="H899" s="204">
        <v>3</v>
      </c>
      <c r="I899" s="203" t="s">
        <v>3838</v>
      </c>
      <c r="J899" s="205" t="s">
        <v>6940</v>
      </c>
      <c r="K899" s="203" t="s">
        <v>6941</v>
      </c>
      <c r="L899" s="205" t="s">
        <v>6942</v>
      </c>
      <c r="M899" s="205" t="s">
        <v>621</v>
      </c>
      <c r="N899" s="204" t="s">
        <v>213</v>
      </c>
      <c r="O899" s="204" t="s">
        <v>5639</v>
      </c>
      <c r="P899" s="206">
        <v>25000</v>
      </c>
      <c r="Q899" s="206">
        <v>9345</v>
      </c>
      <c r="R899" s="207">
        <v>2000</v>
      </c>
      <c r="S899" s="207">
        <f t="shared" si="275"/>
        <v>18690000</v>
      </c>
      <c r="T899" s="589"/>
      <c r="U899" s="157">
        <v>2000</v>
      </c>
      <c r="V899" s="158">
        <f t="shared" si="286"/>
        <v>1750</v>
      </c>
      <c r="W899" s="159">
        <f t="shared" si="276"/>
        <v>250</v>
      </c>
      <c r="X899" s="159">
        <f t="shared" si="277"/>
        <v>2336250</v>
      </c>
      <c r="Y899" s="160"/>
      <c r="Z899" s="160">
        <f t="shared" si="278"/>
        <v>0</v>
      </c>
      <c r="AA899" s="165">
        <v>250</v>
      </c>
      <c r="AB899" s="161">
        <f t="shared" si="279"/>
        <v>2336250</v>
      </c>
      <c r="AC899" s="162"/>
      <c r="AD899" s="162">
        <f t="shared" si="287"/>
        <v>0</v>
      </c>
      <c r="AE899" s="164"/>
      <c r="AF899" s="164">
        <f t="shared" si="288"/>
        <v>0</v>
      </c>
      <c r="AG899" s="165"/>
      <c r="AH899" s="165">
        <f t="shared" si="289"/>
        <v>0</v>
      </c>
      <c r="AI899" s="166">
        <v>0</v>
      </c>
      <c r="AJ899" s="166">
        <f t="shared" si="290"/>
        <v>0</v>
      </c>
      <c r="AK899" s="162"/>
      <c r="AL899" s="162">
        <f t="shared" si="285"/>
        <v>0</v>
      </c>
      <c r="AM899" s="173"/>
      <c r="AN899" s="167">
        <f t="shared" si="280"/>
        <v>0</v>
      </c>
      <c r="AO899" s="163"/>
      <c r="AP899" s="163">
        <f t="shared" si="281"/>
        <v>0</v>
      </c>
      <c r="AQ899" s="168"/>
      <c r="AR899" s="168">
        <f t="shared" si="282"/>
        <v>0</v>
      </c>
      <c r="AS899" s="170"/>
      <c r="AT899" s="170">
        <f t="shared" si="283"/>
        <v>0</v>
      </c>
      <c r="AU899" s="166"/>
      <c r="AV899" s="166">
        <f t="shared" si="284"/>
        <v>0</v>
      </c>
    </row>
    <row r="900" spans="1:48" ht="31.5">
      <c r="A900" s="148" t="s">
        <v>7115</v>
      </c>
      <c r="B900" s="149" t="s">
        <v>6938</v>
      </c>
      <c r="C900" s="149" t="s">
        <v>6939</v>
      </c>
      <c r="D900" s="240" t="s">
        <v>7116</v>
      </c>
      <c r="E900" s="590"/>
      <c r="F900" s="203" t="s">
        <v>5821</v>
      </c>
      <c r="G900" s="204" t="s">
        <v>7117</v>
      </c>
      <c r="H900" s="204">
        <v>3</v>
      </c>
      <c r="I900" s="203" t="s">
        <v>7118</v>
      </c>
      <c r="J900" s="205" t="s">
        <v>7119</v>
      </c>
      <c r="K900" s="203" t="s">
        <v>6941</v>
      </c>
      <c r="L900" s="205" t="s">
        <v>7120</v>
      </c>
      <c r="M900" s="205" t="s">
        <v>621</v>
      </c>
      <c r="N900" s="204" t="s">
        <v>213</v>
      </c>
      <c r="O900" s="204" t="s">
        <v>520</v>
      </c>
      <c r="P900" s="206">
        <v>3990</v>
      </c>
      <c r="Q900" s="206">
        <v>1407</v>
      </c>
      <c r="R900" s="207">
        <v>65000</v>
      </c>
      <c r="S900" s="207">
        <f t="shared" si="275"/>
        <v>91455000</v>
      </c>
      <c r="T900" s="589"/>
      <c r="U900" s="157">
        <v>65000</v>
      </c>
      <c r="V900" s="158">
        <f t="shared" si="286"/>
        <v>65000</v>
      </c>
      <c r="W900" s="159">
        <f t="shared" si="276"/>
        <v>0</v>
      </c>
      <c r="X900" s="159">
        <f t="shared" si="277"/>
        <v>0</v>
      </c>
      <c r="Y900" s="160"/>
      <c r="Z900" s="160">
        <f t="shared" si="278"/>
        <v>0</v>
      </c>
      <c r="AA900" s="165"/>
      <c r="AB900" s="161">
        <f t="shared" si="279"/>
        <v>0</v>
      </c>
      <c r="AC900" s="162"/>
      <c r="AD900" s="162">
        <f t="shared" si="287"/>
        <v>0</v>
      </c>
      <c r="AE900" s="164"/>
      <c r="AF900" s="164">
        <f t="shared" si="288"/>
        <v>0</v>
      </c>
      <c r="AG900" s="165"/>
      <c r="AH900" s="165">
        <f t="shared" si="289"/>
        <v>0</v>
      </c>
      <c r="AI900" s="166">
        <v>0</v>
      </c>
      <c r="AJ900" s="166">
        <f t="shared" si="290"/>
        <v>0</v>
      </c>
      <c r="AK900" s="162"/>
      <c r="AL900" s="162">
        <f t="shared" si="285"/>
        <v>0</v>
      </c>
      <c r="AM900" s="173"/>
      <c r="AN900" s="167">
        <f t="shared" si="280"/>
        <v>0</v>
      </c>
      <c r="AO900" s="163"/>
      <c r="AP900" s="163">
        <f t="shared" si="281"/>
        <v>0</v>
      </c>
      <c r="AQ900" s="168"/>
      <c r="AR900" s="168">
        <f t="shared" si="282"/>
        <v>0</v>
      </c>
      <c r="AS900" s="170"/>
      <c r="AT900" s="170">
        <f t="shared" si="283"/>
        <v>0</v>
      </c>
      <c r="AU900" s="166"/>
      <c r="AV900" s="166">
        <f t="shared" si="284"/>
        <v>0</v>
      </c>
    </row>
    <row r="901" spans="1:48" ht="31.5">
      <c r="A901" s="148" t="s">
        <v>7656</v>
      </c>
      <c r="B901" s="149" t="s">
        <v>6938</v>
      </c>
      <c r="C901" s="149" t="s">
        <v>6939</v>
      </c>
      <c r="D901" s="240" t="s">
        <v>3713</v>
      </c>
      <c r="E901" s="590" t="s">
        <v>12642</v>
      </c>
      <c r="F901" s="203" t="s">
        <v>624</v>
      </c>
      <c r="G901" s="204" t="s">
        <v>625</v>
      </c>
      <c r="H901" s="204">
        <v>3</v>
      </c>
      <c r="I901" s="203" t="s">
        <v>3714</v>
      </c>
      <c r="J901" s="205" t="s">
        <v>7657</v>
      </c>
      <c r="K901" s="203" t="s">
        <v>253</v>
      </c>
      <c r="L901" s="205" t="s">
        <v>7658</v>
      </c>
      <c r="M901" s="205" t="s">
        <v>621</v>
      </c>
      <c r="N901" s="204" t="s">
        <v>213</v>
      </c>
      <c r="O901" s="204" t="s">
        <v>11</v>
      </c>
      <c r="P901" s="206">
        <v>1400</v>
      </c>
      <c r="Q901" s="206">
        <v>196</v>
      </c>
      <c r="R901" s="207">
        <v>40000</v>
      </c>
      <c r="S901" s="207">
        <f t="shared" ref="S901:S931" si="291">R901*Q901</f>
        <v>7840000</v>
      </c>
      <c r="T901" s="589"/>
      <c r="U901" s="157">
        <v>40000</v>
      </c>
      <c r="V901" s="158">
        <f t="shared" si="286"/>
        <v>29500</v>
      </c>
      <c r="W901" s="159">
        <f t="shared" ref="W901:W931" si="292">Y901+AA901+AC901+AE901+AG901+AI901+AK901+AM901+AO901+AQ901+AS901+AU901</f>
        <v>10500</v>
      </c>
      <c r="X901" s="159">
        <f t="shared" ref="X901:X931" si="293">W901*Q901</f>
        <v>2058000</v>
      </c>
      <c r="Y901" s="160"/>
      <c r="Z901" s="160">
        <f t="shared" ref="Z901:Z931" si="294">Y901*Q901</f>
        <v>0</v>
      </c>
      <c r="AA901" s="165">
        <v>10300</v>
      </c>
      <c r="AB901" s="161">
        <f t="shared" ref="AB901:AB931" si="295">AA901*Q901</f>
        <v>2018800</v>
      </c>
      <c r="AC901" s="162"/>
      <c r="AD901" s="162">
        <f t="shared" si="287"/>
        <v>0</v>
      </c>
      <c r="AE901" s="164"/>
      <c r="AF901" s="164">
        <f t="shared" si="288"/>
        <v>0</v>
      </c>
      <c r="AG901" s="165">
        <v>200</v>
      </c>
      <c r="AH901" s="165">
        <f t="shared" si="289"/>
        <v>39200</v>
      </c>
      <c r="AI901" s="166">
        <v>0</v>
      </c>
      <c r="AJ901" s="166">
        <f t="shared" si="290"/>
        <v>0</v>
      </c>
      <c r="AK901" s="162"/>
      <c r="AL901" s="162">
        <f t="shared" si="285"/>
        <v>0</v>
      </c>
      <c r="AM901" s="173"/>
      <c r="AN901" s="167">
        <f t="shared" ref="AN901:AN931" si="296">AM901*Q901</f>
        <v>0</v>
      </c>
      <c r="AO901" s="163"/>
      <c r="AP901" s="163">
        <f t="shared" ref="AP901:AP931" si="297">AO901*Q901</f>
        <v>0</v>
      </c>
      <c r="AQ901" s="168"/>
      <c r="AR901" s="168">
        <f t="shared" ref="AR901:AR931" si="298">AQ901*Q901</f>
        <v>0</v>
      </c>
      <c r="AS901" s="170"/>
      <c r="AT901" s="170">
        <f t="shared" ref="AT901:AT931" si="299">AS901*Q901</f>
        <v>0</v>
      </c>
      <c r="AU901" s="166"/>
      <c r="AV901" s="166">
        <f t="shared" ref="AV901:AV931" si="300">AU901*Q901</f>
        <v>0</v>
      </c>
    </row>
    <row r="902" spans="1:48" ht="31.5">
      <c r="A902" s="172" t="s">
        <v>7771</v>
      </c>
      <c r="B902" s="149" t="s">
        <v>6938</v>
      </c>
      <c r="C902" s="149" t="s">
        <v>6939</v>
      </c>
      <c r="D902" s="240" t="s">
        <v>7772</v>
      </c>
      <c r="E902" s="590"/>
      <c r="F902" s="203" t="s">
        <v>7773</v>
      </c>
      <c r="G902" s="204" t="s">
        <v>238</v>
      </c>
      <c r="H902" s="204">
        <v>3</v>
      </c>
      <c r="I902" s="203" t="s">
        <v>7774</v>
      </c>
      <c r="J902" s="205" t="s">
        <v>6099</v>
      </c>
      <c r="K902" s="203" t="s">
        <v>253</v>
      </c>
      <c r="L902" s="205" t="s">
        <v>7775</v>
      </c>
      <c r="M902" s="205" t="s">
        <v>621</v>
      </c>
      <c r="N902" s="204" t="s">
        <v>213</v>
      </c>
      <c r="O902" s="204" t="s">
        <v>11</v>
      </c>
      <c r="P902" s="206">
        <v>3900</v>
      </c>
      <c r="Q902" s="206">
        <v>1365</v>
      </c>
      <c r="R902" s="207">
        <v>20000</v>
      </c>
      <c r="S902" s="207">
        <f t="shared" si="291"/>
        <v>27300000</v>
      </c>
      <c r="T902" s="589"/>
      <c r="U902" s="157">
        <v>20000</v>
      </c>
      <c r="V902" s="158">
        <f t="shared" si="286"/>
        <v>20000</v>
      </c>
      <c r="W902" s="159">
        <f t="shared" si="292"/>
        <v>0</v>
      </c>
      <c r="X902" s="159">
        <f t="shared" si="293"/>
        <v>0</v>
      </c>
      <c r="Y902" s="160"/>
      <c r="Z902" s="160">
        <f t="shared" si="294"/>
        <v>0</v>
      </c>
      <c r="AA902" s="165"/>
      <c r="AB902" s="161">
        <f t="shared" si="295"/>
        <v>0</v>
      </c>
      <c r="AC902" s="162"/>
      <c r="AD902" s="162">
        <f t="shared" si="287"/>
        <v>0</v>
      </c>
      <c r="AE902" s="164"/>
      <c r="AF902" s="164">
        <f t="shared" si="288"/>
        <v>0</v>
      </c>
      <c r="AG902" s="165"/>
      <c r="AH902" s="165">
        <f t="shared" si="289"/>
        <v>0</v>
      </c>
      <c r="AI902" s="166">
        <v>0</v>
      </c>
      <c r="AJ902" s="166">
        <f t="shared" si="290"/>
        <v>0</v>
      </c>
      <c r="AK902" s="162"/>
      <c r="AL902" s="162">
        <f t="shared" si="285"/>
        <v>0</v>
      </c>
      <c r="AM902" s="173"/>
      <c r="AN902" s="167">
        <f t="shared" si="296"/>
        <v>0</v>
      </c>
      <c r="AO902" s="163"/>
      <c r="AP902" s="163">
        <f t="shared" si="297"/>
        <v>0</v>
      </c>
      <c r="AQ902" s="168"/>
      <c r="AR902" s="168">
        <f t="shared" si="298"/>
        <v>0</v>
      </c>
      <c r="AS902" s="170"/>
      <c r="AT902" s="170">
        <f t="shared" si="299"/>
        <v>0</v>
      </c>
      <c r="AU902" s="166"/>
      <c r="AV902" s="166">
        <f t="shared" si="300"/>
        <v>0</v>
      </c>
    </row>
    <row r="903" spans="1:48" ht="31.5">
      <c r="A903" s="148" t="s">
        <v>7859</v>
      </c>
      <c r="B903" s="149" t="s">
        <v>6938</v>
      </c>
      <c r="C903" s="149" t="s">
        <v>6939</v>
      </c>
      <c r="D903" s="240" t="s">
        <v>7860</v>
      </c>
      <c r="E903" s="590" t="s">
        <v>12642</v>
      </c>
      <c r="F903" s="203" t="s">
        <v>747</v>
      </c>
      <c r="G903" s="204" t="s">
        <v>7060</v>
      </c>
      <c r="H903" s="204">
        <v>3</v>
      </c>
      <c r="I903" s="203" t="s">
        <v>7861</v>
      </c>
      <c r="J903" s="205" t="s">
        <v>7862</v>
      </c>
      <c r="K903" s="203" t="s">
        <v>5104</v>
      </c>
      <c r="L903" s="205" t="s">
        <v>7863</v>
      </c>
      <c r="M903" s="205" t="s">
        <v>621</v>
      </c>
      <c r="N903" s="204" t="s">
        <v>213</v>
      </c>
      <c r="O903" s="204" t="s">
        <v>15</v>
      </c>
      <c r="P903" s="206">
        <v>26000</v>
      </c>
      <c r="Q903" s="206">
        <v>9345</v>
      </c>
      <c r="R903" s="207">
        <v>2000</v>
      </c>
      <c r="S903" s="207">
        <f t="shared" si="291"/>
        <v>18690000</v>
      </c>
      <c r="T903" s="589"/>
      <c r="U903" s="157">
        <v>2000</v>
      </c>
      <c r="V903" s="158">
        <f t="shared" si="286"/>
        <v>1904</v>
      </c>
      <c r="W903" s="159">
        <f t="shared" si="292"/>
        <v>96</v>
      </c>
      <c r="X903" s="159">
        <f t="shared" si="293"/>
        <v>897120</v>
      </c>
      <c r="Y903" s="160"/>
      <c r="Z903" s="160">
        <f t="shared" si="294"/>
        <v>0</v>
      </c>
      <c r="AA903" s="165"/>
      <c r="AB903" s="161">
        <f t="shared" si="295"/>
        <v>0</v>
      </c>
      <c r="AC903" s="162"/>
      <c r="AD903" s="162">
        <f t="shared" si="287"/>
        <v>0</v>
      </c>
      <c r="AE903" s="164"/>
      <c r="AF903" s="164">
        <f t="shared" si="288"/>
        <v>0</v>
      </c>
      <c r="AG903" s="165"/>
      <c r="AH903" s="165">
        <f t="shared" si="289"/>
        <v>0</v>
      </c>
      <c r="AI903" s="166">
        <v>0</v>
      </c>
      <c r="AJ903" s="166">
        <f t="shared" si="290"/>
        <v>0</v>
      </c>
      <c r="AK903" s="162"/>
      <c r="AL903" s="162">
        <f t="shared" si="285"/>
        <v>0</v>
      </c>
      <c r="AM903" s="173"/>
      <c r="AN903" s="167">
        <f t="shared" si="296"/>
        <v>0</v>
      </c>
      <c r="AO903" s="163"/>
      <c r="AP903" s="163">
        <f t="shared" si="297"/>
        <v>0</v>
      </c>
      <c r="AQ903" s="168"/>
      <c r="AR903" s="168">
        <f t="shared" si="298"/>
        <v>0</v>
      </c>
      <c r="AS903" s="170">
        <v>96</v>
      </c>
      <c r="AT903" s="170">
        <f t="shared" si="299"/>
        <v>897120</v>
      </c>
      <c r="AU903" s="166"/>
      <c r="AV903" s="166">
        <f t="shared" si="300"/>
        <v>0</v>
      </c>
    </row>
    <row r="904" spans="1:48" ht="31.5">
      <c r="A904" s="148" t="s">
        <v>7947</v>
      </c>
      <c r="B904" s="149" t="s">
        <v>6938</v>
      </c>
      <c r="C904" s="149" t="s">
        <v>6939</v>
      </c>
      <c r="D904" s="240" t="s">
        <v>7948</v>
      </c>
      <c r="E904" s="590" t="s">
        <v>12642</v>
      </c>
      <c r="F904" s="203" t="s">
        <v>638</v>
      </c>
      <c r="G904" s="204" t="s">
        <v>429</v>
      </c>
      <c r="H904" s="204">
        <v>3</v>
      </c>
      <c r="I904" s="203" t="s">
        <v>7949</v>
      </c>
      <c r="J904" s="205" t="s">
        <v>7950</v>
      </c>
      <c r="K904" s="203" t="s">
        <v>253</v>
      </c>
      <c r="L904" s="205" t="s">
        <v>7951</v>
      </c>
      <c r="M904" s="205" t="s">
        <v>621</v>
      </c>
      <c r="N904" s="204" t="s">
        <v>213</v>
      </c>
      <c r="O904" s="204" t="s">
        <v>13</v>
      </c>
      <c r="P904" s="206">
        <v>4500</v>
      </c>
      <c r="Q904" s="206">
        <v>1176</v>
      </c>
      <c r="R904" s="207">
        <v>30000</v>
      </c>
      <c r="S904" s="207">
        <f t="shared" si="291"/>
        <v>35280000</v>
      </c>
      <c r="T904" s="589"/>
      <c r="U904" s="157">
        <v>30000</v>
      </c>
      <c r="V904" s="158">
        <f t="shared" si="286"/>
        <v>30000</v>
      </c>
      <c r="W904" s="159">
        <f t="shared" si="292"/>
        <v>0</v>
      </c>
      <c r="X904" s="159">
        <f t="shared" si="293"/>
        <v>0</v>
      </c>
      <c r="Y904" s="160"/>
      <c r="Z904" s="160">
        <f t="shared" si="294"/>
        <v>0</v>
      </c>
      <c r="AA904" s="165"/>
      <c r="AB904" s="161">
        <f t="shared" si="295"/>
        <v>0</v>
      </c>
      <c r="AC904" s="162"/>
      <c r="AD904" s="162">
        <f t="shared" si="287"/>
        <v>0</v>
      </c>
      <c r="AE904" s="164"/>
      <c r="AF904" s="164">
        <f t="shared" si="288"/>
        <v>0</v>
      </c>
      <c r="AG904" s="165"/>
      <c r="AH904" s="165">
        <f t="shared" si="289"/>
        <v>0</v>
      </c>
      <c r="AI904" s="166">
        <v>0</v>
      </c>
      <c r="AJ904" s="166">
        <f t="shared" si="290"/>
        <v>0</v>
      </c>
      <c r="AK904" s="162"/>
      <c r="AL904" s="162">
        <f t="shared" si="285"/>
        <v>0</v>
      </c>
      <c r="AM904" s="173"/>
      <c r="AN904" s="167">
        <f t="shared" si="296"/>
        <v>0</v>
      </c>
      <c r="AO904" s="163"/>
      <c r="AP904" s="163">
        <f t="shared" si="297"/>
        <v>0</v>
      </c>
      <c r="AQ904" s="168"/>
      <c r="AR904" s="168">
        <f t="shared" si="298"/>
        <v>0</v>
      </c>
      <c r="AS904" s="170"/>
      <c r="AT904" s="170">
        <f t="shared" si="299"/>
        <v>0</v>
      </c>
      <c r="AU904" s="166"/>
      <c r="AV904" s="166">
        <f t="shared" si="300"/>
        <v>0</v>
      </c>
    </row>
    <row r="905" spans="1:48" ht="31.5">
      <c r="A905" s="148" t="s">
        <v>7957</v>
      </c>
      <c r="B905" s="149" t="s">
        <v>6938</v>
      </c>
      <c r="C905" s="149" t="s">
        <v>6939</v>
      </c>
      <c r="D905" s="240" t="s">
        <v>3715</v>
      </c>
      <c r="E905" s="590" t="s">
        <v>12642</v>
      </c>
      <c r="F905" s="203" t="s">
        <v>1333</v>
      </c>
      <c r="G905" s="204" t="s">
        <v>3716</v>
      </c>
      <c r="H905" s="204">
        <v>3</v>
      </c>
      <c r="I905" s="203" t="s">
        <v>630</v>
      </c>
      <c r="J905" s="205" t="s">
        <v>7958</v>
      </c>
      <c r="K905" s="203" t="s">
        <v>6941</v>
      </c>
      <c r="L905" s="205" t="s">
        <v>633</v>
      </c>
      <c r="M905" s="205" t="s">
        <v>621</v>
      </c>
      <c r="N905" s="204" t="s">
        <v>213</v>
      </c>
      <c r="O905" s="204" t="s">
        <v>15</v>
      </c>
      <c r="P905" s="206">
        <v>14000</v>
      </c>
      <c r="Q905" s="206">
        <v>6132</v>
      </c>
      <c r="R905" s="207">
        <v>5000</v>
      </c>
      <c r="S905" s="207">
        <f t="shared" si="291"/>
        <v>30660000</v>
      </c>
      <c r="T905" s="589"/>
      <c r="U905" s="157">
        <v>5000</v>
      </c>
      <c r="V905" s="158">
        <f t="shared" si="286"/>
        <v>4900</v>
      </c>
      <c r="W905" s="159">
        <f t="shared" si="292"/>
        <v>100</v>
      </c>
      <c r="X905" s="159">
        <f t="shared" si="293"/>
        <v>613200</v>
      </c>
      <c r="Y905" s="160"/>
      <c r="Z905" s="160">
        <f t="shared" si="294"/>
        <v>0</v>
      </c>
      <c r="AA905" s="165">
        <v>30</v>
      </c>
      <c r="AB905" s="161">
        <f t="shared" si="295"/>
        <v>183960</v>
      </c>
      <c r="AC905" s="162"/>
      <c r="AD905" s="162">
        <f t="shared" si="287"/>
        <v>0</v>
      </c>
      <c r="AE905" s="163"/>
      <c r="AF905" s="164">
        <f t="shared" si="288"/>
        <v>0</v>
      </c>
      <c r="AG905" s="161"/>
      <c r="AH905" s="165">
        <f t="shared" si="289"/>
        <v>0</v>
      </c>
      <c r="AI905" s="160">
        <v>0</v>
      </c>
      <c r="AJ905" s="166">
        <f t="shared" si="290"/>
        <v>0</v>
      </c>
      <c r="AK905" s="162"/>
      <c r="AL905" s="162">
        <f t="shared" si="285"/>
        <v>0</v>
      </c>
      <c r="AM905" s="173">
        <v>30</v>
      </c>
      <c r="AN905" s="167">
        <f t="shared" si="296"/>
        <v>183960</v>
      </c>
      <c r="AO905" s="163"/>
      <c r="AP905" s="163">
        <f t="shared" si="297"/>
        <v>0</v>
      </c>
      <c r="AQ905" s="162"/>
      <c r="AR905" s="168">
        <f t="shared" si="298"/>
        <v>0</v>
      </c>
      <c r="AS905" s="169">
        <v>40</v>
      </c>
      <c r="AT905" s="170">
        <f t="shared" si="299"/>
        <v>245280</v>
      </c>
      <c r="AU905" s="160"/>
      <c r="AV905" s="166">
        <f t="shared" si="300"/>
        <v>0</v>
      </c>
    </row>
    <row r="906" spans="1:48" ht="31.5">
      <c r="A906" s="148" t="s">
        <v>8024</v>
      </c>
      <c r="B906" s="149" t="s">
        <v>6938</v>
      </c>
      <c r="C906" s="149" t="s">
        <v>6939</v>
      </c>
      <c r="D906" s="240" t="s">
        <v>4978</v>
      </c>
      <c r="E906" s="590" t="s">
        <v>12642</v>
      </c>
      <c r="F906" s="203" t="s">
        <v>3513</v>
      </c>
      <c r="G906" s="204" t="s">
        <v>4980</v>
      </c>
      <c r="H906" s="204">
        <v>3</v>
      </c>
      <c r="I906" s="203" t="s">
        <v>4979</v>
      </c>
      <c r="J906" s="205" t="s">
        <v>6940</v>
      </c>
      <c r="K906" s="203" t="s">
        <v>6941</v>
      </c>
      <c r="L906" s="205" t="s">
        <v>8025</v>
      </c>
      <c r="M906" s="205" t="s">
        <v>621</v>
      </c>
      <c r="N906" s="204" t="s">
        <v>213</v>
      </c>
      <c r="O906" s="204" t="s">
        <v>15</v>
      </c>
      <c r="P906" s="206">
        <v>32000</v>
      </c>
      <c r="Q906" s="206">
        <v>16590</v>
      </c>
      <c r="R906" s="207">
        <v>2000</v>
      </c>
      <c r="S906" s="207">
        <f t="shared" si="291"/>
        <v>33180000</v>
      </c>
      <c r="T906" s="589"/>
      <c r="U906" s="157">
        <v>2000</v>
      </c>
      <c r="V906" s="158">
        <f t="shared" si="286"/>
        <v>1698</v>
      </c>
      <c r="W906" s="159">
        <f t="shared" si="292"/>
        <v>302</v>
      </c>
      <c r="X906" s="159">
        <f t="shared" si="293"/>
        <v>5010180</v>
      </c>
      <c r="Y906" s="160"/>
      <c r="Z906" s="160">
        <f t="shared" si="294"/>
        <v>0</v>
      </c>
      <c r="AA906" s="165">
        <v>82</v>
      </c>
      <c r="AB906" s="161">
        <f t="shared" si="295"/>
        <v>1360380</v>
      </c>
      <c r="AC906" s="162"/>
      <c r="AD906" s="162">
        <f t="shared" si="287"/>
        <v>0</v>
      </c>
      <c r="AE906" s="164"/>
      <c r="AF906" s="164">
        <f t="shared" si="288"/>
        <v>0</v>
      </c>
      <c r="AG906" s="165"/>
      <c r="AH906" s="165">
        <f t="shared" si="289"/>
        <v>0</v>
      </c>
      <c r="AI906" s="166">
        <v>0</v>
      </c>
      <c r="AJ906" s="166">
        <f t="shared" si="290"/>
        <v>0</v>
      </c>
      <c r="AK906" s="162"/>
      <c r="AL906" s="162">
        <f t="shared" si="285"/>
        <v>0</v>
      </c>
      <c r="AM906" s="173"/>
      <c r="AN906" s="167">
        <f t="shared" si="296"/>
        <v>0</v>
      </c>
      <c r="AO906" s="163"/>
      <c r="AP906" s="163">
        <f t="shared" si="297"/>
        <v>0</v>
      </c>
      <c r="AQ906" s="168"/>
      <c r="AR906" s="168">
        <f t="shared" si="298"/>
        <v>0</v>
      </c>
      <c r="AS906" s="170">
        <v>220</v>
      </c>
      <c r="AT906" s="170">
        <f t="shared" si="299"/>
        <v>3649800</v>
      </c>
      <c r="AU906" s="166"/>
      <c r="AV906" s="166">
        <f t="shared" si="300"/>
        <v>0</v>
      </c>
    </row>
    <row r="907" spans="1:48" s="115" customFormat="1" ht="31.5">
      <c r="A907" s="172" t="s">
        <v>8250</v>
      </c>
      <c r="B907" s="149" t="s">
        <v>6938</v>
      </c>
      <c r="C907" s="149" t="s">
        <v>6939</v>
      </c>
      <c r="D907" s="240" t="s">
        <v>3794</v>
      </c>
      <c r="E907" s="590"/>
      <c r="F907" s="203" t="s">
        <v>2449</v>
      </c>
      <c r="G907" s="204" t="s">
        <v>238</v>
      </c>
      <c r="H907" s="204">
        <v>3</v>
      </c>
      <c r="I907" s="203" t="s">
        <v>3795</v>
      </c>
      <c r="J907" s="205" t="s">
        <v>6644</v>
      </c>
      <c r="K907" s="203" t="s">
        <v>253</v>
      </c>
      <c r="L907" s="205" t="s">
        <v>8251</v>
      </c>
      <c r="M907" s="205" t="s">
        <v>621</v>
      </c>
      <c r="N907" s="204" t="s">
        <v>213</v>
      </c>
      <c r="O907" s="204" t="s">
        <v>11</v>
      </c>
      <c r="P907" s="206">
        <v>2800</v>
      </c>
      <c r="Q907" s="206">
        <v>490</v>
      </c>
      <c r="R907" s="207">
        <v>5000</v>
      </c>
      <c r="S907" s="207">
        <f t="shared" si="291"/>
        <v>2450000</v>
      </c>
      <c r="T907" s="589"/>
      <c r="U907" s="157">
        <v>5000</v>
      </c>
      <c r="V907" s="158">
        <f t="shared" si="286"/>
        <v>20</v>
      </c>
      <c r="W907" s="159">
        <f t="shared" si="292"/>
        <v>4980</v>
      </c>
      <c r="X907" s="159">
        <f t="shared" si="293"/>
        <v>2440200</v>
      </c>
      <c r="Y907" s="160"/>
      <c r="Z907" s="160">
        <f t="shared" si="294"/>
        <v>0</v>
      </c>
      <c r="AA907" s="165"/>
      <c r="AB907" s="161">
        <f t="shared" si="295"/>
        <v>0</v>
      </c>
      <c r="AC907" s="162"/>
      <c r="AD907" s="162">
        <f t="shared" si="287"/>
        <v>0</v>
      </c>
      <c r="AE907" s="163"/>
      <c r="AF907" s="164">
        <f t="shared" si="288"/>
        <v>0</v>
      </c>
      <c r="AG907" s="161"/>
      <c r="AH907" s="165">
        <f t="shared" si="289"/>
        <v>0</v>
      </c>
      <c r="AI907" s="160">
        <v>0</v>
      </c>
      <c r="AJ907" s="166">
        <f t="shared" si="290"/>
        <v>0</v>
      </c>
      <c r="AK907" s="162"/>
      <c r="AL907" s="162">
        <f t="shared" ref="AL907:AL931" si="301">AK907*Q907</f>
        <v>0</v>
      </c>
      <c r="AM907" s="173">
        <f>3540+1440</f>
        <v>4980</v>
      </c>
      <c r="AN907" s="167">
        <f t="shared" si="296"/>
        <v>2440200</v>
      </c>
      <c r="AO907" s="163"/>
      <c r="AP907" s="163">
        <f t="shared" si="297"/>
        <v>0</v>
      </c>
      <c r="AQ907" s="162"/>
      <c r="AR907" s="168">
        <f t="shared" si="298"/>
        <v>0</v>
      </c>
      <c r="AS907" s="169"/>
      <c r="AT907" s="170">
        <f t="shared" si="299"/>
        <v>0</v>
      </c>
      <c r="AU907" s="160"/>
      <c r="AV907" s="166">
        <f t="shared" si="300"/>
        <v>0</v>
      </c>
    </row>
    <row r="908" spans="1:48" ht="31.5">
      <c r="A908" s="148" t="s">
        <v>8461</v>
      </c>
      <c r="B908" s="149" t="s">
        <v>6938</v>
      </c>
      <c r="C908" s="149" t="s">
        <v>6939</v>
      </c>
      <c r="D908" s="240" t="s">
        <v>8462</v>
      </c>
      <c r="E908" s="590" t="s">
        <v>12642</v>
      </c>
      <c r="F908" s="203" t="s">
        <v>1333</v>
      </c>
      <c r="G908" s="204" t="s">
        <v>3716</v>
      </c>
      <c r="H908" s="204">
        <v>5</v>
      </c>
      <c r="I908" s="203" t="s">
        <v>630</v>
      </c>
      <c r="J908" s="205" t="s">
        <v>7958</v>
      </c>
      <c r="K908" s="203" t="s">
        <v>6941</v>
      </c>
      <c r="L908" s="205" t="s">
        <v>633</v>
      </c>
      <c r="M908" s="205" t="s">
        <v>621</v>
      </c>
      <c r="N908" s="204" t="s">
        <v>213</v>
      </c>
      <c r="O908" s="204" t="s">
        <v>5639</v>
      </c>
      <c r="P908" s="206">
        <v>14000</v>
      </c>
      <c r="Q908" s="206">
        <v>6132</v>
      </c>
      <c r="R908" s="207">
        <v>5000</v>
      </c>
      <c r="S908" s="207">
        <f t="shared" si="291"/>
        <v>30660000</v>
      </c>
      <c r="T908" s="589"/>
      <c r="U908" s="157">
        <v>5000</v>
      </c>
      <c r="V908" s="158">
        <f t="shared" si="286"/>
        <v>5000</v>
      </c>
      <c r="W908" s="159">
        <f t="shared" si="292"/>
        <v>0</v>
      </c>
      <c r="X908" s="159">
        <f t="shared" si="293"/>
        <v>0</v>
      </c>
      <c r="Y908" s="160"/>
      <c r="Z908" s="160">
        <f t="shared" si="294"/>
        <v>0</v>
      </c>
      <c r="AA908" s="165"/>
      <c r="AB908" s="161">
        <f t="shared" si="295"/>
        <v>0</v>
      </c>
      <c r="AC908" s="162"/>
      <c r="AD908" s="162">
        <f t="shared" si="287"/>
        <v>0</v>
      </c>
      <c r="AE908" s="163"/>
      <c r="AF908" s="164">
        <f t="shared" si="288"/>
        <v>0</v>
      </c>
      <c r="AG908" s="161"/>
      <c r="AH908" s="165">
        <f t="shared" si="289"/>
        <v>0</v>
      </c>
      <c r="AI908" s="160">
        <v>0</v>
      </c>
      <c r="AJ908" s="166">
        <f t="shared" si="290"/>
        <v>0</v>
      </c>
      <c r="AK908" s="162"/>
      <c r="AL908" s="162">
        <f t="shared" si="301"/>
        <v>0</v>
      </c>
      <c r="AM908" s="173"/>
      <c r="AN908" s="167">
        <f t="shared" si="296"/>
        <v>0</v>
      </c>
      <c r="AO908" s="163"/>
      <c r="AP908" s="163">
        <f t="shared" si="297"/>
        <v>0</v>
      </c>
      <c r="AQ908" s="162"/>
      <c r="AR908" s="168">
        <f t="shared" si="298"/>
        <v>0</v>
      </c>
      <c r="AS908" s="169"/>
      <c r="AT908" s="170">
        <f t="shared" si="299"/>
        <v>0</v>
      </c>
      <c r="AU908" s="160"/>
      <c r="AV908" s="166">
        <f t="shared" si="300"/>
        <v>0</v>
      </c>
    </row>
    <row r="909" spans="1:48" ht="31.5">
      <c r="A909" s="172" t="s">
        <v>8470</v>
      </c>
      <c r="B909" s="149" t="s">
        <v>6938</v>
      </c>
      <c r="C909" s="149" t="s">
        <v>6939</v>
      </c>
      <c r="D909" s="240" t="s">
        <v>8471</v>
      </c>
      <c r="E909" s="590" t="s">
        <v>12642</v>
      </c>
      <c r="F909" s="203" t="s">
        <v>3513</v>
      </c>
      <c r="G909" s="204" t="s">
        <v>4980</v>
      </c>
      <c r="H909" s="204">
        <v>5</v>
      </c>
      <c r="I909" s="203" t="s">
        <v>4979</v>
      </c>
      <c r="J909" s="205" t="s">
        <v>6940</v>
      </c>
      <c r="K909" s="203" t="s">
        <v>6941</v>
      </c>
      <c r="L909" s="205" t="s">
        <v>8025</v>
      </c>
      <c r="M909" s="205" t="s">
        <v>621</v>
      </c>
      <c r="N909" s="204" t="s">
        <v>213</v>
      </c>
      <c r="O909" s="204" t="s">
        <v>5639</v>
      </c>
      <c r="P909" s="206">
        <v>32000</v>
      </c>
      <c r="Q909" s="206">
        <v>16590</v>
      </c>
      <c r="R909" s="207">
        <v>3000</v>
      </c>
      <c r="S909" s="207">
        <f t="shared" si="291"/>
        <v>49770000</v>
      </c>
      <c r="T909" s="589"/>
      <c r="U909" s="157">
        <v>3000</v>
      </c>
      <c r="V909" s="158">
        <f t="shared" si="286"/>
        <v>2760</v>
      </c>
      <c r="W909" s="159">
        <f t="shared" si="292"/>
        <v>240</v>
      </c>
      <c r="X909" s="159">
        <f t="shared" si="293"/>
        <v>3981600</v>
      </c>
      <c r="Y909" s="160"/>
      <c r="Z909" s="160">
        <f t="shared" si="294"/>
        <v>0</v>
      </c>
      <c r="AA909" s="165"/>
      <c r="AB909" s="161">
        <f t="shared" si="295"/>
        <v>0</v>
      </c>
      <c r="AC909" s="162"/>
      <c r="AD909" s="162">
        <f t="shared" si="287"/>
        <v>0</v>
      </c>
      <c r="AE909" s="164"/>
      <c r="AF909" s="164">
        <f t="shared" si="288"/>
        <v>0</v>
      </c>
      <c r="AG909" s="165">
        <v>240</v>
      </c>
      <c r="AH909" s="165">
        <f t="shared" si="289"/>
        <v>3981600</v>
      </c>
      <c r="AI909" s="166">
        <v>0</v>
      </c>
      <c r="AJ909" s="166">
        <f t="shared" si="290"/>
        <v>0</v>
      </c>
      <c r="AK909" s="162"/>
      <c r="AL909" s="162">
        <f t="shared" si="301"/>
        <v>0</v>
      </c>
      <c r="AM909" s="173"/>
      <c r="AN909" s="167">
        <f t="shared" si="296"/>
        <v>0</v>
      </c>
      <c r="AO909" s="163"/>
      <c r="AP909" s="163">
        <f t="shared" si="297"/>
        <v>0</v>
      </c>
      <c r="AQ909" s="168"/>
      <c r="AR909" s="168">
        <f t="shared" si="298"/>
        <v>0</v>
      </c>
      <c r="AS909" s="170"/>
      <c r="AT909" s="170">
        <f t="shared" si="299"/>
        <v>0</v>
      </c>
      <c r="AU909" s="166"/>
      <c r="AV909" s="166">
        <f t="shared" si="300"/>
        <v>0</v>
      </c>
    </row>
    <row r="910" spans="1:48" s="115" customFormat="1" ht="31.5">
      <c r="A910" s="148" t="s">
        <v>8487</v>
      </c>
      <c r="B910" s="149" t="s">
        <v>6938</v>
      </c>
      <c r="C910" s="149" t="s">
        <v>6939</v>
      </c>
      <c r="D910" s="240" t="s">
        <v>8488</v>
      </c>
      <c r="E910" s="590"/>
      <c r="F910" s="203" t="s">
        <v>6453</v>
      </c>
      <c r="G910" s="204" t="s">
        <v>238</v>
      </c>
      <c r="H910" s="204">
        <v>5</v>
      </c>
      <c r="I910" s="203" t="s">
        <v>8489</v>
      </c>
      <c r="J910" s="205" t="s">
        <v>8490</v>
      </c>
      <c r="K910" s="203" t="s">
        <v>253</v>
      </c>
      <c r="L910" s="205" t="s">
        <v>8491</v>
      </c>
      <c r="M910" s="205" t="s">
        <v>621</v>
      </c>
      <c r="N910" s="204" t="s">
        <v>213</v>
      </c>
      <c r="O910" s="204" t="s">
        <v>11</v>
      </c>
      <c r="P910" s="206">
        <v>4600</v>
      </c>
      <c r="Q910" s="206">
        <v>1029</v>
      </c>
      <c r="R910" s="207">
        <v>10000</v>
      </c>
      <c r="S910" s="207">
        <f t="shared" si="291"/>
        <v>10290000</v>
      </c>
      <c r="T910" s="589"/>
      <c r="U910" s="157">
        <v>10000</v>
      </c>
      <c r="V910" s="158">
        <f t="shared" si="286"/>
        <v>10000</v>
      </c>
      <c r="W910" s="159">
        <f t="shared" si="292"/>
        <v>0</v>
      </c>
      <c r="X910" s="159">
        <f t="shared" si="293"/>
        <v>0</v>
      </c>
      <c r="Y910" s="160"/>
      <c r="Z910" s="160">
        <f t="shared" si="294"/>
        <v>0</v>
      </c>
      <c r="AA910" s="165"/>
      <c r="AB910" s="161">
        <f t="shared" si="295"/>
        <v>0</v>
      </c>
      <c r="AC910" s="162"/>
      <c r="AD910" s="162">
        <f t="shared" si="287"/>
        <v>0</v>
      </c>
      <c r="AE910" s="163"/>
      <c r="AF910" s="164">
        <f t="shared" si="288"/>
        <v>0</v>
      </c>
      <c r="AG910" s="161"/>
      <c r="AH910" s="165">
        <f t="shared" si="289"/>
        <v>0</v>
      </c>
      <c r="AI910" s="160">
        <v>0</v>
      </c>
      <c r="AJ910" s="166">
        <f t="shared" si="290"/>
        <v>0</v>
      </c>
      <c r="AK910" s="162"/>
      <c r="AL910" s="162">
        <f t="shared" si="301"/>
        <v>0</v>
      </c>
      <c r="AM910" s="173"/>
      <c r="AN910" s="167">
        <f t="shared" si="296"/>
        <v>0</v>
      </c>
      <c r="AO910" s="163"/>
      <c r="AP910" s="163">
        <f t="shared" si="297"/>
        <v>0</v>
      </c>
      <c r="AQ910" s="162"/>
      <c r="AR910" s="168">
        <f t="shared" si="298"/>
        <v>0</v>
      </c>
      <c r="AS910" s="169"/>
      <c r="AT910" s="170">
        <f t="shared" si="299"/>
        <v>0</v>
      </c>
      <c r="AU910" s="160"/>
      <c r="AV910" s="166">
        <f t="shared" si="300"/>
        <v>0</v>
      </c>
    </row>
    <row r="911" spans="1:48" s="115" customFormat="1" ht="31.5">
      <c r="A911" s="148" t="s">
        <v>7328</v>
      </c>
      <c r="B911" s="149" t="s">
        <v>7329</v>
      </c>
      <c r="C911" s="149" t="s">
        <v>1136</v>
      </c>
      <c r="D911" s="240" t="s">
        <v>4539</v>
      </c>
      <c r="E911" s="590" t="s">
        <v>12642</v>
      </c>
      <c r="F911" s="203" t="s">
        <v>4540</v>
      </c>
      <c r="G911" s="204" t="s">
        <v>4541</v>
      </c>
      <c r="H911" s="204">
        <v>3</v>
      </c>
      <c r="I911" s="203" t="s">
        <v>3229</v>
      </c>
      <c r="J911" s="205" t="s">
        <v>7330</v>
      </c>
      <c r="K911" s="203" t="s">
        <v>6049</v>
      </c>
      <c r="L911" s="205" t="s">
        <v>7331</v>
      </c>
      <c r="M911" s="205" t="s">
        <v>7332</v>
      </c>
      <c r="N911" s="204" t="s">
        <v>213</v>
      </c>
      <c r="O911" s="204" t="s">
        <v>15</v>
      </c>
      <c r="P911" s="206">
        <v>3150</v>
      </c>
      <c r="Q911" s="206">
        <v>2982</v>
      </c>
      <c r="R911" s="207">
        <v>2000</v>
      </c>
      <c r="S911" s="207">
        <f t="shared" si="291"/>
        <v>5964000</v>
      </c>
      <c r="T911" s="589"/>
      <c r="U911" s="157">
        <v>2000</v>
      </c>
      <c r="V911" s="158">
        <f t="shared" si="286"/>
        <v>1900</v>
      </c>
      <c r="W911" s="159">
        <f t="shared" si="292"/>
        <v>100</v>
      </c>
      <c r="X911" s="159">
        <f t="shared" si="293"/>
        <v>298200</v>
      </c>
      <c r="Y911" s="160"/>
      <c r="Z911" s="160">
        <f t="shared" si="294"/>
        <v>0</v>
      </c>
      <c r="AA911" s="165"/>
      <c r="AB911" s="161">
        <f t="shared" si="295"/>
        <v>0</v>
      </c>
      <c r="AC911" s="162"/>
      <c r="AD911" s="162">
        <f t="shared" si="287"/>
        <v>0</v>
      </c>
      <c r="AE911" s="163"/>
      <c r="AF911" s="164">
        <f t="shared" si="288"/>
        <v>0</v>
      </c>
      <c r="AG911" s="161"/>
      <c r="AH911" s="165">
        <f t="shared" si="289"/>
        <v>0</v>
      </c>
      <c r="AI911" s="160">
        <v>100</v>
      </c>
      <c r="AJ911" s="166">
        <f t="shared" si="290"/>
        <v>298200</v>
      </c>
      <c r="AK911" s="162"/>
      <c r="AL911" s="162">
        <f t="shared" si="301"/>
        <v>0</v>
      </c>
      <c r="AM911" s="173"/>
      <c r="AN911" s="167">
        <f t="shared" si="296"/>
        <v>0</v>
      </c>
      <c r="AO911" s="163"/>
      <c r="AP911" s="163">
        <f t="shared" si="297"/>
        <v>0</v>
      </c>
      <c r="AQ911" s="162"/>
      <c r="AR911" s="168">
        <f t="shared" si="298"/>
        <v>0</v>
      </c>
      <c r="AS911" s="169"/>
      <c r="AT911" s="170">
        <f t="shared" si="299"/>
        <v>0</v>
      </c>
      <c r="AU911" s="160"/>
      <c r="AV911" s="166">
        <f t="shared" si="300"/>
        <v>0</v>
      </c>
    </row>
    <row r="912" spans="1:48" s="115" customFormat="1" ht="31.5">
      <c r="A912" s="172" t="s">
        <v>7864</v>
      </c>
      <c r="B912" s="149" t="s">
        <v>7329</v>
      </c>
      <c r="C912" s="149" t="s">
        <v>1136</v>
      </c>
      <c r="D912" s="240" t="s">
        <v>4375</v>
      </c>
      <c r="E912" s="590" t="s">
        <v>12642</v>
      </c>
      <c r="F912" s="203" t="s">
        <v>4374</v>
      </c>
      <c r="G912" s="204" t="s">
        <v>248</v>
      </c>
      <c r="H912" s="204">
        <v>3</v>
      </c>
      <c r="I912" s="203" t="s">
        <v>4376</v>
      </c>
      <c r="J912" s="205" t="s">
        <v>7865</v>
      </c>
      <c r="K912" s="203" t="s">
        <v>5104</v>
      </c>
      <c r="L912" s="205" t="s">
        <v>7866</v>
      </c>
      <c r="M912" s="205" t="s">
        <v>7332</v>
      </c>
      <c r="N912" s="204" t="s">
        <v>213</v>
      </c>
      <c r="O912" s="204" t="s">
        <v>11</v>
      </c>
      <c r="P912" s="206">
        <v>252</v>
      </c>
      <c r="Q912" s="206">
        <v>149</v>
      </c>
      <c r="R912" s="207">
        <v>20000</v>
      </c>
      <c r="S912" s="207">
        <f t="shared" si="291"/>
        <v>2980000</v>
      </c>
      <c r="T912" s="589"/>
      <c r="U912" s="157">
        <v>20000</v>
      </c>
      <c r="V912" s="158">
        <f t="shared" si="286"/>
        <v>16900</v>
      </c>
      <c r="W912" s="159">
        <f t="shared" si="292"/>
        <v>3100</v>
      </c>
      <c r="X912" s="159">
        <f t="shared" si="293"/>
        <v>461900</v>
      </c>
      <c r="Y912" s="160"/>
      <c r="Z912" s="160">
        <f t="shared" si="294"/>
        <v>0</v>
      </c>
      <c r="AA912" s="165">
        <v>3100</v>
      </c>
      <c r="AB912" s="161">
        <f t="shared" si="295"/>
        <v>461900</v>
      </c>
      <c r="AC912" s="162"/>
      <c r="AD912" s="162">
        <f t="shared" si="287"/>
        <v>0</v>
      </c>
      <c r="AE912" s="164"/>
      <c r="AF912" s="164">
        <f t="shared" si="288"/>
        <v>0</v>
      </c>
      <c r="AG912" s="165"/>
      <c r="AH912" s="165">
        <f t="shared" si="289"/>
        <v>0</v>
      </c>
      <c r="AI912" s="166">
        <v>0</v>
      </c>
      <c r="AJ912" s="166">
        <f t="shared" si="290"/>
        <v>0</v>
      </c>
      <c r="AK912" s="162"/>
      <c r="AL912" s="162">
        <f t="shared" si="301"/>
        <v>0</v>
      </c>
      <c r="AM912" s="173"/>
      <c r="AN912" s="167">
        <f t="shared" si="296"/>
        <v>0</v>
      </c>
      <c r="AO912" s="163"/>
      <c r="AP912" s="163">
        <f t="shared" si="297"/>
        <v>0</v>
      </c>
      <c r="AQ912" s="168"/>
      <c r="AR912" s="168">
        <f t="shared" si="298"/>
        <v>0</v>
      </c>
      <c r="AS912" s="170"/>
      <c r="AT912" s="170">
        <f t="shared" si="299"/>
        <v>0</v>
      </c>
      <c r="AU912" s="166"/>
      <c r="AV912" s="166">
        <f t="shared" si="300"/>
        <v>0</v>
      </c>
    </row>
    <row r="913" spans="1:48" s="115" customFormat="1" ht="47.25">
      <c r="A913" s="148" t="s">
        <v>7995</v>
      </c>
      <c r="B913" s="149" t="s">
        <v>7329</v>
      </c>
      <c r="C913" s="149" t="s">
        <v>1136</v>
      </c>
      <c r="D913" s="240" t="s">
        <v>7996</v>
      </c>
      <c r="E913" s="590" t="s">
        <v>12642</v>
      </c>
      <c r="F913" s="203" t="s">
        <v>7997</v>
      </c>
      <c r="G913" s="204" t="s">
        <v>7998</v>
      </c>
      <c r="H913" s="204">
        <v>3</v>
      </c>
      <c r="I913" s="203" t="s">
        <v>7999</v>
      </c>
      <c r="J913" s="205" t="s">
        <v>8000</v>
      </c>
      <c r="K913" s="203" t="s">
        <v>6049</v>
      </c>
      <c r="L913" s="205" t="s">
        <v>8001</v>
      </c>
      <c r="M913" s="205" t="s">
        <v>7332</v>
      </c>
      <c r="N913" s="204" t="s">
        <v>213</v>
      </c>
      <c r="O913" s="204" t="s">
        <v>520</v>
      </c>
      <c r="P913" s="206">
        <v>2573</v>
      </c>
      <c r="Q913" s="206">
        <v>1864</v>
      </c>
      <c r="R913" s="207">
        <v>2000</v>
      </c>
      <c r="S913" s="207">
        <f t="shared" si="291"/>
        <v>3728000</v>
      </c>
      <c r="T913" s="589"/>
      <c r="U913" s="157">
        <v>2000</v>
      </c>
      <c r="V913" s="158">
        <f t="shared" si="286"/>
        <v>2000</v>
      </c>
      <c r="W913" s="159">
        <f t="shared" si="292"/>
        <v>0</v>
      </c>
      <c r="X913" s="159">
        <f t="shared" si="293"/>
        <v>0</v>
      </c>
      <c r="Y913" s="160"/>
      <c r="Z913" s="160">
        <f t="shared" si="294"/>
        <v>0</v>
      </c>
      <c r="AA913" s="165"/>
      <c r="AB913" s="161">
        <f t="shared" si="295"/>
        <v>0</v>
      </c>
      <c r="AC913" s="162"/>
      <c r="AD913" s="162">
        <f t="shared" si="287"/>
        <v>0</v>
      </c>
      <c r="AE913" s="164"/>
      <c r="AF913" s="164">
        <f t="shared" si="288"/>
        <v>0</v>
      </c>
      <c r="AG913" s="165"/>
      <c r="AH913" s="165">
        <f t="shared" si="289"/>
        <v>0</v>
      </c>
      <c r="AI913" s="166">
        <v>0</v>
      </c>
      <c r="AJ913" s="166">
        <f t="shared" si="290"/>
        <v>0</v>
      </c>
      <c r="AK913" s="162"/>
      <c r="AL913" s="162">
        <f t="shared" si="301"/>
        <v>0</v>
      </c>
      <c r="AM913" s="173"/>
      <c r="AN913" s="167">
        <f t="shared" si="296"/>
        <v>0</v>
      </c>
      <c r="AO913" s="163"/>
      <c r="AP913" s="163">
        <f t="shared" si="297"/>
        <v>0</v>
      </c>
      <c r="AQ913" s="168"/>
      <c r="AR913" s="168">
        <f t="shared" si="298"/>
        <v>0</v>
      </c>
      <c r="AS913" s="170"/>
      <c r="AT913" s="170">
        <f t="shared" si="299"/>
        <v>0</v>
      </c>
      <c r="AU913" s="166"/>
      <c r="AV913" s="166">
        <f t="shared" si="300"/>
        <v>0</v>
      </c>
    </row>
    <row r="914" spans="1:48" s="115" customFormat="1" ht="31.5">
      <c r="A914" s="148" t="s">
        <v>7212</v>
      </c>
      <c r="B914" s="149" t="s">
        <v>7213</v>
      </c>
      <c r="C914" s="149" t="s">
        <v>7214</v>
      </c>
      <c r="D914" s="240" t="s">
        <v>4180</v>
      </c>
      <c r="E914" s="590"/>
      <c r="F914" s="203" t="s">
        <v>659</v>
      </c>
      <c r="G914" s="204" t="s">
        <v>334</v>
      </c>
      <c r="H914" s="204">
        <v>3</v>
      </c>
      <c r="I914" s="203" t="s">
        <v>4181</v>
      </c>
      <c r="J914" s="205" t="s">
        <v>7215</v>
      </c>
      <c r="K914" s="203" t="s">
        <v>5104</v>
      </c>
      <c r="L914" s="205" t="s">
        <v>7216</v>
      </c>
      <c r="M914" s="205" t="s">
        <v>7217</v>
      </c>
      <c r="N914" s="204" t="s">
        <v>213</v>
      </c>
      <c r="O914" s="204" t="s">
        <v>11</v>
      </c>
      <c r="P914" s="206">
        <v>6400</v>
      </c>
      <c r="Q914" s="206">
        <v>2890</v>
      </c>
      <c r="R914" s="207">
        <v>30000</v>
      </c>
      <c r="S914" s="207">
        <f t="shared" si="291"/>
        <v>86700000</v>
      </c>
      <c r="T914" s="589"/>
      <c r="U914" s="157">
        <v>30000</v>
      </c>
      <c r="V914" s="158">
        <f t="shared" si="286"/>
        <v>25200</v>
      </c>
      <c r="W914" s="159">
        <f t="shared" si="292"/>
        <v>4800</v>
      </c>
      <c r="X914" s="159">
        <f t="shared" si="293"/>
        <v>13872000</v>
      </c>
      <c r="Y914" s="160"/>
      <c r="Z914" s="160">
        <f t="shared" si="294"/>
        <v>0</v>
      </c>
      <c r="AA914" s="165"/>
      <c r="AB914" s="161">
        <f t="shared" si="295"/>
        <v>0</v>
      </c>
      <c r="AC914" s="162"/>
      <c r="AD914" s="162">
        <f t="shared" si="287"/>
        <v>0</v>
      </c>
      <c r="AE914" s="164"/>
      <c r="AF914" s="164">
        <f t="shared" si="288"/>
        <v>0</v>
      </c>
      <c r="AG914" s="165"/>
      <c r="AH914" s="165">
        <f t="shared" si="289"/>
        <v>0</v>
      </c>
      <c r="AI914" s="166">
        <v>0</v>
      </c>
      <c r="AJ914" s="166">
        <f t="shared" si="290"/>
        <v>0</v>
      </c>
      <c r="AK914" s="162"/>
      <c r="AL914" s="162">
        <f t="shared" si="301"/>
        <v>0</v>
      </c>
      <c r="AM914" s="173">
        <v>4800</v>
      </c>
      <c r="AN914" s="167">
        <f t="shared" si="296"/>
        <v>13872000</v>
      </c>
      <c r="AO914" s="163"/>
      <c r="AP914" s="163">
        <f t="shared" si="297"/>
        <v>0</v>
      </c>
      <c r="AQ914" s="168"/>
      <c r="AR914" s="168">
        <f t="shared" si="298"/>
        <v>0</v>
      </c>
      <c r="AS914" s="170"/>
      <c r="AT914" s="170">
        <f t="shared" si="299"/>
        <v>0</v>
      </c>
      <c r="AU914" s="166"/>
      <c r="AV914" s="166">
        <f t="shared" si="300"/>
        <v>0</v>
      </c>
    </row>
    <row r="915" spans="1:48" s="115" customFormat="1" ht="31.5">
      <c r="A915" s="172" t="s">
        <v>7323</v>
      </c>
      <c r="B915" s="149" t="s">
        <v>7213</v>
      </c>
      <c r="C915" s="149" t="s">
        <v>7214</v>
      </c>
      <c r="D915" s="240" t="s">
        <v>7324</v>
      </c>
      <c r="E915" s="590" t="s">
        <v>12642</v>
      </c>
      <c r="F915" s="203" t="s">
        <v>2575</v>
      </c>
      <c r="G915" s="204" t="s">
        <v>225</v>
      </c>
      <c r="H915" s="204">
        <v>3</v>
      </c>
      <c r="I915" s="203" t="s">
        <v>7325</v>
      </c>
      <c r="J915" s="205" t="s">
        <v>7326</v>
      </c>
      <c r="K915" s="203" t="s">
        <v>5108</v>
      </c>
      <c r="L915" s="205" t="s">
        <v>7327</v>
      </c>
      <c r="M915" s="205" t="s">
        <v>1268</v>
      </c>
      <c r="N915" s="204" t="s">
        <v>213</v>
      </c>
      <c r="O915" s="204" t="s">
        <v>11</v>
      </c>
      <c r="P915" s="206">
        <v>4000</v>
      </c>
      <c r="Q915" s="206">
        <v>2440</v>
      </c>
      <c r="R915" s="207">
        <v>10000</v>
      </c>
      <c r="S915" s="207">
        <f t="shared" si="291"/>
        <v>24400000</v>
      </c>
      <c r="T915" s="589"/>
      <c r="U915" s="157">
        <v>10000</v>
      </c>
      <c r="V915" s="158">
        <f t="shared" si="286"/>
        <v>10000</v>
      </c>
      <c r="W915" s="159">
        <f t="shared" si="292"/>
        <v>0</v>
      </c>
      <c r="X915" s="159">
        <f t="shared" si="293"/>
        <v>0</v>
      </c>
      <c r="Y915" s="160"/>
      <c r="Z915" s="160">
        <f t="shared" si="294"/>
        <v>0</v>
      </c>
      <c r="AA915" s="165"/>
      <c r="AB915" s="161">
        <f t="shared" si="295"/>
        <v>0</v>
      </c>
      <c r="AC915" s="162"/>
      <c r="AD915" s="162">
        <f t="shared" si="287"/>
        <v>0</v>
      </c>
      <c r="AE915" s="164"/>
      <c r="AF915" s="164">
        <f t="shared" si="288"/>
        <v>0</v>
      </c>
      <c r="AG915" s="165"/>
      <c r="AH915" s="165">
        <f t="shared" si="289"/>
        <v>0</v>
      </c>
      <c r="AI915" s="166">
        <v>0</v>
      </c>
      <c r="AJ915" s="166">
        <f t="shared" si="290"/>
        <v>0</v>
      </c>
      <c r="AK915" s="162"/>
      <c r="AL915" s="162">
        <f t="shared" si="301"/>
        <v>0</v>
      </c>
      <c r="AM915" s="173"/>
      <c r="AN915" s="167">
        <f t="shared" si="296"/>
        <v>0</v>
      </c>
      <c r="AO915" s="163"/>
      <c r="AP915" s="163">
        <f t="shared" si="297"/>
        <v>0</v>
      </c>
      <c r="AQ915" s="168"/>
      <c r="AR915" s="168">
        <f t="shared" si="298"/>
        <v>0</v>
      </c>
      <c r="AS915" s="170"/>
      <c r="AT915" s="170">
        <f t="shared" si="299"/>
        <v>0</v>
      </c>
      <c r="AU915" s="166"/>
      <c r="AV915" s="166">
        <f t="shared" si="300"/>
        <v>0</v>
      </c>
    </row>
    <row r="916" spans="1:48" s="115" customFormat="1" ht="63">
      <c r="A916" s="254">
        <v>92</v>
      </c>
      <c r="B916" s="150" t="s">
        <v>8894</v>
      </c>
      <c r="C916" s="150" t="s">
        <v>8895</v>
      </c>
      <c r="D916" s="250" t="s">
        <v>4616</v>
      </c>
      <c r="E916" s="241"/>
      <c r="F916" s="242" t="s">
        <v>8896</v>
      </c>
      <c r="G916" s="244" t="s">
        <v>8897</v>
      </c>
      <c r="H916" s="244" t="s">
        <v>210</v>
      </c>
      <c r="I916" s="244" t="s">
        <v>4617</v>
      </c>
      <c r="J916" s="244" t="s">
        <v>8898</v>
      </c>
      <c r="K916" s="244" t="s">
        <v>5104</v>
      </c>
      <c r="L916" s="241" t="s">
        <v>8899</v>
      </c>
      <c r="M916" s="244" t="s">
        <v>8900</v>
      </c>
      <c r="N916" s="241" t="s">
        <v>213</v>
      </c>
      <c r="O916" s="241" t="s">
        <v>658</v>
      </c>
      <c r="P916" s="245">
        <v>66000</v>
      </c>
      <c r="Q916" s="245">
        <v>56900</v>
      </c>
      <c r="R916" s="246">
        <v>1500</v>
      </c>
      <c r="S916" s="245">
        <f t="shared" si="291"/>
        <v>85350000</v>
      </c>
      <c r="T916" s="589"/>
      <c r="U916" s="244"/>
      <c r="V916" s="247">
        <f>R916-W916</f>
        <v>1200</v>
      </c>
      <c r="W916" s="159">
        <f t="shared" si="292"/>
        <v>300</v>
      </c>
      <c r="X916" s="159">
        <f t="shared" si="293"/>
        <v>17070000</v>
      </c>
      <c r="Y916" s="248"/>
      <c r="Z916" s="160">
        <f t="shared" si="294"/>
        <v>0</v>
      </c>
      <c r="AA916" s="248"/>
      <c r="AB916" s="161">
        <f t="shared" si="295"/>
        <v>0</v>
      </c>
      <c r="AC916" s="249"/>
      <c r="AD916" s="249"/>
      <c r="AE916" s="249"/>
      <c r="AF916" s="249"/>
      <c r="AG916" s="249"/>
      <c r="AH916" s="249"/>
      <c r="AI916" s="249"/>
      <c r="AJ916" s="249"/>
      <c r="AK916" s="249"/>
      <c r="AL916" s="162">
        <f t="shared" si="301"/>
        <v>0</v>
      </c>
      <c r="AM916" s="249">
        <v>300</v>
      </c>
      <c r="AN916" s="167">
        <f t="shared" si="296"/>
        <v>17070000</v>
      </c>
      <c r="AO916" s="249"/>
      <c r="AP916" s="163">
        <f t="shared" si="297"/>
        <v>0</v>
      </c>
      <c r="AQ916" s="249"/>
      <c r="AR916" s="168">
        <f t="shared" si="298"/>
        <v>0</v>
      </c>
      <c r="AS916" s="249"/>
      <c r="AT916" s="170">
        <f t="shared" si="299"/>
        <v>0</v>
      </c>
      <c r="AU916" s="249"/>
      <c r="AV916" s="166">
        <f t="shared" si="300"/>
        <v>0</v>
      </c>
    </row>
    <row r="917" spans="1:48" s="115" customFormat="1" ht="31.5">
      <c r="A917" s="148" t="s">
        <v>5269</v>
      </c>
      <c r="B917" s="150" t="s">
        <v>5270</v>
      </c>
      <c r="C917" s="150" t="s">
        <v>5271</v>
      </c>
      <c r="D917" s="634" t="s">
        <v>4940</v>
      </c>
      <c r="E917" s="631" t="s">
        <v>12642</v>
      </c>
      <c r="F917" s="175" t="s">
        <v>371</v>
      </c>
      <c r="G917" s="151" t="s">
        <v>248</v>
      </c>
      <c r="H917" s="174" t="s">
        <v>210</v>
      </c>
      <c r="I917" s="150" t="s">
        <v>486</v>
      </c>
      <c r="J917" s="153" t="s">
        <v>5272</v>
      </c>
      <c r="K917" s="151" t="s">
        <v>5104</v>
      </c>
      <c r="L917" s="151" t="s">
        <v>487</v>
      </c>
      <c r="M917" s="151" t="s">
        <v>488</v>
      </c>
      <c r="N917" s="152" t="s">
        <v>5273</v>
      </c>
      <c r="O917" s="152" t="s">
        <v>10</v>
      </c>
      <c r="P917" s="176">
        <v>680</v>
      </c>
      <c r="Q917" s="177">
        <v>399</v>
      </c>
      <c r="R917" s="176">
        <v>728000</v>
      </c>
      <c r="S917" s="156">
        <f t="shared" si="291"/>
        <v>290472000</v>
      </c>
      <c r="T917" s="589"/>
      <c r="U917" s="157">
        <v>640000</v>
      </c>
      <c r="V917" s="158">
        <f t="shared" ref="V917:V931" si="302">U917-W917</f>
        <v>631500</v>
      </c>
      <c r="W917" s="159">
        <f t="shared" si="292"/>
        <v>8500</v>
      </c>
      <c r="X917" s="159">
        <f t="shared" si="293"/>
        <v>3391500</v>
      </c>
      <c r="Y917" s="160"/>
      <c r="Z917" s="160">
        <f t="shared" si="294"/>
        <v>0</v>
      </c>
      <c r="AA917" s="161">
        <v>8500</v>
      </c>
      <c r="AB917" s="161">
        <f t="shared" si="295"/>
        <v>3391500</v>
      </c>
      <c r="AC917" s="162"/>
      <c r="AD917" s="162">
        <f t="shared" ref="AD917:AD931" si="303">AC917*Q917</f>
        <v>0</v>
      </c>
      <c r="AE917" s="164"/>
      <c r="AF917" s="164">
        <f t="shared" ref="AF917:AF931" si="304">AE917*Q917</f>
        <v>0</v>
      </c>
      <c r="AG917" s="165"/>
      <c r="AH917" s="165">
        <f t="shared" ref="AH917:AH931" si="305">AG917*Q917</f>
        <v>0</v>
      </c>
      <c r="AI917" s="166">
        <v>0</v>
      </c>
      <c r="AJ917" s="166">
        <f t="shared" ref="AJ917:AJ931" si="306">AI917*Q917</f>
        <v>0</v>
      </c>
      <c r="AK917" s="162"/>
      <c r="AL917" s="162">
        <f t="shared" si="301"/>
        <v>0</v>
      </c>
      <c r="AM917" s="167"/>
      <c r="AN917" s="167">
        <f t="shared" si="296"/>
        <v>0</v>
      </c>
      <c r="AO917" s="163"/>
      <c r="AP917" s="163">
        <f t="shared" si="297"/>
        <v>0</v>
      </c>
      <c r="AQ917" s="168"/>
      <c r="AR917" s="168">
        <f t="shared" si="298"/>
        <v>0</v>
      </c>
      <c r="AS917" s="170"/>
      <c r="AT917" s="170">
        <f t="shared" si="299"/>
        <v>0</v>
      </c>
      <c r="AU917" s="166"/>
      <c r="AV917" s="166">
        <f t="shared" si="300"/>
        <v>0</v>
      </c>
    </row>
    <row r="918" spans="1:48" s="115" customFormat="1" ht="31.5">
      <c r="A918" s="148" t="s">
        <v>6004</v>
      </c>
      <c r="B918" s="150" t="s">
        <v>5270</v>
      </c>
      <c r="C918" s="150" t="s">
        <v>5271</v>
      </c>
      <c r="D918" s="240" t="s">
        <v>6005</v>
      </c>
      <c r="E918" s="590"/>
      <c r="F918" s="203" t="s">
        <v>6006</v>
      </c>
      <c r="G918" s="204" t="s">
        <v>6007</v>
      </c>
      <c r="H918" s="204">
        <v>1</v>
      </c>
      <c r="I918" s="203" t="s">
        <v>6008</v>
      </c>
      <c r="J918" s="205" t="s">
        <v>6009</v>
      </c>
      <c r="K918" s="203" t="s">
        <v>253</v>
      </c>
      <c r="L918" s="205" t="s">
        <v>6010</v>
      </c>
      <c r="M918" s="205" t="s">
        <v>6011</v>
      </c>
      <c r="N918" s="204" t="s">
        <v>6012</v>
      </c>
      <c r="O918" s="204" t="s">
        <v>11</v>
      </c>
      <c r="P918" s="206">
        <v>15200</v>
      </c>
      <c r="Q918" s="206">
        <v>13986</v>
      </c>
      <c r="R918" s="207">
        <v>20000</v>
      </c>
      <c r="S918" s="207">
        <f t="shared" si="291"/>
        <v>279720000</v>
      </c>
      <c r="T918" s="589"/>
      <c r="U918" s="157">
        <v>20000</v>
      </c>
      <c r="V918" s="158">
        <f t="shared" si="302"/>
        <v>20000</v>
      </c>
      <c r="W918" s="159">
        <f t="shared" si="292"/>
        <v>0</v>
      </c>
      <c r="X918" s="159">
        <f t="shared" si="293"/>
        <v>0</v>
      </c>
      <c r="Y918" s="160"/>
      <c r="Z918" s="160">
        <f t="shared" si="294"/>
        <v>0</v>
      </c>
      <c r="AA918" s="165"/>
      <c r="AB918" s="161">
        <f t="shared" si="295"/>
        <v>0</v>
      </c>
      <c r="AC918" s="162"/>
      <c r="AD918" s="162">
        <f t="shared" si="303"/>
        <v>0</v>
      </c>
      <c r="AE918" s="164"/>
      <c r="AF918" s="164">
        <f t="shared" si="304"/>
        <v>0</v>
      </c>
      <c r="AG918" s="165"/>
      <c r="AH918" s="165">
        <f t="shared" si="305"/>
        <v>0</v>
      </c>
      <c r="AI918" s="166">
        <v>0</v>
      </c>
      <c r="AJ918" s="166">
        <f t="shared" si="306"/>
        <v>0</v>
      </c>
      <c r="AK918" s="162"/>
      <c r="AL918" s="162">
        <f t="shared" si="301"/>
        <v>0</v>
      </c>
      <c r="AM918" s="173"/>
      <c r="AN918" s="167">
        <f t="shared" si="296"/>
        <v>0</v>
      </c>
      <c r="AO918" s="163"/>
      <c r="AP918" s="163">
        <f t="shared" si="297"/>
        <v>0</v>
      </c>
      <c r="AQ918" s="168"/>
      <c r="AR918" s="168">
        <f t="shared" si="298"/>
        <v>0</v>
      </c>
      <c r="AS918" s="170"/>
      <c r="AT918" s="170">
        <f t="shared" si="299"/>
        <v>0</v>
      </c>
      <c r="AU918" s="166"/>
      <c r="AV918" s="166">
        <f t="shared" si="300"/>
        <v>0</v>
      </c>
    </row>
    <row r="919" spans="1:48" s="115" customFormat="1" ht="31.5">
      <c r="A919" s="148" t="s">
        <v>6242</v>
      </c>
      <c r="B919" s="150" t="s">
        <v>5270</v>
      </c>
      <c r="C919" s="150" t="s">
        <v>5271</v>
      </c>
      <c r="D919" s="240" t="s">
        <v>6243</v>
      </c>
      <c r="E919" s="590" t="s">
        <v>12642</v>
      </c>
      <c r="F919" s="203" t="s">
        <v>392</v>
      </c>
      <c r="G919" s="204" t="s">
        <v>267</v>
      </c>
      <c r="H919" s="204">
        <v>1</v>
      </c>
      <c r="I919" s="203" t="s">
        <v>6244</v>
      </c>
      <c r="J919" s="205" t="s">
        <v>6245</v>
      </c>
      <c r="K919" s="203" t="s">
        <v>5104</v>
      </c>
      <c r="L919" s="205" t="s">
        <v>6246</v>
      </c>
      <c r="M919" s="205" t="s">
        <v>6011</v>
      </c>
      <c r="N919" s="204" t="s">
        <v>6012</v>
      </c>
      <c r="O919" s="204" t="s">
        <v>11</v>
      </c>
      <c r="P919" s="206">
        <v>15300</v>
      </c>
      <c r="Q919" s="206">
        <v>5082</v>
      </c>
      <c r="R919" s="207">
        <v>20000</v>
      </c>
      <c r="S919" s="207">
        <f t="shared" si="291"/>
        <v>101640000</v>
      </c>
      <c r="T919" s="589" t="s">
        <v>11</v>
      </c>
      <c r="U919" s="157">
        <v>20000</v>
      </c>
      <c r="V919" s="158">
        <f t="shared" si="302"/>
        <v>20000</v>
      </c>
      <c r="W919" s="159">
        <f t="shared" si="292"/>
        <v>0</v>
      </c>
      <c r="X919" s="159">
        <f t="shared" si="293"/>
        <v>0</v>
      </c>
      <c r="Y919" s="160"/>
      <c r="Z919" s="160">
        <f t="shared" si="294"/>
        <v>0</v>
      </c>
      <c r="AA919" s="165"/>
      <c r="AB919" s="161">
        <f t="shared" si="295"/>
        <v>0</v>
      </c>
      <c r="AC919" s="162"/>
      <c r="AD919" s="162">
        <f t="shared" si="303"/>
        <v>0</v>
      </c>
      <c r="AE919" s="164"/>
      <c r="AF919" s="164">
        <f t="shared" si="304"/>
        <v>0</v>
      </c>
      <c r="AG919" s="165"/>
      <c r="AH919" s="165">
        <f t="shared" si="305"/>
        <v>0</v>
      </c>
      <c r="AI919" s="166">
        <v>0</v>
      </c>
      <c r="AJ919" s="166">
        <f t="shared" si="306"/>
        <v>0</v>
      </c>
      <c r="AK919" s="162"/>
      <c r="AL919" s="162">
        <f t="shared" si="301"/>
        <v>0</v>
      </c>
      <c r="AM919" s="173"/>
      <c r="AN919" s="167">
        <f t="shared" si="296"/>
        <v>0</v>
      </c>
      <c r="AO919" s="163"/>
      <c r="AP919" s="163">
        <f t="shared" si="297"/>
        <v>0</v>
      </c>
      <c r="AQ919" s="168"/>
      <c r="AR919" s="168">
        <f t="shared" si="298"/>
        <v>0</v>
      </c>
      <c r="AS919" s="170"/>
      <c r="AT919" s="170">
        <f t="shared" si="299"/>
        <v>0</v>
      </c>
      <c r="AU919" s="166"/>
      <c r="AV919" s="166">
        <f t="shared" si="300"/>
        <v>0</v>
      </c>
    </row>
    <row r="920" spans="1:48" s="115" customFormat="1" ht="31.5">
      <c r="A920" s="148" t="s">
        <v>6255</v>
      </c>
      <c r="B920" s="150" t="s">
        <v>5270</v>
      </c>
      <c r="C920" s="150" t="s">
        <v>5271</v>
      </c>
      <c r="D920" s="240" t="s">
        <v>6256</v>
      </c>
      <c r="E920" s="590" t="s">
        <v>12642</v>
      </c>
      <c r="F920" s="203" t="s">
        <v>634</v>
      </c>
      <c r="G920" s="204" t="s">
        <v>235</v>
      </c>
      <c r="H920" s="204">
        <v>1</v>
      </c>
      <c r="I920" s="203" t="s">
        <v>1795</v>
      </c>
      <c r="J920" s="205" t="s">
        <v>6257</v>
      </c>
      <c r="K920" s="203" t="s">
        <v>253</v>
      </c>
      <c r="L920" s="205" t="s">
        <v>1796</v>
      </c>
      <c r="M920" s="205" t="s">
        <v>6011</v>
      </c>
      <c r="N920" s="204" t="s">
        <v>6012</v>
      </c>
      <c r="O920" s="204" t="s">
        <v>11</v>
      </c>
      <c r="P920" s="206">
        <v>14000</v>
      </c>
      <c r="Q920" s="206">
        <v>9450</v>
      </c>
      <c r="R920" s="207">
        <v>10000</v>
      </c>
      <c r="S920" s="207">
        <f t="shared" si="291"/>
        <v>94500000</v>
      </c>
      <c r="T920" s="589"/>
      <c r="U920" s="157">
        <v>10000</v>
      </c>
      <c r="V920" s="158">
        <f t="shared" si="302"/>
        <v>10000</v>
      </c>
      <c r="W920" s="159">
        <f t="shared" si="292"/>
        <v>0</v>
      </c>
      <c r="X920" s="159">
        <f t="shared" si="293"/>
        <v>0</v>
      </c>
      <c r="Y920" s="160"/>
      <c r="Z920" s="160">
        <f t="shared" si="294"/>
        <v>0</v>
      </c>
      <c r="AA920" s="165"/>
      <c r="AB920" s="161">
        <f t="shared" si="295"/>
        <v>0</v>
      </c>
      <c r="AC920" s="162"/>
      <c r="AD920" s="162">
        <f t="shared" si="303"/>
        <v>0</v>
      </c>
      <c r="AE920" s="164"/>
      <c r="AF920" s="164">
        <f t="shared" si="304"/>
        <v>0</v>
      </c>
      <c r="AG920" s="165"/>
      <c r="AH920" s="165">
        <f t="shared" si="305"/>
        <v>0</v>
      </c>
      <c r="AI920" s="166">
        <v>0</v>
      </c>
      <c r="AJ920" s="166">
        <f t="shared" si="306"/>
        <v>0</v>
      </c>
      <c r="AK920" s="162"/>
      <c r="AL920" s="162">
        <f t="shared" si="301"/>
        <v>0</v>
      </c>
      <c r="AM920" s="173"/>
      <c r="AN920" s="167">
        <f t="shared" si="296"/>
        <v>0</v>
      </c>
      <c r="AO920" s="163"/>
      <c r="AP920" s="163">
        <f t="shared" si="297"/>
        <v>0</v>
      </c>
      <c r="AQ920" s="168"/>
      <c r="AR920" s="168">
        <f t="shared" si="298"/>
        <v>0</v>
      </c>
      <c r="AS920" s="170"/>
      <c r="AT920" s="170">
        <f t="shared" si="299"/>
        <v>0</v>
      </c>
      <c r="AU920" s="166"/>
      <c r="AV920" s="166">
        <f t="shared" si="300"/>
        <v>0</v>
      </c>
    </row>
    <row r="921" spans="1:48" s="115" customFormat="1" ht="31.5">
      <c r="A921" s="172" t="s">
        <v>6474</v>
      </c>
      <c r="B921" s="150" t="s">
        <v>5270</v>
      </c>
      <c r="C921" s="150" t="s">
        <v>5271</v>
      </c>
      <c r="D921" s="240" t="s">
        <v>4141</v>
      </c>
      <c r="E921" s="590"/>
      <c r="F921" s="203" t="s">
        <v>1352</v>
      </c>
      <c r="G921" s="204" t="s">
        <v>327</v>
      </c>
      <c r="H921" s="204">
        <v>1</v>
      </c>
      <c r="I921" s="203" t="s">
        <v>1798</v>
      </c>
      <c r="J921" s="205" t="s">
        <v>6009</v>
      </c>
      <c r="K921" s="203" t="s">
        <v>5104</v>
      </c>
      <c r="L921" s="205" t="s">
        <v>6475</v>
      </c>
      <c r="M921" s="205" t="s">
        <v>6011</v>
      </c>
      <c r="N921" s="204" t="s">
        <v>6012</v>
      </c>
      <c r="O921" s="204" t="s">
        <v>11</v>
      </c>
      <c r="P921" s="206">
        <v>6300</v>
      </c>
      <c r="Q921" s="206">
        <v>6279</v>
      </c>
      <c r="R921" s="207">
        <v>30000</v>
      </c>
      <c r="S921" s="207">
        <f t="shared" si="291"/>
        <v>188370000</v>
      </c>
      <c r="T921" s="589"/>
      <c r="U921" s="157">
        <v>30000</v>
      </c>
      <c r="V921" s="158">
        <f t="shared" si="302"/>
        <v>30000</v>
      </c>
      <c r="W921" s="159">
        <f t="shared" si="292"/>
        <v>0</v>
      </c>
      <c r="X921" s="159">
        <f t="shared" si="293"/>
        <v>0</v>
      </c>
      <c r="Y921" s="160"/>
      <c r="Z921" s="160">
        <f t="shared" si="294"/>
        <v>0</v>
      </c>
      <c r="AA921" s="165"/>
      <c r="AB921" s="161">
        <f t="shared" si="295"/>
        <v>0</v>
      </c>
      <c r="AC921" s="162"/>
      <c r="AD921" s="162">
        <f t="shared" si="303"/>
        <v>0</v>
      </c>
      <c r="AE921" s="164"/>
      <c r="AF921" s="164">
        <f t="shared" si="304"/>
        <v>0</v>
      </c>
      <c r="AG921" s="165"/>
      <c r="AH921" s="165">
        <f t="shared" si="305"/>
        <v>0</v>
      </c>
      <c r="AI921" s="166">
        <v>0</v>
      </c>
      <c r="AJ921" s="166">
        <f t="shared" si="306"/>
        <v>0</v>
      </c>
      <c r="AK921" s="162"/>
      <c r="AL921" s="162">
        <f t="shared" si="301"/>
        <v>0</v>
      </c>
      <c r="AM921" s="173"/>
      <c r="AN921" s="167">
        <f t="shared" si="296"/>
        <v>0</v>
      </c>
      <c r="AO921" s="163"/>
      <c r="AP921" s="163">
        <f t="shared" si="297"/>
        <v>0</v>
      </c>
      <c r="AQ921" s="168"/>
      <c r="AR921" s="168">
        <f t="shared" si="298"/>
        <v>0</v>
      </c>
      <c r="AS921" s="170"/>
      <c r="AT921" s="170">
        <f t="shared" si="299"/>
        <v>0</v>
      </c>
      <c r="AU921" s="166"/>
      <c r="AV921" s="166">
        <f t="shared" si="300"/>
        <v>0</v>
      </c>
    </row>
    <row r="922" spans="1:48" s="115" customFormat="1" ht="31.5">
      <c r="A922" s="148" t="s">
        <v>5599</v>
      </c>
      <c r="B922" s="149" t="s">
        <v>5600</v>
      </c>
      <c r="C922" s="149" t="s">
        <v>5601</v>
      </c>
      <c r="D922" s="603" t="s">
        <v>4209</v>
      </c>
      <c r="E922" s="588"/>
      <c r="F922" s="183" t="s">
        <v>882</v>
      </c>
      <c r="G922" s="182" t="s">
        <v>1580</v>
      </c>
      <c r="H922" s="182" t="s">
        <v>210</v>
      </c>
      <c r="I922" s="184" t="s">
        <v>4210</v>
      </c>
      <c r="J922" s="182" t="s">
        <v>5602</v>
      </c>
      <c r="K922" s="153" t="s">
        <v>253</v>
      </c>
      <c r="L922" s="153" t="s">
        <v>5603</v>
      </c>
      <c r="M922" s="153" t="s">
        <v>5604</v>
      </c>
      <c r="N922" s="94" t="s">
        <v>5605</v>
      </c>
      <c r="O922" s="185" t="s">
        <v>10</v>
      </c>
      <c r="P922" s="186"/>
      <c r="Q922" s="186">
        <v>659</v>
      </c>
      <c r="R922" s="187">
        <v>60000</v>
      </c>
      <c r="S922" s="186">
        <f t="shared" si="291"/>
        <v>39540000</v>
      </c>
      <c r="T922" s="589"/>
      <c r="U922" s="157">
        <v>60000</v>
      </c>
      <c r="V922" s="158">
        <f t="shared" si="302"/>
        <v>44010</v>
      </c>
      <c r="W922" s="159">
        <f t="shared" si="292"/>
        <v>15990</v>
      </c>
      <c r="X922" s="159">
        <f t="shared" si="293"/>
        <v>10537410</v>
      </c>
      <c r="Y922" s="160"/>
      <c r="Z922" s="160">
        <f t="shared" si="294"/>
        <v>0</v>
      </c>
      <c r="AA922" s="161"/>
      <c r="AB922" s="161">
        <f t="shared" si="295"/>
        <v>0</v>
      </c>
      <c r="AC922" s="162"/>
      <c r="AD922" s="162">
        <f t="shared" si="303"/>
        <v>0</v>
      </c>
      <c r="AE922" s="164"/>
      <c r="AF922" s="164">
        <f t="shared" si="304"/>
        <v>0</v>
      </c>
      <c r="AG922" s="165"/>
      <c r="AH922" s="165">
        <f t="shared" si="305"/>
        <v>0</v>
      </c>
      <c r="AI922" s="166">
        <v>9990</v>
      </c>
      <c r="AJ922" s="166">
        <f t="shared" si="306"/>
        <v>6583410</v>
      </c>
      <c r="AK922" s="162"/>
      <c r="AL922" s="162">
        <f t="shared" si="301"/>
        <v>0</v>
      </c>
      <c r="AM922" s="167">
        <v>6000</v>
      </c>
      <c r="AN922" s="167">
        <f t="shared" si="296"/>
        <v>3954000</v>
      </c>
      <c r="AO922" s="163"/>
      <c r="AP922" s="163">
        <f t="shared" si="297"/>
        <v>0</v>
      </c>
      <c r="AQ922" s="168"/>
      <c r="AR922" s="168">
        <f t="shared" si="298"/>
        <v>0</v>
      </c>
      <c r="AS922" s="170"/>
      <c r="AT922" s="170">
        <f t="shared" si="299"/>
        <v>0</v>
      </c>
      <c r="AU922" s="166"/>
      <c r="AV922" s="166">
        <f t="shared" si="300"/>
        <v>0</v>
      </c>
    </row>
    <row r="923" spans="1:48" s="115" customFormat="1" ht="31.5">
      <c r="A923" s="172" t="s">
        <v>5697</v>
      </c>
      <c r="B923" s="149" t="s">
        <v>5600</v>
      </c>
      <c r="C923" s="149" t="s">
        <v>5601</v>
      </c>
      <c r="D923" s="603" t="s">
        <v>5698</v>
      </c>
      <c r="E923" s="588"/>
      <c r="F923" s="183" t="s">
        <v>588</v>
      </c>
      <c r="G923" s="182" t="s">
        <v>235</v>
      </c>
      <c r="H923" s="182" t="s">
        <v>210</v>
      </c>
      <c r="I923" s="184" t="s">
        <v>5699</v>
      </c>
      <c r="J923" s="182" t="s">
        <v>5700</v>
      </c>
      <c r="K923" s="153" t="s">
        <v>253</v>
      </c>
      <c r="L923" s="153" t="s">
        <v>5701</v>
      </c>
      <c r="M923" s="153" t="s">
        <v>5702</v>
      </c>
      <c r="N923" s="94" t="s">
        <v>5605</v>
      </c>
      <c r="O923" s="185" t="s">
        <v>10</v>
      </c>
      <c r="P923" s="186"/>
      <c r="Q923" s="186">
        <v>599</v>
      </c>
      <c r="R923" s="187">
        <v>20000</v>
      </c>
      <c r="S923" s="186">
        <f t="shared" si="291"/>
        <v>11980000</v>
      </c>
      <c r="T923" s="589"/>
      <c r="U923" s="157">
        <v>20000</v>
      </c>
      <c r="V923" s="158">
        <f t="shared" si="302"/>
        <v>20000</v>
      </c>
      <c r="W923" s="159">
        <f t="shared" si="292"/>
        <v>0</v>
      </c>
      <c r="X923" s="159">
        <f t="shared" si="293"/>
        <v>0</v>
      </c>
      <c r="Y923" s="160"/>
      <c r="Z923" s="160">
        <f t="shared" si="294"/>
        <v>0</v>
      </c>
      <c r="AA923" s="161"/>
      <c r="AB923" s="161">
        <f t="shared" si="295"/>
        <v>0</v>
      </c>
      <c r="AC923" s="162"/>
      <c r="AD923" s="162">
        <f t="shared" si="303"/>
        <v>0</v>
      </c>
      <c r="AE923" s="163"/>
      <c r="AF923" s="164">
        <f t="shared" si="304"/>
        <v>0</v>
      </c>
      <c r="AG923" s="161"/>
      <c r="AH923" s="165">
        <f t="shared" si="305"/>
        <v>0</v>
      </c>
      <c r="AI923" s="160">
        <v>0</v>
      </c>
      <c r="AJ923" s="166">
        <f t="shared" si="306"/>
        <v>0</v>
      </c>
      <c r="AK923" s="162"/>
      <c r="AL923" s="162">
        <f t="shared" si="301"/>
        <v>0</v>
      </c>
      <c r="AM923" s="167"/>
      <c r="AN923" s="167">
        <f t="shared" si="296"/>
        <v>0</v>
      </c>
      <c r="AO923" s="163"/>
      <c r="AP923" s="163">
        <f t="shared" si="297"/>
        <v>0</v>
      </c>
      <c r="AQ923" s="162"/>
      <c r="AR923" s="168">
        <f t="shared" si="298"/>
        <v>0</v>
      </c>
      <c r="AS923" s="169"/>
      <c r="AT923" s="170">
        <f t="shared" si="299"/>
        <v>0</v>
      </c>
      <c r="AU923" s="160"/>
      <c r="AV923" s="166">
        <f t="shared" si="300"/>
        <v>0</v>
      </c>
    </row>
    <row r="924" spans="1:48" s="115" customFormat="1" ht="31.5">
      <c r="A924" s="148" t="s">
        <v>5723</v>
      </c>
      <c r="B924" s="149" t="s">
        <v>5600</v>
      </c>
      <c r="C924" s="149" t="s">
        <v>5601</v>
      </c>
      <c r="D924" s="603" t="s">
        <v>5724</v>
      </c>
      <c r="E924" s="588"/>
      <c r="F924" s="183" t="s">
        <v>1302</v>
      </c>
      <c r="G924" s="182" t="s">
        <v>238</v>
      </c>
      <c r="H924" s="182" t="s">
        <v>210</v>
      </c>
      <c r="I924" s="184" t="s">
        <v>5725</v>
      </c>
      <c r="J924" s="182" t="s">
        <v>5726</v>
      </c>
      <c r="K924" s="153" t="s">
        <v>253</v>
      </c>
      <c r="L924" s="153" t="s">
        <v>5727</v>
      </c>
      <c r="M924" s="153" t="s">
        <v>5604</v>
      </c>
      <c r="N924" s="94" t="s">
        <v>5605</v>
      </c>
      <c r="O924" s="185" t="s">
        <v>10</v>
      </c>
      <c r="P924" s="186"/>
      <c r="Q924" s="186">
        <v>598</v>
      </c>
      <c r="R924" s="187">
        <v>40000</v>
      </c>
      <c r="S924" s="186">
        <f t="shared" si="291"/>
        <v>23920000</v>
      </c>
      <c r="T924" s="589"/>
      <c r="U924" s="157">
        <v>40000</v>
      </c>
      <c r="V924" s="158">
        <f t="shared" si="302"/>
        <v>40000</v>
      </c>
      <c r="W924" s="159">
        <f t="shared" si="292"/>
        <v>0</v>
      </c>
      <c r="X924" s="159">
        <f t="shared" si="293"/>
        <v>0</v>
      </c>
      <c r="Y924" s="160"/>
      <c r="Z924" s="160">
        <f t="shared" si="294"/>
        <v>0</v>
      </c>
      <c r="AA924" s="161"/>
      <c r="AB924" s="161">
        <f t="shared" si="295"/>
        <v>0</v>
      </c>
      <c r="AC924" s="162"/>
      <c r="AD924" s="162">
        <f t="shared" si="303"/>
        <v>0</v>
      </c>
      <c r="AE924" s="164"/>
      <c r="AF924" s="164">
        <f t="shared" si="304"/>
        <v>0</v>
      </c>
      <c r="AG924" s="165"/>
      <c r="AH924" s="165">
        <f t="shared" si="305"/>
        <v>0</v>
      </c>
      <c r="AI924" s="166">
        <v>0</v>
      </c>
      <c r="AJ924" s="166">
        <f t="shared" si="306"/>
        <v>0</v>
      </c>
      <c r="AK924" s="162"/>
      <c r="AL924" s="162">
        <f t="shared" si="301"/>
        <v>0</v>
      </c>
      <c r="AM924" s="167"/>
      <c r="AN924" s="167">
        <f t="shared" si="296"/>
        <v>0</v>
      </c>
      <c r="AO924" s="163"/>
      <c r="AP924" s="163">
        <f t="shared" si="297"/>
        <v>0</v>
      </c>
      <c r="AQ924" s="168"/>
      <c r="AR924" s="168">
        <f t="shared" si="298"/>
        <v>0</v>
      </c>
      <c r="AS924" s="170"/>
      <c r="AT924" s="170">
        <f t="shared" si="299"/>
        <v>0</v>
      </c>
      <c r="AU924" s="166"/>
      <c r="AV924" s="166">
        <f t="shared" si="300"/>
        <v>0</v>
      </c>
    </row>
    <row r="925" spans="1:48" s="115" customFormat="1" ht="31.5">
      <c r="A925" s="148" t="s">
        <v>5734</v>
      </c>
      <c r="B925" s="149" t="s">
        <v>5600</v>
      </c>
      <c r="C925" s="149" t="s">
        <v>5601</v>
      </c>
      <c r="D925" s="603" t="s">
        <v>5735</v>
      </c>
      <c r="E925" s="588"/>
      <c r="F925" s="183" t="s">
        <v>1302</v>
      </c>
      <c r="G925" s="182" t="s">
        <v>235</v>
      </c>
      <c r="H925" s="182" t="s">
        <v>210</v>
      </c>
      <c r="I925" s="184" t="s">
        <v>4440</v>
      </c>
      <c r="J925" s="182" t="s">
        <v>5726</v>
      </c>
      <c r="K925" s="153" t="s">
        <v>253</v>
      </c>
      <c r="L925" s="153" t="s">
        <v>5736</v>
      </c>
      <c r="M925" s="153" t="s">
        <v>5604</v>
      </c>
      <c r="N925" s="94" t="s">
        <v>5605</v>
      </c>
      <c r="O925" s="185" t="s">
        <v>10</v>
      </c>
      <c r="P925" s="186"/>
      <c r="Q925" s="186">
        <v>1148</v>
      </c>
      <c r="R925" s="187">
        <v>40000</v>
      </c>
      <c r="S925" s="186">
        <f t="shared" si="291"/>
        <v>45920000</v>
      </c>
      <c r="T925" s="589"/>
      <c r="U925" s="157">
        <v>40000</v>
      </c>
      <c r="V925" s="158">
        <f t="shared" si="302"/>
        <v>40000</v>
      </c>
      <c r="W925" s="159">
        <f t="shared" si="292"/>
        <v>0</v>
      </c>
      <c r="X925" s="159">
        <f t="shared" si="293"/>
        <v>0</v>
      </c>
      <c r="Y925" s="160"/>
      <c r="Z925" s="160">
        <f t="shared" si="294"/>
        <v>0</v>
      </c>
      <c r="AA925" s="161"/>
      <c r="AB925" s="161">
        <f t="shared" si="295"/>
        <v>0</v>
      </c>
      <c r="AC925" s="162"/>
      <c r="AD925" s="162">
        <f t="shared" si="303"/>
        <v>0</v>
      </c>
      <c r="AE925" s="163"/>
      <c r="AF925" s="164">
        <f t="shared" si="304"/>
        <v>0</v>
      </c>
      <c r="AG925" s="161"/>
      <c r="AH925" s="165">
        <f t="shared" si="305"/>
        <v>0</v>
      </c>
      <c r="AI925" s="160">
        <v>0</v>
      </c>
      <c r="AJ925" s="166">
        <f t="shared" si="306"/>
        <v>0</v>
      </c>
      <c r="AK925" s="162"/>
      <c r="AL925" s="162">
        <f t="shared" si="301"/>
        <v>0</v>
      </c>
      <c r="AM925" s="167"/>
      <c r="AN925" s="167">
        <f t="shared" si="296"/>
        <v>0</v>
      </c>
      <c r="AO925" s="163"/>
      <c r="AP925" s="163">
        <f t="shared" si="297"/>
        <v>0</v>
      </c>
      <c r="AQ925" s="162"/>
      <c r="AR925" s="168">
        <f t="shared" si="298"/>
        <v>0</v>
      </c>
      <c r="AS925" s="169"/>
      <c r="AT925" s="170">
        <f t="shared" si="299"/>
        <v>0</v>
      </c>
      <c r="AU925" s="160"/>
      <c r="AV925" s="166">
        <f t="shared" si="300"/>
        <v>0</v>
      </c>
    </row>
    <row r="926" spans="1:48" s="32" customFormat="1" ht="47.25">
      <c r="A926" s="148" t="s">
        <v>6411</v>
      </c>
      <c r="B926" s="149" t="s">
        <v>5600</v>
      </c>
      <c r="C926" s="149" t="s">
        <v>5601</v>
      </c>
      <c r="D926" s="240" t="s">
        <v>4135</v>
      </c>
      <c r="E926" s="590"/>
      <c r="F926" s="203" t="s">
        <v>6412</v>
      </c>
      <c r="G926" s="204" t="s">
        <v>4138</v>
      </c>
      <c r="H926" s="204">
        <v>1</v>
      </c>
      <c r="I926" s="203" t="s">
        <v>4136</v>
      </c>
      <c r="J926" s="205" t="s">
        <v>6413</v>
      </c>
      <c r="K926" s="203" t="s">
        <v>5104</v>
      </c>
      <c r="L926" s="205" t="s">
        <v>896</v>
      </c>
      <c r="M926" s="205" t="s">
        <v>6414</v>
      </c>
      <c r="N926" s="204" t="s">
        <v>5185</v>
      </c>
      <c r="O926" s="204" t="s">
        <v>4139</v>
      </c>
      <c r="P926" s="206">
        <v>428550</v>
      </c>
      <c r="Q926" s="206">
        <v>276500</v>
      </c>
      <c r="R926" s="207">
        <v>2000</v>
      </c>
      <c r="S926" s="207">
        <f t="shared" si="291"/>
        <v>553000000</v>
      </c>
      <c r="T926" s="589"/>
      <c r="U926" s="157">
        <v>2000</v>
      </c>
      <c r="V926" s="158">
        <f t="shared" si="302"/>
        <v>0</v>
      </c>
      <c r="W926" s="159">
        <f t="shared" si="292"/>
        <v>2000</v>
      </c>
      <c r="X926" s="159">
        <f t="shared" si="293"/>
        <v>553000000</v>
      </c>
      <c r="Y926" s="160">
        <v>200</v>
      </c>
      <c r="Z926" s="160">
        <f t="shared" si="294"/>
        <v>55300000</v>
      </c>
      <c r="AA926" s="165"/>
      <c r="AB926" s="161">
        <f t="shared" si="295"/>
        <v>0</v>
      </c>
      <c r="AC926" s="162">
        <v>200</v>
      </c>
      <c r="AD926" s="162">
        <f t="shared" si="303"/>
        <v>55300000</v>
      </c>
      <c r="AE926" s="164">
        <v>400</v>
      </c>
      <c r="AF926" s="164">
        <f t="shared" si="304"/>
        <v>110600000</v>
      </c>
      <c r="AG926" s="165"/>
      <c r="AH926" s="165">
        <f t="shared" si="305"/>
        <v>0</v>
      </c>
      <c r="AI926" s="166">
        <v>0</v>
      </c>
      <c r="AJ926" s="166">
        <f t="shared" si="306"/>
        <v>0</v>
      </c>
      <c r="AK926" s="162"/>
      <c r="AL926" s="162">
        <f t="shared" si="301"/>
        <v>0</v>
      </c>
      <c r="AM926" s="173"/>
      <c r="AN926" s="167">
        <f t="shared" si="296"/>
        <v>0</v>
      </c>
      <c r="AO926" s="163">
        <v>500</v>
      </c>
      <c r="AP926" s="163">
        <f t="shared" si="297"/>
        <v>138250000</v>
      </c>
      <c r="AQ926" s="168"/>
      <c r="AR926" s="168">
        <f t="shared" si="298"/>
        <v>0</v>
      </c>
      <c r="AS926" s="170">
        <v>500</v>
      </c>
      <c r="AT926" s="170">
        <f t="shared" si="299"/>
        <v>138250000</v>
      </c>
      <c r="AU926" s="166">
        <v>200</v>
      </c>
      <c r="AV926" s="166">
        <f t="shared" si="300"/>
        <v>55300000</v>
      </c>
    </row>
    <row r="927" spans="1:48" s="32" customFormat="1" ht="31.5">
      <c r="A927" s="148" t="s">
        <v>6516</v>
      </c>
      <c r="B927" s="149" t="s">
        <v>5600</v>
      </c>
      <c r="C927" s="149" t="s">
        <v>5601</v>
      </c>
      <c r="D927" s="240" t="s">
        <v>6517</v>
      </c>
      <c r="E927" s="590"/>
      <c r="F927" s="203" t="s">
        <v>1697</v>
      </c>
      <c r="G927" s="204" t="s">
        <v>4990</v>
      </c>
      <c r="H927" s="204">
        <v>2</v>
      </c>
      <c r="I927" s="203" t="s">
        <v>6518</v>
      </c>
      <c r="J927" s="205" t="s">
        <v>6519</v>
      </c>
      <c r="K927" s="203" t="s">
        <v>5104</v>
      </c>
      <c r="L927" s="205" t="s">
        <v>6520</v>
      </c>
      <c r="M927" s="205" t="s">
        <v>6521</v>
      </c>
      <c r="N927" s="204" t="s">
        <v>6522</v>
      </c>
      <c r="O927" s="204" t="s">
        <v>11</v>
      </c>
      <c r="P927" s="206">
        <v>2700</v>
      </c>
      <c r="Q927" s="206">
        <v>2040</v>
      </c>
      <c r="R927" s="207">
        <v>50000</v>
      </c>
      <c r="S927" s="207">
        <f t="shared" si="291"/>
        <v>102000000</v>
      </c>
      <c r="T927" s="589"/>
      <c r="U927" s="157">
        <v>50000</v>
      </c>
      <c r="V927" s="158">
        <f t="shared" si="302"/>
        <v>50000</v>
      </c>
      <c r="W927" s="159">
        <f t="shared" si="292"/>
        <v>0</v>
      </c>
      <c r="X927" s="159">
        <f t="shared" si="293"/>
        <v>0</v>
      </c>
      <c r="Y927" s="160"/>
      <c r="Z927" s="160">
        <f t="shared" si="294"/>
        <v>0</v>
      </c>
      <c r="AA927" s="165"/>
      <c r="AB927" s="161">
        <f t="shared" si="295"/>
        <v>0</v>
      </c>
      <c r="AC927" s="162"/>
      <c r="AD927" s="162">
        <f t="shared" si="303"/>
        <v>0</v>
      </c>
      <c r="AE927" s="164"/>
      <c r="AF927" s="164">
        <f t="shared" si="304"/>
        <v>0</v>
      </c>
      <c r="AG927" s="165"/>
      <c r="AH927" s="165">
        <f t="shared" si="305"/>
        <v>0</v>
      </c>
      <c r="AI927" s="166">
        <v>0</v>
      </c>
      <c r="AJ927" s="166">
        <f t="shared" si="306"/>
        <v>0</v>
      </c>
      <c r="AK927" s="162"/>
      <c r="AL927" s="162">
        <f t="shared" si="301"/>
        <v>0</v>
      </c>
      <c r="AM927" s="173"/>
      <c r="AN927" s="167">
        <f t="shared" si="296"/>
        <v>0</v>
      </c>
      <c r="AO927" s="163"/>
      <c r="AP927" s="163">
        <f t="shared" si="297"/>
        <v>0</v>
      </c>
      <c r="AQ927" s="168"/>
      <c r="AR927" s="168">
        <f t="shared" si="298"/>
        <v>0</v>
      </c>
      <c r="AS927" s="170"/>
      <c r="AT927" s="170">
        <f t="shared" si="299"/>
        <v>0</v>
      </c>
      <c r="AU927" s="166"/>
      <c r="AV927" s="166">
        <f t="shared" si="300"/>
        <v>0</v>
      </c>
    </row>
    <row r="928" spans="1:48" s="32" customFormat="1" ht="31.5">
      <c r="A928" s="148" t="s">
        <v>6720</v>
      </c>
      <c r="B928" s="149" t="s">
        <v>5600</v>
      </c>
      <c r="C928" s="149" t="s">
        <v>5601</v>
      </c>
      <c r="D928" s="240" t="s">
        <v>6721</v>
      </c>
      <c r="E928" s="590" t="s">
        <v>12642</v>
      </c>
      <c r="F928" s="203" t="s">
        <v>1540</v>
      </c>
      <c r="G928" s="204" t="s">
        <v>1542</v>
      </c>
      <c r="H928" s="204">
        <v>2</v>
      </c>
      <c r="I928" s="203" t="s">
        <v>3416</v>
      </c>
      <c r="J928" s="205" t="s">
        <v>6722</v>
      </c>
      <c r="K928" s="203" t="s">
        <v>253</v>
      </c>
      <c r="L928" s="205" t="s">
        <v>3417</v>
      </c>
      <c r="M928" s="205" t="s">
        <v>3418</v>
      </c>
      <c r="N928" s="204" t="s">
        <v>5273</v>
      </c>
      <c r="O928" s="204" t="s">
        <v>11</v>
      </c>
      <c r="P928" s="206">
        <v>5000</v>
      </c>
      <c r="Q928" s="206">
        <v>1890</v>
      </c>
      <c r="R928" s="207">
        <v>40000</v>
      </c>
      <c r="S928" s="207">
        <f t="shared" si="291"/>
        <v>75600000</v>
      </c>
      <c r="T928" s="589"/>
      <c r="U928" s="157">
        <v>40000</v>
      </c>
      <c r="V928" s="158">
        <f t="shared" si="302"/>
        <v>40000</v>
      </c>
      <c r="W928" s="159">
        <f t="shared" si="292"/>
        <v>0</v>
      </c>
      <c r="X928" s="159">
        <f t="shared" si="293"/>
        <v>0</v>
      </c>
      <c r="Y928" s="160"/>
      <c r="Z928" s="160">
        <f t="shared" si="294"/>
        <v>0</v>
      </c>
      <c r="AA928" s="165"/>
      <c r="AB928" s="161">
        <f t="shared" si="295"/>
        <v>0</v>
      </c>
      <c r="AC928" s="162"/>
      <c r="AD928" s="162">
        <f t="shared" si="303"/>
        <v>0</v>
      </c>
      <c r="AE928" s="164"/>
      <c r="AF928" s="164">
        <f t="shared" si="304"/>
        <v>0</v>
      </c>
      <c r="AG928" s="165"/>
      <c r="AH928" s="165">
        <f t="shared" si="305"/>
        <v>0</v>
      </c>
      <c r="AI928" s="166">
        <v>0</v>
      </c>
      <c r="AJ928" s="166">
        <f t="shared" si="306"/>
        <v>0</v>
      </c>
      <c r="AK928" s="162"/>
      <c r="AL928" s="162">
        <f t="shared" si="301"/>
        <v>0</v>
      </c>
      <c r="AM928" s="173"/>
      <c r="AN928" s="167">
        <f t="shared" si="296"/>
        <v>0</v>
      </c>
      <c r="AO928" s="163"/>
      <c r="AP928" s="163">
        <f t="shared" si="297"/>
        <v>0</v>
      </c>
      <c r="AQ928" s="168"/>
      <c r="AR928" s="168">
        <f t="shared" si="298"/>
        <v>0</v>
      </c>
      <c r="AS928" s="170"/>
      <c r="AT928" s="170">
        <f t="shared" si="299"/>
        <v>0</v>
      </c>
      <c r="AU928" s="166"/>
      <c r="AV928" s="166">
        <f t="shared" si="300"/>
        <v>0</v>
      </c>
    </row>
    <row r="929" spans="1:48" s="32" customFormat="1" ht="47.25">
      <c r="A929" s="148" t="s">
        <v>6777</v>
      </c>
      <c r="B929" s="149" t="s">
        <v>5600</v>
      </c>
      <c r="C929" s="149" t="s">
        <v>5601</v>
      </c>
      <c r="D929" s="240" t="s">
        <v>4217</v>
      </c>
      <c r="E929" s="590"/>
      <c r="F929" s="203" t="s">
        <v>392</v>
      </c>
      <c r="G929" s="204" t="s">
        <v>267</v>
      </c>
      <c r="H929" s="204">
        <v>2</v>
      </c>
      <c r="I929" s="203" t="s">
        <v>2147</v>
      </c>
      <c r="J929" s="205" t="s">
        <v>6778</v>
      </c>
      <c r="K929" s="203" t="s">
        <v>5104</v>
      </c>
      <c r="L929" s="205" t="s">
        <v>6779</v>
      </c>
      <c r="M929" s="205" t="s">
        <v>350</v>
      </c>
      <c r="N929" s="204" t="s">
        <v>5273</v>
      </c>
      <c r="O929" s="204" t="s">
        <v>658</v>
      </c>
      <c r="P929" s="206">
        <v>60500</v>
      </c>
      <c r="Q929" s="206">
        <v>19600</v>
      </c>
      <c r="R929" s="207">
        <v>1000</v>
      </c>
      <c r="S929" s="207">
        <f t="shared" si="291"/>
        <v>19600000</v>
      </c>
      <c r="T929" s="589"/>
      <c r="U929" s="157">
        <v>1000</v>
      </c>
      <c r="V929" s="158">
        <f t="shared" si="302"/>
        <v>700</v>
      </c>
      <c r="W929" s="159">
        <f t="shared" si="292"/>
        <v>300</v>
      </c>
      <c r="X929" s="159">
        <f t="shared" si="293"/>
        <v>5880000</v>
      </c>
      <c r="Y929" s="160"/>
      <c r="Z929" s="160">
        <f t="shared" si="294"/>
        <v>0</v>
      </c>
      <c r="AA929" s="165"/>
      <c r="AB929" s="161">
        <f t="shared" si="295"/>
        <v>0</v>
      </c>
      <c r="AC929" s="162"/>
      <c r="AD929" s="162">
        <f t="shared" si="303"/>
        <v>0</v>
      </c>
      <c r="AE929" s="164"/>
      <c r="AF929" s="164">
        <f t="shared" si="304"/>
        <v>0</v>
      </c>
      <c r="AG929" s="165"/>
      <c r="AH929" s="165">
        <f t="shared" si="305"/>
        <v>0</v>
      </c>
      <c r="AI929" s="166">
        <v>0</v>
      </c>
      <c r="AJ929" s="166">
        <f t="shared" si="306"/>
        <v>0</v>
      </c>
      <c r="AK929" s="162"/>
      <c r="AL929" s="162">
        <f t="shared" si="301"/>
        <v>0</v>
      </c>
      <c r="AM929" s="173"/>
      <c r="AN929" s="167">
        <f t="shared" si="296"/>
        <v>0</v>
      </c>
      <c r="AO929" s="163">
        <v>300</v>
      </c>
      <c r="AP929" s="163">
        <f t="shared" si="297"/>
        <v>5880000</v>
      </c>
      <c r="AQ929" s="168"/>
      <c r="AR929" s="168">
        <f t="shared" si="298"/>
        <v>0</v>
      </c>
      <c r="AS929" s="170"/>
      <c r="AT929" s="170">
        <f t="shared" si="299"/>
        <v>0</v>
      </c>
      <c r="AU929" s="166"/>
      <c r="AV929" s="166">
        <f t="shared" si="300"/>
        <v>0</v>
      </c>
    </row>
    <row r="930" spans="1:48" s="32" customFormat="1" ht="31.5">
      <c r="A930" s="172" t="s">
        <v>6780</v>
      </c>
      <c r="B930" s="149" t="s">
        <v>5600</v>
      </c>
      <c r="C930" s="149" t="s">
        <v>5601</v>
      </c>
      <c r="D930" s="240" t="s">
        <v>4354</v>
      </c>
      <c r="E930" s="590"/>
      <c r="F930" s="203" t="s">
        <v>634</v>
      </c>
      <c r="G930" s="204" t="s">
        <v>1282</v>
      </c>
      <c r="H930" s="204">
        <v>2</v>
      </c>
      <c r="I930" s="203" t="s">
        <v>4355</v>
      </c>
      <c r="J930" s="205" t="s">
        <v>6781</v>
      </c>
      <c r="K930" s="203" t="s">
        <v>253</v>
      </c>
      <c r="L930" s="205" t="s">
        <v>6782</v>
      </c>
      <c r="M930" s="205" t="s">
        <v>3418</v>
      </c>
      <c r="N930" s="204" t="s">
        <v>5273</v>
      </c>
      <c r="O930" s="204" t="s">
        <v>658</v>
      </c>
      <c r="P930" s="206">
        <v>70000</v>
      </c>
      <c r="Q930" s="206">
        <v>46200</v>
      </c>
      <c r="R930" s="207">
        <v>500</v>
      </c>
      <c r="S930" s="207">
        <f t="shared" si="291"/>
        <v>23100000</v>
      </c>
      <c r="T930" s="589"/>
      <c r="U930" s="157">
        <v>500</v>
      </c>
      <c r="V930" s="158">
        <f t="shared" si="302"/>
        <v>100</v>
      </c>
      <c r="W930" s="159">
        <f t="shared" si="292"/>
        <v>400</v>
      </c>
      <c r="X930" s="159">
        <f t="shared" si="293"/>
        <v>18480000</v>
      </c>
      <c r="Y930" s="160"/>
      <c r="Z930" s="160">
        <f t="shared" si="294"/>
        <v>0</v>
      </c>
      <c r="AA930" s="165">
        <v>100</v>
      </c>
      <c r="AB930" s="161">
        <f t="shared" si="295"/>
        <v>4620000</v>
      </c>
      <c r="AC930" s="162"/>
      <c r="AD930" s="162">
        <f t="shared" si="303"/>
        <v>0</v>
      </c>
      <c r="AE930" s="164">
        <v>100</v>
      </c>
      <c r="AF930" s="164">
        <f t="shared" si="304"/>
        <v>4620000</v>
      </c>
      <c r="AG930" s="165"/>
      <c r="AH930" s="165">
        <f t="shared" si="305"/>
        <v>0</v>
      </c>
      <c r="AI930" s="166">
        <v>0</v>
      </c>
      <c r="AJ930" s="166">
        <f t="shared" si="306"/>
        <v>0</v>
      </c>
      <c r="AK930" s="162"/>
      <c r="AL930" s="162">
        <f t="shared" si="301"/>
        <v>0</v>
      </c>
      <c r="AM930" s="173"/>
      <c r="AN930" s="167">
        <f t="shared" si="296"/>
        <v>0</v>
      </c>
      <c r="AO930" s="163"/>
      <c r="AP930" s="163">
        <f t="shared" si="297"/>
        <v>0</v>
      </c>
      <c r="AQ930" s="168">
        <v>200</v>
      </c>
      <c r="AR930" s="168">
        <f t="shared" si="298"/>
        <v>9240000</v>
      </c>
      <c r="AS930" s="170"/>
      <c r="AT930" s="170">
        <f t="shared" si="299"/>
        <v>0</v>
      </c>
      <c r="AU930" s="166"/>
      <c r="AV930" s="166">
        <f t="shared" si="300"/>
        <v>0</v>
      </c>
    </row>
    <row r="931" spans="1:48" s="32" customFormat="1" ht="31.5">
      <c r="A931" s="148" t="s">
        <v>8375</v>
      </c>
      <c r="B931" s="149" t="s">
        <v>5600</v>
      </c>
      <c r="C931" s="149" t="s">
        <v>5601</v>
      </c>
      <c r="D931" s="240" t="s">
        <v>5010</v>
      </c>
      <c r="E931" s="590"/>
      <c r="F931" s="203" t="s">
        <v>1289</v>
      </c>
      <c r="G931" s="204" t="s">
        <v>8376</v>
      </c>
      <c r="H931" s="204">
        <v>5</v>
      </c>
      <c r="I931" s="203" t="s">
        <v>8377</v>
      </c>
      <c r="J931" s="205" t="s">
        <v>8341</v>
      </c>
      <c r="K931" s="203" t="s">
        <v>6049</v>
      </c>
      <c r="L931" s="205" t="s">
        <v>8378</v>
      </c>
      <c r="M931" s="205" t="s">
        <v>8379</v>
      </c>
      <c r="N931" s="204" t="s">
        <v>5273</v>
      </c>
      <c r="O931" s="204" t="s">
        <v>11</v>
      </c>
      <c r="P931" s="206">
        <v>3450</v>
      </c>
      <c r="Q931" s="206">
        <v>3400</v>
      </c>
      <c r="R931" s="207">
        <v>20000</v>
      </c>
      <c r="S931" s="207">
        <f t="shared" si="291"/>
        <v>68000000</v>
      </c>
      <c r="T931" s="589"/>
      <c r="U931" s="157">
        <v>20000</v>
      </c>
      <c r="V931" s="158">
        <f t="shared" si="302"/>
        <v>20000</v>
      </c>
      <c r="W931" s="159">
        <f t="shared" si="292"/>
        <v>0</v>
      </c>
      <c r="X931" s="159">
        <f t="shared" si="293"/>
        <v>0</v>
      </c>
      <c r="Y931" s="160"/>
      <c r="Z931" s="160">
        <f t="shared" si="294"/>
        <v>0</v>
      </c>
      <c r="AA931" s="165"/>
      <c r="AB931" s="161">
        <f t="shared" si="295"/>
        <v>0</v>
      </c>
      <c r="AC931" s="162"/>
      <c r="AD931" s="162">
        <f t="shared" si="303"/>
        <v>0</v>
      </c>
      <c r="AE931" s="164"/>
      <c r="AF931" s="164">
        <f t="shared" si="304"/>
        <v>0</v>
      </c>
      <c r="AG931" s="165"/>
      <c r="AH931" s="165">
        <f t="shared" si="305"/>
        <v>0</v>
      </c>
      <c r="AI931" s="166">
        <v>0</v>
      </c>
      <c r="AJ931" s="166">
        <f t="shared" si="306"/>
        <v>0</v>
      </c>
      <c r="AK931" s="162"/>
      <c r="AL931" s="162">
        <f t="shared" si="301"/>
        <v>0</v>
      </c>
      <c r="AM931" s="173"/>
      <c r="AN931" s="167">
        <f t="shared" si="296"/>
        <v>0</v>
      </c>
      <c r="AO931" s="163"/>
      <c r="AP931" s="163">
        <f t="shared" si="297"/>
        <v>0</v>
      </c>
      <c r="AQ931" s="168"/>
      <c r="AR931" s="168">
        <f t="shared" si="298"/>
        <v>0</v>
      </c>
      <c r="AS931" s="170"/>
      <c r="AT931" s="170">
        <f t="shared" si="299"/>
        <v>0</v>
      </c>
      <c r="AU931" s="166"/>
      <c r="AV931" s="166">
        <f t="shared" si="300"/>
        <v>0</v>
      </c>
    </row>
    <row r="932" spans="1:48" ht="27" customHeight="1">
      <c r="A932" s="264"/>
      <c r="B932" s="265"/>
      <c r="C932" s="265"/>
      <c r="D932" s="264"/>
      <c r="E932" s="593"/>
      <c r="F932" s="267" t="s">
        <v>8946</v>
      </c>
      <c r="G932" s="268"/>
      <c r="H932" s="268"/>
      <c r="I932" s="267"/>
      <c r="J932" s="269"/>
      <c r="K932" s="269"/>
      <c r="L932" s="269"/>
      <c r="M932" s="269"/>
      <c r="N932" s="268"/>
      <c r="O932" s="268"/>
      <c r="P932" s="269"/>
      <c r="Q932" s="269"/>
      <c r="R932" s="269"/>
      <c r="S932" s="270"/>
      <c r="T932" s="594"/>
      <c r="U932" s="271"/>
      <c r="V932" s="272"/>
      <c r="W932" s="273"/>
      <c r="X932" s="273">
        <f>SUM(X5:X931)</f>
        <v>9270442052</v>
      </c>
      <c r="Y932" s="274"/>
      <c r="Z932" s="274">
        <f>SUM(Z5:Z931)</f>
        <v>323189640</v>
      </c>
      <c r="AA932" s="274"/>
      <c r="AB932" s="274">
        <f t="shared" ref="AB932:AR932" si="307">SUM(AB5:AB931)</f>
        <v>1290379912</v>
      </c>
      <c r="AC932" s="274">
        <f t="shared" si="307"/>
        <v>232380</v>
      </c>
      <c r="AD932" s="274">
        <f t="shared" si="307"/>
        <v>120905100</v>
      </c>
      <c r="AE932" s="274">
        <f t="shared" si="307"/>
        <v>117724</v>
      </c>
      <c r="AF932" s="274">
        <f t="shared" si="307"/>
        <v>211123080</v>
      </c>
      <c r="AG932" s="274">
        <f t="shared" si="307"/>
        <v>1095926</v>
      </c>
      <c r="AH932" s="274">
        <f t="shared" si="307"/>
        <v>1523877658</v>
      </c>
      <c r="AI932" s="274">
        <f t="shared" si="307"/>
        <v>222834</v>
      </c>
      <c r="AJ932" s="274">
        <f t="shared" si="307"/>
        <v>304337228</v>
      </c>
      <c r="AK932" s="274">
        <f t="shared" si="307"/>
        <v>418334</v>
      </c>
      <c r="AL932" s="274">
        <f t="shared" si="307"/>
        <v>784083344</v>
      </c>
      <c r="AM932" s="274">
        <f t="shared" si="307"/>
        <v>949717</v>
      </c>
      <c r="AN932" s="274">
        <f t="shared" si="307"/>
        <v>1365201540</v>
      </c>
      <c r="AO932" s="274">
        <f t="shared" si="307"/>
        <v>64974</v>
      </c>
      <c r="AP932" s="274">
        <f t="shared" si="307"/>
        <v>327490988</v>
      </c>
      <c r="AQ932" s="274">
        <f t="shared" si="307"/>
        <v>401870</v>
      </c>
      <c r="AR932" s="274">
        <f t="shared" si="307"/>
        <v>769346570</v>
      </c>
      <c r="AS932" s="274"/>
      <c r="AT932" s="274">
        <f>SUM(AT5:AT931)</f>
        <v>1547162582</v>
      </c>
      <c r="AU932" s="274"/>
      <c r="AV932" s="274">
        <f>SUM(AV5:AV931)</f>
        <v>703344410</v>
      </c>
    </row>
    <row r="933" spans="1:48" ht="33.75" customHeight="1">
      <c r="A933" s="275"/>
      <c r="P933" s="134"/>
      <c r="Q933" s="134"/>
      <c r="R933" s="134"/>
      <c r="S933" s="134"/>
      <c r="T933" s="596"/>
      <c r="U933" s="278"/>
      <c r="V933" s="279"/>
      <c r="W933" s="280"/>
      <c r="X933" s="280">
        <f>Z932+AB932+AD932+AF932+AH932+AJ932+AL932+AN932+AP932+AR932+AT932+AV932</f>
        <v>9270442052</v>
      </c>
      <c r="AH933" s="282">
        <v>1545307058</v>
      </c>
      <c r="AN933" s="285">
        <v>1365201540</v>
      </c>
      <c r="AT933" s="286">
        <f>AT932+4201920</f>
        <v>1551364502</v>
      </c>
      <c r="AV933" s="281">
        <v>667260950</v>
      </c>
    </row>
    <row r="934" spans="1:48" ht="19.5" customHeight="1">
      <c r="A934" s="275"/>
      <c r="P934" s="134"/>
      <c r="Q934" s="134"/>
      <c r="R934" s="134"/>
      <c r="S934" s="134"/>
      <c r="T934" s="596"/>
      <c r="U934" s="278"/>
      <c r="V934" s="279"/>
      <c r="W934" s="280"/>
      <c r="X934" s="280"/>
      <c r="AH934" s="282">
        <f>AH933-AH932</f>
        <v>21429400</v>
      </c>
      <c r="AN934" s="285">
        <f>AN932-AN933</f>
        <v>0</v>
      </c>
      <c r="AV934" s="281" t="s">
        <v>12652</v>
      </c>
    </row>
    <row r="935" spans="1:48" ht="19.5" customHeight="1">
      <c r="A935" s="275"/>
      <c r="P935" s="134"/>
      <c r="Q935" s="134"/>
      <c r="R935" s="134"/>
      <c r="S935" s="134"/>
      <c r="T935" s="596"/>
      <c r="U935" s="278"/>
      <c r="V935" s="279"/>
      <c r="W935" s="280"/>
      <c r="X935" s="280"/>
      <c r="AV935" s="281">
        <f>AV933+36083460</f>
        <v>703344410</v>
      </c>
    </row>
    <row r="936" spans="1:48" ht="19.5" customHeight="1">
      <c r="A936" s="275"/>
      <c r="P936" s="134"/>
      <c r="Q936" s="134"/>
      <c r="R936" s="134"/>
      <c r="S936" s="134"/>
      <c r="T936" s="596"/>
      <c r="U936" s="278"/>
      <c r="V936" s="279"/>
      <c r="W936" s="280"/>
      <c r="X936" s="280"/>
    </row>
    <row r="937" spans="1:48" ht="19.5" customHeight="1">
      <c r="A937" s="275"/>
      <c r="P937" s="134"/>
      <c r="Q937" s="134"/>
      <c r="R937" s="134"/>
      <c r="S937" s="134"/>
      <c r="T937" s="596"/>
      <c r="U937" s="278"/>
      <c r="V937" s="279"/>
      <c r="W937" s="280"/>
      <c r="X937" s="280"/>
    </row>
    <row r="938" spans="1:48" ht="19.5" customHeight="1">
      <c r="A938" s="275"/>
      <c r="P938" s="134"/>
      <c r="Q938" s="134"/>
      <c r="R938" s="134"/>
      <c r="S938" s="134"/>
      <c r="T938" s="596"/>
      <c r="U938" s="278"/>
      <c r="V938" s="279"/>
      <c r="W938" s="280"/>
      <c r="X938" s="280"/>
    </row>
    <row r="939" spans="1:48" ht="19.5" customHeight="1">
      <c r="A939" s="275"/>
      <c r="P939" s="134"/>
      <c r="Q939" s="134"/>
      <c r="R939" s="134"/>
      <c r="S939" s="134"/>
      <c r="T939" s="596"/>
      <c r="U939" s="278"/>
      <c r="V939" s="279"/>
      <c r="W939" s="280"/>
      <c r="X939" s="280"/>
    </row>
    <row r="940" spans="1:48" s="283" customFormat="1" ht="19.5" customHeight="1">
      <c r="A940" s="275"/>
      <c r="B940" s="276"/>
      <c r="C940" s="276"/>
      <c r="D940" s="275"/>
      <c r="E940" s="595"/>
      <c r="F940" s="276"/>
      <c r="G940" s="277"/>
      <c r="H940" s="134"/>
      <c r="I940" s="276"/>
      <c r="J940" s="134"/>
      <c r="K940" s="134"/>
      <c r="L940" s="134"/>
      <c r="M940" s="134"/>
      <c r="N940" s="277"/>
      <c r="O940" s="277"/>
      <c r="P940" s="134"/>
      <c r="Q940" s="134"/>
      <c r="R940" s="134"/>
      <c r="S940" s="134"/>
      <c r="T940" s="596"/>
      <c r="U940" s="278"/>
      <c r="V940" s="279"/>
      <c r="W940" s="280"/>
      <c r="X940" s="280"/>
      <c r="Y940" s="281"/>
      <c r="Z940" s="281"/>
      <c r="AA940" s="282"/>
      <c r="AB940" s="282"/>
      <c r="AE940" s="284"/>
      <c r="AF940" s="284"/>
      <c r="AG940" s="282"/>
      <c r="AH940" s="282"/>
      <c r="AI940" s="281"/>
      <c r="AJ940" s="281"/>
      <c r="AM940" s="285"/>
      <c r="AN940" s="285"/>
      <c r="AO940" s="284"/>
      <c r="AP940" s="284"/>
      <c r="AS940" s="286"/>
      <c r="AT940" s="286"/>
      <c r="AU940" s="281"/>
      <c r="AV940" s="281"/>
    </row>
    <row r="941" spans="1:48" s="283" customFormat="1" ht="19.5" customHeight="1">
      <c r="A941" s="275"/>
      <c r="B941" s="276"/>
      <c r="C941" s="276"/>
      <c r="D941" s="275"/>
      <c r="E941" s="595"/>
      <c r="F941" s="276"/>
      <c r="G941" s="277"/>
      <c r="H941" s="134"/>
      <c r="I941" s="276"/>
      <c r="J941" s="134"/>
      <c r="K941" s="134"/>
      <c r="L941" s="134"/>
      <c r="M941" s="134"/>
      <c r="N941" s="277"/>
      <c r="O941" s="277"/>
      <c r="P941" s="134"/>
      <c r="Q941" s="134"/>
      <c r="R941" s="134"/>
      <c r="S941" s="134"/>
      <c r="T941" s="596"/>
      <c r="U941" s="278"/>
      <c r="V941" s="279"/>
      <c r="W941" s="280"/>
      <c r="X941" s="280"/>
      <c r="Y941" s="281"/>
      <c r="Z941" s="281"/>
      <c r="AA941" s="282"/>
      <c r="AB941" s="282"/>
      <c r="AE941" s="284"/>
      <c r="AF941" s="284"/>
      <c r="AG941" s="282"/>
      <c r="AH941" s="282"/>
      <c r="AI941" s="281"/>
      <c r="AJ941" s="281"/>
      <c r="AM941" s="285"/>
      <c r="AN941" s="285"/>
      <c r="AO941" s="284"/>
      <c r="AP941" s="284"/>
      <c r="AS941" s="286"/>
      <c r="AT941" s="286"/>
      <c r="AU941" s="281"/>
      <c r="AV941" s="281"/>
    </row>
    <row r="942" spans="1:48" s="283" customFormat="1" ht="19.5" customHeight="1">
      <c r="A942" s="275"/>
      <c r="B942" s="276"/>
      <c r="C942" s="276"/>
      <c r="D942" s="275"/>
      <c r="E942" s="595"/>
      <c r="F942" s="276"/>
      <c r="G942" s="277"/>
      <c r="H942" s="134"/>
      <c r="I942" s="276"/>
      <c r="J942" s="134"/>
      <c r="K942" s="134"/>
      <c r="L942" s="134"/>
      <c r="M942" s="134"/>
      <c r="N942" s="277"/>
      <c r="O942" s="277"/>
      <c r="P942" s="134"/>
      <c r="Q942" s="134"/>
      <c r="R942" s="134"/>
      <c r="S942" s="134"/>
      <c r="T942" s="596"/>
      <c r="U942" s="278"/>
      <c r="V942" s="279"/>
      <c r="W942" s="280"/>
      <c r="X942" s="280"/>
      <c r="Y942" s="281"/>
      <c r="Z942" s="281"/>
      <c r="AA942" s="282"/>
      <c r="AB942" s="282"/>
      <c r="AE942" s="284"/>
      <c r="AF942" s="284"/>
      <c r="AG942" s="282"/>
      <c r="AH942" s="282"/>
      <c r="AI942" s="281"/>
      <c r="AJ942" s="281"/>
      <c r="AM942" s="285"/>
      <c r="AN942" s="285"/>
      <c r="AO942" s="284"/>
      <c r="AP942" s="284"/>
      <c r="AS942" s="286"/>
      <c r="AT942" s="286"/>
      <c r="AU942" s="281"/>
      <c r="AV942" s="281"/>
    </row>
    <row r="943" spans="1:48" s="283" customFormat="1" ht="19.5" customHeight="1">
      <c r="A943" s="275"/>
      <c r="B943" s="276"/>
      <c r="C943" s="276"/>
      <c r="D943" s="275"/>
      <c r="E943" s="595"/>
      <c r="F943" s="276"/>
      <c r="G943" s="277"/>
      <c r="H943" s="134"/>
      <c r="I943" s="276"/>
      <c r="J943" s="134"/>
      <c r="K943" s="134"/>
      <c r="L943" s="134"/>
      <c r="M943" s="134"/>
      <c r="N943" s="277"/>
      <c r="O943" s="277"/>
      <c r="P943" s="134"/>
      <c r="Q943" s="134"/>
      <c r="R943" s="134"/>
      <c r="S943" s="134"/>
      <c r="T943" s="596"/>
      <c r="U943" s="278"/>
      <c r="V943" s="279"/>
      <c r="W943" s="280"/>
      <c r="X943" s="280"/>
      <c r="Y943" s="281"/>
      <c r="Z943" s="281"/>
      <c r="AA943" s="282"/>
      <c r="AB943" s="282"/>
      <c r="AE943" s="284"/>
      <c r="AF943" s="284"/>
      <c r="AG943" s="282"/>
      <c r="AH943" s="282"/>
      <c r="AI943" s="281"/>
      <c r="AJ943" s="281"/>
      <c r="AM943" s="285"/>
      <c r="AN943" s="285"/>
      <c r="AO943" s="284"/>
      <c r="AP943" s="284"/>
      <c r="AS943" s="286"/>
      <c r="AT943" s="286"/>
      <c r="AU943" s="281"/>
      <c r="AV943" s="281"/>
    </row>
    <row r="944" spans="1:48" s="283" customFormat="1" ht="19.5" customHeight="1">
      <c r="A944" s="275"/>
      <c r="B944" s="276"/>
      <c r="C944" s="276"/>
      <c r="D944" s="275"/>
      <c r="E944" s="595"/>
      <c r="F944" s="276"/>
      <c r="G944" s="277"/>
      <c r="H944" s="134"/>
      <c r="I944" s="276"/>
      <c r="J944" s="134"/>
      <c r="K944" s="134"/>
      <c r="L944" s="134"/>
      <c r="M944" s="134"/>
      <c r="N944" s="277"/>
      <c r="O944" s="277"/>
      <c r="P944" s="134"/>
      <c r="Q944" s="134"/>
      <c r="R944" s="134"/>
      <c r="S944" s="134"/>
      <c r="T944" s="596"/>
      <c r="U944" s="278"/>
      <c r="V944" s="279"/>
      <c r="W944" s="280"/>
      <c r="X944" s="280"/>
      <c r="Y944" s="281"/>
      <c r="Z944" s="281"/>
      <c r="AA944" s="282"/>
      <c r="AB944" s="282"/>
      <c r="AE944" s="284"/>
      <c r="AF944" s="284"/>
      <c r="AG944" s="282"/>
      <c r="AH944" s="282"/>
      <c r="AI944" s="281"/>
      <c r="AJ944" s="281"/>
      <c r="AM944" s="285"/>
      <c r="AN944" s="285"/>
      <c r="AO944" s="284"/>
      <c r="AP944" s="284"/>
      <c r="AS944" s="286"/>
      <c r="AT944" s="286"/>
      <c r="AU944" s="281"/>
      <c r="AV944" s="281"/>
    </row>
    <row r="945" spans="1:48" s="283" customFormat="1" ht="19.5" customHeight="1">
      <c r="A945" s="275"/>
      <c r="B945" s="276"/>
      <c r="C945" s="276"/>
      <c r="D945" s="275"/>
      <c r="E945" s="595"/>
      <c r="F945" s="276"/>
      <c r="G945" s="277"/>
      <c r="H945" s="134"/>
      <c r="I945" s="276"/>
      <c r="J945" s="134"/>
      <c r="K945" s="134"/>
      <c r="L945" s="134"/>
      <c r="M945" s="134"/>
      <c r="N945" s="277"/>
      <c r="O945" s="277"/>
      <c r="P945" s="134"/>
      <c r="Q945" s="134"/>
      <c r="R945" s="134"/>
      <c r="S945" s="134"/>
      <c r="T945" s="596"/>
      <c r="U945" s="278"/>
      <c r="V945" s="279"/>
      <c r="W945" s="280"/>
      <c r="X945" s="280"/>
      <c r="Y945" s="281"/>
      <c r="Z945" s="281"/>
      <c r="AA945" s="282"/>
      <c r="AB945" s="282"/>
      <c r="AE945" s="284"/>
      <c r="AF945" s="284"/>
      <c r="AG945" s="282"/>
      <c r="AH945" s="282"/>
      <c r="AI945" s="281"/>
      <c r="AJ945" s="281"/>
      <c r="AM945" s="285"/>
      <c r="AN945" s="285"/>
      <c r="AO945" s="284"/>
      <c r="AP945" s="284"/>
      <c r="AS945" s="286"/>
      <c r="AT945" s="286"/>
      <c r="AU945" s="281"/>
      <c r="AV945" s="281"/>
    </row>
    <row r="946" spans="1:48" s="283" customFormat="1" ht="19.5" customHeight="1">
      <c r="A946" s="275"/>
      <c r="B946" s="276"/>
      <c r="C946" s="276"/>
      <c r="D946" s="275"/>
      <c r="E946" s="595"/>
      <c r="F946" s="276"/>
      <c r="G946" s="277"/>
      <c r="H946" s="134"/>
      <c r="I946" s="276"/>
      <c r="J946" s="134"/>
      <c r="K946" s="134"/>
      <c r="L946" s="134"/>
      <c r="M946" s="134"/>
      <c r="N946" s="277"/>
      <c r="O946" s="277"/>
      <c r="P946" s="134"/>
      <c r="Q946" s="134"/>
      <c r="R946" s="134"/>
      <c r="S946" s="134"/>
      <c r="T946" s="596"/>
      <c r="U946" s="278"/>
      <c r="V946" s="279"/>
      <c r="W946" s="280"/>
      <c r="X946" s="280"/>
      <c r="Y946" s="281"/>
      <c r="Z946" s="281"/>
      <c r="AA946" s="282"/>
      <c r="AB946" s="282"/>
      <c r="AE946" s="284"/>
      <c r="AF946" s="284"/>
      <c r="AG946" s="282"/>
      <c r="AH946" s="282"/>
      <c r="AI946" s="281"/>
      <c r="AJ946" s="281"/>
      <c r="AM946" s="285"/>
      <c r="AN946" s="285"/>
      <c r="AO946" s="284"/>
      <c r="AP946" s="284"/>
      <c r="AS946" s="286"/>
      <c r="AT946" s="286"/>
      <c r="AU946" s="281"/>
      <c r="AV946" s="281"/>
    </row>
    <row r="947" spans="1:48" s="283" customFormat="1" ht="19.5" customHeight="1">
      <c r="A947" s="275"/>
      <c r="B947" s="276"/>
      <c r="C947" s="276"/>
      <c r="D947" s="275"/>
      <c r="E947" s="595"/>
      <c r="F947" s="276"/>
      <c r="G947" s="277"/>
      <c r="H947" s="134"/>
      <c r="I947" s="276"/>
      <c r="J947" s="134"/>
      <c r="K947" s="134"/>
      <c r="L947" s="134"/>
      <c r="M947" s="134"/>
      <c r="N947" s="277"/>
      <c r="O947" s="277"/>
      <c r="P947" s="134"/>
      <c r="Q947" s="134"/>
      <c r="R947" s="134"/>
      <c r="S947" s="134"/>
      <c r="T947" s="596"/>
      <c r="U947" s="278"/>
      <c r="V947" s="279"/>
      <c r="W947" s="280"/>
      <c r="X947" s="280"/>
      <c r="Y947" s="281"/>
      <c r="Z947" s="281"/>
      <c r="AA947" s="282"/>
      <c r="AB947" s="282"/>
      <c r="AE947" s="284"/>
      <c r="AF947" s="284"/>
      <c r="AG947" s="282"/>
      <c r="AH947" s="282"/>
      <c r="AI947" s="281"/>
      <c r="AJ947" s="281"/>
      <c r="AM947" s="285"/>
      <c r="AN947" s="285"/>
      <c r="AO947" s="284"/>
      <c r="AP947" s="284"/>
      <c r="AS947" s="286"/>
      <c r="AT947" s="286"/>
      <c r="AU947" s="281"/>
      <c r="AV947" s="281"/>
    </row>
    <row r="948" spans="1:48" s="283" customFormat="1" ht="19.5" customHeight="1">
      <c r="A948" s="275"/>
      <c r="B948" s="276"/>
      <c r="C948" s="276"/>
      <c r="D948" s="275"/>
      <c r="E948" s="595"/>
      <c r="F948" s="276"/>
      <c r="G948" s="277"/>
      <c r="H948" s="134"/>
      <c r="I948" s="276"/>
      <c r="J948" s="134"/>
      <c r="K948" s="134"/>
      <c r="L948" s="134"/>
      <c r="M948" s="134"/>
      <c r="N948" s="277"/>
      <c r="O948" s="277"/>
      <c r="P948" s="134"/>
      <c r="Q948" s="134"/>
      <c r="R948" s="134"/>
      <c r="S948" s="134"/>
      <c r="T948" s="596"/>
      <c r="U948" s="278"/>
      <c r="V948" s="279"/>
      <c r="W948" s="280"/>
      <c r="X948" s="280"/>
      <c r="Y948" s="281"/>
      <c r="Z948" s="281"/>
      <c r="AA948" s="282"/>
      <c r="AB948" s="282"/>
      <c r="AE948" s="284"/>
      <c r="AF948" s="284"/>
      <c r="AG948" s="282"/>
      <c r="AH948" s="282"/>
      <c r="AI948" s="281"/>
      <c r="AJ948" s="281"/>
      <c r="AM948" s="285"/>
      <c r="AN948" s="285"/>
      <c r="AO948" s="284"/>
      <c r="AP948" s="284"/>
      <c r="AS948" s="286"/>
      <c r="AT948" s="286"/>
      <c r="AU948" s="281"/>
      <c r="AV948" s="281"/>
    </row>
    <row r="949" spans="1:48" s="283" customFormat="1" ht="19.5" customHeight="1">
      <c r="A949" s="275"/>
      <c r="B949" s="276"/>
      <c r="C949" s="276"/>
      <c r="D949" s="275"/>
      <c r="E949" s="595"/>
      <c r="F949" s="276"/>
      <c r="G949" s="277"/>
      <c r="H949" s="134"/>
      <c r="I949" s="276"/>
      <c r="J949" s="134"/>
      <c r="K949" s="134"/>
      <c r="L949" s="134"/>
      <c r="M949" s="134"/>
      <c r="N949" s="277"/>
      <c r="O949" s="277"/>
      <c r="P949" s="134"/>
      <c r="Q949" s="134"/>
      <c r="R949" s="134"/>
      <c r="S949" s="134"/>
      <c r="T949" s="596"/>
      <c r="U949" s="278"/>
      <c r="V949" s="279"/>
      <c r="W949" s="280"/>
      <c r="X949" s="280"/>
      <c r="Y949" s="281"/>
      <c r="Z949" s="281"/>
      <c r="AA949" s="282"/>
      <c r="AB949" s="282"/>
      <c r="AE949" s="284"/>
      <c r="AF949" s="284"/>
      <c r="AG949" s="282"/>
      <c r="AH949" s="282"/>
      <c r="AI949" s="281"/>
      <c r="AJ949" s="281"/>
      <c r="AM949" s="285"/>
      <c r="AN949" s="285"/>
      <c r="AO949" s="284"/>
      <c r="AP949" s="284"/>
      <c r="AS949" s="286"/>
      <c r="AT949" s="286"/>
      <c r="AU949" s="281"/>
      <c r="AV949" s="281"/>
    </row>
    <row r="950" spans="1:48" s="283" customFormat="1" ht="19.5" customHeight="1">
      <c r="A950" s="275"/>
      <c r="B950" s="276"/>
      <c r="C950" s="276"/>
      <c r="D950" s="275"/>
      <c r="E950" s="595"/>
      <c r="F950" s="276"/>
      <c r="G950" s="277"/>
      <c r="H950" s="134"/>
      <c r="I950" s="276"/>
      <c r="J950" s="134"/>
      <c r="K950" s="134"/>
      <c r="L950" s="134"/>
      <c r="M950" s="134"/>
      <c r="N950" s="277"/>
      <c r="O950" s="277"/>
      <c r="P950" s="134"/>
      <c r="Q950" s="134"/>
      <c r="R950" s="134"/>
      <c r="S950" s="134"/>
      <c r="T950" s="596"/>
      <c r="U950" s="278"/>
      <c r="V950" s="279"/>
      <c r="W950" s="280"/>
      <c r="X950" s="280"/>
      <c r="Y950" s="281"/>
      <c r="Z950" s="281"/>
      <c r="AA950" s="282"/>
      <c r="AB950" s="282"/>
      <c r="AE950" s="284"/>
      <c r="AF950" s="284"/>
      <c r="AG950" s="282"/>
      <c r="AH950" s="282"/>
      <c r="AI950" s="281"/>
      <c r="AJ950" s="281"/>
      <c r="AM950" s="285"/>
      <c r="AN950" s="285"/>
      <c r="AO950" s="284"/>
      <c r="AP950" s="284"/>
      <c r="AS950" s="286"/>
      <c r="AT950" s="286"/>
      <c r="AU950" s="281"/>
      <c r="AV950" s="281"/>
    </row>
    <row r="951" spans="1:48" s="283" customFormat="1" ht="19.5" customHeight="1">
      <c r="A951" s="275"/>
      <c r="B951" s="276"/>
      <c r="C951" s="276"/>
      <c r="D951" s="275"/>
      <c r="E951" s="595"/>
      <c r="F951" s="276"/>
      <c r="G951" s="277"/>
      <c r="H951" s="134"/>
      <c r="I951" s="276"/>
      <c r="J951" s="134"/>
      <c r="K951" s="134"/>
      <c r="L951" s="134"/>
      <c r="M951" s="134"/>
      <c r="N951" s="277"/>
      <c r="O951" s="277"/>
      <c r="P951" s="134"/>
      <c r="Q951" s="134"/>
      <c r="R951" s="134"/>
      <c r="S951" s="134"/>
      <c r="T951" s="596"/>
      <c r="U951" s="278"/>
      <c r="V951" s="279"/>
      <c r="W951" s="280"/>
      <c r="X951" s="280"/>
      <c r="Y951" s="281"/>
      <c r="Z951" s="281"/>
      <c r="AA951" s="282"/>
      <c r="AB951" s="282"/>
      <c r="AE951" s="284"/>
      <c r="AF951" s="284"/>
      <c r="AG951" s="282"/>
      <c r="AH951" s="282"/>
      <c r="AI951" s="281"/>
      <c r="AJ951" s="281"/>
      <c r="AM951" s="285"/>
      <c r="AN951" s="285"/>
      <c r="AO951" s="284"/>
      <c r="AP951" s="284"/>
      <c r="AS951" s="286"/>
      <c r="AT951" s="286"/>
      <c r="AU951" s="281"/>
      <c r="AV951" s="281"/>
    </row>
    <row r="952" spans="1:48" s="283" customFormat="1" ht="19.5" customHeight="1">
      <c r="A952" s="275"/>
      <c r="B952" s="276"/>
      <c r="C952" s="276"/>
      <c r="D952" s="275"/>
      <c r="E952" s="595"/>
      <c r="F952" s="276"/>
      <c r="G952" s="277"/>
      <c r="H952" s="134"/>
      <c r="I952" s="276"/>
      <c r="J952" s="134"/>
      <c r="K952" s="134"/>
      <c r="L952" s="134"/>
      <c r="M952" s="134"/>
      <c r="N952" s="277"/>
      <c r="O952" s="277"/>
      <c r="P952" s="134"/>
      <c r="Q952" s="134"/>
      <c r="R952" s="134"/>
      <c r="S952" s="134"/>
      <c r="T952" s="596"/>
      <c r="U952" s="278"/>
      <c r="V952" s="279"/>
      <c r="W952" s="280"/>
      <c r="X952" s="280"/>
      <c r="Y952" s="281"/>
      <c r="Z952" s="281"/>
      <c r="AA952" s="282"/>
      <c r="AB952" s="282"/>
      <c r="AE952" s="284"/>
      <c r="AF952" s="284"/>
      <c r="AG952" s="282"/>
      <c r="AH952" s="282"/>
      <c r="AI952" s="281"/>
      <c r="AJ952" s="281"/>
      <c r="AM952" s="285"/>
      <c r="AN952" s="285"/>
      <c r="AO952" s="284"/>
      <c r="AP952" s="284"/>
      <c r="AS952" s="286"/>
      <c r="AT952" s="286"/>
      <c r="AU952" s="281"/>
      <c r="AV952" s="281"/>
    </row>
    <row r="953" spans="1:48" s="283" customFormat="1" ht="19.5" customHeight="1">
      <c r="A953" s="275"/>
      <c r="B953" s="276"/>
      <c r="C953" s="276"/>
      <c r="D953" s="275"/>
      <c r="E953" s="595"/>
      <c r="F953" s="276"/>
      <c r="G953" s="277"/>
      <c r="H953" s="134"/>
      <c r="I953" s="276"/>
      <c r="J953" s="134"/>
      <c r="K953" s="134"/>
      <c r="L953" s="134"/>
      <c r="M953" s="134"/>
      <c r="N953" s="277"/>
      <c r="O953" s="277"/>
      <c r="P953" s="134"/>
      <c r="Q953" s="134"/>
      <c r="R953" s="134"/>
      <c r="S953" s="134"/>
      <c r="T953" s="596"/>
      <c r="U953" s="278"/>
      <c r="V953" s="279"/>
      <c r="W953" s="280"/>
      <c r="X953" s="280"/>
      <c r="Y953" s="281"/>
      <c r="Z953" s="281"/>
      <c r="AA953" s="282"/>
      <c r="AB953" s="282"/>
      <c r="AE953" s="284"/>
      <c r="AF953" s="284"/>
      <c r="AG953" s="282"/>
      <c r="AH953" s="282"/>
      <c r="AI953" s="281"/>
      <c r="AJ953" s="281"/>
      <c r="AM953" s="285"/>
      <c r="AN953" s="285"/>
      <c r="AO953" s="284"/>
      <c r="AP953" s="284"/>
      <c r="AS953" s="286"/>
      <c r="AT953" s="286"/>
      <c r="AU953" s="281"/>
      <c r="AV953" s="281"/>
    </row>
    <row r="954" spans="1:48" s="283" customFormat="1" ht="19.5" customHeight="1">
      <c r="A954" s="275"/>
      <c r="B954" s="276"/>
      <c r="C954" s="276"/>
      <c r="D954" s="275"/>
      <c r="E954" s="595"/>
      <c r="F954" s="276"/>
      <c r="G954" s="277"/>
      <c r="H954" s="134"/>
      <c r="I954" s="276"/>
      <c r="J954" s="134"/>
      <c r="K954" s="134"/>
      <c r="L954" s="134"/>
      <c r="M954" s="134"/>
      <c r="N954" s="277"/>
      <c r="O954" s="277"/>
      <c r="P954" s="134"/>
      <c r="Q954" s="134"/>
      <c r="R954" s="134"/>
      <c r="S954" s="134"/>
      <c r="T954" s="596"/>
      <c r="U954" s="278"/>
      <c r="V954" s="279"/>
      <c r="W954" s="280"/>
      <c r="X954" s="280"/>
      <c r="Y954" s="281"/>
      <c r="Z954" s="281"/>
      <c r="AA954" s="282"/>
      <c r="AB954" s="282"/>
      <c r="AE954" s="284"/>
      <c r="AF954" s="284"/>
      <c r="AG954" s="282"/>
      <c r="AH954" s="282"/>
      <c r="AI954" s="281"/>
      <c r="AJ954" s="281"/>
      <c r="AM954" s="285"/>
      <c r="AN954" s="285"/>
      <c r="AO954" s="284"/>
      <c r="AP954" s="284"/>
      <c r="AS954" s="286"/>
      <c r="AT954" s="286"/>
      <c r="AU954" s="281"/>
      <c r="AV954" s="281"/>
    </row>
    <row r="955" spans="1:48" s="283" customFormat="1" ht="19.5" customHeight="1">
      <c r="A955" s="275"/>
      <c r="B955" s="276"/>
      <c r="C955" s="276"/>
      <c r="D955" s="275"/>
      <c r="E955" s="595"/>
      <c r="F955" s="276"/>
      <c r="G955" s="277"/>
      <c r="H955" s="134"/>
      <c r="I955" s="276"/>
      <c r="J955" s="134"/>
      <c r="K955" s="134"/>
      <c r="L955" s="134"/>
      <c r="M955" s="134"/>
      <c r="N955" s="277"/>
      <c r="O955" s="277"/>
      <c r="P955" s="134"/>
      <c r="Q955" s="134"/>
      <c r="R955" s="134"/>
      <c r="S955" s="134"/>
      <c r="T955" s="596"/>
      <c r="U955" s="278"/>
      <c r="V955" s="279"/>
      <c r="W955" s="280"/>
      <c r="X955" s="280"/>
      <c r="Y955" s="281"/>
      <c r="Z955" s="281"/>
      <c r="AA955" s="282"/>
      <c r="AB955" s="282"/>
      <c r="AE955" s="284"/>
      <c r="AF955" s="284"/>
      <c r="AG955" s="282"/>
      <c r="AH955" s="282"/>
      <c r="AI955" s="281"/>
      <c r="AJ955" s="281"/>
      <c r="AM955" s="285"/>
      <c r="AN955" s="285"/>
      <c r="AO955" s="284"/>
      <c r="AP955" s="284"/>
      <c r="AS955" s="286"/>
      <c r="AT955" s="286"/>
      <c r="AU955" s="281"/>
      <c r="AV955" s="281"/>
    </row>
    <row r="956" spans="1:48" s="283" customFormat="1" ht="19.5" customHeight="1">
      <c r="A956" s="275"/>
      <c r="B956" s="276"/>
      <c r="C956" s="276"/>
      <c r="D956" s="275"/>
      <c r="E956" s="595"/>
      <c r="F956" s="276"/>
      <c r="G956" s="277"/>
      <c r="H956" s="134"/>
      <c r="I956" s="276"/>
      <c r="J956" s="134"/>
      <c r="K956" s="134"/>
      <c r="L956" s="134"/>
      <c r="M956" s="134"/>
      <c r="N956" s="277"/>
      <c r="O956" s="277"/>
      <c r="P956" s="134"/>
      <c r="Q956" s="134"/>
      <c r="R956" s="134"/>
      <c r="S956" s="134"/>
      <c r="T956" s="596"/>
      <c r="U956" s="278"/>
      <c r="V956" s="279"/>
      <c r="W956" s="280"/>
      <c r="X956" s="280"/>
      <c r="Y956" s="281"/>
      <c r="Z956" s="281"/>
      <c r="AA956" s="282"/>
      <c r="AB956" s="282"/>
      <c r="AE956" s="284"/>
      <c r="AF956" s="284"/>
      <c r="AG956" s="282"/>
      <c r="AH956" s="282"/>
      <c r="AI956" s="281"/>
      <c r="AJ956" s="281"/>
      <c r="AM956" s="285"/>
      <c r="AN956" s="285"/>
      <c r="AO956" s="284"/>
      <c r="AP956" s="284"/>
      <c r="AS956" s="286"/>
      <c r="AT956" s="286"/>
      <c r="AU956" s="281"/>
      <c r="AV956" s="281"/>
    </row>
    <row r="957" spans="1:48" s="283" customFormat="1" ht="19.5" customHeight="1">
      <c r="A957" s="275"/>
      <c r="B957" s="276"/>
      <c r="C957" s="276"/>
      <c r="D957" s="275"/>
      <c r="E957" s="595"/>
      <c r="F957" s="276"/>
      <c r="G957" s="277"/>
      <c r="H957" s="134"/>
      <c r="I957" s="276"/>
      <c r="J957" s="134"/>
      <c r="K957" s="134"/>
      <c r="L957" s="134"/>
      <c r="M957" s="134"/>
      <c r="N957" s="277"/>
      <c r="O957" s="277"/>
      <c r="P957" s="134"/>
      <c r="Q957" s="134"/>
      <c r="R957" s="134"/>
      <c r="S957" s="134"/>
      <c r="T957" s="596"/>
      <c r="U957" s="278"/>
      <c r="V957" s="279"/>
      <c r="W957" s="280"/>
      <c r="X957" s="280"/>
      <c r="Y957" s="281"/>
      <c r="Z957" s="281"/>
      <c r="AA957" s="282"/>
      <c r="AB957" s="282"/>
      <c r="AE957" s="284"/>
      <c r="AF957" s="284"/>
      <c r="AG957" s="282"/>
      <c r="AH957" s="282"/>
      <c r="AI957" s="281"/>
      <c r="AJ957" s="281"/>
      <c r="AM957" s="285"/>
      <c r="AN957" s="285"/>
      <c r="AO957" s="284"/>
      <c r="AP957" s="284"/>
      <c r="AS957" s="286"/>
      <c r="AT957" s="286"/>
      <c r="AU957" s="281"/>
      <c r="AV957" s="281"/>
    </row>
    <row r="958" spans="1:48" s="283" customFormat="1" ht="19.5" customHeight="1">
      <c r="A958" s="275"/>
      <c r="B958" s="276"/>
      <c r="C958" s="276"/>
      <c r="D958" s="275"/>
      <c r="E958" s="595"/>
      <c r="F958" s="276"/>
      <c r="G958" s="277"/>
      <c r="H958" s="134"/>
      <c r="I958" s="276"/>
      <c r="J958" s="134"/>
      <c r="K958" s="134"/>
      <c r="L958" s="134"/>
      <c r="M958" s="134"/>
      <c r="N958" s="277"/>
      <c r="O958" s="277"/>
      <c r="P958" s="134"/>
      <c r="Q958" s="134"/>
      <c r="R958" s="134"/>
      <c r="S958" s="134"/>
      <c r="T958" s="596"/>
      <c r="U958" s="278"/>
      <c r="V958" s="279"/>
      <c r="W958" s="280"/>
      <c r="X958" s="280"/>
      <c r="Y958" s="281"/>
      <c r="Z958" s="281"/>
      <c r="AA958" s="282"/>
      <c r="AB958" s="282"/>
      <c r="AE958" s="284"/>
      <c r="AF958" s="284"/>
      <c r="AG958" s="282"/>
      <c r="AH958" s="282"/>
      <c r="AI958" s="281"/>
      <c r="AJ958" s="281"/>
      <c r="AM958" s="285"/>
      <c r="AN958" s="285"/>
      <c r="AO958" s="284"/>
      <c r="AP958" s="284"/>
      <c r="AS958" s="286"/>
      <c r="AT958" s="286"/>
      <c r="AU958" s="281"/>
      <c r="AV958" s="281"/>
    </row>
    <row r="959" spans="1:48" s="283" customFormat="1" ht="19.5" customHeight="1">
      <c r="A959" s="275"/>
      <c r="B959" s="276"/>
      <c r="C959" s="276"/>
      <c r="D959" s="275"/>
      <c r="E959" s="595"/>
      <c r="F959" s="276"/>
      <c r="G959" s="277"/>
      <c r="H959" s="134"/>
      <c r="I959" s="276"/>
      <c r="J959" s="134"/>
      <c r="K959" s="134"/>
      <c r="L959" s="134"/>
      <c r="M959" s="134"/>
      <c r="N959" s="277"/>
      <c r="O959" s="277"/>
      <c r="P959" s="134"/>
      <c r="Q959" s="134"/>
      <c r="R959" s="134"/>
      <c r="S959" s="134"/>
      <c r="T959" s="596"/>
      <c r="U959" s="278"/>
      <c r="V959" s="279"/>
      <c r="W959" s="280"/>
      <c r="X959" s="280"/>
      <c r="Y959" s="281"/>
      <c r="Z959" s="281"/>
      <c r="AA959" s="282"/>
      <c r="AB959" s="282"/>
      <c r="AE959" s="284"/>
      <c r="AF959" s="284"/>
      <c r="AG959" s="282"/>
      <c r="AH959" s="282"/>
      <c r="AI959" s="281"/>
      <c r="AJ959" s="281"/>
      <c r="AM959" s="285"/>
      <c r="AN959" s="285"/>
      <c r="AO959" s="284"/>
      <c r="AP959" s="284"/>
      <c r="AS959" s="286"/>
      <c r="AT959" s="286"/>
      <c r="AU959" s="281"/>
      <c r="AV959" s="281"/>
    </row>
    <row r="960" spans="1:48" s="283" customFormat="1" ht="19.5" customHeight="1">
      <c r="A960" s="275"/>
      <c r="B960" s="276"/>
      <c r="C960" s="276"/>
      <c r="D960" s="275"/>
      <c r="E960" s="595"/>
      <c r="F960" s="276"/>
      <c r="G960" s="277"/>
      <c r="H960" s="134"/>
      <c r="I960" s="276"/>
      <c r="J960" s="134"/>
      <c r="K960" s="134"/>
      <c r="L960" s="134"/>
      <c r="M960" s="134"/>
      <c r="N960" s="277"/>
      <c r="O960" s="277"/>
      <c r="P960" s="134"/>
      <c r="Q960" s="134"/>
      <c r="R960" s="134"/>
      <c r="S960" s="134"/>
      <c r="T960" s="596"/>
      <c r="U960" s="278"/>
      <c r="V960" s="279"/>
      <c r="W960" s="280"/>
      <c r="X960" s="280"/>
      <c r="Y960" s="281"/>
      <c r="Z960" s="281"/>
      <c r="AA960" s="282"/>
      <c r="AB960" s="282"/>
      <c r="AE960" s="284"/>
      <c r="AF960" s="284"/>
      <c r="AG960" s="282"/>
      <c r="AH960" s="282"/>
      <c r="AI960" s="281"/>
      <c r="AJ960" s="281"/>
      <c r="AM960" s="285"/>
      <c r="AN960" s="285"/>
      <c r="AO960" s="284"/>
      <c r="AP960" s="284"/>
      <c r="AS960" s="286"/>
      <c r="AT960" s="286"/>
      <c r="AU960" s="281"/>
      <c r="AV960" s="281"/>
    </row>
    <row r="961" spans="1:48" s="283" customFormat="1" ht="19.5" customHeight="1">
      <c r="A961" s="275"/>
      <c r="B961" s="276"/>
      <c r="C961" s="276"/>
      <c r="D961" s="275"/>
      <c r="E961" s="595"/>
      <c r="F961" s="276"/>
      <c r="G961" s="277"/>
      <c r="H961" s="134"/>
      <c r="I961" s="276"/>
      <c r="J961" s="134"/>
      <c r="K961" s="134"/>
      <c r="L961" s="134"/>
      <c r="M961" s="134"/>
      <c r="N961" s="277"/>
      <c r="O961" s="277"/>
      <c r="P961" s="134"/>
      <c r="Q961" s="134"/>
      <c r="R961" s="134"/>
      <c r="S961" s="134"/>
      <c r="T961" s="596"/>
      <c r="U961" s="278"/>
      <c r="V961" s="279"/>
      <c r="W961" s="280"/>
      <c r="X961" s="280"/>
      <c r="Y961" s="281"/>
      <c r="Z961" s="281"/>
      <c r="AA961" s="282"/>
      <c r="AB961" s="282"/>
      <c r="AE961" s="284"/>
      <c r="AF961" s="284"/>
      <c r="AG961" s="282"/>
      <c r="AH961" s="282"/>
      <c r="AI961" s="281"/>
      <c r="AJ961" s="281"/>
      <c r="AM961" s="285"/>
      <c r="AN961" s="285"/>
      <c r="AO961" s="284"/>
      <c r="AP961" s="284"/>
      <c r="AS961" s="286"/>
      <c r="AT961" s="286"/>
      <c r="AU961" s="281"/>
      <c r="AV961" s="281"/>
    </row>
    <row r="962" spans="1:48" s="283" customFormat="1" ht="19.5" customHeight="1">
      <c r="A962" s="275"/>
      <c r="B962" s="276"/>
      <c r="C962" s="276"/>
      <c r="D962" s="275"/>
      <c r="E962" s="595"/>
      <c r="F962" s="276"/>
      <c r="G962" s="277"/>
      <c r="H962" s="134"/>
      <c r="I962" s="276"/>
      <c r="J962" s="134"/>
      <c r="K962" s="134"/>
      <c r="L962" s="134"/>
      <c r="M962" s="134"/>
      <c r="N962" s="277"/>
      <c r="O962" s="277"/>
      <c r="P962" s="134"/>
      <c r="Q962" s="134"/>
      <c r="R962" s="134"/>
      <c r="S962" s="134"/>
      <c r="T962" s="596"/>
      <c r="U962" s="278"/>
      <c r="V962" s="279"/>
      <c r="W962" s="280"/>
      <c r="X962" s="280"/>
      <c r="Y962" s="281"/>
      <c r="Z962" s="281"/>
      <c r="AA962" s="282"/>
      <c r="AB962" s="282"/>
      <c r="AE962" s="284"/>
      <c r="AF962" s="284"/>
      <c r="AG962" s="282"/>
      <c r="AH962" s="282"/>
      <c r="AI962" s="281"/>
      <c r="AJ962" s="281"/>
      <c r="AM962" s="285"/>
      <c r="AN962" s="285"/>
      <c r="AO962" s="284"/>
      <c r="AP962" s="284"/>
      <c r="AS962" s="286"/>
      <c r="AT962" s="286"/>
      <c r="AU962" s="281"/>
      <c r="AV962" s="281"/>
    </row>
    <row r="963" spans="1:48" s="283" customFormat="1" ht="19.5" customHeight="1">
      <c r="A963" s="275"/>
      <c r="B963" s="276"/>
      <c r="C963" s="276"/>
      <c r="D963" s="275"/>
      <c r="E963" s="595"/>
      <c r="F963" s="276"/>
      <c r="G963" s="277"/>
      <c r="H963" s="134"/>
      <c r="I963" s="276"/>
      <c r="J963" s="134"/>
      <c r="K963" s="134"/>
      <c r="L963" s="134"/>
      <c r="M963" s="134"/>
      <c r="N963" s="277"/>
      <c r="O963" s="277"/>
      <c r="P963" s="134"/>
      <c r="Q963" s="134"/>
      <c r="R963" s="134"/>
      <c r="S963" s="134"/>
      <c r="T963" s="596"/>
      <c r="U963" s="278"/>
      <c r="V963" s="279"/>
      <c r="W963" s="280"/>
      <c r="X963" s="280"/>
      <c r="Y963" s="281"/>
      <c r="Z963" s="281"/>
      <c r="AA963" s="282"/>
      <c r="AB963" s="282"/>
      <c r="AE963" s="284"/>
      <c r="AF963" s="284"/>
      <c r="AG963" s="282"/>
      <c r="AH963" s="282"/>
      <c r="AI963" s="281"/>
      <c r="AJ963" s="281"/>
      <c r="AM963" s="285"/>
      <c r="AN963" s="285"/>
      <c r="AO963" s="284"/>
      <c r="AP963" s="284"/>
      <c r="AS963" s="286"/>
      <c r="AT963" s="286"/>
      <c r="AU963" s="281"/>
      <c r="AV963" s="281"/>
    </row>
    <row r="964" spans="1:48" s="283" customFormat="1" ht="19.5" customHeight="1">
      <c r="A964" s="275"/>
      <c r="B964" s="276"/>
      <c r="C964" s="276"/>
      <c r="D964" s="275"/>
      <c r="E964" s="595"/>
      <c r="F964" s="276"/>
      <c r="G964" s="277"/>
      <c r="H964" s="134"/>
      <c r="I964" s="276"/>
      <c r="J964" s="134"/>
      <c r="K964" s="134"/>
      <c r="L964" s="134"/>
      <c r="M964" s="134"/>
      <c r="N964" s="277"/>
      <c r="O964" s="277"/>
      <c r="P964" s="134"/>
      <c r="Q964" s="134"/>
      <c r="R964" s="134"/>
      <c r="S964" s="134"/>
      <c r="T964" s="596"/>
      <c r="U964" s="278"/>
      <c r="V964" s="279"/>
      <c r="W964" s="280"/>
      <c r="X964" s="280"/>
      <c r="Y964" s="281"/>
      <c r="Z964" s="281"/>
      <c r="AA964" s="282"/>
      <c r="AB964" s="282"/>
      <c r="AE964" s="284"/>
      <c r="AF964" s="284"/>
      <c r="AG964" s="282"/>
      <c r="AH964" s="282"/>
      <c r="AI964" s="281"/>
      <c r="AJ964" s="281"/>
      <c r="AM964" s="285"/>
      <c r="AN964" s="285"/>
      <c r="AO964" s="284"/>
      <c r="AP964" s="284"/>
      <c r="AS964" s="286"/>
      <c r="AT964" s="286"/>
      <c r="AU964" s="281"/>
      <c r="AV964" s="281"/>
    </row>
    <row r="965" spans="1:48" s="283" customFormat="1" ht="19.5" customHeight="1">
      <c r="A965" s="275"/>
      <c r="B965" s="276"/>
      <c r="C965" s="276"/>
      <c r="D965" s="275"/>
      <c r="E965" s="595"/>
      <c r="F965" s="276"/>
      <c r="G965" s="277"/>
      <c r="H965" s="134"/>
      <c r="I965" s="276"/>
      <c r="J965" s="134"/>
      <c r="K965" s="134"/>
      <c r="L965" s="134"/>
      <c r="M965" s="134"/>
      <c r="N965" s="277"/>
      <c r="O965" s="277"/>
      <c r="P965" s="134"/>
      <c r="Q965" s="134"/>
      <c r="R965" s="134"/>
      <c r="S965" s="134"/>
      <c r="T965" s="596"/>
      <c r="U965" s="278"/>
      <c r="V965" s="279"/>
      <c r="W965" s="280"/>
      <c r="X965" s="280"/>
      <c r="Y965" s="281"/>
      <c r="Z965" s="281"/>
      <c r="AA965" s="282"/>
      <c r="AB965" s="282"/>
      <c r="AE965" s="284"/>
      <c r="AF965" s="284"/>
      <c r="AG965" s="282"/>
      <c r="AH965" s="282"/>
      <c r="AI965" s="281"/>
      <c r="AJ965" s="281"/>
      <c r="AM965" s="285"/>
      <c r="AN965" s="285"/>
      <c r="AO965" s="284"/>
      <c r="AP965" s="284"/>
      <c r="AS965" s="286"/>
      <c r="AT965" s="286"/>
      <c r="AU965" s="281"/>
      <c r="AV965" s="281"/>
    </row>
    <row r="966" spans="1:48" s="283" customFormat="1" ht="19.5" customHeight="1">
      <c r="A966" s="275"/>
      <c r="B966" s="276"/>
      <c r="C966" s="276"/>
      <c r="D966" s="275"/>
      <c r="E966" s="595"/>
      <c r="F966" s="276"/>
      <c r="G966" s="277"/>
      <c r="H966" s="134"/>
      <c r="I966" s="276"/>
      <c r="J966" s="134"/>
      <c r="K966" s="134"/>
      <c r="L966" s="134"/>
      <c r="M966" s="134"/>
      <c r="N966" s="277"/>
      <c r="O966" s="277"/>
      <c r="P966" s="134"/>
      <c r="Q966" s="134"/>
      <c r="R966" s="134"/>
      <c r="S966" s="134"/>
      <c r="T966" s="596"/>
      <c r="U966" s="278"/>
      <c r="V966" s="279"/>
      <c r="W966" s="280"/>
      <c r="X966" s="280"/>
      <c r="Y966" s="281"/>
      <c r="Z966" s="281"/>
      <c r="AA966" s="282"/>
      <c r="AB966" s="282"/>
      <c r="AE966" s="284"/>
      <c r="AF966" s="284"/>
      <c r="AG966" s="282"/>
      <c r="AH966" s="282"/>
      <c r="AI966" s="281"/>
      <c r="AJ966" s="281"/>
      <c r="AM966" s="285"/>
      <c r="AN966" s="285"/>
      <c r="AO966" s="284"/>
      <c r="AP966" s="284"/>
      <c r="AS966" s="286"/>
      <c r="AT966" s="286"/>
      <c r="AU966" s="281"/>
      <c r="AV966" s="281"/>
    </row>
    <row r="967" spans="1:48" s="283" customFormat="1" ht="19.5" customHeight="1">
      <c r="A967" s="275"/>
      <c r="B967" s="276"/>
      <c r="C967" s="276"/>
      <c r="D967" s="275"/>
      <c r="E967" s="595"/>
      <c r="F967" s="276"/>
      <c r="G967" s="277"/>
      <c r="H967" s="134"/>
      <c r="I967" s="276"/>
      <c r="J967" s="134"/>
      <c r="K967" s="134"/>
      <c r="L967" s="134"/>
      <c r="M967" s="134"/>
      <c r="N967" s="277"/>
      <c r="O967" s="277"/>
      <c r="P967" s="134"/>
      <c r="Q967" s="134"/>
      <c r="R967" s="134"/>
      <c r="S967" s="134"/>
      <c r="T967" s="596"/>
      <c r="U967" s="278"/>
      <c r="V967" s="279"/>
      <c r="W967" s="280"/>
      <c r="X967" s="280"/>
      <c r="Y967" s="281"/>
      <c r="Z967" s="281"/>
      <c r="AA967" s="282"/>
      <c r="AB967" s="282"/>
      <c r="AE967" s="284"/>
      <c r="AF967" s="284"/>
      <c r="AG967" s="282"/>
      <c r="AH967" s="282"/>
      <c r="AI967" s="281"/>
      <c r="AJ967" s="281"/>
      <c r="AM967" s="285"/>
      <c r="AN967" s="285"/>
      <c r="AO967" s="284"/>
      <c r="AP967" s="284"/>
      <c r="AS967" s="286"/>
      <c r="AT967" s="286"/>
      <c r="AU967" s="281"/>
      <c r="AV967" s="281"/>
    </row>
    <row r="968" spans="1:48" s="283" customFormat="1" ht="19.5" customHeight="1">
      <c r="A968" s="275"/>
      <c r="B968" s="276"/>
      <c r="C968" s="276"/>
      <c r="D968" s="275"/>
      <c r="E968" s="595"/>
      <c r="F968" s="276"/>
      <c r="G968" s="277"/>
      <c r="H968" s="134"/>
      <c r="I968" s="276"/>
      <c r="J968" s="134"/>
      <c r="K968" s="134"/>
      <c r="L968" s="134"/>
      <c r="M968" s="134"/>
      <c r="N968" s="277"/>
      <c r="O968" s="277"/>
      <c r="P968" s="134"/>
      <c r="Q968" s="134"/>
      <c r="R968" s="134"/>
      <c r="S968" s="134"/>
      <c r="T968" s="596"/>
      <c r="U968" s="278"/>
      <c r="V968" s="279"/>
      <c r="W968" s="280"/>
      <c r="X968" s="280"/>
      <c r="Y968" s="281"/>
      <c r="Z968" s="281"/>
      <c r="AA968" s="282"/>
      <c r="AB968" s="282"/>
      <c r="AE968" s="284"/>
      <c r="AF968" s="284"/>
      <c r="AG968" s="282"/>
      <c r="AH968" s="282"/>
      <c r="AI968" s="281"/>
      <c r="AJ968" s="281"/>
      <c r="AM968" s="285"/>
      <c r="AN968" s="285"/>
      <c r="AO968" s="284"/>
      <c r="AP968" s="284"/>
      <c r="AS968" s="286"/>
      <c r="AT968" s="286"/>
      <c r="AU968" s="281"/>
      <c r="AV968" s="281"/>
    </row>
    <row r="969" spans="1:48" s="283" customFormat="1" ht="19.5" customHeight="1">
      <c r="A969" s="275"/>
      <c r="B969" s="276"/>
      <c r="C969" s="276"/>
      <c r="D969" s="275"/>
      <c r="E969" s="595"/>
      <c r="F969" s="276"/>
      <c r="G969" s="277"/>
      <c r="H969" s="134"/>
      <c r="I969" s="276"/>
      <c r="J969" s="134"/>
      <c r="K969" s="134"/>
      <c r="L969" s="134"/>
      <c r="M969" s="134"/>
      <c r="N969" s="277"/>
      <c r="O969" s="277"/>
      <c r="P969" s="134"/>
      <c r="Q969" s="134"/>
      <c r="R969" s="134"/>
      <c r="S969" s="134"/>
      <c r="T969" s="596"/>
      <c r="U969" s="278"/>
      <c r="V969" s="279"/>
      <c r="W969" s="280"/>
      <c r="X969" s="280"/>
      <c r="Y969" s="281"/>
      <c r="Z969" s="281"/>
      <c r="AA969" s="282"/>
      <c r="AB969" s="282"/>
      <c r="AE969" s="284"/>
      <c r="AF969" s="284"/>
      <c r="AG969" s="282"/>
      <c r="AH969" s="282"/>
      <c r="AI969" s="281"/>
      <c r="AJ969" s="281"/>
      <c r="AM969" s="285"/>
      <c r="AN969" s="285"/>
      <c r="AO969" s="284"/>
      <c r="AP969" s="284"/>
      <c r="AS969" s="286"/>
      <c r="AT969" s="286"/>
      <c r="AU969" s="281"/>
      <c r="AV969" s="281"/>
    </row>
    <row r="970" spans="1:48" s="283" customFormat="1" ht="19.5" customHeight="1">
      <c r="A970" s="275"/>
      <c r="B970" s="276"/>
      <c r="C970" s="276"/>
      <c r="D970" s="275"/>
      <c r="E970" s="595"/>
      <c r="F970" s="276"/>
      <c r="G970" s="277"/>
      <c r="H970" s="134"/>
      <c r="I970" s="276"/>
      <c r="J970" s="134"/>
      <c r="K970" s="134"/>
      <c r="L970" s="134"/>
      <c r="M970" s="134"/>
      <c r="N970" s="277"/>
      <c r="O970" s="277"/>
      <c r="P970" s="134"/>
      <c r="Q970" s="134"/>
      <c r="R970" s="134"/>
      <c r="S970" s="134"/>
      <c r="T970" s="596"/>
      <c r="U970" s="278"/>
      <c r="V970" s="279"/>
      <c r="W970" s="280"/>
      <c r="X970" s="280"/>
      <c r="Y970" s="281"/>
      <c r="Z970" s="281"/>
      <c r="AA970" s="282"/>
      <c r="AB970" s="282"/>
      <c r="AE970" s="284"/>
      <c r="AF970" s="284"/>
      <c r="AG970" s="282"/>
      <c r="AH970" s="282"/>
      <c r="AI970" s="281"/>
      <c r="AJ970" s="281"/>
      <c r="AM970" s="285"/>
      <c r="AN970" s="285"/>
      <c r="AO970" s="284"/>
      <c r="AP970" s="284"/>
      <c r="AS970" s="286"/>
      <c r="AT970" s="286"/>
      <c r="AU970" s="281"/>
      <c r="AV970" s="281"/>
    </row>
    <row r="971" spans="1:48" s="283" customFormat="1" ht="19.5" customHeight="1">
      <c r="A971" s="275"/>
      <c r="B971" s="276"/>
      <c r="C971" s="276"/>
      <c r="D971" s="275"/>
      <c r="E971" s="595"/>
      <c r="F971" s="276"/>
      <c r="G971" s="277"/>
      <c r="H971" s="134"/>
      <c r="I971" s="276"/>
      <c r="J971" s="134"/>
      <c r="K971" s="134"/>
      <c r="L971" s="134"/>
      <c r="M971" s="134"/>
      <c r="N971" s="277"/>
      <c r="O971" s="277"/>
      <c r="P971" s="134"/>
      <c r="Q971" s="134"/>
      <c r="R971" s="134"/>
      <c r="S971" s="134"/>
      <c r="T971" s="596"/>
      <c r="U971" s="278"/>
      <c r="V971" s="279"/>
      <c r="W971" s="280"/>
      <c r="X971" s="280"/>
      <c r="Y971" s="281"/>
      <c r="Z971" s="281"/>
      <c r="AA971" s="282"/>
      <c r="AB971" s="282"/>
      <c r="AE971" s="284"/>
      <c r="AF971" s="284"/>
      <c r="AG971" s="282"/>
      <c r="AH971" s="282"/>
      <c r="AI971" s="281"/>
      <c r="AJ971" s="281"/>
      <c r="AM971" s="285"/>
      <c r="AN971" s="285"/>
      <c r="AO971" s="284"/>
      <c r="AP971" s="284"/>
      <c r="AS971" s="286"/>
      <c r="AT971" s="286"/>
      <c r="AU971" s="281"/>
      <c r="AV971" s="281"/>
    </row>
    <row r="972" spans="1:48" s="283" customFormat="1" ht="19.5" customHeight="1">
      <c r="A972" s="275"/>
      <c r="B972" s="276"/>
      <c r="C972" s="276"/>
      <c r="D972" s="275"/>
      <c r="E972" s="595"/>
      <c r="F972" s="276"/>
      <c r="G972" s="277"/>
      <c r="H972" s="134"/>
      <c r="I972" s="276"/>
      <c r="J972" s="134"/>
      <c r="K972" s="134"/>
      <c r="L972" s="134"/>
      <c r="M972" s="134"/>
      <c r="N972" s="277"/>
      <c r="O972" s="277"/>
      <c r="P972" s="134"/>
      <c r="Q972" s="134"/>
      <c r="R972" s="134"/>
      <c r="S972" s="134"/>
      <c r="T972" s="596"/>
      <c r="U972" s="278"/>
      <c r="V972" s="279"/>
      <c r="W972" s="280"/>
      <c r="X972" s="280"/>
      <c r="Y972" s="281"/>
      <c r="Z972" s="281"/>
      <c r="AA972" s="282"/>
      <c r="AB972" s="282"/>
      <c r="AE972" s="284"/>
      <c r="AF972" s="284"/>
      <c r="AG972" s="282"/>
      <c r="AH972" s="282"/>
      <c r="AI972" s="281"/>
      <c r="AJ972" s="281"/>
      <c r="AM972" s="285"/>
      <c r="AN972" s="285"/>
      <c r="AO972" s="284"/>
      <c r="AP972" s="284"/>
      <c r="AS972" s="286"/>
      <c r="AT972" s="286"/>
      <c r="AU972" s="281"/>
      <c r="AV972" s="281"/>
    </row>
    <row r="973" spans="1:48" s="283" customFormat="1" ht="19.5" customHeight="1">
      <c r="A973" s="275"/>
      <c r="B973" s="276"/>
      <c r="C973" s="276"/>
      <c r="D973" s="275"/>
      <c r="E973" s="595"/>
      <c r="F973" s="276"/>
      <c r="G973" s="277"/>
      <c r="H973" s="134"/>
      <c r="I973" s="276"/>
      <c r="J973" s="134"/>
      <c r="K973" s="134"/>
      <c r="L973" s="134"/>
      <c r="M973" s="134"/>
      <c r="N973" s="277"/>
      <c r="O973" s="277"/>
      <c r="P973" s="134"/>
      <c r="Q973" s="134"/>
      <c r="R973" s="134"/>
      <c r="S973" s="134"/>
      <c r="T973" s="596"/>
      <c r="U973" s="278"/>
      <c r="V973" s="279"/>
      <c r="W973" s="280"/>
      <c r="X973" s="280"/>
      <c r="Y973" s="281"/>
      <c r="Z973" s="281"/>
      <c r="AA973" s="282"/>
      <c r="AB973" s="282"/>
      <c r="AE973" s="284"/>
      <c r="AF973" s="284"/>
      <c r="AG973" s="282"/>
      <c r="AH973" s="282"/>
      <c r="AI973" s="281"/>
      <c r="AJ973" s="281"/>
      <c r="AM973" s="285"/>
      <c r="AN973" s="285"/>
      <c r="AO973" s="284"/>
      <c r="AP973" s="284"/>
      <c r="AS973" s="286"/>
      <c r="AT973" s="286"/>
      <c r="AU973" s="281"/>
      <c r="AV973" s="281"/>
    </row>
    <row r="974" spans="1:48" s="283" customFormat="1" ht="19.5" customHeight="1">
      <c r="A974" s="275"/>
      <c r="B974" s="276"/>
      <c r="C974" s="276"/>
      <c r="D974" s="275"/>
      <c r="E974" s="595"/>
      <c r="F974" s="276"/>
      <c r="G974" s="277"/>
      <c r="H974" s="134"/>
      <c r="I974" s="276"/>
      <c r="J974" s="134"/>
      <c r="K974" s="134"/>
      <c r="L974" s="134"/>
      <c r="M974" s="134"/>
      <c r="N974" s="277"/>
      <c r="O974" s="277"/>
      <c r="P974" s="134"/>
      <c r="Q974" s="134"/>
      <c r="R974" s="134"/>
      <c r="S974" s="134"/>
      <c r="T974" s="596"/>
      <c r="U974" s="278"/>
      <c r="V974" s="279"/>
      <c r="W974" s="280"/>
      <c r="X974" s="280"/>
      <c r="Y974" s="281"/>
      <c r="Z974" s="281"/>
      <c r="AA974" s="282"/>
      <c r="AB974" s="282"/>
      <c r="AE974" s="284"/>
      <c r="AF974" s="284"/>
      <c r="AG974" s="282"/>
      <c r="AH974" s="282"/>
      <c r="AI974" s="281"/>
      <c r="AJ974" s="281"/>
      <c r="AM974" s="285"/>
      <c r="AN974" s="285"/>
      <c r="AO974" s="284"/>
      <c r="AP974" s="284"/>
      <c r="AS974" s="286"/>
      <c r="AT974" s="286"/>
      <c r="AU974" s="281"/>
      <c r="AV974" s="281"/>
    </row>
    <row r="975" spans="1:48" s="283" customFormat="1" ht="19.5" customHeight="1">
      <c r="A975" s="275"/>
      <c r="B975" s="276"/>
      <c r="C975" s="276"/>
      <c r="D975" s="275"/>
      <c r="E975" s="595"/>
      <c r="F975" s="276"/>
      <c r="G975" s="277"/>
      <c r="H975" s="134"/>
      <c r="I975" s="276"/>
      <c r="J975" s="134"/>
      <c r="K975" s="134"/>
      <c r="L975" s="134"/>
      <c r="M975" s="134"/>
      <c r="N975" s="277"/>
      <c r="O975" s="277"/>
      <c r="P975" s="134"/>
      <c r="Q975" s="134"/>
      <c r="R975" s="134"/>
      <c r="S975" s="134"/>
      <c r="T975" s="596"/>
      <c r="U975" s="278"/>
      <c r="V975" s="279"/>
      <c r="W975" s="280"/>
      <c r="X975" s="280"/>
      <c r="Y975" s="281"/>
      <c r="Z975" s="281"/>
      <c r="AA975" s="282"/>
      <c r="AB975" s="282"/>
      <c r="AE975" s="284"/>
      <c r="AF975" s="284"/>
      <c r="AG975" s="282"/>
      <c r="AH975" s="282"/>
      <c r="AI975" s="281"/>
      <c r="AJ975" s="281"/>
      <c r="AM975" s="285"/>
      <c r="AN975" s="285"/>
      <c r="AO975" s="284"/>
      <c r="AP975" s="284"/>
      <c r="AS975" s="286"/>
      <c r="AT975" s="286"/>
      <c r="AU975" s="281"/>
      <c r="AV975" s="281"/>
    </row>
    <row r="976" spans="1:48" s="283" customFormat="1" ht="19.5" customHeight="1">
      <c r="A976" s="275"/>
      <c r="B976" s="276"/>
      <c r="C976" s="276"/>
      <c r="D976" s="275"/>
      <c r="E976" s="595"/>
      <c r="F976" s="276"/>
      <c r="G976" s="277"/>
      <c r="H976" s="134"/>
      <c r="I976" s="276"/>
      <c r="J976" s="134"/>
      <c r="K976" s="134"/>
      <c r="L976" s="134"/>
      <c r="M976" s="134"/>
      <c r="N976" s="277"/>
      <c r="O976" s="277"/>
      <c r="P976" s="134"/>
      <c r="Q976" s="134"/>
      <c r="R976" s="134"/>
      <c r="S976" s="134"/>
      <c r="T976" s="596"/>
      <c r="U976" s="278"/>
      <c r="V976" s="279"/>
      <c r="W976" s="280"/>
      <c r="X976" s="280"/>
      <c r="Y976" s="281"/>
      <c r="Z976" s="281"/>
      <c r="AA976" s="282"/>
      <c r="AB976" s="282"/>
      <c r="AE976" s="284"/>
      <c r="AF976" s="284"/>
      <c r="AG976" s="282"/>
      <c r="AH976" s="282"/>
      <c r="AI976" s="281"/>
      <c r="AJ976" s="281"/>
      <c r="AM976" s="285"/>
      <c r="AN976" s="285"/>
      <c r="AO976" s="284"/>
      <c r="AP976" s="284"/>
      <c r="AS976" s="286"/>
      <c r="AT976" s="286"/>
      <c r="AU976" s="281"/>
      <c r="AV976" s="281"/>
    </row>
    <row r="977" spans="1:48" s="283" customFormat="1" ht="19.5" customHeight="1">
      <c r="A977" s="275"/>
      <c r="B977" s="276"/>
      <c r="C977" s="276"/>
      <c r="D977" s="275"/>
      <c r="E977" s="595"/>
      <c r="F977" s="276"/>
      <c r="G977" s="277"/>
      <c r="H977" s="134"/>
      <c r="I977" s="276"/>
      <c r="J977" s="134"/>
      <c r="K977" s="134"/>
      <c r="L977" s="134"/>
      <c r="M977" s="134"/>
      <c r="N977" s="277"/>
      <c r="O977" s="277"/>
      <c r="P977" s="134"/>
      <c r="Q977" s="134"/>
      <c r="R977" s="134"/>
      <c r="S977" s="134"/>
      <c r="T977" s="596"/>
      <c r="U977" s="278"/>
      <c r="V977" s="279"/>
      <c r="W977" s="280"/>
      <c r="X977" s="280"/>
      <c r="Y977" s="281"/>
      <c r="Z977" s="281"/>
      <c r="AA977" s="282"/>
      <c r="AB977" s="282"/>
      <c r="AE977" s="284"/>
      <c r="AF977" s="284"/>
      <c r="AG977" s="282"/>
      <c r="AH977" s="282"/>
      <c r="AI977" s="281"/>
      <c r="AJ977" s="281"/>
      <c r="AM977" s="285"/>
      <c r="AN977" s="285"/>
      <c r="AO977" s="284"/>
      <c r="AP977" s="284"/>
      <c r="AS977" s="286"/>
      <c r="AT977" s="286"/>
      <c r="AU977" s="281"/>
      <c r="AV977" s="281"/>
    </row>
    <row r="978" spans="1:48" s="283" customFormat="1" ht="19.5" customHeight="1">
      <c r="A978" s="275"/>
      <c r="B978" s="276"/>
      <c r="C978" s="276"/>
      <c r="D978" s="275"/>
      <c r="E978" s="595"/>
      <c r="F978" s="276"/>
      <c r="G978" s="277"/>
      <c r="H978" s="134"/>
      <c r="I978" s="276"/>
      <c r="J978" s="134"/>
      <c r="K978" s="134"/>
      <c r="L978" s="134"/>
      <c r="M978" s="134"/>
      <c r="N978" s="277"/>
      <c r="O978" s="277"/>
      <c r="P978" s="134"/>
      <c r="Q978" s="134"/>
      <c r="R978" s="134"/>
      <c r="S978" s="134"/>
      <c r="T978" s="596"/>
      <c r="U978" s="278"/>
      <c r="V978" s="279"/>
      <c r="W978" s="280"/>
      <c r="X978" s="280"/>
      <c r="Y978" s="281"/>
      <c r="Z978" s="281"/>
      <c r="AA978" s="282"/>
      <c r="AB978" s="282"/>
      <c r="AE978" s="284"/>
      <c r="AF978" s="284"/>
      <c r="AG978" s="282"/>
      <c r="AH978" s="282"/>
      <c r="AI978" s="281"/>
      <c r="AJ978" s="281"/>
      <c r="AM978" s="285"/>
      <c r="AN978" s="285"/>
      <c r="AO978" s="284"/>
      <c r="AP978" s="284"/>
      <c r="AS978" s="286"/>
      <c r="AT978" s="286"/>
      <c r="AU978" s="281"/>
      <c r="AV978" s="281"/>
    </row>
    <row r="979" spans="1:48" s="283" customFormat="1" ht="19.5" customHeight="1">
      <c r="A979" s="275"/>
      <c r="B979" s="276"/>
      <c r="C979" s="276"/>
      <c r="D979" s="275"/>
      <c r="E979" s="595"/>
      <c r="F979" s="276"/>
      <c r="G979" s="277"/>
      <c r="H979" s="134"/>
      <c r="I979" s="276"/>
      <c r="J979" s="134"/>
      <c r="K979" s="134"/>
      <c r="L979" s="134"/>
      <c r="M979" s="134"/>
      <c r="N979" s="277"/>
      <c r="O979" s="277"/>
      <c r="P979" s="134"/>
      <c r="Q979" s="134"/>
      <c r="R979" s="134"/>
      <c r="S979" s="134"/>
      <c r="T979" s="596"/>
      <c r="U979" s="278"/>
      <c r="V979" s="279"/>
      <c r="W979" s="280"/>
      <c r="X979" s="280"/>
      <c r="Y979" s="281"/>
      <c r="Z979" s="281"/>
      <c r="AA979" s="282"/>
      <c r="AB979" s="282"/>
      <c r="AE979" s="284"/>
      <c r="AF979" s="284"/>
      <c r="AG979" s="282"/>
      <c r="AH979" s="282"/>
      <c r="AI979" s="281"/>
      <c r="AJ979" s="281"/>
      <c r="AM979" s="285"/>
      <c r="AN979" s="285"/>
      <c r="AO979" s="284"/>
      <c r="AP979" s="284"/>
      <c r="AS979" s="286"/>
      <c r="AT979" s="286"/>
      <c r="AU979" s="281"/>
      <c r="AV979" s="281"/>
    </row>
    <row r="980" spans="1:48" s="283" customFormat="1" ht="19.5" customHeight="1">
      <c r="A980" s="275"/>
      <c r="B980" s="276"/>
      <c r="C980" s="276"/>
      <c r="D980" s="275"/>
      <c r="E980" s="595"/>
      <c r="F980" s="276"/>
      <c r="G980" s="277"/>
      <c r="H980" s="134"/>
      <c r="I980" s="276"/>
      <c r="J980" s="134"/>
      <c r="K980" s="134"/>
      <c r="L980" s="134"/>
      <c r="M980" s="134"/>
      <c r="N980" s="277"/>
      <c r="O980" s="277"/>
      <c r="P980" s="134"/>
      <c r="Q980" s="134"/>
      <c r="R980" s="134"/>
      <c r="S980" s="134"/>
      <c r="T980" s="596"/>
      <c r="U980" s="278"/>
      <c r="V980" s="279"/>
      <c r="W980" s="280"/>
      <c r="X980" s="280"/>
      <c r="Y980" s="281"/>
      <c r="Z980" s="281"/>
      <c r="AA980" s="282"/>
      <c r="AB980" s="282"/>
      <c r="AE980" s="284"/>
      <c r="AF980" s="284"/>
      <c r="AG980" s="282"/>
      <c r="AH980" s="282"/>
      <c r="AI980" s="281"/>
      <c r="AJ980" s="281"/>
      <c r="AM980" s="285"/>
      <c r="AN980" s="285"/>
      <c r="AO980" s="284"/>
      <c r="AP980" s="284"/>
      <c r="AS980" s="286"/>
      <c r="AT980" s="286"/>
      <c r="AU980" s="281"/>
      <c r="AV980" s="281"/>
    </row>
    <row r="981" spans="1:48" s="283" customFormat="1" ht="19.5" customHeight="1">
      <c r="A981" s="275"/>
      <c r="B981" s="276"/>
      <c r="C981" s="276"/>
      <c r="D981" s="275"/>
      <c r="E981" s="595"/>
      <c r="F981" s="276"/>
      <c r="G981" s="277"/>
      <c r="H981" s="134"/>
      <c r="I981" s="276"/>
      <c r="J981" s="134"/>
      <c r="K981" s="134"/>
      <c r="L981" s="134"/>
      <c r="M981" s="134"/>
      <c r="N981" s="277"/>
      <c r="O981" s="277"/>
      <c r="P981" s="134"/>
      <c r="Q981" s="134"/>
      <c r="R981" s="134"/>
      <c r="S981" s="134"/>
      <c r="T981" s="596"/>
      <c r="U981" s="278"/>
      <c r="V981" s="279"/>
      <c r="W981" s="280"/>
      <c r="X981" s="280"/>
      <c r="Y981" s="281"/>
      <c r="Z981" s="281"/>
      <c r="AA981" s="282"/>
      <c r="AB981" s="282"/>
      <c r="AE981" s="284"/>
      <c r="AF981" s="284"/>
      <c r="AG981" s="282"/>
      <c r="AH981" s="282"/>
      <c r="AI981" s="281"/>
      <c r="AJ981" s="281"/>
      <c r="AM981" s="285"/>
      <c r="AN981" s="285"/>
      <c r="AO981" s="284"/>
      <c r="AP981" s="284"/>
      <c r="AS981" s="286"/>
      <c r="AT981" s="286"/>
      <c r="AU981" s="281"/>
      <c r="AV981" s="281"/>
    </row>
    <row r="982" spans="1:48" s="283" customFormat="1" ht="19.5" customHeight="1">
      <c r="A982" s="275"/>
      <c r="B982" s="276"/>
      <c r="C982" s="276"/>
      <c r="D982" s="275"/>
      <c r="E982" s="595"/>
      <c r="F982" s="276"/>
      <c r="G982" s="277"/>
      <c r="H982" s="134"/>
      <c r="I982" s="276"/>
      <c r="J982" s="134"/>
      <c r="K982" s="134"/>
      <c r="L982" s="134"/>
      <c r="M982" s="134"/>
      <c r="N982" s="277"/>
      <c r="O982" s="277"/>
      <c r="P982" s="134"/>
      <c r="Q982" s="134"/>
      <c r="R982" s="134"/>
      <c r="S982" s="134"/>
      <c r="T982" s="596"/>
      <c r="U982" s="278"/>
      <c r="V982" s="279"/>
      <c r="W982" s="280"/>
      <c r="X982" s="280"/>
      <c r="Y982" s="281"/>
      <c r="Z982" s="281"/>
      <c r="AA982" s="282"/>
      <c r="AB982" s="282"/>
      <c r="AE982" s="284"/>
      <c r="AF982" s="284"/>
      <c r="AG982" s="282"/>
      <c r="AH982" s="282"/>
      <c r="AI982" s="281"/>
      <c r="AJ982" s="281"/>
      <c r="AM982" s="285"/>
      <c r="AN982" s="285"/>
      <c r="AO982" s="284"/>
      <c r="AP982" s="284"/>
      <c r="AS982" s="286"/>
      <c r="AT982" s="286"/>
      <c r="AU982" s="281"/>
      <c r="AV982" s="281"/>
    </row>
    <row r="983" spans="1:48" s="283" customFormat="1" ht="19.5" customHeight="1">
      <c r="A983" s="275"/>
      <c r="B983" s="276"/>
      <c r="C983" s="276"/>
      <c r="D983" s="275"/>
      <c r="E983" s="595"/>
      <c r="F983" s="276"/>
      <c r="G983" s="277"/>
      <c r="H983" s="134"/>
      <c r="I983" s="276"/>
      <c r="J983" s="134"/>
      <c r="K983" s="134"/>
      <c r="L983" s="134"/>
      <c r="M983" s="134"/>
      <c r="N983" s="277"/>
      <c r="O983" s="277"/>
      <c r="P983" s="134"/>
      <c r="Q983" s="134"/>
      <c r="R983" s="134"/>
      <c r="S983" s="134"/>
      <c r="T983" s="596"/>
      <c r="U983" s="278"/>
      <c r="V983" s="279"/>
      <c r="W983" s="280"/>
      <c r="X983" s="280"/>
      <c r="Y983" s="281"/>
      <c r="Z983" s="281"/>
      <c r="AA983" s="282"/>
      <c r="AB983" s="282"/>
      <c r="AE983" s="284"/>
      <c r="AF983" s="284"/>
      <c r="AG983" s="282"/>
      <c r="AH983" s="282"/>
      <c r="AI983" s="281"/>
      <c r="AJ983" s="281"/>
      <c r="AM983" s="285"/>
      <c r="AN983" s="285"/>
      <c r="AO983" s="284"/>
      <c r="AP983" s="284"/>
      <c r="AS983" s="286"/>
      <c r="AT983" s="286"/>
      <c r="AU983" s="281"/>
      <c r="AV983" s="281"/>
    </row>
    <row r="984" spans="1:48" s="283" customFormat="1" ht="19.5" customHeight="1">
      <c r="A984" s="275"/>
      <c r="B984" s="276"/>
      <c r="C984" s="276"/>
      <c r="D984" s="275"/>
      <c r="E984" s="595"/>
      <c r="F984" s="276"/>
      <c r="G984" s="277"/>
      <c r="H984" s="134"/>
      <c r="I984" s="276"/>
      <c r="J984" s="134"/>
      <c r="K984" s="134"/>
      <c r="L984" s="134"/>
      <c r="M984" s="134"/>
      <c r="N984" s="277"/>
      <c r="O984" s="277"/>
      <c r="P984" s="134"/>
      <c r="Q984" s="134"/>
      <c r="R984" s="134"/>
      <c r="S984" s="134"/>
      <c r="T984" s="596"/>
      <c r="U984" s="278"/>
      <c r="V984" s="279"/>
      <c r="W984" s="280"/>
      <c r="X984" s="280"/>
      <c r="Y984" s="281"/>
      <c r="Z984" s="281"/>
      <c r="AA984" s="282"/>
      <c r="AB984" s="282"/>
      <c r="AE984" s="284"/>
      <c r="AF984" s="284"/>
      <c r="AG984" s="282"/>
      <c r="AH984" s="282"/>
      <c r="AI984" s="281"/>
      <c r="AJ984" s="281"/>
      <c r="AM984" s="285"/>
      <c r="AN984" s="285"/>
      <c r="AO984" s="284"/>
      <c r="AP984" s="284"/>
      <c r="AS984" s="286"/>
      <c r="AT984" s="286"/>
      <c r="AU984" s="281"/>
      <c r="AV984" s="281"/>
    </row>
    <row r="985" spans="1:48" s="283" customFormat="1" ht="19.5" customHeight="1">
      <c r="A985" s="275"/>
      <c r="B985" s="276"/>
      <c r="C985" s="276"/>
      <c r="D985" s="275"/>
      <c r="E985" s="595"/>
      <c r="F985" s="276"/>
      <c r="G985" s="277"/>
      <c r="H985" s="134"/>
      <c r="I985" s="276"/>
      <c r="J985" s="134"/>
      <c r="K985" s="134"/>
      <c r="L985" s="134"/>
      <c r="M985" s="134"/>
      <c r="N985" s="277"/>
      <c r="O985" s="277"/>
      <c r="P985" s="134"/>
      <c r="Q985" s="134"/>
      <c r="R985" s="134"/>
      <c r="S985" s="134"/>
      <c r="T985" s="596"/>
      <c r="U985" s="278"/>
      <c r="V985" s="279"/>
      <c r="W985" s="280"/>
      <c r="X985" s="280"/>
      <c r="Y985" s="281"/>
      <c r="Z985" s="281"/>
      <c r="AA985" s="282"/>
      <c r="AB985" s="282"/>
      <c r="AE985" s="284"/>
      <c r="AF985" s="284"/>
      <c r="AG985" s="282"/>
      <c r="AH985" s="282"/>
      <c r="AI985" s="281"/>
      <c r="AJ985" s="281"/>
      <c r="AM985" s="285"/>
      <c r="AN985" s="285"/>
      <c r="AO985" s="284"/>
      <c r="AP985" s="284"/>
      <c r="AS985" s="286"/>
      <c r="AT985" s="286"/>
      <c r="AU985" s="281"/>
      <c r="AV985" s="281"/>
    </row>
    <row r="986" spans="1:48" s="283" customFormat="1" ht="19.5" customHeight="1">
      <c r="A986" s="275"/>
      <c r="B986" s="276"/>
      <c r="C986" s="276"/>
      <c r="D986" s="275"/>
      <c r="E986" s="595"/>
      <c r="F986" s="276"/>
      <c r="G986" s="277"/>
      <c r="H986" s="134"/>
      <c r="I986" s="276"/>
      <c r="J986" s="134"/>
      <c r="K986" s="134"/>
      <c r="L986" s="134"/>
      <c r="M986" s="134"/>
      <c r="N986" s="277"/>
      <c r="O986" s="277"/>
      <c r="P986" s="134"/>
      <c r="Q986" s="134"/>
      <c r="R986" s="134"/>
      <c r="S986" s="134"/>
      <c r="T986" s="596"/>
      <c r="U986" s="278"/>
      <c r="V986" s="279"/>
      <c r="W986" s="280"/>
      <c r="X986" s="280"/>
      <c r="Y986" s="281"/>
      <c r="Z986" s="281"/>
      <c r="AA986" s="282"/>
      <c r="AB986" s="282"/>
      <c r="AE986" s="284"/>
      <c r="AF986" s="284"/>
      <c r="AG986" s="282"/>
      <c r="AH986" s="282"/>
      <c r="AI986" s="281"/>
      <c r="AJ986" s="281"/>
      <c r="AM986" s="285"/>
      <c r="AN986" s="285"/>
      <c r="AO986" s="284"/>
      <c r="AP986" s="284"/>
      <c r="AS986" s="286"/>
      <c r="AT986" s="286"/>
      <c r="AU986" s="281"/>
      <c r="AV986" s="281"/>
    </row>
    <row r="987" spans="1:48" s="283" customFormat="1" ht="19.5" customHeight="1">
      <c r="A987" s="275"/>
      <c r="B987" s="276"/>
      <c r="C987" s="276"/>
      <c r="D987" s="275"/>
      <c r="E987" s="595"/>
      <c r="F987" s="276"/>
      <c r="G987" s="277"/>
      <c r="H987" s="134"/>
      <c r="I987" s="276"/>
      <c r="J987" s="134"/>
      <c r="K987" s="134"/>
      <c r="L987" s="134"/>
      <c r="M987" s="134"/>
      <c r="N987" s="277"/>
      <c r="O987" s="277"/>
      <c r="P987" s="134"/>
      <c r="Q987" s="134"/>
      <c r="R987" s="134"/>
      <c r="S987" s="134"/>
      <c r="T987" s="596"/>
      <c r="U987" s="278"/>
      <c r="V987" s="279"/>
      <c r="W987" s="280"/>
      <c r="X987" s="280"/>
      <c r="Y987" s="281"/>
      <c r="Z987" s="281"/>
      <c r="AA987" s="282"/>
      <c r="AB987" s="282"/>
      <c r="AE987" s="284"/>
      <c r="AF987" s="284"/>
      <c r="AG987" s="282"/>
      <c r="AH987" s="282"/>
      <c r="AI987" s="281"/>
      <c r="AJ987" s="281"/>
      <c r="AM987" s="285"/>
      <c r="AN987" s="285"/>
      <c r="AO987" s="284"/>
      <c r="AP987" s="284"/>
      <c r="AS987" s="286"/>
      <c r="AT987" s="286"/>
      <c r="AU987" s="281"/>
      <c r="AV987" s="281"/>
    </row>
    <row r="988" spans="1:48" s="283" customFormat="1" ht="19.5" customHeight="1">
      <c r="A988" s="275"/>
      <c r="B988" s="276"/>
      <c r="C988" s="276"/>
      <c r="D988" s="275"/>
      <c r="E988" s="595"/>
      <c r="F988" s="276"/>
      <c r="G988" s="277"/>
      <c r="H988" s="134"/>
      <c r="I988" s="276"/>
      <c r="J988" s="134"/>
      <c r="K988" s="134"/>
      <c r="L988" s="134"/>
      <c r="M988" s="134"/>
      <c r="N988" s="277"/>
      <c r="O988" s="277"/>
      <c r="P988" s="134"/>
      <c r="Q988" s="134"/>
      <c r="R988" s="134"/>
      <c r="S988" s="134"/>
      <c r="T988" s="596"/>
      <c r="U988" s="278"/>
      <c r="V988" s="279"/>
      <c r="W988" s="280"/>
      <c r="X988" s="280"/>
      <c r="Y988" s="281"/>
      <c r="Z988" s="281"/>
      <c r="AA988" s="282"/>
      <c r="AB988" s="282"/>
      <c r="AE988" s="284"/>
      <c r="AF988" s="284"/>
      <c r="AG988" s="282"/>
      <c r="AH988" s="282"/>
      <c r="AI988" s="281"/>
      <c r="AJ988" s="281"/>
      <c r="AM988" s="285"/>
      <c r="AN988" s="285"/>
      <c r="AO988" s="284"/>
      <c r="AP988" s="284"/>
      <c r="AS988" s="286"/>
      <c r="AT988" s="286"/>
      <c r="AU988" s="281"/>
      <c r="AV988" s="281"/>
    </row>
    <row r="989" spans="1:48" s="283" customFormat="1" ht="19.5" customHeight="1">
      <c r="A989" s="275"/>
      <c r="B989" s="276"/>
      <c r="C989" s="276"/>
      <c r="D989" s="275"/>
      <c r="E989" s="595"/>
      <c r="F989" s="276"/>
      <c r="G989" s="277"/>
      <c r="H989" s="134"/>
      <c r="I989" s="276"/>
      <c r="J989" s="134"/>
      <c r="K989" s="134"/>
      <c r="L989" s="134"/>
      <c r="M989" s="134"/>
      <c r="N989" s="277"/>
      <c r="O989" s="277"/>
      <c r="P989" s="134"/>
      <c r="Q989" s="134"/>
      <c r="R989" s="134"/>
      <c r="S989" s="134"/>
      <c r="T989" s="596"/>
      <c r="U989" s="278"/>
      <c r="V989" s="279"/>
      <c r="W989" s="280"/>
      <c r="X989" s="280"/>
      <c r="Y989" s="281"/>
      <c r="Z989" s="281"/>
      <c r="AA989" s="282"/>
      <c r="AB989" s="282"/>
      <c r="AE989" s="284"/>
      <c r="AF989" s="284"/>
      <c r="AG989" s="282"/>
      <c r="AH989" s="282"/>
      <c r="AI989" s="281"/>
      <c r="AJ989" s="281"/>
      <c r="AM989" s="285"/>
      <c r="AN989" s="285"/>
      <c r="AO989" s="284"/>
      <c r="AP989" s="284"/>
      <c r="AS989" s="286"/>
      <c r="AT989" s="286"/>
      <c r="AU989" s="281"/>
      <c r="AV989" s="281"/>
    </row>
    <row r="990" spans="1:48" s="283" customFormat="1" ht="19.5" customHeight="1">
      <c r="A990" s="275"/>
      <c r="B990" s="276"/>
      <c r="C990" s="276"/>
      <c r="D990" s="275"/>
      <c r="E990" s="595"/>
      <c r="F990" s="276"/>
      <c r="G990" s="277"/>
      <c r="H990" s="134"/>
      <c r="I990" s="276"/>
      <c r="J990" s="134"/>
      <c r="K990" s="134"/>
      <c r="L990" s="134"/>
      <c r="M990" s="134"/>
      <c r="N990" s="277"/>
      <c r="O990" s="277"/>
      <c r="P990" s="134"/>
      <c r="Q990" s="134"/>
      <c r="R990" s="134"/>
      <c r="S990" s="134"/>
      <c r="T990" s="596"/>
      <c r="U990" s="278"/>
      <c r="V990" s="279"/>
      <c r="W990" s="280"/>
      <c r="X990" s="280"/>
      <c r="Y990" s="281"/>
      <c r="Z990" s="281"/>
      <c r="AA990" s="282"/>
      <c r="AB990" s="282"/>
      <c r="AE990" s="284"/>
      <c r="AF990" s="284"/>
      <c r="AG990" s="282"/>
      <c r="AH990" s="282"/>
      <c r="AI990" s="281"/>
      <c r="AJ990" s="281"/>
      <c r="AM990" s="285"/>
      <c r="AN990" s="285"/>
      <c r="AO990" s="284"/>
      <c r="AP990" s="284"/>
      <c r="AS990" s="286"/>
      <c r="AT990" s="286"/>
      <c r="AU990" s="281"/>
      <c r="AV990" s="281"/>
    </row>
    <row r="991" spans="1:48" s="283" customFormat="1" ht="19.5" customHeight="1">
      <c r="A991" s="275"/>
      <c r="B991" s="276"/>
      <c r="C991" s="276"/>
      <c r="D991" s="275"/>
      <c r="E991" s="595"/>
      <c r="F991" s="276"/>
      <c r="G991" s="277"/>
      <c r="H991" s="134"/>
      <c r="I991" s="276"/>
      <c r="J991" s="134"/>
      <c r="K991" s="134"/>
      <c r="L991" s="134"/>
      <c r="M991" s="134"/>
      <c r="N991" s="277"/>
      <c r="O991" s="277"/>
      <c r="P991" s="134"/>
      <c r="Q991" s="134"/>
      <c r="R991" s="134"/>
      <c r="S991" s="134"/>
      <c r="T991" s="596"/>
      <c r="U991" s="278"/>
      <c r="V991" s="279"/>
      <c r="W991" s="280"/>
      <c r="X991" s="280"/>
      <c r="Y991" s="281"/>
      <c r="Z991" s="281"/>
      <c r="AA991" s="282"/>
      <c r="AB991" s="282"/>
      <c r="AE991" s="284"/>
      <c r="AF991" s="284"/>
      <c r="AG991" s="282"/>
      <c r="AH991" s="282"/>
      <c r="AI991" s="281"/>
      <c r="AJ991" s="281"/>
      <c r="AM991" s="285"/>
      <c r="AN991" s="285"/>
      <c r="AO991" s="284"/>
      <c r="AP991" s="284"/>
      <c r="AS991" s="286"/>
      <c r="AT991" s="286"/>
      <c r="AU991" s="281"/>
      <c r="AV991" s="281"/>
    </row>
    <row r="992" spans="1:48" s="283" customFormat="1" ht="19.5" customHeight="1">
      <c r="A992" s="275"/>
      <c r="B992" s="276"/>
      <c r="C992" s="276"/>
      <c r="D992" s="275"/>
      <c r="E992" s="595"/>
      <c r="F992" s="276"/>
      <c r="G992" s="277"/>
      <c r="H992" s="134"/>
      <c r="I992" s="276"/>
      <c r="J992" s="134"/>
      <c r="K992" s="134"/>
      <c r="L992" s="134"/>
      <c r="M992" s="134"/>
      <c r="N992" s="277"/>
      <c r="O992" s="277"/>
      <c r="P992" s="134"/>
      <c r="Q992" s="134"/>
      <c r="R992" s="134"/>
      <c r="S992" s="134"/>
      <c r="T992" s="596"/>
      <c r="U992" s="278"/>
      <c r="V992" s="279"/>
      <c r="W992" s="280"/>
      <c r="X992" s="280"/>
      <c r="Y992" s="281"/>
      <c r="Z992" s="281"/>
      <c r="AA992" s="282"/>
      <c r="AB992" s="282"/>
      <c r="AE992" s="284"/>
      <c r="AF992" s="284"/>
      <c r="AG992" s="282"/>
      <c r="AH992" s="282"/>
      <c r="AI992" s="281"/>
      <c r="AJ992" s="281"/>
      <c r="AM992" s="285"/>
      <c r="AN992" s="285"/>
      <c r="AO992" s="284"/>
      <c r="AP992" s="284"/>
      <c r="AS992" s="286"/>
      <c r="AT992" s="286"/>
      <c r="AU992" s="281"/>
      <c r="AV992" s="281"/>
    </row>
    <row r="993" spans="1:48" s="283" customFormat="1" ht="19.5" customHeight="1">
      <c r="A993" s="275"/>
      <c r="B993" s="276"/>
      <c r="C993" s="276"/>
      <c r="D993" s="275"/>
      <c r="E993" s="595"/>
      <c r="F993" s="276"/>
      <c r="G993" s="277"/>
      <c r="H993" s="134"/>
      <c r="I993" s="276"/>
      <c r="J993" s="134"/>
      <c r="K993" s="134"/>
      <c r="L993" s="134"/>
      <c r="M993" s="134"/>
      <c r="N993" s="277"/>
      <c r="O993" s="277"/>
      <c r="P993" s="134"/>
      <c r="Q993" s="134"/>
      <c r="R993" s="134"/>
      <c r="S993" s="134"/>
      <c r="T993" s="596"/>
      <c r="U993" s="278"/>
      <c r="V993" s="279"/>
      <c r="W993" s="280"/>
      <c r="X993" s="280"/>
      <c r="Y993" s="281"/>
      <c r="Z993" s="281"/>
      <c r="AA993" s="282"/>
      <c r="AB993" s="282"/>
      <c r="AE993" s="284"/>
      <c r="AF993" s="284"/>
      <c r="AG993" s="282"/>
      <c r="AH993" s="282"/>
      <c r="AI993" s="281"/>
      <c r="AJ993" s="281"/>
      <c r="AM993" s="285"/>
      <c r="AN993" s="285"/>
      <c r="AO993" s="284"/>
      <c r="AP993" s="284"/>
      <c r="AS993" s="286"/>
      <c r="AT993" s="286"/>
      <c r="AU993" s="281"/>
      <c r="AV993" s="281"/>
    </row>
    <row r="994" spans="1:48" s="283" customFormat="1" ht="19.5" customHeight="1">
      <c r="A994" s="275"/>
      <c r="B994" s="276"/>
      <c r="C994" s="276"/>
      <c r="D994" s="275"/>
      <c r="E994" s="595"/>
      <c r="F994" s="276"/>
      <c r="G994" s="277"/>
      <c r="H994" s="134"/>
      <c r="I994" s="276"/>
      <c r="J994" s="134"/>
      <c r="K994" s="134"/>
      <c r="L994" s="134"/>
      <c r="M994" s="134"/>
      <c r="N994" s="277"/>
      <c r="O994" s="277"/>
      <c r="P994" s="134"/>
      <c r="Q994" s="134"/>
      <c r="R994" s="134"/>
      <c r="S994" s="134"/>
      <c r="T994" s="596"/>
      <c r="U994" s="278"/>
      <c r="V994" s="279"/>
      <c r="W994" s="280"/>
      <c r="X994" s="280"/>
      <c r="Y994" s="281"/>
      <c r="Z994" s="281"/>
      <c r="AA994" s="282"/>
      <c r="AB994" s="282"/>
      <c r="AE994" s="284"/>
      <c r="AF994" s="284"/>
      <c r="AG994" s="282"/>
      <c r="AH994" s="282"/>
      <c r="AI994" s="281"/>
      <c r="AJ994" s="281"/>
      <c r="AM994" s="285"/>
      <c r="AN994" s="285"/>
      <c r="AO994" s="284"/>
      <c r="AP994" s="284"/>
      <c r="AS994" s="286"/>
      <c r="AT994" s="286"/>
      <c r="AU994" s="281"/>
      <c r="AV994" s="281"/>
    </row>
    <row r="995" spans="1:48" s="283" customFormat="1" ht="19.5" customHeight="1">
      <c r="A995" s="275"/>
      <c r="B995" s="276"/>
      <c r="C995" s="276"/>
      <c r="D995" s="275"/>
      <c r="E995" s="595"/>
      <c r="F995" s="276"/>
      <c r="G995" s="277"/>
      <c r="H995" s="134"/>
      <c r="I995" s="276"/>
      <c r="J995" s="134"/>
      <c r="K995" s="134"/>
      <c r="L995" s="134"/>
      <c r="M995" s="134"/>
      <c r="N995" s="277"/>
      <c r="O995" s="277"/>
      <c r="P995" s="134"/>
      <c r="Q995" s="134"/>
      <c r="R995" s="134"/>
      <c r="S995" s="134"/>
      <c r="T995" s="596"/>
      <c r="U995" s="278"/>
      <c r="V995" s="279"/>
      <c r="W995" s="280"/>
      <c r="X995" s="280"/>
      <c r="Y995" s="281"/>
      <c r="Z995" s="281"/>
      <c r="AA995" s="282"/>
      <c r="AB995" s="282"/>
      <c r="AE995" s="284"/>
      <c r="AF995" s="284"/>
      <c r="AG995" s="282"/>
      <c r="AH995" s="282"/>
      <c r="AI995" s="281"/>
      <c r="AJ995" s="281"/>
      <c r="AM995" s="285"/>
      <c r="AN995" s="285"/>
      <c r="AO995" s="284"/>
      <c r="AP995" s="284"/>
      <c r="AS995" s="286"/>
      <c r="AT995" s="286"/>
      <c r="AU995" s="281"/>
      <c r="AV995" s="281"/>
    </row>
    <row r="996" spans="1:48" s="283" customFormat="1" ht="19.5" customHeight="1">
      <c r="A996" s="275"/>
      <c r="B996" s="276"/>
      <c r="C996" s="276"/>
      <c r="D996" s="275"/>
      <c r="E996" s="595"/>
      <c r="F996" s="276"/>
      <c r="G996" s="277"/>
      <c r="H996" s="134"/>
      <c r="I996" s="276"/>
      <c r="J996" s="134"/>
      <c r="K996" s="134"/>
      <c r="L996" s="134"/>
      <c r="M996" s="134"/>
      <c r="N996" s="277"/>
      <c r="O996" s="277"/>
      <c r="P996" s="134"/>
      <c r="Q996" s="134"/>
      <c r="R996" s="134"/>
      <c r="S996" s="134"/>
      <c r="T996" s="596"/>
      <c r="U996" s="278"/>
      <c r="V996" s="279"/>
      <c r="W996" s="280"/>
      <c r="X996" s="280"/>
      <c r="Y996" s="281"/>
      <c r="Z996" s="281"/>
      <c r="AA996" s="282"/>
      <c r="AB996" s="282"/>
      <c r="AE996" s="284"/>
      <c r="AF996" s="284"/>
      <c r="AG996" s="282"/>
      <c r="AH996" s="282"/>
      <c r="AI996" s="281"/>
      <c r="AJ996" s="281"/>
      <c r="AM996" s="285"/>
      <c r="AN996" s="285"/>
      <c r="AO996" s="284"/>
      <c r="AP996" s="284"/>
      <c r="AS996" s="286"/>
      <c r="AT996" s="286"/>
      <c r="AU996" s="281"/>
      <c r="AV996" s="281"/>
    </row>
    <row r="997" spans="1:48" s="283" customFormat="1" ht="19.5" customHeight="1">
      <c r="A997" s="275"/>
      <c r="B997" s="276"/>
      <c r="C997" s="276"/>
      <c r="D997" s="275"/>
      <c r="E997" s="595"/>
      <c r="F997" s="276"/>
      <c r="G997" s="277"/>
      <c r="H997" s="134"/>
      <c r="I997" s="276"/>
      <c r="J997" s="134"/>
      <c r="K997" s="134"/>
      <c r="L997" s="134"/>
      <c r="M997" s="134"/>
      <c r="N997" s="277"/>
      <c r="O997" s="277"/>
      <c r="P997" s="134"/>
      <c r="Q997" s="134"/>
      <c r="R997" s="134"/>
      <c r="S997" s="134"/>
      <c r="T997" s="596"/>
      <c r="U997" s="278"/>
      <c r="V997" s="279"/>
      <c r="W997" s="280"/>
      <c r="X997" s="280"/>
      <c r="Y997" s="281"/>
      <c r="Z997" s="281"/>
      <c r="AA997" s="282"/>
      <c r="AB997" s="282"/>
      <c r="AE997" s="284"/>
      <c r="AF997" s="284"/>
      <c r="AG997" s="282"/>
      <c r="AH997" s="282"/>
      <c r="AI997" s="281"/>
      <c r="AJ997" s="281"/>
      <c r="AM997" s="285"/>
      <c r="AN997" s="285"/>
      <c r="AO997" s="284"/>
      <c r="AP997" s="284"/>
      <c r="AS997" s="286"/>
      <c r="AT997" s="286"/>
      <c r="AU997" s="281"/>
      <c r="AV997" s="281"/>
    </row>
    <row r="998" spans="1:48" s="283" customFormat="1" ht="19.5" customHeight="1">
      <c r="A998" s="275"/>
      <c r="B998" s="276"/>
      <c r="C998" s="276"/>
      <c r="D998" s="275"/>
      <c r="E998" s="595"/>
      <c r="F998" s="276"/>
      <c r="G998" s="277"/>
      <c r="H998" s="134"/>
      <c r="I998" s="276"/>
      <c r="J998" s="134"/>
      <c r="K998" s="134"/>
      <c r="L998" s="134"/>
      <c r="M998" s="134"/>
      <c r="N998" s="277"/>
      <c r="O998" s="277"/>
      <c r="P998" s="134"/>
      <c r="Q998" s="134"/>
      <c r="R998" s="134"/>
      <c r="S998" s="134"/>
      <c r="T998" s="596"/>
      <c r="U998" s="278"/>
      <c r="V998" s="279"/>
      <c r="W998" s="280"/>
      <c r="X998" s="280"/>
      <c r="Y998" s="281"/>
      <c r="Z998" s="281"/>
      <c r="AA998" s="282"/>
      <c r="AB998" s="282"/>
      <c r="AE998" s="284"/>
      <c r="AF998" s="284"/>
      <c r="AG998" s="282"/>
      <c r="AH998" s="282"/>
      <c r="AI998" s="281"/>
      <c r="AJ998" s="281"/>
      <c r="AM998" s="285"/>
      <c r="AN998" s="285"/>
      <c r="AO998" s="284"/>
      <c r="AP998" s="284"/>
      <c r="AS998" s="286"/>
      <c r="AT998" s="286"/>
      <c r="AU998" s="281"/>
      <c r="AV998" s="281"/>
    </row>
    <row r="999" spans="1:48" s="283" customFormat="1" ht="19.5" customHeight="1">
      <c r="A999" s="275"/>
      <c r="B999" s="276"/>
      <c r="C999" s="276"/>
      <c r="D999" s="275"/>
      <c r="E999" s="595"/>
      <c r="F999" s="276"/>
      <c r="G999" s="277"/>
      <c r="H999" s="134"/>
      <c r="I999" s="276"/>
      <c r="J999" s="134"/>
      <c r="K999" s="134"/>
      <c r="L999" s="134"/>
      <c r="M999" s="134"/>
      <c r="N999" s="277"/>
      <c r="O999" s="277"/>
      <c r="P999" s="134"/>
      <c r="Q999" s="134"/>
      <c r="R999" s="134"/>
      <c r="S999" s="134"/>
      <c r="T999" s="596"/>
      <c r="U999" s="278"/>
      <c r="V999" s="279"/>
      <c r="W999" s="280"/>
      <c r="X999" s="280"/>
      <c r="Y999" s="281"/>
      <c r="Z999" s="281"/>
      <c r="AA999" s="282"/>
      <c r="AB999" s="282"/>
      <c r="AE999" s="284"/>
      <c r="AF999" s="284"/>
      <c r="AG999" s="282"/>
      <c r="AH999" s="282"/>
      <c r="AI999" s="281"/>
      <c r="AJ999" s="281"/>
      <c r="AM999" s="285"/>
      <c r="AN999" s="285"/>
      <c r="AO999" s="284"/>
      <c r="AP999" s="284"/>
      <c r="AS999" s="286"/>
      <c r="AT999" s="286"/>
      <c r="AU999" s="281"/>
      <c r="AV999" s="281"/>
    </row>
    <row r="1000" spans="1:48" s="283" customFormat="1" ht="19.5" customHeight="1">
      <c r="A1000" s="275"/>
      <c r="B1000" s="276"/>
      <c r="C1000" s="276"/>
      <c r="D1000" s="275"/>
      <c r="E1000" s="595"/>
      <c r="F1000" s="276"/>
      <c r="G1000" s="277"/>
      <c r="H1000" s="134"/>
      <c r="I1000" s="276"/>
      <c r="J1000" s="134"/>
      <c r="K1000" s="134"/>
      <c r="L1000" s="134"/>
      <c r="M1000" s="134"/>
      <c r="N1000" s="277"/>
      <c r="O1000" s="277"/>
      <c r="P1000" s="134"/>
      <c r="Q1000" s="134"/>
      <c r="R1000" s="134"/>
      <c r="S1000" s="134"/>
      <c r="T1000" s="596"/>
      <c r="U1000" s="278"/>
      <c r="V1000" s="279"/>
      <c r="W1000" s="280"/>
      <c r="X1000" s="280"/>
      <c r="Y1000" s="281"/>
      <c r="Z1000" s="281"/>
      <c r="AA1000" s="282"/>
      <c r="AB1000" s="282"/>
      <c r="AE1000" s="284"/>
      <c r="AF1000" s="284"/>
      <c r="AG1000" s="282"/>
      <c r="AH1000" s="282"/>
      <c r="AI1000" s="281"/>
      <c r="AJ1000" s="281"/>
      <c r="AM1000" s="285"/>
      <c r="AN1000" s="285"/>
      <c r="AO1000" s="284"/>
      <c r="AP1000" s="284"/>
      <c r="AS1000" s="286"/>
      <c r="AT1000" s="286"/>
      <c r="AU1000" s="281"/>
      <c r="AV1000" s="281"/>
    </row>
    <row r="1001" spans="1:48" s="283" customFormat="1" ht="19.5" customHeight="1">
      <c r="A1001" s="275"/>
      <c r="B1001" s="276"/>
      <c r="C1001" s="276"/>
      <c r="D1001" s="275"/>
      <c r="E1001" s="595"/>
      <c r="F1001" s="276"/>
      <c r="G1001" s="277"/>
      <c r="H1001" s="134"/>
      <c r="I1001" s="276"/>
      <c r="J1001" s="134"/>
      <c r="K1001" s="134"/>
      <c r="L1001" s="134"/>
      <c r="M1001" s="134"/>
      <c r="N1001" s="277"/>
      <c r="O1001" s="277"/>
      <c r="P1001" s="134"/>
      <c r="Q1001" s="134"/>
      <c r="R1001" s="134"/>
      <c r="S1001" s="134"/>
      <c r="T1001" s="596"/>
      <c r="U1001" s="278"/>
      <c r="V1001" s="279"/>
      <c r="W1001" s="280"/>
      <c r="X1001" s="280"/>
      <c r="Y1001" s="281"/>
      <c r="Z1001" s="281"/>
      <c r="AA1001" s="282"/>
      <c r="AB1001" s="282"/>
      <c r="AE1001" s="284"/>
      <c r="AF1001" s="284"/>
      <c r="AG1001" s="282"/>
      <c r="AH1001" s="282"/>
      <c r="AI1001" s="281"/>
      <c r="AJ1001" s="281"/>
      <c r="AM1001" s="285"/>
      <c r="AN1001" s="285"/>
      <c r="AO1001" s="284"/>
      <c r="AP1001" s="284"/>
      <c r="AS1001" s="286"/>
      <c r="AT1001" s="286"/>
      <c r="AU1001" s="281"/>
      <c r="AV1001" s="281"/>
    </row>
    <row r="1002" spans="1:48" s="283" customFormat="1" ht="19.5" customHeight="1">
      <c r="A1002" s="275"/>
      <c r="B1002" s="276"/>
      <c r="C1002" s="276"/>
      <c r="D1002" s="275"/>
      <c r="E1002" s="595"/>
      <c r="F1002" s="276"/>
      <c r="G1002" s="277"/>
      <c r="H1002" s="134"/>
      <c r="I1002" s="276"/>
      <c r="J1002" s="134"/>
      <c r="K1002" s="134"/>
      <c r="L1002" s="134"/>
      <c r="M1002" s="134"/>
      <c r="N1002" s="277"/>
      <c r="O1002" s="277"/>
      <c r="P1002" s="134"/>
      <c r="Q1002" s="134"/>
      <c r="R1002" s="134"/>
      <c r="S1002" s="134"/>
      <c r="T1002" s="596"/>
      <c r="U1002" s="278"/>
      <c r="V1002" s="279"/>
      <c r="W1002" s="280"/>
      <c r="X1002" s="280"/>
      <c r="Y1002" s="281"/>
      <c r="Z1002" s="281"/>
      <c r="AA1002" s="282"/>
      <c r="AB1002" s="282"/>
      <c r="AE1002" s="284"/>
      <c r="AF1002" s="284"/>
      <c r="AG1002" s="282"/>
      <c r="AH1002" s="282"/>
      <c r="AI1002" s="281"/>
      <c r="AJ1002" s="281"/>
      <c r="AM1002" s="285"/>
      <c r="AN1002" s="285"/>
      <c r="AO1002" s="284"/>
      <c r="AP1002" s="284"/>
      <c r="AS1002" s="286"/>
      <c r="AT1002" s="286"/>
      <c r="AU1002" s="281"/>
      <c r="AV1002" s="281"/>
    </row>
    <row r="1003" spans="1:48" s="283" customFormat="1" ht="19.5" customHeight="1">
      <c r="A1003" s="275"/>
      <c r="B1003" s="276"/>
      <c r="C1003" s="276"/>
      <c r="D1003" s="275"/>
      <c r="E1003" s="595"/>
      <c r="F1003" s="276"/>
      <c r="G1003" s="277"/>
      <c r="H1003" s="134"/>
      <c r="I1003" s="276"/>
      <c r="J1003" s="134"/>
      <c r="K1003" s="134"/>
      <c r="L1003" s="134"/>
      <c r="M1003" s="134"/>
      <c r="N1003" s="277"/>
      <c r="O1003" s="277"/>
      <c r="P1003" s="134"/>
      <c r="Q1003" s="134"/>
      <c r="R1003" s="134"/>
      <c r="S1003" s="134"/>
      <c r="T1003" s="596"/>
      <c r="U1003" s="278"/>
      <c r="V1003" s="279"/>
      <c r="W1003" s="280"/>
      <c r="X1003" s="280"/>
      <c r="Y1003" s="281"/>
      <c r="Z1003" s="281"/>
      <c r="AA1003" s="282"/>
      <c r="AB1003" s="282"/>
      <c r="AE1003" s="284"/>
      <c r="AF1003" s="284"/>
      <c r="AG1003" s="282"/>
      <c r="AH1003" s="282"/>
      <c r="AI1003" s="281"/>
      <c r="AJ1003" s="281"/>
      <c r="AM1003" s="285"/>
      <c r="AN1003" s="285"/>
      <c r="AO1003" s="284"/>
      <c r="AP1003" s="284"/>
      <c r="AS1003" s="286"/>
      <c r="AT1003" s="286"/>
      <c r="AU1003" s="281"/>
      <c r="AV1003" s="281"/>
    </row>
    <row r="1004" spans="1:48" s="283" customFormat="1" ht="19.5" customHeight="1">
      <c r="A1004" s="275"/>
      <c r="B1004" s="276"/>
      <c r="C1004" s="276"/>
      <c r="D1004" s="275"/>
      <c r="E1004" s="595"/>
      <c r="F1004" s="276"/>
      <c r="G1004" s="277"/>
      <c r="H1004" s="134"/>
      <c r="I1004" s="276"/>
      <c r="J1004" s="134"/>
      <c r="K1004" s="134"/>
      <c r="L1004" s="134"/>
      <c r="M1004" s="134"/>
      <c r="N1004" s="277"/>
      <c r="O1004" s="277"/>
      <c r="P1004" s="134"/>
      <c r="Q1004" s="134"/>
      <c r="R1004" s="134"/>
      <c r="S1004" s="134"/>
      <c r="T1004" s="596"/>
      <c r="U1004" s="278"/>
      <c r="V1004" s="279"/>
      <c r="W1004" s="280"/>
      <c r="X1004" s="280"/>
      <c r="Y1004" s="281"/>
      <c r="Z1004" s="281"/>
      <c r="AA1004" s="282"/>
      <c r="AB1004" s="282"/>
      <c r="AE1004" s="284"/>
      <c r="AF1004" s="284"/>
      <c r="AG1004" s="282"/>
      <c r="AH1004" s="282"/>
      <c r="AI1004" s="281"/>
      <c r="AJ1004" s="281"/>
      <c r="AM1004" s="285"/>
      <c r="AN1004" s="285"/>
      <c r="AO1004" s="284"/>
      <c r="AP1004" s="284"/>
      <c r="AS1004" s="286"/>
      <c r="AT1004" s="286"/>
      <c r="AU1004" s="281"/>
      <c r="AV1004" s="281"/>
    </row>
    <row r="1005" spans="1:48" s="283" customFormat="1" ht="19.5" customHeight="1">
      <c r="A1005" s="275"/>
      <c r="B1005" s="276"/>
      <c r="C1005" s="276"/>
      <c r="D1005" s="275"/>
      <c r="E1005" s="595"/>
      <c r="F1005" s="276"/>
      <c r="G1005" s="277"/>
      <c r="H1005" s="134"/>
      <c r="I1005" s="276"/>
      <c r="J1005" s="134"/>
      <c r="K1005" s="134"/>
      <c r="L1005" s="134"/>
      <c r="M1005" s="134"/>
      <c r="N1005" s="277"/>
      <c r="O1005" s="277"/>
      <c r="P1005" s="134"/>
      <c r="Q1005" s="134"/>
      <c r="R1005" s="134"/>
      <c r="S1005" s="134"/>
      <c r="T1005" s="596"/>
      <c r="U1005" s="278"/>
      <c r="V1005" s="279"/>
      <c r="W1005" s="280"/>
      <c r="X1005" s="280"/>
      <c r="Y1005" s="281"/>
      <c r="Z1005" s="281"/>
      <c r="AA1005" s="282"/>
      <c r="AB1005" s="282"/>
      <c r="AE1005" s="284"/>
      <c r="AF1005" s="284"/>
      <c r="AG1005" s="282"/>
      <c r="AH1005" s="282"/>
      <c r="AI1005" s="281"/>
      <c r="AJ1005" s="281"/>
      <c r="AM1005" s="285"/>
      <c r="AN1005" s="285"/>
      <c r="AO1005" s="284"/>
      <c r="AP1005" s="284"/>
      <c r="AS1005" s="286"/>
      <c r="AT1005" s="286"/>
      <c r="AU1005" s="281"/>
      <c r="AV1005" s="281"/>
    </row>
    <row r="1006" spans="1:48" s="283" customFormat="1" ht="19.5" customHeight="1">
      <c r="A1006" s="275"/>
      <c r="B1006" s="276"/>
      <c r="C1006" s="276"/>
      <c r="D1006" s="275"/>
      <c r="E1006" s="595"/>
      <c r="F1006" s="276"/>
      <c r="G1006" s="277"/>
      <c r="H1006" s="134"/>
      <c r="I1006" s="276"/>
      <c r="J1006" s="134"/>
      <c r="K1006" s="134"/>
      <c r="L1006" s="134"/>
      <c r="M1006" s="134"/>
      <c r="N1006" s="277"/>
      <c r="O1006" s="277"/>
      <c r="P1006" s="134"/>
      <c r="Q1006" s="134"/>
      <c r="R1006" s="134"/>
      <c r="S1006" s="134"/>
      <c r="T1006" s="596"/>
      <c r="U1006" s="278"/>
      <c r="V1006" s="279"/>
      <c r="W1006" s="280"/>
      <c r="X1006" s="280"/>
      <c r="Y1006" s="281"/>
      <c r="Z1006" s="281"/>
      <c r="AA1006" s="282"/>
      <c r="AB1006" s="282"/>
      <c r="AE1006" s="284"/>
      <c r="AF1006" s="284"/>
      <c r="AG1006" s="282"/>
      <c r="AH1006" s="282"/>
      <c r="AI1006" s="281"/>
      <c r="AJ1006" s="281"/>
      <c r="AM1006" s="285"/>
      <c r="AN1006" s="285"/>
      <c r="AO1006" s="284"/>
      <c r="AP1006" s="284"/>
      <c r="AS1006" s="286"/>
      <c r="AT1006" s="286"/>
      <c r="AU1006" s="281"/>
      <c r="AV1006" s="281"/>
    </row>
    <row r="1007" spans="1:48" s="283" customFormat="1" ht="19.5" customHeight="1">
      <c r="A1007" s="275"/>
      <c r="B1007" s="276"/>
      <c r="C1007" s="276"/>
      <c r="D1007" s="275"/>
      <c r="E1007" s="595"/>
      <c r="F1007" s="276"/>
      <c r="G1007" s="277"/>
      <c r="H1007" s="134"/>
      <c r="I1007" s="276"/>
      <c r="J1007" s="134"/>
      <c r="K1007" s="134"/>
      <c r="L1007" s="134"/>
      <c r="M1007" s="134"/>
      <c r="N1007" s="277"/>
      <c r="O1007" s="277"/>
      <c r="P1007" s="134"/>
      <c r="Q1007" s="134"/>
      <c r="R1007" s="134"/>
      <c r="S1007" s="134"/>
      <c r="T1007" s="596"/>
      <c r="U1007" s="278"/>
      <c r="V1007" s="279"/>
      <c r="W1007" s="280"/>
      <c r="X1007" s="280"/>
      <c r="Y1007" s="281"/>
      <c r="Z1007" s="281"/>
      <c r="AA1007" s="282"/>
      <c r="AB1007" s="282"/>
      <c r="AE1007" s="284"/>
      <c r="AF1007" s="284"/>
      <c r="AG1007" s="282"/>
      <c r="AH1007" s="282"/>
      <c r="AI1007" s="281"/>
      <c r="AJ1007" s="281"/>
      <c r="AM1007" s="285"/>
      <c r="AN1007" s="285"/>
      <c r="AO1007" s="284"/>
      <c r="AP1007" s="284"/>
      <c r="AS1007" s="286"/>
      <c r="AT1007" s="286"/>
      <c r="AU1007" s="281"/>
      <c r="AV1007" s="281"/>
    </row>
    <row r="1008" spans="1:48" s="283" customFormat="1" ht="19.5" customHeight="1">
      <c r="A1008" s="275"/>
      <c r="B1008" s="276"/>
      <c r="C1008" s="276"/>
      <c r="D1008" s="275"/>
      <c r="E1008" s="595"/>
      <c r="F1008" s="276"/>
      <c r="G1008" s="277"/>
      <c r="H1008" s="134"/>
      <c r="I1008" s="276"/>
      <c r="J1008" s="134"/>
      <c r="K1008" s="134"/>
      <c r="L1008" s="134"/>
      <c r="M1008" s="134"/>
      <c r="N1008" s="277"/>
      <c r="O1008" s="277"/>
      <c r="P1008" s="134"/>
      <c r="Q1008" s="134"/>
      <c r="R1008" s="134"/>
      <c r="S1008" s="134"/>
      <c r="T1008" s="596"/>
      <c r="U1008" s="278"/>
      <c r="V1008" s="279"/>
      <c r="W1008" s="280"/>
      <c r="X1008" s="280"/>
      <c r="Y1008" s="281"/>
      <c r="Z1008" s="281"/>
      <c r="AA1008" s="282"/>
      <c r="AB1008" s="282"/>
      <c r="AE1008" s="284"/>
      <c r="AF1008" s="284"/>
      <c r="AG1008" s="282"/>
      <c r="AH1008" s="282"/>
      <c r="AI1008" s="281"/>
      <c r="AJ1008" s="281"/>
      <c r="AM1008" s="285"/>
      <c r="AN1008" s="285"/>
      <c r="AO1008" s="284"/>
      <c r="AP1008" s="284"/>
      <c r="AS1008" s="286"/>
      <c r="AT1008" s="286"/>
      <c r="AU1008" s="281"/>
      <c r="AV1008" s="281"/>
    </row>
    <row r="1009" spans="1:48" s="283" customFormat="1" ht="19.5" customHeight="1">
      <c r="A1009" s="275"/>
      <c r="B1009" s="276"/>
      <c r="C1009" s="276"/>
      <c r="D1009" s="275"/>
      <c r="E1009" s="595"/>
      <c r="F1009" s="276"/>
      <c r="G1009" s="277"/>
      <c r="H1009" s="134"/>
      <c r="I1009" s="276"/>
      <c r="J1009" s="134"/>
      <c r="K1009" s="134"/>
      <c r="L1009" s="134"/>
      <c r="M1009" s="134"/>
      <c r="N1009" s="277"/>
      <c r="O1009" s="277"/>
      <c r="P1009" s="134"/>
      <c r="Q1009" s="134"/>
      <c r="R1009" s="134"/>
      <c r="S1009" s="134"/>
      <c r="T1009" s="596"/>
      <c r="U1009" s="278"/>
      <c r="V1009" s="279"/>
      <c r="W1009" s="280"/>
      <c r="X1009" s="280"/>
      <c r="Y1009" s="281"/>
      <c r="Z1009" s="281"/>
      <c r="AA1009" s="282"/>
      <c r="AB1009" s="282"/>
      <c r="AE1009" s="284"/>
      <c r="AF1009" s="284"/>
      <c r="AG1009" s="282"/>
      <c r="AH1009" s="282"/>
      <c r="AI1009" s="281"/>
      <c r="AJ1009" s="281"/>
      <c r="AM1009" s="285"/>
      <c r="AN1009" s="285"/>
      <c r="AO1009" s="284"/>
      <c r="AP1009" s="284"/>
      <c r="AS1009" s="286"/>
      <c r="AT1009" s="286"/>
      <c r="AU1009" s="281"/>
      <c r="AV1009" s="281"/>
    </row>
    <row r="1010" spans="1:48" s="283" customFormat="1" ht="19.5" customHeight="1">
      <c r="A1010" s="275"/>
      <c r="B1010" s="276"/>
      <c r="C1010" s="276"/>
      <c r="D1010" s="275"/>
      <c r="E1010" s="595"/>
      <c r="F1010" s="276"/>
      <c r="G1010" s="277"/>
      <c r="H1010" s="134"/>
      <c r="I1010" s="276"/>
      <c r="J1010" s="134"/>
      <c r="K1010" s="134"/>
      <c r="L1010" s="134"/>
      <c r="M1010" s="134"/>
      <c r="N1010" s="277"/>
      <c r="O1010" s="277"/>
      <c r="P1010" s="134"/>
      <c r="Q1010" s="134"/>
      <c r="R1010" s="134"/>
      <c r="S1010" s="134"/>
      <c r="T1010" s="596"/>
      <c r="U1010" s="278"/>
      <c r="V1010" s="279"/>
      <c r="W1010" s="280"/>
      <c r="X1010" s="280"/>
      <c r="Y1010" s="281"/>
      <c r="Z1010" s="281"/>
      <c r="AA1010" s="282"/>
      <c r="AB1010" s="282"/>
      <c r="AE1010" s="284"/>
      <c r="AF1010" s="284"/>
      <c r="AG1010" s="282"/>
      <c r="AH1010" s="282"/>
      <c r="AI1010" s="281"/>
      <c r="AJ1010" s="281"/>
      <c r="AM1010" s="285"/>
      <c r="AN1010" s="285"/>
      <c r="AO1010" s="284"/>
      <c r="AP1010" s="284"/>
      <c r="AS1010" s="286"/>
      <c r="AT1010" s="286"/>
      <c r="AU1010" s="281"/>
      <c r="AV1010" s="281"/>
    </row>
    <row r="1011" spans="1:48" s="283" customFormat="1" ht="19.5" customHeight="1">
      <c r="A1011" s="275"/>
      <c r="B1011" s="276"/>
      <c r="C1011" s="276"/>
      <c r="D1011" s="275"/>
      <c r="E1011" s="595"/>
      <c r="F1011" s="276"/>
      <c r="G1011" s="277"/>
      <c r="H1011" s="134"/>
      <c r="I1011" s="276"/>
      <c r="J1011" s="134"/>
      <c r="K1011" s="134"/>
      <c r="L1011" s="134"/>
      <c r="M1011" s="134"/>
      <c r="N1011" s="277"/>
      <c r="O1011" s="277"/>
      <c r="P1011" s="134"/>
      <c r="Q1011" s="134"/>
      <c r="R1011" s="134"/>
      <c r="S1011" s="134"/>
      <c r="T1011" s="596"/>
      <c r="U1011" s="278"/>
      <c r="V1011" s="279"/>
      <c r="W1011" s="280"/>
      <c r="X1011" s="280"/>
      <c r="Y1011" s="281"/>
      <c r="Z1011" s="281"/>
      <c r="AA1011" s="282"/>
      <c r="AB1011" s="282"/>
      <c r="AE1011" s="284"/>
      <c r="AF1011" s="284"/>
      <c r="AG1011" s="282"/>
      <c r="AH1011" s="282"/>
      <c r="AI1011" s="281"/>
      <c r="AJ1011" s="281"/>
      <c r="AM1011" s="285"/>
      <c r="AN1011" s="285"/>
      <c r="AO1011" s="284"/>
      <c r="AP1011" s="284"/>
      <c r="AS1011" s="286"/>
      <c r="AT1011" s="286"/>
      <c r="AU1011" s="281"/>
      <c r="AV1011" s="281"/>
    </row>
    <row r="1012" spans="1:48" s="283" customFormat="1" ht="19.5" customHeight="1">
      <c r="A1012" s="275"/>
      <c r="B1012" s="276"/>
      <c r="C1012" s="276"/>
      <c r="D1012" s="275"/>
      <c r="E1012" s="595"/>
      <c r="F1012" s="276"/>
      <c r="G1012" s="277"/>
      <c r="H1012" s="134"/>
      <c r="I1012" s="276"/>
      <c r="J1012" s="134"/>
      <c r="K1012" s="134"/>
      <c r="L1012" s="134"/>
      <c r="M1012" s="134"/>
      <c r="N1012" s="277"/>
      <c r="O1012" s="277"/>
      <c r="P1012" s="134"/>
      <c r="Q1012" s="134"/>
      <c r="R1012" s="134"/>
      <c r="S1012" s="134"/>
      <c r="T1012" s="596"/>
      <c r="U1012" s="278"/>
      <c r="V1012" s="279"/>
      <c r="W1012" s="280"/>
      <c r="X1012" s="280"/>
      <c r="Y1012" s="281"/>
      <c r="Z1012" s="281"/>
      <c r="AA1012" s="282"/>
      <c r="AB1012" s="282"/>
      <c r="AE1012" s="284"/>
      <c r="AF1012" s="284"/>
      <c r="AG1012" s="282"/>
      <c r="AH1012" s="282"/>
      <c r="AI1012" s="281"/>
      <c r="AJ1012" s="281"/>
      <c r="AM1012" s="285"/>
      <c r="AN1012" s="285"/>
      <c r="AO1012" s="284"/>
      <c r="AP1012" s="284"/>
      <c r="AS1012" s="286"/>
      <c r="AT1012" s="286"/>
      <c r="AU1012" s="281"/>
      <c r="AV1012" s="281"/>
    </row>
    <row r="1013" spans="1:48" s="283" customFormat="1" ht="19.5" customHeight="1">
      <c r="A1013" s="275"/>
      <c r="B1013" s="276"/>
      <c r="C1013" s="276"/>
      <c r="D1013" s="275"/>
      <c r="E1013" s="595"/>
      <c r="F1013" s="276"/>
      <c r="G1013" s="277"/>
      <c r="H1013" s="134"/>
      <c r="I1013" s="276"/>
      <c r="J1013" s="134"/>
      <c r="K1013" s="134"/>
      <c r="L1013" s="134"/>
      <c r="M1013" s="134"/>
      <c r="N1013" s="277"/>
      <c r="O1013" s="277"/>
      <c r="P1013" s="134"/>
      <c r="Q1013" s="134"/>
      <c r="R1013" s="134"/>
      <c r="S1013" s="134"/>
      <c r="T1013" s="596"/>
      <c r="U1013" s="278"/>
      <c r="V1013" s="279"/>
      <c r="W1013" s="280"/>
      <c r="X1013" s="280"/>
      <c r="Y1013" s="281"/>
      <c r="Z1013" s="281"/>
      <c r="AA1013" s="282"/>
      <c r="AB1013" s="282"/>
      <c r="AE1013" s="284"/>
      <c r="AF1013" s="284"/>
      <c r="AG1013" s="282"/>
      <c r="AH1013" s="282"/>
      <c r="AI1013" s="281"/>
      <c r="AJ1013" s="281"/>
      <c r="AM1013" s="285"/>
      <c r="AN1013" s="285"/>
      <c r="AO1013" s="284"/>
      <c r="AP1013" s="284"/>
      <c r="AS1013" s="286"/>
      <c r="AT1013" s="286"/>
      <c r="AU1013" s="281"/>
      <c r="AV1013" s="281"/>
    </row>
    <row r="1014" spans="1:48" s="283" customFormat="1" ht="19.5" customHeight="1">
      <c r="A1014" s="275"/>
      <c r="B1014" s="276"/>
      <c r="C1014" s="276"/>
      <c r="D1014" s="275"/>
      <c r="E1014" s="595"/>
      <c r="F1014" s="276"/>
      <c r="G1014" s="277"/>
      <c r="H1014" s="134"/>
      <c r="I1014" s="276"/>
      <c r="J1014" s="134"/>
      <c r="K1014" s="134"/>
      <c r="L1014" s="134"/>
      <c r="M1014" s="134"/>
      <c r="N1014" s="277"/>
      <c r="O1014" s="277"/>
      <c r="P1014" s="134"/>
      <c r="Q1014" s="134"/>
      <c r="R1014" s="134"/>
      <c r="S1014" s="134"/>
      <c r="T1014" s="596"/>
      <c r="U1014" s="278"/>
      <c r="V1014" s="279"/>
      <c r="W1014" s="280"/>
      <c r="X1014" s="280"/>
      <c r="Y1014" s="281"/>
      <c r="Z1014" s="281"/>
      <c r="AA1014" s="282"/>
      <c r="AB1014" s="282"/>
      <c r="AE1014" s="284"/>
      <c r="AF1014" s="284"/>
      <c r="AG1014" s="282"/>
      <c r="AH1014" s="282"/>
      <c r="AI1014" s="281"/>
      <c r="AJ1014" s="281"/>
      <c r="AM1014" s="285"/>
      <c r="AN1014" s="285"/>
      <c r="AO1014" s="284"/>
      <c r="AP1014" s="284"/>
      <c r="AS1014" s="286"/>
      <c r="AT1014" s="286"/>
      <c r="AU1014" s="281"/>
      <c r="AV1014" s="281"/>
    </row>
    <row r="1015" spans="1:48" s="283" customFormat="1" ht="19.5" customHeight="1">
      <c r="A1015" s="275"/>
      <c r="B1015" s="276"/>
      <c r="C1015" s="276"/>
      <c r="D1015" s="275"/>
      <c r="E1015" s="595"/>
      <c r="F1015" s="276"/>
      <c r="G1015" s="277"/>
      <c r="H1015" s="134"/>
      <c r="I1015" s="276"/>
      <c r="J1015" s="134"/>
      <c r="K1015" s="134"/>
      <c r="L1015" s="134"/>
      <c r="M1015" s="134"/>
      <c r="N1015" s="277"/>
      <c r="O1015" s="277"/>
      <c r="P1015" s="134"/>
      <c r="Q1015" s="134"/>
      <c r="R1015" s="134"/>
      <c r="S1015" s="134"/>
      <c r="T1015" s="596"/>
      <c r="U1015" s="278"/>
      <c r="V1015" s="279"/>
      <c r="W1015" s="280"/>
      <c r="X1015" s="280"/>
      <c r="Y1015" s="281"/>
      <c r="Z1015" s="281"/>
      <c r="AA1015" s="282"/>
      <c r="AB1015" s="282"/>
      <c r="AE1015" s="284"/>
      <c r="AF1015" s="284"/>
      <c r="AG1015" s="282"/>
      <c r="AH1015" s="282"/>
      <c r="AI1015" s="281"/>
      <c r="AJ1015" s="281"/>
      <c r="AM1015" s="285"/>
      <c r="AN1015" s="285"/>
      <c r="AO1015" s="284"/>
      <c r="AP1015" s="284"/>
      <c r="AS1015" s="286"/>
      <c r="AT1015" s="286"/>
      <c r="AU1015" s="281"/>
      <c r="AV1015" s="281"/>
    </row>
    <row r="1016" spans="1:48" s="283" customFormat="1" ht="19.5" customHeight="1">
      <c r="A1016" s="275"/>
      <c r="B1016" s="276"/>
      <c r="C1016" s="276"/>
      <c r="D1016" s="275"/>
      <c r="E1016" s="595"/>
      <c r="F1016" s="276"/>
      <c r="G1016" s="277"/>
      <c r="H1016" s="134"/>
      <c r="I1016" s="276"/>
      <c r="J1016" s="134"/>
      <c r="K1016" s="134"/>
      <c r="L1016" s="134"/>
      <c r="M1016" s="134"/>
      <c r="N1016" s="277"/>
      <c r="O1016" s="277"/>
      <c r="P1016" s="134"/>
      <c r="Q1016" s="134"/>
      <c r="R1016" s="134"/>
      <c r="S1016" s="134"/>
      <c r="T1016" s="596"/>
      <c r="U1016" s="278"/>
      <c r="V1016" s="279"/>
      <c r="W1016" s="280"/>
      <c r="X1016" s="280"/>
      <c r="Y1016" s="281"/>
      <c r="Z1016" s="281"/>
      <c r="AA1016" s="282"/>
      <c r="AB1016" s="282"/>
      <c r="AE1016" s="284"/>
      <c r="AF1016" s="284"/>
      <c r="AG1016" s="282"/>
      <c r="AH1016" s="282"/>
      <c r="AI1016" s="281"/>
      <c r="AJ1016" s="281"/>
      <c r="AM1016" s="285"/>
      <c r="AN1016" s="285"/>
      <c r="AO1016" s="284"/>
      <c r="AP1016" s="284"/>
      <c r="AS1016" s="286"/>
      <c r="AT1016" s="286"/>
      <c r="AU1016" s="281"/>
      <c r="AV1016" s="281"/>
    </row>
    <row r="1017" spans="1:48" s="283" customFormat="1" ht="19.5" customHeight="1">
      <c r="A1017" s="275"/>
      <c r="B1017" s="276"/>
      <c r="C1017" s="276"/>
      <c r="D1017" s="275"/>
      <c r="E1017" s="595"/>
      <c r="F1017" s="276"/>
      <c r="G1017" s="277"/>
      <c r="H1017" s="134"/>
      <c r="I1017" s="276"/>
      <c r="J1017" s="134"/>
      <c r="K1017" s="134"/>
      <c r="L1017" s="134"/>
      <c r="M1017" s="134"/>
      <c r="N1017" s="277"/>
      <c r="O1017" s="277"/>
      <c r="P1017" s="134"/>
      <c r="Q1017" s="134"/>
      <c r="R1017" s="134"/>
      <c r="S1017" s="134"/>
      <c r="T1017" s="596"/>
      <c r="U1017" s="278"/>
      <c r="V1017" s="279"/>
      <c r="W1017" s="280"/>
      <c r="X1017" s="280"/>
      <c r="Y1017" s="281"/>
      <c r="Z1017" s="281"/>
      <c r="AA1017" s="282"/>
      <c r="AB1017" s="282"/>
      <c r="AE1017" s="284"/>
      <c r="AF1017" s="284"/>
      <c r="AG1017" s="282"/>
      <c r="AH1017" s="282"/>
      <c r="AI1017" s="281"/>
      <c r="AJ1017" s="281"/>
      <c r="AM1017" s="285"/>
      <c r="AN1017" s="285"/>
      <c r="AO1017" s="284"/>
      <c r="AP1017" s="284"/>
      <c r="AS1017" s="286"/>
      <c r="AT1017" s="286"/>
      <c r="AU1017" s="281"/>
      <c r="AV1017" s="281"/>
    </row>
    <row r="1018" spans="1:48" s="283" customFormat="1" ht="19.5" customHeight="1">
      <c r="A1018" s="275"/>
      <c r="B1018" s="276"/>
      <c r="C1018" s="276"/>
      <c r="D1018" s="275"/>
      <c r="E1018" s="595"/>
      <c r="F1018" s="276"/>
      <c r="G1018" s="277"/>
      <c r="H1018" s="134"/>
      <c r="I1018" s="276"/>
      <c r="J1018" s="134"/>
      <c r="K1018" s="134"/>
      <c r="L1018" s="134"/>
      <c r="M1018" s="134"/>
      <c r="N1018" s="277"/>
      <c r="O1018" s="277"/>
      <c r="P1018" s="134"/>
      <c r="Q1018" s="134"/>
      <c r="R1018" s="134"/>
      <c r="S1018" s="134"/>
      <c r="T1018" s="596"/>
      <c r="U1018" s="278"/>
      <c r="V1018" s="279"/>
      <c r="W1018" s="280"/>
      <c r="X1018" s="280"/>
      <c r="Y1018" s="281"/>
      <c r="Z1018" s="281"/>
      <c r="AA1018" s="282"/>
      <c r="AB1018" s="282"/>
      <c r="AE1018" s="284"/>
      <c r="AF1018" s="284"/>
      <c r="AG1018" s="282"/>
      <c r="AH1018" s="282"/>
      <c r="AI1018" s="281"/>
      <c r="AJ1018" s="281"/>
      <c r="AM1018" s="285"/>
      <c r="AN1018" s="285"/>
      <c r="AO1018" s="284"/>
      <c r="AP1018" s="284"/>
      <c r="AS1018" s="286"/>
      <c r="AT1018" s="286"/>
      <c r="AU1018" s="281"/>
      <c r="AV1018" s="281"/>
    </row>
    <row r="1019" spans="1:48" s="283" customFormat="1" ht="19.5" customHeight="1">
      <c r="A1019" s="275"/>
      <c r="B1019" s="276"/>
      <c r="C1019" s="276"/>
      <c r="D1019" s="275"/>
      <c r="E1019" s="595"/>
      <c r="F1019" s="276"/>
      <c r="G1019" s="277"/>
      <c r="H1019" s="134"/>
      <c r="I1019" s="276"/>
      <c r="J1019" s="134"/>
      <c r="K1019" s="134"/>
      <c r="L1019" s="134"/>
      <c r="M1019" s="134"/>
      <c r="N1019" s="277"/>
      <c r="O1019" s="277"/>
      <c r="P1019" s="134"/>
      <c r="Q1019" s="134"/>
      <c r="R1019" s="134"/>
      <c r="S1019" s="134"/>
      <c r="T1019" s="596"/>
      <c r="U1019" s="278"/>
      <c r="V1019" s="279"/>
      <c r="W1019" s="280"/>
      <c r="X1019" s="280"/>
      <c r="Y1019" s="281"/>
      <c r="Z1019" s="281"/>
      <c r="AA1019" s="282"/>
      <c r="AB1019" s="282"/>
      <c r="AE1019" s="284"/>
      <c r="AF1019" s="284"/>
      <c r="AG1019" s="282"/>
      <c r="AH1019" s="282"/>
      <c r="AI1019" s="281"/>
      <c r="AJ1019" s="281"/>
      <c r="AM1019" s="285"/>
      <c r="AN1019" s="285"/>
      <c r="AO1019" s="284"/>
      <c r="AP1019" s="284"/>
      <c r="AS1019" s="286"/>
      <c r="AT1019" s="286"/>
      <c r="AU1019" s="281"/>
      <c r="AV1019" s="281"/>
    </row>
    <row r="1020" spans="1:48" s="283" customFormat="1" ht="19.5" customHeight="1">
      <c r="A1020" s="275"/>
      <c r="B1020" s="276"/>
      <c r="C1020" s="276"/>
      <c r="D1020" s="275"/>
      <c r="E1020" s="595"/>
      <c r="F1020" s="276"/>
      <c r="G1020" s="277"/>
      <c r="H1020" s="134"/>
      <c r="I1020" s="276"/>
      <c r="J1020" s="134"/>
      <c r="K1020" s="134"/>
      <c r="L1020" s="134"/>
      <c r="M1020" s="134"/>
      <c r="N1020" s="277"/>
      <c r="O1020" s="277"/>
      <c r="P1020" s="134"/>
      <c r="Q1020" s="134"/>
      <c r="R1020" s="134"/>
      <c r="S1020" s="134"/>
      <c r="T1020" s="596"/>
      <c r="U1020" s="278"/>
      <c r="V1020" s="279"/>
      <c r="W1020" s="280"/>
      <c r="X1020" s="280"/>
      <c r="Y1020" s="281"/>
      <c r="Z1020" s="281"/>
      <c r="AA1020" s="282"/>
      <c r="AB1020" s="282"/>
      <c r="AE1020" s="284"/>
      <c r="AF1020" s="284"/>
      <c r="AG1020" s="282"/>
      <c r="AH1020" s="282"/>
      <c r="AI1020" s="281"/>
      <c r="AJ1020" s="281"/>
      <c r="AM1020" s="285"/>
      <c r="AN1020" s="285"/>
      <c r="AO1020" s="284"/>
      <c r="AP1020" s="284"/>
      <c r="AS1020" s="286"/>
      <c r="AT1020" s="286"/>
      <c r="AU1020" s="281"/>
      <c r="AV1020" s="281"/>
    </row>
    <row r="1021" spans="1:48" s="283" customFormat="1" ht="19.5" customHeight="1">
      <c r="A1021" s="275"/>
      <c r="B1021" s="276"/>
      <c r="C1021" s="276"/>
      <c r="D1021" s="275"/>
      <c r="E1021" s="595"/>
      <c r="F1021" s="276"/>
      <c r="G1021" s="277"/>
      <c r="H1021" s="134"/>
      <c r="I1021" s="276"/>
      <c r="J1021" s="134"/>
      <c r="K1021" s="134"/>
      <c r="L1021" s="134"/>
      <c r="M1021" s="134"/>
      <c r="N1021" s="277"/>
      <c r="O1021" s="277"/>
      <c r="P1021" s="134"/>
      <c r="Q1021" s="134"/>
      <c r="R1021" s="134"/>
      <c r="S1021" s="134"/>
      <c r="T1021" s="596"/>
      <c r="U1021" s="278"/>
      <c r="V1021" s="279"/>
      <c r="W1021" s="280"/>
      <c r="X1021" s="280"/>
      <c r="Y1021" s="281"/>
      <c r="Z1021" s="281"/>
      <c r="AA1021" s="282"/>
      <c r="AB1021" s="282"/>
      <c r="AE1021" s="284"/>
      <c r="AF1021" s="284"/>
      <c r="AG1021" s="282"/>
      <c r="AH1021" s="282"/>
      <c r="AI1021" s="281"/>
      <c r="AJ1021" s="281"/>
      <c r="AM1021" s="285"/>
      <c r="AN1021" s="285"/>
      <c r="AO1021" s="284"/>
      <c r="AP1021" s="284"/>
      <c r="AS1021" s="286"/>
      <c r="AT1021" s="286"/>
      <c r="AU1021" s="281"/>
      <c r="AV1021" s="281"/>
    </row>
    <row r="1022" spans="1:48" s="283" customFormat="1" ht="19.5" customHeight="1">
      <c r="A1022" s="275"/>
      <c r="B1022" s="276"/>
      <c r="C1022" s="276"/>
      <c r="D1022" s="275"/>
      <c r="E1022" s="595"/>
      <c r="F1022" s="276"/>
      <c r="G1022" s="277"/>
      <c r="H1022" s="134"/>
      <c r="I1022" s="276"/>
      <c r="J1022" s="134"/>
      <c r="K1022" s="134"/>
      <c r="L1022" s="134"/>
      <c r="M1022" s="134"/>
      <c r="N1022" s="277"/>
      <c r="O1022" s="277"/>
      <c r="P1022" s="134"/>
      <c r="Q1022" s="134"/>
      <c r="R1022" s="134"/>
      <c r="S1022" s="134"/>
      <c r="T1022" s="596"/>
      <c r="U1022" s="278"/>
      <c r="V1022" s="279"/>
      <c r="W1022" s="280"/>
      <c r="X1022" s="280"/>
      <c r="Y1022" s="281"/>
      <c r="Z1022" s="281"/>
      <c r="AA1022" s="282"/>
      <c r="AB1022" s="282"/>
      <c r="AE1022" s="284"/>
      <c r="AF1022" s="284"/>
      <c r="AG1022" s="282"/>
      <c r="AH1022" s="282"/>
      <c r="AI1022" s="281"/>
      <c r="AJ1022" s="281"/>
      <c r="AM1022" s="285"/>
      <c r="AN1022" s="285"/>
      <c r="AO1022" s="284"/>
      <c r="AP1022" s="284"/>
      <c r="AS1022" s="286"/>
      <c r="AT1022" s="286"/>
      <c r="AU1022" s="281"/>
      <c r="AV1022" s="281"/>
    </row>
    <row r="1023" spans="1:48" s="283" customFormat="1" ht="19.5" customHeight="1">
      <c r="A1023" s="275"/>
      <c r="B1023" s="276"/>
      <c r="C1023" s="276"/>
      <c r="D1023" s="275"/>
      <c r="E1023" s="595"/>
      <c r="F1023" s="276"/>
      <c r="G1023" s="277"/>
      <c r="H1023" s="134"/>
      <c r="I1023" s="276"/>
      <c r="J1023" s="134"/>
      <c r="K1023" s="134"/>
      <c r="L1023" s="134"/>
      <c r="M1023" s="134"/>
      <c r="N1023" s="277"/>
      <c r="O1023" s="277"/>
      <c r="P1023" s="134"/>
      <c r="Q1023" s="134"/>
      <c r="R1023" s="134"/>
      <c r="S1023" s="134"/>
      <c r="T1023" s="596"/>
      <c r="U1023" s="278"/>
      <c r="V1023" s="279"/>
      <c r="W1023" s="280"/>
      <c r="X1023" s="280"/>
      <c r="Y1023" s="281"/>
      <c r="Z1023" s="281"/>
      <c r="AA1023" s="282"/>
      <c r="AB1023" s="282"/>
      <c r="AE1023" s="284"/>
      <c r="AF1023" s="284"/>
      <c r="AG1023" s="282"/>
      <c r="AH1023" s="282"/>
      <c r="AI1023" s="281"/>
      <c r="AJ1023" s="281"/>
      <c r="AM1023" s="285"/>
      <c r="AN1023" s="285"/>
      <c r="AO1023" s="284"/>
      <c r="AP1023" s="284"/>
      <c r="AS1023" s="286"/>
      <c r="AT1023" s="286"/>
      <c r="AU1023" s="281"/>
      <c r="AV1023" s="281"/>
    </row>
    <row r="1024" spans="1:48" s="283" customFormat="1" ht="19.5" customHeight="1">
      <c r="A1024" s="275"/>
      <c r="B1024" s="276"/>
      <c r="C1024" s="276"/>
      <c r="D1024" s="275"/>
      <c r="E1024" s="595"/>
      <c r="F1024" s="276"/>
      <c r="G1024" s="277"/>
      <c r="H1024" s="134"/>
      <c r="I1024" s="276"/>
      <c r="J1024" s="134"/>
      <c r="K1024" s="134"/>
      <c r="L1024" s="134"/>
      <c r="M1024" s="134"/>
      <c r="N1024" s="277"/>
      <c r="O1024" s="277"/>
      <c r="P1024" s="134"/>
      <c r="Q1024" s="134"/>
      <c r="R1024" s="134"/>
      <c r="S1024" s="134"/>
      <c r="T1024" s="596"/>
      <c r="U1024" s="278"/>
      <c r="V1024" s="279"/>
      <c r="W1024" s="280"/>
      <c r="X1024" s="280"/>
      <c r="Y1024" s="281"/>
      <c r="Z1024" s="281"/>
      <c r="AA1024" s="282"/>
      <c r="AB1024" s="282"/>
      <c r="AE1024" s="284"/>
      <c r="AF1024" s="284"/>
      <c r="AG1024" s="282"/>
      <c r="AH1024" s="282"/>
      <c r="AI1024" s="281"/>
      <c r="AJ1024" s="281"/>
      <c r="AM1024" s="285"/>
      <c r="AN1024" s="285"/>
      <c r="AO1024" s="284"/>
      <c r="AP1024" s="284"/>
      <c r="AS1024" s="286"/>
      <c r="AT1024" s="286"/>
      <c r="AU1024" s="281"/>
      <c r="AV1024" s="281"/>
    </row>
    <row r="1025" spans="1:48" s="283" customFormat="1" ht="19.5" customHeight="1">
      <c r="A1025" s="275"/>
      <c r="B1025" s="276"/>
      <c r="C1025" s="276"/>
      <c r="D1025" s="275"/>
      <c r="E1025" s="595"/>
      <c r="F1025" s="276"/>
      <c r="G1025" s="277"/>
      <c r="H1025" s="134"/>
      <c r="I1025" s="276"/>
      <c r="J1025" s="134"/>
      <c r="K1025" s="134"/>
      <c r="L1025" s="134"/>
      <c r="M1025" s="134"/>
      <c r="N1025" s="277"/>
      <c r="O1025" s="277"/>
      <c r="P1025" s="134"/>
      <c r="Q1025" s="134"/>
      <c r="R1025" s="134"/>
      <c r="S1025" s="134"/>
      <c r="T1025" s="596"/>
      <c r="U1025" s="278"/>
      <c r="V1025" s="279"/>
      <c r="W1025" s="280"/>
      <c r="X1025" s="280"/>
      <c r="Y1025" s="281"/>
      <c r="Z1025" s="281"/>
      <c r="AA1025" s="282"/>
      <c r="AB1025" s="282"/>
      <c r="AE1025" s="284"/>
      <c r="AF1025" s="284"/>
      <c r="AG1025" s="282"/>
      <c r="AH1025" s="282"/>
      <c r="AI1025" s="281"/>
      <c r="AJ1025" s="281"/>
      <c r="AM1025" s="285"/>
      <c r="AN1025" s="285"/>
      <c r="AO1025" s="284"/>
      <c r="AP1025" s="284"/>
      <c r="AS1025" s="286"/>
      <c r="AT1025" s="286"/>
      <c r="AU1025" s="281"/>
      <c r="AV1025" s="281"/>
    </row>
    <row r="1026" spans="1:48" s="283" customFormat="1" ht="19.5" customHeight="1">
      <c r="A1026" s="275"/>
      <c r="B1026" s="276"/>
      <c r="C1026" s="276"/>
      <c r="D1026" s="275"/>
      <c r="E1026" s="595"/>
      <c r="F1026" s="276"/>
      <c r="G1026" s="277"/>
      <c r="H1026" s="134"/>
      <c r="I1026" s="276"/>
      <c r="J1026" s="134"/>
      <c r="K1026" s="134"/>
      <c r="L1026" s="134"/>
      <c r="M1026" s="134"/>
      <c r="N1026" s="277"/>
      <c r="O1026" s="277"/>
      <c r="P1026" s="134"/>
      <c r="Q1026" s="134"/>
      <c r="R1026" s="134"/>
      <c r="S1026" s="134"/>
      <c r="T1026" s="596"/>
      <c r="U1026" s="278"/>
      <c r="V1026" s="279"/>
      <c r="W1026" s="280"/>
      <c r="X1026" s="280"/>
      <c r="Y1026" s="281"/>
      <c r="Z1026" s="281"/>
      <c r="AA1026" s="282"/>
      <c r="AB1026" s="282"/>
      <c r="AE1026" s="284"/>
      <c r="AF1026" s="284"/>
      <c r="AG1026" s="282"/>
      <c r="AH1026" s="282"/>
      <c r="AI1026" s="281"/>
      <c r="AJ1026" s="281"/>
      <c r="AM1026" s="285"/>
      <c r="AN1026" s="285"/>
      <c r="AO1026" s="284"/>
      <c r="AP1026" s="284"/>
      <c r="AS1026" s="286"/>
      <c r="AT1026" s="286"/>
      <c r="AU1026" s="281"/>
      <c r="AV1026" s="281"/>
    </row>
    <row r="1027" spans="1:48" s="283" customFormat="1" ht="19.5" customHeight="1">
      <c r="A1027" s="275"/>
      <c r="B1027" s="276"/>
      <c r="C1027" s="276"/>
      <c r="D1027" s="275"/>
      <c r="E1027" s="595"/>
      <c r="F1027" s="276"/>
      <c r="G1027" s="277"/>
      <c r="H1027" s="134"/>
      <c r="I1027" s="276"/>
      <c r="J1027" s="134"/>
      <c r="K1027" s="134"/>
      <c r="L1027" s="134"/>
      <c r="M1027" s="134"/>
      <c r="N1027" s="277"/>
      <c r="O1027" s="277"/>
      <c r="P1027" s="134"/>
      <c r="Q1027" s="134"/>
      <c r="R1027" s="134"/>
      <c r="S1027" s="134"/>
      <c r="T1027" s="596"/>
      <c r="U1027" s="278"/>
      <c r="V1027" s="279"/>
      <c r="W1027" s="280"/>
      <c r="X1027" s="280"/>
      <c r="Y1027" s="281"/>
      <c r="Z1027" s="281"/>
      <c r="AA1027" s="282"/>
      <c r="AB1027" s="282"/>
      <c r="AE1027" s="284"/>
      <c r="AF1027" s="284"/>
      <c r="AG1027" s="282"/>
      <c r="AH1027" s="282"/>
      <c r="AI1027" s="281"/>
      <c r="AJ1027" s="281"/>
      <c r="AM1027" s="285"/>
      <c r="AN1027" s="285"/>
      <c r="AO1027" s="284"/>
      <c r="AP1027" s="284"/>
      <c r="AS1027" s="286"/>
      <c r="AT1027" s="286"/>
      <c r="AU1027" s="281"/>
      <c r="AV1027" s="281"/>
    </row>
    <row r="1028" spans="1:48" s="283" customFormat="1" ht="19.5" customHeight="1">
      <c r="A1028" s="275"/>
      <c r="B1028" s="276"/>
      <c r="C1028" s="276"/>
      <c r="D1028" s="275"/>
      <c r="E1028" s="595"/>
      <c r="F1028" s="276"/>
      <c r="G1028" s="277"/>
      <c r="H1028" s="134"/>
      <c r="I1028" s="276"/>
      <c r="J1028" s="134"/>
      <c r="K1028" s="134"/>
      <c r="L1028" s="134"/>
      <c r="M1028" s="134"/>
      <c r="N1028" s="277"/>
      <c r="O1028" s="277"/>
      <c r="P1028" s="134"/>
      <c r="Q1028" s="134"/>
      <c r="R1028" s="134"/>
      <c r="S1028" s="134"/>
      <c r="T1028" s="596"/>
      <c r="U1028" s="278"/>
      <c r="V1028" s="279"/>
      <c r="W1028" s="280"/>
      <c r="X1028" s="280"/>
      <c r="Y1028" s="281"/>
      <c r="Z1028" s="281"/>
      <c r="AA1028" s="282"/>
      <c r="AB1028" s="282"/>
      <c r="AE1028" s="284"/>
      <c r="AF1028" s="284"/>
      <c r="AG1028" s="282"/>
      <c r="AH1028" s="282"/>
      <c r="AI1028" s="281"/>
      <c r="AJ1028" s="281"/>
      <c r="AM1028" s="285"/>
      <c r="AN1028" s="285"/>
      <c r="AO1028" s="284"/>
      <c r="AP1028" s="284"/>
      <c r="AS1028" s="286"/>
      <c r="AT1028" s="286"/>
      <c r="AU1028" s="281"/>
      <c r="AV1028" s="281"/>
    </row>
    <row r="1029" spans="1:48" s="283" customFormat="1" ht="19.5" customHeight="1">
      <c r="A1029" s="275"/>
      <c r="B1029" s="276"/>
      <c r="C1029" s="276"/>
      <c r="D1029" s="275"/>
      <c r="E1029" s="595"/>
      <c r="F1029" s="276"/>
      <c r="G1029" s="277"/>
      <c r="H1029" s="134"/>
      <c r="I1029" s="276"/>
      <c r="J1029" s="134"/>
      <c r="K1029" s="134"/>
      <c r="L1029" s="134"/>
      <c r="M1029" s="134"/>
      <c r="N1029" s="277"/>
      <c r="O1029" s="277"/>
      <c r="P1029" s="134"/>
      <c r="Q1029" s="134"/>
      <c r="R1029" s="134"/>
      <c r="S1029" s="134"/>
      <c r="T1029" s="596"/>
      <c r="U1029" s="278"/>
      <c r="V1029" s="279"/>
      <c r="W1029" s="280"/>
      <c r="X1029" s="280"/>
      <c r="Y1029" s="281"/>
      <c r="Z1029" s="281"/>
      <c r="AA1029" s="282"/>
      <c r="AB1029" s="282"/>
      <c r="AE1029" s="284"/>
      <c r="AF1029" s="284"/>
      <c r="AG1029" s="282"/>
      <c r="AH1029" s="282"/>
      <c r="AI1029" s="281"/>
      <c r="AJ1029" s="281"/>
      <c r="AM1029" s="285"/>
      <c r="AN1029" s="285"/>
      <c r="AO1029" s="284"/>
      <c r="AP1029" s="284"/>
      <c r="AS1029" s="286"/>
      <c r="AT1029" s="286"/>
      <c r="AU1029" s="281"/>
      <c r="AV1029" s="281"/>
    </row>
    <row r="1030" spans="1:48" s="283" customFormat="1" ht="19.5" customHeight="1">
      <c r="A1030" s="275"/>
      <c r="B1030" s="276"/>
      <c r="C1030" s="276"/>
      <c r="D1030" s="275"/>
      <c r="E1030" s="595"/>
      <c r="F1030" s="276"/>
      <c r="G1030" s="277"/>
      <c r="H1030" s="134"/>
      <c r="I1030" s="276"/>
      <c r="J1030" s="134"/>
      <c r="K1030" s="134"/>
      <c r="L1030" s="134"/>
      <c r="M1030" s="134"/>
      <c r="N1030" s="277"/>
      <c r="O1030" s="277"/>
      <c r="P1030" s="134"/>
      <c r="Q1030" s="134"/>
      <c r="R1030" s="134"/>
      <c r="S1030" s="134"/>
      <c r="T1030" s="596"/>
      <c r="U1030" s="278"/>
      <c r="V1030" s="279"/>
      <c r="W1030" s="280"/>
      <c r="X1030" s="280"/>
      <c r="Y1030" s="281"/>
      <c r="Z1030" s="281"/>
      <c r="AA1030" s="282"/>
      <c r="AB1030" s="282"/>
      <c r="AE1030" s="284"/>
      <c r="AF1030" s="284"/>
      <c r="AG1030" s="282"/>
      <c r="AH1030" s="282"/>
      <c r="AI1030" s="281"/>
      <c r="AJ1030" s="281"/>
      <c r="AM1030" s="285"/>
      <c r="AN1030" s="285"/>
      <c r="AO1030" s="284"/>
      <c r="AP1030" s="284"/>
      <c r="AS1030" s="286"/>
      <c r="AT1030" s="286"/>
      <c r="AU1030" s="281"/>
      <c r="AV1030" s="281"/>
    </row>
    <row r="1031" spans="1:48" s="283" customFormat="1" ht="19.5" customHeight="1">
      <c r="A1031" s="275"/>
      <c r="B1031" s="276"/>
      <c r="C1031" s="276"/>
      <c r="D1031" s="275"/>
      <c r="E1031" s="595"/>
      <c r="F1031" s="276"/>
      <c r="G1031" s="277"/>
      <c r="H1031" s="134"/>
      <c r="I1031" s="276"/>
      <c r="J1031" s="134"/>
      <c r="K1031" s="134"/>
      <c r="L1031" s="134"/>
      <c r="M1031" s="134"/>
      <c r="N1031" s="277"/>
      <c r="O1031" s="277"/>
      <c r="P1031" s="134"/>
      <c r="Q1031" s="134"/>
      <c r="R1031" s="134"/>
      <c r="S1031" s="134"/>
      <c r="T1031" s="596"/>
      <c r="U1031" s="278"/>
      <c r="V1031" s="279"/>
      <c r="W1031" s="280"/>
      <c r="X1031" s="280"/>
      <c r="Y1031" s="281"/>
      <c r="Z1031" s="281"/>
      <c r="AA1031" s="282"/>
      <c r="AB1031" s="282"/>
      <c r="AE1031" s="284"/>
      <c r="AF1031" s="284"/>
      <c r="AG1031" s="282"/>
      <c r="AH1031" s="282"/>
      <c r="AI1031" s="281"/>
      <c r="AJ1031" s="281"/>
      <c r="AM1031" s="285"/>
      <c r="AN1031" s="285"/>
      <c r="AO1031" s="284"/>
      <c r="AP1031" s="284"/>
      <c r="AS1031" s="286"/>
      <c r="AT1031" s="286"/>
      <c r="AU1031" s="281"/>
      <c r="AV1031" s="281"/>
    </row>
    <row r="1032" spans="1:48" s="283" customFormat="1" ht="19.5" customHeight="1">
      <c r="A1032" s="275"/>
      <c r="B1032" s="276"/>
      <c r="C1032" s="276"/>
      <c r="D1032" s="275"/>
      <c r="E1032" s="595"/>
      <c r="F1032" s="276"/>
      <c r="G1032" s="277"/>
      <c r="H1032" s="134"/>
      <c r="I1032" s="276"/>
      <c r="J1032" s="134"/>
      <c r="K1032" s="134"/>
      <c r="L1032" s="134"/>
      <c r="M1032" s="134"/>
      <c r="N1032" s="277"/>
      <c r="O1032" s="277"/>
      <c r="P1032" s="134"/>
      <c r="Q1032" s="134"/>
      <c r="R1032" s="134"/>
      <c r="S1032" s="134"/>
      <c r="T1032" s="596"/>
      <c r="U1032" s="278"/>
      <c r="V1032" s="279"/>
      <c r="W1032" s="280"/>
      <c r="X1032" s="280"/>
      <c r="Y1032" s="281"/>
      <c r="Z1032" s="281"/>
      <c r="AA1032" s="282"/>
      <c r="AB1032" s="282"/>
      <c r="AE1032" s="284"/>
      <c r="AF1032" s="284"/>
      <c r="AG1032" s="282"/>
      <c r="AH1032" s="282"/>
      <c r="AI1032" s="281"/>
      <c r="AJ1032" s="281"/>
      <c r="AM1032" s="285"/>
      <c r="AN1032" s="285"/>
      <c r="AO1032" s="284"/>
      <c r="AP1032" s="284"/>
      <c r="AS1032" s="286"/>
      <c r="AT1032" s="286"/>
      <c r="AU1032" s="281"/>
      <c r="AV1032" s="281"/>
    </row>
    <row r="1033" spans="1:48" s="283" customFormat="1" ht="19.5" customHeight="1">
      <c r="A1033" s="275"/>
      <c r="B1033" s="276"/>
      <c r="C1033" s="276"/>
      <c r="D1033" s="275"/>
      <c r="E1033" s="595"/>
      <c r="F1033" s="276"/>
      <c r="G1033" s="277"/>
      <c r="H1033" s="134"/>
      <c r="I1033" s="276"/>
      <c r="J1033" s="134"/>
      <c r="K1033" s="134"/>
      <c r="L1033" s="134"/>
      <c r="M1033" s="134"/>
      <c r="N1033" s="277"/>
      <c r="O1033" s="277"/>
      <c r="P1033" s="134"/>
      <c r="Q1033" s="134"/>
      <c r="R1033" s="134"/>
      <c r="S1033" s="134"/>
      <c r="T1033" s="596"/>
      <c r="U1033" s="278"/>
      <c r="V1033" s="279"/>
      <c r="W1033" s="280"/>
      <c r="X1033" s="280"/>
      <c r="Y1033" s="281"/>
      <c r="Z1033" s="281"/>
      <c r="AA1033" s="282"/>
      <c r="AB1033" s="282"/>
      <c r="AE1033" s="284"/>
      <c r="AF1033" s="284"/>
      <c r="AG1033" s="282"/>
      <c r="AH1033" s="282"/>
      <c r="AI1033" s="281"/>
      <c r="AJ1033" s="281"/>
      <c r="AM1033" s="285"/>
      <c r="AN1033" s="285"/>
      <c r="AO1033" s="284"/>
      <c r="AP1033" s="284"/>
      <c r="AS1033" s="286"/>
      <c r="AT1033" s="286"/>
      <c r="AU1033" s="281"/>
      <c r="AV1033" s="281"/>
    </row>
    <row r="1034" spans="1:48" s="283" customFormat="1" ht="19.5" customHeight="1">
      <c r="A1034" s="275"/>
      <c r="B1034" s="276"/>
      <c r="C1034" s="276"/>
      <c r="D1034" s="275"/>
      <c r="E1034" s="595"/>
      <c r="F1034" s="276"/>
      <c r="G1034" s="277"/>
      <c r="H1034" s="134"/>
      <c r="I1034" s="276"/>
      <c r="J1034" s="134"/>
      <c r="K1034" s="134"/>
      <c r="L1034" s="134"/>
      <c r="M1034" s="134"/>
      <c r="N1034" s="277"/>
      <c r="O1034" s="277"/>
      <c r="P1034" s="134"/>
      <c r="Q1034" s="134"/>
      <c r="R1034" s="134"/>
      <c r="S1034" s="134"/>
      <c r="T1034" s="596"/>
      <c r="U1034" s="278"/>
      <c r="V1034" s="279"/>
      <c r="W1034" s="280"/>
      <c r="X1034" s="280"/>
      <c r="Y1034" s="281"/>
      <c r="Z1034" s="281"/>
      <c r="AA1034" s="282"/>
      <c r="AB1034" s="282"/>
      <c r="AE1034" s="284"/>
      <c r="AF1034" s="284"/>
      <c r="AG1034" s="282"/>
      <c r="AH1034" s="282"/>
      <c r="AI1034" s="281"/>
      <c r="AJ1034" s="281"/>
      <c r="AM1034" s="285"/>
      <c r="AN1034" s="285"/>
      <c r="AO1034" s="284"/>
      <c r="AP1034" s="284"/>
      <c r="AS1034" s="286"/>
      <c r="AT1034" s="286"/>
      <c r="AU1034" s="281"/>
      <c r="AV1034" s="281"/>
    </row>
    <row r="1035" spans="1:48" s="283" customFormat="1" ht="19.5" customHeight="1">
      <c r="A1035" s="275"/>
      <c r="B1035" s="276"/>
      <c r="C1035" s="276"/>
      <c r="D1035" s="275"/>
      <c r="E1035" s="595"/>
      <c r="F1035" s="276"/>
      <c r="G1035" s="277"/>
      <c r="H1035" s="134"/>
      <c r="I1035" s="276"/>
      <c r="J1035" s="134"/>
      <c r="K1035" s="134"/>
      <c r="L1035" s="134"/>
      <c r="M1035" s="134"/>
      <c r="N1035" s="277"/>
      <c r="O1035" s="277"/>
      <c r="P1035" s="134"/>
      <c r="Q1035" s="134"/>
      <c r="R1035" s="134"/>
      <c r="S1035" s="134"/>
      <c r="T1035" s="596"/>
      <c r="U1035" s="278"/>
      <c r="V1035" s="279"/>
      <c r="W1035" s="280"/>
      <c r="X1035" s="280"/>
      <c r="Y1035" s="281"/>
      <c r="Z1035" s="281"/>
      <c r="AA1035" s="282"/>
      <c r="AB1035" s="282"/>
      <c r="AE1035" s="284"/>
      <c r="AF1035" s="284"/>
      <c r="AG1035" s="282"/>
      <c r="AH1035" s="282"/>
      <c r="AI1035" s="281"/>
      <c r="AJ1035" s="281"/>
      <c r="AM1035" s="285"/>
      <c r="AN1035" s="285"/>
      <c r="AO1035" s="284"/>
      <c r="AP1035" s="284"/>
      <c r="AS1035" s="286"/>
      <c r="AT1035" s="286"/>
      <c r="AU1035" s="281"/>
      <c r="AV1035" s="281"/>
    </row>
    <row r="1036" spans="1:48" s="283" customFormat="1" ht="19.5" customHeight="1">
      <c r="A1036" s="275"/>
      <c r="B1036" s="276"/>
      <c r="C1036" s="276"/>
      <c r="D1036" s="275"/>
      <c r="E1036" s="595"/>
      <c r="F1036" s="276"/>
      <c r="G1036" s="277"/>
      <c r="H1036" s="134"/>
      <c r="I1036" s="276"/>
      <c r="J1036" s="134"/>
      <c r="K1036" s="134"/>
      <c r="L1036" s="134"/>
      <c r="M1036" s="134"/>
      <c r="N1036" s="277"/>
      <c r="O1036" s="277"/>
      <c r="P1036" s="134"/>
      <c r="Q1036" s="134"/>
      <c r="R1036" s="134"/>
      <c r="S1036" s="134"/>
      <c r="T1036" s="596"/>
      <c r="U1036" s="278"/>
      <c r="V1036" s="279"/>
      <c r="W1036" s="280"/>
      <c r="X1036" s="280"/>
      <c r="Y1036" s="281"/>
      <c r="Z1036" s="281"/>
      <c r="AA1036" s="282"/>
      <c r="AB1036" s="282"/>
      <c r="AE1036" s="284"/>
      <c r="AF1036" s="284"/>
      <c r="AG1036" s="282"/>
      <c r="AH1036" s="282"/>
      <c r="AI1036" s="281"/>
      <c r="AJ1036" s="281"/>
      <c r="AM1036" s="285"/>
      <c r="AN1036" s="285"/>
      <c r="AO1036" s="284"/>
      <c r="AP1036" s="284"/>
      <c r="AS1036" s="286"/>
      <c r="AT1036" s="286"/>
      <c r="AU1036" s="281"/>
      <c r="AV1036" s="281"/>
    </row>
    <row r="1037" spans="1:48" s="283" customFormat="1" ht="19.5" customHeight="1">
      <c r="A1037" s="275"/>
      <c r="B1037" s="276"/>
      <c r="C1037" s="276"/>
      <c r="D1037" s="275"/>
      <c r="E1037" s="595"/>
      <c r="F1037" s="276"/>
      <c r="G1037" s="277"/>
      <c r="H1037" s="134"/>
      <c r="I1037" s="276"/>
      <c r="J1037" s="134"/>
      <c r="K1037" s="134"/>
      <c r="L1037" s="134"/>
      <c r="M1037" s="134"/>
      <c r="N1037" s="277"/>
      <c r="O1037" s="277"/>
      <c r="P1037" s="134"/>
      <c r="Q1037" s="134"/>
      <c r="R1037" s="134"/>
      <c r="S1037" s="134"/>
      <c r="T1037" s="596"/>
      <c r="U1037" s="278"/>
      <c r="V1037" s="279"/>
      <c r="W1037" s="280"/>
      <c r="X1037" s="280"/>
      <c r="Y1037" s="281"/>
      <c r="Z1037" s="281"/>
      <c r="AA1037" s="282"/>
      <c r="AB1037" s="282"/>
      <c r="AE1037" s="284"/>
      <c r="AF1037" s="284"/>
      <c r="AG1037" s="282"/>
      <c r="AH1037" s="282"/>
      <c r="AI1037" s="281"/>
      <c r="AJ1037" s="281"/>
      <c r="AM1037" s="285"/>
      <c r="AN1037" s="285"/>
      <c r="AO1037" s="284"/>
      <c r="AP1037" s="284"/>
      <c r="AS1037" s="286"/>
      <c r="AT1037" s="286"/>
      <c r="AU1037" s="281"/>
      <c r="AV1037" s="281"/>
    </row>
    <row r="1038" spans="1:48" s="283" customFormat="1" ht="19.5" customHeight="1">
      <c r="A1038" s="275"/>
      <c r="B1038" s="276"/>
      <c r="C1038" s="276"/>
      <c r="D1038" s="275"/>
      <c r="E1038" s="595"/>
      <c r="F1038" s="276"/>
      <c r="G1038" s="277"/>
      <c r="H1038" s="134"/>
      <c r="I1038" s="276"/>
      <c r="J1038" s="134"/>
      <c r="K1038" s="134"/>
      <c r="L1038" s="134"/>
      <c r="M1038" s="134"/>
      <c r="N1038" s="277"/>
      <c r="O1038" s="277"/>
      <c r="P1038" s="134"/>
      <c r="Q1038" s="134"/>
      <c r="R1038" s="134"/>
      <c r="S1038" s="134"/>
      <c r="T1038" s="596"/>
      <c r="U1038" s="278"/>
      <c r="V1038" s="279"/>
      <c r="W1038" s="280"/>
      <c r="X1038" s="280"/>
      <c r="Y1038" s="281"/>
      <c r="Z1038" s="281"/>
      <c r="AA1038" s="282"/>
      <c r="AB1038" s="282"/>
      <c r="AE1038" s="284"/>
      <c r="AF1038" s="284"/>
      <c r="AG1038" s="282"/>
      <c r="AH1038" s="282"/>
      <c r="AI1038" s="281"/>
      <c r="AJ1038" s="281"/>
      <c r="AM1038" s="285"/>
      <c r="AN1038" s="285"/>
      <c r="AO1038" s="284"/>
      <c r="AP1038" s="284"/>
      <c r="AS1038" s="286"/>
      <c r="AT1038" s="286"/>
      <c r="AU1038" s="281"/>
      <c r="AV1038" s="281"/>
    </row>
    <row r="1039" spans="1:48" s="283" customFormat="1" ht="19.5" customHeight="1">
      <c r="A1039" s="275"/>
      <c r="B1039" s="276"/>
      <c r="C1039" s="276"/>
      <c r="D1039" s="275"/>
      <c r="E1039" s="595"/>
      <c r="F1039" s="276"/>
      <c r="G1039" s="277"/>
      <c r="H1039" s="134"/>
      <c r="I1039" s="276"/>
      <c r="J1039" s="134"/>
      <c r="K1039" s="134"/>
      <c r="L1039" s="134"/>
      <c r="M1039" s="134"/>
      <c r="N1039" s="277"/>
      <c r="O1039" s="277"/>
      <c r="P1039" s="134"/>
      <c r="Q1039" s="134"/>
      <c r="R1039" s="134"/>
      <c r="S1039" s="134"/>
      <c r="T1039" s="596"/>
      <c r="U1039" s="278"/>
      <c r="V1039" s="279"/>
      <c r="W1039" s="280"/>
      <c r="X1039" s="280"/>
      <c r="Y1039" s="281"/>
      <c r="Z1039" s="281"/>
      <c r="AA1039" s="282"/>
      <c r="AB1039" s="282"/>
      <c r="AE1039" s="284"/>
      <c r="AF1039" s="284"/>
      <c r="AG1039" s="282"/>
      <c r="AH1039" s="282"/>
      <c r="AI1039" s="281"/>
      <c r="AJ1039" s="281"/>
      <c r="AM1039" s="285"/>
      <c r="AN1039" s="285"/>
      <c r="AO1039" s="284"/>
      <c r="AP1039" s="284"/>
      <c r="AS1039" s="286"/>
      <c r="AT1039" s="286"/>
      <c r="AU1039" s="281"/>
      <c r="AV1039" s="281"/>
    </row>
    <row r="1040" spans="1:48" s="283" customFormat="1" ht="19.5" customHeight="1">
      <c r="A1040" s="275"/>
      <c r="B1040" s="276"/>
      <c r="C1040" s="276"/>
      <c r="D1040" s="275"/>
      <c r="E1040" s="595"/>
      <c r="F1040" s="276"/>
      <c r="G1040" s="277"/>
      <c r="H1040" s="134"/>
      <c r="I1040" s="276"/>
      <c r="J1040" s="134"/>
      <c r="K1040" s="134"/>
      <c r="L1040" s="134"/>
      <c r="M1040" s="134"/>
      <c r="N1040" s="277"/>
      <c r="O1040" s="277"/>
      <c r="P1040" s="134"/>
      <c r="Q1040" s="134"/>
      <c r="R1040" s="134"/>
      <c r="S1040" s="134"/>
      <c r="T1040" s="596"/>
      <c r="U1040" s="278"/>
      <c r="V1040" s="279"/>
      <c r="W1040" s="280"/>
      <c r="X1040" s="280"/>
      <c r="Y1040" s="281"/>
      <c r="Z1040" s="281"/>
      <c r="AA1040" s="282"/>
      <c r="AB1040" s="282"/>
      <c r="AE1040" s="284"/>
      <c r="AF1040" s="284"/>
      <c r="AG1040" s="282"/>
      <c r="AH1040" s="282"/>
      <c r="AI1040" s="281"/>
      <c r="AJ1040" s="281"/>
      <c r="AM1040" s="285"/>
      <c r="AN1040" s="285"/>
      <c r="AO1040" s="284"/>
      <c r="AP1040" s="284"/>
      <c r="AS1040" s="286"/>
      <c r="AT1040" s="286"/>
      <c r="AU1040" s="281"/>
      <c r="AV1040" s="281"/>
    </row>
    <row r="1041" spans="1:48" s="283" customFormat="1" ht="19.5" customHeight="1">
      <c r="A1041" s="275"/>
      <c r="B1041" s="276"/>
      <c r="C1041" s="276"/>
      <c r="D1041" s="275"/>
      <c r="E1041" s="595"/>
      <c r="F1041" s="276"/>
      <c r="G1041" s="277"/>
      <c r="H1041" s="134"/>
      <c r="I1041" s="276"/>
      <c r="J1041" s="134"/>
      <c r="K1041" s="134"/>
      <c r="L1041" s="134"/>
      <c r="M1041" s="134"/>
      <c r="N1041" s="277"/>
      <c r="O1041" s="277"/>
      <c r="P1041" s="134"/>
      <c r="Q1041" s="134"/>
      <c r="R1041" s="134"/>
      <c r="S1041" s="134"/>
      <c r="T1041" s="596"/>
      <c r="U1041" s="278"/>
      <c r="V1041" s="279"/>
      <c r="W1041" s="280"/>
      <c r="X1041" s="280"/>
      <c r="Y1041" s="281"/>
      <c r="Z1041" s="281"/>
      <c r="AA1041" s="282"/>
      <c r="AB1041" s="282"/>
      <c r="AE1041" s="284"/>
      <c r="AF1041" s="284"/>
      <c r="AG1041" s="282"/>
      <c r="AH1041" s="282"/>
      <c r="AI1041" s="281"/>
      <c r="AJ1041" s="281"/>
      <c r="AM1041" s="285"/>
      <c r="AN1041" s="285"/>
      <c r="AO1041" s="284"/>
      <c r="AP1041" s="284"/>
      <c r="AS1041" s="286"/>
      <c r="AT1041" s="286"/>
      <c r="AU1041" s="281"/>
      <c r="AV1041" s="281"/>
    </row>
    <row r="1042" spans="1:48" s="283" customFormat="1" ht="19.5" customHeight="1">
      <c r="A1042" s="275"/>
      <c r="B1042" s="276"/>
      <c r="C1042" s="276"/>
      <c r="D1042" s="275"/>
      <c r="E1042" s="595"/>
      <c r="F1042" s="276"/>
      <c r="G1042" s="277"/>
      <c r="H1042" s="134"/>
      <c r="I1042" s="276"/>
      <c r="J1042" s="134"/>
      <c r="K1042" s="134"/>
      <c r="L1042" s="134"/>
      <c r="M1042" s="134"/>
      <c r="N1042" s="277"/>
      <c r="O1042" s="277"/>
      <c r="P1042" s="134"/>
      <c r="Q1042" s="134"/>
      <c r="R1042" s="134"/>
      <c r="S1042" s="134"/>
      <c r="T1042" s="596"/>
      <c r="U1042" s="278"/>
      <c r="V1042" s="279"/>
      <c r="W1042" s="280"/>
      <c r="X1042" s="280"/>
      <c r="Y1042" s="281"/>
      <c r="Z1042" s="281"/>
      <c r="AA1042" s="282"/>
      <c r="AB1042" s="282"/>
      <c r="AE1042" s="284"/>
      <c r="AF1042" s="284"/>
      <c r="AG1042" s="282"/>
      <c r="AH1042" s="282"/>
      <c r="AI1042" s="281"/>
      <c r="AJ1042" s="281"/>
      <c r="AM1042" s="285"/>
      <c r="AN1042" s="285"/>
      <c r="AO1042" s="284"/>
      <c r="AP1042" s="284"/>
      <c r="AS1042" s="286"/>
      <c r="AT1042" s="286"/>
      <c r="AU1042" s="281"/>
      <c r="AV1042" s="281"/>
    </row>
    <row r="1043" spans="1:48" s="283" customFormat="1" ht="19.5" customHeight="1">
      <c r="A1043" s="275"/>
      <c r="B1043" s="276"/>
      <c r="C1043" s="276"/>
      <c r="D1043" s="275"/>
      <c r="E1043" s="595"/>
      <c r="F1043" s="276"/>
      <c r="G1043" s="277"/>
      <c r="H1043" s="134"/>
      <c r="I1043" s="276"/>
      <c r="J1043" s="134"/>
      <c r="K1043" s="134"/>
      <c r="L1043" s="134"/>
      <c r="M1043" s="134"/>
      <c r="N1043" s="277"/>
      <c r="O1043" s="277"/>
      <c r="P1043" s="134"/>
      <c r="Q1043" s="134"/>
      <c r="R1043" s="134"/>
      <c r="S1043" s="134"/>
      <c r="T1043" s="596"/>
      <c r="U1043" s="278"/>
      <c r="V1043" s="279"/>
      <c r="W1043" s="280"/>
      <c r="X1043" s="280"/>
      <c r="Y1043" s="281"/>
      <c r="Z1043" s="281"/>
      <c r="AA1043" s="282"/>
      <c r="AB1043" s="282"/>
      <c r="AE1043" s="284"/>
      <c r="AF1043" s="284"/>
      <c r="AG1043" s="282"/>
      <c r="AH1043" s="282"/>
      <c r="AI1043" s="281"/>
      <c r="AJ1043" s="281"/>
      <c r="AM1043" s="285"/>
      <c r="AN1043" s="285"/>
      <c r="AO1043" s="284"/>
      <c r="AP1043" s="284"/>
      <c r="AS1043" s="286"/>
      <c r="AT1043" s="286"/>
      <c r="AU1043" s="281"/>
      <c r="AV1043" s="281"/>
    </row>
    <row r="1044" spans="1:48" s="283" customFormat="1" ht="19.5" customHeight="1">
      <c r="A1044" s="275"/>
      <c r="B1044" s="276"/>
      <c r="C1044" s="276"/>
      <c r="D1044" s="275"/>
      <c r="E1044" s="595"/>
      <c r="F1044" s="276"/>
      <c r="G1044" s="277"/>
      <c r="H1044" s="134"/>
      <c r="I1044" s="276"/>
      <c r="J1044" s="134"/>
      <c r="K1044" s="134"/>
      <c r="L1044" s="134"/>
      <c r="M1044" s="134"/>
      <c r="N1044" s="277"/>
      <c r="O1044" s="277"/>
      <c r="P1044" s="134"/>
      <c r="Q1044" s="134"/>
      <c r="R1044" s="134"/>
      <c r="S1044" s="134"/>
      <c r="T1044" s="596"/>
      <c r="U1044" s="278"/>
      <c r="V1044" s="279"/>
      <c r="W1044" s="280"/>
      <c r="X1044" s="280"/>
      <c r="Y1044" s="281"/>
      <c r="Z1044" s="281"/>
      <c r="AA1044" s="282"/>
      <c r="AB1044" s="282"/>
      <c r="AE1044" s="284"/>
      <c r="AF1044" s="284"/>
      <c r="AG1044" s="282"/>
      <c r="AH1044" s="282"/>
      <c r="AI1044" s="281"/>
      <c r="AJ1044" s="281"/>
      <c r="AM1044" s="285"/>
      <c r="AN1044" s="285"/>
      <c r="AO1044" s="284"/>
      <c r="AP1044" s="284"/>
      <c r="AS1044" s="286"/>
      <c r="AT1044" s="286"/>
      <c r="AU1044" s="281"/>
      <c r="AV1044" s="281"/>
    </row>
    <row r="1045" spans="1:48" s="283" customFormat="1" ht="19.5" customHeight="1">
      <c r="A1045" s="275"/>
      <c r="B1045" s="276"/>
      <c r="C1045" s="276"/>
      <c r="D1045" s="275"/>
      <c r="E1045" s="595"/>
      <c r="F1045" s="276"/>
      <c r="G1045" s="277"/>
      <c r="H1045" s="134"/>
      <c r="I1045" s="276"/>
      <c r="J1045" s="134"/>
      <c r="K1045" s="134"/>
      <c r="L1045" s="134"/>
      <c r="M1045" s="134"/>
      <c r="N1045" s="277"/>
      <c r="O1045" s="277"/>
      <c r="P1045" s="134"/>
      <c r="Q1045" s="134"/>
      <c r="R1045" s="134"/>
      <c r="S1045" s="134"/>
      <c r="T1045" s="596"/>
      <c r="U1045" s="278"/>
      <c r="V1045" s="279"/>
      <c r="W1045" s="280"/>
      <c r="X1045" s="280"/>
      <c r="Y1045" s="281"/>
      <c r="Z1045" s="281"/>
      <c r="AA1045" s="282"/>
      <c r="AB1045" s="282"/>
      <c r="AE1045" s="284"/>
      <c r="AF1045" s="284"/>
      <c r="AG1045" s="282"/>
      <c r="AH1045" s="282"/>
      <c r="AI1045" s="281"/>
      <c r="AJ1045" s="281"/>
      <c r="AM1045" s="285"/>
      <c r="AN1045" s="285"/>
      <c r="AO1045" s="284"/>
      <c r="AP1045" s="284"/>
      <c r="AS1045" s="286"/>
      <c r="AT1045" s="286"/>
      <c r="AU1045" s="281"/>
      <c r="AV1045" s="281"/>
    </row>
    <row r="1046" spans="1:48" s="283" customFormat="1" ht="19.5" customHeight="1">
      <c r="A1046" s="275"/>
      <c r="B1046" s="276"/>
      <c r="C1046" s="276"/>
      <c r="D1046" s="275"/>
      <c r="E1046" s="595"/>
      <c r="F1046" s="276"/>
      <c r="G1046" s="277"/>
      <c r="H1046" s="134"/>
      <c r="I1046" s="276"/>
      <c r="J1046" s="134"/>
      <c r="K1046" s="134"/>
      <c r="L1046" s="134"/>
      <c r="M1046" s="134"/>
      <c r="N1046" s="277"/>
      <c r="O1046" s="277"/>
      <c r="P1046" s="134"/>
      <c r="Q1046" s="134"/>
      <c r="R1046" s="134"/>
      <c r="S1046" s="134"/>
      <c r="T1046" s="596"/>
      <c r="U1046" s="278"/>
      <c r="V1046" s="279"/>
      <c r="W1046" s="280"/>
      <c r="X1046" s="280"/>
      <c r="Y1046" s="281"/>
      <c r="Z1046" s="281"/>
      <c r="AA1046" s="282"/>
      <c r="AB1046" s="282"/>
      <c r="AE1046" s="284"/>
      <c r="AF1046" s="284"/>
      <c r="AG1046" s="282"/>
      <c r="AH1046" s="282"/>
      <c r="AI1046" s="281"/>
      <c r="AJ1046" s="281"/>
      <c r="AM1046" s="285"/>
      <c r="AN1046" s="285"/>
      <c r="AO1046" s="284"/>
      <c r="AP1046" s="284"/>
      <c r="AS1046" s="286"/>
      <c r="AT1046" s="286"/>
      <c r="AU1046" s="281"/>
      <c r="AV1046" s="281"/>
    </row>
    <row r="1047" spans="1:48" s="283" customFormat="1" ht="19.5" customHeight="1">
      <c r="A1047" s="275"/>
      <c r="B1047" s="276"/>
      <c r="C1047" s="276"/>
      <c r="D1047" s="275"/>
      <c r="E1047" s="595"/>
      <c r="F1047" s="276"/>
      <c r="G1047" s="277"/>
      <c r="H1047" s="134"/>
      <c r="I1047" s="276"/>
      <c r="J1047" s="134"/>
      <c r="K1047" s="134"/>
      <c r="L1047" s="134"/>
      <c r="M1047" s="134"/>
      <c r="N1047" s="277"/>
      <c r="O1047" s="277"/>
      <c r="P1047" s="134"/>
      <c r="Q1047" s="134"/>
      <c r="R1047" s="134"/>
      <c r="S1047" s="134"/>
      <c r="T1047" s="596"/>
      <c r="U1047" s="278"/>
      <c r="V1047" s="279"/>
      <c r="W1047" s="280"/>
      <c r="X1047" s="280"/>
      <c r="Y1047" s="281"/>
      <c r="Z1047" s="281"/>
      <c r="AA1047" s="282"/>
      <c r="AB1047" s="282"/>
      <c r="AE1047" s="284"/>
      <c r="AF1047" s="284"/>
      <c r="AG1047" s="282"/>
      <c r="AH1047" s="282"/>
      <c r="AI1047" s="281"/>
      <c r="AJ1047" s="281"/>
      <c r="AM1047" s="285"/>
      <c r="AN1047" s="285"/>
      <c r="AO1047" s="284"/>
      <c r="AP1047" s="284"/>
      <c r="AS1047" s="286"/>
      <c r="AT1047" s="286"/>
      <c r="AU1047" s="281"/>
      <c r="AV1047" s="281"/>
    </row>
    <row r="1048" spans="1:48" s="283" customFormat="1" ht="19.5" customHeight="1">
      <c r="A1048" s="275"/>
      <c r="B1048" s="276"/>
      <c r="C1048" s="276"/>
      <c r="D1048" s="275"/>
      <c r="E1048" s="595"/>
      <c r="F1048" s="276"/>
      <c r="G1048" s="277"/>
      <c r="H1048" s="134"/>
      <c r="I1048" s="276"/>
      <c r="J1048" s="134"/>
      <c r="K1048" s="134"/>
      <c r="L1048" s="134"/>
      <c r="M1048" s="134"/>
      <c r="N1048" s="277"/>
      <c r="O1048" s="277"/>
      <c r="P1048" s="134"/>
      <c r="Q1048" s="134"/>
      <c r="R1048" s="134"/>
      <c r="S1048" s="134"/>
      <c r="T1048" s="596"/>
      <c r="U1048" s="278"/>
      <c r="V1048" s="279"/>
      <c r="W1048" s="280"/>
      <c r="X1048" s="280"/>
      <c r="Y1048" s="281"/>
      <c r="Z1048" s="281"/>
      <c r="AA1048" s="282"/>
      <c r="AB1048" s="282"/>
      <c r="AE1048" s="284"/>
      <c r="AF1048" s="284"/>
      <c r="AG1048" s="282"/>
      <c r="AH1048" s="282"/>
      <c r="AI1048" s="281"/>
      <c r="AJ1048" s="281"/>
      <c r="AM1048" s="285"/>
      <c r="AN1048" s="285"/>
      <c r="AO1048" s="284"/>
      <c r="AP1048" s="284"/>
      <c r="AS1048" s="286"/>
      <c r="AT1048" s="286"/>
      <c r="AU1048" s="281"/>
      <c r="AV1048" s="281"/>
    </row>
    <row r="1049" spans="1:48" s="283" customFormat="1" ht="19.5" customHeight="1">
      <c r="A1049" s="275"/>
      <c r="B1049" s="276"/>
      <c r="C1049" s="276"/>
      <c r="D1049" s="275"/>
      <c r="E1049" s="595"/>
      <c r="F1049" s="276"/>
      <c r="G1049" s="277"/>
      <c r="H1049" s="134"/>
      <c r="I1049" s="276"/>
      <c r="J1049" s="134"/>
      <c r="K1049" s="134"/>
      <c r="L1049" s="134"/>
      <c r="M1049" s="134"/>
      <c r="N1049" s="277"/>
      <c r="O1049" s="277"/>
      <c r="P1049" s="134"/>
      <c r="Q1049" s="134"/>
      <c r="R1049" s="134"/>
      <c r="S1049" s="134"/>
      <c r="T1049" s="596"/>
      <c r="U1049" s="278"/>
      <c r="V1049" s="279"/>
      <c r="W1049" s="280"/>
      <c r="X1049" s="280"/>
      <c r="Y1049" s="281"/>
      <c r="Z1049" s="281"/>
      <c r="AA1049" s="282"/>
      <c r="AB1049" s="282"/>
      <c r="AE1049" s="284"/>
      <c r="AF1049" s="284"/>
      <c r="AG1049" s="282"/>
      <c r="AH1049" s="282"/>
      <c r="AI1049" s="281"/>
      <c r="AJ1049" s="281"/>
      <c r="AM1049" s="285"/>
      <c r="AN1049" s="285"/>
      <c r="AO1049" s="284"/>
      <c r="AP1049" s="284"/>
      <c r="AS1049" s="286"/>
      <c r="AT1049" s="286"/>
      <c r="AU1049" s="281"/>
      <c r="AV1049" s="281"/>
    </row>
    <row r="1050" spans="1:48" s="283" customFormat="1" ht="19.5" customHeight="1">
      <c r="A1050" s="275"/>
      <c r="B1050" s="276"/>
      <c r="C1050" s="276"/>
      <c r="D1050" s="275"/>
      <c r="E1050" s="595"/>
      <c r="F1050" s="276"/>
      <c r="G1050" s="277"/>
      <c r="H1050" s="134"/>
      <c r="I1050" s="276"/>
      <c r="J1050" s="134"/>
      <c r="K1050" s="134"/>
      <c r="L1050" s="134"/>
      <c r="M1050" s="134"/>
      <c r="N1050" s="277"/>
      <c r="O1050" s="277"/>
      <c r="P1050" s="134"/>
      <c r="Q1050" s="134"/>
      <c r="R1050" s="134"/>
      <c r="S1050" s="134"/>
      <c r="T1050" s="596"/>
      <c r="U1050" s="278"/>
      <c r="V1050" s="279"/>
      <c r="W1050" s="280"/>
      <c r="X1050" s="280"/>
      <c r="Y1050" s="281"/>
      <c r="Z1050" s="281"/>
      <c r="AA1050" s="282"/>
      <c r="AB1050" s="282"/>
      <c r="AE1050" s="284"/>
      <c r="AF1050" s="284"/>
      <c r="AG1050" s="282"/>
      <c r="AH1050" s="282"/>
      <c r="AI1050" s="281"/>
      <c r="AJ1050" s="281"/>
      <c r="AM1050" s="285"/>
      <c r="AN1050" s="285"/>
      <c r="AO1050" s="284"/>
      <c r="AP1050" s="284"/>
      <c r="AS1050" s="286"/>
      <c r="AT1050" s="286"/>
      <c r="AU1050" s="281"/>
      <c r="AV1050" s="281"/>
    </row>
    <row r="1051" spans="1:48" s="283" customFormat="1">
      <c r="A1051" s="275"/>
      <c r="B1051" s="276"/>
      <c r="C1051" s="276"/>
      <c r="D1051" s="275"/>
      <c r="E1051" s="595"/>
      <c r="F1051" s="276"/>
      <c r="G1051" s="277"/>
      <c r="H1051" s="134"/>
      <c r="I1051" s="276"/>
      <c r="J1051" s="134"/>
      <c r="K1051" s="134"/>
      <c r="L1051" s="134"/>
      <c r="M1051" s="134"/>
      <c r="N1051" s="277"/>
      <c r="O1051" s="277"/>
      <c r="P1051" s="134"/>
      <c r="Q1051" s="134"/>
      <c r="R1051" s="134"/>
      <c r="S1051" s="134"/>
      <c r="T1051" s="596"/>
      <c r="U1051" s="278"/>
      <c r="V1051" s="279"/>
      <c r="W1051" s="280"/>
      <c r="X1051" s="280"/>
      <c r="Y1051" s="281"/>
      <c r="Z1051" s="281"/>
      <c r="AA1051" s="282"/>
      <c r="AB1051" s="282"/>
      <c r="AE1051" s="284"/>
      <c r="AF1051" s="284"/>
      <c r="AG1051" s="282"/>
      <c r="AH1051" s="282"/>
      <c r="AI1051" s="281"/>
      <c r="AJ1051" s="281"/>
      <c r="AM1051" s="285"/>
      <c r="AN1051" s="285"/>
      <c r="AO1051" s="284"/>
      <c r="AP1051" s="284"/>
      <c r="AS1051" s="286"/>
      <c r="AT1051" s="286"/>
      <c r="AU1051" s="281"/>
      <c r="AV1051" s="281"/>
    </row>
    <row r="1052" spans="1:48" s="283" customFormat="1">
      <c r="A1052" s="275"/>
      <c r="B1052" s="276"/>
      <c r="C1052" s="276"/>
      <c r="D1052" s="275"/>
      <c r="E1052" s="595"/>
      <c r="F1052" s="276"/>
      <c r="G1052" s="277"/>
      <c r="H1052" s="134"/>
      <c r="I1052" s="276"/>
      <c r="J1052" s="134"/>
      <c r="K1052" s="134"/>
      <c r="L1052" s="134"/>
      <c r="M1052" s="134"/>
      <c r="N1052" s="277"/>
      <c r="O1052" s="277"/>
      <c r="P1052" s="134"/>
      <c r="Q1052" s="134"/>
      <c r="R1052" s="134"/>
      <c r="S1052" s="134"/>
      <c r="T1052" s="596"/>
      <c r="U1052" s="278"/>
      <c r="V1052" s="279"/>
      <c r="W1052" s="280"/>
      <c r="X1052" s="280"/>
      <c r="Y1052" s="281"/>
      <c r="Z1052" s="281"/>
      <c r="AA1052" s="282"/>
      <c r="AB1052" s="282"/>
      <c r="AE1052" s="284"/>
      <c r="AF1052" s="284"/>
      <c r="AG1052" s="282"/>
      <c r="AH1052" s="282"/>
      <c r="AI1052" s="281"/>
      <c r="AJ1052" s="281"/>
      <c r="AM1052" s="285"/>
      <c r="AN1052" s="285"/>
      <c r="AO1052" s="284"/>
      <c r="AP1052" s="284"/>
      <c r="AS1052" s="286"/>
      <c r="AT1052" s="286"/>
      <c r="AU1052" s="281"/>
      <c r="AV1052" s="281"/>
    </row>
    <row r="1053" spans="1:48" s="283" customFormat="1">
      <c r="A1053" s="275"/>
      <c r="B1053" s="276"/>
      <c r="C1053" s="276"/>
      <c r="D1053" s="275"/>
      <c r="E1053" s="595"/>
      <c r="F1053" s="276"/>
      <c r="G1053" s="277"/>
      <c r="H1053" s="134"/>
      <c r="I1053" s="276"/>
      <c r="J1053" s="134"/>
      <c r="K1053" s="134"/>
      <c r="L1053" s="134"/>
      <c r="M1053" s="134"/>
      <c r="N1053" s="277"/>
      <c r="O1053" s="277"/>
      <c r="P1053" s="134"/>
      <c r="Q1053" s="134"/>
      <c r="R1053" s="134"/>
      <c r="S1053" s="134"/>
      <c r="T1053" s="596"/>
      <c r="U1053" s="278"/>
      <c r="V1053" s="279"/>
      <c r="W1053" s="280"/>
      <c r="X1053" s="280"/>
      <c r="Y1053" s="281"/>
      <c r="Z1053" s="281"/>
      <c r="AA1053" s="282"/>
      <c r="AB1053" s="282"/>
      <c r="AE1053" s="284"/>
      <c r="AF1053" s="284"/>
      <c r="AG1053" s="282"/>
      <c r="AH1053" s="282"/>
      <c r="AI1053" s="281"/>
      <c r="AJ1053" s="281"/>
      <c r="AM1053" s="285"/>
      <c r="AN1053" s="285"/>
      <c r="AO1053" s="284"/>
      <c r="AP1053" s="284"/>
      <c r="AS1053" s="286"/>
      <c r="AT1053" s="286"/>
      <c r="AU1053" s="281"/>
      <c r="AV1053" s="281"/>
    </row>
    <row r="1054" spans="1:48" s="283" customFormat="1">
      <c r="A1054" s="275"/>
      <c r="B1054" s="276"/>
      <c r="C1054" s="276"/>
      <c r="D1054" s="275"/>
      <c r="E1054" s="595"/>
      <c r="F1054" s="276"/>
      <c r="G1054" s="277"/>
      <c r="H1054" s="134"/>
      <c r="I1054" s="276"/>
      <c r="J1054" s="134"/>
      <c r="K1054" s="134"/>
      <c r="L1054" s="134"/>
      <c r="M1054" s="134"/>
      <c r="N1054" s="277"/>
      <c r="O1054" s="277"/>
      <c r="P1054" s="134"/>
      <c r="Q1054" s="134"/>
      <c r="R1054" s="134"/>
      <c r="S1054" s="134"/>
      <c r="T1054" s="596"/>
      <c r="U1054" s="278"/>
      <c r="V1054" s="279"/>
      <c r="W1054" s="280"/>
      <c r="X1054" s="280"/>
      <c r="Y1054" s="281"/>
      <c r="Z1054" s="281"/>
      <c r="AA1054" s="282"/>
      <c r="AB1054" s="282"/>
      <c r="AE1054" s="284"/>
      <c r="AF1054" s="284"/>
      <c r="AG1054" s="282"/>
      <c r="AH1054" s="282"/>
      <c r="AI1054" s="281"/>
      <c r="AJ1054" s="281"/>
      <c r="AM1054" s="285"/>
      <c r="AN1054" s="285"/>
      <c r="AO1054" s="284"/>
      <c r="AP1054" s="284"/>
      <c r="AS1054" s="286"/>
      <c r="AT1054" s="286"/>
      <c r="AU1054" s="281"/>
      <c r="AV1054" s="281"/>
    </row>
    <row r="1055" spans="1:48" s="283" customFormat="1">
      <c r="A1055" s="275"/>
      <c r="B1055" s="276"/>
      <c r="C1055" s="276"/>
      <c r="D1055" s="275"/>
      <c r="E1055" s="595"/>
      <c r="F1055" s="276"/>
      <c r="G1055" s="277"/>
      <c r="H1055" s="134"/>
      <c r="I1055" s="276"/>
      <c r="J1055" s="134"/>
      <c r="K1055" s="134"/>
      <c r="L1055" s="134"/>
      <c r="M1055" s="134"/>
      <c r="N1055" s="277"/>
      <c r="O1055" s="277"/>
      <c r="P1055" s="134"/>
      <c r="Q1055" s="134"/>
      <c r="R1055" s="134"/>
      <c r="S1055" s="134"/>
      <c r="T1055" s="596"/>
      <c r="U1055" s="278"/>
      <c r="V1055" s="279"/>
      <c r="W1055" s="280"/>
      <c r="X1055" s="280"/>
      <c r="Y1055" s="281"/>
      <c r="Z1055" s="281"/>
      <c r="AA1055" s="282"/>
      <c r="AB1055" s="282"/>
      <c r="AE1055" s="284"/>
      <c r="AF1055" s="284"/>
      <c r="AG1055" s="282"/>
      <c r="AH1055" s="282"/>
      <c r="AI1055" s="281"/>
      <c r="AJ1055" s="281"/>
      <c r="AM1055" s="285"/>
      <c r="AN1055" s="285"/>
      <c r="AO1055" s="284"/>
      <c r="AP1055" s="284"/>
      <c r="AS1055" s="286"/>
      <c r="AT1055" s="286"/>
      <c r="AU1055" s="281"/>
      <c r="AV1055" s="281"/>
    </row>
    <row r="1056" spans="1:48" s="283" customFormat="1">
      <c r="A1056" s="275"/>
      <c r="B1056" s="276"/>
      <c r="C1056" s="276"/>
      <c r="D1056" s="275"/>
      <c r="E1056" s="595"/>
      <c r="F1056" s="276"/>
      <c r="G1056" s="277"/>
      <c r="H1056" s="134"/>
      <c r="I1056" s="276"/>
      <c r="J1056" s="134"/>
      <c r="K1056" s="134"/>
      <c r="L1056" s="134"/>
      <c r="M1056" s="134"/>
      <c r="N1056" s="277"/>
      <c r="O1056" s="277"/>
      <c r="P1056" s="134"/>
      <c r="Q1056" s="134"/>
      <c r="R1056" s="134"/>
      <c r="S1056" s="134"/>
      <c r="T1056" s="596"/>
      <c r="U1056" s="278"/>
      <c r="V1056" s="279"/>
      <c r="W1056" s="280"/>
      <c r="X1056" s="280"/>
      <c r="Y1056" s="281"/>
      <c r="Z1056" s="281"/>
      <c r="AA1056" s="282"/>
      <c r="AB1056" s="282"/>
      <c r="AE1056" s="284"/>
      <c r="AF1056" s="284"/>
      <c r="AG1056" s="282"/>
      <c r="AH1056" s="282"/>
      <c r="AI1056" s="281"/>
      <c r="AJ1056" s="281"/>
      <c r="AM1056" s="285"/>
      <c r="AN1056" s="285"/>
      <c r="AO1056" s="284"/>
      <c r="AP1056" s="284"/>
      <c r="AS1056" s="286"/>
      <c r="AT1056" s="286"/>
      <c r="AU1056" s="281"/>
      <c r="AV1056" s="281"/>
    </row>
    <row r="1057" spans="1:48" s="283" customFormat="1">
      <c r="A1057" s="275"/>
      <c r="B1057" s="276"/>
      <c r="C1057" s="276"/>
      <c r="D1057" s="275"/>
      <c r="E1057" s="595"/>
      <c r="F1057" s="276"/>
      <c r="G1057" s="277"/>
      <c r="H1057" s="134"/>
      <c r="I1057" s="276"/>
      <c r="J1057" s="134"/>
      <c r="K1057" s="134"/>
      <c r="L1057" s="134"/>
      <c r="M1057" s="134"/>
      <c r="N1057" s="277"/>
      <c r="O1057" s="277"/>
      <c r="P1057" s="134"/>
      <c r="Q1057" s="134"/>
      <c r="R1057" s="134"/>
      <c r="S1057" s="134"/>
      <c r="T1057" s="596"/>
      <c r="U1057" s="278"/>
      <c r="V1057" s="279"/>
      <c r="W1057" s="280"/>
      <c r="X1057" s="280"/>
      <c r="Y1057" s="281"/>
      <c r="Z1057" s="281"/>
      <c r="AA1057" s="282"/>
      <c r="AB1057" s="282"/>
      <c r="AE1057" s="284"/>
      <c r="AF1057" s="284"/>
      <c r="AG1057" s="282"/>
      <c r="AH1057" s="282"/>
      <c r="AI1057" s="281"/>
      <c r="AJ1057" s="281"/>
      <c r="AM1057" s="285"/>
      <c r="AN1057" s="285"/>
      <c r="AO1057" s="284"/>
      <c r="AP1057" s="284"/>
      <c r="AS1057" s="286"/>
      <c r="AT1057" s="286"/>
      <c r="AU1057" s="281"/>
      <c r="AV1057" s="281"/>
    </row>
    <row r="1058" spans="1:48" s="283" customFormat="1">
      <c r="A1058" s="275"/>
      <c r="B1058" s="276"/>
      <c r="C1058" s="276"/>
      <c r="D1058" s="275"/>
      <c r="E1058" s="595"/>
      <c r="F1058" s="276"/>
      <c r="G1058" s="277"/>
      <c r="H1058" s="134"/>
      <c r="I1058" s="276"/>
      <c r="J1058" s="134"/>
      <c r="K1058" s="134"/>
      <c r="L1058" s="134"/>
      <c r="M1058" s="134"/>
      <c r="N1058" s="277"/>
      <c r="O1058" s="277"/>
      <c r="P1058" s="134"/>
      <c r="Q1058" s="134"/>
      <c r="R1058" s="134"/>
      <c r="S1058" s="134"/>
      <c r="T1058" s="596"/>
      <c r="U1058" s="278"/>
      <c r="V1058" s="279"/>
      <c r="W1058" s="280"/>
      <c r="X1058" s="280"/>
      <c r="Y1058" s="281"/>
      <c r="Z1058" s="281"/>
      <c r="AA1058" s="282"/>
      <c r="AB1058" s="282"/>
      <c r="AE1058" s="284"/>
      <c r="AF1058" s="284"/>
      <c r="AG1058" s="282"/>
      <c r="AH1058" s="282"/>
      <c r="AI1058" s="281"/>
      <c r="AJ1058" s="281"/>
      <c r="AM1058" s="285"/>
      <c r="AN1058" s="285"/>
      <c r="AO1058" s="284"/>
      <c r="AP1058" s="284"/>
      <c r="AS1058" s="286"/>
      <c r="AT1058" s="286"/>
      <c r="AU1058" s="281"/>
      <c r="AV1058" s="281"/>
    </row>
  </sheetData>
  <mergeCells count="13">
    <mergeCell ref="AG3:AH3"/>
    <mergeCell ref="W3:X3"/>
    <mergeCell ref="Y3:Z3"/>
    <mergeCell ref="AA3:AB3"/>
    <mergeCell ref="AC3:AD3"/>
    <mergeCell ref="AE3:AF3"/>
    <mergeCell ref="AU3:AV3"/>
    <mergeCell ref="AI3:AJ3"/>
    <mergeCell ref="AK3:AL3"/>
    <mergeCell ref="AM3:AN3"/>
    <mergeCell ref="AO3:AP3"/>
    <mergeCell ref="AQ3:AR3"/>
    <mergeCell ref="AS3:AT3"/>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A974"/>
  <sheetViews>
    <sheetView topLeftCell="A7" workbookViewId="0">
      <selection activeCell="E14" sqref="E14"/>
    </sheetView>
  </sheetViews>
  <sheetFormatPr defaultRowHeight="12.75"/>
  <cols>
    <col min="1" max="1" width="5.375" style="39" customWidth="1"/>
    <col min="2" max="2" width="46.75" style="18" customWidth="1"/>
    <col min="3" max="4" width="8" style="39" customWidth="1"/>
    <col min="5" max="5" width="40.5" style="60" customWidth="1"/>
    <col min="6" max="6" width="43" style="39" customWidth="1"/>
    <col min="7" max="7" width="45.75" style="39" customWidth="1"/>
    <col min="8" max="8" width="31.25" style="39" customWidth="1"/>
    <col min="9" max="9" width="14.75" style="39" customWidth="1"/>
    <col min="10" max="10" width="39" style="39" customWidth="1"/>
    <col min="11" max="11" width="10.25" style="390" customWidth="1"/>
    <col min="12" max="12" width="10.875" style="388" bestFit="1" customWidth="1"/>
    <col min="13" max="13" width="11.75" style="389" bestFit="1" customWidth="1"/>
    <col min="14" max="14" width="10.375" style="389" customWidth="1"/>
    <col min="15" max="15" width="11.75" style="389" bestFit="1" customWidth="1"/>
    <col min="16" max="16" width="10" style="389" bestFit="1" customWidth="1"/>
    <col min="17" max="17" width="9.75" style="388" customWidth="1"/>
    <col min="18" max="16384" width="9" style="18"/>
  </cols>
  <sheetData>
    <row r="1" spans="1:17" s="22" customFormat="1" ht="18.75">
      <c r="A1" s="21" t="s">
        <v>2626</v>
      </c>
      <c r="C1" s="23"/>
      <c r="D1" s="23"/>
      <c r="E1" s="55"/>
      <c r="F1" s="23"/>
      <c r="G1" s="24" t="s">
        <v>2</v>
      </c>
      <c r="H1" s="23"/>
      <c r="I1" s="23"/>
      <c r="J1" s="23"/>
      <c r="K1" s="316"/>
      <c r="L1" s="317"/>
      <c r="M1" s="318"/>
      <c r="N1" s="318"/>
      <c r="O1" s="318"/>
      <c r="P1" s="318"/>
      <c r="Q1" s="317"/>
    </row>
    <row r="2" spans="1:17" s="22" customFormat="1" ht="18.75">
      <c r="A2" s="25" t="s">
        <v>2627</v>
      </c>
      <c r="C2" s="23"/>
      <c r="D2" s="23"/>
      <c r="E2" s="55"/>
      <c r="F2" s="23"/>
      <c r="G2" s="24" t="s">
        <v>3</v>
      </c>
      <c r="H2" s="23"/>
      <c r="I2" s="23"/>
      <c r="J2" s="23"/>
      <c r="K2" s="316"/>
      <c r="L2" s="317"/>
      <c r="M2" s="318"/>
      <c r="N2" s="318"/>
      <c r="O2" s="318"/>
      <c r="P2" s="318"/>
      <c r="Q2" s="317"/>
    </row>
    <row r="3" spans="1:17" s="22" customFormat="1" ht="18.75">
      <c r="A3" s="23"/>
      <c r="C3" s="23"/>
      <c r="D3" s="23"/>
      <c r="E3" s="55"/>
      <c r="F3" s="23"/>
      <c r="G3" s="23"/>
      <c r="H3" s="23"/>
      <c r="I3" s="23"/>
      <c r="J3" s="23"/>
      <c r="K3" s="316"/>
      <c r="L3" s="317"/>
      <c r="M3" s="318"/>
      <c r="N3" s="318"/>
      <c r="O3" s="318"/>
      <c r="P3" s="318"/>
      <c r="Q3" s="317"/>
    </row>
    <row r="4" spans="1:17" s="22" customFormat="1" ht="18.75">
      <c r="A4" s="23"/>
      <c r="C4" s="23"/>
      <c r="D4" s="23"/>
      <c r="E4" s="55"/>
      <c r="F4" s="23"/>
      <c r="G4" s="26" t="s">
        <v>9037</v>
      </c>
      <c r="H4" s="23"/>
      <c r="I4" s="23"/>
      <c r="J4" s="23"/>
      <c r="K4" s="316"/>
      <c r="L4" s="317"/>
      <c r="M4" s="318"/>
      <c r="N4" s="318"/>
      <c r="O4" s="318"/>
      <c r="P4" s="318"/>
      <c r="Q4" s="317"/>
    </row>
    <row r="6" spans="1:17" s="32" customFormat="1" ht="18.75">
      <c r="A6" s="27" t="s">
        <v>9038</v>
      </c>
      <c r="B6" s="28"/>
      <c r="C6" s="28"/>
      <c r="D6" s="28"/>
      <c r="E6" s="56"/>
      <c r="F6" s="29"/>
      <c r="G6" s="30"/>
      <c r="H6" s="31"/>
      <c r="I6" s="30"/>
      <c r="J6" s="29"/>
      <c r="K6" s="319"/>
      <c r="L6" s="320"/>
      <c r="M6" s="321"/>
      <c r="N6" s="321"/>
      <c r="O6" s="321"/>
      <c r="P6" s="321"/>
      <c r="Q6" s="320"/>
    </row>
    <row r="7" spans="1:17" s="32" customFormat="1" ht="15.75">
      <c r="A7" s="534"/>
      <c r="E7" s="57"/>
      <c r="F7" s="534"/>
      <c r="G7" s="34"/>
      <c r="H7" s="534"/>
      <c r="I7" s="34"/>
      <c r="J7" s="534"/>
      <c r="K7" s="321"/>
      <c r="L7" s="320"/>
      <c r="M7" s="321"/>
      <c r="N7" s="321"/>
      <c r="O7" s="321"/>
      <c r="P7" s="321"/>
      <c r="Q7" s="320"/>
    </row>
    <row r="8" spans="1:17" s="32" customFormat="1" ht="15.75">
      <c r="A8" s="534"/>
      <c r="E8" s="57"/>
      <c r="F8" s="534"/>
      <c r="G8" s="34"/>
      <c r="H8" s="534"/>
      <c r="I8" s="34"/>
      <c r="J8" s="534"/>
      <c r="K8" s="321"/>
      <c r="L8" s="320"/>
      <c r="M8" s="321"/>
      <c r="N8" s="321"/>
      <c r="O8" s="321"/>
      <c r="P8" s="321"/>
      <c r="Q8" s="320"/>
    </row>
    <row r="9" spans="1:17" s="535" customFormat="1" ht="54.75" customHeight="1">
      <c r="A9" s="35" t="s">
        <v>2628</v>
      </c>
      <c r="B9" s="35" t="s">
        <v>214</v>
      </c>
      <c r="C9" s="35" t="s">
        <v>2629</v>
      </c>
      <c r="D9" s="35" t="s">
        <v>2630</v>
      </c>
      <c r="E9" s="58" t="s">
        <v>2631</v>
      </c>
      <c r="F9" s="35" t="s">
        <v>2632</v>
      </c>
      <c r="G9" s="35" t="s">
        <v>2633</v>
      </c>
      <c r="H9" s="35" t="s">
        <v>2634</v>
      </c>
      <c r="I9" s="35" t="s">
        <v>2635</v>
      </c>
      <c r="J9" s="35" t="s">
        <v>2636</v>
      </c>
      <c r="K9" s="322" t="s">
        <v>2637</v>
      </c>
      <c r="L9" s="323" t="s">
        <v>2638</v>
      </c>
      <c r="M9" s="324" t="s">
        <v>2639</v>
      </c>
      <c r="N9" s="324" t="s">
        <v>2640</v>
      </c>
      <c r="O9" s="324" t="s">
        <v>2641</v>
      </c>
      <c r="P9" s="324" t="s">
        <v>2642</v>
      </c>
      <c r="Q9" s="323" t="s">
        <v>2643</v>
      </c>
    </row>
    <row r="10" spans="1:17">
      <c r="A10" s="325">
        <v>1</v>
      </c>
      <c r="B10" s="326" t="s">
        <v>629</v>
      </c>
      <c r="C10" s="326"/>
      <c r="D10" s="326"/>
      <c r="E10" s="635" t="s">
        <v>630</v>
      </c>
      <c r="F10" s="325" t="s">
        <v>633</v>
      </c>
      <c r="G10" s="325" t="s">
        <v>621</v>
      </c>
      <c r="H10" s="325" t="s">
        <v>631</v>
      </c>
      <c r="I10" s="325" t="s">
        <v>18</v>
      </c>
      <c r="J10" s="325" t="s">
        <v>632</v>
      </c>
      <c r="K10" s="327">
        <v>11550</v>
      </c>
      <c r="L10" s="327">
        <v>0</v>
      </c>
      <c r="M10" s="327">
        <v>830</v>
      </c>
      <c r="N10" s="327"/>
      <c r="O10" s="327">
        <v>830</v>
      </c>
      <c r="P10" s="327"/>
      <c r="Q10" s="327">
        <v>0</v>
      </c>
    </row>
    <row r="11" spans="1:17">
      <c r="A11" s="328">
        <v>2</v>
      </c>
      <c r="B11" s="329" t="s">
        <v>634</v>
      </c>
      <c r="C11" s="329"/>
      <c r="D11" s="329"/>
      <c r="E11" s="333" t="s">
        <v>635</v>
      </c>
      <c r="F11" s="328" t="s">
        <v>637</v>
      </c>
      <c r="G11" s="328" t="s">
        <v>621</v>
      </c>
      <c r="H11" s="328" t="s">
        <v>235</v>
      </c>
      <c r="I11" s="328" t="s">
        <v>10</v>
      </c>
      <c r="J11" s="328" t="s">
        <v>636</v>
      </c>
      <c r="K11" s="330">
        <v>428</v>
      </c>
      <c r="L11" s="330">
        <v>0</v>
      </c>
      <c r="M11" s="330">
        <v>5000</v>
      </c>
      <c r="N11" s="330"/>
      <c r="O11" s="330">
        <v>500</v>
      </c>
      <c r="P11" s="330"/>
      <c r="Q11" s="330">
        <v>4500</v>
      </c>
    </row>
    <row r="12" spans="1:17">
      <c r="A12" s="328">
        <v>3</v>
      </c>
      <c r="B12" s="331" t="s">
        <v>438</v>
      </c>
      <c r="C12" s="331"/>
      <c r="D12" s="331"/>
      <c r="E12" s="333" t="s">
        <v>2644</v>
      </c>
      <c r="F12" s="328" t="s">
        <v>440</v>
      </c>
      <c r="G12" s="328" t="s">
        <v>441</v>
      </c>
      <c r="H12" s="328" t="s">
        <v>229</v>
      </c>
      <c r="I12" s="328" t="s">
        <v>520</v>
      </c>
      <c r="J12" s="328" t="s">
        <v>439</v>
      </c>
      <c r="K12" s="330">
        <v>1190</v>
      </c>
      <c r="L12" s="330">
        <v>0</v>
      </c>
      <c r="M12" s="330">
        <v>1000</v>
      </c>
      <c r="N12" s="330"/>
      <c r="O12" s="330">
        <v>326</v>
      </c>
      <c r="P12" s="330"/>
      <c r="Q12" s="330">
        <v>674</v>
      </c>
    </row>
    <row r="13" spans="1:17">
      <c r="A13" s="328">
        <v>4</v>
      </c>
      <c r="B13" s="332" t="s">
        <v>474</v>
      </c>
      <c r="C13" s="333"/>
      <c r="D13" s="333"/>
      <c r="E13" s="332" t="s">
        <v>2433</v>
      </c>
      <c r="F13" s="328" t="s">
        <v>2645</v>
      </c>
      <c r="G13" s="328" t="s">
        <v>2646</v>
      </c>
      <c r="H13" s="334" t="s">
        <v>1995</v>
      </c>
      <c r="I13" s="334" t="s">
        <v>11</v>
      </c>
      <c r="J13" s="334" t="s">
        <v>1710</v>
      </c>
      <c r="K13" s="335">
        <v>112</v>
      </c>
      <c r="L13" s="330">
        <v>139</v>
      </c>
      <c r="M13" s="330">
        <v>0</v>
      </c>
      <c r="N13" s="330"/>
      <c r="O13" s="330">
        <v>129</v>
      </c>
      <c r="P13" s="330"/>
      <c r="Q13" s="330">
        <v>10</v>
      </c>
    </row>
    <row r="14" spans="1:17">
      <c r="A14" s="328">
        <v>5</v>
      </c>
      <c r="B14" s="329" t="s">
        <v>601</v>
      </c>
      <c r="C14" s="329"/>
      <c r="D14" s="329"/>
      <c r="E14" s="333" t="s">
        <v>602</v>
      </c>
      <c r="F14" s="328" t="s">
        <v>605</v>
      </c>
      <c r="G14" s="328" t="s">
        <v>606</v>
      </c>
      <c r="H14" s="328" t="s">
        <v>603</v>
      </c>
      <c r="I14" s="328" t="s">
        <v>14</v>
      </c>
      <c r="J14" s="328" t="s">
        <v>604</v>
      </c>
      <c r="K14" s="330">
        <v>157000</v>
      </c>
      <c r="L14" s="330">
        <v>800</v>
      </c>
      <c r="M14" s="330">
        <v>1800</v>
      </c>
      <c r="N14" s="330"/>
      <c r="O14" s="330">
        <v>2600</v>
      </c>
      <c r="P14" s="330"/>
      <c r="Q14" s="330">
        <v>0</v>
      </c>
    </row>
    <row r="15" spans="1:17">
      <c r="A15" s="328">
        <v>6</v>
      </c>
      <c r="B15" s="336" t="s">
        <v>939</v>
      </c>
      <c r="C15" s="329"/>
      <c r="D15" s="329"/>
      <c r="E15" s="636" t="s">
        <v>940</v>
      </c>
      <c r="F15" s="337" t="s">
        <v>942</v>
      </c>
      <c r="G15" s="337" t="s">
        <v>943</v>
      </c>
      <c r="H15" s="337" t="s">
        <v>299</v>
      </c>
      <c r="I15" s="337" t="s">
        <v>12</v>
      </c>
      <c r="J15" s="337" t="s">
        <v>941</v>
      </c>
      <c r="K15" s="330">
        <v>2025</v>
      </c>
      <c r="L15" s="330">
        <v>0</v>
      </c>
      <c r="M15" s="330">
        <v>12000</v>
      </c>
      <c r="N15" s="330"/>
      <c r="O15" s="330">
        <v>4487</v>
      </c>
      <c r="P15" s="330"/>
      <c r="Q15" s="330">
        <v>7513</v>
      </c>
    </row>
    <row r="16" spans="1:17">
      <c r="A16" s="325">
        <v>7</v>
      </c>
      <c r="B16" s="336" t="s">
        <v>560</v>
      </c>
      <c r="C16" s="329"/>
      <c r="D16" s="329"/>
      <c r="E16" s="333" t="s">
        <v>561</v>
      </c>
      <c r="F16" s="328" t="s">
        <v>563</v>
      </c>
      <c r="G16" s="328" t="s">
        <v>215</v>
      </c>
      <c r="H16" s="328" t="s">
        <v>299</v>
      </c>
      <c r="I16" s="328" t="s">
        <v>13</v>
      </c>
      <c r="J16" s="328" t="s">
        <v>562</v>
      </c>
      <c r="K16" s="330">
        <v>349</v>
      </c>
      <c r="L16" s="330">
        <v>0</v>
      </c>
      <c r="M16" s="330">
        <v>6000</v>
      </c>
      <c r="N16" s="330"/>
      <c r="O16" s="330">
        <v>5890</v>
      </c>
      <c r="P16" s="330"/>
      <c r="Q16" s="330">
        <v>110</v>
      </c>
    </row>
    <row r="17" spans="1:17">
      <c r="A17" s="328">
        <v>8</v>
      </c>
      <c r="B17" s="336" t="s">
        <v>750</v>
      </c>
      <c r="C17" s="329"/>
      <c r="D17" s="329"/>
      <c r="E17" s="333" t="s">
        <v>832</v>
      </c>
      <c r="F17" s="328" t="s">
        <v>835</v>
      </c>
      <c r="G17" s="328" t="s">
        <v>806</v>
      </c>
      <c r="H17" s="328" t="s">
        <v>833</v>
      </c>
      <c r="I17" s="328" t="s">
        <v>13</v>
      </c>
      <c r="J17" s="328" t="s">
        <v>834</v>
      </c>
      <c r="K17" s="330">
        <v>591</v>
      </c>
      <c r="L17" s="330">
        <v>907</v>
      </c>
      <c r="M17" s="330">
        <v>26500</v>
      </c>
      <c r="N17" s="330"/>
      <c r="O17" s="330">
        <v>25507</v>
      </c>
      <c r="P17" s="330"/>
      <c r="Q17" s="330">
        <v>1900</v>
      </c>
    </row>
    <row r="18" spans="1:17">
      <c r="A18" s="328">
        <v>9</v>
      </c>
      <c r="B18" s="329" t="s">
        <v>560</v>
      </c>
      <c r="C18" s="333"/>
      <c r="D18" s="333"/>
      <c r="E18" s="333" t="s">
        <v>939</v>
      </c>
      <c r="F18" s="328" t="s">
        <v>2647</v>
      </c>
      <c r="G18" s="328" t="s">
        <v>1310</v>
      </c>
      <c r="H18" s="328" t="s">
        <v>299</v>
      </c>
      <c r="I18" s="328" t="s">
        <v>11</v>
      </c>
      <c r="J18" s="328" t="s">
        <v>1715</v>
      </c>
      <c r="K18" s="330">
        <v>186</v>
      </c>
      <c r="L18" s="330">
        <v>5689</v>
      </c>
      <c r="M18" s="330">
        <v>0</v>
      </c>
      <c r="N18" s="330"/>
      <c r="O18" s="330">
        <v>5689</v>
      </c>
      <c r="P18" s="330"/>
      <c r="Q18" s="330">
        <v>0</v>
      </c>
    </row>
    <row r="19" spans="1:17">
      <c r="A19" s="328">
        <v>10</v>
      </c>
      <c r="B19" s="329" t="s">
        <v>939</v>
      </c>
      <c r="C19" s="329"/>
      <c r="D19" s="329"/>
      <c r="E19" s="333" t="s">
        <v>1714</v>
      </c>
      <c r="F19" s="328" t="s">
        <v>1716</v>
      </c>
      <c r="G19" s="328" t="s">
        <v>1170</v>
      </c>
      <c r="H19" s="328" t="s">
        <v>299</v>
      </c>
      <c r="I19" s="328" t="s">
        <v>11</v>
      </c>
      <c r="J19" s="328" t="s">
        <v>1715</v>
      </c>
      <c r="K19" s="330">
        <v>540</v>
      </c>
      <c r="L19" s="330">
        <v>0</v>
      </c>
      <c r="M19" s="330">
        <v>68000</v>
      </c>
      <c r="N19" s="330"/>
      <c r="O19" s="330">
        <v>58931</v>
      </c>
      <c r="P19" s="330"/>
      <c r="Q19" s="330">
        <v>9069</v>
      </c>
    </row>
    <row r="20" spans="1:17">
      <c r="A20" s="328">
        <v>11</v>
      </c>
      <c r="B20" s="329" t="s">
        <v>639</v>
      </c>
      <c r="C20" s="333"/>
      <c r="D20" s="333"/>
      <c r="E20" s="333" t="s">
        <v>639</v>
      </c>
      <c r="F20" s="328" t="s">
        <v>2648</v>
      </c>
      <c r="G20" s="328" t="s">
        <v>644</v>
      </c>
      <c r="H20" s="328" t="s">
        <v>299</v>
      </c>
      <c r="I20" s="328" t="s">
        <v>10</v>
      </c>
      <c r="J20" s="328" t="s">
        <v>1447</v>
      </c>
      <c r="K20" s="330">
        <v>374</v>
      </c>
      <c r="L20" s="330">
        <v>2631</v>
      </c>
      <c r="M20" s="330">
        <v>200</v>
      </c>
      <c r="N20" s="330"/>
      <c r="O20" s="330">
        <v>2823</v>
      </c>
      <c r="P20" s="330"/>
      <c r="Q20" s="330">
        <v>8</v>
      </c>
    </row>
    <row r="21" spans="1:17">
      <c r="A21" s="328">
        <v>12</v>
      </c>
      <c r="B21" s="336" t="s">
        <v>639</v>
      </c>
      <c r="C21" s="329"/>
      <c r="D21" s="329"/>
      <c r="E21" s="333" t="s">
        <v>1446</v>
      </c>
      <c r="F21" s="328" t="s">
        <v>1448</v>
      </c>
      <c r="G21" s="328" t="s">
        <v>1449</v>
      </c>
      <c r="H21" s="328" t="s">
        <v>299</v>
      </c>
      <c r="I21" s="328" t="s">
        <v>10</v>
      </c>
      <c r="J21" s="328" t="s">
        <v>1447</v>
      </c>
      <c r="K21" s="330">
        <v>346</v>
      </c>
      <c r="L21" s="330">
        <v>0</v>
      </c>
      <c r="M21" s="330">
        <v>700</v>
      </c>
      <c r="N21" s="330"/>
      <c r="O21" s="330">
        <v>700</v>
      </c>
      <c r="P21" s="330"/>
      <c r="Q21" s="330">
        <v>0</v>
      </c>
    </row>
    <row r="22" spans="1:17">
      <c r="A22" s="325">
        <v>13</v>
      </c>
      <c r="B22" s="336" t="s">
        <v>639</v>
      </c>
      <c r="C22" s="329"/>
      <c r="D22" s="329"/>
      <c r="E22" s="637" t="s">
        <v>640</v>
      </c>
      <c r="F22" s="328" t="s">
        <v>643</v>
      </c>
      <c r="G22" s="328" t="s">
        <v>644</v>
      </c>
      <c r="H22" s="328" t="s">
        <v>641</v>
      </c>
      <c r="I22" s="328" t="s">
        <v>10</v>
      </c>
      <c r="J22" s="328" t="s">
        <v>642</v>
      </c>
      <c r="K22" s="330">
        <v>1010</v>
      </c>
      <c r="L22" s="330">
        <v>0</v>
      </c>
      <c r="M22" s="330">
        <v>2100</v>
      </c>
      <c r="N22" s="330"/>
      <c r="O22" s="330">
        <v>2000</v>
      </c>
      <c r="P22" s="330"/>
      <c r="Q22" s="330">
        <v>100</v>
      </c>
    </row>
    <row r="23" spans="1:17">
      <c r="A23" s="328">
        <v>14</v>
      </c>
      <c r="B23" s="332" t="s">
        <v>639</v>
      </c>
      <c r="C23" s="333"/>
      <c r="D23" s="333"/>
      <c r="E23" s="332" t="s">
        <v>640</v>
      </c>
      <c r="F23" s="328" t="s">
        <v>643</v>
      </c>
      <c r="G23" s="328" t="s">
        <v>644</v>
      </c>
      <c r="H23" s="334" t="s">
        <v>641</v>
      </c>
      <c r="I23" s="328" t="s">
        <v>10</v>
      </c>
      <c r="J23" s="328" t="s">
        <v>642</v>
      </c>
      <c r="K23" s="335">
        <v>1099</v>
      </c>
      <c r="L23" s="330">
        <v>4419</v>
      </c>
      <c r="M23" s="330">
        <v>0</v>
      </c>
      <c r="N23" s="330"/>
      <c r="O23" s="330">
        <v>2229</v>
      </c>
      <c r="P23" s="330"/>
      <c r="Q23" s="330">
        <v>2190</v>
      </c>
    </row>
    <row r="24" spans="1:17">
      <c r="A24" s="328">
        <v>15</v>
      </c>
      <c r="B24" s="332" t="s">
        <v>639</v>
      </c>
      <c r="C24" s="329"/>
      <c r="D24" s="329"/>
      <c r="E24" s="332" t="s">
        <v>2434</v>
      </c>
      <c r="F24" s="328" t="s">
        <v>2649</v>
      </c>
      <c r="G24" s="328" t="s">
        <v>449</v>
      </c>
      <c r="H24" s="334" t="s">
        <v>2435</v>
      </c>
      <c r="I24" s="334" t="s">
        <v>1144</v>
      </c>
      <c r="J24" s="334" t="s">
        <v>2650</v>
      </c>
      <c r="K24" s="335">
        <v>5789</v>
      </c>
      <c r="L24" s="330">
        <v>347</v>
      </c>
      <c r="M24" s="330">
        <v>0</v>
      </c>
      <c r="N24" s="330"/>
      <c r="O24" s="330">
        <v>301</v>
      </c>
      <c r="P24" s="330"/>
      <c r="Q24" s="330">
        <v>46</v>
      </c>
    </row>
    <row r="25" spans="1:17">
      <c r="A25" s="328">
        <v>16</v>
      </c>
      <c r="B25" s="336" t="s">
        <v>2651</v>
      </c>
      <c r="C25" s="329"/>
      <c r="D25" s="329"/>
      <c r="E25" s="636" t="s">
        <v>944</v>
      </c>
      <c r="F25" s="337" t="s">
        <v>947</v>
      </c>
      <c r="G25" s="337" t="s">
        <v>948</v>
      </c>
      <c r="H25" s="337" t="s">
        <v>945</v>
      </c>
      <c r="I25" s="337" t="s">
        <v>12</v>
      </c>
      <c r="J25" s="337" t="s">
        <v>946</v>
      </c>
      <c r="K25" s="330">
        <v>3157</v>
      </c>
      <c r="L25" s="330">
        <v>0</v>
      </c>
      <c r="M25" s="330">
        <v>900</v>
      </c>
      <c r="N25" s="330"/>
      <c r="O25" s="330">
        <v>0</v>
      </c>
      <c r="P25" s="330"/>
      <c r="Q25" s="330">
        <v>900</v>
      </c>
    </row>
    <row r="26" spans="1:17">
      <c r="A26" s="328">
        <v>17</v>
      </c>
      <c r="B26" s="329" t="s">
        <v>588</v>
      </c>
      <c r="C26" s="329"/>
      <c r="D26" s="329"/>
      <c r="E26" s="333" t="s">
        <v>1410</v>
      </c>
      <c r="F26" s="328" t="s">
        <v>1411</v>
      </c>
      <c r="G26" s="328" t="s">
        <v>1412</v>
      </c>
      <c r="H26" s="328" t="s">
        <v>267</v>
      </c>
      <c r="I26" s="328" t="s">
        <v>11</v>
      </c>
      <c r="J26" s="328" t="s">
        <v>1239</v>
      </c>
      <c r="K26" s="330">
        <v>8200</v>
      </c>
      <c r="L26" s="330">
        <v>1531</v>
      </c>
      <c r="M26" s="330">
        <v>19600</v>
      </c>
      <c r="N26" s="330"/>
      <c r="O26" s="330">
        <v>14333</v>
      </c>
      <c r="P26" s="330"/>
      <c r="Q26" s="330">
        <v>6798</v>
      </c>
    </row>
    <row r="27" spans="1:17">
      <c r="A27" s="328">
        <v>18</v>
      </c>
      <c r="B27" s="329" t="s">
        <v>588</v>
      </c>
      <c r="C27" s="329"/>
      <c r="D27" s="329"/>
      <c r="E27" s="333" t="s">
        <v>1413</v>
      </c>
      <c r="F27" s="328" t="s">
        <v>1414</v>
      </c>
      <c r="G27" s="328" t="s">
        <v>1412</v>
      </c>
      <c r="H27" s="328" t="s">
        <v>229</v>
      </c>
      <c r="I27" s="328" t="s">
        <v>11</v>
      </c>
      <c r="J27" s="328" t="s">
        <v>1239</v>
      </c>
      <c r="K27" s="330">
        <v>11300</v>
      </c>
      <c r="L27" s="330">
        <v>7322</v>
      </c>
      <c r="M27" s="330">
        <v>16800</v>
      </c>
      <c r="N27" s="330"/>
      <c r="O27" s="330">
        <v>14779</v>
      </c>
      <c r="P27" s="330"/>
      <c r="Q27" s="330">
        <v>9343</v>
      </c>
    </row>
    <row r="28" spans="1:17" ht="25.5">
      <c r="A28" s="325">
        <v>19</v>
      </c>
      <c r="B28" s="329" t="s">
        <v>1365</v>
      </c>
      <c r="C28" s="333"/>
      <c r="D28" s="333"/>
      <c r="E28" s="333" t="s">
        <v>2103</v>
      </c>
      <c r="F28" s="328" t="s">
        <v>2104</v>
      </c>
      <c r="G28" s="328" t="s">
        <v>2652</v>
      </c>
      <c r="H28" s="328" t="s">
        <v>235</v>
      </c>
      <c r="I28" s="328" t="s">
        <v>628</v>
      </c>
      <c r="J28" s="328" t="s">
        <v>2047</v>
      </c>
      <c r="K28" s="330">
        <v>30000</v>
      </c>
      <c r="L28" s="330">
        <v>34</v>
      </c>
      <c r="M28" s="330">
        <v>0</v>
      </c>
      <c r="N28" s="330"/>
      <c r="O28" s="330">
        <v>11</v>
      </c>
      <c r="P28" s="330"/>
      <c r="Q28" s="330">
        <v>23</v>
      </c>
    </row>
    <row r="29" spans="1:17">
      <c r="A29" s="328">
        <v>20</v>
      </c>
      <c r="B29" s="338" t="s">
        <v>2102</v>
      </c>
      <c r="C29" s="329"/>
      <c r="D29" s="329"/>
      <c r="E29" s="333" t="s">
        <v>2103</v>
      </c>
      <c r="F29" s="328" t="s">
        <v>2104</v>
      </c>
      <c r="G29" s="328" t="s">
        <v>2105</v>
      </c>
      <c r="H29" s="328" t="s">
        <v>235</v>
      </c>
      <c r="I29" s="328" t="s">
        <v>628</v>
      </c>
      <c r="J29" s="328" t="s">
        <v>2047</v>
      </c>
      <c r="K29" s="330">
        <v>34000</v>
      </c>
      <c r="L29" s="330">
        <v>1</v>
      </c>
      <c r="M29" s="330">
        <v>0</v>
      </c>
      <c r="N29" s="330"/>
      <c r="O29" s="330">
        <v>1</v>
      </c>
      <c r="P29" s="330"/>
      <c r="Q29" s="330">
        <v>0</v>
      </c>
    </row>
    <row r="30" spans="1:17">
      <c r="A30" s="328">
        <v>21</v>
      </c>
      <c r="B30" s="329" t="s">
        <v>639</v>
      </c>
      <c r="C30" s="329"/>
      <c r="D30" s="329"/>
      <c r="E30" s="333" t="s">
        <v>1717</v>
      </c>
      <c r="F30" s="328" t="s">
        <v>1719</v>
      </c>
      <c r="G30" s="328" t="s">
        <v>1170</v>
      </c>
      <c r="H30" s="328" t="s">
        <v>299</v>
      </c>
      <c r="I30" s="328" t="s">
        <v>11</v>
      </c>
      <c r="J30" s="328" t="s">
        <v>1718</v>
      </c>
      <c r="K30" s="330">
        <v>1200</v>
      </c>
      <c r="L30" s="330">
        <v>0</v>
      </c>
      <c r="M30" s="330">
        <v>1000</v>
      </c>
      <c r="N30" s="330"/>
      <c r="O30" s="330">
        <v>716</v>
      </c>
      <c r="P30" s="330"/>
      <c r="Q30" s="330">
        <v>284</v>
      </c>
    </row>
    <row r="31" spans="1:17" ht="25.5">
      <c r="A31" s="328">
        <v>22</v>
      </c>
      <c r="B31" s="329" t="s">
        <v>313</v>
      </c>
      <c r="C31" s="333"/>
      <c r="D31" s="333"/>
      <c r="E31" s="333" t="s">
        <v>318</v>
      </c>
      <c r="F31" s="328" t="s">
        <v>319</v>
      </c>
      <c r="G31" s="328" t="s">
        <v>320</v>
      </c>
      <c r="H31" s="328" t="s">
        <v>238</v>
      </c>
      <c r="I31" s="328" t="s">
        <v>10</v>
      </c>
      <c r="J31" s="328" t="s">
        <v>1872</v>
      </c>
      <c r="K31" s="330">
        <v>2253</v>
      </c>
      <c r="L31" s="330">
        <v>1</v>
      </c>
      <c r="M31" s="330">
        <v>1200</v>
      </c>
      <c r="N31" s="330"/>
      <c r="O31" s="330">
        <v>336</v>
      </c>
      <c r="P31" s="330"/>
      <c r="Q31" s="330">
        <v>865</v>
      </c>
    </row>
    <row r="32" spans="1:17">
      <c r="A32" s="328">
        <v>23</v>
      </c>
      <c r="B32" s="329" t="s">
        <v>313</v>
      </c>
      <c r="C32" s="333"/>
      <c r="D32" s="333"/>
      <c r="E32" s="333" t="s">
        <v>314</v>
      </c>
      <c r="F32" s="328" t="s">
        <v>317</v>
      </c>
      <c r="G32" s="328" t="s">
        <v>293</v>
      </c>
      <c r="H32" s="328" t="s">
        <v>315</v>
      </c>
      <c r="I32" s="328" t="s">
        <v>10</v>
      </c>
      <c r="J32" s="328" t="s">
        <v>316</v>
      </c>
      <c r="K32" s="330">
        <v>5950</v>
      </c>
      <c r="L32" s="330">
        <v>30</v>
      </c>
      <c r="M32" s="330">
        <v>3000</v>
      </c>
      <c r="N32" s="330"/>
      <c r="O32" s="330">
        <v>3009</v>
      </c>
      <c r="P32" s="330"/>
      <c r="Q32" s="330">
        <v>21</v>
      </c>
    </row>
    <row r="33" spans="1:17">
      <c r="A33" s="328">
        <v>24</v>
      </c>
      <c r="B33" s="331" t="s">
        <v>332</v>
      </c>
      <c r="C33" s="331"/>
      <c r="D33" s="331"/>
      <c r="E33" s="333" t="s">
        <v>333</v>
      </c>
      <c r="F33" s="328" t="s">
        <v>335</v>
      </c>
      <c r="G33" s="328" t="s">
        <v>336</v>
      </c>
      <c r="H33" s="328" t="s">
        <v>334</v>
      </c>
      <c r="I33" s="328" t="s">
        <v>10</v>
      </c>
      <c r="J33" s="328" t="s">
        <v>647</v>
      </c>
      <c r="K33" s="330">
        <v>1575</v>
      </c>
      <c r="L33" s="330">
        <v>286</v>
      </c>
      <c r="M33" s="330">
        <v>0</v>
      </c>
      <c r="N33" s="330"/>
      <c r="O33" s="330">
        <v>209</v>
      </c>
      <c r="P33" s="330"/>
      <c r="Q33" s="330">
        <v>77</v>
      </c>
    </row>
    <row r="34" spans="1:17">
      <c r="A34" s="325">
        <v>25</v>
      </c>
      <c r="B34" s="329" t="s">
        <v>1550</v>
      </c>
      <c r="C34" s="329"/>
      <c r="D34" s="329"/>
      <c r="E34" s="333" t="s">
        <v>1776</v>
      </c>
      <c r="F34" s="328" t="s">
        <v>1778</v>
      </c>
      <c r="G34" s="328" t="s">
        <v>1779</v>
      </c>
      <c r="H34" s="328" t="s">
        <v>1777</v>
      </c>
      <c r="I34" s="328" t="s">
        <v>11</v>
      </c>
      <c r="J34" s="328" t="s">
        <v>1715</v>
      </c>
      <c r="K34" s="330">
        <v>240</v>
      </c>
      <c r="L34" s="330">
        <v>0</v>
      </c>
      <c r="M34" s="330">
        <v>19950</v>
      </c>
      <c r="N34" s="330"/>
      <c r="O34" s="330">
        <v>4410</v>
      </c>
      <c r="P34" s="330"/>
      <c r="Q34" s="330">
        <v>15540</v>
      </c>
    </row>
    <row r="35" spans="1:17">
      <c r="A35" s="328">
        <v>26</v>
      </c>
      <c r="B35" s="332" t="s">
        <v>2594</v>
      </c>
      <c r="C35" s="329"/>
      <c r="D35" s="329"/>
      <c r="E35" s="332" t="s">
        <v>2593</v>
      </c>
      <c r="F35" s="328" t="s">
        <v>2653</v>
      </c>
      <c r="G35" s="328" t="s">
        <v>530</v>
      </c>
      <c r="H35" s="334" t="s">
        <v>733</v>
      </c>
      <c r="I35" s="334" t="s">
        <v>628</v>
      </c>
      <c r="J35" s="334" t="s">
        <v>2654</v>
      </c>
      <c r="K35" s="335">
        <v>5250</v>
      </c>
      <c r="L35" s="330">
        <v>275</v>
      </c>
      <c r="M35" s="330">
        <v>10</v>
      </c>
      <c r="N35" s="330"/>
      <c r="O35" s="330">
        <v>166</v>
      </c>
      <c r="P35" s="330"/>
      <c r="Q35" s="330">
        <v>119</v>
      </c>
    </row>
    <row r="36" spans="1:17">
      <c r="A36" s="328">
        <v>27</v>
      </c>
      <c r="B36" s="329" t="s">
        <v>1727</v>
      </c>
      <c r="C36" s="329"/>
      <c r="D36" s="329"/>
      <c r="E36" s="333" t="s">
        <v>1728</v>
      </c>
      <c r="F36" s="328" t="s">
        <v>1729</v>
      </c>
      <c r="G36" s="328" t="s">
        <v>1730</v>
      </c>
      <c r="H36" s="328" t="s">
        <v>238</v>
      </c>
      <c r="I36" s="328" t="s">
        <v>11</v>
      </c>
      <c r="J36" s="328" t="s">
        <v>1718</v>
      </c>
      <c r="K36" s="330">
        <v>1250</v>
      </c>
      <c r="L36" s="330">
        <v>0</v>
      </c>
      <c r="M36" s="330">
        <v>896</v>
      </c>
      <c r="N36" s="330"/>
      <c r="O36" s="330">
        <v>550</v>
      </c>
      <c r="P36" s="330"/>
      <c r="Q36" s="330">
        <v>346</v>
      </c>
    </row>
    <row r="37" spans="1:17">
      <c r="A37" s="328">
        <v>28</v>
      </c>
      <c r="B37" s="333" t="s">
        <v>1884</v>
      </c>
      <c r="C37" s="329"/>
      <c r="D37" s="329"/>
      <c r="E37" s="333" t="s">
        <v>1885</v>
      </c>
      <c r="F37" s="340" t="s">
        <v>1886</v>
      </c>
      <c r="G37" s="340" t="s">
        <v>1887</v>
      </c>
      <c r="H37" s="340" t="s">
        <v>235</v>
      </c>
      <c r="I37" s="337" t="s">
        <v>10</v>
      </c>
      <c r="J37" s="340" t="s">
        <v>647</v>
      </c>
      <c r="K37" s="330">
        <v>1700</v>
      </c>
      <c r="L37" s="330">
        <v>0</v>
      </c>
      <c r="M37" s="330">
        <v>1260</v>
      </c>
      <c r="N37" s="330"/>
      <c r="O37" s="330">
        <v>1260</v>
      </c>
      <c r="P37" s="330"/>
      <c r="Q37" s="330">
        <v>0</v>
      </c>
    </row>
    <row r="38" spans="1:17">
      <c r="A38" s="328">
        <v>29</v>
      </c>
      <c r="B38" s="329" t="s">
        <v>695</v>
      </c>
      <c r="C38" s="333"/>
      <c r="D38" s="333"/>
      <c r="E38" s="333" t="s">
        <v>2655</v>
      </c>
      <c r="F38" s="328" t="s">
        <v>2656</v>
      </c>
      <c r="G38" s="328" t="s">
        <v>2657</v>
      </c>
      <c r="H38" s="328" t="s">
        <v>2658</v>
      </c>
      <c r="I38" s="328" t="s">
        <v>18</v>
      </c>
      <c r="J38" s="328" t="s">
        <v>2659</v>
      </c>
      <c r="K38" s="330">
        <v>15900</v>
      </c>
      <c r="L38" s="330">
        <v>204</v>
      </c>
      <c r="M38" s="330">
        <v>0</v>
      </c>
      <c r="N38" s="330"/>
      <c r="O38" s="330">
        <v>204</v>
      </c>
      <c r="P38" s="330"/>
      <c r="Q38" s="330">
        <v>0</v>
      </c>
    </row>
    <row r="39" spans="1:17">
      <c r="A39" s="328">
        <v>30</v>
      </c>
      <c r="B39" s="336" t="s">
        <v>557</v>
      </c>
      <c r="C39" s="329"/>
      <c r="D39" s="329"/>
      <c r="E39" s="333" t="s">
        <v>558</v>
      </c>
      <c r="F39" s="328" t="s">
        <v>559</v>
      </c>
      <c r="G39" s="328" t="s">
        <v>215</v>
      </c>
      <c r="H39" s="328" t="s">
        <v>225</v>
      </c>
      <c r="I39" s="328" t="s">
        <v>11</v>
      </c>
      <c r="J39" s="328" t="s">
        <v>538</v>
      </c>
      <c r="K39" s="330">
        <v>259</v>
      </c>
      <c r="L39" s="330">
        <v>0</v>
      </c>
      <c r="M39" s="330">
        <v>70704</v>
      </c>
      <c r="N39" s="330"/>
      <c r="O39" s="330">
        <v>55801</v>
      </c>
      <c r="P39" s="330"/>
      <c r="Q39" s="330">
        <v>14903</v>
      </c>
    </row>
    <row r="40" spans="1:17">
      <c r="A40" s="325">
        <v>31</v>
      </c>
      <c r="B40" s="331" t="s">
        <v>227</v>
      </c>
      <c r="C40" s="331"/>
      <c r="D40" s="331"/>
      <c r="E40" s="333" t="s">
        <v>231</v>
      </c>
      <c r="F40" s="328" t="s">
        <v>233</v>
      </c>
      <c r="G40" s="328" t="s">
        <v>215</v>
      </c>
      <c r="H40" s="328" t="s">
        <v>232</v>
      </c>
      <c r="I40" s="328" t="s">
        <v>12</v>
      </c>
      <c r="J40" s="328" t="s">
        <v>2660</v>
      </c>
      <c r="K40" s="330">
        <v>365</v>
      </c>
      <c r="L40" s="330">
        <v>0</v>
      </c>
      <c r="M40" s="330">
        <v>50000</v>
      </c>
      <c r="N40" s="330"/>
      <c r="O40" s="330">
        <v>29229</v>
      </c>
      <c r="P40" s="330"/>
      <c r="Q40" s="330">
        <v>20771</v>
      </c>
    </row>
    <row r="41" spans="1:17">
      <c r="A41" s="328">
        <v>32</v>
      </c>
      <c r="B41" s="331" t="s">
        <v>227</v>
      </c>
      <c r="C41" s="331"/>
      <c r="D41" s="331"/>
      <c r="E41" s="333" t="s">
        <v>228</v>
      </c>
      <c r="F41" s="328" t="s">
        <v>230</v>
      </c>
      <c r="G41" s="328" t="s">
        <v>215</v>
      </c>
      <c r="H41" s="328" t="s">
        <v>229</v>
      </c>
      <c r="I41" s="328" t="s">
        <v>12</v>
      </c>
      <c r="J41" s="328" t="s">
        <v>2660</v>
      </c>
      <c r="K41" s="330">
        <v>330</v>
      </c>
      <c r="L41" s="330">
        <v>0</v>
      </c>
      <c r="M41" s="330">
        <v>21190</v>
      </c>
      <c r="N41" s="330"/>
      <c r="O41" s="330">
        <v>10800</v>
      </c>
      <c r="P41" s="330"/>
      <c r="Q41" s="330">
        <v>10390</v>
      </c>
    </row>
    <row r="42" spans="1:17">
      <c r="A42" s="328">
        <v>33</v>
      </c>
      <c r="B42" s="336" t="s">
        <v>539</v>
      </c>
      <c r="C42" s="329"/>
      <c r="D42" s="329"/>
      <c r="E42" s="333" t="s">
        <v>540</v>
      </c>
      <c r="F42" s="328" t="s">
        <v>542</v>
      </c>
      <c r="G42" s="328" t="s">
        <v>215</v>
      </c>
      <c r="H42" s="328" t="s">
        <v>327</v>
      </c>
      <c r="I42" s="328" t="s">
        <v>11</v>
      </c>
      <c r="J42" s="328" t="s">
        <v>541</v>
      </c>
      <c r="K42" s="330">
        <v>175</v>
      </c>
      <c r="L42" s="330">
        <v>0</v>
      </c>
      <c r="M42" s="330">
        <v>4000</v>
      </c>
      <c r="N42" s="330"/>
      <c r="O42" s="330">
        <v>4000</v>
      </c>
      <c r="P42" s="330"/>
      <c r="Q42" s="330">
        <v>0</v>
      </c>
    </row>
    <row r="43" spans="1:17">
      <c r="A43" s="328">
        <v>34</v>
      </c>
      <c r="B43" s="336" t="s">
        <v>568</v>
      </c>
      <c r="C43" s="329"/>
      <c r="D43" s="329"/>
      <c r="E43" s="333" t="s">
        <v>569</v>
      </c>
      <c r="F43" s="328" t="s">
        <v>571</v>
      </c>
      <c r="G43" s="328" t="s">
        <v>215</v>
      </c>
      <c r="H43" s="328" t="s">
        <v>570</v>
      </c>
      <c r="I43" s="328" t="s">
        <v>11</v>
      </c>
      <c r="J43" s="328" t="s">
        <v>538</v>
      </c>
      <c r="K43" s="330">
        <v>155</v>
      </c>
      <c r="L43" s="330">
        <v>0</v>
      </c>
      <c r="M43" s="330">
        <v>28000</v>
      </c>
      <c r="N43" s="330"/>
      <c r="O43" s="330">
        <v>23000</v>
      </c>
      <c r="P43" s="330"/>
      <c r="Q43" s="330">
        <v>5000</v>
      </c>
    </row>
    <row r="44" spans="1:17">
      <c r="A44" s="328">
        <v>35</v>
      </c>
      <c r="B44" s="336" t="s">
        <v>579</v>
      </c>
      <c r="C44" s="329"/>
      <c r="D44" s="329"/>
      <c r="E44" s="333" t="s">
        <v>580</v>
      </c>
      <c r="F44" s="328" t="s">
        <v>582</v>
      </c>
      <c r="G44" s="328" t="s">
        <v>215</v>
      </c>
      <c r="H44" s="328" t="s">
        <v>581</v>
      </c>
      <c r="I44" s="328" t="s">
        <v>11</v>
      </c>
      <c r="J44" s="328" t="s">
        <v>553</v>
      </c>
      <c r="K44" s="330">
        <v>250</v>
      </c>
      <c r="L44" s="330">
        <v>0</v>
      </c>
      <c r="M44" s="330">
        <v>11000</v>
      </c>
      <c r="N44" s="330"/>
      <c r="O44" s="330">
        <v>4386</v>
      </c>
      <c r="P44" s="330"/>
      <c r="Q44" s="330">
        <v>6614</v>
      </c>
    </row>
    <row r="45" spans="1:17">
      <c r="A45" s="328">
        <v>36</v>
      </c>
      <c r="B45" s="336" t="s">
        <v>576</v>
      </c>
      <c r="C45" s="329"/>
      <c r="D45" s="329"/>
      <c r="E45" s="333" t="s">
        <v>577</v>
      </c>
      <c r="F45" s="328" t="s">
        <v>578</v>
      </c>
      <c r="G45" s="328" t="s">
        <v>215</v>
      </c>
      <c r="H45" s="328" t="s">
        <v>299</v>
      </c>
      <c r="I45" s="328" t="s">
        <v>11</v>
      </c>
      <c r="J45" s="328" t="s">
        <v>538</v>
      </c>
      <c r="K45" s="330">
        <v>690</v>
      </c>
      <c r="L45" s="330">
        <v>0</v>
      </c>
      <c r="M45" s="330">
        <v>7000</v>
      </c>
      <c r="N45" s="330"/>
      <c r="O45" s="330">
        <v>1314</v>
      </c>
      <c r="P45" s="330"/>
      <c r="Q45" s="330">
        <v>5686</v>
      </c>
    </row>
    <row r="46" spans="1:17">
      <c r="A46" s="325">
        <v>37</v>
      </c>
      <c r="B46" s="329" t="s">
        <v>1780</v>
      </c>
      <c r="C46" s="329"/>
      <c r="D46" s="329"/>
      <c r="E46" s="333" t="s">
        <v>1853</v>
      </c>
      <c r="F46" s="341" t="s">
        <v>1855</v>
      </c>
      <c r="G46" s="328" t="s">
        <v>1841</v>
      </c>
      <c r="H46" s="328" t="s">
        <v>1854</v>
      </c>
      <c r="I46" s="328" t="s">
        <v>10</v>
      </c>
      <c r="J46" s="341" t="s">
        <v>1153</v>
      </c>
      <c r="K46" s="330">
        <v>520</v>
      </c>
      <c r="L46" s="330">
        <v>0</v>
      </c>
      <c r="M46" s="330">
        <v>40000</v>
      </c>
      <c r="N46" s="330"/>
      <c r="O46" s="330">
        <v>34107</v>
      </c>
      <c r="P46" s="330"/>
      <c r="Q46" s="330">
        <v>5893</v>
      </c>
    </row>
    <row r="47" spans="1:17">
      <c r="A47" s="328">
        <v>38</v>
      </c>
      <c r="B47" s="329" t="s">
        <v>1019</v>
      </c>
      <c r="C47" s="329"/>
      <c r="D47" s="329"/>
      <c r="E47" s="333" t="s">
        <v>1856</v>
      </c>
      <c r="F47" s="341" t="s">
        <v>1858</v>
      </c>
      <c r="G47" s="328" t="s">
        <v>1859</v>
      </c>
      <c r="H47" s="328" t="s">
        <v>1340</v>
      </c>
      <c r="I47" s="328" t="s">
        <v>10</v>
      </c>
      <c r="J47" s="328" t="s">
        <v>1857</v>
      </c>
      <c r="K47" s="330">
        <v>1365</v>
      </c>
      <c r="L47" s="330">
        <v>0</v>
      </c>
      <c r="M47" s="330">
        <v>69800</v>
      </c>
      <c r="N47" s="330"/>
      <c r="O47" s="330">
        <v>44918</v>
      </c>
      <c r="P47" s="330"/>
      <c r="Q47" s="330">
        <v>24882</v>
      </c>
    </row>
    <row r="48" spans="1:17">
      <c r="A48" s="328">
        <v>39</v>
      </c>
      <c r="B48" s="329" t="s">
        <v>1780</v>
      </c>
      <c r="C48" s="333"/>
      <c r="D48" s="333"/>
      <c r="E48" s="332" t="s">
        <v>2661</v>
      </c>
      <c r="F48" s="328" t="s">
        <v>2662</v>
      </c>
      <c r="G48" s="328" t="s">
        <v>1859</v>
      </c>
      <c r="H48" s="328" t="s">
        <v>229</v>
      </c>
      <c r="I48" s="328" t="s">
        <v>10</v>
      </c>
      <c r="J48" s="328" t="s">
        <v>1857</v>
      </c>
      <c r="K48" s="330">
        <v>500</v>
      </c>
      <c r="L48" s="330">
        <v>21102</v>
      </c>
      <c r="M48" s="330">
        <v>0</v>
      </c>
      <c r="N48" s="330"/>
      <c r="O48" s="330">
        <v>21102</v>
      </c>
      <c r="P48" s="330"/>
      <c r="Q48" s="330">
        <v>0</v>
      </c>
    </row>
    <row r="49" spans="1:17" ht="25.5">
      <c r="A49" s="328">
        <v>40</v>
      </c>
      <c r="B49" s="336" t="s">
        <v>2026</v>
      </c>
      <c r="C49" s="329"/>
      <c r="D49" s="329"/>
      <c r="E49" s="636" t="s">
        <v>2027</v>
      </c>
      <c r="F49" s="337" t="s">
        <v>2029</v>
      </c>
      <c r="G49" s="337" t="s">
        <v>2030</v>
      </c>
      <c r="H49" s="337" t="s">
        <v>2028</v>
      </c>
      <c r="I49" s="337" t="s">
        <v>10</v>
      </c>
      <c r="J49" s="337" t="s">
        <v>623</v>
      </c>
      <c r="K49" s="330">
        <v>8500</v>
      </c>
      <c r="L49" s="330">
        <v>152</v>
      </c>
      <c r="M49" s="330">
        <v>0</v>
      </c>
      <c r="N49" s="330"/>
      <c r="O49" s="330">
        <v>21</v>
      </c>
      <c r="P49" s="330"/>
      <c r="Q49" s="330">
        <v>131</v>
      </c>
    </row>
    <row r="50" spans="1:17">
      <c r="A50" s="328">
        <v>41</v>
      </c>
      <c r="B50" s="332" t="s">
        <v>1311</v>
      </c>
      <c r="C50" s="333"/>
      <c r="D50" s="333"/>
      <c r="E50" s="332" t="s">
        <v>2436</v>
      </c>
      <c r="F50" s="328" t="s">
        <v>2663</v>
      </c>
      <c r="G50" s="328" t="s">
        <v>255</v>
      </c>
      <c r="H50" s="334" t="s">
        <v>2664</v>
      </c>
      <c r="I50" s="328" t="s">
        <v>658</v>
      </c>
      <c r="J50" s="328" t="s">
        <v>2665</v>
      </c>
      <c r="K50" s="330">
        <v>5166</v>
      </c>
      <c r="L50" s="330">
        <v>14</v>
      </c>
      <c r="M50" s="330">
        <v>0</v>
      </c>
      <c r="N50" s="330"/>
      <c r="O50" s="330">
        <v>14</v>
      </c>
      <c r="P50" s="330"/>
      <c r="Q50" s="330">
        <v>0</v>
      </c>
    </row>
    <row r="51" spans="1:17">
      <c r="A51" s="328">
        <v>42</v>
      </c>
      <c r="B51" s="329" t="s">
        <v>1315</v>
      </c>
      <c r="C51" s="329"/>
      <c r="D51" s="329"/>
      <c r="E51" s="333" t="s">
        <v>1316</v>
      </c>
      <c r="F51" s="328" t="s">
        <v>1317</v>
      </c>
      <c r="G51" s="328" t="s">
        <v>360</v>
      </c>
      <c r="H51" s="328" t="s">
        <v>267</v>
      </c>
      <c r="I51" s="328" t="s">
        <v>11</v>
      </c>
      <c r="J51" s="328" t="s">
        <v>642</v>
      </c>
      <c r="K51" s="330">
        <v>124</v>
      </c>
      <c r="L51" s="330">
        <v>0</v>
      </c>
      <c r="M51" s="330">
        <v>75750</v>
      </c>
      <c r="N51" s="330"/>
      <c r="O51" s="330">
        <v>45737</v>
      </c>
      <c r="P51" s="330"/>
      <c r="Q51" s="330">
        <v>30013</v>
      </c>
    </row>
    <row r="52" spans="1:17">
      <c r="A52" s="325">
        <v>43</v>
      </c>
      <c r="B52" s="329" t="s">
        <v>1315</v>
      </c>
      <c r="C52" s="333"/>
      <c r="D52" s="333"/>
      <c r="E52" s="333" t="s">
        <v>1316</v>
      </c>
      <c r="F52" s="328" t="s">
        <v>2666</v>
      </c>
      <c r="G52" s="328" t="s">
        <v>360</v>
      </c>
      <c r="H52" s="328" t="s">
        <v>267</v>
      </c>
      <c r="I52" s="328" t="s">
        <v>11</v>
      </c>
      <c r="J52" s="328" t="s">
        <v>642</v>
      </c>
      <c r="K52" s="330">
        <v>128</v>
      </c>
      <c r="L52" s="330">
        <v>10530</v>
      </c>
      <c r="M52" s="330">
        <v>0</v>
      </c>
      <c r="N52" s="330"/>
      <c r="O52" s="330">
        <v>10530</v>
      </c>
      <c r="P52" s="330"/>
      <c r="Q52" s="330">
        <v>0</v>
      </c>
    </row>
    <row r="53" spans="1:17">
      <c r="A53" s="328">
        <v>44</v>
      </c>
      <c r="B53" s="336" t="s">
        <v>2008</v>
      </c>
      <c r="C53" s="329"/>
      <c r="D53" s="329"/>
      <c r="E53" s="636" t="s">
        <v>2009</v>
      </c>
      <c r="F53" s="337" t="s">
        <v>2012</v>
      </c>
      <c r="G53" s="337" t="s">
        <v>2013</v>
      </c>
      <c r="H53" s="337" t="s">
        <v>2010</v>
      </c>
      <c r="I53" s="337" t="s">
        <v>18</v>
      </c>
      <c r="J53" s="337" t="s">
        <v>2011</v>
      </c>
      <c r="K53" s="330">
        <v>69000</v>
      </c>
      <c r="L53" s="330">
        <v>3</v>
      </c>
      <c r="M53" s="330">
        <v>0</v>
      </c>
      <c r="N53" s="330"/>
      <c r="O53" s="330">
        <v>3</v>
      </c>
      <c r="P53" s="330"/>
      <c r="Q53" s="330">
        <v>0</v>
      </c>
    </row>
    <row r="54" spans="1:17">
      <c r="A54" s="328">
        <v>45</v>
      </c>
      <c r="B54" s="336" t="s">
        <v>1826</v>
      </c>
      <c r="C54" s="329"/>
      <c r="D54" s="329"/>
      <c r="E54" s="333" t="s">
        <v>1827</v>
      </c>
      <c r="F54" s="328" t="s">
        <v>1828</v>
      </c>
      <c r="G54" s="328" t="s">
        <v>492</v>
      </c>
      <c r="H54" s="328" t="s">
        <v>267</v>
      </c>
      <c r="I54" s="328" t="s">
        <v>10</v>
      </c>
      <c r="J54" s="328" t="s">
        <v>620</v>
      </c>
      <c r="K54" s="330">
        <v>318</v>
      </c>
      <c r="L54" s="330">
        <v>0</v>
      </c>
      <c r="M54" s="330">
        <v>39480</v>
      </c>
      <c r="N54" s="330"/>
      <c r="O54" s="330">
        <v>34802</v>
      </c>
      <c r="P54" s="330"/>
      <c r="Q54" s="330">
        <v>4678</v>
      </c>
    </row>
    <row r="55" spans="1:17">
      <c r="A55" s="328">
        <v>46</v>
      </c>
      <c r="B55" s="329" t="s">
        <v>583</v>
      </c>
      <c r="C55" s="333"/>
      <c r="D55" s="333"/>
      <c r="E55" s="333" t="s">
        <v>2437</v>
      </c>
      <c r="F55" s="328" t="s">
        <v>2667</v>
      </c>
      <c r="G55" s="328" t="s">
        <v>2668</v>
      </c>
      <c r="H55" s="328" t="s">
        <v>390</v>
      </c>
      <c r="I55" s="328" t="s">
        <v>10</v>
      </c>
      <c r="J55" s="328" t="s">
        <v>1870</v>
      </c>
      <c r="K55" s="330">
        <v>408</v>
      </c>
      <c r="L55" s="330">
        <v>13264</v>
      </c>
      <c r="M55" s="330">
        <v>502</v>
      </c>
      <c r="N55" s="330"/>
      <c r="O55" s="330">
        <v>13724</v>
      </c>
      <c r="P55" s="330"/>
      <c r="Q55" s="330">
        <v>42</v>
      </c>
    </row>
    <row r="56" spans="1:17">
      <c r="A56" s="328">
        <v>47</v>
      </c>
      <c r="B56" s="329" t="s">
        <v>1480</v>
      </c>
      <c r="C56" s="329"/>
      <c r="D56" s="329"/>
      <c r="E56" s="333" t="s">
        <v>1869</v>
      </c>
      <c r="F56" s="328" t="s">
        <v>1871</v>
      </c>
      <c r="G56" s="328" t="s">
        <v>1867</v>
      </c>
      <c r="H56" s="328" t="s">
        <v>310</v>
      </c>
      <c r="I56" s="328" t="s">
        <v>10</v>
      </c>
      <c r="J56" s="328" t="s">
        <v>1870</v>
      </c>
      <c r="K56" s="330">
        <v>139</v>
      </c>
      <c r="L56" s="330">
        <v>4347</v>
      </c>
      <c r="M56" s="330">
        <v>25600</v>
      </c>
      <c r="N56" s="330"/>
      <c r="O56" s="330">
        <v>28137</v>
      </c>
      <c r="P56" s="330"/>
      <c r="Q56" s="330">
        <v>1810</v>
      </c>
    </row>
    <row r="57" spans="1:17">
      <c r="A57" s="328">
        <v>48</v>
      </c>
      <c r="B57" s="329" t="s">
        <v>1480</v>
      </c>
      <c r="C57" s="333"/>
      <c r="D57" s="333"/>
      <c r="E57" s="333" t="s">
        <v>2669</v>
      </c>
      <c r="F57" s="328" t="s">
        <v>2670</v>
      </c>
      <c r="G57" s="328" t="s">
        <v>322</v>
      </c>
      <c r="H57" s="328" t="s">
        <v>310</v>
      </c>
      <c r="I57" s="328" t="s">
        <v>10</v>
      </c>
      <c r="J57" s="328" t="s">
        <v>1329</v>
      </c>
      <c r="K57" s="330">
        <v>247</v>
      </c>
      <c r="L57" s="330">
        <v>4454</v>
      </c>
      <c r="M57" s="330">
        <v>0</v>
      </c>
      <c r="N57" s="330"/>
      <c r="O57" s="330">
        <v>4454</v>
      </c>
      <c r="P57" s="330"/>
      <c r="Q57" s="330">
        <v>0</v>
      </c>
    </row>
    <row r="58" spans="1:17">
      <c r="A58" s="325">
        <v>49</v>
      </c>
      <c r="B58" s="336" t="s">
        <v>583</v>
      </c>
      <c r="C58" s="329"/>
      <c r="D58" s="329"/>
      <c r="E58" s="333" t="s">
        <v>584</v>
      </c>
      <c r="F58" s="328" t="s">
        <v>586</v>
      </c>
      <c r="G58" s="328" t="s">
        <v>587</v>
      </c>
      <c r="H58" s="328" t="s">
        <v>390</v>
      </c>
      <c r="I58" s="328" t="s">
        <v>11</v>
      </c>
      <c r="J58" s="328" t="s">
        <v>585</v>
      </c>
      <c r="K58" s="330">
        <v>368</v>
      </c>
      <c r="L58" s="330">
        <v>0</v>
      </c>
      <c r="M58" s="330">
        <v>4800</v>
      </c>
      <c r="N58" s="330"/>
      <c r="O58" s="330">
        <v>0</v>
      </c>
      <c r="P58" s="330"/>
      <c r="Q58" s="330">
        <v>4800</v>
      </c>
    </row>
    <row r="59" spans="1:17">
      <c r="A59" s="328">
        <v>50</v>
      </c>
      <c r="B59" s="332" t="s">
        <v>2439</v>
      </c>
      <c r="C59" s="333"/>
      <c r="D59" s="333"/>
      <c r="E59" s="332" t="s">
        <v>2438</v>
      </c>
      <c r="F59" s="328" t="s">
        <v>2671</v>
      </c>
      <c r="G59" s="328" t="s">
        <v>2672</v>
      </c>
      <c r="H59" s="334" t="s">
        <v>2440</v>
      </c>
      <c r="I59" s="328" t="s">
        <v>15</v>
      </c>
      <c r="J59" s="328" t="s">
        <v>2673</v>
      </c>
      <c r="K59" s="330">
        <v>67000</v>
      </c>
      <c r="L59" s="330">
        <v>30</v>
      </c>
      <c r="M59" s="330">
        <v>0</v>
      </c>
      <c r="N59" s="330"/>
      <c r="O59" s="330">
        <v>3</v>
      </c>
      <c r="P59" s="330"/>
      <c r="Q59" s="330">
        <v>27</v>
      </c>
    </row>
    <row r="60" spans="1:17">
      <c r="A60" s="328">
        <v>51</v>
      </c>
      <c r="B60" s="329" t="s">
        <v>347</v>
      </c>
      <c r="C60" s="333"/>
      <c r="D60" s="333"/>
      <c r="E60" s="333" t="s">
        <v>2674</v>
      </c>
      <c r="F60" s="328" t="s">
        <v>2675</v>
      </c>
      <c r="G60" s="328" t="s">
        <v>2676</v>
      </c>
      <c r="H60" s="328" t="s">
        <v>238</v>
      </c>
      <c r="I60" s="328" t="s">
        <v>11</v>
      </c>
      <c r="J60" s="337" t="s">
        <v>626</v>
      </c>
      <c r="K60" s="330">
        <v>1514</v>
      </c>
      <c r="L60" s="330">
        <v>1910</v>
      </c>
      <c r="M60" s="330">
        <v>0</v>
      </c>
      <c r="N60" s="330"/>
      <c r="O60" s="330">
        <v>1910</v>
      </c>
      <c r="P60" s="330"/>
      <c r="Q60" s="330">
        <v>0</v>
      </c>
    </row>
    <row r="61" spans="1:17">
      <c r="A61" s="328">
        <v>52</v>
      </c>
      <c r="B61" s="329" t="s">
        <v>347</v>
      </c>
      <c r="C61" s="333"/>
      <c r="D61" s="333"/>
      <c r="E61" s="333" t="s">
        <v>2674</v>
      </c>
      <c r="F61" s="328" t="s">
        <v>2675</v>
      </c>
      <c r="G61" s="328" t="s">
        <v>2676</v>
      </c>
      <c r="H61" s="328" t="s">
        <v>238</v>
      </c>
      <c r="I61" s="328" t="s">
        <v>11</v>
      </c>
      <c r="J61" s="337" t="s">
        <v>626</v>
      </c>
      <c r="K61" s="330">
        <v>1900</v>
      </c>
      <c r="L61" s="330">
        <v>201</v>
      </c>
      <c r="M61" s="330">
        <v>0</v>
      </c>
      <c r="N61" s="330"/>
      <c r="O61" s="330">
        <v>201</v>
      </c>
      <c r="P61" s="330"/>
      <c r="Q61" s="330">
        <v>0</v>
      </c>
    </row>
    <row r="62" spans="1:17">
      <c r="A62" s="328">
        <v>53</v>
      </c>
      <c r="B62" s="336" t="s">
        <v>951</v>
      </c>
      <c r="C62" s="329"/>
      <c r="D62" s="329"/>
      <c r="E62" s="636" t="s">
        <v>952</v>
      </c>
      <c r="F62" s="337" t="s">
        <v>953</v>
      </c>
      <c r="G62" s="337" t="s">
        <v>954</v>
      </c>
      <c r="H62" s="337" t="s">
        <v>238</v>
      </c>
      <c r="I62" s="337" t="s">
        <v>10</v>
      </c>
      <c r="J62" s="337" t="s">
        <v>626</v>
      </c>
      <c r="K62" s="330">
        <v>1250</v>
      </c>
      <c r="L62" s="330">
        <v>11</v>
      </c>
      <c r="M62" s="330">
        <v>21930</v>
      </c>
      <c r="N62" s="330"/>
      <c r="O62" s="330">
        <v>12834</v>
      </c>
      <c r="P62" s="330"/>
      <c r="Q62" s="330">
        <v>9107</v>
      </c>
    </row>
    <row r="63" spans="1:17">
      <c r="A63" s="328">
        <v>54</v>
      </c>
      <c r="B63" s="331" t="s">
        <v>347</v>
      </c>
      <c r="C63" s="331"/>
      <c r="D63" s="331"/>
      <c r="E63" s="333" t="s">
        <v>348</v>
      </c>
      <c r="F63" s="328" t="s">
        <v>349</v>
      </c>
      <c r="G63" s="328" t="s">
        <v>350</v>
      </c>
      <c r="H63" s="328" t="s">
        <v>327</v>
      </c>
      <c r="I63" s="328" t="s">
        <v>10</v>
      </c>
      <c r="J63" s="328" t="s">
        <v>647</v>
      </c>
      <c r="K63" s="330">
        <v>254</v>
      </c>
      <c r="L63" s="330">
        <v>0</v>
      </c>
      <c r="M63" s="330">
        <v>4000</v>
      </c>
      <c r="N63" s="330"/>
      <c r="O63" s="330">
        <v>4000</v>
      </c>
      <c r="P63" s="330"/>
      <c r="Q63" s="330">
        <v>0</v>
      </c>
    </row>
    <row r="64" spans="1:17">
      <c r="A64" s="325">
        <v>55</v>
      </c>
      <c r="B64" s="329" t="s">
        <v>411</v>
      </c>
      <c r="C64" s="333"/>
      <c r="D64" s="333"/>
      <c r="E64" s="333" t="s">
        <v>415</v>
      </c>
      <c r="F64" s="328" t="s">
        <v>416</v>
      </c>
      <c r="G64" s="328" t="s">
        <v>414</v>
      </c>
      <c r="H64" s="328" t="s">
        <v>272</v>
      </c>
      <c r="I64" s="328" t="s">
        <v>10</v>
      </c>
      <c r="J64" s="328" t="s">
        <v>1350</v>
      </c>
      <c r="K64" s="330">
        <v>336</v>
      </c>
      <c r="L64" s="330">
        <v>4117</v>
      </c>
      <c r="M64" s="330">
        <v>0</v>
      </c>
      <c r="N64" s="330"/>
      <c r="O64" s="330">
        <v>4117</v>
      </c>
      <c r="P64" s="330"/>
      <c r="Q64" s="330">
        <v>0</v>
      </c>
    </row>
    <row r="65" spans="1:17">
      <c r="A65" s="328">
        <v>56</v>
      </c>
      <c r="B65" s="331" t="s">
        <v>411</v>
      </c>
      <c r="C65" s="331"/>
      <c r="D65" s="331"/>
      <c r="E65" s="333" t="s">
        <v>412</v>
      </c>
      <c r="F65" s="328" t="s">
        <v>413</v>
      </c>
      <c r="G65" s="328" t="s">
        <v>414</v>
      </c>
      <c r="H65" s="328" t="s">
        <v>225</v>
      </c>
      <c r="I65" s="328" t="s">
        <v>10</v>
      </c>
      <c r="J65" s="328" t="s">
        <v>1350</v>
      </c>
      <c r="K65" s="330">
        <v>484</v>
      </c>
      <c r="L65" s="330">
        <v>0</v>
      </c>
      <c r="M65" s="330">
        <v>67000</v>
      </c>
      <c r="N65" s="330"/>
      <c r="O65" s="330">
        <v>58121</v>
      </c>
      <c r="P65" s="330"/>
      <c r="Q65" s="330">
        <v>8879</v>
      </c>
    </row>
    <row r="66" spans="1:17">
      <c r="A66" s="328">
        <v>57</v>
      </c>
      <c r="B66" s="329" t="s">
        <v>411</v>
      </c>
      <c r="C66" s="333"/>
      <c r="D66" s="333"/>
      <c r="E66" s="333" t="s">
        <v>412</v>
      </c>
      <c r="F66" s="328" t="s">
        <v>413</v>
      </c>
      <c r="G66" s="328" t="s">
        <v>414</v>
      </c>
      <c r="H66" s="328" t="s">
        <v>225</v>
      </c>
      <c r="I66" s="328" t="s">
        <v>10</v>
      </c>
      <c r="J66" s="328" t="s">
        <v>1350</v>
      </c>
      <c r="K66" s="330">
        <v>504</v>
      </c>
      <c r="L66" s="330">
        <v>19670</v>
      </c>
      <c r="M66" s="330">
        <v>0</v>
      </c>
      <c r="N66" s="330"/>
      <c r="O66" s="330">
        <v>19626</v>
      </c>
      <c r="P66" s="330"/>
      <c r="Q66" s="330">
        <v>44</v>
      </c>
    </row>
    <row r="67" spans="1:17" ht="38.25">
      <c r="A67" s="328">
        <v>58</v>
      </c>
      <c r="B67" s="336" t="s">
        <v>2247</v>
      </c>
      <c r="C67" s="329"/>
      <c r="D67" s="329"/>
      <c r="E67" s="333" t="s">
        <v>2248</v>
      </c>
      <c r="F67" s="328" t="s">
        <v>2252</v>
      </c>
      <c r="G67" s="328" t="s">
        <v>2253</v>
      </c>
      <c r="H67" s="328" t="s">
        <v>2249</v>
      </c>
      <c r="I67" s="328" t="s">
        <v>16</v>
      </c>
      <c r="J67" s="328" t="s">
        <v>2250</v>
      </c>
      <c r="K67" s="330">
        <v>850</v>
      </c>
      <c r="L67" s="330">
        <v>0</v>
      </c>
      <c r="M67" s="330">
        <v>50000</v>
      </c>
      <c r="N67" s="330"/>
      <c r="O67" s="330">
        <v>50000</v>
      </c>
      <c r="P67" s="330"/>
      <c r="Q67" s="330">
        <v>0</v>
      </c>
    </row>
    <row r="68" spans="1:17">
      <c r="A68" s="328">
        <v>59</v>
      </c>
      <c r="B68" s="329" t="s">
        <v>736</v>
      </c>
      <c r="C68" s="329"/>
      <c r="D68" s="329"/>
      <c r="E68" s="333" t="s">
        <v>1114</v>
      </c>
      <c r="F68" s="328" t="s">
        <v>1117</v>
      </c>
      <c r="G68" s="328" t="s">
        <v>1118</v>
      </c>
      <c r="H68" s="328" t="s">
        <v>1115</v>
      </c>
      <c r="I68" s="328" t="s">
        <v>13</v>
      </c>
      <c r="J68" s="328" t="s">
        <v>1116</v>
      </c>
      <c r="K68" s="330">
        <v>4150</v>
      </c>
      <c r="L68" s="330">
        <v>0</v>
      </c>
      <c r="M68" s="330">
        <v>12900</v>
      </c>
      <c r="N68" s="330"/>
      <c r="O68" s="330">
        <v>7800</v>
      </c>
      <c r="P68" s="330"/>
      <c r="Q68" s="330">
        <v>5100</v>
      </c>
    </row>
    <row r="69" spans="1:17">
      <c r="A69" s="328">
        <v>60</v>
      </c>
      <c r="B69" s="342" t="s">
        <v>1702</v>
      </c>
      <c r="C69" s="342"/>
      <c r="D69" s="342"/>
      <c r="E69" s="638" t="s">
        <v>1706</v>
      </c>
      <c r="F69" s="343" t="s">
        <v>1708</v>
      </c>
      <c r="G69" s="343" t="s">
        <v>1709</v>
      </c>
      <c r="H69" s="343" t="s">
        <v>327</v>
      </c>
      <c r="I69" s="343" t="s">
        <v>10</v>
      </c>
      <c r="J69" s="343" t="s">
        <v>1707</v>
      </c>
      <c r="K69" s="330">
        <v>274</v>
      </c>
      <c r="L69" s="330">
        <v>0</v>
      </c>
      <c r="M69" s="330">
        <v>18000</v>
      </c>
      <c r="N69" s="330"/>
      <c r="O69" s="330">
        <v>17973</v>
      </c>
      <c r="P69" s="330"/>
      <c r="Q69" s="330">
        <v>27</v>
      </c>
    </row>
    <row r="70" spans="1:17">
      <c r="A70" s="325">
        <v>61</v>
      </c>
      <c r="B70" s="342" t="s">
        <v>1702</v>
      </c>
      <c r="C70" s="329"/>
      <c r="D70" s="329"/>
      <c r="E70" s="638" t="s">
        <v>1706</v>
      </c>
      <c r="F70" s="343" t="s">
        <v>1708</v>
      </c>
      <c r="G70" s="328" t="s">
        <v>2677</v>
      </c>
      <c r="H70" s="343" t="s">
        <v>327</v>
      </c>
      <c r="I70" s="328" t="s">
        <v>10</v>
      </c>
      <c r="J70" s="343" t="s">
        <v>1707</v>
      </c>
      <c r="K70" s="330">
        <v>336</v>
      </c>
      <c r="L70" s="330">
        <v>6143</v>
      </c>
      <c r="M70" s="330">
        <v>0</v>
      </c>
      <c r="N70" s="330"/>
      <c r="O70" s="330">
        <v>6113</v>
      </c>
      <c r="P70" s="330"/>
      <c r="Q70" s="330">
        <v>30</v>
      </c>
    </row>
    <row r="71" spans="1:17">
      <c r="A71" s="328">
        <v>62</v>
      </c>
      <c r="B71" s="329" t="s">
        <v>1785</v>
      </c>
      <c r="C71" s="329"/>
      <c r="D71" s="329"/>
      <c r="E71" s="333" t="s">
        <v>1786</v>
      </c>
      <c r="F71" s="328" t="s">
        <v>1789</v>
      </c>
      <c r="G71" s="328" t="s">
        <v>1790</v>
      </c>
      <c r="H71" s="328" t="s">
        <v>1787</v>
      </c>
      <c r="I71" s="328" t="s">
        <v>15</v>
      </c>
      <c r="J71" s="328" t="s">
        <v>1788</v>
      </c>
      <c r="K71" s="330">
        <v>61000</v>
      </c>
      <c r="L71" s="330">
        <v>0</v>
      </c>
      <c r="M71" s="330">
        <v>210</v>
      </c>
      <c r="N71" s="330"/>
      <c r="O71" s="330">
        <v>150</v>
      </c>
      <c r="P71" s="330"/>
      <c r="Q71" s="330">
        <v>60</v>
      </c>
    </row>
    <row r="72" spans="1:17">
      <c r="A72" s="328">
        <v>63</v>
      </c>
      <c r="B72" s="329" t="s">
        <v>864</v>
      </c>
      <c r="C72" s="329"/>
      <c r="D72" s="329"/>
      <c r="E72" s="332" t="s">
        <v>865</v>
      </c>
      <c r="F72" s="328" t="s">
        <v>2678</v>
      </c>
      <c r="G72" s="328" t="s">
        <v>867</v>
      </c>
      <c r="H72" s="328" t="s">
        <v>866</v>
      </c>
      <c r="I72" s="328" t="s">
        <v>658</v>
      </c>
      <c r="J72" s="328" t="s">
        <v>2679</v>
      </c>
      <c r="K72" s="330">
        <v>10500</v>
      </c>
      <c r="L72" s="330">
        <v>0</v>
      </c>
      <c r="M72" s="330">
        <v>60</v>
      </c>
      <c r="N72" s="330"/>
      <c r="O72" s="330">
        <v>30</v>
      </c>
      <c r="P72" s="330"/>
      <c r="Q72" s="330">
        <v>30</v>
      </c>
    </row>
    <row r="73" spans="1:17">
      <c r="A73" s="328">
        <v>64</v>
      </c>
      <c r="B73" s="329" t="s">
        <v>843</v>
      </c>
      <c r="C73" s="333"/>
      <c r="D73" s="333"/>
      <c r="E73" s="333" t="s">
        <v>2680</v>
      </c>
      <c r="F73" s="328" t="s">
        <v>2681</v>
      </c>
      <c r="G73" s="328" t="s">
        <v>2682</v>
      </c>
      <c r="H73" s="328" t="s">
        <v>225</v>
      </c>
      <c r="I73" s="328" t="s">
        <v>11</v>
      </c>
      <c r="J73" s="328" t="s">
        <v>842</v>
      </c>
      <c r="K73" s="330">
        <v>119</v>
      </c>
      <c r="L73" s="330">
        <v>19699</v>
      </c>
      <c r="M73" s="330">
        <v>0</v>
      </c>
      <c r="N73" s="330"/>
      <c r="O73" s="330">
        <v>19699</v>
      </c>
      <c r="P73" s="330"/>
      <c r="Q73" s="330">
        <v>0</v>
      </c>
    </row>
    <row r="74" spans="1:17">
      <c r="A74" s="328">
        <v>65</v>
      </c>
      <c r="B74" s="329" t="s">
        <v>1914</v>
      </c>
      <c r="C74" s="333"/>
      <c r="D74" s="333"/>
      <c r="E74" s="333" t="s">
        <v>2441</v>
      </c>
      <c r="F74" s="328" t="s">
        <v>2683</v>
      </c>
      <c r="G74" s="328" t="s">
        <v>449</v>
      </c>
      <c r="H74" s="328" t="s">
        <v>1915</v>
      </c>
      <c r="I74" s="328" t="s">
        <v>11</v>
      </c>
      <c r="J74" s="328" t="s">
        <v>647</v>
      </c>
      <c r="K74" s="330">
        <v>155</v>
      </c>
      <c r="L74" s="330">
        <v>7678</v>
      </c>
      <c r="M74" s="330">
        <v>51100</v>
      </c>
      <c r="N74" s="330"/>
      <c r="O74" s="330">
        <v>56051</v>
      </c>
      <c r="P74" s="330"/>
      <c r="Q74" s="330">
        <v>2727</v>
      </c>
    </row>
    <row r="75" spans="1:17">
      <c r="A75" s="328">
        <v>66</v>
      </c>
      <c r="B75" s="329" t="s">
        <v>706</v>
      </c>
      <c r="C75" s="333"/>
      <c r="D75" s="333"/>
      <c r="E75" s="333" t="s">
        <v>2442</v>
      </c>
      <c r="F75" s="328" t="s">
        <v>2684</v>
      </c>
      <c r="G75" s="328" t="s">
        <v>2685</v>
      </c>
      <c r="H75" s="328" t="s">
        <v>369</v>
      </c>
      <c r="I75" s="328" t="s">
        <v>10</v>
      </c>
      <c r="J75" s="328" t="s">
        <v>642</v>
      </c>
      <c r="K75" s="330">
        <v>2280</v>
      </c>
      <c r="L75" s="330">
        <v>5054</v>
      </c>
      <c r="M75" s="330">
        <v>0</v>
      </c>
      <c r="N75" s="330"/>
      <c r="O75" s="330">
        <v>4066</v>
      </c>
      <c r="P75" s="330"/>
      <c r="Q75" s="330">
        <v>988</v>
      </c>
    </row>
    <row r="76" spans="1:17">
      <c r="A76" s="325">
        <v>67</v>
      </c>
      <c r="B76" s="331" t="s">
        <v>363</v>
      </c>
      <c r="C76" s="331"/>
      <c r="D76" s="331"/>
      <c r="E76" s="333" t="s">
        <v>363</v>
      </c>
      <c r="F76" s="328" t="s">
        <v>364</v>
      </c>
      <c r="G76" s="328" t="s">
        <v>360</v>
      </c>
      <c r="H76" s="328" t="s">
        <v>291</v>
      </c>
      <c r="I76" s="328" t="s">
        <v>10</v>
      </c>
      <c r="J76" s="328" t="s">
        <v>642</v>
      </c>
      <c r="K76" s="330">
        <v>109</v>
      </c>
      <c r="L76" s="330">
        <v>65</v>
      </c>
      <c r="M76" s="330">
        <v>0</v>
      </c>
      <c r="N76" s="330"/>
      <c r="O76" s="330">
        <v>65</v>
      </c>
      <c r="P76" s="330"/>
      <c r="Q76" s="330">
        <v>0</v>
      </c>
    </row>
    <row r="77" spans="1:17">
      <c r="A77" s="328">
        <v>68</v>
      </c>
      <c r="B77" s="329" t="s">
        <v>363</v>
      </c>
      <c r="C77" s="333"/>
      <c r="D77" s="333"/>
      <c r="E77" s="333" t="s">
        <v>2443</v>
      </c>
      <c r="F77" s="328" t="s">
        <v>426</v>
      </c>
      <c r="G77" s="328" t="s">
        <v>2686</v>
      </c>
      <c r="H77" s="328" t="s">
        <v>2444</v>
      </c>
      <c r="I77" s="328" t="s">
        <v>11</v>
      </c>
      <c r="J77" s="328" t="s">
        <v>642</v>
      </c>
      <c r="K77" s="330">
        <v>900</v>
      </c>
      <c r="L77" s="330">
        <v>2733</v>
      </c>
      <c r="M77" s="330">
        <v>0</v>
      </c>
      <c r="N77" s="330"/>
      <c r="O77" s="330">
        <v>1738</v>
      </c>
      <c r="P77" s="330"/>
      <c r="Q77" s="330">
        <v>995</v>
      </c>
    </row>
    <row r="78" spans="1:17">
      <c r="A78" s="328">
        <v>69</v>
      </c>
      <c r="B78" s="329" t="s">
        <v>2687</v>
      </c>
      <c r="C78" s="329"/>
      <c r="D78" s="329"/>
      <c r="E78" s="333" t="s">
        <v>425</v>
      </c>
      <c r="F78" s="328" t="s">
        <v>2688</v>
      </c>
      <c r="G78" s="328" t="s">
        <v>2689</v>
      </c>
      <c r="H78" s="328" t="s">
        <v>291</v>
      </c>
      <c r="I78" s="328" t="s">
        <v>11</v>
      </c>
      <c r="J78" s="328" t="s">
        <v>842</v>
      </c>
      <c r="K78" s="330">
        <v>690</v>
      </c>
      <c r="L78" s="330">
        <v>1076</v>
      </c>
      <c r="M78" s="330">
        <v>0</v>
      </c>
      <c r="N78" s="330"/>
      <c r="O78" s="330">
        <v>623</v>
      </c>
      <c r="P78" s="330"/>
      <c r="Q78" s="330">
        <v>453</v>
      </c>
    </row>
    <row r="79" spans="1:17">
      <c r="A79" s="328">
        <v>70</v>
      </c>
      <c r="B79" s="336" t="s">
        <v>847</v>
      </c>
      <c r="C79" s="329"/>
      <c r="D79" s="329"/>
      <c r="E79" s="333" t="s">
        <v>1206</v>
      </c>
      <c r="F79" s="328" t="s">
        <v>1207</v>
      </c>
      <c r="G79" s="328" t="s">
        <v>352</v>
      </c>
      <c r="H79" s="328" t="s">
        <v>272</v>
      </c>
      <c r="I79" s="328" t="s">
        <v>13</v>
      </c>
      <c r="J79" s="328" t="s">
        <v>1201</v>
      </c>
      <c r="K79" s="330">
        <v>799</v>
      </c>
      <c r="L79" s="330">
        <v>0</v>
      </c>
      <c r="M79" s="330">
        <v>2664</v>
      </c>
      <c r="N79" s="330"/>
      <c r="O79" s="330">
        <v>2359</v>
      </c>
      <c r="P79" s="330"/>
      <c r="Q79" s="330">
        <v>305</v>
      </c>
    </row>
    <row r="80" spans="1:17">
      <c r="A80" s="328">
        <v>71</v>
      </c>
      <c r="B80" s="329" t="s">
        <v>365</v>
      </c>
      <c r="C80" s="329"/>
      <c r="D80" s="329"/>
      <c r="E80" s="333" t="s">
        <v>2690</v>
      </c>
      <c r="F80" s="328" t="s">
        <v>2691</v>
      </c>
      <c r="G80" s="328" t="s">
        <v>360</v>
      </c>
      <c r="H80" s="328" t="s">
        <v>238</v>
      </c>
      <c r="I80" s="328" t="s">
        <v>11</v>
      </c>
      <c r="J80" s="328" t="s">
        <v>642</v>
      </c>
      <c r="K80" s="335">
        <v>178</v>
      </c>
      <c r="L80" s="330">
        <v>701</v>
      </c>
      <c r="M80" s="330">
        <v>0</v>
      </c>
      <c r="N80" s="330"/>
      <c r="O80" s="330">
        <v>569</v>
      </c>
      <c r="P80" s="330"/>
      <c r="Q80" s="330">
        <v>132</v>
      </c>
    </row>
    <row r="81" spans="1:17">
      <c r="A81" s="328">
        <v>72</v>
      </c>
      <c r="B81" s="331" t="s">
        <v>365</v>
      </c>
      <c r="C81" s="331"/>
      <c r="D81" s="331"/>
      <c r="E81" s="333" t="s">
        <v>366</v>
      </c>
      <c r="F81" s="328" t="s">
        <v>367</v>
      </c>
      <c r="G81" s="328" t="s">
        <v>360</v>
      </c>
      <c r="H81" s="328" t="s">
        <v>235</v>
      </c>
      <c r="I81" s="328" t="s">
        <v>10</v>
      </c>
      <c r="J81" s="328" t="s">
        <v>647</v>
      </c>
      <c r="K81" s="330">
        <v>232</v>
      </c>
      <c r="L81" s="330">
        <v>0</v>
      </c>
      <c r="M81" s="330">
        <v>20000</v>
      </c>
      <c r="N81" s="330"/>
      <c r="O81" s="330">
        <v>10688</v>
      </c>
      <c r="P81" s="330"/>
      <c r="Q81" s="330">
        <v>9312</v>
      </c>
    </row>
    <row r="82" spans="1:17">
      <c r="A82" s="325">
        <v>73</v>
      </c>
      <c r="B82" s="331" t="s">
        <v>365</v>
      </c>
      <c r="C82" s="331"/>
      <c r="D82" s="331"/>
      <c r="E82" s="333" t="s">
        <v>9039</v>
      </c>
      <c r="F82" s="328" t="s">
        <v>2692</v>
      </c>
      <c r="G82" s="328" t="s">
        <v>360</v>
      </c>
      <c r="H82" s="328" t="s">
        <v>235</v>
      </c>
      <c r="I82" s="328" t="s">
        <v>10</v>
      </c>
      <c r="J82" s="328" t="s">
        <v>647</v>
      </c>
      <c r="K82" s="335">
        <v>268</v>
      </c>
      <c r="L82" s="330">
        <v>2474</v>
      </c>
      <c r="M82" s="330">
        <v>900</v>
      </c>
      <c r="N82" s="330"/>
      <c r="O82" s="330">
        <v>3374</v>
      </c>
      <c r="P82" s="330"/>
      <c r="Q82" s="330">
        <v>0</v>
      </c>
    </row>
    <row r="83" spans="1:17">
      <c r="A83" s="328">
        <v>74</v>
      </c>
      <c r="B83" s="329" t="s">
        <v>1722</v>
      </c>
      <c r="C83" s="329"/>
      <c r="D83" s="329"/>
      <c r="E83" s="333" t="s">
        <v>1722</v>
      </c>
      <c r="F83" s="328" t="s">
        <v>1725</v>
      </c>
      <c r="G83" s="328" t="s">
        <v>1726</v>
      </c>
      <c r="H83" s="328" t="s">
        <v>1723</v>
      </c>
      <c r="I83" s="328" t="s">
        <v>520</v>
      </c>
      <c r="J83" s="328" t="s">
        <v>1724</v>
      </c>
      <c r="K83" s="330">
        <v>500</v>
      </c>
      <c r="L83" s="330">
        <v>0</v>
      </c>
      <c r="M83" s="330">
        <v>600</v>
      </c>
      <c r="N83" s="330"/>
      <c r="O83" s="330">
        <v>100</v>
      </c>
      <c r="P83" s="330"/>
      <c r="Q83" s="330">
        <v>500</v>
      </c>
    </row>
    <row r="84" spans="1:17">
      <c r="A84" s="328">
        <v>75</v>
      </c>
      <c r="B84" s="329" t="s">
        <v>2693</v>
      </c>
      <c r="C84" s="329"/>
      <c r="D84" s="329"/>
      <c r="E84" s="333" t="s">
        <v>2595</v>
      </c>
      <c r="F84" s="328" t="s">
        <v>2694</v>
      </c>
      <c r="G84" s="328" t="s">
        <v>2695</v>
      </c>
      <c r="H84" s="328" t="s">
        <v>2596</v>
      </c>
      <c r="I84" s="328" t="s">
        <v>520</v>
      </c>
      <c r="J84" s="328" t="s">
        <v>1724</v>
      </c>
      <c r="K84" s="330">
        <v>735</v>
      </c>
      <c r="L84" s="330">
        <v>700</v>
      </c>
      <c r="M84" s="330">
        <v>0</v>
      </c>
      <c r="N84" s="330"/>
      <c r="O84" s="330">
        <v>476</v>
      </c>
      <c r="P84" s="330"/>
      <c r="Q84" s="330">
        <v>224</v>
      </c>
    </row>
    <row r="85" spans="1:17">
      <c r="A85" s="328">
        <v>76</v>
      </c>
      <c r="B85" s="331" t="s">
        <v>216</v>
      </c>
      <c r="C85" s="331"/>
      <c r="D85" s="331"/>
      <c r="E85" s="333" t="s">
        <v>250</v>
      </c>
      <c r="F85" s="328" t="s">
        <v>254</v>
      </c>
      <c r="G85" s="328" t="s">
        <v>255</v>
      </c>
      <c r="H85" s="328" t="s">
        <v>251</v>
      </c>
      <c r="I85" s="328" t="s">
        <v>10</v>
      </c>
      <c r="J85" s="328" t="s">
        <v>252</v>
      </c>
      <c r="K85" s="330">
        <v>2246</v>
      </c>
      <c r="L85" s="330">
        <v>0</v>
      </c>
      <c r="M85" s="330">
        <v>19992</v>
      </c>
      <c r="N85" s="330"/>
      <c r="O85" s="330">
        <v>11722</v>
      </c>
      <c r="P85" s="330"/>
      <c r="Q85" s="330">
        <v>8270</v>
      </c>
    </row>
    <row r="86" spans="1:17">
      <c r="A86" s="328">
        <v>77</v>
      </c>
      <c r="B86" s="336" t="s">
        <v>956</v>
      </c>
      <c r="C86" s="329"/>
      <c r="D86" s="329"/>
      <c r="E86" s="636" t="s">
        <v>957</v>
      </c>
      <c r="F86" s="337" t="s">
        <v>959</v>
      </c>
      <c r="G86" s="337" t="s">
        <v>955</v>
      </c>
      <c r="H86" s="337" t="s">
        <v>958</v>
      </c>
      <c r="I86" s="337" t="s">
        <v>12</v>
      </c>
      <c r="J86" s="337" t="s">
        <v>946</v>
      </c>
      <c r="K86" s="330">
        <v>10998</v>
      </c>
      <c r="L86" s="330">
        <v>0</v>
      </c>
      <c r="M86" s="330">
        <v>1200</v>
      </c>
      <c r="N86" s="330"/>
      <c r="O86" s="330">
        <v>63</v>
      </c>
      <c r="P86" s="330"/>
      <c r="Q86" s="330">
        <v>1137</v>
      </c>
    </row>
    <row r="87" spans="1:17">
      <c r="A87" s="328">
        <v>78</v>
      </c>
      <c r="B87" s="331" t="s">
        <v>216</v>
      </c>
      <c r="C87" s="331"/>
      <c r="D87" s="331"/>
      <c r="E87" s="333" t="s">
        <v>218</v>
      </c>
      <c r="F87" s="328" t="s">
        <v>220</v>
      </c>
      <c r="G87" s="328" t="s">
        <v>217</v>
      </c>
      <c r="H87" s="328" t="s">
        <v>219</v>
      </c>
      <c r="I87" s="328" t="s">
        <v>10</v>
      </c>
      <c r="J87" s="328" t="s">
        <v>647</v>
      </c>
      <c r="K87" s="330">
        <v>2375</v>
      </c>
      <c r="L87" s="330">
        <v>0</v>
      </c>
      <c r="M87" s="330">
        <v>10000</v>
      </c>
      <c r="N87" s="330"/>
      <c r="O87" s="330">
        <v>9596</v>
      </c>
      <c r="P87" s="330"/>
      <c r="Q87" s="330">
        <v>404</v>
      </c>
    </row>
    <row r="88" spans="1:17" ht="25.5">
      <c r="A88" s="325">
        <v>79</v>
      </c>
      <c r="B88" s="329" t="s">
        <v>683</v>
      </c>
      <c r="C88" s="329"/>
      <c r="D88" s="329"/>
      <c r="E88" s="333" t="s">
        <v>1917</v>
      </c>
      <c r="F88" s="328" t="s">
        <v>1920</v>
      </c>
      <c r="G88" s="328" t="s">
        <v>1913</v>
      </c>
      <c r="H88" s="328" t="s">
        <v>1918</v>
      </c>
      <c r="I88" s="328" t="s">
        <v>13</v>
      </c>
      <c r="J88" s="328" t="s">
        <v>1919</v>
      </c>
      <c r="K88" s="330">
        <v>1365</v>
      </c>
      <c r="L88" s="330">
        <v>0</v>
      </c>
      <c r="M88" s="330">
        <v>5000</v>
      </c>
      <c r="N88" s="330"/>
      <c r="O88" s="330">
        <v>4936</v>
      </c>
      <c r="P88" s="330"/>
      <c r="Q88" s="330">
        <v>64</v>
      </c>
    </row>
    <row r="89" spans="1:17">
      <c r="A89" s="328">
        <v>80</v>
      </c>
      <c r="B89" s="329" t="s">
        <v>813</v>
      </c>
      <c r="C89" s="329"/>
      <c r="D89" s="329"/>
      <c r="E89" s="333" t="s">
        <v>1805</v>
      </c>
      <c r="F89" s="328" t="s">
        <v>1806</v>
      </c>
      <c r="G89" s="328" t="s">
        <v>488</v>
      </c>
      <c r="H89" s="328" t="s">
        <v>299</v>
      </c>
      <c r="I89" s="328" t="s">
        <v>11</v>
      </c>
      <c r="J89" s="328" t="s">
        <v>647</v>
      </c>
      <c r="K89" s="330">
        <v>5187</v>
      </c>
      <c r="L89" s="330">
        <v>3124</v>
      </c>
      <c r="M89" s="330">
        <v>0</v>
      </c>
      <c r="N89" s="330"/>
      <c r="O89" s="330">
        <v>3124</v>
      </c>
      <c r="P89" s="330"/>
      <c r="Q89" s="330">
        <v>0</v>
      </c>
    </row>
    <row r="90" spans="1:17" ht="25.5">
      <c r="A90" s="328">
        <v>81</v>
      </c>
      <c r="B90" s="329" t="s">
        <v>1846</v>
      </c>
      <c r="C90" s="329"/>
      <c r="D90" s="329"/>
      <c r="E90" s="639" t="s">
        <v>1847</v>
      </c>
      <c r="F90" s="341" t="s">
        <v>2696</v>
      </c>
      <c r="G90" s="328" t="s">
        <v>1841</v>
      </c>
      <c r="H90" s="328" t="s">
        <v>272</v>
      </c>
      <c r="I90" s="328" t="s">
        <v>10</v>
      </c>
      <c r="J90" s="341" t="s">
        <v>1153</v>
      </c>
      <c r="K90" s="330">
        <v>2500</v>
      </c>
      <c r="L90" s="330">
        <v>4055</v>
      </c>
      <c r="M90" s="330">
        <v>0</v>
      </c>
      <c r="N90" s="330"/>
      <c r="O90" s="330">
        <v>2490</v>
      </c>
      <c r="P90" s="330"/>
      <c r="Q90" s="330">
        <v>1565</v>
      </c>
    </row>
    <row r="91" spans="1:17">
      <c r="A91" s="328">
        <v>82</v>
      </c>
      <c r="B91" s="329" t="s">
        <v>1860</v>
      </c>
      <c r="C91" s="329"/>
      <c r="D91" s="329"/>
      <c r="E91" s="639" t="s">
        <v>1861</v>
      </c>
      <c r="F91" s="341" t="s">
        <v>1863</v>
      </c>
      <c r="G91" s="328" t="s">
        <v>1841</v>
      </c>
      <c r="H91" s="328" t="s">
        <v>1862</v>
      </c>
      <c r="I91" s="328" t="s">
        <v>10</v>
      </c>
      <c r="J91" s="341" t="s">
        <v>1153</v>
      </c>
      <c r="K91" s="330">
        <v>530</v>
      </c>
      <c r="L91" s="330">
        <v>3999</v>
      </c>
      <c r="M91" s="330">
        <v>15360</v>
      </c>
      <c r="N91" s="330"/>
      <c r="O91" s="330">
        <v>15206</v>
      </c>
      <c r="P91" s="330"/>
      <c r="Q91" s="330">
        <v>4153</v>
      </c>
    </row>
    <row r="92" spans="1:17">
      <c r="A92" s="328">
        <v>83</v>
      </c>
      <c r="B92" s="329" t="s">
        <v>1123</v>
      </c>
      <c r="C92" s="329"/>
      <c r="D92" s="329"/>
      <c r="E92" s="333" t="s">
        <v>1124</v>
      </c>
      <c r="F92" s="328" t="s">
        <v>1126</v>
      </c>
      <c r="G92" s="328" t="s">
        <v>2697</v>
      </c>
      <c r="H92" s="328" t="s">
        <v>310</v>
      </c>
      <c r="I92" s="328" t="s">
        <v>11</v>
      </c>
      <c r="J92" s="328" t="s">
        <v>1125</v>
      </c>
      <c r="K92" s="330">
        <v>6600</v>
      </c>
      <c r="L92" s="330">
        <v>0</v>
      </c>
      <c r="M92" s="330">
        <v>480</v>
      </c>
      <c r="N92" s="330"/>
      <c r="O92" s="330">
        <v>480</v>
      </c>
      <c r="P92" s="330"/>
      <c r="Q92" s="330">
        <v>0</v>
      </c>
    </row>
    <row r="93" spans="1:17">
      <c r="A93" s="328">
        <v>84</v>
      </c>
      <c r="B93" s="329" t="s">
        <v>337</v>
      </c>
      <c r="C93" s="333"/>
      <c r="D93" s="333"/>
      <c r="E93" s="333" t="s">
        <v>2446</v>
      </c>
      <c r="F93" s="328" t="s">
        <v>2698</v>
      </c>
      <c r="G93" s="328" t="s">
        <v>2699</v>
      </c>
      <c r="H93" s="328" t="s">
        <v>1583</v>
      </c>
      <c r="I93" s="328" t="s">
        <v>11</v>
      </c>
      <c r="J93" s="328" t="s">
        <v>804</v>
      </c>
      <c r="K93" s="330">
        <v>3600</v>
      </c>
      <c r="L93" s="330">
        <v>4749</v>
      </c>
      <c r="M93" s="330">
        <v>0</v>
      </c>
      <c r="N93" s="330"/>
      <c r="O93" s="330">
        <v>3140</v>
      </c>
      <c r="P93" s="330"/>
      <c r="Q93" s="330">
        <v>1609</v>
      </c>
    </row>
    <row r="94" spans="1:17">
      <c r="A94" s="325">
        <v>85</v>
      </c>
      <c r="B94" s="331" t="s">
        <v>337</v>
      </c>
      <c r="C94" s="331"/>
      <c r="D94" s="331"/>
      <c r="E94" s="333" t="s">
        <v>338</v>
      </c>
      <c r="F94" s="328" t="s">
        <v>339</v>
      </c>
      <c r="G94" s="328" t="s">
        <v>336</v>
      </c>
      <c r="H94" s="328" t="s">
        <v>225</v>
      </c>
      <c r="I94" s="328" t="s">
        <v>10</v>
      </c>
      <c r="J94" s="328" t="s">
        <v>2700</v>
      </c>
      <c r="K94" s="330">
        <v>2950</v>
      </c>
      <c r="L94" s="330">
        <v>0</v>
      </c>
      <c r="M94" s="330">
        <v>6000</v>
      </c>
      <c r="N94" s="330"/>
      <c r="O94" s="330">
        <v>3771</v>
      </c>
      <c r="P94" s="330"/>
      <c r="Q94" s="330">
        <v>2229</v>
      </c>
    </row>
    <row r="95" spans="1:17">
      <c r="A95" s="328">
        <v>86</v>
      </c>
      <c r="B95" s="329" t="s">
        <v>337</v>
      </c>
      <c r="C95" s="333"/>
      <c r="D95" s="333"/>
      <c r="E95" s="333" t="s">
        <v>2447</v>
      </c>
      <c r="F95" s="328" t="s">
        <v>2701</v>
      </c>
      <c r="G95" s="328" t="s">
        <v>2702</v>
      </c>
      <c r="H95" s="328" t="s">
        <v>1200</v>
      </c>
      <c r="I95" s="328" t="s">
        <v>13</v>
      </c>
      <c r="J95" s="328" t="s">
        <v>2703</v>
      </c>
      <c r="K95" s="330">
        <v>2499</v>
      </c>
      <c r="L95" s="330">
        <v>2897</v>
      </c>
      <c r="M95" s="330">
        <v>0</v>
      </c>
      <c r="N95" s="330"/>
      <c r="O95" s="330">
        <v>996</v>
      </c>
      <c r="P95" s="330"/>
      <c r="Q95" s="330">
        <v>1901</v>
      </c>
    </row>
    <row r="96" spans="1:17" ht="25.5">
      <c r="A96" s="328">
        <v>87</v>
      </c>
      <c r="B96" s="329" t="s">
        <v>2381</v>
      </c>
      <c r="C96" s="329"/>
      <c r="D96" s="329"/>
      <c r="E96" s="333" t="s">
        <v>19</v>
      </c>
      <c r="F96" s="328" t="s">
        <v>2383</v>
      </c>
      <c r="G96" s="328" t="s">
        <v>2384</v>
      </c>
      <c r="H96" s="328" t="s">
        <v>20</v>
      </c>
      <c r="I96" s="328" t="s">
        <v>14</v>
      </c>
      <c r="J96" s="328" t="s">
        <v>2382</v>
      </c>
      <c r="K96" s="330">
        <v>27500</v>
      </c>
      <c r="L96" s="330">
        <v>0</v>
      </c>
      <c r="M96" s="330">
        <v>800</v>
      </c>
      <c r="N96" s="330"/>
      <c r="O96" s="330">
        <v>781</v>
      </c>
      <c r="P96" s="330"/>
      <c r="Q96" s="330">
        <v>19</v>
      </c>
    </row>
    <row r="97" spans="1:17" ht="25.5">
      <c r="A97" s="328">
        <v>88</v>
      </c>
      <c r="B97" s="329" t="s">
        <v>1848</v>
      </c>
      <c r="C97" s="329"/>
      <c r="D97" s="329"/>
      <c r="E97" s="639" t="s">
        <v>1849</v>
      </c>
      <c r="F97" s="341" t="s">
        <v>1852</v>
      </c>
      <c r="G97" s="328" t="s">
        <v>1841</v>
      </c>
      <c r="H97" s="328" t="s">
        <v>1850</v>
      </c>
      <c r="I97" s="328" t="s">
        <v>12</v>
      </c>
      <c r="J97" s="341" t="s">
        <v>1851</v>
      </c>
      <c r="K97" s="330">
        <v>840</v>
      </c>
      <c r="L97" s="330">
        <v>0</v>
      </c>
      <c r="M97" s="330">
        <v>3500</v>
      </c>
      <c r="N97" s="330"/>
      <c r="O97" s="330">
        <v>3414</v>
      </c>
      <c r="P97" s="330"/>
      <c r="Q97" s="330">
        <v>86</v>
      </c>
    </row>
    <row r="98" spans="1:17" ht="63.75">
      <c r="A98" s="328">
        <v>89</v>
      </c>
      <c r="B98" s="329" t="s">
        <v>2179</v>
      </c>
      <c r="C98" s="329"/>
      <c r="D98" s="329"/>
      <c r="E98" s="332" t="s">
        <v>21</v>
      </c>
      <c r="F98" s="328" t="s">
        <v>2181</v>
      </c>
      <c r="G98" s="328" t="s">
        <v>867</v>
      </c>
      <c r="H98" s="328" t="s">
        <v>22</v>
      </c>
      <c r="I98" s="328" t="s">
        <v>11</v>
      </c>
      <c r="J98" s="328" t="s">
        <v>2180</v>
      </c>
      <c r="K98" s="330">
        <v>1260</v>
      </c>
      <c r="L98" s="330">
        <v>1114</v>
      </c>
      <c r="M98" s="330">
        <v>124300</v>
      </c>
      <c r="N98" s="330"/>
      <c r="O98" s="330">
        <v>114492</v>
      </c>
      <c r="P98" s="330"/>
      <c r="Q98" s="330">
        <v>10922</v>
      </c>
    </row>
    <row r="99" spans="1:17">
      <c r="A99" s="328">
        <v>90</v>
      </c>
      <c r="B99" s="329" t="s">
        <v>2449</v>
      </c>
      <c r="C99" s="333"/>
      <c r="D99" s="333"/>
      <c r="E99" s="333" t="s">
        <v>2448</v>
      </c>
      <c r="F99" s="328" t="s">
        <v>2704</v>
      </c>
      <c r="G99" s="328" t="s">
        <v>983</v>
      </c>
      <c r="H99" s="328" t="s">
        <v>238</v>
      </c>
      <c r="I99" s="328" t="s">
        <v>10</v>
      </c>
      <c r="J99" s="328" t="s">
        <v>642</v>
      </c>
      <c r="K99" s="330">
        <v>5639</v>
      </c>
      <c r="L99" s="330">
        <v>3421</v>
      </c>
      <c r="M99" s="330">
        <v>0</v>
      </c>
      <c r="N99" s="330"/>
      <c r="O99" s="330">
        <v>3344</v>
      </c>
      <c r="P99" s="330"/>
      <c r="Q99" s="330">
        <v>77</v>
      </c>
    </row>
    <row r="100" spans="1:17" ht="25.5">
      <c r="A100" s="325">
        <v>91</v>
      </c>
      <c r="B100" s="336" t="s">
        <v>2254</v>
      </c>
      <c r="C100" s="329"/>
      <c r="D100" s="329"/>
      <c r="E100" s="333" t="s">
        <v>2255</v>
      </c>
      <c r="F100" s="328" t="s">
        <v>2257</v>
      </c>
      <c r="G100" s="328" t="s">
        <v>2253</v>
      </c>
      <c r="H100" s="328" t="s">
        <v>2256</v>
      </c>
      <c r="I100" s="328" t="s">
        <v>16</v>
      </c>
      <c r="J100" s="328" t="s">
        <v>2250</v>
      </c>
      <c r="K100" s="330">
        <v>980</v>
      </c>
      <c r="L100" s="330">
        <v>1</v>
      </c>
      <c r="M100" s="330">
        <v>20000</v>
      </c>
      <c r="N100" s="330"/>
      <c r="O100" s="330">
        <v>20001</v>
      </c>
      <c r="P100" s="330"/>
      <c r="Q100" s="330">
        <v>0</v>
      </c>
    </row>
    <row r="101" spans="1:17" ht="25.5">
      <c r="A101" s="328">
        <v>92</v>
      </c>
      <c r="B101" s="336" t="s">
        <v>2258</v>
      </c>
      <c r="C101" s="329"/>
      <c r="D101" s="329"/>
      <c r="E101" s="333" t="s">
        <v>23</v>
      </c>
      <c r="F101" s="328" t="s">
        <v>2259</v>
      </c>
      <c r="G101" s="328" t="s">
        <v>2253</v>
      </c>
      <c r="H101" s="328" t="s">
        <v>24</v>
      </c>
      <c r="I101" s="328" t="s">
        <v>16</v>
      </c>
      <c r="J101" s="328" t="s">
        <v>2250</v>
      </c>
      <c r="K101" s="330">
        <v>800</v>
      </c>
      <c r="L101" s="330">
        <v>0</v>
      </c>
      <c r="M101" s="330">
        <v>10800</v>
      </c>
      <c r="N101" s="330"/>
      <c r="O101" s="330">
        <v>1460</v>
      </c>
      <c r="P101" s="330"/>
      <c r="Q101" s="330">
        <v>9340</v>
      </c>
    </row>
    <row r="102" spans="1:17">
      <c r="A102" s="328">
        <v>93</v>
      </c>
      <c r="B102" s="332" t="s">
        <v>325</v>
      </c>
      <c r="C102" s="333"/>
      <c r="D102" s="333"/>
      <c r="E102" s="332" t="s">
        <v>2450</v>
      </c>
      <c r="F102" s="328" t="s">
        <v>2705</v>
      </c>
      <c r="G102" s="328" t="s">
        <v>255</v>
      </c>
      <c r="H102" s="334" t="s">
        <v>1004</v>
      </c>
      <c r="I102" s="328" t="s">
        <v>16</v>
      </c>
      <c r="J102" s="328" t="s">
        <v>842</v>
      </c>
      <c r="K102" s="330">
        <v>252</v>
      </c>
      <c r="L102" s="330">
        <v>144</v>
      </c>
      <c r="M102" s="330">
        <v>6</v>
      </c>
      <c r="N102" s="330"/>
      <c r="O102" s="330">
        <v>144</v>
      </c>
      <c r="P102" s="330"/>
      <c r="Q102" s="330">
        <v>6</v>
      </c>
    </row>
    <row r="103" spans="1:17">
      <c r="A103" s="328">
        <v>94</v>
      </c>
      <c r="B103" s="332" t="s">
        <v>1333</v>
      </c>
      <c r="C103" s="333"/>
      <c r="D103" s="333"/>
      <c r="E103" s="332" t="s">
        <v>2706</v>
      </c>
      <c r="F103" s="328" t="s">
        <v>2707</v>
      </c>
      <c r="G103" s="328" t="s">
        <v>2708</v>
      </c>
      <c r="H103" s="334" t="s">
        <v>2522</v>
      </c>
      <c r="I103" s="328" t="s">
        <v>18</v>
      </c>
      <c r="J103" s="328" t="s">
        <v>2709</v>
      </c>
      <c r="K103" s="330">
        <v>8400</v>
      </c>
      <c r="L103" s="330">
        <v>729</v>
      </c>
      <c r="M103" s="330">
        <v>0</v>
      </c>
      <c r="N103" s="330"/>
      <c r="O103" s="330">
        <v>729</v>
      </c>
      <c r="P103" s="330"/>
      <c r="Q103" s="330">
        <v>0</v>
      </c>
    </row>
    <row r="104" spans="1:17">
      <c r="A104" s="328">
        <v>95</v>
      </c>
      <c r="B104" s="336" t="s">
        <v>876</v>
      </c>
      <c r="C104" s="329"/>
      <c r="D104" s="329"/>
      <c r="E104" s="333" t="s">
        <v>1574</v>
      </c>
      <c r="F104" s="328" t="s">
        <v>1577</v>
      </c>
      <c r="G104" s="328" t="s">
        <v>1578</v>
      </c>
      <c r="H104" s="328" t="s">
        <v>1575</v>
      </c>
      <c r="I104" s="328" t="s">
        <v>658</v>
      </c>
      <c r="J104" s="328" t="s">
        <v>1576</v>
      </c>
      <c r="K104" s="330">
        <v>90000</v>
      </c>
      <c r="L104" s="330">
        <v>87</v>
      </c>
      <c r="M104" s="330">
        <v>50</v>
      </c>
      <c r="N104" s="330"/>
      <c r="O104" s="330">
        <v>109</v>
      </c>
      <c r="P104" s="330"/>
      <c r="Q104" s="330">
        <v>28</v>
      </c>
    </row>
    <row r="105" spans="1:17">
      <c r="A105" s="328">
        <v>96</v>
      </c>
      <c r="B105" s="329" t="s">
        <v>2452</v>
      </c>
      <c r="C105" s="333"/>
      <c r="D105" s="333"/>
      <c r="E105" s="333" t="s">
        <v>2451</v>
      </c>
      <c r="F105" s="328" t="s">
        <v>2710</v>
      </c>
      <c r="G105" s="328" t="s">
        <v>255</v>
      </c>
      <c r="H105" s="328" t="s">
        <v>1764</v>
      </c>
      <c r="I105" s="328" t="s">
        <v>16</v>
      </c>
      <c r="J105" s="328" t="s">
        <v>2711</v>
      </c>
      <c r="K105" s="330">
        <v>399</v>
      </c>
      <c r="L105" s="330">
        <v>961</v>
      </c>
      <c r="M105" s="330">
        <v>0</v>
      </c>
      <c r="N105" s="330"/>
      <c r="O105" s="330">
        <v>883</v>
      </c>
      <c r="P105" s="330"/>
      <c r="Q105" s="330">
        <v>78</v>
      </c>
    </row>
    <row r="106" spans="1:17">
      <c r="A106" s="325">
        <v>97</v>
      </c>
      <c r="B106" s="329" t="s">
        <v>2454</v>
      </c>
      <c r="C106" s="333"/>
      <c r="D106" s="333"/>
      <c r="E106" s="333" t="s">
        <v>2453</v>
      </c>
      <c r="F106" s="328" t="s">
        <v>2712</v>
      </c>
      <c r="G106" s="328" t="s">
        <v>2713</v>
      </c>
      <c r="H106" s="328" t="s">
        <v>2455</v>
      </c>
      <c r="I106" s="328" t="s">
        <v>658</v>
      </c>
      <c r="J106" s="328" t="s">
        <v>2714</v>
      </c>
      <c r="K106" s="330">
        <v>96870</v>
      </c>
      <c r="L106" s="330">
        <v>179</v>
      </c>
      <c r="M106" s="330">
        <v>0</v>
      </c>
      <c r="N106" s="330"/>
      <c r="O106" s="330">
        <v>111</v>
      </c>
      <c r="P106" s="330"/>
      <c r="Q106" s="330">
        <v>68</v>
      </c>
    </row>
    <row r="107" spans="1:17" ht="25.5">
      <c r="A107" s="328">
        <v>98</v>
      </c>
      <c r="B107" s="336" t="s">
        <v>2031</v>
      </c>
      <c r="C107" s="333"/>
      <c r="D107" s="333"/>
      <c r="E107" s="636" t="s">
        <v>2032</v>
      </c>
      <c r="F107" s="328" t="s">
        <v>2035</v>
      </c>
      <c r="G107" s="328" t="s">
        <v>2036</v>
      </c>
      <c r="H107" s="337" t="s">
        <v>2033</v>
      </c>
      <c r="I107" s="328" t="s">
        <v>2037</v>
      </c>
      <c r="J107" s="337" t="s">
        <v>2034</v>
      </c>
      <c r="K107" s="330">
        <v>132323</v>
      </c>
      <c r="L107" s="330">
        <v>134</v>
      </c>
      <c r="M107" s="330">
        <v>350</v>
      </c>
      <c r="N107" s="330"/>
      <c r="O107" s="330">
        <v>417</v>
      </c>
      <c r="P107" s="330"/>
      <c r="Q107" s="330">
        <v>67</v>
      </c>
    </row>
    <row r="108" spans="1:17">
      <c r="A108" s="328">
        <v>99</v>
      </c>
      <c r="B108" s="336" t="s">
        <v>1494</v>
      </c>
      <c r="C108" s="329"/>
      <c r="D108" s="329"/>
      <c r="E108" s="333" t="s">
        <v>1495</v>
      </c>
      <c r="F108" s="328" t="s">
        <v>1498</v>
      </c>
      <c r="G108" s="328" t="s">
        <v>1499</v>
      </c>
      <c r="H108" s="328" t="s">
        <v>1496</v>
      </c>
      <c r="I108" s="328" t="s">
        <v>10</v>
      </c>
      <c r="J108" s="328" t="s">
        <v>1497</v>
      </c>
      <c r="K108" s="330">
        <v>3780</v>
      </c>
      <c r="L108" s="330">
        <v>2424</v>
      </c>
      <c r="M108" s="330">
        <v>0</v>
      </c>
      <c r="N108" s="330"/>
      <c r="O108" s="330">
        <v>2424</v>
      </c>
      <c r="P108" s="330"/>
      <c r="Q108" s="330">
        <v>0</v>
      </c>
    </row>
    <row r="109" spans="1:17" ht="25.5">
      <c r="A109" s="328">
        <v>100</v>
      </c>
      <c r="B109" s="336" t="s">
        <v>1132</v>
      </c>
      <c r="C109" s="329"/>
      <c r="D109" s="329"/>
      <c r="E109" s="333" t="s">
        <v>1133</v>
      </c>
      <c r="F109" s="328" t="s">
        <v>1135</v>
      </c>
      <c r="G109" s="328" t="s">
        <v>1136</v>
      </c>
      <c r="H109" s="328" t="s">
        <v>291</v>
      </c>
      <c r="I109" s="328" t="s">
        <v>10</v>
      </c>
      <c r="J109" s="328" t="s">
        <v>1134</v>
      </c>
      <c r="K109" s="330">
        <v>343</v>
      </c>
      <c r="L109" s="330">
        <v>174</v>
      </c>
      <c r="M109" s="330">
        <v>0</v>
      </c>
      <c r="N109" s="330"/>
      <c r="O109" s="330">
        <v>174</v>
      </c>
      <c r="P109" s="330"/>
      <c r="Q109" s="330">
        <v>0</v>
      </c>
    </row>
    <row r="110" spans="1:17">
      <c r="A110" s="328">
        <v>101</v>
      </c>
      <c r="B110" s="329" t="s">
        <v>1494</v>
      </c>
      <c r="C110" s="333"/>
      <c r="D110" s="333"/>
      <c r="E110" s="333" t="s">
        <v>2715</v>
      </c>
      <c r="F110" s="328" t="s">
        <v>2716</v>
      </c>
      <c r="G110" s="328" t="s">
        <v>2717</v>
      </c>
      <c r="H110" s="328" t="s">
        <v>387</v>
      </c>
      <c r="I110" s="328" t="s">
        <v>11</v>
      </c>
      <c r="J110" s="328" t="s">
        <v>626</v>
      </c>
      <c r="K110" s="330">
        <v>3045</v>
      </c>
      <c r="L110" s="330">
        <v>9529</v>
      </c>
      <c r="M110" s="330">
        <v>0</v>
      </c>
      <c r="N110" s="330"/>
      <c r="O110" s="330">
        <v>9529</v>
      </c>
      <c r="P110" s="330"/>
      <c r="Q110" s="330">
        <v>0</v>
      </c>
    </row>
    <row r="111" spans="1:17">
      <c r="A111" s="328">
        <v>102</v>
      </c>
      <c r="B111" s="329" t="s">
        <v>1911</v>
      </c>
      <c r="C111" s="333"/>
      <c r="D111" s="333"/>
      <c r="E111" s="333" t="s">
        <v>2456</v>
      </c>
      <c r="F111" s="328" t="s">
        <v>2718</v>
      </c>
      <c r="G111" s="328" t="s">
        <v>983</v>
      </c>
      <c r="H111" s="328" t="s">
        <v>291</v>
      </c>
      <c r="I111" s="328" t="s">
        <v>11</v>
      </c>
      <c r="J111" s="328" t="s">
        <v>1968</v>
      </c>
      <c r="K111" s="330">
        <v>2400</v>
      </c>
      <c r="L111" s="330">
        <v>3170</v>
      </c>
      <c r="M111" s="330">
        <v>0</v>
      </c>
      <c r="N111" s="330"/>
      <c r="O111" s="330">
        <v>2592</v>
      </c>
      <c r="P111" s="330"/>
      <c r="Q111" s="330">
        <v>578</v>
      </c>
    </row>
    <row r="112" spans="1:17">
      <c r="A112" s="325">
        <v>103</v>
      </c>
      <c r="B112" s="342" t="s">
        <v>2597</v>
      </c>
      <c r="C112" s="329"/>
      <c r="D112" s="329"/>
      <c r="E112" s="333" t="s">
        <v>2598</v>
      </c>
      <c r="F112" s="328" t="s">
        <v>2719</v>
      </c>
      <c r="G112" s="328" t="s">
        <v>881</v>
      </c>
      <c r="H112" s="328" t="s">
        <v>291</v>
      </c>
      <c r="I112" s="328" t="s">
        <v>10</v>
      </c>
      <c r="J112" s="328" t="s">
        <v>2720</v>
      </c>
      <c r="K112" s="330">
        <v>5779</v>
      </c>
      <c r="L112" s="330">
        <v>54</v>
      </c>
      <c r="M112" s="330">
        <v>0</v>
      </c>
      <c r="N112" s="330"/>
      <c r="O112" s="330">
        <v>4</v>
      </c>
      <c r="P112" s="330"/>
      <c r="Q112" s="330">
        <v>50</v>
      </c>
    </row>
    <row r="113" spans="1:27">
      <c r="A113" s="328">
        <v>104</v>
      </c>
      <c r="B113" s="338" t="s">
        <v>2048</v>
      </c>
      <c r="C113" s="329"/>
      <c r="D113" s="329"/>
      <c r="E113" s="333" t="s">
        <v>2053</v>
      </c>
      <c r="F113" s="328" t="s">
        <v>2054</v>
      </c>
      <c r="G113" s="328" t="s">
        <v>2055</v>
      </c>
      <c r="H113" s="328" t="s">
        <v>387</v>
      </c>
      <c r="I113" s="328" t="s">
        <v>10</v>
      </c>
      <c r="J113" s="328" t="s">
        <v>626</v>
      </c>
      <c r="K113" s="330">
        <v>1986</v>
      </c>
      <c r="L113" s="330">
        <v>0</v>
      </c>
      <c r="M113" s="330">
        <v>4980</v>
      </c>
      <c r="N113" s="330"/>
      <c r="O113" s="330">
        <v>4550</v>
      </c>
      <c r="P113" s="330"/>
      <c r="Q113" s="330">
        <v>430</v>
      </c>
    </row>
    <row r="114" spans="1:27" ht="25.5">
      <c r="A114" s="328">
        <v>105</v>
      </c>
      <c r="B114" s="338" t="s">
        <v>2048</v>
      </c>
      <c r="C114" s="329"/>
      <c r="D114" s="329"/>
      <c r="E114" s="333" t="s">
        <v>2049</v>
      </c>
      <c r="F114" s="328" t="s">
        <v>2051</v>
      </c>
      <c r="G114" s="328" t="s">
        <v>2052</v>
      </c>
      <c r="H114" s="328" t="s">
        <v>2050</v>
      </c>
      <c r="I114" s="328" t="s">
        <v>10</v>
      </c>
      <c r="J114" s="328" t="s">
        <v>626</v>
      </c>
      <c r="K114" s="330">
        <v>5962</v>
      </c>
      <c r="L114" s="330">
        <v>5823</v>
      </c>
      <c r="M114" s="330">
        <v>10000</v>
      </c>
      <c r="N114" s="330"/>
      <c r="O114" s="330">
        <v>15547</v>
      </c>
      <c r="P114" s="330"/>
      <c r="Q114" s="330">
        <v>276</v>
      </c>
    </row>
    <row r="115" spans="1:27" ht="25.5">
      <c r="A115" s="328">
        <v>106</v>
      </c>
      <c r="B115" s="329" t="s">
        <v>2411</v>
      </c>
      <c r="C115" s="329"/>
      <c r="D115" s="329"/>
      <c r="E115" s="333" t="s">
        <v>25</v>
      </c>
      <c r="F115" s="328" t="s">
        <v>2412</v>
      </c>
      <c r="G115" s="345" t="s">
        <v>2413</v>
      </c>
      <c r="H115" s="328" t="s">
        <v>26</v>
      </c>
      <c r="I115" s="328" t="s">
        <v>10</v>
      </c>
      <c r="J115" s="346" t="s">
        <v>541</v>
      </c>
      <c r="K115" s="330">
        <v>2850</v>
      </c>
      <c r="L115" s="330">
        <v>2080</v>
      </c>
      <c r="M115" s="330">
        <v>13000</v>
      </c>
      <c r="N115" s="330"/>
      <c r="O115" s="330">
        <v>12740</v>
      </c>
      <c r="P115" s="330"/>
      <c r="Q115" s="330">
        <v>2340</v>
      </c>
    </row>
    <row r="116" spans="1:27">
      <c r="A116" s="328">
        <v>107</v>
      </c>
      <c r="B116" s="331" t="s">
        <v>256</v>
      </c>
      <c r="C116" s="331"/>
      <c r="D116" s="331"/>
      <c r="E116" s="333" t="s">
        <v>257</v>
      </c>
      <c r="F116" s="328" t="s">
        <v>259</v>
      </c>
      <c r="G116" s="328" t="s">
        <v>255</v>
      </c>
      <c r="H116" s="328" t="s">
        <v>258</v>
      </c>
      <c r="I116" s="328" t="s">
        <v>10</v>
      </c>
      <c r="J116" s="328" t="s">
        <v>1350</v>
      </c>
      <c r="K116" s="330">
        <v>693</v>
      </c>
      <c r="L116" s="330">
        <v>609</v>
      </c>
      <c r="M116" s="330">
        <v>7000</v>
      </c>
      <c r="N116" s="330"/>
      <c r="O116" s="330">
        <v>5109</v>
      </c>
      <c r="P116" s="330"/>
      <c r="Q116" s="330">
        <v>2500</v>
      </c>
    </row>
    <row r="117" spans="1:27">
      <c r="A117" s="328">
        <v>108</v>
      </c>
      <c r="B117" s="332" t="s">
        <v>2721</v>
      </c>
      <c r="C117" s="329"/>
      <c r="D117" s="329"/>
      <c r="E117" s="332" t="s">
        <v>2620</v>
      </c>
      <c r="F117" s="328" t="s">
        <v>2722</v>
      </c>
      <c r="G117" s="328" t="s">
        <v>255</v>
      </c>
      <c r="H117" s="334" t="s">
        <v>2723</v>
      </c>
      <c r="I117" s="328" t="s">
        <v>10</v>
      </c>
      <c r="J117" s="328" t="s">
        <v>1872</v>
      </c>
      <c r="K117" s="330">
        <v>357</v>
      </c>
      <c r="L117" s="330">
        <v>49</v>
      </c>
      <c r="M117" s="330">
        <v>0</v>
      </c>
      <c r="N117" s="330"/>
      <c r="O117" s="330">
        <v>47</v>
      </c>
      <c r="P117" s="330"/>
      <c r="Q117" s="330">
        <v>2</v>
      </c>
    </row>
    <row r="118" spans="1:27">
      <c r="A118" s="325">
        <v>109</v>
      </c>
      <c r="B118" s="329" t="s">
        <v>624</v>
      </c>
      <c r="C118" s="333"/>
      <c r="D118" s="333"/>
      <c r="E118" s="333" t="s">
        <v>1955</v>
      </c>
      <c r="F118" s="328" t="s">
        <v>2724</v>
      </c>
      <c r="G118" s="328" t="s">
        <v>1946</v>
      </c>
      <c r="H118" s="328" t="s">
        <v>327</v>
      </c>
      <c r="I118" s="328" t="s">
        <v>11</v>
      </c>
      <c r="J118" s="328" t="s">
        <v>815</v>
      </c>
      <c r="K118" s="330">
        <v>914</v>
      </c>
      <c r="L118" s="330">
        <v>149</v>
      </c>
      <c r="M118" s="330">
        <v>0</v>
      </c>
      <c r="N118" s="330"/>
      <c r="O118" s="330">
        <v>149</v>
      </c>
      <c r="P118" s="330"/>
      <c r="Q118" s="330">
        <v>0</v>
      </c>
    </row>
    <row r="119" spans="1:27" ht="25.5">
      <c r="A119" s="328">
        <v>110</v>
      </c>
      <c r="B119" s="336" t="s">
        <v>1954</v>
      </c>
      <c r="C119" s="329"/>
      <c r="D119" s="329"/>
      <c r="E119" s="333" t="s">
        <v>1955</v>
      </c>
      <c r="F119" s="328" t="s">
        <v>1956</v>
      </c>
      <c r="G119" s="328" t="s">
        <v>1946</v>
      </c>
      <c r="H119" s="328" t="s">
        <v>327</v>
      </c>
      <c r="I119" s="328" t="s">
        <v>11</v>
      </c>
      <c r="J119" s="328" t="s">
        <v>815</v>
      </c>
      <c r="K119" s="330">
        <v>672</v>
      </c>
      <c r="L119" s="330">
        <v>0</v>
      </c>
      <c r="M119" s="330">
        <v>28980</v>
      </c>
      <c r="N119" s="330"/>
      <c r="O119" s="330">
        <v>19042</v>
      </c>
      <c r="P119" s="330"/>
      <c r="Q119" s="330">
        <v>9938</v>
      </c>
    </row>
    <row r="120" spans="1:27">
      <c r="A120" s="328">
        <v>111</v>
      </c>
      <c r="B120" s="329" t="s">
        <v>1368</v>
      </c>
      <c r="C120" s="333"/>
      <c r="D120" s="333"/>
      <c r="E120" s="333" t="s">
        <v>2725</v>
      </c>
      <c r="F120" s="328" t="s">
        <v>2726</v>
      </c>
      <c r="G120" s="328" t="s">
        <v>255</v>
      </c>
      <c r="H120" s="328" t="s">
        <v>2727</v>
      </c>
      <c r="I120" s="328" t="s">
        <v>658</v>
      </c>
      <c r="J120" s="328" t="s">
        <v>2728</v>
      </c>
      <c r="K120" s="330">
        <v>4179</v>
      </c>
      <c r="L120" s="330">
        <v>91</v>
      </c>
      <c r="M120" s="330">
        <v>0</v>
      </c>
      <c r="N120" s="330"/>
      <c r="O120" s="330">
        <v>91</v>
      </c>
      <c r="P120" s="330"/>
      <c r="Q120" s="330">
        <v>0</v>
      </c>
    </row>
    <row r="121" spans="1:27">
      <c r="A121" s="328">
        <v>112</v>
      </c>
      <c r="B121" s="329" t="s">
        <v>847</v>
      </c>
      <c r="C121" s="333"/>
      <c r="D121" s="333"/>
      <c r="E121" s="333" t="s">
        <v>2729</v>
      </c>
      <c r="F121" s="328" t="s">
        <v>2730</v>
      </c>
      <c r="G121" s="328" t="s">
        <v>2731</v>
      </c>
      <c r="H121" s="328" t="s">
        <v>225</v>
      </c>
      <c r="I121" s="328" t="s">
        <v>11</v>
      </c>
      <c r="J121" s="328" t="s">
        <v>2732</v>
      </c>
      <c r="K121" s="330">
        <v>2880</v>
      </c>
      <c r="L121" s="330">
        <v>9498</v>
      </c>
      <c r="M121" s="330">
        <v>0</v>
      </c>
      <c r="N121" s="330"/>
      <c r="O121" s="330">
        <v>9498</v>
      </c>
      <c r="P121" s="330"/>
      <c r="Q121" s="330">
        <v>0</v>
      </c>
    </row>
    <row r="122" spans="1:27">
      <c r="A122" s="328">
        <v>113</v>
      </c>
      <c r="B122" s="336" t="s">
        <v>493</v>
      </c>
      <c r="C122" s="329"/>
      <c r="D122" s="329"/>
      <c r="E122" s="333" t="s">
        <v>773</v>
      </c>
      <c r="F122" s="328" t="s">
        <v>775</v>
      </c>
      <c r="G122" s="328" t="s">
        <v>776</v>
      </c>
      <c r="H122" s="328" t="s">
        <v>774</v>
      </c>
      <c r="I122" s="328" t="s">
        <v>658</v>
      </c>
      <c r="J122" s="328" t="s">
        <v>483</v>
      </c>
      <c r="K122" s="330">
        <v>58000</v>
      </c>
      <c r="L122" s="330">
        <v>0</v>
      </c>
      <c r="M122" s="330">
        <v>100</v>
      </c>
      <c r="N122" s="330"/>
      <c r="O122" s="330">
        <v>22</v>
      </c>
      <c r="P122" s="330"/>
      <c r="Q122" s="330">
        <v>78</v>
      </c>
    </row>
    <row r="123" spans="1:27">
      <c r="A123" s="328">
        <v>114</v>
      </c>
      <c r="B123" s="347" t="s">
        <v>2733</v>
      </c>
      <c r="C123" s="336"/>
      <c r="D123" s="336"/>
      <c r="E123" s="640" t="s">
        <v>2734</v>
      </c>
      <c r="F123" s="348" t="s">
        <v>2735</v>
      </c>
      <c r="G123" s="348" t="s">
        <v>2736</v>
      </c>
      <c r="H123" s="348" t="s">
        <v>2737</v>
      </c>
      <c r="I123" s="348" t="s">
        <v>10</v>
      </c>
      <c r="J123" s="348" t="s">
        <v>2738</v>
      </c>
      <c r="K123" s="330">
        <v>5400</v>
      </c>
      <c r="L123" s="330">
        <f>11143</f>
        <v>11143</v>
      </c>
      <c r="M123" s="330"/>
      <c r="N123" s="330"/>
      <c r="O123" s="330">
        <f>950+10193</f>
        <v>11143</v>
      </c>
      <c r="P123" s="330"/>
      <c r="Q123" s="330"/>
      <c r="R123" s="37"/>
      <c r="T123" s="37"/>
      <c r="U123" s="37"/>
      <c r="V123" s="37"/>
      <c r="W123" s="37"/>
      <c r="X123" s="37"/>
      <c r="Y123" s="37"/>
      <c r="Z123" s="37"/>
      <c r="AA123" s="37"/>
    </row>
    <row r="124" spans="1:27">
      <c r="A124" s="325">
        <v>115</v>
      </c>
      <c r="B124" s="332" t="s">
        <v>2739</v>
      </c>
      <c r="C124" s="329"/>
      <c r="D124" s="329"/>
      <c r="E124" s="332" t="s">
        <v>2740</v>
      </c>
      <c r="F124" s="328" t="s">
        <v>2741</v>
      </c>
      <c r="G124" s="328" t="s">
        <v>255</v>
      </c>
      <c r="H124" s="334" t="s">
        <v>2742</v>
      </c>
      <c r="I124" s="334" t="s">
        <v>10</v>
      </c>
      <c r="J124" s="328" t="s">
        <v>1371</v>
      </c>
      <c r="K124" s="330">
        <v>588</v>
      </c>
      <c r="L124" s="330">
        <v>194</v>
      </c>
      <c r="M124" s="330">
        <v>0</v>
      </c>
      <c r="N124" s="330"/>
      <c r="O124" s="330">
        <v>194</v>
      </c>
      <c r="P124" s="330"/>
      <c r="Q124" s="330">
        <v>0</v>
      </c>
    </row>
    <row r="125" spans="1:27">
      <c r="A125" s="328">
        <v>116</v>
      </c>
      <c r="B125" s="336" t="s">
        <v>1195</v>
      </c>
      <c r="C125" s="329"/>
      <c r="D125" s="329"/>
      <c r="E125" s="333" t="s">
        <v>1196</v>
      </c>
      <c r="F125" s="328" t="s">
        <v>1198</v>
      </c>
      <c r="G125" s="328" t="s">
        <v>352</v>
      </c>
      <c r="H125" s="328" t="s">
        <v>327</v>
      </c>
      <c r="I125" s="328" t="s">
        <v>11</v>
      </c>
      <c r="J125" s="328" t="s">
        <v>1197</v>
      </c>
      <c r="K125" s="330">
        <v>250</v>
      </c>
      <c r="L125" s="330">
        <v>76</v>
      </c>
      <c r="M125" s="330">
        <v>2600</v>
      </c>
      <c r="N125" s="330"/>
      <c r="O125" s="330">
        <v>1975</v>
      </c>
      <c r="P125" s="330"/>
      <c r="Q125" s="330">
        <v>701</v>
      </c>
    </row>
    <row r="126" spans="1:27">
      <c r="A126" s="328">
        <v>117</v>
      </c>
      <c r="B126" s="347" t="s">
        <v>624</v>
      </c>
      <c r="C126" s="329"/>
      <c r="D126" s="329"/>
      <c r="E126" s="640" t="s">
        <v>2743</v>
      </c>
      <c r="F126" s="348" t="s">
        <v>2744</v>
      </c>
      <c r="G126" s="348" t="s">
        <v>321</v>
      </c>
      <c r="H126" s="348" t="s">
        <v>327</v>
      </c>
      <c r="I126" s="348" t="s">
        <v>10</v>
      </c>
      <c r="J126" s="348" t="s">
        <v>642</v>
      </c>
      <c r="K126" s="330">
        <v>1150</v>
      </c>
      <c r="L126" s="330">
        <f>9952</f>
        <v>9952</v>
      </c>
      <c r="M126" s="330"/>
      <c r="N126" s="330"/>
      <c r="O126" s="330">
        <f>9940+12</f>
        <v>9952</v>
      </c>
      <c r="P126" s="330"/>
      <c r="Q126" s="330"/>
      <c r="R126" s="37"/>
      <c r="T126" s="37"/>
      <c r="U126" s="37"/>
      <c r="V126" s="37"/>
      <c r="W126" s="37"/>
      <c r="X126" s="37"/>
      <c r="Y126" s="37"/>
      <c r="Z126" s="37"/>
      <c r="AA126" s="37"/>
    </row>
    <row r="127" spans="1:27">
      <c r="A127" s="328">
        <v>118</v>
      </c>
      <c r="B127" s="329" t="s">
        <v>624</v>
      </c>
      <c r="C127" s="329"/>
      <c r="D127" s="329"/>
      <c r="E127" s="333" t="s">
        <v>1404</v>
      </c>
      <c r="F127" s="328" t="s">
        <v>1405</v>
      </c>
      <c r="G127" s="328" t="s">
        <v>1406</v>
      </c>
      <c r="H127" s="328" t="s">
        <v>625</v>
      </c>
      <c r="I127" s="328" t="s">
        <v>11</v>
      </c>
      <c r="J127" s="328" t="s">
        <v>1239</v>
      </c>
      <c r="K127" s="330">
        <v>2180</v>
      </c>
      <c r="L127" s="330">
        <v>0</v>
      </c>
      <c r="M127" s="330">
        <v>18200</v>
      </c>
      <c r="N127" s="330"/>
      <c r="O127" s="330">
        <v>18200</v>
      </c>
      <c r="P127" s="330"/>
      <c r="Q127" s="330">
        <v>0</v>
      </c>
    </row>
    <row r="128" spans="1:27">
      <c r="A128" s="328">
        <v>119</v>
      </c>
      <c r="B128" s="329" t="s">
        <v>1096</v>
      </c>
      <c r="C128" s="329"/>
      <c r="D128" s="329"/>
      <c r="E128" s="333" t="s">
        <v>1097</v>
      </c>
      <c r="F128" s="328" t="s">
        <v>1099</v>
      </c>
      <c r="G128" s="328" t="s">
        <v>1093</v>
      </c>
      <c r="H128" s="328" t="s">
        <v>1098</v>
      </c>
      <c r="I128" s="328" t="s">
        <v>11</v>
      </c>
      <c r="J128" s="328" t="s">
        <v>815</v>
      </c>
      <c r="K128" s="330">
        <v>2750</v>
      </c>
      <c r="L128" s="330">
        <v>21</v>
      </c>
      <c r="M128" s="330">
        <v>6000</v>
      </c>
      <c r="N128" s="330"/>
      <c r="O128" s="330">
        <v>1034</v>
      </c>
      <c r="P128" s="330"/>
      <c r="Q128" s="330">
        <v>4987</v>
      </c>
    </row>
    <row r="129" spans="1:27">
      <c r="A129" s="328">
        <v>120</v>
      </c>
      <c r="B129" s="332" t="s">
        <v>256</v>
      </c>
      <c r="C129" s="333"/>
      <c r="D129" s="333"/>
      <c r="E129" s="332" t="s">
        <v>2745</v>
      </c>
      <c r="F129" s="328" t="s">
        <v>2746</v>
      </c>
      <c r="G129" s="328" t="s">
        <v>509</v>
      </c>
      <c r="H129" s="334" t="s">
        <v>334</v>
      </c>
      <c r="I129" s="328" t="s">
        <v>10</v>
      </c>
      <c r="J129" s="328" t="s">
        <v>814</v>
      </c>
      <c r="K129" s="330">
        <v>3200</v>
      </c>
      <c r="L129" s="330">
        <v>1006</v>
      </c>
      <c r="M129" s="330">
        <v>0</v>
      </c>
      <c r="N129" s="330"/>
      <c r="O129" s="330">
        <v>1006</v>
      </c>
      <c r="P129" s="330"/>
      <c r="Q129" s="330">
        <v>0</v>
      </c>
    </row>
    <row r="130" spans="1:27">
      <c r="A130" s="325">
        <v>121</v>
      </c>
      <c r="B130" s="347" t="s">
        <v>2747</v>
      </c>
      <c r="C130" s="329"/>
      <c r="D130" s="329"/>
      <c r="E130" s="640" t="s">
        <v>2748</v>
      </c>
      <c r="F130" s="348" t="s">
        <v>2749</v>
      </c>
      <c r="G130" s="348" t="s">
        <v>2750</v>
      </c>
      <c r="H130" s="348" t="s">
        <v>2751</v>
      </c>
      <c r="I130" s="348" t="s">
        <v>10</v>
      </c>
      <c r="J130" s="348"/>
      <c r="K130" s="330">
        <v>445</v>
      </c>
      <c r="L130" s="330">
        <v>527</v>
      </c>
      <c r="M130" s="330"/>
      <c r="N130" s="330"/>
      <c r="O130" s="330">
        <f>204+323</f>
        <v>527</v>
      </c>
      <c r="P130" s="330"/>
      <c r="Q130" s="330"/>
      <c r="R130" s="37"/>
      <c r="T130" s="37"/>
      <c r="U130" s="37"/>
      <c r="V130" s="37"/>
      <c r="W130" s="37"/>
      <c r="X130" s="37"/>
      <c r="Y130" s="37"/>
      <c r="Z130" s="37"/>
      <c r="AA130" s="37"/>
    </row>
    <row r="131" spans="1:27" ht="25.5">
      <c r="A131" s="328">
        <v>122</v>
      </c>
      <c r="B131" s="329" t="s">
        <v>28</v>
      </c>
      <c r="C131" s="333"/>
      <c r="D131" s="333"/>
      <c r="E131" s="333" t="s">
        <v>27</v>
      </c>
      <c r="F131" s="328" t="s">
        <v>2423</v>
      </c>
      <c r="G131" s="328" t="s">
        <v>2752</v>
      </c>
      <c r="H131" s="328" t="s">
        <v>29</v>
      </c>
      <c r="I131" s="328" t="s">
        <v>10</v>
      </c>
      <c r="J131" s="328" t="s">
        <v>815</v>
      </c>
      <c r="K131" s="330">
        <v>4300</v>
      </c>
      <c r="L131" s="330">
        <v>38303</v>
      </c>
      <c r="M131" s="330">
        <v>0</v>
      </c>
      <c r="N131" s="330"/>
      <c r="O131" s="330">
        <v>22403</v>
      </c>
      <c r="P131" s="330"/>
      <c r="Q131" s="330">
        <v>15900</v>
      </c>
    </row>
    <row r="132" spans="1:27">
      <c r="A132" s="328">
        <v>123</v>
      </c>
      <c r="B132" s="336" t="s">
        <v>2203</v>
      </c>
      <c r="C132" s="329"/>
      <c r="D132" s="329"/>
      <c r="E132" s="636" t="s">
        <v>30</v>
      </c>
      <c r="F132" s="337" t="s">
        <v>2205</v>
      </c>
      <c r="G132" s="337" t="s">
        <v>2206</v>
      </c>
      <c r="H132" s="337" t="s">
        <v>32</v>
      </c>
      <c r="I132" s="328" t="s">
        <v>11</v>
      </c>
      <c r="J132" s="337" t="s">
        <v>2204</v>
      </c>
      <c r="K132" s="330">
        <v>1550</v>
      </c>
      <c r="L132" s="330">
        <v>0</v>
      </c>
      <c r="M132" s="330">
        <v>50000</v>
      </c>
      <c r="N132" s="330"/>
      <c r="O132" s="330">
        <v>39480</v>
      </c>
      <c r="P132" s="330"/>
      <c r="Q132" s="330">
        <v>10520</v>
      </c>
    </row>
    <row r="133" spans="1:27">
      <c r="A133" s="328">
        <v>124</v>
      </c>
      <c r="B133" s="336" t="s">
        <v>2207</v>
      </c>
      <c r="C133" s="329"/>
      <c r="D133" s="329"/>
      <c r="E133" s="636" t="s">
        <v>33</v>
      </c>
      <c r="F133" s="337" t="s">
        <v>2209</v>
      </c>
      <c r="G133" s="337" t="s">
        <v>2210</v>
      </c>
      <c r="H133" s="337" t="s">
        <v>34</v>
      </c>
      <c r="I133" s="328" t="s">
        <v>13</v>
      </c>
      <c r="J133" s="337" t="s">
        <v>2208</v>
      </c>
      <c r="K133" s="330">
        <v>3650</v>
      </c>
      <c r="L133" s="330">
        <v>0</v>
      </c>
      <c r="M133" s="330">
        <v>2100</v>
      </c>
      <c r="N133" s="330"/>
      <c r="O133" s="330">
        <v>1120</v>
      </c>
      <c r="P133" s="330"/>
      <c r="Q133" s="330">
        <v>980</v>
      </c>
    </row>
    <row r="134" spans="1:27" ht="25.5">
      <c r="A134" s="328">
        <v>125</v>
      </c>
      <c r="B134" s="336" t="s">
        <v>2260</v>
      </c>
      <c r="C134" s="329"/>
      <c r="D134" s="329"/>
      <c r="E134" s="333" t="s">
        <v>2261</v>
      </c>
      <c r="F134" s="328" t="s">
        <v>2263</v>
      </c>
      <c r="G134" s="328" t="s">
        <v>2253</v>
      </c>
      <c r="H134" s="328" t="s">
        <v>2262</v>
      </c>
      <c r="I134" s="328" t="s">
        <v>16</v>
      </c>
      <c r="J134" s="328" t="s">
        <v>2250</v>
      </c>
      <c r="K134" s="330">
        <v>950</v>
      </c>
      <c r="L134" s="330">
        <v>235</v>
      </c>
      <c r="M134" s="330">
        <v>30000</v>
      </c>
      <c r="N134" s="330"/>
      <c r="O134" s="330">
        <v>30235</v>
      </c>
      <c r="P134" s="330"/>
      <c r="Q134" s="330">
        <v>0</v>
      </c>
    </row>
    <row r="135" spans="1:27">
      <c r="A135" s="328">
        <v>126</v>
      </c>
      <c r="B135" s="336" t="s">
        <v>843</v>
      </c>
      <c r="C135" s="329"/>
      <c r="D135" s="329"/>
      <c r="E135" s="333" t="s">
        <v>1231</v>
      </c>
      <c r="F135" s="328" t="s">
        <v>1234</v>
      </c>
      <c r="G135" s="328" t="s">
        <v>352</v>
      </c>
      <c r="H135" s="328" t="s">
        <v>1232</v>
      </c>
      <c r="I135" s="328" t="s">
        <v>16</v>
      </c>
      <c r="J135" s="328" t="s">
        <v>1233</v>
      </c>
      <c r="K135" s="330">
        <v>767</v>
      </c>
      <c r="L135" s="330">
        <v>0</v>
      </c>
      <c r="M135" s="330">
        <v>1000</v>
      </c>
      <c r="N135" s="330"/>
      <c r="O135" s="330">
        <v>1000</v>
      </c>
      <c r="P135" s="330"/>
      <c r="Q135" s="330">
        <v>0</v>
      </c>
    </row>
    <row r="136" spans="1:27">
      <c r="A136" s="325">
        <v>127</v>
      </c>
      <c r="B136" s="329" t="s">
        <v>2753</v>
      </c>
      <c r="C136" s="333"/>
      <c r="D136" s="333"/>
      <c r="E136" s="333" t="s">
        <v>1226</v>
      </c>
      <c r="F136" s="328" t="s">
        <v>2754</v>
      </c>
      <c r="G136" s="328" t="s">
        <v>1221</v>
      </c>
      <c r="H136" s="328" t="s">
        <v>2457</v>
      </c>
      <c r="I136" s="328" t="s">
        <v>11</v>
      </c>
      <c r="J136" s="328" t="s">
        <v>1227</v>
      </c>
      <c r="K136" s="330">
        <v>416</v>
      </c>
      <c r="L136" s="330">
        <v>18116</v>
      </c>
      <c r="M136" s="330">
        <v>0</v>
      </c>
      <c r="N136" s="330"/>
      <c r="O136" s="330">
        <v>17995</v>
      </c>
      <c r="P136" s="330"/>
      <c r="Q136" s="330">
        <v>121</v>
      </c>
    </row>
    <row r="137" spans="1:27">
      <c r="A137" s="328">
        <v>128</v>
      </c>
      <c r="B137" s="331" t="s">
        <v>368</v>
      </c>
      <c r="C137" s="333"/>
      <c r="D137" s="333"/>
      <c r="E137" s="333" t="s">
        <v>368</v>
      </c>
      <c r="F137" s="328" t="s">
        <v>370</v>
      </c>
      <c r="G137" s="328" t="s">
        <v>360</v>
      </c>
      <c r="H137" s="328" t="s">
        <v>369</v>
      </c>
      <c r="I137" s="328" t="s">
        <v>10</v>
      </c>
      <c r="J137" s="328" t="s">
        <v>647</v>
      </c>
      <c r="K137" s="330">
        <v>33</v>
      </c>
      <c r="L137" s="330">
        <v>380</v>
      </c>
      <c r="M137" s="330">
        <v>0</v>
      </c>
      <c r="N137" s="330"/>
      <c r="O137" s="330">
        <v>380</v>
      </c>
      <c r="P137" s="330"/>
      <c r="Q137" s="330">
        <v>0</v>
      </c>
    </row>
    <row r="138" spans="1:27">
      <c r="A138" s="328">
        <v>129</v>
      </c>
      <c r="B138" s="331" t="s">
        <v>368</v>
      </c>
      <c r="C138" s="331"/>
      <c r="D138" s="331"/>
      <c r="E138" s="333" t="s">
        <v>368</v>
      </c>
      <c r="F138" s="328" t="s">
        <v>370</v>
      </c>
      <c r="G138" s="328" t="s">
        <v>360</v>
      </c>
      <c r="H138" s="328" t="s">
        <v>369</v>
      </c>
      <c r="I138" s="328" t="s">
        <v>10</v>
      </c>
      <c r="J138" s="328" t="s">
        <v>647</v>
      </c>
      <c r="K138" s="330">
        <v>34</v>
      </c>
      <c r="L138" s="330">
        <v>0</v>
      </c>
      <c r="M138" s="330">
        <v>34600</v>
      </c>
      <c r="N138" s="330"/>
      <c r="O138" s="330">
        <v>29600</v>
      </c>
      <c r="P138" s="330"/>
      <c r="Q138" s="330">
        <v>5000</v>
      </c>
    </row>
    <row r="139" spans="1:27">
      <c r="A139" s="328">
        <v>130</v>
      </c>
      <c r="B139" s="329" t="s">
        <v>1060</v>
      </c>
      <c r="C139" s="329"/>
      <c r="D139" s="329"/>
      <c r="E139" s="333" t="s">
        <v>1061</v>
      </c>
      <c r="F139" s="328" t="s">
        <v>1063</v>
      </c>
      <c r="G139" s="328" t="s">
        <v>336</v>
      </c>
      <c r="H139" s="328" t="s">
        <v>1062</v>
      </c>
      <c r="I139" s="328" t="s">
        <v>10</v>
      </c>
      <c r="J139" s="328" t="s">
        <v>859</v>
      </c>
      <c r="K139" s="330">
        <v>38</v>
      </c>
      <c r="L139" s="330">
        <v>8992</v>
      </c>
      <c r="M139" s="330">
        <v>43400</v>
      </c>
      <c r="N139" s="330"/>
      <c r="O139" s="330">
        <v>44450</v>
      </c>
      <c r="P139" s="330"/>
      <c r="Q139" s="330">
        <v>7942</v>
      </c>
    </row>
    <row r="140" spans="1:27">
      <c r="A140" s="328">
        <v>131</v>
      </c>
      <c r="B140" s="331" t="s">
        <v>368</v>
      </c>
      <c r="C140" s="331"/>
      <c r="D140" s="331"/>
      <c r="E140" s="333" t="s">
        <v>453</v>
      </c>
      <c r="F140" s="328" t="s">
        <v>454</v>
      </c>
      <c r="G140" s="328" t="s">
        <v>455</v>
      </c>
      <c r="H140" s="328" t="s">
        <v>369</v>
      </c>
      <c r="I140" s="328" t="s">
        <v>10</v>
      </c>
      <c r="J140" s="328" t="s">
        <v>647</v>
      </c>
      <c r="K140" s="330">
        <v>786</v>
      </c>
      <c r="L140" s="330">
        <v>2339</v>
      </c>
      <c r="M140" s="330">
        <v>40000</v>
      </c>
      <c r="N140" s="330"/>
      <c r="O140" s="330">
        <v>19828</v>
      </c>
      <c r="P140" s="330"/>
      <c r="Q140" s="330">
        <v>22511</v>
      </c>
    </row>
    <row r="141" spans="1:27">
      <c r="A141" s="328">
        <v>132</v>
      </c>
      <c r="B141" s="331" t="s">
        <v>280</v>
      </c>
      <c r="C141" s="331"/>
      <c r="D141" s="331"/>
      <c r="E141" s="333" t="s">
        <v>281</v>
      </c>
      <c r="F141" s="328" t="s">
        <v>284</v>
      </c>
      <c r="G141" s="328" t="s">
        <v>285</v>
      </c>
      <c r="H141" s="328" t="s">
        <v>282</v>
      </c>
      <c r="I141" s="328" t="s">
        <v>520</v>
      </c>
      <c r="J141" s="328" t="s">
        <v>283</v>
      </c>
      <c r="K141" s="330">
        <v>37360</v>
      </c>
      <c r="L141" s="330">
        <v>0</v>
      </c>
      <c r="M141" s="330">
        <v>20</v>
      </c>
      <c r="N141" s="330"/>
      <c r="O141" s="330">
        <v>0</v>
      </c>
      <c r="P141" s="330"/>
      <c r="Q141" s="330">
        <v>20</v>
      </c>
    </row>
    <row r="142" spans="1:27">
      <c r="A142" s="325">
        <v>133</v>
      </c>
      <c r="B142" s="329" t="s">
        <v>515</v>
      </c>
      <c r="C142" s="333"/>
      <c r="D142" s="333"/>
      <c r="E142" s="333" t="s">
        <v>516</v>
      </c>
      <c r="F142" s="328" t="s">
        <v>518</v>
      </c>
      <c r="G142" s="328" t="s">
        <v>519</v>
      </c>
      <c r="H142" s="328" t="s">
        <v>517</v>
      </c>
      <c r="I142" s="328" t="s">
        <v>520</v>
      </c>
      <c r="J142" s="328" t="s">
        <v>241</v>
      </c>
      <c r="K142" s="330">
        <v>8376</v>
      </c>
      <c r="L142" s="330">
        <v>7</v>
      </c>
      <c r="M142" s="330">
        <v>650</v>
      </c>
      <c r="N142" s="330"/>
      <c r="O142" s="330">
        <v>401</v>
      </c>
      <c r="P142" s="330"/>
      <c r="Q142" s="330">
        <v>256</v>
      </c>
    </row>
    <row r="143" spans="1:27">
      <c r="A143" s="328">
        <v>134</v>
      </c>
      <c r="B143" s="331" t="s">
        <v>515</v>
      </c>
      <c r="C143" s="331"/>
      <c r="D143" s="331"/>
      <c r="E143" s="333" t="s">
        <v>521</v>
      </c>
      <c r="F143" s="328" t="s">
        <v>522</v>
      </c>
      <c r="G143" s="328" t="s">
        <v>523</v>
      </c>
      <c r="H143" s="328" t="s">
        <v>238</v>
      </c>
      <c r="I143" s="328" t="s">
        <v>10</v>
      </c>
      <c r="J143" s="328" t="s">
        <v>1291</v>
      </c>
      <c r="K143" s="330">
        <v>1120</v>
      </c>
      <c r="L143" s="330">
        <v>2473</v>
      </c>
      <c r="M143" s="330">
        <v>10800</v>
      </c>
      <c r="N143" s="330"/>
      <c r="O143" s="330">
        <v>8502</v>
      </c>
      <c r="P143" s="330"/>
      <c r="Q143" s="330">
        <v>4771</v>
      </c>
    </row>
    <row r="144" spans="1:27">
      <c r="A144" s="328">
        <v>135</v>
      </c>
      <c r="B144" s="336" t="s">
        <v>1526</v>
      </c>
      <c r="C144" s="333"/>
      <c r="D144" s="333"/>
      <c r="E144" s="333" t="s">
        <v>1527</v>
      </c>
      <c r="F144" s="328" t="s">
        <v>1530</v>
      </c>
      <c r="G144" s="328" t="s">
        <v>1531</v>
      </c>
      <c r="H144" s="328" t="s">
        <v>1528</v>
      </c>
      <c r="I144" s="328" t="s">
        <v>14</v>
      </c>
      <c r="J144" s="328" t="s">
        <v>1529</v>
      </c>
      <c r="K144" s="330">
        <v>59400</v>
      </c>
      <c r="L144" s="330">
        <v>3</v>
      </c>
      <c r="M144" s="330">
        <v>0</v>
      </c>
      <c r="N144" s="330"/>
      <c r="O144" s="330">
        <v>3</v>
      </c>
      <c r="P144" s="330"/>
      <c r="Q144" s="330">
        <v>0</v>
      </c>
    </row>
    <row r="145" spans="1:27" ht="25.5">
      <c r="A145" s="328">
        <v>136</v>
      </c>
      <c r="B145" s="329" t="s">
        <v>2333</v>
      </c>
      <c r="C145" s="329"/>
      <c r="D145" s="329"/>
      <c r="E145" s="333" t="s">
        <v>2334</v>
      </c>
      <c r="F145" s="349" t="s">
        <v>2336</v>
      </c>
      <c r="G145" s="349" t="s">
        <v>1567</v>
      </c>
      <c r="H145" s="328" t="s">
        <v>2335</v>
      </c>
      <c r="I145" s="328" t="s">
        <v>10</v>
      </c>
      <c r="J145" s="328" t="s">
        <v>1237</v>
      </c>
      <c r="K145" s="330">
        <v>740</v>
      </c>
      <c r="L145" s="330">
        <v>0</v>
      </c>
      <c r="M145" s="330">
        <v>100</v>
      </c>
      <c r="N145" s="330"/>
      <c r="O145" s="330">
        <v>100</v>
      </c>
      <c r="P145" s="330"/>
      <c r="Q145" s="330">
        <v>0</v>
      </c>
    </row>
    <row r="146" spans="1:27">
      <c r="A146" s="328">
        <v>137</v>
      </c>
      <c r="B146" s="347" t="s">
        <v>365</v>
      </c>
      <c r="C146" s="329"/>
      <c r="D146" s="329"/>
      <c r="E146" s="640" t="s">
        <v>2755</v>
      </c>
      <c r="F146" s="348" t="s">
        <v>2756</v>
      </c>
      <c r="G146" s="348" t="s">
        <v>2757</v>
      </c>
      <c r="H146" s="348" t="s">
        <v>235</v>
      </c>
      <c r="I146" s="348" t="s">
        <v>10</v>
      </c>
      <c r="J146" s="348" t="s">
        <v>642</v>
      </c>
      <c r="K146" s="330">
        <v>1350</v>
      </c>
      <c r="L146" s="330">
        <v>9742</v>
      </c>
      <c r="M146" s="330"/>
      <c r="N146" s="330"/>
      <c r="O146" s="330">
        <f>3052+6690</f>
        <v>9742</v>
      </c>
      <c r="P146" s="330"/>
      <c r="Q146" s="330"/>
      <c r="R146" s="37"/>
      <c r="T146" s="37"/>
      <c r="U146" s="37"/>
      <c r="V146" s="37"/>
      <c r="W146" s="37"/>
      <c r="X146" s="37"/>
      <c r="Y146" s="37"/>
      <c r="Z146" s="37"/>
      <c r="AA146" s="37"/>
    </row>
    <row r="147" spans="1:27">
      <c r="A147" s="328">
        <v>138</v>
      </c>
      <c r="B147" s="336" t="s">
        <v>1961</v>
      </c>
      <c r="C147" s="329"/>
      <c r="D147" s="329"/>
      <c r="E147" s="333" t="s">
        <v>1962</v>
      </c>
      <c r="F147" s="328" t="s">
        <v>1964</v>
      </c>
      <c r="G147" s="328" t="s">
        <v>1946</v>
      </c>
      <c r="H147" s="328" t="s">
        <v>1963</v>
      </c>
      <c r="I147" s="328" t="s">
        <v>16</v>
      </c>
      <c r="J147" s="328" t="s">
        <v>839</v>
      </c>
      <c r="K147" s="330">
        <v>1197</v>
      </c>
      <c r="L147" s="330">
        <v>37362</v>
      </c>
      <c r="M147" s="330">
        <v>72000</v>
      </c>
      <c r="N147" s="330"/>
      <c r="O147" s="330">
        <v>75922</v>
      </c>
      <c r="P147" s="330"/>
      <c r="Q147" s="330">
        <v>33440</v>
      </c>
    </row>
    <row r="148" spans="1:27">
      <c r="A148" s="325">
        <v>139</v>
      </c>
      <c r="B148" s="336" t="s">
        <v>1957</v>
      </c>
      <c r="C148" s="329"/>
      <c r="D148" s="329"/>
      <c r="E148" s="333" t="s">
        <v>1958</v>
      </c>
      <c r="F148" s="328" t="s">
        <v>1960</v>
      </c>
      <c r="G148" s="328" t="s">
        <v>1946</v>
      </c>
      <c r="H148" s="328" t="s">
        <v>1959</v>
      </c>
      <c r="I148" s="328" t="s">
        <v>16</v>
      </c>
      <c r="J148" s="328" t="s">
        <v>839</v>
      </c>
      <c r="K148" s="330">
        <v>1197</v>
      </c>
      <c r="L148" s="330">
        <v>31</v>
      </c>
      <c r="M148" s="330">
        <v>0</v>
      </c>
      <c r="N148" s="330"/>
      <c r="O148" s="330">
        <v>31</v>
      </c>
      <c r="P148" s="330"/>
      <c r="Q148" s="330">
        <v>0</v>
      </c>
    </row>
    <row r="149" spans="1:27">
      <c r="A149" s="328">
        <v>140</v>
      </c>
      <c r="B149" s="329" t="s">
        <v>1514</v>
      </c>
      <c r="C149" s="333"/>
      <c r="D149" s="333"/>
      <c r="E149" s="333" t="s">
        <v>2758</v>
      </c>
      <c r="F149" s="328" t="s">
        <v>2759</v>
      </c>
      <c r="G149" s="328" t="s">
        <v>2682</v>
      </c>
      <c r="H149" s="328" t="s">
        <v>2760</v>
      </c>
      <c r="I149" s="328" t="s">
        <v>11</v>
      </c>
      <c r="J149" s="328" t="s">
        <v>839</v>
      </c>
      <c r="K149" s="330">
        <v>1193</v>
      </c>
      <c r="L149" s="330">
        <v>6011</v>
      </c>
      <c r="M149" s="330">
        <v>0</v>
      </c>
      <c r="N149" s="330"/>
      <c r="O149" s="330">
        <v>6011</v>
      </c>
      <c r="P149" s="330"/>
      <c r="Q149" s="330">
        <v>0</v>
      </c>
    </row>
    <row r="150" spans="1:27" ht="25.5">
      <c r="A150" s="328">
        <v>141</v>
      </c>
      <c r="B150" s="329" t="s">
        <v>36</v>
      </c>
      <c r="C150" s="329"/>
      <c r="D150" s="329"/>
      <c r="E150" s="641" t="s">
        <v>35</v>
      </c>
      <c r="F150" s="328" t="s">
        <v>2414</v>
      </c>
      <c r="G150" s="345" t="s">
        <v>2413</v>
      </c>
      <c r="H150" s="328" t="s">
        <v>37</v>
      </c>
      <c r="I150" s="328" t="s">
        <v>10</v>
      </c>
      <c r="J150" s="346" t="s">
        <v>541</v>
      </c>
      <c r="K150" s="330">
        <v>3045</v>
      </c>
      <c r="L150" s="330">
        <v>0</v>
      </c>
      <c r="M150" s="330">
        <v>6000</v>
      </c>
      <c r="N150" s="330"/>
      <c r="O150" s="330">
        <v>3980</v>
      </c>
      <c r="P150" s="330"/>
      <c r="Q150" s="330">
        <v>2020</v>
      </c>
    </row>
    <row r="151" spans="1:27" ht="25.5">
      <c r="A151" s="328">
        <v>142</v>
      </c>
      <c r="B151" s="336" t="s">
        <v>39</v>
      </c>
      <c r="C151" s="329"/>
      <c r="D151" s="329"/>
      <c r="E151" s="333" t="s">
        <v>38</v>
      </c>
      <c r="F151" s="328" t="s">
        <v>2265</v>
      </c>
      <c r="G151" s="328" t="s">
        <v>2253</v>
      </c>
      <c r="H151" s="328" t="s">
        <v>2264</v>
      </c>
      <c r="I151" s="328" t="s">
        <v>16</v>
      </c>
      <c r="J151" s="328" t="s">
        <v>2250</v>
      </c>
      <c r="K151" s="330">
        <v>1150</v>
      </c>
      <c r="L151" s="330">
        <v>0</v>
      </c>
      <c r="M151" s="330">
        <v>15100</v>
      </c>
      <c r="N151" s="330"/>
      <c r="O151" s="330">
        <v>10460</v>
      </c>
      <c r="P151" s="330"/>
      <c r="Q151" s="330">
        <v>4640</v>
      </c>
    </row>
    <row r="152" spans="1:27" ht="25.5">
      <c r="A152" s="328">
        <v>143</v>
      </c>
      <c r="B152" s="329" t="s">
        <v>2761</v>
      </c>
      <c r="C152" s="333"/>
      <c r="D152" s="333"/>
      <c r="E152" s="333" t="s">
        <v>2762</v>
      </c>
      <c r="F152" s="328" t="s">
        <v>2763</v>
      </c>
      <c r="G152" s="328" t="s">
        <v>2764</v>
      </c>
      <c r="H152" s="328" t="s">
        <v>2765</v>
      </c>
      <c r="I152" s="328" t="s">
        <v>10</v>
      </c>
      <c r="J152" s="328" t="s">
        <v>2250</v>
      </c>
      <c r="K152" s="330">
        <v>1250</v>
      </c>
      <c r="L152" s="330">
        <v>1345</v>
      </c>
      <c r="M152" s="330">
        <v>0</v>
      </c>
      <c r="N152" s="330"/>
      <c r="O152" s="330">
        <v>1345</v>
      </c>
      <c r="P152" s="330"/>
      <c r="Q152" s="330">
        <v>0</v>
      </c>
    </row>
    <row r="153" spans="1:27" ht="38.25">
      <c r="A153" s="328">
        <v>144</v>
      </c>
      <c r="B153" s="336" t="s">
        <v>2211</v>
      </c>
      <c r="C153" s="329"/>
      <c r="D153" s="329"/>
      <c r="E153" s="636" t="s">
        <v>41</v>
      </c>
      <c r="F153" s="337" t="s">
        <v>2213</v>
      </c>
      <c r="G153" s="337" t="s">
        <v>2214</v>
      </c>
      <c r="H153" s="337" t="s">
        <v>42</v>
      </c>
      <c r="I153" s="328" t="s">
        <v>11</v>
      </c>
      <c r="J153" s="337" t="s">
        <v>2212</v>
      </c>
      <c r="K153" s="330">
        <v>1300</v>
      </c>
      <c r="L153" s="330">
        <v>0</v>
      </c>
      <c r="M153" s="330">
        <v>12480</v>
      </c>
      <c r="N153" s="330"/>
      <c r="O153" s="330">
        <v>1676</v>
      </c>
      <c r="P153" s="330"/>
      <c r="Q153" s="330">
        <v>10804</v>
      </c>
    </row>
    <row r="154" spans="1:27">
      <c r="A154" s="325">
        <v>145</v>
      </c>
      <c r="B154" s="329" t="s">
        <v>543</v>
      </c>
      <c r="C154" s="333"/>
      <c r="D154" s="333"/>
      <c r="E154" s="333" t="s">
        <v>2458</v>
      </c>
      <c r="F154" s="328" t="s">
        <v>2766</v>
      </c>
      <c r="G154" s="328" t="s">
        <v>2767</v>
      </c>
      <c r="H154" s="328" t="s">
        <v>2459</v>
      </c>
      <c r="I154" s="328" t="s">
        <v>11</v>
      </c>
      <c r="J154" s="328" t="s">
        <v>2768</v>
      </c>
      <c r="K154" s="330">
        <v>9650</v>
      </c>
      <c r="L154" s="330">
        <v>455</v>
      </c>
      <c r="M154" s="330">
        <v>0</v>
      </c>
      <c r="N154" s="330"/>
      <c r="O154" s="330">
        <v>381</v>
      </c>
      <c r="P154" s="330"/>
      <c r="Q154" s="330">
        <v>74</v>
      </c>
    </row>
    <row r="155" spans="1:27">
      <c r="A155" s="328">
        <v>146</v>
      </c>
      <c r="B155" s="329" t="s">
        <v>543</v>
      </c>
      <c r="C155" s="333"/>
      <c r="D155" s="333"/>
      <c r="E155" s="333" t="s">
        <v>2458</v>
      </c>
      <c r="F155" s="328" t="s">
        <v>2769</v>
      </c>
      <c r="G155" s="328" t="s">
        <v>2767</v>
      </c>
      <c r="H155" s="328" t="s">
        <v>2770</v>
      </c>
      <c r="I155" s="328" t="s">
        <v>11</v>
      </c>
      <c r="J155" s="328" t="s">
        <v>2768</v>
      </c>
      <c r="K155" s="330">
        <v>67900</v>
      </c>
      <c r="L155" s="330">
        <v>3</v>
      </c>
      <c r="M155" s="330">
        <v>0</v>
      </c>
      <c r="N155" s="330"/>
      <c r="O155" s="330">
        <v>3</v>
      </c>
      <c r="P155" s="330"/>
      <c r="Q155" s="330">
        <v>0</v>
      </c>
    </row>
    <row r="156" spans="1:27">
      <c r="A156" s="328">
        <v>147</v>
      </c>
      <c r="B156" s="336" t="s">
        <v>976</v>
      </c>
      <c r="C156" s="329"/>
      <c r="D156" s="329"/>
      <c r="E156" s="636" t="s">
        <v>977</v>
      </c>
      <c r="F156" s="337" t="s">
        <v>978</v>
      </c>
      <c r="G156" s="337" t="s">
        <v>979</v>
      </c>
      <c r="H156" s="337" t="s">
        <v>222</v>
      </c>
      <c r="I156" s="337" t="s">
        <v>10</v>
      </c>
      <c r="J156" s="337" t="s">
        <v>626</v>
      </c>
      <c r="K156" s="330">
        <v>1425</v>
      </c>
      <c r="L156" s="330">
        <v>0</v>
      </c>
      <c r="M156" s="330">
        <v>15000</v>
      </c>
      <c r="N156" s="330"/>
      <c r="O156" s="330">
        <v>0</v>
      </c>
      <c r="P156" s="330"/>
      <c r="Q156" s="330">
        <v>15000</v>
      </c>
    </row>
    <row r="157" spans="1:27">
      <c r="A157" s="328">
        <v>148</v>
      </c>
      <c r="B157" s="336" t="s">
        <v>976</v>
      </c>
      <c r="C157" s="329"/>
      <c r="D157" s="329"/>
      <c r="E157" s="636" t="s">
        <v>980</v>
      </c>
      <c r="F157" s="337" t="s">
        <v>981</v>
      </c>
      <c r="G157" s="337" t="s">
        <v>979</v>
      </c>
      <c r="H157" s="337" t="s">
        <v>390</v>
      </c>
      <c r="I157" s="337" t="s">
        <v>10</v>
      </c>
      <c r="J157" s="337" t="s">
        <v>626</v>
      </c>
      <c r="K157" s="330">
        <v>2341</v>
      </c>
      <c r="L157" s="330">
        <v>0</v>
      </c>
      <c r="M157" s="330">
        <v>19980</v>
      </c>
      <c r="N157" s="330"/>
      <c r="O157" s="330">
        <v>6546</v>
      </c>
      <c r="P157" s="330"/>
      <c r="Q157" s="330">
        <v>13434</v>
      </c>
    </row>
    <row r="158" spans="1:27">
      <c r="A158" s="328">
        <v>149</v>
      </c>
      <c r="B158" s="336" t="s">
        <v>2266</v>
      </c>
      <c r="C158" s="329"/>
      <c r="D158" s="329"/>
      <c r="E158" s="333" t="s">
        <v>43</v>
      </c>
      <c r="F158" s="328" t="s">
        <v>2268</v>
      </c>
      <c r="G158" s="328" t="s">
        <v>2253</v>
      </c>
      <c r="H158" s="328" t="s">
        <v>44</v>
      </c>
      <c r="I158" s="328" t="s">
        <v>15</v>
      </c>
      <c r="J158" s="328" t="s">
        <v>2267</v>
      </c>
      <c r="K158" s="330">
        <v>18000</v>
      </c>
      <c r="L158" s="330">
        <v>0</v>
      </c>
      <c r="M158" s="330">
        <v>1000</v>
      </c>
      <c r="N158" s="330"/>
      <c r="O158" s="330">
        <v>692</v>
      </c>
      <c r="P158" s="330"/>
      <c r="Q158" s="330">
        <v>308</v>
      </c>
    </row>
    <row r="159" spans="1:27" ht="25.5">
      <c r="A159" s="328">
        <v>150</v>
      </c>
      <c r="B159" s="329" t="s">
        <v>2427</v>
      </c>
      <c r="C159" s="333"/>
      <c r="D159" s="333"/>
      <c r="E159" s="333" t="s">
        <v>43</v>
      </c>
      <c r="F159" s="328" t="s">
        <v>2771</v>
      </c>
      <c r="G159" s="328" t="s">
        <v>2772</v>
      </c>
      <c r="H159" s="328" t="s">
        <v>2773</v>
      </c>
      <c r="I159" s="328" t="s">
        <v>15</v>
      </c>
      <c r="J159" s="328" t="s">
        <v>2267</v>
      </c>
      <c r="K159" s="330">
        <v>22050</v>
      </c>
      <c r="L159" s="330">
        <v>268</v>
      </c>
      <c r="M159" s="330">
        <v>0</v>
      </c>
      <c r="N159" s="330"/>
      <c r="O159" s="330">
        <v>268</v>
      </c>
      <c r="P159" s="330"/>
      <c r="Q159" s="330">
        <v>0</v>
      </c>
    </row>
    <row r="160" spans="1:27">
      <c r="A160" s="325">
        <v>151</v>
      </c>
      <c r="B160" s="336" t="s">
        <v>46</v>
      </c>
      <c r="C160" s="329"/>
      <c r="D160" s="329"/>
      <c r="E160" s="333" t="s">
        <v>45</v>
      </c>
      <c r="F160" s="328" t="s">
        <v>2270</v>
      </c>
      <c r="G160" s="328" t="s">
        <v>2253</v>
      </c>
      <c r="H160" s="328" t="s">
        <v>2269</v>
      </c>
      <c r="I160" s="328" t="s">
        <v>15</v>
      </c>
      <c r="J160" s="328" t="s">
        <v>2267</v>
      </c>
      <c r="K160" s="330">
        <v>32000</v>
      </c>
      <c r="L160" s="330">
        <v>0</v>
      </c>
      <c r="M160" s="330">
        <v>720</v>
      </c>
      <c r="N160" s="330"/>
      <c r="O160" s="330">
        <v>413</v>
      </c>
      <c r="P160" s="330"/>
      <c r="Q160" s="330">
        <v>307</v>
      </c>
    </row>
    <row r="161" spans="1:17" ht="38.25">
      <c r="A161" s="328">
        <v>152</v>
      </c>
      <c r="B161" s="329" t="s">
        <v>2233</v>
      </c>
      <c r="C161" s="329"/>
      <c r="D161" s="329"/>
      <c r="E161" s="333" t="s">
        <v>48</v>
      </c>
      <c r="F161" s="328" t="s">
        <v>2235</v>
      </c>
      <c r="G161" s="328" t="s">
        <v>2774</v>
      </c>
      <c r="H161" s="351" t="s">
        <v>49</v>
      </c>
      <c r="I161" s="328" t="s">
        <v>50</v>
      </c>
      <c r="J161" s="328" t="s">
        <v>2775</v>
      </c>
      <c r="K161" s="330">
        <v>54000</v>
      </c>
      <c r="L161" s="330">
        <v>0</v>
      </c>
      <c r="M161" s="330">
        <v>1710</v>
      </c>
      <c r="N161" s="330"/>
      <c r="O161" s="330">
        <v>1406</v>
      </c>
      <c r="P161" s="330"/>
      <c r="Q161" s="330">
        <v>304</v>
      </c>
    </row>
    <row r="162" spans="1:17" ht="51">
      <c r="A162" s="328">
        <v>153</v>
      </c>
      <c r="B162" s="336" t="s">
        <v>2237</v>
      </c>
      <c r="C162" s="329"/>
      <c r="D162" s="329"/>
      <c r="E162" s="333" t="s">
        <v>51</v>
      </c>
      <c r="F162" s="328" t="s">
        <v>2238</v>
      </c>
      <c r="G162" s="328" t="s">
        <v>2236</v>
      </c>
      <c r="H162" s="328" t="s">
        <v>53</v>
      </c>
      <c r="I162" s="328" t="s">
        <v>50</v>
      </c>
      <c r="J162" s="328" t="s">
        <v>2234</v>
      </c>
      <c r="K162" s="330">
        <v>60000</v>
      </c>
      <c r="L162" s="330">
        <v>0</v>
      </c>
      <c r="M162" s="330">
        <v>1290</v>
      </c>
      <c r="N162" s="330"/>
      <c r="O162" s="330">
        <v>1038</v>
      </c>
      <c r="P162" s="330"/>
      <c r="Q162" s="330">
        <v>252</v>
      </c>
    </row>
    <row r="163" spans="1:17">
      <c r="A163" s="328">
        <v>154</v>
      </c>
      <c r="B163" s="336" t="s">
        <v>55</v>
      </c>
      <c r="C163" s="329"/>
      <c r="D163" s="329"/>
      <c r="E163" s="333" t="s">
        <v>54</v>
      </c>
      <c r="F163" s="328" t="s">
        <v>2271</v>
      </c>
      <c r="G163" s="328" t="s">
        <v>2253</v>
      </c>
      <c r="H163" s="328" t="s">
        <v>56</v>
      </c>
      <c r="I163" s="328" t="s">
        <v>15</v>
      </c>
      <c r="J163" s="328" t="s">
        <v>2267</v>
      </c>
      <c r="K163" s="330">
        <v>30000</v>
      </c>
      <c r="L163" s="330">
        <v>4716</v>
      </c>
      <c r="M163" s="330">
        <v>3180</v>
      </c>
      <c r="N163" s="330"/>
      <c r="O163" s="330">
        <v>7424</v>
      </c>
      <c r="P163" s="330"/>
      <c r="Q163" s="330">
        <v>472</v>
      </c>
    </row>
    <row r="164" spans="1:17" ht="25.5">
      <c r="A164" s="328">
        <v>155</v>
      </c>
      <c r="B164" s="332" t="s">
        <v>2776</v>
      </c>
      <c r="C164" s="333"/>
      <c r="D164" s="333"/>
      <c r="E164" s="333" t="s">
        <v>2777</v>
      </c>
      <c r="F164" s="328" t="s">
        <v>2778</v>
      </c>
      <c r="G164" s="328" t="s">
        <v>2772</v>
      </c>
      <c r="H164" s="334" t="s">
        <v>2779</v>
      </c>
      <c r="I164" s="328" t="s">
        <v>2780</v>
      </c>
      <c r="J164" s="328" t="s">
        <v>2781</v>
      </c>
      <c r="K164" s="330">
        <v>9450</v>
      </c>
      <c r="L164" s="330">
        <v>77</v>
      </c>
      <c r="M164" s="330">
        <v>0</v>
      </c>
      <c r="N164" s="330"/>
      <c r="O164" s="330">
        <v>77</v>
      </c>
      <c r="P164" s="330"/>
      <c r="Q164" s="330">
        <v>0</v>
      </c>
    </row>
    <row r="165" spans="1:17">
      <c r="A165" s="328">
        <v>156</v>
      </c>
      <c r="B165" s="329" t="s">
        <v>882</v>
      </c>
      <c r="C165" s="329"/>
      <c r="D165" s="329"/>
      <c r="E165" s="333" t="s">
        <v>1739</v>
      </c>
      <c r="F165" s="328" t="s">
        <v>1740</v>
      </c>
      <c r="G165" s="328" t="s">
        <v>1741</v>
      </c>
      <c r="H165" s="328" t="s">
        <v>1580</v>
      </c>
      <c r="I165" s="328" t="s">
        <v>11</v>
      </c>
      <c r="J165" s="328" t="s">
        <v>1736</v>
      </c>
      <c r="K165" s="330">
        <v>1545</v>
      </c>
      <c r="L165" s="330">
        <v>0</v>
      </c>
      <c r="M165" s="330">
        <v>9990</v>
      </c>
      <c r="N165" s="330"/>
      <c r="O165" s="330">
        <v>0</v>
      </c>
      <c r="P165" s="330"/>
      <c r="Q165" s="330">
        <v>9990</v>
      </c>
    </row>
    <row r="166" spans="1:17">
      <c r="A166" s="325">
        <v>157</v>
      </c>
      <c r="B166" s="336" t="s">
        <v>1965</v>
      </c>
      <c r="C166" s="329"/>
      <c r="D166" s="329"/>
      <c r="E166" s="333" t="s">
        <v>1966</v>
      </c>
      <c r="F166" s="328" t="s">
        <v>1969</v>
      </c>
      <c r="G166" s="328" t="s">
        <v>1946</v>
      </c>
      <c r="H166" s="328" t="s">
        <v>1967</v>
      </c>
      <c r="I166" s="328" t="s">
        <v>11</v>
      </c>
      <c r="J166" s="328" t="s">
        <v>1968</v>
      </c>
      <c r="K166" s="330">
        <v>599</v>
      </c>
      <c r="L166" s="330">
        <v>3994</v>
      </c>
      <c r="M166" s="330">
        <v>0</v>
      </c>
      <c r="N166" s="330"/>
      <c r="O166" s="330">
        <v>3994</v>
      </c>
      <c r="P166" s="330"/>
      <c r="Q166" s="330">
        <v>0</v>
      </c>
    </row>
    <row r="167" spans="1:17">
      <c r="A167" s="328">
        <v>158</v>
      </c>
      <c r="B167" s="331" t="s">
        <v>371</v>
      </c>
      <c r="C167" s="331"/>
      <c r="D167" s="331"/>
      <c r="E167" s="333" t="s">
        <v>371</v>
      </c>
      <c r="F167" s="328" t="s">
        <v>372</v>
      </c>
      <c r="G167" s="328" t="s">
        <v>360</v>
      </c>
      <c r="H167" s="328" t="s">
        <v>248</v>
      </c>
      <c r="I167" s="328" t="s">
        <v>10</v>
      </c>
      <c r="J167" s="328" t="s">
        <v>642</v>
      </c>
      <c r="K167" s="330">
        <v>76</v>
      </c>
      <c r="L167" s="330">
        <v>0</v>
      </c>
      <c r="M167" s="330">
        <v>30000</v>
      </c>
      <c r="N167" s="330"/>
      <c r="O167" s="330">
        <v>30000</v>
      </c>
      <c r="P167" s="330"/>
      <c r="Q167" s="330">
        <v>0</v>
      </c>
    </row>
    <row r="168" spans="1:17">
      <c r="A168" s="328">
        <v>159</v>
      </c>
      <c r="B168" s="331" t="s">
        <v>371</v>
      </c>
      <c r="C168" s="333"/>
      <c r="D168" s="333"/>
      <c r="E168" s="333" t="s">
        <v>371</v>
      </c>
      <c r="F168" s="328" t="s">
        <v>2782</v>
      </c>
      <c r="G168" s="328" t="s">
        <v>2682</v>
      </c>
      <c r="H168" s="328" t="s">
        <v>248</v>
      </c>
      <c r="I168" s="328" t="s">
        <v>10</v>
      </c>
      <c r="J168" s="328" t="s">
        <v>642</v>
      </c>
      <c r="K168" s="330">
        <v>85</v>
      </c>
      <c r="L168" s="330">
        <v>5348</v>
      </c>
      <c r="M168" s="330">
        <v>0</v>
      </c>
      <c r="N168" s="330"/>
      <c r="O168" s="330">
        <v>5348</v>
      </c>
      <c r="P168" s="330"/>
      <c r="Q168" s="330">
        <v>0</v>
      </c>
    </row>
    <row r="169" spans="1:17">
      <c r="A169" s="328">
        <v>160</v>
      </c>
      <c r="B169" s="336" t="s">
        <v>708</v>
      </c>
      <c r="C169" s="329"/>
      <c r="D169" s="329"/>
      <c r="E169" s="333" t="s">
        <v>1601</v>
      </c>
      <c r="F169" s="328" t="s">
        <v>1602</v>
      </c>
      <c r="G169" s="328" t="s">
        <v>463</v>
      </c>
      <c r="H169" s="328" t="s">
        <v>965</v>
      </c>
      <c r="I169" s="328" t="s">
        <v>11</v>
      </c>
      <c r="J169" s="328" t="s">
        <v>1600</v>
      </c>
      <c r="K169" s="330">
        <v>1250</v>
      </c>
      <c r="L169" s="330">
        <v>0</v>
      </c>
      <c r="M169" s="330">
        <v>30000</v>
      </c>
      <c r="N169" s="330"/>
      <c r="O169" s="330">
        <v>18989</v>
      </c>
      <c r="P169" s="330"/>
      <c r="Q169" s="330">
        <v>11011</v>
      </c>
    </row>
    <row r="170" spans="1:17">
      <c r="A170" s="328">
        <v>161</v>
      </c>
      <c r="B170" s="336" t="s">
        <v>1253</v>
      </c>
      <c r="C170" s="329"/>
      <c r="D170" s="329"/>
      <c r="E170" s="333" t="s">
        <v>1254</v>
      </c>
      <c r="F170" s="328" t="s">
        <v>1256</v>
      </c>
      <c r="G170" s="328" t="s">
        <v>1257</v>
      </c>
      <c r="H170" s="328" t="s">
        <v>1255</v>
      </c>
      <c r="I170" s="328" t="s">
        <v>1258</v>
      </c>
      <c r="J170" s="328" t="s">
        <v>2783</v>
      </c>
      <c r="K170" s="330">
        <v>3550</v>
      </c>
      <c r="L170" s="330">
        <v>0</v>
      </c>
      <c r="M170" s="330">
        <v>10000</v>
      </c>
      <c r="N170" s="330"/>
      <c r="O170" s="330">
        <v>7988</v>
      </c>
      <c r="P170" s="330"/>
      <c r="Q170" s="330">
        <v>2012</v>
      </c>
    </row>
    <row r="171" spans="1:17">
      <c r="A171" s="328">
        <v>162</v>
      </c>
      <c r="B171" s="336" t="s">
        <v>668</v>
      </c>
      <c r="C171" s="329"/>
      <c r="D171" s="329"/>
      <c r="E171" s="333" t="s">
        <v>671</v>
      </c>
      <c r="F171" s="328" t="s">
        <v>672</v>
      </c>
      <c r="G171" s="328" t="s">
        <v>245</v>
      </c>
      <c r="H171" s="328" t="s">
        <v>327</v>
      </c>
      <c r="I171" s="328" t="s">
        <v>11</v>
      </c>
      <c r="J171" s="328" t="s">
        <v>547</v>
      </c>
      <c r="K171" s="330">
        <v>2436</v>
      </c>
      <c r="L171" s="330">
        <v>232</v>
      </c>
      <c r="M171" s="330">
        <v>6000</v>
      </c>
      <c r="N171" s="330"/>
      <c r="O171" s="330">
        <v>3325</v>
      </c>
      <c r="P171" s="330"/>
      <c r="Q171" s="330">
        <v>2907</v>
      </c>
    </row>
    <row r="172" spans="1:17">
      <c r="A172" s="325">
        <v>163</v>
      </c>
      <c r="B172" s="336" t="s">
        <v>668</v>
      </c>
      <c r="C172" s="329"/>
      <c r="D172" s="329"/>
      <c r="E172" s="333" t="s">
        <v>669</v>
      </c>
      <c r="F172" s="328" t="s">
        <v>670</v>
      </c>
      <c r="G172" s="328" t="s">
        <v>245</v>
      </c>
      <c r="H172" s="328" t="s">
        <v>238</v>
      </c>
      <c r="I172" s="328" t="s">
        <v>11</v>
      </c>
      <c r="J172" s="328" t="s">
        <v>547</v>
      </c>
      <c r="K172" s="330">
        <v>4116</v>
      </c>
      <c r="L172" s="330">
        <v>0</v>
      </c>
      <c r="M172" s="330">
        <v>1500</v>
      </c>
      <c r="N172" s="330"/>
      <c r="O172" s="330">
        <v>0</v>
      </c>
      <c r="P172" s="330"/>
      <c r="Q172" s="330">
        <v>1500</v>
      </c>
    </row>
    <row r="173" spans="1:17">
      <c r="A173" s="328">
        <v>164</v>
      </c>
      <c r="B173" s="336" t="s">
        <v>802</v>
      </c>
      <c r="C173" s="329"/>
      <c r="D173" s="329"/>
      <c r="E173" s="636" t="s">
        <v>964</v>
      </c>
      <c r="F173" s="337" t="s">
        <v>1037</v>
      </c>
      <c r="G173" s="337" t="s">
        <v>2784</v>
      </c>
      <c r="H173" s="337" t="s">
        <v>1035</v>
      </c>
      <c r="I173" s="337" t="s">
        <v>14</v>
      </c>
      <c r="J173" s="337" t="s">
        <v>1036</v>
      </c>
      <c r="K173" s="330">
        <v>50600</v>
      </c>
      <c r="L173" s="330">
        <v>0</v>
      </c>
      <c r="M173" s="330">
        <v>50</v>
      </c>
      <c r="N173" s="330"/>
      <c r="O173" s="330">
        <v>20</v>
      </c>
      <c r="P173" s="330"/>
      <c r="Q173" s="330">
        <v>30</v>
      </c>
    </row>
    <row r="174" spans="1:17">
      <c r="A174" s="328">
        <v>165</v>
      </c>
      <c r="B174" s="336" t="s">
        <v>802</v>
      </c>
      <c r="C174" s="329"/>
      <c r="D174" s="329"/>
      <c r="E174" s="333" t="s">
        <v>1455</v>
      </c>
      <c r="F174" s="328" t="s">
        <v>1457</v>
      </c>
      <c r="G174" s="328" t="s">
        <v>1449</v>
      </c>
      <c r="H174" s="328" t="s">
        <v>1200</v>
      </c>
      <c r="I174" s="328" t="s">
        <v>12</v>
      </c>
      <c r="J174" s="328" t="s">
        <v>1456</v>
      </c>
      <c r="K174" s="330">
        <v>1233</v>
      </c>
      <c r="L174" s="330">
        <v>0</v>
      </c>
      <c r="M174" s="330">
        <v>1500</v>
      </c>
      <c r="N174" s="330"/>
      <c r="O174" s="330">
        <v>1500</v>
      </c>
      <c r="P174" s="330"/>
      <c r="Q174" s="330">
        <v>0</v>
      </c>
    </row>
    <row r="175" spans="1:17">
      <c r="A175" s="328">
        <v>166</v>
      </c>
      <c r="B175" s="336" t="s">
        <v>802</v>
      </c>
      <c r="C175" s="329"/>
      <c r="D175" s="329"/>
      <c r="E175" s="333" t="s">
        <v>803</v>
      </c>
      <c r="F175" s="328" t="s">
        <v>805</v>
      </c>
      <c r="G175" s="328" t="s">
        <v>806</v>
      </c>
      <c r="H175" s="328" t="s">
        <v>272</v>
      </c>
      <c r="I175" s="328" t="s">
        <v>11</v>
      </c>
      <c r="J175" s="328" t="s">
        <v>804</v>
      </c>
      <c r="K175" s="330">
        <v>1397</v>
      </c>
      <c r="L175" s="330">
        <v>0</v>
      </c>
      <c r="M175" s="330">
        <v>2000</v>
      </c>
      <c r="N175" s="330"/>
      <c r="O175" s="330">
        <v>1000</v>
      </c>
      <c r="P175" s="330"/>
      <c r="Q175" s="330">
        <v>1000</v>
      </c>
    </row>
    <row r="176" spans="1:17">
      <c r="A176" s="328">
        <v>167</v>
      </c>
      <c r="B176" s="336" t="s">
        <v>802</v>
      </c>
      <c r="C176" s="329"/>
      <c r="D176" s="329"/>
      <c r="E176" s="333" t="s">
        <v>1603</v>
      </c>
      <c r="F176" s="328" t="s">
        <v>1604</v>
      </c>
      <c r="G176" s="328" t="s">
        <v>463</v>
      </c>
      <c r="H176" s="328" t="s">
        <v>225</v>
      </c>
      <c r="I176" s="328" t="s">
        <v>11</v>
      </c>
      <c r="J176" s="328" t="s">
        <v>620</v>
      </c>
      <c r="K176" s="330">
        <v>9400</v>
      </c>
      <c r="L176" s="330">
        <v>0</v>
      </c>
      <c r="M176" s="330">
        <v>3000</v>
      </c>
      <c r="N176" s="330"/>
      <c r="O176" s="330">
        <v>2980</v>
      </c>
      <c r="P176" s="330"/>
      <c r="Q176" s="330">
        <v>20</v>
      </c>
    </row>
    <row r="177" spans="1:17">
      <c r="A177" s="328">
        <v>168</v>
      </c>
      <c r="B177" s="336" t="s">
        <v>809</v>
      </c>
      <c r="C177" s="329"/>
      <c r="D177" s="329"/>
      <c r="E177" s="333" t="s">
        <v>810</v>
      </c>
      <c r="F177" s="328" t="s">
        <v>811</v>
      </c>
      <c r="G177" s="328" t="s">
        <v>812</v>
      </c>
      <c r="H177" s="328" t="s">
        <v>225</v>
      </c>
      <c r="I177" s="328" t="s">
        <v>11</v>
      </c>
      <c r="J177" s="328" t="s">
        <v>804</v>
      </c>
      <c r="K177" s="330">
        <v>640</v>
      </c>
      <c r="L177" s="330">
        <v>0</v>
      </c>
      <c r="M177" s="330">
        <v>18000</v>
      </c>
      <c r="N177" s="330"/>
      <c r="O177" s="330">
        <v>17045</v>
      </c>
      <c r="P177" s="330"/>
      <c r="Q177" s="330">
        <v>955</v>
      </c>
    </row>
    <row r="178" spans="1:17">
      <c r="A178" s="325">
        <v>169</v>
      </c>
      <c r="B178" s="336" t="s">
        <v>809</v>
      </c>
      <c r="C178" s="333"/>
      <c r="D178" s="333"/>
      <c r="E178" s="333" t="s">
        <v>810</v>
      </c>
      <c r="F178" s="328" t="s">
        <v>811</v>
      </c>
      <c r="G178" s="328" t="s">
        <v>806</v>
      </c>
      <c r="H178" s="328" t="s">
        <v>225</v>
      </c>
      <c r="I178" s="328" t="s">
        <v>11</v>
      </c>
      <c r="J178" s="328" t="s">
        <v>804</v>
      </c>
      <c r="K178" s="330">
        <v>700</v>
      </c>
      <c r="L178" s="330">
        <v>15812</v>
      </c>
      <c r="M178" s="330">
        <v>0</v>
      </c>
      <c r="N178" s="330"/>
      <c r="O178" s="330">
        <v>15806</v>
      </c>
      <c r="P178" s="330"/>
      <c r="Q178" s="330">
        <v>6</v>
      </c>
    </row>
    <row r="179" spans="1:17">
      <c r="A179" s="328">
        <v>170</v>
      </c>
      <c r="B179" s="329" t="s">
        <v>847</v>
      </c>
      <c r="C179" s="329"/>
      <c r="D179" s="329"/>
      <c r="E179" s="637" t="s">
        <v>848</v>
      </c>
      <c r="F179" s="328" t="s">
        <v>850</v>
      </c>
      <c r="G179" s="328" t="s">
        <v>2785</v>
      </c>
      <c r="H179" s="328" t="s">
        <v>849</v>
      </c>
      <c r="I179" s="328" t="s">
        <v>11</v>
      </c>
      <c r="J179" s="328" t="s">
        <v>642</v>
      </c>
      <c r="K179" s="330">
        <v>2650</v>
      </c>
      <c r="L179" s="330">
        <v>0</v>
      </c>
      <c r="M179" s="330">
        <v>6500</v>
      </c>
      <c r="N179" s="330"/>
      <c r="O179" s="330">
        <v>1229</v>
      </c>
      <c r="P179" s="330"/>
      <c r="Q179" s="330">
        <v>5271</v>
      </c>
    </row>
    <row r="180" spans="1:17">
      <c r="A180" s="328">
        <v>171</v>
      </c>
      <c r="B180" s="336" t="s">
        <v>1818</v>
      </c>
      <c r="C180" s="329"/>
      <c r="D180" s="329"/>
      <c r="E180" s="333" t="s">
        <v>1819</v>
      </c>
      <c r="F180" s="328" t="s">
        <v>1820</v>
      </c>
      <c r="G180" s="328" t="s">
        <v>492</v>
      </c>
      <c r="H180" s="328" t="s">
        <v>225</v>
      </c>
      <c r="I180" s="328" t="s">
        <v>10</v>
      </c>
      <c r="J180" s="328" t="s">
        <v>620</v>
      </c>
      <c r="K180" s="330">
        <v>768</v>
      </c>
      <c r="L180" s="330">
        <v>3246</v>
      </c>
      <c r="M180" s="330">
        <v>23500</v>
      </c>
      <c r="N180" s="330"/>
      <c r="O180" s="330">
        <v>26746</v>
      </c>
      <c r="P180" s="330"/>
      <c r="Q180" s="330">
        <v>0</v>
      </c>
    </row>
    <row r="181" spans="1:17">
      <c r="A181" s="328">
        <v>172</v>
      </c>
      <c r="B181" s="336" t="s">
        <v>1818</v>
      </c>
      <c r="C181" s="333"/>
      <c r="D181" s="333"/>
      <c r="E181" s="333" t="s">
        <v>1819</v>
      </c>
      <c r="F181" s="328" t="s">
        <v>2786</v>
      </c>
      <c r="G181" s="328" t="s">
        <v>463</v>
      </c>
      <c r="H181" s="328" t="s">
        <v>225</v>
      </c>
      <c r="I181" s="328" t="s">
        <v>10</v>
      </c>
      <c r="J181" s="328" t="s">
        <v>620</v>
      </c>
      <c r="K181" s="330">
        <v>2100</v>
      </c>
      <c r="L181" s="330">
        <v>2821</v>
      </c>
      <c r="M181" s="330">
        <v>0</v>
      </c>
      <c r="N181" s="330"/>
      <c r="O181" s="330">
        <v>2767</v>
      </c>
      <c r="P181" s="330"/>
      <c r="Q181" s="330">
        <v>54</v>
      </c>
    </row>
    <row r="182" spans="1:17">
      <c r="A182" s="328">
        <v>173</v>
      </c>
      <c r="B182" s="336" t="s">
        <v>1235</v>
      </c>
      <c r="C182" s="329"/>
      <c r="D182" s="329"/>
      <c r="E182" s="333" t="s">
        <v>1235</v>
      </c>
      <c r="F182" s="328" t="s">
        <v>1821</v>
      </c>
      <c r="G182" s="328" t="s">
        <v>492</v>
      </c>
      <c r="H182" s="328" t="s">
        <v>262</v>
      </c>
      <c r="I182" s="328" t="s">
        <v>10</v>
      </c>
      <c r="J182" s="328" t="s">
        <v>620</v>
      </c>
      <c r="K182" s="330">
        <v>2714</v>
      </c>
      <c r="L182" s="330">
        <v>0</v>
      </c>
      <c r="M182" s="330">
        <v>9800</v>
      </c>
      <c r="N182" s="330"/>
      <c r="O182" s="330">
        <v>9800</v>
      </c>
      <c r="P182" s="330"/>
      <c r="Q182" s="330">
        <v>0</v>
      </c>
    </row>
    <row r="183" spans="1:17">
      <c r="A183" s="328">
        <v>174</v>
      </c>
      <c r="B183" s="329" t="s">
        <v>1235</v>
      </c>
      <c r="C183" s="333"/>
      <c r="D183" s="333"/>
      <c r="E183" s="333" t="s">
        <v>2787</v>
      </c>
      <c r="F183" s="328" t="s">
        <v>2788</v>
      </c>
      <c r="G183" s="328" t="s">
        <v>806</v>
      </c>
      <c r="H183" s="328" t="s">
        <v>1200</v>
      </c>
      <c r="I183" s="334" t="s">
        <v>13</v>
      </c>
      <c r="J183" s="328" t="s">
        <v>1106</v>
      </c>
      <c r="K183" s="330">
        <v>2195</v>
      </c>
      <c r="L183" s="330">
        <v>1166</v>
      </c>
      <c r="M183" s="330">
        <v>0</v>
      </c>
      <c r="N183" s="330"/>
      <c r="O183" s="330">
        <v>1166</v>
      </c>
      <c r="P183" s="330"/>
      <c r="Q183" s="330">
        <v>0</v>
      </c>
    </row>
    <row r="184" spans="1:17">
      <c r="A184" s="325">
        <v>175</v>
      </c>
      <c r="B184" s="332" t="s">
        <v>256</v>
      </c>
      <c r="C184" s="333"/>
      <c r="D184" s="333"/>
      <c r="E184" s="332" t="s">
        <v>2789</v>
      </c>
      <c r="F184" s="328" t="s">
        <v>2790</v>
      </c>
      <c r="G184" s="328" t="s">
        <v>1913</v>
      </c>
      <c r="H184" s="334" t="s">
        <v>258</v>
      </c>
      <c r="I184" s="334" t="s">
        <v>13</v>
      </c>
      <c r="J184" s="328" t="s">
        <v>1106</v>
      </c>
      <c r="K184" s="330">
        <v>1389</v>
      </c>
      <c r="L184" s="330">
        <v>8715</v>
      </c>
      <c r="M184" s="330">
        <v>0</v>
      </c>
      <c r="N184" s="330"/>
      <c r="O184" s="330">
        <v>2318</v>
      </c>
      <c r="P184" s="330"/>
      <c r="Q184" s="330">
        <v>6397</v>
      </c>
    </row>
    <row r="185" spans="1:17">
      <c r="A185" s="328">
        <v>176</v>
      </c>
      <c r="B185" s="329" t="s">
        <v>256</v>
      </c>
      <c r="C185" s="333"/>
      <c r="D185" s="333"/>
      <c r="E185" s="333" t="s">
        <v>2791</v>
      </c>
      <c r="F185" s="328" t="s">
        <v>2792</v>
      </c>
      <c r="G185" s="328" t="s">
        <v>806</v>
      </c>
      <c r="H185" s="328" t="s">
        <v>299</v>
      </c>
      <c r="I185" s="328" t="s">
        <v>11</v>
      </c>
      <c r="J185" s="328" t="s">
        <v>1736</v>
      </c>
      <c r="K185" s="330">
        <v>1212</v>
      </c>
      <c r="L185" s="330">
        <v>376</v>
      </c>
      <c r="M185" s="330">
        <v>0</v>
      </c>
      <c r="N185" s="330"/>
      <c r="O185" s="330">
        <v>376</v>
      </c>
      <c r="P185" s="330"/>
      <c r="Q185" s="330">
        <v>0</v>
      </c>
    </row>
    <row r="186" spans="1:17">
      <c r="A186" s="328">
        <v>177</v>
      </c>
      <c r="B186" s="329" t="s">
        <v>256</v>
      </c>
      <c r="C186" s="329"/>
      <c r="D186" s="329"/>
      <c r="E186" s="333" t="s">
        <v>1735</v>
      </c>
      <c r="F186" s="328" t="s">
        <v>1737</v>
      </c>
      <c r="G186" s="328" t="s">
        <v>1738</v>
      </c>
      <c r="H186" s="328" t="s">
        <v>334</v>
      </c>
      <c r="I186" s="328" t="s">
        <v>11</v>
      </c>
      <c r="J186" s="328" t="s">
        <v>1736</v>
      </c>
      <c r="K186" s="330">
        <v>4850</v>
      </c>
      <c r="L186" s="330">
        <v>1</v>
      </c>
      <c r="M186" s="330">
        <v>6000</v>
      </c>
      <c r="N186" s="330"/>
      <c r="O186" s="330">
        <v>5460</v>
      </c>
      <c r="P186" s="330"/>
      <c r="Q186" s="330">
        <v>541</v>
      </c>
    </row>
    <row r="187" spans="1:17">
      <c r="A187" s="328">
        <v>178</v>
      </c>
      <c r="B187" s="329" t="s">
        <v>256</v>
      </c>
      <c r="C187" s="333"/>
      <c r="D187" s="333"/>
      <c r="E187" s="333" t="s">
        <v>2793</v>
      </c>
      <c r="F187" s="328" t="s">
        <v>2794</v>
      </c>
      <c r="G187" s="328" t="s">
        <v>217</v>
      </c>
      <c r="H187" s="328" t="s">
        <v>258</v>
      </c>
      <c r="I187" s="334" t="s">
        <v>13</v>
      </c>
      <c r="J187" s="328" t="s">
        <v>1106</v>
      </c>
      <c r="K187" s="330">
        <v>1226</v>
      </c>
      <c r="L187" s="330">
        <v>1275</v>
      </c>
      <c r="M187" s="330">
        <v>0</v>
      </c>
      <c r="N187" s="330"/>
      <c r="O187" s="330">
        <v>1275</v>
      </c>
      <c r="P187" s="330"/>
      <c r="Q187" s="330">
        <v>0</v>
      </c>
    </row>
    <row r="188" spans="1:17">
      <c r="A188" s="328">
        <v>179</v>
      </c>
      <c r="B188" s="332" t="s">
        <v>256</v>
      </c>
      <c r="C188" s="333"/>
      <c r="D188" s="333"/>
      <c r="E188" s="332" t="s">
        <v>1160</v>
      </c>
      <c r="F188" s="328" t="s">
        <v>1162</v>
      </c>
      <c r="G188" s="337" t="s">
        <v>694</v>
      </c>
      <c r="H188" s="334" t="s">
        <v>291</v>
      </c>
      <c r="I188" s="337" t="s">
        <v>13</v>
      </c>
      <c r="J188" s="337" t="s">
        <v>1161</v>
      </c>
      <c r="K188" s="330">
        <v>3990</v>
      </c>
      <c r="L188" s="330">
        <v>3260</v>
      </c>
      <c r="M188" s="330">
        <v>0</v>
      </c>
      <c r="N188" s="330"/>
      <c r="O188" s="330">
        <v>2859</v>
      </c>
      <c r="P188" s="330"/>
      <c r="Q188" s="330">
        <v>401</v>
      </c>
    </row>
    <row r="189" spans="1:17">
      <c r="A189" s="328">
        <v>180</v>
      </c>
      <c r="B189" s="331" t="s">
        <v>493</v>
      </c>
      <c r="C189" s="331"/>
      <c r="D189" s="331"/>
      <c r="E189" s="333" t="s">
        <v>494</v>
      </c>
      <c r="F189" s="328" t="s">
        <v>495</v>
      </c>
      <c r="G189" s="328" t="s">
        <v>492</v>
      </c>
      <c r="H189" s="328" t="s">
        <v>429</v>
      </c>
      <c r="I189" s="328" t="s">
        <v>14</v>
      </c>
      <c r="J189" s="328" t="s">
        <v>483</v>
      </c>
      <c r="K189" s="330">
        <v>5838</v>
      </c>
      <c r="L189" s="330">
        <v>0</v>
      </c>
      <c r="M189" s="330">
        <v>800</v>
      </c>
      <c r="N189" s="330"/>
      <c r="O189" s="330">
        <v>494</v>
      </c>
      <c r="P189" s="330"/>
      <c r="Q189" s="330">
        <v>306</v>
      </c>
    </row>
    <row r="190" spans="1:17">
      <c r="A190" s="325">
        <v>181</v>
      </c>
      <c r="B190" s="336" t="s">
        <v>1235</v>
      </c>
      <c r="C190" s="329"/>
      <c r="D190" s="329"/>
      <c r="E190" s="333" t="s">
        <v>1610</v>
      </c>
      <c r="F190" s="328" t="s">
        <v>1611</v>
      </c>
      <c r="G190" s="328" t="s">
        <v>463</v>
      </c>
      <c r="H190" s="328" t="s">
        <v>900</v>
      </c>
      <c r="I190" s="328" t="s">
        <v>11</v>
      </c>
      <c r="J190" s="328" t="s">
        <v>1600</v>
      </c>
      <c r="K190" s="330">
        <v>8000</v>
      </c>
      <c r="L190" s="330">
        <v>1233</v>
      </c>
      <c r="M190" s="330">
        <v>20000</v>
      </c>
      <c r="N190" s="330"/>
      <c r="O190" s="330">
        <v>14572</v>
      </c>
      <c r="P190" s="330"/>
      <c r="Q190" s="330">
        <v>6661</v>
      </c>
    </row>
    <row r="191" spans="1:17">
      <c r="A191" s="328">
        <v>182</v>
      </c>
      <c r="B191" s="352" t="s">
        <v>428</v>
      </c>
      <c r="C191" s="329"/>
      <c r="D191" s="329"/>
      <c r="E191" s="642" t="s">
        <v>1906</v>
      </c>
      <c r="F191" s="353" t="s">
        <v>1909</v>
      </c>
      <c r="G191" s="328" t="s">
        <v>1910</v>
      </c>
      <c r="H191" s="353" t="s">
        <v>1907</v>
      </c>
      <c r="I191" s="354" t="s">
        <v>14</v>
      </c>
      <c r="J191" s="328" t="s">
        <v>1908</v>
      </c>
      <c r="K191" s="330">
        <v>96500</v>
      </c>
      <c r="L191" s="330">
        <v>0</v>
      </c>
      <c r="M191" s="330">
        <v>200</v>
      </c>
      <c r="N191" s="330"/>
      <c r="O191" s="330">
        <v>200</v>
      </c>
      <c r="P191" s="330"/>
      <c r="Q191" s="330">
        <v>0</v>
      </c>
    </row>
    <row r="192" spans="1:17">
      <c r="A192" s="328">
        <v>183</v>
      </c>
      <c r="B192" s="329" t="s">
        <v>428</v>
      </c>
      <c r="C192" s="329"/>
      <c r="D192" s="329"/>
      <c r="E192" s="333" t="s">
        <v>2795</v>
      </c>
      <c r="F192" s="328" t="s">
        <v>2796</v>
      </c>
      <c r="G192" s="328" t="s">
        <v>2797</v>
      </c>
      <c r="H192" s="328" t="s">
        <v>2798</v>
      </c>
      <c r="I192" s="328" t="s">
        <v>658</v>
      </c>
      <c r="J192" s="328" t="s">
        <v>1908</v>
      </c>
      <c r="K192" s="330">
        <v>24000</v>
      </c>
      <c r="L192" s="330">
        <v>81</v>
      </c>
      <c r="M192" s="330">
        <v>0</v>
      </c>
      <c r="N192" s="330"/>
      <c r="O192" s="330">
        <v>76</v>
      </c>
      <c r="P192" s="330"/>
      <c r="Q192" s="330">
        <v>5</v>
      </c>
    </row>
    <row r="193" spans="1:27">
      <c r="A193" s="328">
        <v>184</v>
      </c>
      <c r="B193" s="347" t="s">
        <v>433</v>
      </c>
      <c r="C193" s="329"/>
      <c r="D193" s="329"/>
      <c r="E193" s="640" t="s">
        <v>2799</v>
      </c>
      <c r="F193" s="348" t="s">
        <v>2800</v>
      </c>
      <c r="G193" s="348" t="s">
        <v>1913</v>
      </c>
      <c r="H193" s="348" t="s">
        <v>225</v>
      </c>
      <c r="I193" s="348" t="s">
        <v>10</v>
      </c>
      <c r="J193" s="348" t="s">
        <v>642</v>
      </c>
      <c r="K193" s="330">
        <v>2415</v>
      </c>
      <c r="L193" s="330">
        <v>34</v>
      </c>
      <c r="M193" s="330"/>
      <c r="N193" s="330"/>
      <c r="O193" s="330">
        <v>34</v>
      </c>
      <c r="P193" s="330"/>
      <c r="Q193" s="330"/>
      <c r="R193" s="37"/>
      <c r="T193" s="37"/>
      <c r="U193" s="37"/>
      <c r="V193" s="37"/>
      <c r="W193" s="37"/>
      <c r="X193" s="37"/>
      <c r="Y193" s="37"/>
      <c r="Z193" s="37"/>
      <c r="AA193" s="37"/>
    </row>
    <row r="194" spans="1:27">
      <c r="A194" s="328">
        <v>185</v>
      </c>
      <c r="B194" s="336" t="s">
        <v>433</v>
      </c>
      <c r="C194" s="329"/>
      <c r="D194" s="329"/>
      <c r="E194" s="333" t="s">
        <v>1463</v>
      </c>
      <c r="F194" s="328" t="s">
        <v>1465</v>
      </c>
      <c r="G194" s="328" t="s">
        <v>1449</v>
      </c>
      <c r="H194" s="328" t="s">
        <v>1200</v>
      </c>
      <c r="I194" s="328" t="s">
        <v>12</v>
      </c>
      <c r="J194" s="328" t="s">
        <v>1464</v>
      </c>
      <c r="K194" s="330">
        <v>1174</v>
      </c>
      <c r="L194" s="330">
        <v>0</v>
      </c>
      <c r="M194" s="330">
        <v>2000</v>
      </c>
      <c r="N194" s="330"/>
      <c r="O194" s="330">
        <v>1500</v>
      </c>
      <c r="P194" s="330"/>
      <c r="Q194" s="330">
        <v>500</v>
      </c>
    </row>
    <row r="195" spans="1:27">
      <c r="A195" s="328">
        <v>186</v>
      </c>
      <c r="B195" s="329" t="s">
        <v>750</v>
      </c>
      <c r="C195" s="333"/>
      <c r="D195" s="333"/>
      <c r="E195" s="333" t="s">
        <v>2801</v>
      </c>
      <c r="F195" s="328" t="s">
        <v>2802</v>
      </c>
      <c r="G195" s="328" t="s">
        <v>2803</v>
      </c>
      <c r="H195" s="328" t="s">
        <v>272</v>
      </c>
      <c r="I195" s="328" t="s">
        <v>12</v>
      </c>
      <c r="J195" s="328" t="s">
        <v>1464</v>
      </c>
      <c r="K195" s="330">
        <v>438</v>
      </c>
      <c r="L195" s="330">
        <v>16019</v>
      </c>
      <c r="M195" s="330">
        <v>0</v>
      </c>
      <c r="N195" s="330"/>
      <c r="O195" s="330">
        <v>16019</v>
      </c>
      <c r="P195" s="330"/>
      <c r="Q195" s="330">
        <v>0</v>
      </c>
    </row>
    <row r="196" spans="1:27">
      <c r="A196" s="325">
        <v>187</v>
      </c>
      <c r="B196" s="336" t="s">
        <v>809</v>
      </c>
      <c r="C196" s="329"/>
      <c r="D196" s="329"/>
      <c r="E196" s="333" t="s">
        <v>1458</v>
      </c>
      <c r="F196" s="328" t="s">
        <v>1460</v>
      </c>
      <c r="G196" s="328" t="s">
        <v>1449</v>
      </c>
      <c r="H196" s="328" t="s">
        <v>272</v>
      </c>
      <c r="I196" s="328" t="s">
        <v>10</v>
      </c>
      <c r="J196" s="328" t="s">
        <v>1459</v>
      </c>
      <c r="K196" s="330">
        <v>414</v>
      </c>
      <c r="L196" s="330">
        <v>0</v>
      </c>
      <c r="M196" s="330">
        <v>13000</v>
      </c>
      <c r="N196" s="330"/>
      <c r="O196" s="330">
        <v>10500</v>
      </c>
      <c r="P196" s="330"/>
      <c r="Q196" s="330">
        <v>2500</v>
      </c>
    </row>
    <row r="197" spans="1:27">
      <c r="A197" s="328">
        <v>188</v>
      </c>
      <c r="B197" s="329" t="s">
        <v>809</v>
      </c>
      <c r="C197" s="333"/>
      <c r="D197" s="333"/>
      <c r="E197" s="333" t="s">
        <v>1458</v>
      </c>
      <c r="F197" s="328" t="s">
        <v>1460</v>
      </c>
      <c r="G197" s="328" t="s">
        <v>1449</v>
      </c>
      <c r="H197" s="328" t="s">
        <v>272</v>
      </c>
      <c r="I197" s="328" t="s">
        <v>10</v>
      </c>
      <c r="J197" s="328" t="s">
        <v>1459</v>
      </c>
      <c r="K197" s="330">
        <v>440</v>
      </c>
      <c r="L197" s="330">
        <v>1266</v>
      </c>
      <c r="M197" s="330">
        <v>0</v>
      </c>
      <c r="N197" s="330"/>
      <c r="O197" s="330">
        <v>1266</v>
      </c>
      <c r="P197" s="330"/>
      <c r="Q197" s="330">
        <v>0</v>
      </c>
    </row>
    <row r="198" spans="1:27">
      <c r="A198" s="328">
        <v>189</v>
      </c>
      <c r="B198" s="336" t="s">
        <v>809</v>
      </c>
      <c r="C198" s="329"/>
      <c r="D198" s="329"/>
      <c r="E198" s="333" t="s">
        <v>1461</v>
      </c>
      <c r="F198" s="328" t="s">
        <v>1462</v>
      </c>
      <c r="G198" s="328" t="s">
        <v>1449</v>
      </c>
      <c r="H198" s="328" t="s">
        <v>225</v>
      </c>
      <c r="I198" s="328" t="s">
        <v>10</v>
      </c>
      <c r="J198" s="328" t="s">
        <v>1459</v>
      </c>
      <c r="K198" s="330">
        <v>673</v>
      </c>
      <c r="L198" s="330">
        <v>0</v>
      </c>
      <c r="M198" s="330">
        <v>26400</v>
      </c>
      <c r="N198" s="330"/>
      <c r="O198" s="330">
        <v>26400</v>
      </c>
      <c r="P198" s="330"/>
      <c r="Q198" s="330">
        <v>0</v>
      </c>
    </row>
    <row r="199" spans="1:27">
      <c r="A199" s="328">
        <v>190</v>
      </c>
      <c r="B199" s="329" t="s">
        <v>809</v>
      </c>
      <c r="C199" s="333"/>
      <c r="D199" s="333"/>
      <c r="E199" s="333" t="s">
        <v>1608</v>
      </c>
      <c r="F199" s="328" t="s">
        <v>2804</v>
      </c>
      <c r="G199" s="328" t="s">
        <v>463</v>
      </c>
      <c r="H199" s="328" t="s">
        <v>272</v>
      </c>
      <c r="I199" s="328" t="s">
        <v>11</v>
      </c>
      <c r="J199" s="328" t="s">
        <v>1600</v>
      </c>
      <c r="K199" s="330">
        <v>945</v>
      </c>
      <c r="L199" s="330">
        <v>1013</v>
      </c>
      <c r="M199" s="330">
        <v>0</v>
      </c>
      <c r="N199" s="330"/>
      <c r="O199" s="330">
        <v>1013</v>
      </c>
      <c r="P199" s="330"/>
      <c r="Q199" s="330">
        <v>0</v>
      </c>
    </row>
    <row r="200" spans="1:27">
      <c r="A200" s="328">
        <v>191</v>
      </c>
      <c r="B200" s="336" t="s">
        <v>809</v>
      </c>
      <c r="C200" s="329"/>
      <c r="D200" s="329"/>
      <c r="E200" s="333" t="s">
        <v>1608</v>
      </c>
      <c r="F200" s="328" t="s">
        <v>1609</v>
      </c>
      <c r="G200" s="328" t="s">
        <v>463</v>
      </c>
      <c r="H200" s="328" t="s">
        <v>272</v>
      </c>
      <c r="I200" s="328" t="s">
        <v>11</v>
      </c>
      <c r="J200" s="328" t="s">
        <v>1600</v>
      </c>
      <c r="K200" s="330">
        <v>1000</v>
      </c>
      <c r="L200" s="330">
        <v>0</v>
      </c>
      <c r="M200" s="330">
        <v>7000</v>
      </c>
      <c r="N200" s="330"/>
      <c r="O200" s="330">
        <v>7000</v>
      </c>
      <c r="P200" s="330"/>
      <c r="Q200" s="330">
        <v>0</v>
      </c>
    </row>
    <row r="201" spans="1:27">
      <c r="A201" s="328">
        <v>192</v>
      </c>
      <c r="B201" s="332" t="s">
        <v>809</v>
      </c>
      <c r="C201" s="333"/>
      <c r="D201" s="333"/>
      <c r="E201" s="332" t="s">
        <v>2805</v>
      </c>
      <c r="F201" s="328" t="s">
        <v>2806</v>
      </c>
      <c r="G201" s="328" t="s">
        <v>463</v>
      </c>
      <c r="H201" s="334" t="s">
        <v>225</v>
      </c>
      <c r="I201" s="328" t="s">
        <v>11</v>
      </c>
      <c r="J201" s="328" t="s">
        <v>1600</v>
      </c>
      <c r="K201" s="330">
        <v>1400</v>
      </c>
      <c r="L201" s="330">
        <v>1355</v>
      </c>
      <c r="M201" s="330">
        <v>0</v>
      </c>
      <c r="N201" s="330"/>
      <c r="O201" s="330">
        <v>1355</v>
      </c>
      <c r="P201" s="330"/>
      <c r="Q201" s="330">
        <v>0</v>
      </c>
    </row>
    <row r="202" spans="1:27">
      <c r="A202" s="325">
        <v>193</v>
      </c>
      <c r="B202" s="329" t="s">
        <v>802</v>
      </c>
      <c r="C202" s="333"/>
      <c r="D202" s="333"/>
      <c r="E202" s="333" t="s">
        <v>2460</v>
      </c>
      <c r="F202" s="328" t="s">
        <v>2807</v>
      </c>
      <c r="G202" s="328" t="s">
        <v>2682</v>
      </c>
      <c r="H202" s="328" t="s">
        <v>965</v>
      </c>
      <c r="I202" s="328" t="s">
        <v>11</v>
      </c>
      <c r="J202" s="328" t="s">
        <v>1710</v>
      </c>
      <c r="K202" s="330">
        <v>2477</v>
      </c>
      <c r="L202" s="330">
        <v>8954</v>
      </c>
      <c r="M202" s="330">
        <v>0</v>
      </c>
      <c r="N202" s="330"/>
      <c r="O202" s="330">
        <v>5826</v>
      </c>
      <c r="P202" s="330"/>
      <c r="Q202" s="330">
        <v>3128</v>
      </c>
    </row>
    <row r="203" spans="1:27">
      <c r="A203" s="328">
        <v>194</v>
      </c>
      <c r="B203" s="336" t="s">
        <v>802</v>
      </c>
      <c r="C203" s="329"/>
      <c r="D203" s="329"/>
      <c r="E203" s="333" t="s">
        <v>807</v>
      </c>
      <c r="F203" s="328" t="s">
        <v>808</v>
      </c>
      <c r="G203" s="328" t="s">
        <v>806</v>
      </c>
      <c r="H203" s="328" t="s">
        <v>225</v>
      </c>
      <c r="I203" s="328" t="s">
        <v>11</v>
      </c>
      <c r="J203" s="328" t="s">
        <v>804</v>
      </c>
      <c r="K203" s="330">
        <v>2783</v>
      </c>
      <c r="L203" s="330">
        <v>0</v>
      </c>
      <c r="M203" s="330">
        <v>10000</v>
      </c>
      <c r="N203" s="330"/>
      <c r="O203" s="330">
        <v>8500</v>
      </c>
      <c r="P203" s="330"/>
      <c r="Q203" s="330">
        <v>1500</v>
      </c>
    </row>
    <row r="204" spans="1:27">
      <c r="A204" s="328">
        <v>195</v>
      </c>
      <c r="B204" s="336" t="s">
        <v>813</v>
      </c>
      <c r="C204" s="333"/>
      <c r="D204" s="333"/>
      <c r="E204" s="333" t="s">
        <v>2808</v>
      </c>
      <c r="F204" s="328" t="s">
        <v>1622</v>
      </c>
      <c r="G204" s="328" t="s">
        <v>463</v>
      </c>
      <c r="H204" s="328" t="s">
        <v>258</v>
      </c>
      <c r="I204" s="328" t="s">
        <v>11</v>
      </c>
      <c r="J204" s="328" t="s">
        <v>1621</v>
      </c>
      <c r="K204" s="330">
        <v>6000</v>
      </c>
      <c r="L204" s="330">
        <v>9945</v>
      </c>
      <c r="M204" s="330">
        <v>0</v>
      </c>
      <c r="N204" s="330"/>
      <c r="O204" s="330">
        <v>1023</v>
      </c>
      <c r="P204" s="330"/>
      <c r="Q204" s="330">
        <v>8922</v>
      </c>
    </row>
    <row r="205" spans="1:27">
      <c r="A205" s="328">
        <v>196</v>
      </c>
      <c r="B205" s="336" t="s">
        <v>784</v>
      </c>
      <c r="C205" s="329"/>
      <c r="D205" s="329"/>
      <c r="E205" s="333" t="s">
        <v>785</v>
      </c>
      <c r="F205" s="328" t="s">
        <v>786</v>
      </c>
      <c r="G205" s="328" t="s">
        <v>787</v>
      </c>
      <c r="H205" s="328" t="s">
        <v>422</v>
      </c>
      <c r="I205" s="328" t="s">
        <v>520</v>
      </c>
      <c r="J205" s="328" t="s">
        <v>241</v>
      </c>
      <c r="K205" s="330">
        <v>101430</v>
      </c>
      <c r="L205" s="330">
        <v>270</v>
      </c>
      <c r="M205" s="330">
        <v>0</v>
      </c>
      <c r="N205" s="330"/>
      <c r="O205" s="330">
        <v>61</v>
      </c>
      <c r="P205" s="330"/>
      <c r="Q205" s="330">
        <v>209</v>
      </c>
    </row>
    <row r="206" spans="1:27">
      <c r="A206" s="328">
        <v>197</v>
      </c>
      <c r="B206" s="329" t="s">
        <v>1318</v>
      </c>
      <c r="C206" s="333"/>
      <c r="D206" s="333"/>
      <c r="E206" s="332" t="s">
        <v>2809</v>
      </c>
      <c r="F206" s="328" t="s">
        <v>2810</v>
      </c>
      <c r="G206" s="328" t="s">
        <v>2380</v>
      </c>
      <c r="H206" s="328" t="s">
        <v>238</v>
      </c>
      <c r="I206" s="328" t="s">
        <v>11</v>
      </c>
      <c r="J206" s="328" t="s">
        <v>1710</v>
      </c>
      <c r="K206" s="330">
        <v>53</v>
      </c>
      <c r="L206" s="330">
        <v>11120</v>
      </c>
      <c r="M206" s="330">
        <v>0</v>
      </c>
      <c r="N206" s="330"/>
      <c r="O206" s="330">
        <v>11120</v>
      </c>
      <c r="P206" s="330"/>
      <c r="Q206" s="330">
        <v>0</v>
      </c>
    </row>
    <row r="207" spans="1:27">
      <c r="A207" s="328">
        <v>198</v>
      </c>
      <c r="B207" s="332" t="s">
        <v>729</v>
      </c>
      <c r="C207" s="333"/>
      <c r="D207" s="333"/>
      <c r="E207" s="332" t="s">
        <v>2461</v>
      </c>
      <c r="F207" s="328" t="s">
        <v>2811</v>
      </c>
      <c r="G207" s="328" t="s">
        <v>2803</v>
      </c>
      <c r="H207" s="334" t="s">
        <v>17</v>
      </c>
      <c r="I207" s="328" t="s">
        <v>11</v>
      </c>
      <c r="J207" s="328" t="s">
        <v>1710</v>
      </c>
      <c r="K207" s="330">
        <v>455</v>
      </c>
      <c r="L207" s="330">
        <v>35911</v>
      </c>
      <c r="M207" s="330">
        <v>0</v>
      </c>
      <c r="N207" s="330"/>
      <c r="O207" s="330">
        <v>32256</v>
      </c>
      <c r="P207" s="330"/>
      <c r="Q207" s="330">
        <v>3655</v>
      </c>
    </row>
    <row r="208" spans="1:27">
      <c r="A208" s="325">
        <v>199</v>
      </c>
      <c r="B208" s="329" t="s">
        <v>286</v>
      </c>
      <c r="C208" s="333"/>
      <c r="D208" s="333"/>
      <c r="E208" s="333" t="s">
        <v>2462</v>
      </c>
      <c r="F208" s="328" t="s">
        <v>2812</v>
      </c>
      <c r="G208" s="328" t="s">
        <v>2803</v>
      </c>
      <c r="H208" s="328" t="s">
        <v>225</v>
      </c>
      <c r="I208" s="328" t="s">
        <v>11</v>
      </c>
      <c r="J208" s="328" t="s">
        <v>1710</v>
      </c>
      <c r="K208" s="330">
        <v>770</v>
      </c>
      <c r="L208" s="330">
        <v>9592</v>
      </c>
      <c r="M208" s="330">
        <v>30</v>
      </c>
      <c r="N208" s="330"/>
      <c r="O208" s="330">
        <v>2613</v>
      </c>
      <c r="P208" s="330"/>
      <c r="Q208" s="330">
        <v>7009</v>
      </c>
    </row>
    <row r="209" spans="1:27" ht="38.25">
      <c r="A209" s="328">
        <v>200</v>
      </c>
      <c r="B209" s="329" t="s">
        <v>2315</v>
      </c>
      <c r="C209" s="329"/>
      <c r="D209" s="329"/>
      <c r="E209" s="333" t="s">
        <v>57</v>
      </c>
      <c r="F209" s="328" t="s">
        <v>2317</v>
      </c>
      <c r="G209" s="328" t="s">
        <v>2318</v>
      </c>
      <c r="H209" s="328" t="s">
        <v>58</v>
      </c>
      <c r="I209" s="328" t="s">
        <v>13</v>
      </c>
      <c r="J209" s="328" t="s">
        <v>2316</v>
      </c>
      <c r="K209" s="330">
        <v>17500</v>
      </c>
      <c r="L209" s="330">
        <v>0</v>
      </c>
      <c r="M209" s="330">
        <v>13950</v>
      </c>
      <c r="N209" s="330"/>
      <c r="O209" s="330">
        <v>11755</v>
      </c>
      <c r="P209" s="330"/>
      <c r="Q209" s="330">
        <v>2195</v>
      </c>
    </row>
    <row r="210" spans="1:27" ht="25.5">
      <c r="A210" s="328">
        <v>201</v>
      </c>
      <c r="B210" s="336" t="s">
        <v>2272</v>
      </c>
      <c r="C210" s="329"/>
      <c r="D210" s="329"/>
      <c r="E210" s="333" t="s">
        <v>2273</v>
      </c>
      <c r="F210" s="328" t="s">
        <v>2275</v>
      </c>
      <c r="G210" s="328" t="s">
        <v>2253</v>
      </c>
      <c r="H210" s="328" t="s">
        <v>2274</v>
      </c>
      <c r="I210" s="328" t="s">
        <v>16</v>
      </c>
      <c r="J210" s="328" t="s">
        <v>2250</v>
      </c>
      <c r="K210" s="330">
        <v>1200</v>
      </c>
      <c r="L210" s="330">
        <v>0</v>
      </c>
      <c r="M210" s="330">
        <v>30000</v>
      </c>
      <c r="N210" s="330"/>
      <c r="O210" s="330">
        <v>30000</v>
      </c>
      <c r="P210" s="330"/>
      <c r="Q210" s="330">
        <v>0</v>
      </c>
    </row>
    <row r="211" spans="1:27" ht="25.5">
      <c r="A211" s="328">
        <v>202</v>
      </c>
      <c r="B211" s="329" t="s">
        <v>2338</v>
      </c>
      <c r="C211" s="329"/>
      <c r="D211" s="329"/>
      <c r="E211" s="333" t="s">
        <v>59</v>
      </c>
      <c r="F211" s="349" t="s">
        <v>2339</v>
      </c>
      <c r="G211" s="349" t="s">
        <v>1567</v>
      </c>
      <c r="H211" s="328" t="s">
        <v>60</v>
      </c>
      <c r="I211" s="328" t="s">
        <v>10</v>
      </c>
      <c r="J211" s="328" t="s">
        <v>884</v>
      </c>
      <c r="K211" s="330">
        <v>735</v>
      </c>
      <c r="L211" s="330">
        <v>0</v>
      </c>
      <c r="M211" s="330">
        <v>24000</v>
      </c>
      <c r="N211" s="330"/>
      <c r="O211" s="330">
        <v>14830</v>
      </c>
      <c r="P211" s="330"/>
      <c r="Q211" s="330">
        <v>9170</v>
      </c>
    </row>
    <row r="212" spans="1:27" ht="25.5">
      <c r="A212" s="328">
        <v>203</v>
      </c>
      <c r="B212" s="347" t="s">
        <v>2813</v>
      </c>
      <c r="C212" s="329"/>
      <c r="D212" s="329"/>
      <c r="E212" s="640" t="s">
        <v>2814</v>
      </c>
      <c r="F212" s="348" t="s">
        <v>2815</v>
      </c>
      <c r="G212" s="348" t="s">
        <v>2816</v>
      </c>
      <c r="H212" s="348" t="s">
        <v>2817</v>
      </c>
      <c r="I212" s="348" t="s">
        <v>10</v>
      </c>
      <c r="J212" s="348" t="s">
        <v>1350</v>
      </c>
      <c r="K212" s="330">
        <v>1995</v>
      </c>
      <c r="L212" s="330">
        <v>398</v>
      </c>
      <c r="M212" s="330"/>
      <c r="N212" s="330"/>
      <c r="O212" s="330">
        <v>398</v>
      </c>
      <c r="P212" s="330"/>
      <c r="Q212" s="330"/>
      <c r="R212" s="37"/>
      <c r="T212" s="37"/>
      <c r="U212" s="37"/>
      <c r="V212" s="37"/>
      <c r="W212" s="37"/>
      <c r="X212" s="37"/>
      <c r="Y212" s="37"/>
      <c r="Z212" s="37"/>
      <c r="AA212" s="37"/>
    </row>
    <row r="213" spans="1:27">
      <c r="A213" s="328">
        <v>204</v>
      </c>
      <c r="B213" s="331" t="s">
        <v>274</v>
      </c>
      <c r="C213" s="331"/>
      <c r="D213" s="331"/>
      <c r="E213" s="333" t="s">
        <v>304</v>
      </c>
      <c r="F213" s="328" t="s">
        <v>307</v>
      </c>
      <c r="G213" s="328" t="s">
        <v>308</v>
      </c>
      <c r="H213" s="328" t="s">
        <v>305</v>
      </c>
      <c r="I213" s="328" t="s">
        <v>14</v>
      </c>
      <c r="J213" s="328" t="s">
        <v>306</v>
      </c>
      <c r="K213" s="330">
        <v>69000</v>
      </c>
      <c r="L213" s="330">
        <v>0</v>
      </c>
      <c r="M213" s="330">
        <v>200</v>
      </c>
      <c r="N213" s="330"/>
      <c r="O213" s="330">
        <v>132</v>
      </c>
      <c r="P213" s="330"/>
      <c r="Q213" s="330">
        <v>68</v>
      </c>
    </row>
    <row r="214" spans="1:27">
      <c r="A214" s="325">
        <v>205</v>
      </c>
      <c r="B214" s="332" t="s">
        <v>417</v>
      </c>
      <c r="C214" s="333"/>
      <c r="D214" s="333"/>
      <c r="E214" s="332" t="s">
        <v>2818</v>
      </c>
      <c r="F214" s="328" t="s">
        <v>2819</v>
      </c>
      <c r="G214" s="328" t="s">
        <v>2820</v>
      </c>
      <c r="H214" s="334" t="s">
        <v>262</v>
      </c>
      <c r="I214" s="328" t="s">
        <v>11</v>
      </c>
      <c r="J214" s="328" t="s">
        <v>642</v>
      </c>
      <c r="K214" s="330">
        <v>273</v>
      </c>
      <c r="L214" s="330">
        <v>630</v>
      </c>
      <c r="M214" s="330">
        <v>0</v>
      </c>
      <c r="N214" s="330"/>
      <c r="O214" s="330">
        <v>630</v>
      </c>
      <c r="P214" s="330"/>
      <c r="Q214" s="330">
        <v>0</v>
      </c>
    </row>
    <row r="215" spans="1:27">
      <c r="A215" s="328">
        <v>206</v>
      </c>
      <c r="B215" s="329" t="s">
        <v>417</v>
      </c>
      <c r="C215" s="329"/>
      <c r="D215" s="329"/>
      <c r="E215" s="333" t="s">
        <v>1623</v>
      </c>
      <c r="F215" s="328" t="s">
        <v>1624</v>
      </c>
      <c r="G215" s="328" t="s">
        <v>473</v>
      </c>
      <c r="H215" s="328" t="s">
        <v>262</v>
      </c>
      <c r="I215" s="328" t="s">
        <v>11</v>
      </c>
      <c r="J215" s="328" t="s">
        <v>2700</v>
      </c>
      <c r="K215" s="330">
        <v>222</v>
      </c>
      <c r="L215" s="330">
        <v>0</v>
      </c>
      <c r="M215" s="330">
        <v>26000</v>
      </c>
      <c r="N215" s="330"/>
      <c r="O215" s="330">
        <v>25097</v>
      </c>
      <c r="P215" s="330"/>
      <c r="Q215" s="330">
        <v>903</v>
      </c>
    </row>
    <row r="216" spans="1:27">
      <c r="A216" s="328">
        <v>207</v>
      </c>
      <c r="B216" s="329" t="s">
        <v>1321</v>
      </c>
      <c r="C216" s="333"/>
      <c r="D216" s="333"/>
      <c r="E216" s="333" t="s">
        <v>1321</v>
      </c>
      <c r="F216" s="328" t="s">
        <v>2821</v>
      </c>
      <c r="G216" s="328" t="s">
        <v>360</v>
      </c>
      <c r="H216" s="328" t="s">
        <v>248</v>
      </c>
      <c r="I216" s="328" t="s">
        <v>11</v>
      </c>
      <c r="J216" s="328" t="s">
        <v>642</v>
      </c>
      <c r="K216" s="330">
        <v>46</v>
      </c>
      <c r="L216" s="330">
        <v>4604</v>
      </c>
      <c r="M216" s="330">
        <v>5</v>
      </c>
      <c r="N216" s="330"/>
      <c r="O216" s="330">
        <v>4596</v>
      </c>
      <c r="P216" s="330"/>
      <c r="Q216" s="330">
        <v>13</v>
      </c>
    </row>
    <row r="217" spans="1:27">
      <c r="A217" s="328">
        <v>208</v>
      </c>
      <c r="B217" s="329" t="s">
        <v>1321</v>
      </c>
      <c r="C217" s="329"/>
      <c r="D217" s="329"/>
      <c r="E217" s="333" t="s">
        <v>1321</v>
      </c>
      <c r="F217" s="328" t="s">
        <v>1322</v>
      </c>
      <c r="G217" s="328" t="s">
        <v>360</v>
      </c>
      <c r="H217" s="328" t="s">
        <v>248</v>
      </c>
      <c r="I217" s="328" t="s">
        <v>11</v>
      </c>
      <c r="J217" s="328" t="s">
        <v>642</v>
      </c>
      <c r="K217" s="330">
        <v>47</v>
      </c>
      <c r="L217" s="330">
        <v>0</v>
      </c>
      <c r="M217" s="330">
        <v>49600</v>
      </c>
      <c r="N217" s="330"/>
      <c r="O217" s="330">
        <v>43498</v>
      </c>
      <c r="P217" s="330"/>
      <c r="Q217" s="330">
        <v>6102</v>
      </c>
    </row>
    <row r="218" spans="1:27">
      <c r="A218" s="328">
        <v>209</v>
      </c>
      <c r="B218" s="329" t="s">
        <v>2464</v>
      </c>
      <c r="C218" s="333"/>
      <c r="D218" s="333"/>
      <c r="E218" s="333" t="s">
        <v>2463</v>
      </c>
      <c r="F218" s="328" t="s">
        <v>2822</v>
      </c>
      <c r="G218" s="328" t="s">
        <v>2823</v>
      </c>
      <c r="H218" s="328" t="s">
        <v>2465</v>
      </c>
      <c r="I218" s="328" t="s">
        <v>11</v>
      </c>
      <c r="J218" s="328" t="s">
        <v>642</v>
      </c>
      <c r="K218" s="330">
        <v>5964</v>
      </c>
      <c r="L218" s="330">
        <v>5130</v>
      </c>
      <c r="M218" s="330">
        <v>0</v>
      </c>
      <c r="N218" s="330"/>
      <c r="O218" s="330">
        <v>4059</v>
      </c>
      <c r="P218" s="330"/>
      <c r="Q218" s="330">
        <v>1071</v>
      </c>
    </row>
    <row r="219" spans="1:27">
      <c r="A219" s="328">
        <v>210</v>
      </c>
      <c r="B219" s="329" t="s">
        <v>274</v>
      </c>
      <c r="C219" s="333"/>
      <c r="D219" s="333"/>
      <c r="E219" s="333" t="s">
        <v>302</v>
      </c>
      <c r="F219" s="328" t="s">
        <v>303</v>
      </c>
      <c r="G219" s="328" t="s">
        <v>293</v>
      </c>
      <c r="H219" s="328" t="s">
        <v>435</v>
      </c>
      <c r="I219" s="328" t="s">
        <v>14</v>
      </c>
      <c r="J219" s="328" t="s">
        <v>2824</v>
      </c>
      <c r="K219" s="330">
        <v>246960</v>
      </c>
      <c r="L219" s="330">
        <v>2</v>
      </c>
      <c r="M219" s="330">
        <v>150</v>
      </c>
      <c r="N219" s="330"/>
      <c r="O219" s="330">
        <v>149</v>
      </c>
      <c r="P219" s="330"/>
      <c r="Q219" s="330">
        <v>3</v>
      </c>
    </row>
    <row r="220" spans="1:27">
      <c r="A220" s="325">
        <v>211</v>
      </c>
      <c r="B220" s="329" t="s">
        <v>274</v>
      </c>
      <c r="C220" s="333"/>
      <c r="D220" s="333"/>
      <c r="E220" s="333" t="s">
        <v>300</v>
      </c>
      <c r="F220" s="328" t="s">
        <v>301</v>
      </c>
      <c r="G220" s="328" t="s">
        <v>293</v>
      </c>
      <c r="H220" s="328" t="s">
        <v>225</v>
      </c>
      <c r="I220" s="328" t="s">
        <v>10</v>
      </c>
      <c r="J220" s="328" t="s">
        <v>647</v>
      </c>
      <c r="K220" s="330">
        <v>13913</v>
      </c>
      <c r="L220" s="330">
        <v>877</v>
      </c>
      <c r="M220" s="330">
        <v>1000</v>
      </c>
      <c r="N220" s="330"/>
      <c r="O220" s="330">
        <v>1202</v>
      </c>
      <c r="P220" s="330"/>
      <c r="Q220" s="330">
        <v>675</v>
      </c>
    </row>
    <row r="221" spans="1:27">
      <c r="A221" s="328">
        <v>212</v>
      </c>
      <c r="B221" s="331" t="s">
        <v>274</v>
      </c>
      <c r="C221" s="331"/>
      <c r="D221" s="331"/>
      <c r="E221" s="333" t="s">
        <v>274</v>
      </c>
      <c r="F221" s="328" t="s">
        <v>373</v>
      </c>
      <c r="G221" s="328" t="s">
        <v>360</v>
      </c>
      <c r="H221" s="328" t="s">
        <v>225</v>
      </c>
      <c r="I221" s="328" t="s">
        <v>10</v>
      </c>
      <c r="J221" s="328" t="s">
        <v>647</v>
      </c>
      <c r="K221" s="330">
        <v>394</v>
      </c>
      <c r="L221" s="330">
        <v>0</v>
      </c>
      <c r="M221" s="330">
        <v>13800</v>
      </c>
      <c r="N221" s="330"/>
      <c r="O221" s="330">
        <v>12295</v>
      </c>
      <c r="P221" s="330"/>
      <c r="Q221" s="330">
        <v>1505</v>
      </c>
    </row>
    <row r="222" spans="1:27">
      <c r="A222" s="328">
        <v>213</v>
      </c>
      <c r="B222" s="329" t="s">
        <v>274</v>
      </c>
      <c r="C222" s="333"/>
      <c r="D222" s="333"/>
      <c r="E222" s="333" t="s">
        <v>274</v>
      </c>
      <c r="F222" s="328" t="s">
        <v>373</v>
      </c>
      <c r="G222" s="328" t="s">
        <v>360</v>
      </c>
      <c r="H222" s="328" t="s">
        <v>225</v>
      </c>
      <c r="I222" s="328" t="s">
        <v>10</v>
      </c>
      <c r="J222" s="328" t="s">
        <v>647</v>
      </c>
      <c r="K222" s="330">
        <v>477</v>
      </c>
      <c r="L222" s="330">
        <v>1234</v>
      </c>
      <c r="M222" s="330">
        <v>0</v>
      </c>
      <c r="N222" s="330"/>
      <c r="O222" s="330">
        <v>1234</v>
      </c>
      <c r="P222" s="330"/>
      <c r="Q222" s="330">
        <v>0</v>
      </c>
    </row>
    <row r="223" spans="1:27">
      <c r="A223" s="328">
        <v>214</v>
      </c>
      <c r="B223" s="331" t="s">
        <v>274</v>
      </c>
      <c r="C223" s="331"/>
      <c r="D223" s="331"/>
      <c r="E223" s="333" t="s">
        <v>275</v>
      </c>
      <c r="F223" s="328" t="s">
        <v>278</v>
      </c>
      <c r="G223" s="328" t="s">
        <v>279</v>
      </c>
      <c r="H223" s="328" t="s">
        <v>276</v>
      </c>
      <c r="I223" s="328" t="s">
        <v>15</v>
      </c>
      <c r="J223" s="328" t="s">
        <v>277</v>
      </c>
      <c r="K223" s="330">
        <v>53950</v>
      </c>
      <c r="L223" s="330">
        <v>25</v>
      </c>
      <c r="M223" s="330">
        <v>0</v>
      </c>
      <c r="N223" s="330"/>
      <c r="O223" s="330">
        <v>25</v>
      </c>
      <c r="P223" s="330"/>
      <c r="Q223" s="330">
        <v>0</v>
      </c>
    </row>
    <row r="224" spans="1:27">
      <c r="A224" s="328">
        <v>215</v>
      </c>
      <c r="B224" s="329" t="s">
        <v>274</v>
      </c>
      <c r="C224" s="333"/>
      <c r="D224" s="333"/>
      <c r="E224" s="333" t="s">
        <v>418</v>
      </c>
      <c r="F224" s="328" t="s">
        <v>419</v>
      </c>
      <c r="G224" s="328" t="s">
        <v>414</v>
      </c>
      <c r="H224" s="328" t="s">
        <v>2825</v>
      </c>
      <c r="I224" s="328" t="s">
        <v>658</v>
      </c>
      <c r="J224" s="328" t="s">
        <v>306</v>
      </c>
      <c r="K224" s="330">
        <v>2646</v>
      </c>
      <c r="L224" s="330">
        <v>130</v>
      </c>
      <c r="M224" s="330">
        <v>0</v>
      </c>
      <c r="N224" s="330"/>
      <c r="O224" s="330">
        <v>130</v>
      </c>
      <c r="P224" s="330"/>
      <c r="Q224" s="330">
        <v>0</v>
      </c>
    </row>
    <row r="225" spans="1:17">
      <c r="A225" s="328">
        <v>216</v>
      </c>
      <c r="B225" s="331" t="s">
        <v>274</v>
      </c>
      <c r="C225" s="331"/>
      <c r="D225" s="331"/>
      <c r="E225" s="333" t="s">
        <v>434</v>
      </c>
      <c r="F225" s="328" t="s">
        <v>436</v>
      </c>
      <c r="G225" s="328" t="s">
        <v>437</v>
      </c>
      <c r="H225" s="328" t="s">
        <v>435</v>
      </c>
      <c r="I225" s="328" t="s">
        <v>15</v>
      </c>
      <c r="J225" s="328" t="s">
        <v>241</v>
      </c>
      <c r="K225" s="330">
        <v>18480</v>
      </c>
      <c r="L225" s="330">
        <v>0</v>
      </c>
      <c r="M225" s="330">
        <v>200</v>
      </c>
      <c r="N225" s="330"/>
      <c r="O225" s="330">
        <v>8</v>
      </c>
      <c r="P225" s="330"/>
      <c r="Q225" s="330">
        <v>192</v>
      </c>
    </row>
    <row r="226" spans="1:17">
      <c r="A226" s="325">
        <v>217</v>
      </c>
      <c r="B226" s="329" t="s">
        <v>1084</v>
      </c>
      <c r="C226" s="329"/>
      <c r="D226" s="329"/>
      <c r="E226" s="333" t="s">
        <v>1085</v>
      </c>
      <c r="F226" s="328" t="s">
        <v>1087</v>
      </c>
      <c r="G226" s="328" t="s">
        <v>1088</v>
      </c>
      <c r="H226" s="328" t="s">
        <v>299</v>
      </c>
      <c r="I226" s="328" t="s">
        <v>11</v>
      </c>
      <c r="J226" s="328" t="s">
        <v>1086</v>
      </c>
      <c r="K226" s="330">
        <v>6990</v>
      </c>
      <c r="L226" s="330">
        <v>0</v>
      </c>
      <c r="M226" s="330">
        <v>12990</v>
      </c>
      <c r="N226" s="330"/>
      <c r="O226" s="330">
        <v>3961</v>
      </c>
      <c r="P226" s="330"/>
      <c r="Q226" s="330">
        <v>9029</v>
      </c>
    </row>
    <row r="227" spans="1:17">
      <c r="A227" s="328">
        <v>218</v>
      </c>
      <c r="B227" s="329" t="s">
        <v>1352</v>
      </c>
      <c r="C227" s="329"/>
      <c r="D227" s="329"/>
      <c r="E227" s="333" t="s">
        <v>1353</v>
      </c>
      <c r="F227" s="328" t="s">
        <v>1354</v>
      </c>
      <c r="G227" s="328" t="s">
        <v>360</v>
      </c>
      <c r="H227" s="328" t="s">
        <v>327</v>
      </c>
      <c r="I227" s="328" t="s">
        <v>11</v>
      </c>
      <c r="J227" s="328" t="s">
        <v>647</v>
      </c>
      <c r="K227" s="330">
        <v>218</v>
      </c>
      <c r="L227" s="330">
        <v>0</v>
      </c>
      <c r="M227" s="330">
        <v>6000</v>
      </c>
      <c r="N227" s="330"/>
      <c r="O227" s="330">
        <v>0</v>
      </c>
      <c r="P227" s="330"/>
      <c r="Q227" s="330">
        <v>6000</v>
      </c>
    </row>
    <row r="228" spans="1:17">
      <c r="A228" s="328">
        <v>219</v>
      </c>
      <c r="B228" s="329" t="s">
        <v>2826</v>
      </c>
      <c r="C228" s="333"/>
      <c r="D228" s="333"/>
      <c r="E228" s="333" t="s">
        <v>1791</v>
      </c>
      <c r="F228" s="328" t="s">
        <v>2827</v>
      </c>
      <c r="G228" s="328" t="s">
        <v>1794</v>
      </c>
      <c r="H228" s="328" t="s">
        <v>1792</v>
      </c>
      <c r="I228" s="328" t="s">
        <v>11</v>
      </c>
      <c r="J228" s="328" t="s">
        <v>647</v>
      </c>
      <c r="K228" s="330">
        <v>4032</v>
      </c>
      <c r="L228" s="330">
        <v>7016</v>
      </c>
      <c r="M228" s="330">
        <v>0</v>
      </c>
      <c r="N228" s="330"/>
      <c r="O228" s="330">
        <v>7016</v>
      </c>
      <c r="P228" s="330"/>
      <c r="Q228" s="330">
        <v>0</v>
      </c>
    </row>
    <row r="229" spans="1:17">
      <c r="A229" s="328">
        <v>220</v>
      </c>
      <c r="B229" s="329" t="s">
        <v>683</v>
      </c>
      <c r="C229" s="329"/>
      <c r="D229" s="329"/>
      <c r="E229" s="333" t="s">
        <v>1791</v>
      </c>
      <c r="F229" s="328" t="s">
        <v>1793</v>
      </c>
      <c r="G229" s="328" t="s">
        <v>1794</v>
      </c>
      <c r="H229" s="328" t="s">
        <v>1792</v>
      </c>
      <c r="I229" s="328" t="s">
        <v>11</v>
      </c>
      <c r="J229" s="328" t="s">
        <v>647</v>
      </c>
      <c r="K229" s="330">
        <v>3990</v>
      </c>
      <c r="L229" s="330">
        <v>0</v>
      </c>
      <c r="M229" s="330">
        <v>8120</v>
      </c>
      <c r="N229" s="330"/>
      <c r="O229" s="330">
        <v>3294</v>
      </c>
      <c r="P229" s="330"/>
      <c r="Q229" s="330">
        <v>4826</v>
      </c>
    </row>
    <row r="230" spans="1:17">
      <c r="A230" s="328">
        <v>221</v>
      </c>
      <c r="B230" s="336" t="s">
        <v>1156</v>
      </c>
      <c r="C230" s="333"/>
      <c r="D230" s="333"/>
      <c r="E230" s="636" t="s">
        <v>1157</v>
      </c>
      <c r="F230" s="328" t="s">
        <v>1158</v>
      </c>
      <c r="G230" s="337" t="s">
        <v>1159</v>
      </c>
      <c r="H230" s="337" t="s">
        <v>262</v>
      </c>
      <c r="I230" s="337" t="s">
        <v>11</v>
      </c>
      <c r="J230" s="337" t="s">
        <v>626</v>
      </c>
      <c r="K230" s="330">
        <v>1750</v>
      </c>
      <c r="L230" s="330">
        <v>18287</v>
      </c>
      <c r="M230" s="330">
        <v>0</v>
      </c>
      <c r="N230" s="330"/>
      <c r="O230" s="330">
        <v>12630</v>
      </c>
      <c r="P230" s="330"/>
      <c r="Q230" s="330">
        <v>5657</v>
      </c>
    </row>
    <row r="231" spans="1:17">
      <c r="A231" s="328">
        <v>222</v>
      </c>
      <c r="B231" s="336" t="s">
        <v>1156</v>
      </c>
      <c r="C231" s="329"/>
      <c r="D231" s="329"/>
      <c r="E231" s="636" t="s">
        <v>1157</v>
      </c>
      <c r="F231" s="337" t="s">
        <v>1158</v>
      </c>
      <c r="G231" s="337" t="s">
        <v>1159</v>
      </c>
      <c r="H231" s="337" t="s">
        <v>262</v>
      </c>
      <c r="I231" s="337" t="s">
        <v>11</v>
      </c>
      <c r="J231" s="337" t="s">
        <v>626</v>
      </c>
      <c r="K231" s="330">
        <v>1800</v>
      </c>
      <c r="L231" s="330">
        <v>0</v>
      </c>
      <c r="M231" s="330">
        <v>15000</v>
      </c>
      <c r="N231" s="330"/>
      <c r="O231" s="330">
        <v>8100</v>
      </c>
      <c r="P231" s="330"/>
      <c r="Q231" s="330">
        <v>6900</v>
      </c>
    </row>
    <row r="232" spans="1:17">
      <c r="A232" s="325">
        <v>223</v>
      </c>
      <c r="B232" s="329" t="s">
        <v>2466</v>
      </c>
      <c r="C232" s="333"/>
      <c r="D232" s="333"/>
      <c r="E232" s="333" t="s">
        <v>1324</v>
      </c>
      <c r="F232" s="328" t="s">
        <v>2828</v>
      </c>
      <c r="G232" s="328" t="s">
        <v>360</v>
      </c>
      <c r="H232" s="328" t="s">
        <v>390</v>
      </c>
      <c r="I232" s="328" t="s">
        <v>11</v>
      </c>
      <c r="J232" s="328" t="s">
        <v>642</v>
      </c>
      <c r="K232" s="330">
        <v>31</v>
      </c>
      <c r="L232" s="330">
        <v>19311</v>
      </c>
      <c r="M232" s="330">
        <v>15</v>
      </c>
      <c r="N232" s="330"/>
      <c r="O232" s="330">
        <v>19326</v>
      </c>
      <c r="P232" s="330"/>
      <c r="Q232" s="330">
        <v>0</v>
      </c>
    </row>
    <row r="233" spans="1:17">
      <c r="A233" s="328">
        <v>224</v>
      </c>
      <c r="B233" s="329" t="s">
        <v>1323</v>
      </c>
      <c r="C233" s="329"/>
      <c r="D233" s="329"/>
      <c r="E233" s="333" t="s">
        <v>1324</v>
      </c>
      <c r="F233" s="328" t="s">
        <v>1325</v>
      </c>
      <c r="G233" s="328" t="s">
        <v>360</v>
      </c>
      <c r="H233" s="328" t="s">
        <v>390</v>
      </c>
      <c r="I233" s="328" t="s">
        <v>11</v>
      </c>
      <c r="J233" s="328" t="s">
        <v>642</v>
      </c>
      <c r="K233" s="330">
        <v>27</v>
      </c>
      <c r="L233" s="330">
        <v>0</v>
      </c>
      <c r="M233" s="330">
        <v>139000</v>
      </c>
      <c r="N233" s="330"/>
      <c r="O233" s="330">
        <v>121785</v>
      </c>
      <c r="P233" s="330"/>
      <c r="Q233" s="330">
        <v>17215</v>
      </c>
    </row>
    <row r="234" spans="1:17">
      <c r="A234" s="328">
        <v>225</v>
      </c>
      <c r="B234" s="336" t="s">
        <v>1466</v>
      </c>
      <c r="C234" s="329"/>
      <c r="D234" s="329"/>
      <c r="E234" s="333" t="s">
        <v>1467</v>
      </c>
      <c r="F234" s="328" t="s">
        <v>1469</v>
      </c>
      <c r="G234" s="328" t="s">
        <v>1449</v>
      </c>
      <c r="H234" s="328" t="s">
        <v>225</v>
      </c>
      <c r="I234" s="328" t="s">
        <v>10</v>
      </c>
      <c r="J234" s="328" t="s">
        <v>1468</v>
      </c>
      <c r="K234" s="330">
        <v>1315</v>
      </c>
      <c r="L234" s="330">
        <v>0</v>
      </c>
      <c r="M234" s="330">
        <v>5700</v>
      </c>
      <c r="N234" s="330"/>
      <c r="O234" s="330">
        <v>5000</v>
      </c>
      <c r="P234" s="330"/>
      <c r="Q234" s="330">
        <v>700</v>
      </c>
    </row>
    <row r="235" spans="1:17" ht="25.5">
      <c r="A235" s="328">
        <v>226</v>
      </c>
      <c r="B235" s="336" t="s">
        <v>851</v>
      </c>
      <c r="C235" s="329"/>
      <c r="D235" s="329"/>
      <c r="E235" s="333" t="s">
        <v>852</v>
      </c>
      <c r="F235" s="328" t="s">
        <v>853</v>
      </c>
      <c r="G235" s="328" t="s">
        <v>854</v>
      </c>
      <c r="H235" s="328" t="s">
        <v>225</v>
      </c>
      <c r="I235" s="328" t="s">
        <v>11</v>
      </c>
      <c r="J235" s="328" t="s">
        <v>1329</v>
      </c>
      <c r="K235" s="330">
        <v>5500</v>
      </c>
      <c r="L235" s="330">
        <v>0</v>
      </c>
      <c r="M235" s="330">
        <v>1000</v>
      </c>
      <c r="N235" s="330"/>
      <c r="O235" s="330">
        <v>932</v>
      </c>
      <c r="P235" s="330"/>
      <c r="Q235" s="330">
        <v>68</v>
      </c>
    </row>
    <row r="236" spans="1:17">
      <c r="A236" s="328">
        <v>227</v>
      </c>
      <c r="B236" s="331" t="s">
        <v>260</v>
      </c>
      <c r="C236" s="331"/>
      <c r="D236" s="331"/>
      <c r="E236" s="333" t="s">
        <v>261</v>
      </c>
      <c r="F236" s="328" t="s">
        <v>264</v>
      </c>
      <c r="G236" s="328" t="s">
        <v>255</v>
      </c>
      <c r="H236" s="328" t="s">
        <v>262</v>
      </c>
      <c r="I236" s="328" t="s">
        <v>10</v>
      </c>
      <c r="J236" s="328" t="s">
        <v>1350</v>
      </c>
      <c r="K236" s="330">
        <v>1638</v>
      </c>
      <c r="L236" s="330">
        <v>0</v>
      </c>
      <c r="M236" s="330">
        <v>4000</v>
      </c>
      <c r="N236" s="330"/>
      <c r="O236" s="330">
        <v>768</v>
      </c>
      <c r="P236" s="330"/>
      <c r="Q236" s="330">
        <v>3232</v>
      </c>
    </row>
    <row r="237" spans="1:17" ht="25.5">
      <c r="A237" s="328">
        <v>228</v>
      </c>
      <c r="B237" s="339" t="s">
        <v>2150</v>
      </c>
      <c r="C237" s="329"/>
      <c r="D237" s="329"/>
      <c r="E237" s="333" t="s">
        <v>61</v>
      </c>
      <c r="F237" s="351" t="s">
        <v>2151</v>
      </c>
      <c r="G237" s="328" t="s">
        <v>2152</v>
      </c>
      <c r="H237" s="355" t="s">
        <v>62</v>
      </c>
      <c r="I237" s="328" t="s">
        <v>12</v>
      </c>
      <c r="J237" s="328" t="s">
        <v>2829</v>
      </c>
      <c r="K237" s="330">
        <v>5000</v>
      </c>
      <c r="L237" s="330">
        <v>0</v>
      </c>
      <c r="M237" s="330">
        <v>200</v>
      </c>
      <c r="N237" s="330"/>
      <c r="O237" s="330">
        <v>200</v>
      </c>
      <c r="P237" s="330"/>
      <c r="Q237" s="330">
        <v>0</v>
      </c>
    </row>
    <row r="238" spans="1:17">
      <c r="A238" s="325">
        <v>229</v>
      </c>
      <c r="B238" s="329" t="s">
        <v>2830</v>
      </c>
      <c r="C238" s="329"/>
      <c r="D238" s="329"/>
      <c r="E238" s="333" t="s">
        <v>2621</v>
      </c>
      <c r="F238" s="328" t="s">
        <v>2831</v>
      </c>
      <c r="G238" s="328" t="s">
        <v>2832</v>
      </c>
      <c r="H238" s="328" t="s">
        <v>272</v>
      </c>
      <c r="I238" s="328" t="s">
        <v>11</v>
      </c>
      <c r="J238" s="328" t="s">
        <v>1291</v>
      </c>
      <c r="K238" s="330">
        <v>231</v>
      </c>
      <c r="L238" s="330">
        <v>227</v>
      </c>
      <c r="M238" s="330">
        <v>0</v>
      </c>
      <c r="N238" s="330"/>
      <c r="O238" s="330">
        <v>207</v>
      </c>
      <c r="P238" s="330"/>
      <c r="Q238" s="330">
        <v>20</v>
      </c>
    </row>
    <row r="239" spans="1:17">
      <c r="A239" s="328">
        <v>230</v>
      </c>
      <c r="B239" s="336" t="s">
        <v>816</v>
      </c>
      <c r="C239" s="329"/>
      <c r="D239" s="329"/>
      <c r="E239" s="636" t="s">
        <v>1236</v>
      </c>
      <c r="F239" s="337" t="s">
        <v>1238</v>
      </c>
      <c r="G239" s="337" t="s">
        <v>954</v>
      </c>
      <c r="H239" s="337" t="s">
        <v>299</v>
      </c>
      <c r="I239" s="337" t="s">
        <v>11</v>
      </c>
      <c r="J239" s="337" t="s">
        <v>1237</v>
      </c>
      <c r="K239" s="330">
        <v>9450</v>
      </c>
      <c r="L239" s="330">
        <v>2</v>
      </c>
      <c r="M239" s="330">
        <v>10000</v>
      </c>
      <c r="N239" s="330"/>
      <c r="O239" s="330">
        <v>9780</v>
      </c>
      <c r="P239" s="330"/>
      <c r="Q239" s="330">
        <v>222</v>
      </c>
    </row>
    <row r="240" spans="1:17">
      <c r="A240" s="328">
        <v>231</v>
      </c>
      <c r="B240" s="332" t="s">
        <v>1302</v>
      </c>
      <c r="C240" s="333"/>
      <c r="D240" s="333"/>
      <c r="E240" s="332" t="s">
        <v>2833</v>
      </c>
      <c r="F240" s="328" t="s">
        <v>2834</v>
      </c>
      <c r="G240" s="328" t="s">
        <v>479</v>
      </c>
      <c r="H240" s="334" t="s">
        <v>1995</v>
      </c>
      <c r="I240" s="328" t="s">
        <v>10</v>
      </c>
      <c r="J240" s="328" t="s">
        <v>815</v>
      </c>
      <c r="K240" s="330">
        <v>1780</v>
      </c>
      <c r="L240" s="330">
        <v>6000</v>
      </c>
      <c r="M240" s="330">
        <v>0</v>
      </c>
      <c r="N240" s="330"/>
      <c r="O240" s="330">
        <v>5970</v>
      </c>
      <c r="P240" s="330"/>
      <c r="Q240" s="330">
        <v>30</v>
      </c>
    </row>
    <row r="241" spans="1:27">
      <c r="A241" s="328">
        <v>232</v>
      </c>
      <c r="B241" s="332" t="s">
        <v>1302</v>
      </c>
      <c r="C241" s="333"/>
      <c r="D241" s="333"/>
      <c r="E241" s="332" t="s">
        <v>2835</v>
      </c>
      <c r="F241" s="328" t="s">
        <v>2836</v>
      </c>
      <c r="G241" s="328" t="s">
        <v>479</v>
      </c>
      <c r="H241" s="334" t="s">
        <v>235</v>
      </c>
      <c r="I241" s="328" t="s">
        <v>10</v>
      </c>
      <c r="J241" s="328" t="s">
        <v>815</v>
      </c>
      <c r="K241" s="330">
        <v>3270</v>
      </c>
      <c r="L241" s="330">
        <v>6000</v>
      </c>
      <c r="M241" s="330">
        <v>0</v>
      </c>
      <c r="N241" s="330"/>
      <c r="O241" s="330">
        <v>5996</v>
      </c>
      <c r="P241" s="330"/>
      <c r="Q241" s="330">
        <v>4</v>
      </c>
    </row>
    <row r="242" spans="1:27">
      <c r="A242" s="328">
        <v>233</v>
      </c>
      <c r="B242" s="332" t="s">
        <v>2837</v>
      </c>
      <c r="C242" s="333"/>
      <c r="D242" s="333"/>
      <c r="E242" s="333" t="s">
        <v>2838</v>
      </c>
      <c r="F242" s="328" t="s">
        <v>2839</v>
      </c>
      <c r="G242" s="328" t="s">
        <v>863</v>
      </c>
      <c r="H242" s="334" t="s">
        <v>2840</v>
      </c>
      <c r="I242" s="328" t="s">
        <v>10</v>
      </c>
      <c r="J242" s="328" t="s">
        <v>2841</v>
      </c>
      <c r="K242" s="330">
        <v>2680</v>
      </c>
      <c r="L242" s="330">
        <v>110</v>
      </c>
      <c r="M242" s="330">
        <v>0</v>
      </c>
      <c r="N242" s="330"/>
      <c r="O242" s="330">
        <v>110</v>
      </c>
      <c r="P242" s="330"/>
      <c r="Q242" s="330">
        <v>0</v>
      </c>
    </row>
    <row r="243" spans="1:27" ht="38.25">
      <c r="A243" s="328">
        <v>234</v>
      </c>
      <c r="B243" s="336" t="s">
        <v>2077</v>
      </c>
      <c r="C243" s="333"/>
      <c r="D243" s="333"/>
      <c r="E243" s="636" t="s">
        <v>2078</v>
      </c>
      <c r="F243" s="328" t="s">
        <v>2081</v>
      </c>
      <c r="G243" s="328" t="s">
        <v>2082</v>
      </c>
      <c r="H243" s="337" t="s">
        <v>2079</v>
      </c>
      <c r="I243" s="328" t="s">
        <v>14</v>
      </c>
      <c r="J243" s="337" t="s">
        <v>2080</v>
      </c>
      <c r="K243" s="330">
        <v>16074</v>
      </c>
      <c r="L243" s="330">
        <v>161</v>
      </c>
      <c r="M243" s="330">
        <v>816</v>
      </c>
      <c r="N243" s="330"/>
      <c r="O243" s="330">
        <v>797</v>
      </c>
      <c r="P243" s="330"/>
      <c r="Q243" s="330">
        <v>180</v>
      </c>
    </row>
    <row r="244" spans="1:27">
      <c r="A244" s="325">
        <v>235</v>
      </c>
      <c r="B244" s="336" t="s">
        <v>1976</v>
      </c>
      <c r="C244" s="329"/>
      <c r="D244" s="329"/>
      <c r="E244" s="333" t="s">
        <v>1977</v>
      </c>
      <c r="F244" s="328" t="s">
        <v>1979</v>
      </c>
      <c r="G244" s="328" t="s">
        <v>1946</v>
      </c>
      <c r="H244" s="328" t="s">
        <v>1978</v>
      </c>
      <c r="I244" s="328" t="s">
        <v>11</v>
      </c>
      <c r="J244" s="328" t="s">
        <v>814</v>
      </c>
      <c r="K244" s="330">
        <v>2499</v>
      </c>
      <c r="L244" s="330">
        <v>0</v>
      </c>
      <c r="M244" s="330">
        <v>68286</v>
      </c>
      <c r="N244" s="330"/>
      <c r="O244" s="330">
        <v>48564</v>
      </c>
      <c r="P244" s="330"/>
      <c r="Q244" s="330">
        <v>19722</v>
      </c>
    </row>
    <row r="245" spans="1:27">
      <c r="A245" s="328">
        <v>236</v>
      </c>
      <c r="B245" s="329" t="s">
        <v>1055</v>
      </c>
      <c r="C245" s="329"/>
      <c r="D245" s="329"/>
      <c r="E245" s="333" t="s">
        <v>1056</v>
      </c>
      <c r="F245" s="328" t="s">
        <v>1059</v>
      </c>
      <c r="G245" s="328" t="s">
        <v>336</v>
      </c>
      <c r="H245" s="328" t="s">
        <v>1057</v>
      </c>
      <c r="I245" s="328" t="s">
        <v>18</v>
      </c>
      <c r="J245" s="328" t="s">
        <v>1058</v>
      </c>
      <c r="K245" s="330">
        <v>6300</v>
      </c>
      <c r="L245" s="330">
        <v>0</v>
      </c>
      <c r="M245" s="330">
        <v>150</v>
      </c>
      <c r="N245" s="330"/>
      <c r="O245" s="330">
        <v>57</v>
      </c>
      <c r="P245" s="330"/>
      <c r="Q245" s="330">
        <v>93</v>
      </c>
    </row>
    <row r="246" spans="1:27" ht="38.25">
      <c r="A246" s="328">
        <v>237</v>
      </c>
      <c r="B246" s="356" t="s">
        <v>2153</v>
      </c>
      <c r="C246" s="329"/>
      <c r="D246" s="329"/>
      <c r="E246" s="333" t="s">
        <v>2154</v>
      </c>
      <c r="F246" s="351" t="s">
        <v>2157</v>
      </c>
      <c r="G246" s="328" t="s">
        <v>2152</v>
      </c>
      <c r="H246" s="351" t="s">
        <v>2155</v>
      </c>
      <c r="I246" s="328" t="s">
        <v>18</v>
      </c>
      <c r="J246" s="328" t="s">
        <v>2156</v>
      </c>
      <c r="K246" s="330">
        <v>24000</v>
      </c>
      <c r="L246" s="330">
        <v>0</v>
      </c>
      <c r="M246" s="330">
        <v>970</v>
      </c>
      <c r="N246" s="330"/>
      <c r="O246" s="330">
        <v>970</v>
      </c>
      <c r="P246" s="330"/>
      <c r="Q246" s="330">
        <v>0</v>
      </c>
    </row>
    <row r="247" spans="1:27" ht="25.5">
      <c r="A247" s="328">
        <v>238</v>
      </c>
      <c r="B247" s="329" t="s">
        <v>2368</v>
      </c>
      <c r="C247" s="329"/>
      <c r="D247" s="329"/>
      <c r="E247" s="333" t="s">
        <v>2369</v>
      </c>
      <c r="F247" s="328" t="s">
        <v>2372</v>
      </c>
      <c r="G247" s="328" t="s">
        <v>2373</v>
      </c>
      <c r="H247" s="328" t="s">
        <v>2370</v>
      </c>
      <c r="I247" s="328" t="s">
        <v>18</v>
      </c>
      <c r="J247" s="328" t="s">
        <v>2371</v>
      </c>
      <c r="K247" s="330">
        <v>18000</v>
      </c>
      <c r="L247" s="330">
        <v>66</v>
      </c>
      <c r="M247" s="330">
        <v>980</v>
      </c>
      <c r="N247" s="330"/>
      <c r="O247" s="330">
        <v>1046</v>
      </c>
      <c r="P247" s="330"/>
      <c r="Q247" s="330">
        <v>0</v>
      </c>
    </row>
    <row r="248" spans="1:27">
      <c r="A248" s="328">
        <v>239</v>
      </c>
      <c r="B248" s="329" t="s">
        <v>2842</v>
      </c>
      <c r="C248" s="333"/>
      <c r="D248" s="333"/>
      <c r="E248" s="333" t="s">
        <v>2843</v>
      </c>
      <c r="F248" s="328" t="s">
        <v>2844</v>
      </c>
      <c r="G248" s="328" t="s">
        <v>1912</v>
      </c>
      <c r="H248" s="328" t="s">
        <v>235</v>
      </c>
      <c r="I248" s="328" t="s">
        <v>11</v>
      </c>
      <c r="J248" s="328" t="s">
        <v>2845</v>
      </c>
      <c r="K248" s="330">
        <v>756</v>
      </c>
      <c r="L248" s="330">
        <v>4624</v>
      </c>
      <c r="M248" s="330">
        <v>0</v>
      </c>
      <c r="N248" s="330"/>
      <c r="O248" s="330">
        <v>4624</v>
      </c>
      <c r="P248" s="330"/>
      <c r="Q248" s="330">
        <v>0</v>
      </c>
    </row>
    <row r="249" spans="1:27" ht="25.5">
      <c r="A249" s="328">
        <v>240</v>
      </c>
      <c r="B249" s="336" t="s">
        <v>873</v>
      </c>
      <c r="C249" s="329"/>
      <c r="D249" s="329"/>
      <c r="E249" s="636" t="s">
        <v>949</v>
      </c>
      <c r="F249" s="337" t="s">
        <v>950</v>
      </c>
      <c r="G249" s="337" t="s">
        <v>298</v>
      </c>
      <c r="H249" s="337" t="s">
        <v>874</v>
      </c>
      <c r="I249" s="337" t="s">
        <v>628</v>
      </c>
      <c r="J249" s="337" t="s">
        <v>875</v>
      </c>
      <c r="K249" s="330">
        <v>30048</v>
      </c>
      <c r="L249" s="330">
        <v>90</v>
      </c>
      <c r="M249" s="330">
        <v>30</v>
      </c>
      <c r="N249" s="330"/>
      <c r="O249" s="330">
        <v>80</v>
      </c>
      <c r="P249" s="330"/>
      <c r="Q249" s="330">
        <v>40</v>
      </c>
    </row>
    <row r="250" spans="1:27" ht="25.5">
      <c r="A250" s="325">
        <v>241</v>
      </c>
      <c r="B250" s="329" t="s">
        <v>294</v>
      </c>
      <c r="C250" s="333"/>
      <c r="D250" s="333"/>
      <c r="E250" s="333" t="s">
        <v>295</v>
      </c>
      <c r="F250" s="328" t="s">
        <v>297</v>
      </c>
      <c r="G250" s="328" t="s">
        <v>298</v>
      </c>
      <c r="H250" s="328" t="s">
        <v>296</v>
      </c>
      <c r="I250" s="328" t="s">
        <v>10</v>
      </c>
      <c r="J250" s="328" t="s">
        <v>647</v>
      </c>
      <c r="K250" s="330">
        <v>6750</v>
      </c>
      <c r="L250" s="330">
        <v>1408</v>
      </c>
      <c r="M250" s="330">
        <v>0</v>
      </c>
      <c r="N250" s="330"/>
      <c r="O250" s="330">
        <v>377</v>
      </c>
      <c r="P250" s="330"/>
      <c r="Q250" s="330">
        <v>1031</v>
      </c>
    </row>
    <row r="251" spans="1:27">
      <c r="A251" s="328">
        <v>242</v>
      </c>
      <c r="B251" s="329" t="s">
        <v>1481</v>
      </c>
      <c r="C251" s="329"/>
      <c r="D251" s="329"/>
      <c r="E251" s="333" t="s">
        <v>1482</v>
      </c>
      <c r="F251" s="328" t="s">
        <v>1484</v>
      </c>
      <c r="G251" s="328" t="s">
        <v>1485</v>
      </c>
      <c r="H251" s="328" t="s">
        <v>1483</v>
      </c>
      <c r="I251" s="328" t="s">
        <v>10</v>
      </c>
      <c r="J251" s="328" t="s">
        <v>626</v>
      </c>
      <c r="K251" s="330">
        <v>4900</v>
      </c>
      <c r="L251" s="330">
        <v>6305</v>
      </c>
      <c r="M251" s="330">
        <v>29988</v>
      </c>
      <c r="N251" s="330"/>
      <c r="O251" s="330">
        <v>27248</v>
      </c>
      <c r="P251" s="330"/>
      <c r="Q251" s="330">
        <v>9045</v>
      </c>
    </row>
    <row r="252" spans="1:27">
      <c r="A252" s="328">
        <v>243</v>
      </c>
      <c r="B252" s="332" t="s">
        <v>788</v>
      </c>
      <c r="C252" s="333"/>
      <c r="D252" s="333"/>
      <c r="E252" s="332" t="s">
        <v>2846</v>
      </c>
      <c r="F252" s="328" t="s">
        <v>2847</v>
      </c>
      <c r="G252" s="328" t="s">
        <v>2764</v>
      </c>
      <c r="H252" s="334" t="s">
        <v>390</v>
      </c>
      <c r="I252" s="328" t="s">
        <v>11</v>
      </c>
      <c r="J252" s="328" t="s">
        <v>547</v>
      </c>
      <c r="K252" s="330">
        <v>590</v>
      </c>
      <c r="L252" s="330">
        <v>9784</v>
      </c>
      <c r="M252" s="330">
        <v>0</v>
      </c>
      <c r="N252" s="330"/>
      <c r="O252" s="330">
        <v>9781</v>
      </c>
      <c r="P252" s="330"/>
      <c r="Q252" s="330">
        <v>3</v>
      </c>
    </row>
    <row r="253" spans="1:27" ht="25.5">
      <c r="A253" s="328">
        <v>244</v>
      </c>
      <c r="B253" s="336" t="s">
        <v>1006</v>
      </c>
      <c r="C253" s="329"/>
      <c r="D253" s="329"/>
      <c r="E253" s="636" t="s">
        <v>1007</v>
      </c>
      <c r="F253" s="337" t="s">
        <v>1009</v>
      </c>
      <c r="G253" s="337" t="s">
        <v>1010</v>
      </c>
      <c r="H253" s="337" t="s">
        <v>1008</v>
      </c>
      <c r="I253" s="337" t="s">
        <v>10</v>
      </c>
      <c r="J253" s="337" t="s">
        <v>626</v>
      </c>
      <c r="K253" s="330">
        <v>6589</v>
      </c>
      <c r="L253" s="330">
        <v>5</v>
      </c>
      <c r="M253" s="330">
        <v>12000</v>
      </c>
      <c r="N253" s="330"/>
      <c r="O253" s="330">
        <v>5515</v>
      </c>
      <c r="P253" s="330"/>
      <c r="Q253" s="330">
        <v>6490</v>
      </c>
    </row>
    <row r="254" spans="1:27">
      <c r="A254" s="328">
        <v>245</v>
      </c>
      <c r="B254" s="336" t="s">
        <v>1002</v>
      </c>
      <c r="C254" s="329"/>
      <c r="D254" s="329"/>
      <c r="E254" s="636" t="s">
        <v>1003</v>
      </c>
      <c r="F254" s="337" t="s">
        <v>1005</v>
      </c>
      <c r="G254" s="337" t="s">
        <v>312</v>
      </c>
      <c r="H254" s="337" t="s">
        <v>1004</v>
      </c>
      <c r="I254" s="337" t="s">
        <v>10</v>
      </c>
      <c r="J254" s="337" t="s">
        <v>623</v>
      </c>
      <c r="K254" s="330">
        <v>5650</v>
      </c>
      <c r="L254" s="330">
        <v>0</v>
      </c>
      <c r="M254" s="330">
        <v>12000</v>
      </c>
      <c r="N254" s="330"/>
      <c r="O254" s="330">
        <v>5001</v>
      </c>
      <c r="P254" s="330"/>
      <c r="Q254" s="330">
        <v>6999</v>
      </c>
    </row>
    <row r="255" spans="1:27">
      <c r="A255" s="328">
        <v>246</v>
      </c>
      <c r="B255" s="347" t="s">
        <v>2848</v>
      </c>
      <c r="C255" s="329"/>
      <c r="D255" s="329"/>
      <c r="E255" s="640" t="s">
        <v>2849</v>
      </c>
      <c r="F255" s="348" t="s">
        <v>2850</v>
      </c>
      <c r="G255" s="348" t="s">
        <v>2851</v>
      </c>
      <c r="H255" s="348" t="s">
        <v>2852</v>
      </c>
      <c r="I255" s="348" t="s">
        <v>10</v>
      </c>
      <c r="J255" s="348" t="s">
        <v>647</v>
      </c>
      <c r="K255" s="330">
        <v>6500</v>
      </c>
      <c r="L255" s="330">
        <f>566</f>
        <v>566</v>
      </c>
      <c r="M255" s="330"/>
      <c r="N255" s="330"/>
      <c r="O255" s="330">
        <f>536+30</f>
        <v>566</v>
      </c>
      <c r="P255" s="330"/>
      <c r="Q255" s="330"/>
      <c r="R255" s="37"/>
      <c r="T255" s="37"/>
      <c r="U255" s="37"/>
      <c r="V255" s="37"/>
      <c r="W255" s="37"/>
      <c r="X255" s="37"/>
      <c r="Y255" s="37"/>
      <c r="Z255" s="37"/>
      <c r="AA255" s="37"/>
    </row>
    <row r="256" spans="1:27">
      <c r="A256" s="325">
        <v>247</v>
      </c>
      <c r="B256" s="329" t="s">
        <v>683</v>
      </c>
      <c r="C256" s="333"/>
      <c r="D256" s="333"/>
      <c r="E256" s="333" t="s">
        <v>2571</v>
      </c>
      <c r="F256" s="328" t="s">
        <v>2853</v>
      </c>
      <c r="G256" s="328" t="s">
        <v>2731</v>
      </c>
      <c r="H256" s="328" t="s">
        <v>691</v>
      </c>
      <c r="I256" s="328" t="s">
        <v>11</v>
      </c>
      <c r="J256" s="328" t="s">
        <v>884</v>
      </c>
      <c r="K256" s="330">
        <v>6240</v>
      </c>
      <c r="L256" s="330">
        <v>9583</v>
      </c>
      <c r="M256" s="330">
        <v>0</v>
      </c>
      <c r="N256" s="330"/>
      <c r="O256" s="330">
        <v>5876</v>
      </c>
      <c r="P256" s="330"/>
      <c r="Q256" s="330">
        <v>3707</v>
      </c>
    </row>
    <row r="257" spans="1:27">
      <c r="A257" s="328">
        <v>248</v>
      </c>
      <c r="B257" s="329" t="s">
        <v>1481</v>
      </c>
      <c r="C257" s="329"/>
      <c r="D257" s="329"/>
      <c r="E257" s="636" t="s">
        <v>1689</v>
      </c>
      <c r="F257" s="328" t="s">
        <v>1691</v>
      </c>
      <c r="G257" s="328" t="s">
        <v>458</v>
      </c>
      <c r="H257" s="328" t="s">
        <v>1690</v>
      </c>
      <c r="I257" s="328" t="s">
        <v>10</v>
      </c>
      <c r="J257" s="328" t="s">
        <v>1239</v>
      </c>
      <c r="K257" s="330">
        <v>3400</v>
      </c>
      <c r="L257" s="330">
        <v>0</v>
      </c>
      <c r="M257" s="330">
        <v>18000</v>
      </c>
      <c r="N257" s="330"/>
      <c r="O257" s="330">
        <v>10063</v>
      </c>
      <c r="P257" s="330"/>
      <c r="Q257" s="330">
        <v>7937</v>
      </c>
    </row>
    <row r="258" spans="1:27">
      <c r="A258" s="328">
        <v>249</v>
      </c>
      <c r="B258" s="329" t="s">
        <v>645</v>
      </c>
      <c r="C258" s="329"/>
      <c r="D258" s="329"/>
      <c r="E258" s="333" t="s">
        <v>1545</v>
      </c>
      <c r="F258" s="328" t="s">
        <v>1546</v>
      </c>
      <c r="G258" s="328" t="s">
        <v>458</v>
      </c>
      <c r="H258" s="328" t="s">
        <v>291</v>
      </c>
      <c r="I258" s="328" t="s">
        <v>10</v>
      </c>
      <c r="J258" s="328" t="s">
        <v>884</v>
      </c>
      <c r="K258" s="330">
        <v>1600</v>
      </c>
      <c r="L258" s="330">
        <v>0</v>
      </c>
      <c r="M258" s="330">
        <v>29580</v>
      </c>
      <c r="N258" s="330"/>
      <c r="O258" s="330">
        <v>29565</v>
      </c>
      <c r="P258" s="330"/>
      <c r="Q258" s="330">
        <v>15</v>
      </c>
    </row>
    <row r="259" spans="1:27">
      <c r="A259" s="328">
        <v>250</v>
      </c>
      <c r="B259" s="332" t="s">
        <v>1167</v>
      </c>
      <c r="C259" s="333"/>
      <c r="D259" s="333"/>
      <c r="E259" s="332" t="s">
        <v>2467</v>
      </c>
      <c r="F259" s="328" t="s">
        <v>2854</v>
      </c>
      <c r="G259" s="328" t="s">
        <v>360</v>
      </c>
      <c r="H259" s="334" t="s">
        <v>291</v>
      </c>
      <c r="I259" s="328" t="s">
        <v>11</v>
      </c>
      <c r="J259" s="328" t="s">
        <v>1329</v>
      </c>
      <c r="K259" s="330">
        <v>614</v>
      </c>
      <c r="L259" s="330">
        <v>14543</v>
      </c>
      <c r="M259" s="330">
        <v>0</v>
      </c>
      <c r="N259" s="330"/>
      <c r="O259" s="330">
        <v>6473</v>
      </c>
      <c r="P259" s="330"/>
      <c r="Q259" s="330">
        <v>8070</v>
      </c>
    </row>
    <row r="260" spans="1:27">
      <c r="A260" s="328">
        <v>251</v>
      </c>
      <c r="B260" s="336" t="s">
        <v>2276</v>
      </c>
      <c r="C260" s="329"/>
      <c r="D260" s="329"/>
      <c r="E260" s="333" t="s">
        <v>2277</v>
      </c>
      <c r="F260" s="328" t="s">
        <v>2279</v>
      </c>
      <c r="G260" s="328" t="s">
        <v>2253</v>
      </c>
      <c r="H260" s="328" t="s">
        <v>2278</v>
      </c>
      <c r="I260" s="328" t="s">
        <v>16</v>
      </c>
      <c r="J260" s="328" t="s">
        <v>2250</v>
      </c>
      <c r="K260" s="330">
        <v>1180</v>
      </c>
      <c r="L260" s="330">
        <v>0</v>
      </c>
      <c r="M260" s="330">
        <v>50000</v>
      </c>
      <c r="N260" s="330"/>
      <c r="O260" s="330">
        <v>50000</v>
      </c>
      <c r="P260" s="330"/>
      <c r="Q260" s="330">
        <v>0</v>
      </c>
    </row>
    <row r="261" spans="1:27">
      <c r="A261" s="328">
        <v>252</v>
      </c>
      <c r="B261" s="329" t="s">
        <v>1215</v>
      </c>
      <c r="C261" s="333"/>
      <c r="D261" s="333"/>
      <c r="E261" s="333" t="s">
        <v>2855</v>
      </c>
      <c r="F261" s="328" t="s">
        <v>2856</v>
      </c>
      <c r="G261" s="328" t="s">
        <v>863</v>
      </c>
      <c r="H261" s="328" t="s">
        <v>1217</v>
      </c>
      <c r="I261" s="328" t="s">
        <v>11</v>
      </c>
      <c r="J261" s="328" t="s">
        <v>884</v>
      </c>
      <c r="K261" s="330">
        <v>753</v>
      </c>
      <c r="L261" s="330">
        <v>233</v>
      </c>
      <c r="M261" s="330">
        <v>0</v>
      </c>
      <c r="N261" s="330"/>
      <c r="O261" s="330">
        <v>233</v>
      </c>
      <c r="P261" s="330"/>
      <c r="Q261" s="330">
        <v>0</v>
      </c>
    </row>
    <row r="262" spans="1:27" ht="38.25">
      <c r="A262" s="325">
        <v>253</v>
      </c>
      <c r="B262" s="336" t="s">
        <v>1012</v>
      </c>
      <c r="C262" s="329"/>
      <c r="D262" s="329"/>
      <c r="E262" s="636" t="s">
        <v>1013</v>
      </c>
      <c r="F262" s="337" t="s">
        <v>1015</v>
      </c>
      <c r="G262" s="337" t="s">
        <v>312</v>
      </c>
      <c r="H262" s="337" t="s">
        <v>1014</v>
      </c>
      <c r="I262" s="337" t="s">
        <v>10</v>
      </c>
      <c r="J262" s="337" t="s">
        <v>626</v>
      </c>
      <c r="K262" s="330">
        <v>3258</v>
      </c>
      <c r="L262" s="330">
        <v>28</v>
      </c>
      <c r="M262" s="330">
        <v>3600</v>
      </c>
      <c r="N262" s="330"/>
      <c r="O262" s="330">
        <v>2715</v>
      </c>
      <c r="P262" s="330"/>
      <c r="Q262" s="330">
        <v>913</v>
      </c>
    </row>
    <row r="263" spans="1:27">
      <c r="A263" s="328">
        <v>254</v>
      </c>
      <c r="B263" s="336" t="s">
        <v>2280</v>
      </c>
      <c r="C263" s="329"/>
      <c r="D263" s="329"/>
      <c r="E263" s="333" t="s">
        <v>64</v>
      </c>
      <c r="F263" s="328" t="s">
        <v>2281</v>
      </c>
      <c r="G263" s="328" t="s">
        <v>2253</v>
      </c>
      <c r="H263" s="328" t="s">
        <v>65</v>
      </c>
      <c r="I263" s="328" t="s">
        <v>16</v>
      </c>
      <c r="J263" s="328" t="s">
        <v>2250</v>
      </c>
      <c r="K263" s="330">
        <v>1700</v>
      </c>
      <c r="L263" s="330">
        <v>0</v>
      </c>
      <c r="M263" s="330">
        <v>10000</v>
      </c>
      <c r="N263" s="330"/>
      <c r="O263" s="330">
        <v>9970</v>
      </c>
      <c r="P263" s="330"/>
      <c r="Q263" s="330">
        <v>30</v>
      </c>
    </row>
    <row r="264" spans="1:27">
      <c r="A264" s="328">
        <v>255</v>
      </c>
      <c r="B264" s="329" t="s">
        <v>359</v>
      </c>
      <c r="C264" s="333"/>
      <c r="D264" s="333"/>
      <c r="E264" s="333" t="s">
        <v>2857</v>
      </c>
      <c r="F264" s="328" t="s">
        <v>2858</v>
      </c>
      <c r="G264" s="328" t="s">
        <v>867</v>
      </c>
      <c r="H264" s="328" t="s">
        <v>262</v>
      </c>
      <c r="I264" s="328" t="s">
        <v>11</v>
      </c>
      <c r="J264" s="337" t="s">
        <v>623</v>
      </c>
      <c r="K264" s="330">
        <v>389</v>
      </c>
      <c r="L264" s="330">
        <v>168</v>
      </c>
      <c r="M264" s="330">
        <v>0</v>
      </c>
      <c r="N264" s="330"/>
      <c r="O264" s="330">
        <v>168</v>
      </c>
      <c r="P264" s="330"/>
      <c r="Q264" s="330">
        <v>0</v>
      </c>
    </row>
    <row r="265" spans="1:27" ht="25.5">
      <c r="A265" s="328">
        <v>256</v>
      </c>
      <c r="B265" s="329" t="s">
        <v>2340</v>
      </c>
      <c r="C265" s="329"/>
      <c r="D265" s="329"/>
      <c r="E265" s="333" t="s">
        <v>66</v>
      </c>
      <c r="F265" s="349" t="s">
        <v>2342</v>
      </c>
      <c r="G265" s="349" t="s">
        <v>1567</v>
      </c>
      <c r="H265" s="328" t="s">
        <v>67</v>
      </c>
      <c r="I265" s="328" t="s">
        <v>18</v>
      </c>
      <c r="J265" s="328" t="s">
        <v>2341</v>
      </c>
      <c r="K265" s="330">
        <v>25200</v>
      </c>
      <c r="L265" s="330">
        <v>0</v>
      </c>
      <c r="M265" s="330">
        <v>1000</v>
      </c>
      <c r="N265" s="330"/>
      <c r="O265" s="330">
        <v>888</v>
      </c>
      <c r="P265" s="330"/>
      <c r="Q265" s="330">
        <v>112</v>
      </c>
    </row>
    <row r="266" spans="1:27">
      <c r="A266" s="328">
        <v>257</v>
      </c>
      <c r="B266" s="333" t="s">
        <v>1894</v>
      </c>
      <c r="C266" s="329"/>
      <c r="D266" s="329"/>
      <c r="E266" s="333" t="s">
        <v>1895</v>
      </c>
      <c r="F266" s="340" t="s">
        <v>1898</v>
      </c>
      <c r="G266" s="340" t="s">
        <v>1873</v>
      </c>
      <c r="H266" s="340" t="s">
        <v>1896</v>
      </c>
      <c r="I266" s="337" t="s">
        <v>10</v>
      </c>
      <c r="J266" s="340" t="s">
        <v>1897</v>
      </c>
      <c r="K266" s="330">
        <v>2600</v>
      </c>
      <c r="L266" s="330">
        <v>1095</v>
      </c>
      <c r="M266" s="330">
        <v>8000</v>
      </c>
      <c r="N266" s="330"/>
      <c r="O266" s="330">
        <v>1839</v>
      </c>
      <c r="P266" s="330"/>
      <c r="Q266" s="330">
        <v>7256</v>
      </c>
    </row>
    <row r="267" spans="1:27">
      <c r="A267" s="328">
        <v>258</v>
      </c>
      <c r="B267" s="329" t="s">
        <v>2859</v>
      </c>
      <c r="C267" s="329"/>
      <c r="D267" s="329"/>
      <c r="E267" s="333" t="s">
        <v>2599</v>
      </c>
      <c r="F267" s="328" t="s">
        <v>2860</v>
      </c>
      <c r="G267" s="328" t="s">
        <v>2861</v>
      </c>
      <c r="H267" s="328" t="s">
        <v>299</v>
      </c>
      <c r="I267" s="328" t="s">
        <v>10</v>
      </c>
      <c r="J267" s="328" t="s">
        <v>2204</v>
      </c>
      <c r="K267" s="330">
        <v>1150</v>
      </c>
      <c r="L267" s="330">
        <v>875</v>
      </c>
      <c r="M267" s="330">
        <v>0</v>
      </c>
      <c r="N267" s="330"/>
      <c r="O267" s="330">
        <v>862</v>
      </c>
      <c r="P267" s="330"/>
      <c r="Q267" s="330">
        <v>13</v>
      </c>
    </row>
    <row r="268" spans="1:27">
      <c r="A268" s="325">
        <v>259</v>
      </c>
      <c r="B268" s="342" t="s">
        <v>2862</v>
      </c>
      <c r="C268" s="329"/>
      <c r="D268" s="329"/>
      <c r="E268" s="333" t="s">
        <v>1537</v>
      </c>
      <c r="F268" s="328" t="s">
        <v>2863</v>
      </c>
      <c r="G268" s="328" t="s">
        <v>2864</v>
      </c>
      <c r="H268" s="328" t="s">
        <v>869</v>
      </c>
      <c r="I268" s="328" t="s">
        <v>10</v>
      </c>
      <c r="J268" s="328" t="s">
        <v>1239</v>
      </c>
      <c r="K268" s="330">
        <v>1780</v>
      </c>
      <c r="L268" s="330">
        <v>1310</v>
      </c>
      <c r="M268" s="330">
        <v>0</v>
      </c>
      <c r="N268" s="330"/>
      <c r="O268" s="330">
        <v>401</v>
      </c>
      <c r="P268" s="330"/>
      <c r="Q268" s="330">
        <v>909</v>
      </c>
    </row>
    <row r="269" spans="1:27">
      <c r="A269" s="328">
        <v>260</v>
      </c>
      <c r="B269" s="336" t="s">
        <v>557</v>
      </c>
      <c r="C269" s="329"/>
      <c r="D269" s="329"/>
      <c r="E269" s="333" t="s">
        <v>824</v>
      </c>
      <c r="F269" s="328" t="s">
        <v>826</v>
      </c>
      <c r="G269" s="328" t="s">
        <v>806</v>
      </c>
      <c r="H269" s="328" t="s">
        <v>272</v>
      </c>
      <c r="I269" s="328" t="s">
        <v>11</v>
      </c>
      <c r="J269" s="328" t="s">
        <v>825</v>
      </c>
      <c r="K269" s="330">
        <v>120</v>
      </c>
      <c r="L269" s="330">
        <v>53</v>
      </c>
      <c r="M269" s="330">
        <v>91400</v>
      </c>
      <c r="N269" s="330"/>
      <c r="O269" s="330">
        <v>63871</v>
      </c>
      <c r="P269" s="330"/>
      <c r="Q269" s="330">
        <v>27582</v>
      </c>
    </row>
    <row r="270" spans="1:27">
      <c r="A270" s="328">
        <v>261</v>
      </c>
      <c r="B270" s="347" t="s">
        <v>1302</v>
      </c>
      <c r="C270" s="329"/>
      <c r="D270" s="329"/>
      <c r="E270" s="640" t="s">
        <v>2865</v>
      </c>
      <c r="F270" s="348" t="s">
        <v>2866</v>
      </c>
      <c r="G270" s="348" t="s">
        <v>255</v>
      </c>
      <c r="H270" s="348" t="s">
        <v>1995</v>
      </c>
      <c r="I270" s="348" t="s">
        <v>10</v>
      </c>
      <c r="J270" s="348" t="s">
        <v>2841</v>
      </c>
      <c r="K270" s="330">
        <v>777</v>
      </c>
      <c r="L270" s="330">
        <v>3733</v>
      </c>
      <c r="M270" s="330"/>
      <c r="N270" s="330"/>
      <c r="O270" s="330">
        <f>1151+2582</f>
        <v>3733</v>
      </c>
      <c r="P270" s="330"/>
      <c r="Q270" s="330"/>
      <c r="R270" s="37"/>
      <c r="T270" s="37"/>
      <c r="U270" s="37"/>
      <c r="V270" s="37"/>
      <c r="W270" s="37"/>
      <c r="X270" s="37"/>
      <c r="Y270" s="37"/>
      <c r="Z270" s="37"/>
      <c r="AA270" s="37"/>
    </row>
    <row r="271" spans="1:27">
      <c r="A271" s="328">
        <v>262</v>
      </c>
      <c r="B271" s="329" t="s">
        <v>1302</v>
      </c>
      <c r="C271" s="333"/>
      <c r="D271" s="333"/>
      <c r="E271" s="333" t="s">
        <v>2468</v>
      </c>
      <c r="F271" s="328" t="s">
        <v>2867</v>
      </c>
      <c r="G271" s="328" t="s">
        <v>255</v>
      </c>
      <c r="H271" s="328" t="s">
        <v>315</v>
      </c>
      <c r="I271" s="328" t="s">
        <v>11</v>
      </c>
      <c r="J271" s="328" t="s">
        <v>815</v>
      </c>
      <c r="K271" s="330">
        <v>1155</v>
      </c>
      <c r="L271" s="330">
        <v>13327</v>
      </c>
      <c r="M271" s="330">
        <v>0</v>
      </c>
      <c r="N271" s="330"/>
      <c r="O271" s="330">
        <v>13300</v>
      </c>
      <c r="P271" s="330"/>
      <c r="Q271" s="330">
        <v>27</v>
      </c>
    </row>
    <row r="272" spans="1:27">
      <c r="A272" s="328">
        <v>263</v>
      </c>
      <c r="B272" s="329" t="s">
        <v>2469</v>
      </c>
      <c r="C272" s="333"/>
      <c r="D272" s="333"/>
      <c r="E272" s="333" t="s">
        <v>1432</v>
      </c>
      <c r="F272" s="328" t="s">
        <v>2868</v>
      </c>
      <c r="G272" s="328" t="s">
        <v>1429</v>
      </c>
      <c r="H272" s="328" t="s">
        <v>1433</v>
      </c>
      <c r="I272" s="328" t="s">
        <v>10</v>
      </c>
      <c r="J272" s="328" t="s">
        <v>626</v>
      </c>
      <c r="K272" s="330">
        <v>73</v>
      </c>
      <c r="L272" s="330">
        <v>800</v>
      </c>
      <c r="M272" s="330">
        <v>0</v>
      </c>
      <c r="N272" s="330"/>
      <c r="O272" s="330">
        <v>500</v>
      </c>
      <c r="P272" s="330"/>
      <c r="Q272" s="330">
        <v>300</v>
      </c>
    </row>
    <row r="273" spans="1:27">
      <c r="A273" s="328">
        <v>264</v>
      </c>
      <c r="B273" s="329" t="s">
        <v>1326</v>
      </c>
      <c r="C273" s="329"/>
      <c r="D273" s="329"/>
      <c r="E273" s="333" t="s">
        <v>1327</v>
      </c>
      <c r="F273" s="328" t="s">
        <v>1328</v>
      </c>
      <c r="G273" s="328" t="s">
        <v>360</v>
      </c>
      <c r="H273" s="328" t="s">
        <v>222</v>
      </c>
      <c r="I273" s="328" t="s">
        <v>11</v>
      </c>
      <c r="J273" s="328" t="s">
        <v>642</v>
      </c>
      <c r="K273" s="330">
        <v>55</v>
      </c>
      <c r="L273" s="330">
        <v>0</v>
      </c>
      <c r="M273" s="330">
        <v>9900</v>
      </c>
      <c r="N273" s="330"/>
      <c r="O273" s="330">
        <v>202</v>
      </c>
      <c r="P273" s="330"/>
      <c r="Q273" s="330">
        <v>9698</v>
      </c>
    </row>
    <row r="274" spans="1:27" ht="25.5">
      <c r="A274" s="325">
        <v>265</v>
      </c>
      <c r="B274" s="338" t="s">
        <v>2122</v>
      </c>
      <c r="C274" s="329"/>
      <c r="D274" s="329"/>
      <c r="E274" s="333" t="s">
        <v>2123</v>
      </c>
      <c r="F274" s="328" t="s">
        <v>2125</v>
      </c>
      <c r="G274" s="328" t="s">
        <v>2126</v>
      </c>
      <c r="H274" s="328" t="s">
        <v>733</v>
      </c>
      <c r="I274" s="328" t="s">
        <v>14</v>
      </c>
      <c r="J274" s="328" t="s">
        <v>2124</v>
      </c>
      <c r="K274" s="330">
        <v>45000</v>
      </c>
      <c r="L274" s="330">
        <v>0</v>
      </c>
      <c r="M274" s="330">
        <v>100</v>
      </c>
      <c r="N274" s="330"/>
      <c r="O274" s="330">
        <v>100</v>
      </c>
      <c r="P274" s="330"/>
      <c r="Q274" s="330">
        <v>0</v>
      </c>
    </row>
    <row r="275" spans="1:27">
      <c r="A275" s="328">
        <v>266</v>
      </c>
      <c r="B275" s="329" t="s">
        <v>1064</v>
      </c>
      <c r="C275" s="329"/>
      <c r="D275" s="329"/>
      <c r="E275" s="333" t="s">
        <v>1065</v>
      </c>
      <c r="F275" s="328" t="s">
        <v>1067</v>
      </c>
      <c r="G275" s="328" t="s">
        <v>336</v>
      </c>
      <c r="H275" s="328" t="s">
        <v>384</v>
      </c>
      <c r="I275" s="328" t="s">
        <v>10</v>
      </c>
      <c r="J275" s="328" t="s">
        <v>1066</v>
      </c>
      <c r="K275" s="330">
        <v>120</v>
      </c>
      <c r="L275" s="330">
        <v>0</v>
      </c>
      <c r="M275" s="330">
        <v>29400</v>
      </c>
      <c r="N275" s="330"/>
      <c r="O275" s="330">
        <v>14712</v>
      </c>
      <c r="P275" s="330"/>
      <c r="Q275" s="330">
        <v>14688</v>
      </c>
    </row>
    <row r="276" spans="1:27">
      <c r="A276" s="328">
        <v>267</v>
      </c>
      <c r="B276" s="332" t="s">
        <v>513</v>
      </c>
      <c r="C276" s="329"/>
      <c r="D276" s="329"/>
      <c r="E276" s="332" t="s">
        <v>2869</v>
      </c>
      <c r="F276" s="328" t="s">
        <v>2870</v>
      </c>
      <c r="G276" s="328" t="s">
        <v>749</v>
      </c>
      <c r="H276" s="334" t="s">
        <v>2564</v>
      </c>
      <c r="I276" s="328" t="s">
        <v>18</v>
      </c>
      <c r="J276" s="328" t="s">
        <v>748</v>
      </c>
      <c r="K276" s="335">
        <v>10500</v>
      </c>
      <c r="L276" s="330">
        <v>24</v>
      </c>
      <c r="M276" s="330">
        <v>0</v>
      </c>
      <c r="N276" s="330"/>
      <c r="O276" s="330">
        <v>24</v>
      </c>
      <c r="P276" s="330"/>
      <c r="Q276" s="330">
        <v>0</v>
      </c>
    </row>
    <row r="277" spans="1:27">
      <c r="A277" s="328">
        <v>268</v>
      </c>
      <c r="B277" s="336" t="s">
        <v>972</v>
      </c>
      <c r="C277" s="329"/>
      <c r="D277" s="329"/>
      <c r="E277" s="636" t="s">
        <v>973</v>
      </c>
      <c r="F277" s="337" t="s">
        <v>975</v>
      </c>
      <c r="G277" s="337" t="s">
        <v>312</v>
      </c>
      <c r="H277" s="337" t="s">
        <v>869</v>
      </c>
      <c r="I277" s="337" t="s">
        <v>10</v>
      </c>
      <c r="J277" s="337" t="s">
        <v>974</v>
      </c>
      <c r="K277" s="330">
        <v>5460</v>
      </c>
      <c r="L277" s="330">
        <v>0</v>
      </c>
      <c r="M277" s="330">
        <v>15000</v>
      </c>
      <c r="N277" s="330"/>
      <c r="O277" s="330">
        <v>0</v>
      </c>
      <c r="P277" s="330"/>
      <c r="Q277" s="330">
        <v>15000</v>
      </c>
    </row>
    <row r="278" spans="1:27">
      <c r="A278" s="328">
        <v>269</v>
      </c>
      <c r="B278" s="329" t="s">
        <v>1678</v>
      </c>
      <c r="C278" s="329"/>
      <c r="D278" s="329"/>
      <c r="E278" s="333" t="s">
        <v>1679</v>
      </c>
      <c r="F278" s="357" t="s">
        <v>1682</v>
      </c>
      <c r="G278" s="358" t="s">
        <v>1683</v>
      </c>
      <c r="H278" s="328" t="s">
        <v>1680</v>
      </c>
      <c r="I278" s="359" t="s">
        <v>10</v>
      </c>
      <c r="J278" s="357" t="s">
        <v>1681</v>
      </c>
      <c r="K278" s="330">
        <v>3390</v>
      </c>
      <c r="L278" s="330">
        <v>0</v>
      </c>
      <c r="M278" s="330">
        <v>20000</v>
      </c>
      <c r="N278" s="330"/>
      <c r="O278" s="330">
        <v>5318</v>
      </c>
      <c r="P278" s="330"/>
      <c r="Q278" s="330">
        <v>14682</v>
      </c>
    </row>
    <row r="279" spans="1:27">
      <c r="A279" s="328">
        <v>270</v>
      </c>
      <c r="B279" s="329" t="s">
        <v>2871</v>
      </c>
      <c r="C279" s="329"/>
      <c r="D279" s="329"/>
      <c r="E279" s="333" t="s">
        <v>2616</v>
      </c>
      <c r="F279" s="328" t="s">
        <v>2872</v>
      </c>
      <c r="G279" s="328" t="s">
        <v>2873</v>
      </c>
      <c r="H279" s="328" t="s">
        <v>238</v>
      </c>
      <c r="I279" s="328" t="s">
        <v>520</v>
      </c>
      <c r="J279" s="328" t="s">
        <v>2874</v>
      </c>
      <c r="K279" s="330">
        <v>4200</v>
      </c>
      <c r="L279" s="330">
        <v>11</v>
      </c>
      <c r="M279" s="330">
        <v>0</v>
      </c>
      <c r="N279" s="330"/>
      <c r="O279" s="330">
        <v>0</v>
      </c>
      <c r="P279" s="330"/>
      <c r="Q279" s="330">
        <v>11</v>
      </c>
    </row>
    <row r="280" spans="1:27">
      <c r="A280" s="325">
        <v>271</v>
      </c>
      <c r="B280" s="332" t="s">
        <v>713</v>
      </c>
      <c r="C280" s="333"/>
      <c r="D280" s="333"/>
      <c r="E280" s="332" t="s">
        <v>2875</v>
      </c>
      <c r="F280" s="328" t="s">
        <v>2876</v>
      </c>
      <c r="G280" s="328" t="s">
        <v>1913</v>
      </c>
      <c r="H280" s="334" t="s">
        <v>327</v>
      </c>
      <c r="I280" s="328" t="s">
        <v>11</v>
      </c>
      <c r="J280" s="328" t="s">
        <v>842</v>
      </c>
      <c r="K280" s="330">
        <v>156</v>
      </c>
      <c r="L280" s="330">
        <v>776</v>
      </c>
      <c r="M280" s="330">
        <v>5</v>
      </c>
      <c r="N280" s="330"/>
      <c r="O280" s="330">
        <v>708</v>
      </c>
      <c r="P280" s="330"/>
      <c r="Q280" s="330">
        <v>73</v>
      </c>
    </row>
    <row r="281" spans="1:27" ht="25.5">
      <c r="A281" s="328">
        <v>272</v>
      </c>
      <c r="B281" s="329" t="s">
        <v>713</v>
      </c>
      <c r="C281" s="333"/>
      <c r="D281" s="333"/>
      <c r="E281" s="333" t="s">
        <v>714</v>
      </c>
      <c r="F281" s="328" t="s">
        <v>717</v>
      </c>
      <c r="G281" s="328" t="s">
        <v>718</v>
      </c>
      <c r="H281" s="328" t="s">
        <v>1767</v>
      </c>
      <c r="I281" s="328" t="s">
        <v>520</v>
      </c>
      <c r="J281" s="328" t="s">
        <v>716</v>
      </c>
      <c r="K281" s="330">
        <v>6888</v>
      </c>
      <c r="L281" s="330">
        <v>121</v>
      </c>
      <c r="M281" s="330">
        <v>5</v>
      </c>
      <c r="N281" s="330"/>
      <c r="O281" s="330">
        <v>28</v>
      </c>
      <c r="P281" s="330"/>
      <c r="Q281" s="330">
        <v>98</v>
      </c>
    </row>
    <row r="282" spans="1:27">
      <c r="A282" s="328">
        <v>273</v>
      </c>
      <c r="B282" s="332" t="s">
        <v>2601</v>
      </c>
      <c r="C282" s="329"/>
      <c r="D282" s="329"/>
      <c r="E282" s="332" t="s">
        <v>2600</v>
      </c>
      <c r="F282" s="328" t="s">
        <v>2877</v>
      </c>
      <c r="G282" s="328" t="s">
        <v>863</v>
      </c>
      <c r="H282" s="334" t="s">
        <v>2602</v>
      </c>
      <c r="I282" s="328" t="s">
        <v>11</v>
      </c>
      <c r="J282" s="328" t="s">
        <v>842</v>
      </c>
      <c r="K282" s="330">
        <v>154</v>
      </c>
      <c r="L282" s="330">
        <v>2258</v>
      </c>
      <c r="M282" s="330">
        <v>0</v>
      </c>
      <c r="N282" s="330"/>
      <c r="O282" s="330">
        <v>2244</v>
      </c>
      <c r="P282" s="330"/>
      <c r="Q282" s="330">
        <v>14</v>
      </c>
    </row>
    <row r="283" spans="1:27" ht="25.5">
      <c r="A283" s="328">
        <v>274</v>
      </c>
      <c r="B283" s="338" t="s">
        <v>2098</v>
      </c>
      <c r="C283" s="329"/>
      <c r="D283" s="329"/>
      <c r="E283" s="333" t="s">
        <v>2099</v>
      </c>
      <c r="F283" s="328" t="s">
        <v>2101</v>
      </c>
      <c r="G283" s="328" t="s">
        <v>514</v>
      </c>
      <c r="H283" s="328" t="s">
        <v>2100</v>
      </c>
      <c r="I283" s="328" t="s">
        <v>18</v>
      </c>
      <c r="J283" s="328" t="s">
        <v>2057</v>
      </c>
      <c r="K283" s="330">
        <v>7900</v>
      </c>
      <c r="L283" s="330">
        <v>0</v>
      </c>
      <c r="M283" s="330">
        <v>600</v>
      </c>
      <c r="N283" s="330"/>
      <c r="O283" s="330">
        <v>496</v>
      </c>
      <c r="P283" s="330"/>
      <c r="Q283" s="330">
        <v>104</v>
      </c>
    </row>
    <row r="284" spans="1:27">
      <c r="A284" s="328">
        <v>275</v>
      </c>
      <c r="B284" s="347" t="s">
        <v>1330</v>
      </c>
      <c r="C284" s="329"/>
      <c r="D284" s="329"/>
      <c r="E284" s="640" t="s">
        <v>2878</v>
      </c>
      <c r="F284" s="348" t="s">
        <v>2879</v>
      </c>
      <c r="G284" s="348" t="s">
        <v>2880</v>
      </c>
      <c r="H284" s="348" t="s">
        <v>291</v>
      </c>
      <c r="I284" s="348" t="s">
        <v>10</v>
      </c>
      <c r="J284" s="348" t="s">
        <v>2881</v>
      </c>
      <c r="K284" s="330">
        <v>504</v>
      </c>
      <c r="L284" s="330">
        <v>18018</v>
      </c>
      <c r="M284" s="330"/>
      <c r="N284" s="330"/>
      <c r="O284" s="330">
        <v>18018</v>
      </c>
      <c r="P284" s="330"/>
      <c r="Q284" s="330"/>
      <c r="R284" s="37"/>
      <c r="T284" s="37"/>
      <c r="U284" s="37"/>
      <c r="V284" s="37"/>
      <c r="W284" s="37"/>
      <c r="X284" s="37"/>
      <c r="Y284" s="37"/>
      <c r="Z284" s="37"/>
      <c r="AA284" s="37"/>
    </row>
    <row r="285" spans="1:27" ht="25.5">
      <c r="A285" s="328">
        <v>276</v>
      </c>
      <c r="B285" s="336" t="s">
        <v>1330</v>
      </c>
      <c r="C285" s="329"/>
      <c r="D285" s="329"/>
      <c r="E285" s="333" t="s">
        <v>1330</v>
      </c>
      <c r="F285" s="328" t="s">
        <v>1332</v>
      </c>
      <c r="G285" s="328" t="s">
        <v>360</v>
      </c>
      <c r="H285" s="328" t="s">
        <v>291</v>
      </c>
      <c r="I285" s="328" t="s">
        <v>11</v>
      </c>
      <c r="J285" s="328" t="s">
        <v>1331</v>
      </c>
      <c r="K285" s="330">
        <v>74</v>
      </c>
      <c r="L285" s="330">
        <v>0</v>
      </c>
      <c r="M285" s="330">
        <v>41000</v>
      </c>
      <c r="N285" s="330"/>
      <c r="O285" s="330">
        <v>31530</v>
      </c>
      <c r="P285" s="330"/>
      <c r="Q285" s="330">
        <v>9470</v>
      </c>
    </row>
    <row r="286" spans="1:27">
      <c r="A286" s="325">
        <v>277</v>
      </c>
      <c r="B286" s="332" t="s">
        <v>1330</v>
      </c>
      <c r="C286" s="333"/>
      <c r="D286" s="333"/>
      <c r="E286" s="332" t="s">
        <v>2882</v>
      </c>
      <c r="F286" s="328" t="s">
        <v>2883</v>
      </c>
      <c r="G286" s="328" t="s">
        <v>2884</v>
      </c>
      <c r="H286" s="334" t="s">
        <v>291</v>
      </c>
      <c r="I286" s="328" t="s">
        <v>11</v>
      </c>
      <c r="J286" s="328" t="s">
        <v>2885</v>
      </c>
      <c r="K286" s="330">
        <v>89</v>
      </c>
      <c r="L286" s="330">
        <v>335</v>
      </c>
      <c r="M286" s="330">
        <v>0</v>
      </c>
      <c r="N286" s="330"/>
      <c r="O286" s="330">
        <v>335</v>
      </c>
      <c r="P286" s="330"/>
      <c r="Q286" s="330">
        <v>0</v>
      </c>
    </row>
    <row r="287" spans="1:27" ht="25.5">
      <c r="A287" s="328">
        <v>278</v>
      </c>
      <c r="B287" s="344" t="s">
        <v>68</v>
      </c>
      <c r="C287" s="329"/>
      <c r="D287" s="329"/>
      <c r="E287" s="332" t="s">
        <v>68</v>
      </c>
      <c r="F287" s="328" t="s">
        <v>2886</v>
      </c>
      <c r="G287" s="328" t="s">
        <v>867</v>
      </c>
      <c r="H287" s="328" t="s">
        <v>69</v>
      </c>
      <c r="I287" s="328" t="s">
        <v>11</v>
      </c>
      <c r="J287" s="328" t="s">
        <v>2184</v>
      </c>
      <c r="K287" s="335">
        <v>298</v>
      </c>
      <c r="L287" s="330">
        <v>5400</v>
      </c>
      <c r="M287" s="330">
        <v>0</v>
      </c>
      <c r="N287" s="330"/>
      <c r="O287" s="330">
        <v>5400</v>
      </c>
      <c r="P287" s="330"/>
      <c r="Q287" s="330">
        <v>0</v>
      </c>
    </row>
    <row r="288" spans="1:27" ht="25.5">
      <c r="A288" s="328">
        <v>279</v>
      </c>
      <c r="B288" s="329" t="s">
        <v>2183</v>
      </c>
      <c r="C288" s="329"/>
      <c r="D288" s="329"/>
      <c r="E288" s="332" t="s">
        <v>68</v>
      </c>
      <c r="F288" s="328" t="s">
        <v>2185</v>
      </c>
      <c r="G288" s="328" t="s">
        <v>867</v>
      </c>
      <c r="H288" s="328" t="s">
        <v>69</v>
      </c>
      <c r="I288" s="328" t="s">
        <v>11</v>
      </c>
      <c r="J288" s="328" t="s">
        <v>2184</v>
      </c>
      <c r="K288" s="330">
        <v>294</v>
      </c>
      <c r="L288" s="330">
        <v>0</v>
      </c>
      <c r="M288" s="330">
        <v>14940</v>
      </c>
      <c r="N288" s="330"/>
      <c r="O288" s="330">
        <v>6690</v>
      </c>
      <c r="P288" s="330"/>
      <c r="Q288" s="330">
        <v>8250</v>
      </c>
    </row>
    <row r="289" spans="1:27">
      <c r="A289" s="328">
        <v>280</v>
      </c>
      <c r="B289" s="332" t="s">
        <v>653</v>
      </c>
      <c r="C289" s="329"/>
      <c r="D289" s="329"/>
      <c r="E289" s="332" t="s">
        <v>2603</v>
      </c>
      <c r="F289" s="328" t="s">
        <v>2887</v>
      </c>
      <c r="G289" s="328" t="s">
        <v>2888</v>
      </c>
      <c r="H289" s="334" t="s">
        <v>655</v>
      </c>
      <c r="I289" s="328" t="s">
        <v>11</v>
      </c>
      <c r="J289" s="328" t="s">
        <v>656</v>
      </c>
      <c r="K289" s="330">
        <v>735</v>
      </c>
      <c r="L289" s="330">
        <v>456</v>
      </c>
      <c r="M289" s="330">
        <v>0</v>
      </c>
      <c r="N289" s="330"/>
      <c r="O289" s="330">
        <v>447</v>
      </c>
      <c r="P289" s="330"/>
      <c r="Q289" s="330">
        <v>9</v>
      </c>
    </row>
    <row r="290" spans="1:27">
      <c r="A290" s="328">
        <v>281</v>
      </c>
      <c r="B290" s="336" t="s">
        <v>653</v>
      </c>
      <c r="C290" s="329"/>
      <c r="D290" s="329"/>
      <c r="E290" s="333" t="s">
        <v>654</v>
      </c>
      <c r="F290" s="328" t="s">
        <v>657</v>
      </c>
      <c r="G290" s="328" t="s">
        <v>245</v>
      </c>
      <c r="H290" s="328" t="s">
        <v>655</v>
      </c>
      <c r="I290" s="328" t="s">
        <v>11</v>
      </c>
      <c r="J290" s="328" t="s">
        <v>656</v>
      </c>
      <c r="K290" s="330">
        <v>714</v>
      </c>
      <c r="L290" s="330">
        <v>0</v>
      </c>
      <c r="M290" s="330">
        <v>500</v>
      </c>
      <c r="N290" s="330"/>
      <c r="O290" s="330">
        <v>9</v>
      </c>
      <c r="P290" s="330"/>
      <c r="Q290" s="330">
        <v>491</v>
      </c>
    </row>
    <row r="291" spans="1:27">
      <c r="A291" s="328">
        <v>282</v>
      </c>
      <c r="B291" s="336" t="s">
        <v>1215</v>
      </c>
      <c r="C291" s="329"/>
      <c r="D291" s="329"/>
      <c r="E291" s="333" t="s">
        <v>1216</v>
      </c>
      <c r="F291" s="328" t="s">
        <v>1219</v>
      </c>
      <c r="G291" s="328" t="s">
        <v>352</v>
      </c>
      <c r="H291" s="328" t="s">
        <v>1217</v>
      </c>
      <c r="I291" s="328" t="s">
        <v>11</v>
      </c>
      <c r="J291" s="328" t="s">
        <v>1218</v>
      </c>
      <c r="K291" s="330">
        <v>720</v>
      </c>
      <c r="L291" s="330">
        <v>0</v>
      </c>
      <c r="M291" s="330">
        <v>15000</v>
      </c>
      <c r="N291" s="330"/>
      <c r="O291" s="330">
        <v>13394</v>
      </c>
      <c r="P291" s="330"/>
      <c r="Q291" s="330">
        <v>1606</v>
      </c>
    </row>
    <row r="292" spans="1:27">
      <c r="A292" s="325">
        <v>283</v>
      </c>
      <c r="B292" s="332" t="s">
        <v>2472</v>
      </c>
      <c r="C292" s="329"/>
      <c r="D292" s="329"/>
      <c r="E292" s="332" t="s">
        <v>2471</v>
      </c>
      <c r="F292" s="328" t="s">
        <v>2889</v>
      </c>
      <c r="G292" s="328" t="s">
        <v>530</v>
      </c>
      <c r="H292" s="334" t="s">
        <v>1016</v>
      </c>
      <c r="I292" s="334" t="s">
        <v>628</v>
      </c>
      <c r="J292" s="334" t="s">
        <v>2654</v>
      </c>
      <c r="K292" s="335">
        <v>630</v>
      </c>
      <c r="L292" s="330">
        <v>0</v>
      </c>
      <c r="M292" s="330">
        <v>400</v>
      </c>
      <c r="N292" s="330"/>
      <c r="O292" s="330">
        <v>10</v>
      </c>
      <c r="P292" s="330"/>
      <c r="Q292" s="330">
        <v>390</v>
      </c>
    </row>
    <row r="293" spans="1:27">
      <c r="A293" s="328">
        <v>284</v>
      </c>
      <c r="B293" s="336" t="s">
        <v>829</v>
      </c>
      <c r="C293" s="329"/>
      <c r="D293" s="329"/>
      <c r="E293" s="333" t="s">
        <v>830</v>
      </c>
      <c r="F293" s="328" t="s">
        <v>831</v>
      </c>
      <c r="G293" s="328" t="s">
        <v>806</v>
      </c>
      <c r="H293" s="328" t="s">
        <v>753</v>
      </c>
      <c r="I293" s="328" t="s">
        <v>11</v>
      </c>
      <c r="J293" s="328" t="s">
        <v>804</v>
      </c>
      <c r="K293" s="330">
        <v>367</v>
      </c>
      <c r="L293" s="330">
        <v>0</v>
      </c>
      <c r="M293" s="330">
        <v>1500</v>
      </c>
      <c r="N293" s="330"/>
      <c r="O293" s="330">
        <v>1500</v>
      </c>
      <c r="P293" s="330"/>
      <c r="Q293" s="330">
        <v>0</v>
      </c>
    </row>
    <row r="294" spans="1:27">
      <c r="A294" s="328">
        <v>285</v>
      </c>
      <c r="B294" s="336" t="s">
        <v>2215</v>
      </c>
      <c r="C294" s="329"/>
      <c r="D294" s="329"/>
      <c r="E294" s="636" t="s">
        <v>70</v>
      </c>
      <c r="F294" s="337" t="s">
        <v>2216</v>
      </c>
      <c r="G294" s="337" t="s">
        <v>2217</v>
      </c>
      <c r="H294" s="337" t="s">
        <v>72</v>
      </c>
      <c r="I294" s="328" t="s">
        <v>11</v>
      </c>
      <c r="J294" s="337" t="s">
        <v>647</v>
      </c>
      <c r="K294" s="330">
        <v>1490</v>
      </c>
      <c r="L294" s="330">
        <v>0</v>
      </c>
      <c r="M294" s="330">
        <v>10000</v>
      </c>
      <c r="N294" s="330"/>
      <c r="O294" s="330">
        <v>4080</v>
      </c>
      <c r="P294" s="330"/>
      <c r="Q294" s="330">
        <v>5920</v>
      </c>
    </row>
    <row r="295" spans="1:27">
      <c r="A295" s="328">
        <v>286</v>
      </c>
      <c r="B295" s="336" t="s">
        <v>2215</v>
      </c>
      <c r="C295" s="329"/>
      <c r="D295" s="329"/>
      <c r="E295" s="636" t="s">
        <v>70</v>
      </c>
      <c r="F295" s="328" t="s">
        <v>2890</v>
      </c>
      <c r="G295" s="337" t="s">
        <v>2217</v>
      </c>
      <c r="H295" s="337" t="s">
        <v>72</v>
      </c>
      <c r="I295" s="328" t="s">
        <v>11</v>
      </c>
      <c r="J295" s="337" t="s">
        <v>647</v>
      </c>
      <c r="K295" s="330">
        <v>1500</v>
      </c>
      <c r="L295" s="330">
        <v>120</v>
      </c>
      <c r="M295" s="330">
        <v>0</v>
      </c>
      <c r="N295" s="330"/>
      <c r="O295" s="330">
        <v>120</v>
      </c>
      <c r="P295" s="330"/>
      <c r="Q295" s="330">
        <v>0</v>
      </c>
    </row>
    <row r="296" spans="1:27">
      <c r="A296" s="328">
        <v>287</v>
      </c>
      <c r="B296" s="332" t="s">
        <v>1212</v>
      </c>
      <c r="C296" s="333"/>
      <c r="D296" s="333"/>
      <c r="E296" s="332" t="s">
        <v>1212</v>
      </c>
      <c r="F296" s="328" t="s">
        <v>2891</v>
      </c>
      <c r="G296" s="328" t="s">
        <v>2892</v>
      </c>
      <c r="H296" s="334" t="s">
        <v>945</v>
      </c>
      <c r="I296" s="328" t="s">
        <v>13</v>
      </c>
      <c r="J296" s="328" t="s">
        <v>1106</v>
      </c>
      <c r="K296" s="330">
        <v>862</v>
      </c>
      <c r="L296" s="330">
        <v>565</v>
      </c>
      <c r="M296" s="330">
        <v>0</v>
      </c>
      <c r="N296" s="330"/>
      <c r="O296" s="330">
        <v>565</v>
      </c>
      <c r="P296" s="330"/>
      <c r="Q296" s="330">
        <v>0</v>
      </c>
    </row>
    <row r="297" spans="1:27">
      <c r="A297" s="328">
        <v>288</v>
      </c>
      <c r="B297" s="336" t="s">
        <v>588</v>
      </c>
      <c r="C297" s="329"/>
      <c r="D297" s="329"/>
      <c r="E297" s="333" t="s">
        <v>589</v>
      </c>
      <c r="F297" s="328" t="s">
        <v>591</v>
      </c>
      <c r="G297" s="328" t="s">
        <v>587</v>
      </c>
      <c r="H297" s="328" t="s">
        <v>590</v>
      </c>
      <c r="I297" s="328" t="s">
        <v>11</v>
      </c>
      <c r="J297" s="328" t="s">
        <v>585</v>
      </c>
      <c r="K297" s="330">
        <v>1400</v>
      </c>
      <c r="L297" s="330">
        <v>0</v>
      </c>
      <c r="M297" s="330">
        <v>3000</v>
      </c>
      <c r="N297" s="330"/>
      <c r="O297" s="330">
        <v>1500</v>
      </c>
      <c r="P297" s="330"/>
      <c r="Q297" s="330">
        <v>1500</v>
      </c>
    </row>
    <row r="298" spans="1:27">
      <c r="A298" s="325">
        <v>289</v>
      </c>
      <c r="B298" s="347" t="s">
        <v>588</v>
      </c>
      <c r="C298" s="329"/>
      <c r="D298" s="329"/>
      <c r="E298" s="640" t="s">
        <v>2893</v>
      </c>
      <c r="F298" s="348" t="s">
        <v>2894</v>
      </c>
      <c r="G298" s="348" t="s">
        <v>587</v>
      </c>
      <c r="H298" s="348" t="s">
        <v>267</v>
      </c>
      <c r="I298" s="348" t="s">
        <v>10</v>
      </c>
      <c r="J298" s="348" t="s">
        <v>647</v>
      </c>
      <c r="K298" s="330">
        <v>842</v>
      </c>
      <c r="L298" s="330">
        <v>4967</v>
      </c>
      <c r="M298" s="330"/>
      <c r="N298" s="330"/>
      <c r="O298" s="330">
        <v>4967</v>
      </c>
      <c r="P298" s="330"/>
      <c r="Q298" s="330"/>
      <c r="R298" s="37"/>
      <c r="T298" s="37"/>
      <c r="U298" s="37"/>
      <c r="V298" s="37"/>
      <c r="W298" s="37"/>
      <c r="X298" s="37"/>
      <c r="Y298" s="37"/>
      <c r="Z298" s="37"/>
      <c r="AA298" s="37"/>
    </row>
    <row r="299" spans="1:27">
      <c r="A299" s="328">
        <v>290</v>
      </c>
      <c r="B299" s="336" t="s">
        <v>939</v>
      </c>
      <c r="C299" s="329"/>
      <c r="D299" s="329"/>
      <c r="E299" s="636" t="s">
        <v>1148</v>
      </c>
      <c r="F299" s="337" t="s">
        <v>1150</v>
      </c>
      <c r="G299" s="337" t="s">
        <v>1151</v>
      </c>
      <c r="H299" s="337" t="s">
        <v>1149</v>
      </c>
      <c r="I299" s="337" t="s">
        <v>520</v>
      </c>
      <c r="J299" s="337" t="s">
        <v>627</v>
      </c>
      <c r="K299" s="330">
        <v>3650</v>
      </c>
      <c r="L299" s="330">
        <v>4856</v>
      </c>
      <c r="M299" s="330">
        <v>17000</v>
      </c>
      <c r="N299" s="330"/>
      <c r="O299" s="330">
        <v>13251</v>
      </c>
      <c r="P299" s="330"/>
      <c r="Q299" s="330">
        <v>8605</v>
      </c>
    </row>
    <row r="300" spans="1:27">
      <c r="A300" s="328">
        <v>291</v>
      </c>
      <c r="B300" s="332" t="s">
        <v>695</v>
      </c>
      <c r="C300" s="333"/>
      <c r="D300" s="333"/>
      <c r="E300" s="332" t="s">
        <v>2473</v>
      </c>
      <c r="F300" s="328" t="s">
        <v>2895</v>
      </c>
      <c r="G300" s="328" t="s">
        <v>449</v>
      </c>
      <c r="H300" s="334" t="s">
        <v>2474</v>
      </c>
      <c r="I300" s="328" t="s">
        <v>18</v>
      </c>
      <c r="J300" s="328" t="s">
        <v>1936</v>
      </c>
      <c r="K300" s="330">
        <v>9500</v>
      </c>
      <c r="L300" s="330">
        <v>497</v>
      </c>
      <c r="M300" s="330">
        <v>0</v>
      </c>
      <c r="N300" s="330"/>
      <c r="O300" s="330">
        <v>243</v>
      </c>
      <c r="P300" s="330"/>
      <c r="Q300" s="330">
        <v>254</v>
      </c>
    </row>
    <row r="301" spans="1:27">
      <c r="A301" s="328">
        <v>292</v>
      </c>
      <c r="B301" s="332" t="s">
        <v>531</v>
      </c>
      <c r="C301" s="329"/>
      <c r="D301" s="329"/>
      <c r="E301" s="332" t="s">
        <v>2896</v>
      </c>
      <c r="F301" s="328" t="s">
        <v>2897</v>
      </c>
      <c r="G301" s="328" t="s">
        <v>1136</v>
      </c>
      <c r="H301" s="334" t="s">
        <v>267</v>
      </c>
      <c r="I301" s="328" t="s">
        <v>11</v>
      </c>
      <c r="J301" s="328" t="s">
        <v>1968</v>
      </c>
      <c r="K301" s="330">
        <v>105</v>
      </c>
      <c r="L301" s="330">
        <v>8</v>
      </c>
      <c r="M301" s="330">
        <v>0</v>
      </c>
      <c r="N301" s="330"/>
      <c r="O301" s="330">
        <v>8</v>
      </c>
      <c r="P301" s="330"/>
      <c r="Q301" s="330">
        <v>0</v>
      </c>
    </row>
    <row r="302" spans="1:27">
      <c r="A302" s="328">
        <v>293</v>
      </c>
      <c r="B302" s="347" t="s">
        <v>708</v>
      </c>
      <c r="C302" s="329"/>
      <c r="D302" s="329"/>
      <c r="E302" s="640" t="s">
        <v>2898</v>
      </c>
      <c r="F302" s="348" t="s">
        <v>2899</v>
      </c>
      <c r="G302" s="348" t="s">
        <v>2900</v>
      </c>
      <c r="H302" s="348" t="s">
        <v>965</v>
      </c>
      <c r="I302" s="348" t="s">
        <v>10</v>
      </c>
      <c r="J302" s="348" t="s">
        <v>1350</v>
      </c>
      <c r="K302" s="330">
        <v>987</v>
      </c>
      <c r="L302" s="330">
        <v>5299</v>
      </c>
      <c r="M302" s="330"/>
      <c r="N302" s="330"/>
      <c r="O302" s="330">
        <v>5299</v>
      </c>
      <c r="P302" s="330"/>
      <c r="Q302" s="330"/>
      <c r="R302" s="37"/>
      <c r="T302" s="37"/>
      <c r="U302" s="37"/>
      <c r="V302" s="37"/>
      <c r="W302" s="37"/>
      <c r="X302" s="37"/>
      <c r="Y302" s="37"/>
      <c r="Z302" s="37"/>
      <c r="AA302" s="37"/>
    </row>
    <row r="303" spans="1:27">
      <c r="A303" s="328">
        <v>294</v>
      </c>
      <c r="B303" s="329" t="s">
        <v>719</v>
      </c>
      <c r="C303" s="329"/>
      <c r="D303" s="329"/>
      <c r="E303" s="333" t="s">
        <v>720</v>
      </c>
      <c r="F303" s="328" t="s">
        <v>723</v>
      </c>
      <c r="G303" s="328" t="s">
        <v>718</v>
      </c>
      <c r="H303" s="328" t="s">
        <v>721</v>
      </c>
      <c r="I303" s="328" t="s">
        <v>14</v>
      </c>
      <c r="J303" s="328" t="s">
        <v>722</v>
      </c>
      <c r="K303" s="330">
        <v>134820</v>
      </c>
      <c r="L303" s="330">
        <v>1</v>
      </c>
      <c r="M303" s="330">
        <v>5</v>
      </c>
      <c r="N303" s="330"/>
      <c r="O303" s="330">
        <v>1</v>
      </c>
      <c r="P303" s="330"/>
      <c r="Q303" s="330">
        <v>5</v>
      </c>
    </row>
    <row r="304" spans="1:27" ht="38.25">
      <c r="A304" s="325">
        <v>295</v>
      </c>
      <c r="B304" s="336" t="s">
        <v>2282</v>
      </c>
      <c r="C304" s="329"/>
      <c r="D304" s="329"/>
      <c r="E304" s="333" t="s">
        <v>2283</v>
      </c>
      <c r="F304" s="328" t="s">
        <v>2285</v>
      </c>
      <c r="G304" s="328" t="s">
        <v>2253</v>
      </c>
      <c r="H304" s="328" t="s">
        <v>2284</v>
      </c>
      <c r="I304" s="328" t="s">
        <v>16</v>
      </c>
      <c r="J304" s="328" t="s">
        <v>2250</v>
      </c>
      <c r="K304" s="330">
        <v>900</v>
      </c>
      <c r="L304" s="330">
        <v>0</v>
      </c>
      <c r="M304" s="330">
        <v>60000</v>
      </c>
      <c r="N304" s="330"/>
      <c r="O304" s="330">
        <v>60000</v>
      </c>
      <c r="P304" s="330"/>
      <c r="Q304" s="330">
        <v>0</v>
      </c>
    </row>
    <row r="305" spans="1:27">
      <c r="A305" s="328">
        <v>296</v>
      </c>
      <c r="B305" s="347" t="s">
        <v>1397</v>
      </c>
      <c r="C305" s="329"/>
      <c r="D305" s="329"/>
      <c r="E305" s="640" t="s">
        <v>2901</v>
      </c>
      <c r="F305" s="348" t="s">
        <v>2902</v>
      </c>
      <c r="G305" s="348" t="s">
        <v>2903</v>
      </c>
      <c r="H305" s="348" t="s">
        <v>291</v>
      </c>
      <c r="I305" s="348" t="s">
        <v>10</v>
      </c>
      <c r="J305" s="348" t="s">
        <v>642</v>
      </c>
      <c r="K305" s="330">
        <v>149</v>
      </c>
      <c r="L305" s="330">
        <v>17481</v>
      </c>
      <c r="M305" s="330"/>
      <c r="N305" s="330"/>
      <c r="O305" s="330">
        <f>5117+3975+2638+5751</f>
        <v>17481</v>
      </c>
      <c r="P305" s="330"/>
      <c r="Q305" s="330"/>
      <c r="R305" s="37"/>
      <c r="T305" s="37"/>
      <c r="U305" s="37"/>
      <c r="V305" s="37"/>
      <c r="W305" s="37"/>
      <c r="X305" s="37"/>
      <c r="Y305" s="37"/>
      <c r="Z305" s="37"/>
      <c r="AA305" s="37"/>
    </row>
    <row r="306" spans="1:27">
      <c r="A306" s="328">
        <v>297</v>
      </c>
      <c r="B306" s="329" t="s">
        <v>2183</v>
      </c>
      <c r="C306" s="333"/>
      <c r="D306" s="333"/>
      <c r="E306" s="333" t="s">
        <v>73</v>
      </c>
      <c r="F306" s="328" t="s">
        <v>2425</v>
      </c>
      <c r="G306" s="328" t="s">
        <v>2424</v>
      </c>
      <c r="H306" s="328" t="s">
        <v>74</v>
      </c>
      <c r="I306" s="328" t="s">
        <v>10</v>
      </c>
      <c r="J306" s="328" t="s">
        <v>1329</v>
      </c>
      <c r="K306" s="330">
        <v>400</v>
      </c>
      <c r="L306" s="330">
        <v>35940</v>
      </c>
      <c r="M306" s="330">
        <v>0</v>
      </c>
      <c r="N306" s="330"/>
      <c r="O306" s="330">
        <v>35879</v>
      </c>
      <c r="P306" s="330"/>
      <c r="Q306" s="330">
        <v>61</v>
      </c>
    </row>
    <row r="307" spans="1:27">
      <c r="A307" s="328">
        <v>298</v>
      </c>
      <c r="B307" s="329" t="s">
        <v>1702</v>
      </c>
      <c r="C307" s="333"/>
      <c r="D307" s="333"/>
      <c r="E307" s="333" t="s">
        <v>2475</v>
      </c>
      <c r="F307" s="328" t="s">
        <v>2904</v>
      </c>
      <c r="G307" s="328" t="s">
        <v>2424</v>
      </c>
      <c r="H307" s="328" t="s">
        <v>327</v>
      </c>
      <c r="I307" s="328" t="s">
        <v>11</v>
      </c>
      <c r="J307" s="328" t="s">
        <v>1329</v>
      </c>
      <c r="K307" s="330">
        <v>297</v>
      </c>
      <c r="L307" s="330">
        <v>15127</v>
      </c>
      <c r="M307" s="330">
        <v>0</v>
      </c>
      <c r="N307" s="330"/>
      <c r="O307" s="330">
        <v>6949</v>
      </c>
      <c r="P307" s="330"/>
      <c r="Q307" s="330">
        <v>8178</v>
      </c>
    </row>
    <row r="308" spans="1:27">
      <c r="A308" s="328">
        <v>299</v>
      </c>
      <c r="B308" s="336" t="s">
        <v>2218</v>
      </c>
      <c r="C308" s="329"/>
      <c r="D308" s="329"/>
      <c r="E308" s="636" t="s">
        <v>75</v>
      </c>
      <c r="F308" s="337" t="s">
        <v>2219</v>
      </c>
      <c r="G308" s="328" t="s">
        <v>2424</v>
      </c>
      <c r="H308" s="337" t="s">
        <v>76</v>
      </c>
      <c r="I308" s="328" t="s">
        <v>11</v>
      </c>
      <c r="J308" s="337" t="s">
        <v>842</v>
      </c>
      <c r="K308" s="330">
        <v>630</v>
      </c>
      <c r="L308" s="330">
        <v>0</v>
      </c>
      <c r="M308" s="330">
        <v>8500</v>
      </c>
      <c r="N308" s="330"/>
      <c r="O308" s="330">
        <v>6580</v>
      </c>
      <c r="P308" s="330"/>
      <c r="Q308" s="330">
        <v>1920</v>
      </c>
    </row>
    <row r="309" spans="1:27">
      <c r="A309" s="328">
        <v>300</v>
      </c>
      <c r="B309" s="329" t="s">
        <v>882</v>
      </c>
      <c r="C309" s="333"/>
      <c r="D309" s="333"/>
      <c r="E309" s="333" t="s">
        <v>2905</v>
      </c>
      <c r="F309" s="328" t="s">
        <v>2906</v>
      </c>
      <c r="G309" s="328" t="s">
        <v>2907</v>
      </c>
      <c r="H309" s="328" t="s">
        <v>1580</v>
      </c>
      <c r="I309" s="328" t="s">
        <v>11</v>
      </c>
      <c r="J309" s="328" t="s">
        <v>815</v>
      </c>
      <c r="K309" s="330">
        <v>1950</v>
      </c>
      <c r="L309" s="330">
        <v>9634</v>
      </c>
      <c r="M309" s="330">
        <v>0</v>
      </c>
      <c r="N309" s="330"/>
      <c r="O309" s="330">
        <v>9633</v>
      </c>
      <c r="P309" s="330"/>
      <c r="Q309" s="330">
        <v>1</v>
      </c>
    </row>
    <row r="310" spans="1:27">
      <c r="A310" s="325">
        <v>301</v>
      </c>
      <c r="B310" s="329" t="s">
        <v>1397</v>
      </c>
      <c r="C310" s="329"/>
      <c r="D310" s="329"/>
      <c r="E310" s="333" t="s">
        <v>1398</v>
      </c>
      <c r="F310" s="328" t="s">
        <v>1399</v>
      </c>
      <c r="G310" s="328" t="s">
        <v>360</v>
      </c>
      <c r="H310" s="328" t="s">
        <v>291</v>
      </c>
      <c r="I310" s="328" t="s">
        <v>11</v>
      </c>
      <c r="J310" s="328" t="s">
        <v>642</v>
      </c>
      <c r="K310" s="330">
        <v>107</v>
      </c>
      <c r="L310" s="330">
        <v>0</v>
      </c>
      <c r="M310" s="330">
        <v>20000</v>
      </c>
      <c r="N310" s="330"/>
      <c r="O310" s="330">
        <v>10061</v>
      </c>
      <c r="P310" s="330"/>
      <c r="Q310" s="330">
        <v>9939</v>
      </c>
    </row>
    <row r="311" spans="1:27">
      <c r="A311" s="328">
        <v>302</v>
      </c>
      <c r="B311" s="329" t="s">
        <v>2477</v>
      </c>
      <c r="C311" s="333"/>
      <c r="D311" s="333"/>
      <c r="E311" s="333" t="s">
        <v>2476</v>
      </c>
      <c r="F311" s="328" t="s">
        <v>2908</v>
      </c>
      <c r="G311" s="328" t="s">
        <v>2909</v>
      </c>
      <c r="H311" s="328" t="s">
        <v>799</v>
      </c>
      <c r="I311" s="328" t="s">
        <v>628</v>
      </c>
      <c r="J311" s="328" t="s">
        <v>757</v>
      </c>
      <c r="K311" s="330">
        <v>14470</v>
      </c>
      <c r="L311" s="330">
        <v>15</v>
      </c>
      <c r="M311" s="330">
        <v>0</v>
      </c>
      <c r="N311" s="330"/>
      <c r="O311" s="330">
        <v>1</v>
      </c>
      <c r="P311" s="330"/>
      <c r="Q311" s="330">
        <v>14</v>
      </c>
    </row>
    <row r="312" spans="1:27">
      <c r="A312" s="328">
        <v>303</v>
      </c>
      <c r="B312" s="336" t="s">
        <v>1038</v>
      </c>
      <c r="C312" s="329"/>
      <c r="D312" s="329"/>
      <c r="E312" s="636" t="s">
        <v>1039</v>
      </c>
      <c r="F312" s="337" t="s">
        <v>1042</v>
      </c>
      <c r="G312" s="337" t="s">
        <v>324</v>
      </c>
      <c r="H312" s="337" t="s">
        <v>1040</v>
      </c>
      <c r="I312" s="337" t="s">
        <v>10</v>
      </c>
      <c r="J312" s="337" t="s">
        <v>1041</v>
      </c>
      <c r="K312" s="330">
        <v>1176</v>
      </c>
      <c r="L312" s="330">
        <v>0</v>
      </c>
      <c r="M312" s="330">
        <v>25500</v>
      </c>
      <c r="N312" s="330"/>
      <c r="O312" s="330">
        <v>19657</v>
      </c>
      <c r="P312" s="330"/>
      <c r="Q312" s="330">
        <v>5843</v>
      </c>
    </row>
    <row r="313" spans="1:27">
      <c r="A313" s="328">
        <v>304</v>
      </c>
      <c r="B313" s="360" t="s">
        <v>2910</v>
      </c>
      <c r="C313" s="329"/>
      <c r="D313" s="329"/>
      <c r="E313" s="640" t="s">
        <v>1039</v>
      </c>
      <c r="F313" s="348" t="s">
        <v>2911</v>
      </c>
      <c r="G313" s="348" t="s">
        <v>322</v>
      </c>
      <c r="H313" s="348" t="s">
        <v>2912</v>
      </c>
      <c r="I313" s="348" t="s">
        <v>10</v>
      </c>
      <c r="J313" s="328" t="s">
        <v>2394</v>
      </c>
      <c r="K313" s="330">
        <v>920</v>
      </c>
      <c r="L313" s="330">
        <v>561</v>
      </c>
      <c r="M313" s="330"/>
      <c r="N313" s="330"/>
      <c r="O313" s="330">
        <f>81+480</f>
        <v>561</v>
      </c>
      <c r="P313" s="330"/>
      <c r="Q313" s="330"/>
      <c r="R313" s="37"/>
      <c r="T313" s="37"/>
      <c r="U313" s="37"/>
      <c r="V313" s="37"/>
      <c r="W313" s="37"/>
      <c r="X313" s="37"/>
      <c r="Y313" s="37"/>
      <c r="Z313" s="37"/>
      <c r="AA313" s="37"/>
    </row>
    <row r="314" spans="1:27">
      <c r="A314" s="328">
        <v>305</v>
      </c>
      <c r="B314" s="336" t="s">
        <v>1043</v>
      </c>
      <c r="C314" s="329"/>
      <c r="D314" s="329"/>
      <c r="E314" s="636" t="s">
        <v>1044</v>
      </c>
      <c r="F314" s="337" t="s">
        <v>1047</v>
      </c>
      <c r="G314" s="337" t="s">
        <v>324</v>
      </c>
      <c r="H314" s="337" t="s">
        <v>1045</v>
      </c>
      <c r="I314" s="337" t="s">
        <v>10</v>
      </c>
      <c r="J314" s="337" t="s">
        <v>1046</v>
      </c>
      <c r="K314" s="330">
        <v>840</v>
      </c>
      <c r="L314" s="330">
        <v>0</v>
      </c>
      <c r="M314" s="330">
        <v>480</v>
      </c>
      <c r="N314" s="330"/>
      <c r="O314" s="330">
        <v>480</v>
      </c>
      <c r="P314" s="330"/>
      <c r="Q314" s="330">
        <v>0</v>
      </c>
    </row>
    <row r="315" spans="1:27">
      <c r="A315" s="328">
        <v>306</v>
      </c>
      <c r="B315" s="329" t="s">
        <v>1333</v>
      </c>
      <c r="C315" s="329"/>
      <c r="D315" s="329"/>
      <c r="E315" s="333" t="s">
        <v>1333</v>
      </c>
      <c r="F315" s="328" t="s">
        <v>1334</v>
      </c>
      <c r="G315" s="328" t="s">
        <v>360</v>
      </c>
      <c r="H315" s="328" t="s">
        <v>238</v>
      </c>
      <c r="I315" s="328" t="s">
        <v>11</v>
      </c>
      <c r="J315" s="328" t="s">
        <v>642</v>
      </c>
      <c r="K315" s="330">
        <v>59</v>
      </c>
      <c r="L315" s="330">
        <v>1032</v>
      </c>
      <c r="M315" s="330">
        <v>20000</v>
      </c>
      <c r="N315" s="330"/>
      <c r="O315" s="330">
        <v>20532</v>
      </c>
      <c r="P315" s="330"/>
      <c r="Q315" s="330">
        <v>500</v>
      </c>
    </row>
    <row r="316" spans="1:27">
      <c r="A316" s="325">
        <v>307</v>
      </c>
      <c r="B316" s="329" t="s">
        <v>1333</v>
      </c>
      <c r="C316" s="329"/>
      <c r="D316" s="329"/>
      <c r="E316" s="333" t="s">
        <v>1538</v>
      </c>
      <c r="F316" s="328" t="s">
        <v>1539</v>
      </c>
      <c r="G316" s="328" t="s">
        <v>458</v>
      </c>
      <c r="H316" s="328" t="s">
        <v>238</v>
      </c>
      <c r="I316" s="328" t="s">
        <v>10</v>
      </c>
      <c r="J316" s="328" t="s">
        <v>884</v>
      </c>
      <c r="K316" s="330">
        <v>980</v>
      </c>
      <c r="L316" s="330">
        <v>90</v>
      </c>
      <c r="M316" s="330">
        <v>29000</v>
      </c>
      <c r="N316" s="330"/>
      <c r="O316" s="330">
        <v>12925</v>
      </c>
      <c r="P316" s="330"/>
      <c r="Q316" s="330">
        <v>16165</v>
      </c>
    </row>
    <row r="317" spans="1:27">
      <c r="A317" s="328">
        <v>308</v>
      </c>
      <c r="B317" s="332" t="s">
        <v>2605</v>
      </c>
      <c r="C317" s="329"/>
      <c r="D317" s="329"/>
      <c r="E317" s="332" t="s">
        <v>2604</v>
      </c>
      <c r="F317" s="328" t="s">
        <v>2913</v>
      </c>
      <c r="G317" s="328" t="s">
        <v>801</v>
      </c>
      <c r="H317" s="334" t="s">
        <v>2606</v>
      </c>
      <c r="I317" s="334" t="s">
        <v>520</v>
      </c>
      <c r="J317" s="334" t="s">
        <v>2654</v>
      </c>
      <c r="K317" s="335">
        <v>19350</v>
      </c>
      <c r="L317" s="330">
        <v>2</v>
      </c>
      <c r="M317" s="330">
        <v>20</v>
      </c>
      <c r="N317" s="330"/>
      <c r="O317" s="330">
        <v>2</v>
      </c>
      <c r="P317" s="330"/>
      <c r="Q317" s="330">
        <v>20</v>
      </c>
    </row>
    <row r="318" spans="1:27">
      <c r="A318" s="328">
        <v>309</v>
      </c>
      <c r="B318" s="336" t="s">
        <v>1048</v>
      </c>
      <c r="C318" s="329"/>
      <c r="D318" s="329"/>
      <c r="E318" s="636" t="s">
        <v>1049</v>
      </c>
      <c r="F318" s="337" t="s">
        <v>1050</v>
      </c>
      <c r="G318" s="328" t="s">
        <v>322</v>
      </c>
      <c r="H318" s="337" t="s">
        <v>267</v>
      </c>
      <c r="I318" s="337" t="s">
        <v>10</v>
      </c>
      <c r="J318" s="337" t="s">
        <v>626</v>
      </c>
      <c r="K318" s="330">
        <v>273</v>
      </c>
      <c r="L318" s="330">
        <v>0</v>
      </c>
      <c r="M318" s="330">
        <v>200</v>
      </c>
      <c r="N318" s="330"/>
      <c r="O318" s="330">
        <v>24</v>
      </c>
      <c r="P318" s="330"/>
      <c r="Q318" s="330">
        <v>176</v>
      </c>
    </row>
    <row r="319" spans="1:27">
      <c r="A319" s="328">
        <v>310</v>
      </c>
      <c r="B319" s="336" t="s">
        <v>1051</v>
      </c>
      <c r="C319" s="329"/>
      <c r="D319" s="329"/>
      <c r="E319" s="636" t="s">
        <v>1052</v>
      </c>
      <c r="F319" s="337" t="s">
        <v>1054</v>
      </c>
      <c r="G319" s="328" t="s">
        <v>322</v>
      </c>
      <c r="H319" s="337" t="s">
        <v>1053</v>
      </c>
      <c r="I319" s="337" t="s">
        <v>10</v>
      </c>
      <c r="J319" s="337" t="s">
        <v>1041</v>
      </c>
      <c r="K319" s="330">
        <v>1386</v>
      </c>
      <c r="L319" s="330">
        <v>1796</v>
      </c>
      <c r="M319" s="330">
        <v>10000</v>
      </c>
      <c r="N319" s="330"/>
      <c r="O319" s="330">
        <v>11758</v>
      </c>
      <c r="P319" s="330"/>
      <c r="Q319" s="330">
        <v>38</v>
      </c>
    </row>
    <row r="320" spans="1:27">
      <c r="A320" s="328">
        <v>311</v>
      </c>
      <c r="B320" s="329" t="s">
        <v>1390</v>
      </c>
      <c r="C320" s="333"/>
      <c r="D320" s="333"/>
      <c r="E320" s="333" t="s">
        <v>2914</v>
      </c>
      <c r="F320" s="328" t="s">
        <v>2915</v>
      </c>
      <c r="G320" s="328" t="s">
        <v>322</v>
      </c>
      <c r="H320" s="328" t="s">
        <v>2916</v>
      </c>
      <c r="I320" s="328" t="s">
        <v>11</v>
      </c>
      <c r="J320" s="328" t="s">
        <v>2917</v>
      </c>
      <c r="K320" s="330">
        <v>1890</v>
      </c>
      <c r="L320" s="330">
        <v>93</v>
      </c>
      <c r="M320" s="330">
        <v>0</v>
      </c>
      <c r="N320" s="330"/>
      <c r="O320" s="330">
        <v>93</v>
      </c>
      <c r="P320" s="330"/>
      <c r="Q320" s="330">
        <v>0</v>
      </c>
    </row>
    <row r="321" spans="1:27">
      <c r="A321" s="328">
        <v>312</v>
      </c>
      <c r="B321" s="329" t="s">
        <v>1029</v>
      </c>
      <c r="C321" s="333"/>
      <c r="D321" s="333"/>
      <c r="E321" s="333" t="s">
        <v>2478</v>
      </c>
      <c r="F321" s="328" t="s">
        <v>2918</v>
      </c>
      <c r="G321" s="328" t="s">
        <v>322</v>
      </c>
      <c r="H321" s="328" t="s">
        <v>1229</v>
      </c>
      <c r="I321" s="328" t="s">
        <v>13</v>
      </c>
      <c r="J321" s="328" t="s">
        <v>2919</v>
      </c>
      <c r="K321" s="330">
        <v>1138</v>
      </c>
      <c r="L321" s="330">
        <v>1943</v>
      </c>
      <c r="M321" s="330">
        <v>0</v>
      </c>
      <c r="N321" s="330"/>
      <c r="O321" s="330">
        <v>1674</v>
      </c>
      <c r="P321" s="330"/>
      <c r="Q321" s="330">
        <v>269</v>
      </c>
    </row>
    <row r="322" spans="1:27">
      <c r="A322" s="325">
        <v>313</v>
      </c>
      <c r="B322" s="329" t="s">
        <v>695</v>
      </c>
      <c r="C322" s="329"/>
      <c r="D322" s="329"/>
      <c r="E322" s="333" t="s">
        <v>1269</v>
      </c>
      <c r="F322" s="328" t="s">
        <v>1272</v>
      </c>
      <c r="G322" s="328" t="s">
        <v>1273</v>
      </c>
      <c r="H322" s="328" t="s">
        <v>1270</v>
      </c>
      <c r="I322" s="328" t="s">
        <v>12</v>
      </c>
      <c r="J322" s="328" t="s">
        <v>1271</v>
      </c>
      <c r="K322" s="330">
        <v>2900</v>
      </c>
      <c r="L322" s="330">
        <v>0</v>
      </c>
      <c r="M322" s="330">
        <v>3000</v>
      </c>
      <c r="N322" s="330"/>
      <c r="O322" s="330">
        <v>2969</v>
      </c>
      <c r="P322" s="330"/>
      <c r="Q322" s="330">
        <v>31</v>
      </c>
    </row>
    <row r="323" spans="1:27">
      <c r="A323" s="328">
        <v>314</v>
      </c>
      <c r="B323" s="329" t="s">
        <v>374</v>
      </c>
      <c r="C323" s="333"/>
      <c r="D323" s="333"/>
      <c r="E323" s="333" t="s">
        <v>2479</v>
      </c>
      <c r="F323" s="328" t="s">
        <v>2920</v>
      </c>
      <c r="G323" s="328" t="s">
        <v>2682</v>
      </c>
      <c r="H323" s="328" t="s">
        <v>258</v>
      </c>
      <c r="I323" s="337" t="s">
        <v>10</v>
      </c>
      <c r="J323" s="328" t="s">
        <v>1329</v>
      </c>
      <c r="K323" s="330">
        <v>266</v>
      </c>
      <c r="L323" s="330">
        <v>6911</v>
      </c>
      <c r="M323" s="330">
        <v>0</v>
      </c>
      <c r="N323" s="330"/>
      <c r="O323" s="330">
        <v>4172</v>
      </c>
      <c r="P323" s="330"/>
      <c r="Q323" s="330">
        <v>2739</v>
      </c>
    </row>
    <row r="324" spans="1:27">
      <c r="A324" s="328">
        <v>315</v>
      </c>
      <c r="B324" s="329" t="s">
        <v>2921</v>
      </c>
      <c r="C324" s="329"/>
      <c r="D324" s="329"/>
      <c r="E324" s="333" t="s">
        <v>2479</v>
      </c>
      <c r="F324" s="328" t="s">
        <v>2920</v>
      </c>
      <c r="G324" s="328" t="s">
        <v>2922</v>
      </c>
      <c r="H324" s="328" t="s">
        <v>258</v>
      </c>
      <c r="I324" s="328" t="s">
        <v>11</v>
      </c>
      <c r="J324" s="328" t="s">
        <v>1329</v>
      </c>
      <c r="K324" s="330">
        <v>290</v>
      </c>
      <c r="L324" s="330">
        <v>179</v>
      </c>
      <c r="M324" s="330">
        <v>0</v>
      </c>
      <c r="N324" s="330"/>
      <c r="O324" s="330">
        <v>159</v>
      </c>
      <c r="P324" s="330"/>
      <c r="Q324" s="330">
        <v>20</v>
      </c>
    </row>
    <row r="325" spans="1:27">
      <c r="A325" s="328">
        <v>316</v>
      </c>
      <c r="B325" s="329" t="s">
        <v>847</v>
      </c>
      <c r="C325" s="333"/>
      <c r="D325" s="333"/>
      <c r="E325" s="333" t="s">
        <v>2572</v>
      </c>
      <c r="F325" s="328" t="s">
        <v>2923</v>
      </c>
      <c r="G325" s="328" t="s">
        <v>2682</v>
      </c>
      <c r="H325" s="328" t="s">
        <v>272</v>
      </c>
      <c r="I325" s="328" t="s">
        <v>13</v>
      </c>
      <c r="J325" s="328" t="s">
        <v>1106</v>
      </c>
      <c r="K325" s="330">
        <v>813</v>
      </c>
      <c r="L325" s="330">
        <v>1247</v>
      </c>
      <c r="M325" s="330">
        <v>0</v>
      </c>
      <c r="N325" s="330"/>
      <c r="O325" s="330">
        <v>1237</v>
      </c>
      <c r="P325" s="330"/>
      <c r="Q325" s="330">
        <v>10</v>
      </c>
    </row>
    <row r="326" spans="1:27">
      <c r="A326" s="328">
        <v>317</v>
      </c>
      <c r="B326" s="360" t="s">
        <v>1818</v>
      </c>
      <c r="C326" s="329"/>
      <c r="D326" s="329"/>
      <c r="E326" s="640" t="s">
        <v>2924</v>
      </c>
      <c r="F326" s="348" t="s">
        <v>2925</v>
      </c>
      <c r="G326" s="337" t="s">
        <v>463</v>
      </c>
      <c r="H326" s="348" t="s">
        <v>225</v>
      </c>
      <c r="I326" s="351" t="s">
        <v>10</v>
      </c>
      <c r="J326" s="328" t="s">
        <v>1350</v>
      </c>
      <c r="K326" s="330">
        <v>2520</v>
      </c>
      <c r="L326" s="330">
        <v>35</v>
      </c>
      <c r="M326" s="330"/>
      <c r="N326" s="330"/>
      <c r="O326" s="330">
        <f>15+20</f>
        <v>35</v>
      </c>
      <c r="P326" s="330"/>
      <c r="Q326" s="330"/>
      <c r="R326" s="37"/>
      <c r="T326" s="37"/>
      <c r="U326" s="37"/>
      <c r="V326" s="37"/>
      <c r="W326" s="37"/>
      <c r="X326" s="37"/>
      <c r="Y326" s="37"/>
      <c r="Z326" s="37"/>
      <c r="AA326" s="37"/>
    </row>
    <row r="327" spans="1:27">
      <c r="A327" s="328">
        <v>318</v>
      </c>
      <c r="B327" s="332" t="s">
        <v>513</v>
      </c>
      <c r="C327" s="333"/>
      <c r="D327" s="333"/>
      <c r="E327" s="332" t="s">
        <v>2563</v>
      </c>
      <c r="F327" s="328" t="s">
        <v>2926</v>
      </c>
      <c r="G327" s="328" t="s">
        <v>2927</v>
      </c>
      <c r="H327" s="334" t="s">
        <v>2564</v>
      </c>
      <c r="I327" s="328" t="s">
        <v>15</v>
      </c>
      <c r="J327" s="328" t="s">
        <v>2057</v>
      </c>
      <c r="K327" s="330">
        <v>11025</v>
      </c>
      <c r="L327" s="330">
        <v>797</v>
      </c>
      <c r="M327" s="330">
        <v>64</v>
      </c>
      <c r="N327" s="330"/>
      <c r="O327" s="330">
        <v>817</v>
      </c>
      <c r="P327" s="330"/>
      <c r="Q327" s="330">
        <v>44</v>
      </c>
    </row>
    <row r="328" spans="1:27" ht="25.5">
      <c r="A328" s="325">
        <v>319</v>
      </c>
      <c r="B328" s="329" t="s">
        <v>2374</v>
      </c>
      <c r="C328" s="329"/>
      <c r="D328" s="329"/>
      <c r="E328" s="333" t="s">
        <v>77</v>
      </c>
      <c r="F328" s="328" t="s">
        <v>2376</v>
      </c>
      <c r="G328" s="328" t="s">
        <v>2373</v>
      </c>
      <c r="H328" s="328" t="s">
        <v>79</v>
      </c>
      <c r="I328" s="328" t="s">
        <v>80</v>
      </c>
      <c r="J328" s="328" t="s">
        <v>2375</v>
      </c>
      <c r="K328" s="330">
        <v>3500</v>
      </c>
      <c r="L328" s="330">
        <v>0</v>
      </c>
      <c r="M328" s="330">
        <v>47800</v>
      </c>
      <c r="N328" s="330"/>
      <c r="O328" s="330">
        <v>40370</v>
      </c>
      <c r="P328" s="330"/>
      <c r="Q328" s="330">
        <v>7430</v>
      </c>
    </row>
    <row r="329" spans="1:27" ht="38.25">
      <c r="A329" s="328">
        <v>320</v>
      </c>
      <c r="B329" s="329" t="s">
        <v>2186</v>
      </c>
      <c r="C329" s="329"/>
      <c r="D329" s="329"/>
      <c r="E329" s="333" t="s">
        <v>81</v>
      </c>
      <c r="F329" s="328" t="s">
        <v>2188</v>
      </c>
      <c r="G329" s="328" t="s">
        <v>2189</v>
      </c>
      <c r="H329" s="328" t="s">
        <v>82</v>
      </c>
      <c r="I329" s="328" t="s">
        <v>12</v>
      </c>
      <c r="J329" s="328" t="s">
        <v>2187</v>
      </c>
      <c r="K329" s="330">
        <v>10200</v>
      </c>
      <c r="L329" s="330">
        <v>5364</v>
      </c>
      <c r="M329" s="330">
        <v>5400</v>
      </c>
      <c r="N329" s="330"/>
      <c r="O329" s="330">
        <v>5615</v>
      </c>
      <c r="P329" s="330"/>
      <c r="Q329" s="330">
        <v>5149</v>
      </c>
    </row>
    <row r="330" spans="1:27">
      <c r="A330" s="328">
        <v>321</v>
      </c>
      <c r="B330" s="336" t="s">
        <v>2220</v>
      </c>
      <c r="C330" s="329"/>
      <c r="D330" s="329"/>
      <c r="E330" s="636" t="s">
        <v>83</v>
      </c>
      <c r="F330" s="337" t="s">
        <v>2221</v>
      </c>
      <c r="G330" s="337" t="s">
        <v>2217</v>
      </c>
      <c r="H330" s="337" t="s">
        <v>84</v>
      </c>
      <c r="I330" s="328" t="s">
        <v>11</v>
      </c>
      <c r="J330" s="337" t="s">
        <v>804</v>
      </c>
      <c r="K330" s="330">
        <v>1400</v>
      </c>
      <c r="L330" s="330">
        <v>775</v>
      </c>
      <c r="M330" s="330">
        <v>11500</v>
      </c>
      <c r="N330" s="330"/>
      <c r="O330" s="330">
        <v>9775</v>
      </c>
      <c r="P330" s="330"/>
      <c r="Q330" s="330">
        <v>2500</v>
      </c>
    </row>
    <row r="331" spans="1:27" ht="51">
      <c r="A331" s="328">
        <v>322</v>
      </c>
      <c r="B331" s="329" t="s">
        <v>86</v>
      </c>
      <c r="C331" s="329"/>
      <c r="D331" s="329"/>
      <c r="E331" s="332" t="s">
        <v>85</v>
      </c>
      <c r="F331" s="357" t="s">
        <v>2928</v>
      </c>
      <c r="G331" s="328" t="s">
        <v>867</v>
      </c>
      <c r="H331" s="357" t="s">
        <v>87</v>
      </c>
      <c r="I331" s="328" t="s">
        <v>11</v>
      </c>
      <c r="J331" s="328" t="s">
        <v>2180</v>
      </c>
      <c r="K331" s="330">
        <v>1260</v>
      </c>
      <c r="L331" s="330">
        <v>690</v>
      </c>
      <c r="M331" s="330">
        <v>45990</v>
      </c>
      <c r="N331" s="330"/>
      <c r="O331" s="330">
        <v>42682</v>
      </c>
      <c r="P331" s="330"/>
      <c r="Q331" s="330">
        <v>3998</v>
      </c>
    </row>
    <row r="332" spans="1:27" ht="25.5">
      <c r="A332" s="328">
        <v>323</v>
      </c>
      <c r="B332" s="338" t="s">
        <v>2083</v>
      </c>
      <c r="C332" s="329"/>
      <c r="D332" s="329"/>
      <c r="E332" s="333" t="s">
        <v>2084</v>
      </c>
      <c r="F332" s="328" t="s">
        <v>2087</v>
      </c>
      <c r="G332" s="328" t="s">
        <v>2088</v>
      </c>
      <c r="H332" s="328" t="s">
        <v>2085</v>
      </c>
      <c r="I332" s="328" t="s">
        <v>12</v>
      </c>
      <c r="J332" s="328" t="s">
        <v>2086</v>
      </c>
      <c r="K332" s="330">
        <v>2728</v>
      </c>
      <c r="L332" s="330">
        <v>0</v>
      </c>
      <c r="M332" s="330">
        <v>3000</v>
      </c>
      <c r="N332" s="330"/>
      <c r="O332" s="330">
        <v>1328</v>
      </c>
      <c r="P332" s="330"/>
      <c r="Q332" s="330">
        <v>1672</v>
      </c>
    </row>
    <row r="333" spans="1:27">
      <c r="A333" s="328">
        <v>324</v>
      </c>
      <c r="B333" s="329" t="s">
        <v>1330</v>
      </c>
      <c r="C333" s="329"/>
      <c r="D333" s="329"/>
      <c r="E333" s="333" t="s">
        <v>1746</v>
      </c>
      <c r="F333" s="328" t="s">
        <v>1748</v>
      </c>
      <c r="G333" s="328" t="s">
        <v>1749</v>
      </c>
      <c r="H333" s="328" t="s">
        <v>291</v>
      </c>
      <c r="I333" s="328" t="s">
        <v>11</v>
      </c>
      <c r="J333" s="328" t="s">
        <v>1747</v>
      </c>
      <c r="K333" s="330">
        <v>155</v>
      </c>
      <c r="L333" s="330">
        <v>0</v>
      </c>
      <c r="M333" s="330">
        <v>25000</v>
      </c>
      <c r="N333" s="330"/>
      <c r="O333" s="330">
        <v>19656</v>
      </c>
      <c r="P333" s="330"/>
      <c r="Q333" s="330">
        <v>5344</v>
      </c>
    </row>
    <row r="334" spans="1:27">
      <c r="A334" s="325">
        <v>325</v>
      </c>
      <c r="B334" s="329" t="s">
        <v>1277</v>
      </c>
      <c r="C334" s="333"/>
      <c r="D334" s="333"/>
      <c r="E334" s="636" t="s">
        <v>1278</v>
      </c>
      <c r="F334" s="328" t="s">
        <v>1280</v>
      </c>
      <c r="G334" s="328" t="s">
        <v>357</v>
      </c>
      <c r="H334" s="328" t="s">
        <v>1279</v>
      </c>
      <c r="I334" s="328" t="s">
        <v>10</v>
      </c>
      <c r="J334" s="328" t="s">
        <v>642</v>
      </c>
      <c r="K334" s="330">
        <v>3450</v>
      </c>
      <c r="L334" s="330">
        <v>12841</v>
      </c>
      <c r="M334" s="330">
        <v>0</v>
      </c>
      <c r="N334" s="330"/>
      <c r="O334" s="330">
        <v>12831</v>
      </c>
      <c r="P334" s="330"/>
      <c r="Q334" s="330">
        <v>10</v>
      </c>
    </row>
    <row r="335" spans="1:27">
      <c r="A335" s="328">
        <v>326</v>
      </c>
      <c r="B335" s="329" t="s">
        <v>1684</v>
      </c>
      <c r="C335" s="329"/>
      <c r="D335" s="329"/>
      <c r="E335" s="333" t="s">
        <v>1685</v>
      </c>
      <c r="F335" s="357" t="s">
        <v>1687</v>
      </c>
      <c r="G335" s="358" t="s">
        <v>1688</v>
      </c>
      <c r="H335" s="328" t="s">
        <v>1686</v>
      </c>
      <c r="I335" s="328" t="s">
        <v>10</v>
      </c>
      <c r="J335" s="357" t="s">
        <v>538</v>
      </c>
      <c r="K335" s="330">
        <v>2900</v>
      </c>
      <c r="L335" s="330">
        <v>0</v>
      </c>
      <c r="M335" s="330">
        <v>5000</v>
      </c>
      <c r="N335" s="330"/>
      <c r="O335" s="330">
        <v>497</v>
      </c>
      <c r="P335" s="330"/>
      <c r="Q335" s="330">
        <v>4503</v>
      </c>
    </row>
    <row r="336" spans="1:27">
      <c r="A336" s="328">
        <v>327</v>
      </c>
      <c r="B336" s="332" t="s">
        <v>236</v>
      </c>
      <c r="C336" s="333"/>
      <c r="D336" s="333"/>
      <c r="E336" s="332" t="s">
        <v>2929</v>
      </c>
      <c r="F336" s="328" t="s">
        <v>2930</v>
      </c>
      <c r="G336" s="328" t="s">
        <v>2931</v>
      </c>
      <c r="H336" s="334" t="s">
        <v>238</v>
      </c>
      <c r="I336" s="328" t="s">
        <v>11</v>
      </c>
      <c r="J336" s="328" t="s">
        <v>642</v>
      </c>
      <c r="K336" s="330">
        <v>609</v>
      </c>
      <c r="L336" s="330">
        <v>10396</v>
      </c>
      <c r="M336" s="330">
        <v>0</v>
      </c>
      <c r="N336" s="330"/>
      <c r="O336" s="330">
        <v>10391</v>
      </c>
      <c r="P336" s="330"/>
      <c r="Q336" s="330">
        <v>5</v>
      </c>
    </row>
    <row r="337" spans="1:27">
      <c r="A337" s="328">
        <v>328</v>
      </c>
      <c r="B337" s="336" t="s">
        <v>939</v>
      </c>
      <c r="C337" s="329"/>
      <c r="D337" s="329"/>
      <c r="E337" s="333" t="s">
        <v>1944</v>
      </c>
      <c r="F337" s="328" t="s">
        <v>1945</v>
      </c>
      <c r="G337" s="328" t="s">
        <v>1946</v>
      </c>
      <c r="H337" s="328" t="s">
        <v>258</v>
      </c>
      <c r="I337" s="328" t="s">
        <v>11</v>
      </c>
      <c r="J337" s="328" t="s">
        <v>839</v>
      </c>
      <c r="K337" s="330">
        <v>1092</v>
      </c>
      <c r="L337" s="330">
        <v>0</v>
      </c>
      <c r="M337" s="330">
        <v>5200</v>
      </c>
      <c r="N337" s="330"/>
      <c r="O337" s="330">
        <v>4714</v>
      </c>
      <c r="P337" s="330"/>
      <c r="Q337" s="330">
        <v>486</v>
      </c>
    </row>
    <row r="338" spans="1:27">
      <c r="A338" s="328">
        <v>329</v>
      </c>
      <c r="B338" s="329" t="s">
        <v>750</v>
      </c>
      <c r="C338" s="333"/>
      <c r="D338" s="333"/>
      <c r="E338" s="333" t="s">
        <v>2480</v>
      </c>
      <c r="F338" s="328" t="s">
        <v>2932</v>
      </c>
      <c r="G338" s="328" t="s">
        <v>2933</v>
      </c>
      <c r="H338" s="328" t="s">
        <v>229</v>
      </c>
      <c r="I338" s="328" t="s">
        <v>13</v>
      </c>
      <c r="J338" s="328" t="s">
        <v>2934</v>
      </c>
      <c r="K338" s="330">
        <v>2078</v>
      </c>
      <c r="L338" s="330">
        <v>4381</v>
      </c>
      <c r="M338" s="330">
        <v>0</v>
      </c>
      <c r="N338" s="330"/>
      <c r="O338" s="330">
        <v>4361</v>
      </c>
      <c r="P338" s="330"/>
      <c r="Q338" s="330">
        <v>20</v>
      </c>
    </row>
    <row r="339" spans="1:27">
      <c r="A339" s="328">
        <v>330</v>
      </c>
      <c r="B339" s="329" t="s">
        <v>750</v>
      </c>
      <c r="C339" s="333"/>
      <c r="D339" s="333"/>
      <c r="E339" s="333" t="s">
        <v>2480</v>
      </c>
      <c r="F339" s="328" t="s">
        <v>2935</v>
      </c>
      <c r="G339" s="328" t="s">
        <v>2933</v>
      </c>
      <c r="H339" s="328" t="s">
        <v>229</v>
      </c>
      <c r="I339" s="328" t="s">
        <v>11</v>
      </c>
      <c r="J339" s="328" t="s">
        <v>2936</v>
      </c>
      <c r="K339" s="330">
        <v>2026</v>
      </c>
      <c r="L339" s="330">
        <v>1134</v>
      </c>
      <c r="M339" s="330">
        <v>0</v>
      </c>
      <c r="N339" s="330"/>
      <c r="O339" s="330">
        <v>319</v>
      </c>
      <c r="P339" s="330"/>
      <c r="Q339" s="330">
        <v>815</v>
      </c>
    </row>
    <row r="340" spans="1:27">
      <c r="A340" s="325">
        <v>331</v>
      </c>
      <c r="B340" s="329" t="s">
        <v>750</v>
      </c>
      <c r="C340" s="333"/>
      <c r="D340" s="333"/>
      <c r="E340" s="333" t="s">
        <v>2480</v>
      </c>
      <c r="F340" s="328" t="s">
        <v>2937</v>
      </c>
      <c r="G340" s="328" t="s">
        <v>2933</v>
      </c>
      <c r="H340" s="328" t="s">
        <v>262</v>
      </c>
      <c r="I340" s="328" t="s">
        <v>11</v>
      </c>
      <c r="J340" s="328" t="s">
        <v>2936</v>
      </c>
      <c r="K340" s="330">
        <v>2831</v>
      </c>
      <c r="L340" s="330">
        <v>1629</v>
      </c>
      <c r="M340" s="330">
        <v>0</v>
      </c>
      <c r="N340" s="330"/>
      <c r="O340" s="330">
        <v>1629</v>
      </c>
      <c r="P340" s="330"/>
      <c r="Q340" s="330">
        <v>0</v>
      </c>
    </row>
    <row r="341" spans="1:27">
      <c r="A341" s="328">
        <v>332</v>
      </c>
      <c r="B341" s="329" t="s">
        <v>1070</v>
      </c>
      <c r="C341" s="329"/>
      <c r="D341" s="329"/>
      <c r="E341" s="333" t="s">
        <v>1071</v>
      </c>
      <c r="F341" s="328" t="s">
        <v>1074</v>
      </c>
      <c r="G341" s="328" t="s">
        <v>336</v>
      </c>
      <c r="H341" s="328" t="s">
        <v>1072</v>
      </c>
      <c r="I341" s="328" t="s">
        <v>18</v>
      </c>
      <c r="J341" s="328" t="s">
        <v>1073</v>
      </c>
      <c r="K341" s="330">
        <v>1250</v>
      </c>
      <c r="L341" s="330">
        <v>2323</v>
      </c>
      <c r="M341" s="330">
        <v>1880</v>
      </c>
      <c r="N341" s="330"/>
      <c r="O341" s="330">
        <v>2886</v>
      </c>
      <c r="P341" s="330"/>
      <c r="Q341" s="330">
        <v>1317</v>
      </c>
    </row>
    <row r="342" spans="1:27">
      <c r="A342" s="328">
        <v>333</v>
      </c>
      <c r="B342" s="329" t="s">
        <v>1330</v>
      </c>
      <c r="C342" s="333"/>
      <c r="D342" s="333"/>
      <c r="E342" s="333" t="s">
        <v>2481</v>
      </c>
      <c r="F342" s="328" t="s">
        <v>2938</v>
      </c>
      <c r="G342" s="328" t="s">
        <v>2939</v>
      </c>
      <c r="H342" s="328" t="s">
        <v>1580</v>
      </c>
      <c r="I342" s="328" t="s">
        <v>520</v>
      </c>
      <c r="J342" s="328" t="s">
        <v>2654</v>
      </c>
      <c r="K342" s="330">
        <v>7800</v>
      </c>
      <c r="L342" s="330">
        <v>381</v>
      </c>
      <c r="M342" s="330">
        <v>0</v>
      </c>
      <c r="N342" s="330"/>
      <c r="O342" s="330">
        <v>377</v>
      </c>
      <c r="P342" s="330"/>
      <c r="Q342" s="330">
        <v>4</v>
      </c>
    </row>
    <row r="343" spans="1:27">
      <c r="A343" s="328">
        <v>334</v>
      </c>
      <c r="B343" s="332" t="s">
        <v>619</v>
      </c>
      <c r="C343" s="333"/>
      <c r="D343" s="333"/>
      <c r="E343" s="332" t="s">
        <v>2940</v>
      </c>
      <c r="F343" s="328" t="s">
        <v>2941</v>
      </c>
      <c r="G343" s="328" t="s">
        <v>2764</v>
      </c>
      <c r="H343" s="334" t="s">
        <v>299</v>
      </c>
      <c r="I343" s="328" t="s">
        <v>11</v>
      </c>
      <c r="J343" s="328" t="s">
        <v>1329</v>
      </c>
      <c r="K343" s="330">
        <v>350</v>
      </c>
      <c r="L343" s="330">
        <v>8672</v>
      </c>
      <c r="M343" s="330">
        <v>0</v>
      </c>
      <c r="N343" s="330"/>
      <c r="O343" s="330">
        <v>3572</v>
      </c>
      <c r="P343" s="330"/>
      <c r="Q343" s="330">
        <v>5100</v>
      </c>
    </row>
    <row r="344" spans="1:27">
      <c r="A344" s="328">
        <v>335</v>
      </c>
      <c r="B344" s="329" t="s">
        <v>634</v>
      </c>
      <c r="C344" s="329"/>
      <c r="D344" s="329"/>
      <c r="E344" s="333" t="s">
        <v>1795</v>
      </c>
      <c r="F344" s="328" t="s">
        <v>1796</v>
      </c>
      <c r="G344" s="328" t="s">
        <v>1797</v>
      </c>
      <c r="H344" s="328" t="s">
        <v>235</v>
      </c>
      <c r="I344" s="328" t="s">
        <v>11</v>
      </c>
      <c r="J344" s="328" t="s">
        <v>804</v>
      </c>
      <c r="K344" s="330">
        <v>7875</v>
      </c>
      <c r="L344" s="330">
        <v>0</v>
      </c>
      <c r="M344" s="330">
        <v>19992</v>
      </c>
      <c r="N344" s="330"/>
      <c r="O344" s="330">
        <v>13392</v>
      </c>
      <c r="P344" s="330"/>
      <c r="Q344" s="330">
        <v>6600</v>
      </c>
    </row>
    <row r="345" spans="1:27">
      <c r="A345" s="328">
        <v>336</v>
      </c>
      <c r="B345" s="331" t="s">
        <v>236</v>
      </c>
      <c r="C345" s="331"/>
      <c r="D345" s="331"/>
      <c r="E345" s="333" t="s">
        <v>236</v>
      </c>
      <c r="F345" s="328" t="s">
        <v>375</v>
      </c>
      <c r="G345" s="328" t="s">
        <v>360</v>
      </c>
      <c r="H345" s="328" t="s">
        <v>327</v>
      </c>
      <c r="I345" s="328" t="s">
        <v>10</v>
      </c>
      <c r="J345" s="328" t="s">
        <v>642</v>
      </c>
      <c r="K345" s="330">
        <v>77</v>
      </c>
      <c r="L345" s="330">
        <v>0</v>
      </c>
      <c r="M345" s="330">
        <v>52000</v>
      </c>
      <c r="N345" s="330"/>
      <c r="O345" s="330">
        <v>50000</v>
      </c>
      <c r="P345" s="330"/>
      <c r="Q345" s="330">
        <v>2000</v>
      </c>
    </row>
    <row r="346" spans="1:27">
      <c r="A346" s="325">
        <v>337</v>
      </c>
      <c r="B346" s="329" t="s">
        <v>236</v>
      </c>
      <c r="C346" s="333"/>
      <c r="D346" s="333"/>
      <c r="E346" s="333" t="s">
        <v>236</v>
      </c>
      <c r="F346" s="328" t="s">
        <v>375</v>
      </c>
      <c r="G346" s="328" t="s">
        <v>360</v>
      </c>
      <c r="H346" s="328" t="s">
        <v>327</v>
      </c>
      <c r="I346" s="328" t="s">
        <v>10</v>
      </c>
      <c r="J346" s="328" t="s">
        <v>642</v>
      </c>
      <c r="K346" s="330">
        <v>82</v>
      </c>
      <c r="L346" s="330">
        <v>3522</v>
      </c>
      <c r="M346" s="330">
        <v>0</v>
      </c>
      <c r="N346" s="330"/>
      <c r="O346" s="330">
        <v>3522</v>
      </c>
      <c r="P346" s="330"/>
      <c r="Q346" s="330">
        <v>0</v>
      </c>
    </row>
    <row r="347" spans="1:27">
      <c r="A347" s="328">
        <v>338</v>
      </c>
      <c r="B347" s="360" t="s">
        <v>2942</v>
      </c>
      <c r="C347" s="329"/>
      <c r="D347" s="329"/>
      <c r="E347" s="640" t="s">
        <v>236</v>
      </c>
      <c r="F347" s="348" t="s">
        <v>375</v>
      </c>
      <c r="G347" s="348" t="s">
        <v>358</v>
      </c>
      <c r="H347" s="348" t="s">
        <v>327</v>
      </c>
      <c r="I347" s="351" t="s">
        <v>10</v>
      </c>
      <c r="J347" s="328" t="s">
        <v>642</v>
      </c>
      <c r="K347" s="330">
        <v>98</v>
      </c>
      <c r="L347" s="330">
        <v>505</v>
      </c>
      <c r="M347" s="330"/>
      <c r="N347" s="330"/>
      <c r="O347" s="330">
        <f>275+230</f>
        <v>505</v>
      </c>
      <c r="P347" s="330"/>
      <c r="Q347" s="330"/>
      <c r="R347" s="37"/>
      <c r="T347" s="37"/>
      <c r="U347" s="37"/>
      <c r="V347" s="37"/>
      <c r="W347" s="37"/>
      <c r="X347" s="37"/>
      <c r="Y347" s="37"/>
      <c r="Z347" s="37"/>
      <c r="AA347" s="37"/>
    </row>
    <row r="348" spans="1:27">
      <c r="A348" s="328">
        <v>339</v>
      </c>
      <c r="B348" s="360" t="s">
        <v>2942</v>
      </c>
      <c r="C348" s="329"/>
      <c r="D348" s="329"/>
      <c r="E348" s="640" t="s">
        <v>2943</v>
      </c>
      <c r="F348" s="348" t="s">
        <v>2944</v>
      </c>
      <c r="G348" s="348" t="s">
        <v>2945</v>
      </c>
      <c r="H348" s="348" t="s">
        <v>1995</v>
      </c>
      <c r="I348" s="351" t="s">
        <v>10</v>
      </c>
      <c r="J348" s="328" t="s">
        <v>547</v>
      </c>
      <c r="K348" s="330">
        <v>228</v>
      </c>
      <c r="L348" s="330">
        <v>83</v>
      </c>
      <c r="M348" s="330"/>
      <c r="N348" s="330"/>
      <c r="O348" s="330">
        <v>83</v>
      </c>
      <c r="P348" s="330"/>
      <c r="Q348" s="330"/>
      <c r="R348" s="37"/>
      <c r="T348" s="37"/>
      <c r="U348" s="37"/>
      <c r="V348" s="37"/>
      <c r="W348" s="37"/>
      <c r="X348" s="37"/>
      <c r="Y348" s="37"/>
      <c r="Z348" s="37"/>
      <c r="AA348" s="37"/>
    </row>
    <row r="349" spans="1:27">
      <c r="A349" s="328">
        <v>340</v>
      </c>
      <c r="B349" s="329" t="s">
        <v>2625</v>
      </c>
      <c r="C349" s="333"/>
      <c r="D349" s="333"/>
      <c r="E349" s="333" t="s">
        <v>2946</v>
      </c>
      <c r="F349" s="328" t="s">
        <v>2947</v>
      </c>
      <c r="G349" s="328" t="s">
        <v>2948</v>
      </c>
      <c r="H349" s="328" t="s">
        <v>2949</v>
      </c>
      <c r="I349" s="328" t="s">
        <v>10</v>
      </c>
      <c r="J349" s="328" t="s">
        <v>1872</v>
      </c>
      <c r="K349" s="330">
        <v>182</v>
      </c>
      <c r="L349" s="330">
        <v>47</v>
      </c>
      <c r="M349" s="330">
        <v>0</v>
      </c>
      <c r="N349" s="330"/>
      <c r="O349" s="330">
        <v>47</v>
      </c>
      <c r="P349" s="330"/>
      <c r="Q349" s="330">
        <v>0</v>
      </c>
    </row>
    <row r="350" spans="1:27">
      <c r="A350" s="328">
        <v>341</v>
      </c>
      <c r="B350" s="332" t="s">
        <v>2482</v>
      </c>
      <c r="C350" s="329"/>
      <c r="D350" s="329"/>
      <c r="E350" s="332" t="s">
        <v>2950</v>
      </c>
      <c r="F350" s="328" t="s">
        <v>2951</v>
      </c>
      <c r="G350" s="328" t="s">
        <v>449</v>
      </c>
      <c r="H350" s="334" t="s">
        <v>2483</v>
      </c>
      <c r="I350" s="334" t="s">
        <v>13</v>
      </c>
      <c r="J350" s="334" t="s">
        <v>2952</v>
      </c>
      <c r="K350" s="335">
        <v>5400</v>
      </c>
      <c r="L350" s="330">
        <v>6000</v>
      </c>
      <c r="M350" s="330">
        <v>0</v>
      </c>
      <c r="N350" s="330"/>
      <c r="O350" s="330">
        <v>4251</v>
      </c>
      <c r="P350" s="330"/>
      <c r="Q350" s="330">
        <v>1749</v>
      </c>
    </row>
    <row r="351" spans="1:27">
      <c r="A351" s="328">
        <v>342</v>
      </c>
      <c r="B351" s="336" t="s">
        <v>2953</v>
      </c>
      <c r="C351" s="329"/>
      <c r="D351" s="329"/>
      <c r="E351" s="636" t="s">
        <v>1152</v>
      </c>
      <c r="F351" s="337" t="s">
        <v>1154</v>
      </c>
      <c r="G351" s="337" t="s">
        <v>1155</v>
      </c>
      <c r="H351" s="337" t="s">
        <v>2954</v>
      </c>
      <c r="I351" s="337" t="s">
        <v>11</v>
      </c>
      <c r="J351" s="337" t="s">
        <v>1153</v>
      </c>
      <c r="K351" s="330">
        <v>1600</v>
      </c>
      <c r="L351" s="330">
        <v>3485</v>
      </c>
      <c r="M351" s="330">
        <v>20000</v>
      </c>
      <c r="N351" s="330"/>
      <c r="O351" s="330">
        <v>19265</v>
      </c>
      <c r="P351" s="330"/>
      <c r="Q351" s="330">
        <v>4220</v>
      </c>
    </row>
    <row r="352" spans="1:27">
      <c r="A352" s="325">
        <v>343</v>
      </c>
      <c r="B352" s="329" t="s">
        <v>724</v>
      </c>
      <c r="C352" s="329"/>
      <c r="D352" s="329"/>
      <c r="E352" s="333" t="s">
        <v>725</v>
      </c>
      <c r="F352" s="328" t="s">
        <v>727</v>
      </c>
      <c r="G352" s="328" t="s">
        <v>728</v>
      </c>
      <c r="H352" s="328" t="s">
        <v>238</v>
      </c>
      <c r="I352" s="328" t="s">
        <v>628</v>
      </c>
      <c r="J352" s="328" t="s">
        <v>726</v>
      </c>
      <c r="K352" s="330">
        <v>2100</v>
      </c>
      <c r="L352" s="330">
        <v>20</v>
      </c>
      <c r="M352" s="330">
        <v>0</v>
      </c>
      <c r="N352" s="330"/>
      <c r="O352" s="330">
        <v>1</v>
      </c>
      <c r="P352" s="330"/>
      <c r="Q352" s="330">
        <v>19</v>
      </c>
    </row>
    <row r="353" spans="1:27">
      <c r="A353" s="328">
        <v>344</v>
      </c>
      <c r="B353" s="329" t="s">
        <v>2955</v>
      </c>
      <c r="C353" s="329"/>
      <c r="D353" s="329"/>
      <c r="E353" s="333" t="s">
        <v>777</v>
      </c>
      <c r="F353" s="328" t="s">
        <v>2956</v>
      </c>
      <c r="G353" s="328" t="s">
        <v>285</v>
      </c>
      <c r="H353" s="328" t="s">
        <v>2957</v>
      </c>
      <c r="I353" s="328" t="s">
        <v>520</v>
      </c>
      <c r="J353" s="328" t="s">
        <v>241</v>
      </c>
      <c r="K353" s="330">
        <v>57000</v>
      </c>
      <c r="L353" s="330">
        <v>20</v>
      </c>
      <c r="M353" s="330">
        <v>0</v>
      </c>
      <c r="N353" s="330"/>
      <c r="O353" s="330">
        <v>0</v>
      </c>
      <c r="P353" s="330"/>
      <c r="Q353" s="330">
        <v>20</v>
      </c>
    </row>
    <row r="354" spans="1:27">
      <c r="A354" s="328">
        <v>345</v>
      </c>
      <c r="B354" s="329" t="s">
        <v>1335</v>
      </c>
      <c r="C354" s="329"/>
      <c r="D354" s="329"/>
      <c r="E354" s="333" t="s">
        <v>1335</v>
      </c>
      <c r="F354" s="328" t="s">
        <v>1337</v>
      </c>
      <c r="G354" s="328" t="s">
        <v>360</v>
      </c>
      <c r="H354" s="328" t="s">
        <v>225</v>
      </c>
      <c r="I354" s="328" t="s">
        <v>11</v>
      </c>
      <c r="J354" s="328" t="s">
        <v>1336</v>
      </c>
      <c r="K354" s="330">
        <v>1130</v>
      </c>
      <c r="L354" s="330">
        <v>0</v>
      </c>
      <c r="M354" s="330">
        <v>1200</v>
      </c>
      <c r="N354" s="330"/>
      <c r="O354" s="330">
        <v>1200</v>
      </c>
      <c r="P354" s="330"/>
      <c r="Q354" s="330">
        <v>0</v>
      </c>
    </row>
    <row r="355" spans="1:27">
      <c r="A355" s="328">
        <v>346</v>
      </c>
      <c r="B355" s="329" t="s">
        <v>1335</v>
      </c>
      <c r="C355" s="333"/>
      <c r="D355" s="333"/>
      <c r="E355" s="333" t="s">
        <v>1335</v>
      </c>
      <c r="F355" s="328" t="s">
        <v>2958</v>
      </c>
      <c r="G355" s="328" t="s">
        <v>360</v>
      </c>
      <c r="H355" s="328" t="s">
        <v>225</v>
      </c>
      <c r="I355" s="328" t="s">
        <v>11</v>
      </c>
      <c r="J355" s="328" t="s">
        <v>585</v>
      </c>
      <c r="K355" s="330">
        <v>1185</v>
      </c>
      <c r="L355" s="330">
        <v>370</v>
      </c>
      <c r="M355" s="330">
        <v>0</v>
      </c>
      <c r="N355" s="330"/>
      <c r="O355" s="330">
        <v>370</v>
      </c>
      <c r="P355" s="330"/>
      <c r="Q355" s="330">
        <v>0</v>
      </c>
    </row>
    <row r="356" spans="1:27">
      <c r="A356" s="328">
        <v>347</v>
      </c>
      <c r="B356" s="329" t="s">
        <v>1335</v>
      </c>
      <c r="C356" s="329"/>
      <c r="D356" s="329"/>
      <c r="E356" s="333" t="s">
        <v>1921</v>
      </c>
      <c r="F356" s="328" t="s">
        <v>1922</v>
      </c>
      <c r="G356" s="328" t="s">
        <v>1913</v>
      </c>
      <c r="H356" s="328" t="s">
        <v>272</v>
      </c>
      <c r="I356" s="328" t="s">
        <v>11</v>
      </c>
      <c r="J356" s="328" t="s">
        <v>585</v>
      </c>
      <c r="K356" s="330">
        <v>630</v>
      </c>
      <c r="L356" s="330">
        <v>0</v>
      </c>
      <c r="M356" s="330">
        <v>2500</v>
      </c>
      <c r="N356" s="330"/>
      <c r="O356" s="330">
        <v>2500</v>
      </c>
      <c r="P356" s="330"/>
      <c r="Q356" s="330">
        <v>0</v>
      </c>
    </row>
    <row r="357" spans="1:27">
      <c r="A357" s="328">
        <v>348</v>
      </c>
      <c r="B357" s="347" t="s">
        <v>634</v>
      </c>
      <c r="C357" s="329"/>
      <c r="D357" s="329"/>
      <c r="E357" s="640" t="s">
        <v>2959</v>
      </c>
      <c r="F357" s="348" t="s">
        <v>2960</v>
      </c>
      <c r="G357" s="348" t="s">
        <v>2961</v>
      </c>
      <c r="H357" s="348" t="s">
        <v>235</v>
      </c>
      <c r="I357" s="348" t="s">
        <v>10</v>
      </c>
      <c r="J357" s="348" t="s">
        <v>1350</v>
      </c>
      <c r="K357" s="330">
        <v>545</v>
      </c>
      <c r="L357" s="330">
        <f>1801</f>
        <v>1801</v>
      </c>
      <c r="M357" s="330"/>
      <c r="N357" s="330"/>
      <c r="O357" s="330">
        <v>1801</v>
      </c>
      <c r="P357" s="330"/>
      <c r="Q357" s="330"/>
      <c r="R357" s="37"/>
      <c r="T357" s="37"/>
      <c r="U357" s="37"/>
      <c r="V357" s="37"/>
      <c r="W357" s="37"/>
      <c r="X357" s="37"/>
      <c r="Y357" s="37"/>
      <c r="Z357" s="37"/>
      <c r="AA357" s="37"/>
    </row>
    <row r="358" spans="1:27">
      <c r="A358" s="325">
        <v>349</v>
      </c>
      <c r="B358" s="347" t="s">
        <v>634</v>
      </c>
      <c r="C358" s="329"/>
      <c r="D358" s="329"/>
      <c r="E358" s="640" t="s">
        <v>2962</v>
      </c>
      <c r="F358" s="348" t="s">
        <v>2963</v>
      </c>
      <c r="G358" s="348" t="s">
        <v>2699</v>
      </c>
      <c r="H358" s="348" t="s">
        <v>315</v>
      </c>
      <c r="I358" s="348" t="s">
        <v>10</v>
      </c>
      <c r="J358" s="348" t="s">
        <v>1350</v>
      </c>
      <c r="K358" s="330">
        <v>4000</v>
      </c>
      <c r="L358" s="330">
        <f>563+3912</f>
        <v>4475</v>
      </c>
      <c r="M358" s="330"/>
      <c r="N358" s="330"/>
      <c r="O358" s="330">
        <v>4475</v>
      </c>
      <c r="P358" s="330"/>
      <c r="Q358" s="330"/>
      <c r="R358" s="37"/>
      <c r="T358" s="37"/>
      <c r="U358" s="37"/>
      <c r="V358" s="37"/>
      <c r="W358" s="37"/>
      <c r="X358" s="37"/>
      <c r="Y358" s="37"/>
      <c r="Z358" s="37"/>
      <c r="AA358" s="37"/>
    </row>
    <row r="359" spans="1:27">
      <c r="A359" s="328">
        <v>350</v>
      </c>
      <c r="B359" s="329" t="s">
        <v>634</v>
      </c>
      <c r="C359" s="329"/>
      <c r="D359" s="329"/>
      <c r="E359" s="333" t="s">
        <v>1281</v>
      </c>
      <c r="F359" s="328" t="s">
        <v>1284</v>
      </c>
      <c r="G359" s="328" t="s">
        <v>1285</v>
      </c>
      <c r="H359" s="328" t="s">
        <v>1282</v>
      </c>
      <c r="I359" s="328" t="s">
        <v>14</v>
      </c>
      <c r="J359" s="328" t="s">
        <v>1283</v>
      </c>
      <c r="K359" s="330">
        <v>60400</v>
      </c>
      <c r="L359" s="330">
        <v>0</v>
      </c>
      <c r="M359" s="330">
        <v>150</v>
      </c>
      <c r="N359" s="330"/>
      <c r="O359" s="330">
        <v>112</v>
      </c>
      <c r="P359" s="330"/>
      <c r="Q359" s="330">
        <v>38</v>
      </c>
    </row>
    <row r="360" spans="1:27">
      <c r="A360" s="328">
        <v>351</v>
      </c>
      <c r="B360" s="336" t="s">
        <v>1024</v>
      </c>
      <c r="C360" s="329"/>
      <c r="D360" s="329"/>
      <c r="E360" s="636" t="s">
        <v>1025</v>
      </c>
      <c r="F360" s="337" t="s">
        <v>1027</v>
      </c>
      <c r="G360" s="337" t="s">
        <v>1028</v>
      </c>
      <c r="H360" s="337" t="s">
        <v>267</v>
      </c>
      <c r="I360" s="337" t="s">
        <v>10</v>
      </c>
      <c r="J360" s="337" t="s">
        <v>1026</v>
      </c>
      <c r="K360" s="330">
        <v>838</v>
      </c>
      <c r="L360" s="330">
        <v>45895</v>
      </c>
      <c r="M360" s="330">
        <v>9300</v>
      </c>
      <c r="N360" s="330"/>
      <c r="O360" s="330">
        <v>27172</v>
      </c>
      <c r="P360" s="330"/>
      <c r="Q360" s="330">
        <v>28023</v>
      </c>
    </row>
    <row r="361" spans="1:27">
      <c r="A361" s="328">
        <v>352</v>
      </c>
      <c r="B361" s="336" t="s">
        <v>1019</v>
      </c>
      <c r="C361" s="329"/>
      <c r="D361" s="329"/>
      <c r="E361" s="636" t="s">
        <v>1020</v>
      </c>
      <c r="F361" s="337" t="s">
        <v>1023</v>
      </c>
      <c r="G361" s="337" t="s">
        <v>1001</v>
      </c>
      <c r="H361" s="337" t="s">
        <v>1021</v>
      </c>
      <c r="I361" s="337" t="s">
        <v>18</v>
      </c>
      <c r="J361" s="337" t="s">
        <v>1022</v>
      </c>
      <c r="K361" s="330">
        <v>53300</v>
      </c>
      <c r="L361" s="330">
        <v>350</v>
      </c>
      <c r="M361" s="330">
        <v>0</v>
      </c>
      <c r="N361" s="330"/>
      <c r="O361" s="330">
        <v>347</v>
      </c>
      <c r="P361" s="330"/>
      <c r="Q361" s="330">
        <v>3</v>
      </c>
    </row>
    <row r="362" spans="1:27">
      <c r="A362" s="328">
        <v>353</v>
      </c>
      <c r="B362" s="329" t="s">
        <v>802</v>
      </c>
      <c r="C362" s="333"/>
      <c r="D362" s="333"/>
      <c r="E362" s="333" t="s">
        <v>2573</v>
      </c>
      <c r="F362" s="328" t="s">
        <v>2964</v>
      </c>
      <c r="G362" s="328" t="s">
        <v>2965</v>
      </c>
      <c r="H362" s="328" t="s">
        <v>1200</v>
      </c>
      <c r="I362" s="328" t="s">
        <v>11</v>
      </c>
      <c r="J362" s="328" t="s">
        <v>2966</v>
      </c>
      <c r="K362" s="330">
        <v>1183</v>
      </c>
      <c r="L362" s="330">
        <v>18424</v>
      </c>
      <c r="M362" s="330">
        <v>0</v>
      </c>
      <c r="N362" s="330"/>
      <c r="O362" s="330">
        <v>8378</v>
      </c>
      <c r="P362" s="330"/>
      <c r="Q362" s="330">
        <v>10046</v>
      </c>
    </row>
    <row r="363" spans="1:27">
      <c r="A363" s="328">
        <v>354</v>
      </c>
      <c r="B363" s="329" t="s">
        <v>802</v>
      </c>
      <c r="C363" s="333"/>
      <c r="D363" s="333"/>
      <c r="E363" s="333" t="s">
        <v>2574</v>
      </c>
      <c r="F363" s="328" t="s">
        <v>2967</v>
      </c>
      <c r="G363" s="328" t="s">
        <v>2965</v>
      </c>
      <c r="H363" s="328" t="s">
        <v>272</v>
      </c>
      <c r="I363" s="328" t="s">
        <v>11</v>
      </c>
      <c r="J363" s="328" t="s">
        <v>2204</v>
      </c>
      <c r="K363" s="330">
        <v>1446</v>
      </c>
      <c r="L363" s="330">
        <v>19980</v>
      </c>
      <c r="M363" s="330">
        <v>600</v>
      </c>
      <c r="N363" s="330"/>
      <c r="O363" s="330">
        <v>18936</v>
      </c>
      <c r="P363" s="330"/>
      <c r="Q363" s="330">
        <v>1644</v>
      </c>
    </row>
    <row r="364" spans="1:27">
      <c r="A364" s="325">
        <v>355</v>
      </c>
      <c r="B364" s="329" t="s">
        <v>2485</v>
      </c>
      <c r="C364" s="333"/>
      <c r="D364" s="333"/>
      <c r="E364" s="333" t="s">
        <v>2484</v>
      </c>
      <c r="F364" s="328" t="s">
        <v>2968</v>
      </c>
      <c r="G364" s="328" t="s">
        <v>2969</v>
      </c>
      <c r="H364" s="328" t="s">
        <v>2486</v>
      </c>
      <c r="I364" s="328" t="s">
        <v>11</v>
      </c>
      <c r="J364" s="328" t="s">
        <v>2970</v>
      </c>
      <c r="K364" s="330">
        <v>1450</v>
      </c>
      <c r="L364" s="330">
        <v>26690</v>
      </c>
      <c r="M364" s="330">
        <v>0</v>
      </c>
      <c r="N364" s="330"/>
      <c r="O364" s="330">
        <v>17869</v>
      </c>
      <c r="P364" s="330"/>
      <c r="Q364" s="330">
        <v>8821</v>
      </c>
    </row>
    <row r="365" spans="1:27" ht="25.5">
      <c r="A365" s="328">
        <v>356</v>
      </c>
      <c r="B365" s="347" t="s">
        <v>2971</v>
      </c>
      <c r="C365" s="329"/>
      <c r="D365" s="329"/>
      <c r="E365" s="640" t="s">
        <v>2972</v>
      </c>
      <c r="F365" s="348" t="s">
        <v>2973</v>
      </c>
      <c r="G365" s="348" t="s">
        <v>2974</v>
      </c>
      <c r="H365" s="348" t="s">
        <v>962</v>
      </c>
      <c r="I365" s="348" t="s">
        <v>12</v>
      </c>
      <c r="J365" s="348" t="s">
        <v>2975</v>
      </c>
      <c r="K365" s="330">
        <v>1280</v>
      </c>
      <c r="L365" s="330">
        <v>170</v>
      </c>
      <c r="M365" s="330"/>
      <c r="N365" s="330"/>
      <c r="O365" s="330">
        <v>170</v>
      </c>
      <c r="P365" s="330"/>
      <c r="Q365" s="330"/>
      <c r="R365" s="37"/>
      <c r="T365" s="37"/>
      <c r="U365" s="37"/>
      <c r="V365" s="37"/>
      <c r="W365" s="37"/>
      <c r="X365" s="37"/>
      <c r="Y365" s="37"/>
      <c r="Z365" s="37"/>
      <c r="AA365" s="37"/>
    </row>
    <row r="366" spans="1:27">
      <c r="A366" s="328">
        <v>357</v>
      </c>
      <c r="B366" s="332" t="s">
        <v>2575</v>
      </c>
      <c r="C366" s="329"/>
      <c r="D366" s="329"/>
      <c r="E366" s="332" t="s">
        <v>2976</v>
      </c>
      <c r="F366" s="328" t="s">
        <v>2977</v>
      </c>
      <c r="G366" s="328" t="s">
        <v>2978</v>
      </c>
      <c r="H366" s="334" t="s">
        <v>225</v>
      </c>
      <c r="I366" s="328" t="s">
        <v>11</v>
      </c>
      <c r="J366" s="328" t="s">
        <v>2204</v>
      </c>
      <c r="K366" s="330">
        <v>4500</v>
      </c>
      <c r="L366" s="330">
        <v>3681</v>
      </c>
      <c r="M366" s="330">
        <v>0</v>
      </c>
      <c r="N366" s="330"/>
      <c r="O366" s="330">
        <v>710</v>
      </c>
      <c r="P366" s="330"/>
      <c r="Q366" s="330">
        <v>2971</v>
      </c>
    </row>
    <row r="367" spans="1:27">
      <c r="A367" s="328">
        <v>358</v>
      </c>
      <c r="B367" s="331" t="s">
        <v>287</v>
      </c>
      <c r="C367" s="331"/>
      <c r="D367" s="331"/>
      <c r="E367" s="333" t="s">
        <v>2979</v>
      </c>
      <c r="F367" s="328" t="s">
        <v>340</v>
      </c>
      <c r="G367" s="328" t="s">
        <v>336</v>
      </c>
      <c r="H367" s="328" t="s">
        <v>267</v>
      </c>
      <c r="I367" s="328" t="s">
        <v>10</v>
      </c>
      <c r="J367" s="328" t="s">
        <v>647</v>
      </c>
      <c r="K367" s="330">
        <v>210</v>
      </c>
      <c r="L367" s="330">
        <v>0</v>
      </c>
      <c r="M367" s="330">
        <v>3800</v>
      </c>
      <c r="N367" s="330"/>
      <c r="O367" s="330">
        <v>3800</v>
      </c>
      <c r="P367" s="330"/>
      <c r="Q367" s="330">
        <v>0</v>
      </c>
    </row>
    <row r="368" spans="1:27">
      <c r="A368" s="328">
        <v>359</v>
      </c>
      <c r="B368" s="332" t="s">
        <v>287</v>
      </c>
      <c r="C368" s="333"/>
      <c r="D368" s="333"/>
      <c r="E368" s="332" t="s">
        <v>2979</v>
      </c>
      <c r="F368" s="328" t="s">
        <v>340</v>
      </c>
      <c r="G368" s="328" t="s">
        <v>336</v>
      </c>
      <c r="H368" s="334" t="s">
        <v>267</v>
      </c>
      <c r="I368" s="328" t="s">
        <v>10</v>
      </c>
      <c r="J368" s="328" t="s">
        <v>647</v>
      </c>
      <c r="K368" s="330">
        <v>273</v>
      </c>
      <c r="L368" s="330">
        <v>3679</v>
      </c>
      <c r="M368" s="330">
        <v>0</v>
      </c>
      <c r="N368" s="330"/>
      <c r="O368" s="330">
        <v>3674</v>
      </c>
      <c r="P368" s="330"/>
      <c r="Q368" s="330">
        <v>5</v>
      </c>
    </row>
    <row r="369" spans="1:17">
      <c r="A369" s="328">
        <v>360</v>
      </c>
      <c r="B369" s="329" t="s">
        <v>2842</v>
      </c>
      <c r="C369" s="333"/>
      <c r="D369" s="333"/>
      <c r="E369" s="333" t="s">
        <v>2980</v>
      </c>
      <c r="F369" s="328" t="s">
        <v>2981</v>
      </c>
      <c r="G369" s="328" t="s">
        <v>2982</v>
      </c>
      <c r="H369" s="328" t="s">
        <v>235</v>
      </c>
      <c r="I369" s="328" t="s">
        <v>10</v>
      </c>
      <c r="J369" s="328" t="s">
        <v>647</v>
      </c>
      <c r="K369" s="330">
        <v>450</v>
      </c>
      <c r="L369" s="330">
        <v>4286</v>
      </c>
      <c r="M369" s="330">
        <v>0</v>
      </c>
      <c r="N369" s="330"/>
      <c r="O369" s="330">
        <v>4286</v>
      </c>
      <c r="P369" s="330"/>
      <c r="Q369" s="330">
        <v>0</v>
      </c>
    </row>
    <row r="370" spans="1:17" ht="25.5">
      <c r="A370" s="325">
        <v>361</v>
      </c>
      <c r="B370" s="338" t="s">
        <v>2093</v>
      </c>
      <c r="C370" s="329"/>
      <c r="D370" s="329"/>
      <c r="E370" s="333" t="s">
        <v>2094</v>
      </c>
      <c r="F370" s="328" t="s">
        <v>2096</v>
      </c>
      <c r="G370" s="328" t="s">
        <v>2097</v>
      </c>
      <c r="H370" s="328" t="s">
        <v>2095</v>
      </c>
      <c r="I370" s="328" t="s">
        <v>628</v>
      </c>
      <c r="J370" s="328" t="s">
        <v>2086</v>
      </c>
      <c r="K370" s="330">
        <v>5163</v>
      </c>
      <c r="L370" s="330">
        <v>5486</v>
      </c>
      <c r="M370" s="330">
        <v>40000</v>
      </c>
      <c r="N370" s="330"/>
      <c r="O370" s="330">
        <v>36330</v>
      </c>
      <c r="P370" s="330"/>
      <c r="Q370" s="330">
        <v>9156</v>
      </c>
    </row>
    <row r="371" spans="1:17">
      <c r="A371" s="328">
        <v>362</v>
      </c>
      <c r="B371" s="342" t="s">
        <v>2983</v>
      </c>
      <c r="C371" s="329"/>
      <c r="D371" s="329"/>
      <c r="E371" s="333" t="s">
        <v>2984</v>
      </c>
      <c r="F371" s="328" t="s">
        <v>2985</v>
      </c>
      <c r="G371" s="328" t="s">
        <v>360</v>
      </c>
      <c r="H371" s="328" t="s">
        <v>1340</v>
      </c>
      <c r="I371" s="328" t="s">
        <v>11</v>
      </c>
      <c r="J371" s="328" t="s">
        <v>647</v>
      </c>
      <c r="K371" s="330">
        <v>648</v>
      </c>
      <c r="L371" s="330">
        <v>1339</v>
      </c>
      <c r="M371" s="330">
        <v>0</v>
      </c>
      <c r="N371" s="330"/>
      <c r="O371" s="330">
        <v>1329</v>
      </c>
      <c r="P371" s="330"/>
      <c r="Q371" s="330">
        <v>10</v>
      </c>
    </row>
    <row r="372" spans="1:17">
      <c r="A372" s="328">
        <v>363</v>
      </c>
      <c r="B372" s="329" t="s">
        <v>868</v>
      </c>
      <c r="C372" s="333"/>
      <c r="D372" s="333"/>
      <c r="E372" s="333" t="s">
        <v>1339</v>
      </c>
      <c r="F372" s="328" t="s">
        <v>1341</v>
      </c>
      <c r="G372" s="328" t="s">
        <v>360</v>
      </c>
      <c r="H372" s="328" t="s">
        <v>1340</v>
      </c>
      <c r="I372" s="328" t="s">
        <v>11</v>
      </c>
      <c r="J372" s="328" t="s">
        <v>647</v>
      </c>
      <c r="K372" s="330">
        <v>596</v>
      </c>
      <c r="L372" s="330">
        <v>18038</v>
      </c>
      <c r="M372" s="330">
        <v>0</v>
      </c>
      <c r="N372" s="330"/>
      <c r="O372" s="330">
        <v>12662</v>
      </c>
      <c r="P372" s="330"/>
      <c r="Q372" s="330">
        <v>5376</v>
      </c>
    </row>
    <row r="373" spans="1:17">
      <c r="A373" s="328">
        <v>364</v>
      </c>
      <c r="B373" s="329" t="s">
        <v>868</v>
      </c>
      <c r="C373" s="333"/>
      <c r="D373" s="333"/>
      <c r="E373" s="333" t="s">
        <v>1342</v>
      </c>
      <c r="F373" s="328" t="s">
        <v>2986</v>
      </c>
      <c r="G373" s="328" t="s">
        <v>360</v>
      </c>
      <c r="H373" s="328" t="s">
        <v>1343</v>
      </c>
      <c r="I373" s="328" t="s">
        <v>11</v>
      </c>
      <c r="J373" s="328" t="s">
        <v>647</v>
      </c>
      <c r="K373" s="330">
        <v>865</v>
      </c>
      <c r="L373" s="330">
        <v>14676</v>
      </c>
      <c r="M373" s="330">
        <v>0</v>
      </c>
      <c r="N373" s="330"/>
      <c r="O373" s="330">
        <v>11733</v>
      </c>
      <c r="P373" s="330"/>
      <c r="Q373" s="330">
        <v>2943</v>
      </c>
    </row>
    <row r="374" spans="1:17">
      <c r="A374" s="328">
        <v>365</v>
      </c>
      <c r="B374" s="329" t="s">
        <v>868</v>
      </c>
      <c r="C374" s="333"/>
      <c r="D374" s="333"/>
      <c r="E374" s="333" t="s">
        <v>1338</v>
      </c>
      <c r="F374" s="328" t="s">
        <v>2987</v>
      </c>
      <c r="G374" s="328" t="s">
        <v>360</v>
      </c>
      <c r="H374" s="328" t="s">
        <v>869</v>
      </c>
      <c r="I374" s="328" t="s">
        <v>11</v>
      </c>
      <c r="J374" s="328" t="s">
        <v>647</v>
      </c>
      <c r="K374" s="330">
        <v>312</v>
      </c>
      <c r="L374" s="330">
        <v>21279</v>
      </c>
      <c r="M374" s="330">
        <v>0</v>
      </c>
      <c r="N374" s="330"/>
      <c r="O374" s="330">
        <v>20172</v>
      </c>
      <c r="P374" s="330"/>
      <c r="Q374" s="330">
        <v>1107</v>
      </c>
    </row>
    <row r="375" spans="1:17">
      <c r="A375" s="328">
        <v>366</v>
      </c>
      <c r="B375" s="342" t="s">
        <v>2983</v>
      </c>
      <c r="C375" s="329"/>
      <c r="D375" s="329"/>
      <c r="E375" s="333" t="s">
        <v>1338</v>
      </c>
      <c r="F375" s="328" t="s">
        <v>2987</v>
      </c>
      <c r="G375" s="328" t="s">
        <v>360</v>
      </c>
      <c r="H375" s="328" t="s">
        <v>869</v>
      </c>
      <c r="I375" s="328" t="s">
        <v>11</v>
      </c>
      <c r="J375" s="328" t="s">
        <v>647</v>
      </c>
      <c r="K375" s="330">
        <v>363</v>
      </c>
      <c r="L375" s="330">
        <v>28</v>
      </c>
      <c r="M375" s="330">
        <v>0</v>
      </c>
      <c r="N375" s="330"/>
      <c r="O375" s="330">
        <v>16</v>
      </c>
      <c r="P375" s="330"/>
      <c r="Q375" s="330">
        <v>12</v>
      </c>
    </row>
    <row r="376" spans="1:17">
      <c r="A376" s="325">
        <v>367</v>
      </c>
      <c r="B376" s="329" t="s">
        <v>1750</v>
      </c>
      <c r="C376" s="329"/>
      <c r="D376" s="329"/>
      <c r="E376" s="333" t="s">
        <v>1751</v>
      </c>
      <c r="F376" s="328" t="s">
        <v>1753</v>
      </c>
      <c r="G376" s="328" t="s">
        <v>1170</v>
      </c>
      <c r="H376" s="328" t="s">
        <v>327</v>
      </c>
      <c r="I376" s="328" t="s">
        <v>11</v>
      </c>
      <c r="J376" s="328" t="s">
        <v>1752</v>
      </c>
      <c r="K376" s="330">
        <v>1200</v>
      </c>
      <c r="L376" s="330">
        <v>0</v>
      </c>
      <c r="M376" s="330">
        <v>9000</v>
      </c>
      <c r="N376" s="330"/>
      <c r="O376" s="330">
        <v>3782</v>
      </c>
      <c r="P376" s="330"/>
      <c r="Q376" s="330">
        <v>5218</v>
      </c>
    </row>
    <row r="377" spans="1:17" ht="25.5">
      <c r="A377" s="328">
        <v>368</v>
      </c>
      <c r="B377" s="329" t="s">
        <v>2343</v>
      </c>
      <c r="C377" s="329"/>
      <c r="D377" s="329"/>
      <c r="E377" s="333" t="s">
        <v>2344</v>
      </c>
      <c r="F377" s="349" t="s">
        <v>2345</v>
      </c>
      <c r="G377" s="349" t="s">
        <v>1567</v>
      </c>
      <c r="H377" s="328" t="s">
        <v>89</v>
      </c>
      <c r="I377" s="328" t="s">
        <v>10</v>
      </c>
      <c r="J377" s="328" t="s">
        <v>1237</v>
      </c>
      <c r="K377" s="330">
        <v>840</v>
      </c>
      <c r="L377" s="330">
        <v>0</v>
      </c>
      <c r="M377" s="330">
        <v>50000</v>
      </c>
      <c r="N377" s="330"/>
      <c r="O377" s="330">
        <v>34410</v>
      </c>
      <c r="P377" s="330"/>
      <c r="Q377" s="330">
        <v>15590</v>
      </c>
    </row>
    <row r="378" spans="1:17">
      <c r="A378" s="328">
        <v>369</v>
      </c>
      <c r="B378" s="331" t="s">
        <v>376</v>
      </c>
      <c r="C378" s="331"/>
      <c r="D378" s="331"/>
      <c r="E378" s="333" t="s">
        <v>376</v>
      </c>
      <c r="F378" s="328" t="s">
        <v>377</v>
      </c>
      <c r="G378" s="328" t="s">
        <v>360</v>
      </c>
      <c r="H378" s="328" t="s">
        <v>262</v>
      </c>
      <c r="I378" s="328" t="s">
        <v>10</v>
      </c>
      <c r="J378" s="328" t="s">
        <v>1329</v>
      </c>
      <c r="K378" s="330">
        <v>495</v>
      </c>
      <c r="L378" s="330">
        <v>5</v>
      </c>
      <c r="M378" s="330">
        <v>15000</v>
      </c>
      <c r="N378" s="330"/>
      <c r="O378" s="330">
        <v>801</v>
      </c>
      <c r="P378" s="330"/>
      <c r="Q378" s="330">
        <v>14204</v>
      </c>
    </row>
    <row r="379" spans="1:17" ht="12.75" customHeight="1">
      <c r="A379" s="328">
        <v>370</v>
      </c>
      <c r="B379" s="329" t="s">
        <v>376</v>
      </c>
      <c r="C379" s="329"/>
      <c r="D379" s="329"/>
      <c r="E379" s="333" t="s">
        <v>1754</v>
      </c>
      <c r="F379" s="328" t="s">
        <v>2988</v>
      </c>
      <c r="G379" s="328" t="s">
        <v>2699</v>
      </c>
      <c r="H379" s="328" t="s">
        <v>299</v>
      </c>
      <c r="I379" s="328" t="s">
        <v>11</v>
      </c>
      <c r="J379" s="328" t="s">
        <v>1715</v>
      </c>
      <c r="K379" s="330">
        <v>1840</v>
      </c>
      <c r="L379" s="330">
        <v>33</v>
      </c>
      <c r="M379" s="330">
        <v>0</v>
      </c>
      <c r="N379" s="330"/>
      <c r="O379" s="330">
        <v>33</v>
      </c>
      <c r="P379" s="330"/>
      <c r="Q379" s="330">
        <v>0</v>
      </c>
    </row>
    <row r="380" spans="1:17">
      <c r="A380" s="328">
        <v>371</v>
      </c>
      <c r="B380" s="329" t="s">
        <v>376</v>
      </c>
      <c r="C380" s="329"/>
      <c r="D380" s="329"/>
      <c r="E380" s="333" t="s">
        <v>1754</v>
      </c>
      <c r="F380" s="328" t="s">
        <v>1755</v>
      </c>
      <c r="G380" s="328" t="s">
        <v>2699</v>
      </c>
      <c r="H380" s="328" t="s">
        <v>299</v>
      </c>
      <c r="I380" s="328" t="s">
        <v>11</v>
      </c>
      <c r="J380" s="328" t="s">
        <v>1715</v>
      </c>
      <c r="K380" s="330">
        <v>1850</v>
      </c>
      <c r="L380" s="330">
        <v>0</v>
      </c>
      <c r="M380" s="330">
        <v>12000</v>
      </c>
      <c r="N380" s="330"/>
      <c r="O380" s="330">
        <v>4381</v>
      </c>
      <c r="P380" s="330"/>
      <c r="Q380" s="330">
        <v>7619</v>
      </c>
    </row>
    <row r="381" spans="1:17">
      <c r="A381" s="328">
        <v>372</v>
      </c>
      <c r="B381" s="356" t="s">
        <v>1650</v>
      </c>
      <c r="C381" s="329"/>
      <c r="D381" s="329"/>
      <c r="E381" s="333" t="s">
        <v>1654</v>
      </c>
      <c r="F381" s="328" t="s">
        <v>1655</v>
      </c>
      <c r="G381" s="361" t="s">
        <v>479</v>
      </c>
      <c r="H381" s="351" t="s">
        <v>1340</v>
      </c>
      <c r="I381" s="361" t="s">
        <v>10</v>
      </c>
      <c r="J381" s="351" t="s">
        <v>1642</v>
      </c>
      <c r="K381" s="330">
        <v>1400</v>
      </c>
      <c r="L381" s="330">
        <v>4986</v>
      </c>
      <c r="M381" s="330">
        <v>9990</v>
      </c>
      <c r="N381" s="330"/>
      <c r="O381" s="330">
        <v>4988</v>
      </c>
      <c r="P381" s="330"/>
      <c r="Q381" s="330">
        <v>9988</v>
      </c>
    </row>
    <row r="382" spans="1:17">
      <c r="A382" s="325">
        <v>373</v>
      </c>
      <c r="B382" s="356" t="s">
        <v>1650</v>
      </c>
      <c r="C382" s="329"/>
      <c r="D382" s="329"/>
      <c r="E382" s="333" t="s">
        <v>1656</v>
      </c>
      <c r="F382" s="328" t="s">
        <v>1657</v>
      </c>
      <c r="G382" s="361" t="s">
        <v>479</v>
      </c>
      <c r="H382" s="351" t="s">
        <v>1343</v>
      </c>
      <c r="I382" s="361" t="s">
        <v>10</v>
      </c>
      <c r="J382" s="351" t="s">
        <v>1642</v>
      </c>
      <c r="K382" s="330">
        <v>2690</v>
      </c>
      <c r="L382" s="330">
        <v>5160</v>
      </c>
      <c r="M382" s="330">
        <v>0</v>
      </c>
      <c r="N382" s="330"/>
      <c r="O382" s="330">
        <v>5160</v>
      </c>
      <c r="P382" s="330"/>
      <c r="Q382" s="330">
        <v>0</v>
      </c>
    </row>
    <row r="383" spans="1:17" ht="25.5">
      <c r="A383" s="328">
        <v>374</v>
      </c>
      <c r="B383" s="336" t="s">
        <v>2286</v>
      </c>
      <c r="C383" s="329"/>
      <c r="D383" s="329"/>
      <c r="E383" s="333" t="s">
        <v>90</v>
      </c>
      <c r="F383" s="328" t="s">
        <v>2288</v>
      </c>
      <c r="G383" s="328" t="s">
        <v>2253</v>
      </c>
      <c r="H383" s="328" t="s">
        <v>2287</v>
      </c>
      <c r="I383" s="328" t="s">
        <v>16</v>
      </c>
      <c r="J383" s="328" t="s">
        <v>2250</v>
      </c>
      <c r="K383" s="330">
        <v>1200</v>
      </c>
      <c r="L383" s="330">
        <v>8150</v>
      </c>
      <c r="M383" s="330">
        <v>20000</v>
      </c>
      <c r="N383" s="330"/>
      <c r="O383" s="330">
        <v>17960</v>
      </c>
      <c r="P383" s="330"/>
      <c r="Q383" s="330">
        <v>10190</v>
      </c>
    </row>
    <row r="384" spans="1:17">
      <c r="A384" s="328">
        <v>375</v>
      </c>
      <c r="B384" s="336" t="s">
        <v>2289</v>
      </c>
      <c r="C384" s="329"/>
      <c r="D384" s="329"/>
      <c r="E384" s="333" t="s">
        <v>91</v>
      </c>
      <c r="F384" s="328" t="s">
        <v>2290</v>
      </c>
      <c r="G384" s="328" t="s">
        <v>2253</v>
      </c>
      <c r="H384" s="328" t="s">
        <v>92</v>
      </c>
      <c r="I384" s="328" t="s">
        <v>16</v>
      </c>
      <c r="J384" s="328" t="s">
        <v>2250</v>
      </c>
      <c r="K384" s="330">
        <v>950</v>
      </c>
      <c r="L384" s="330">
        <v>0</v>
      </c>
      <c r="M384" s="330">
        <v>30000</v>
      </c>
      <c r="N384" s="330"/>
      <c r="O384" s="330">
        <v>28100</v>
      </c>
      <c r="P384" s="330"/>
      <c r="Q384" s="330">
        <v>1900</v>
      </c>
    </row>
    <row r="385" spans="1:27">
      <c r="A385" s="328">
        <v>376</v>
      </c>
      <c r="B385" s="336" t="s">
        <v>94</v>
      </c>
      <c r="C385" s="329"/>
      <c r="D385" s="329"/>
      <c r="E385" s="333" t="s">
        <v>93</v>
      </c>
      <c r="F385" s="328" t="s">
        <v>2293</v>
      </c>
      <c r="G385" s="328" t="s">
        <v>2253</v>
      </c>
      <c r="H385" s="328" t="s">
        <v>2291</v>
      </c>
      <c r="I385" s="328" t="s">
        <v>16</v>
      </c>
      <c r="J385" s="328" t="s">
        <v>2250</v>
      </c>
      <c r="K385" s="330">
        <v>4000</v>
      </c>
      <c r="L385" s="330">
        <v>50</v>
      </c>
      <c r="M385" s="330">
        <v>28640</v>
      </c>
      <c r="N385" s="330"/>
      <c r="O385" s="330">
        <v>21860</v>
      </c>
      <c r="P385" s="330"/>
      <c r="Q385" s="330">
        <v>6830</v>
      </c>
    </row>
    <row r="386" spans="1:27">
      <c r="A386" s="328">
        <v>377</v>
      </c>
      <c r="B386" s="360" t="s">
        <v>2989</v>
      </c>
      <c r="C386" s="329"/>
      <c r="D386" s="329"/>
      <c r="E386" s="640" t="s">
        <v>2990</v>
      </c>
      <c r="F386" s="348" t="s">
        <v>2991</v>
      </c>
      <c r="G386" s="348" t="s">
        <v>2992</v>
      </c>
      <c r="H386" s="348" t="s">
        <v>2993</v>
      </c>
      <c r="I386" s="351" t="s">
        <v>1144</v>
      </c>
      <c r="J386" s="328" t="s">
        <v>2994</v>
      </c>
      <c r="K386" s="330">
        <v>98000</v>
      </c>
      <c r="L386" s="330">
        <v>126</v>
      </c>
      <c r="M386" s="330"/>
      <c r="N386" s="330"/>
      <c r="O386" s="330">
        <v>126</v>
      </c>
      <c r="P386" s="330"/>
      <c r="Q386" s="330"/>
      <c r="R386" s="37"/>
      <c r="T386" s="37"/>
      <c r="U386" s="37"/>
      <c r="V386" s="37"/>
      <c r="W386" s="37"/>
      <c r="X386" s="37"/>
      <c r="Y386" s="37"/>
      <c r="Z386" s="37"/>
      <c r="AA386" s="37"/>
    </row>
    <row r="387" spans="1:27">
      <c r="A387" s="328">
        <v>378</v>
      </c>
      <c r="B387" s="329" t="s">
        <v>1756</v>
      </c>
      <c r="C387" s="333"/>
      <c r="D387" s="333"/>
      <c r="E387" s="333" t="s">
        <v>2995</v>
      </c>
      <c r="F387" s="328" t="s">
        <v>2996</v>
      </c>
      <c r="G387" s="328" t="s">
        <v>2699</v>
      </c>
      <c r="H387" s="328" t="s">
        <v>899</v>
      </c>
      <c r="I387" s="328" t="s">
        <v>11</v>
      </c>
      <c r="J387" s="328" t="s">
        <v>541</v>
      </c>
      <c r="K387" s="330">
        <v>12000</v>
      </c>
      <c r="L387" s="330">
        <v>27</v>
      </c>
      <c r="M387" s="330">
        <v>0</v>
      </c>
      <c r="N387" s="330"/>
      <c r="O387" s="330">
        <v>27</v>
      </c>
      <c r="P387" s="330"/>
      <c r="Q387" s="330">
        <v>0</v>
      </c>
    </row>
    <row r="388" spans="1:27">
      <c r="A388" s="325">
        <v>379</v>
      </c>
      <c r="B388" s="329" t="s">
        <v>1756</v>
      </c>
      <c r="C388" s="329"/>
      <c r="D388" s="329"/>
      <c r="E388" s="333" t="s">
        <v>1757</v>
      </c>
      <c r="F388" s="328" t="s">
        <v>1758</v>
      </c>
      <c r="G388" s="328" t="s">
        <v>2699</v>
      </c>
      <c r="H388" s="328" t="s">
        <v>232</v>
      </c>
      <c r="I388" s="328" t="s">
        <v>11</v>
      </c>
      <c r="J388" s="328" t="s">
        <v>1715</v>
      </c>
      <c r="K388" s="330">
        <v>10300</v>
      </c>
      <c r="L388" s="330">
        <v>0</v>
      </c>
      <c r="M388" s="330">
        <v>550</v>
      </c>
      <c r="N388" s="330"/>
      <c r="O388" s="330">
        <v>218</v>
      </c>
      <c r="P388" s="330"/>
      <c r="Q388" s="330">
        <v>332</v>
      </c>
    </row>
    <row r="389" spans="1:27">
      <c r="A389" s="328">
        <v>380</v>
      </c>
      <c r="B389" s="329" t="s">
        <v>1702</v>
      </c>
      <c r="C389" s="329"/>
      <c r="D389" s="329"/>
      <c r="E389" s="333" t="s">
        <v>1759</v>
      </c>
      <c r="F389" s="328" t="s">
        <v>1760</v>
      </c>
      <c r="G389" s="328" t="s">
        <v>1170</v>
      </c>
      <c r="H389" s="328" t="s">
        <v>327</v>
      </c>
      <c r="I389" s="328" t="s">
        <v>11</v>
      </c>
      <c r="J389" s="328" t="s">
        <v>1715</v>
      </c>
      <c r="K389" s="330">
        <v>1500</v>
      </c>
      <c r="L389" s="330">
        <v>3</v>
      </c>
      <c r="M389" s="330">
        <v>0</v>
      </c>
      <c r="N389" s="330"/>
      <c r="O389" s="330">
        <v>3</v>
      </c>
      <c r="P389" s="330"/>
      <c r="Q389" s="330">
        <v>0</v>
      </c>
    </row>
    <row r="390" spans="1:27">
      <c r="A390" s="328">
        <v>381</v>
      </c>
      <c r="B390" s="336" t="s">
        <v>1180</v>
      </c>
      <c r="C390" s="329"/>
      <c r="D390" s="329"/>
      <c r="E390" s="636" t="s">
        <v>1181</v>
      </c>
      <c r="F390" s="337" t="s">
        <v>1183</v>
      </c>
      <c r="G390" s="337" t="s">
        <v>1151</v>
      </c>
      <c r="H390" s="337" t="s">
        <v>1182</v>
      </c>
      <c r="I390" s="337" t="s">
        <v>520</v>
      </c>
      <c r="J390" s="337" t="s">
        <v>627</v>
      </c>
      <c r="K390" s="330">
        <v>7500</v>
      </c>
      <c r="L390" s="330">
        <v>6089</v>
      </c>
      <c r="M390" s="330">
        <v>7500</v>
      </c>
      <c r="N390" s="330"/>
      <c r="O390" s="330">
        <v>6150</v>
      </c>
      <c r="P390" s="330"/>
      <c r="Q390" s="330">
        <v>7439</v>
      </c>
    </row>
    <row r="391" spans="1:27">
      <c r="A391" s="328">
        <v>382</v>
      </c>
      <c r="B391" s="329" t="s">
        <v>1550</v>
      </c>
      <c r="C391" s="329"/>
      <c r="D391" s="329"/>
      <c r="E391" s="333" t="s">
        <v>1551</v>
      </c>
      <c r="F391" s="328" t="s">
        <v>1553</v>
      </c>
      <c r="G391" s="328" t="s">
        <v>458</v>
      </c>
      <c r="H391" s="328" t="s">
        <v>1552</v>
      </c>
      <c r="I391" s="328" t="s">
        <v>10</v>
      </c>
      <c r="J391" s="328" t="s">
        <v>884</v>
      </c>
      <c r="K391" s="330">
        <v>2000</v>
      </c>
      <c r="L391" s="330">
        <v>0</v>
      </c>
      <c r="M391" s="330">
        <v>20000</v>
      </c>
      <c r="N391" s="330"/>
      <c r="O391" s="330">
        <v>15126</v>
      </c>
      <c r="P391" s="330"/>
      <c r="Q391" s="330">
        <v>4874</v>
      </c>
    </row>
    <row r="392" spans="1:27" ht="25.5">
      <c r="A392" s="328">
        <v>383</v>
      </c>
      <c r="B392" s="336" t="s">
        <v>901</v>
      </c>
      <c r="C392" s="333"/>
      <c r="D392" s="333"/>
      <c r="E392" s="636" t="s">
        <v>902</v>
      </c>
      <c r="F392" s="337" t="s">
        <v>905</v>
      </c>
      <c r="G392" s="337" t="s">
        <v>906</v>
      </c>
      <c r="H392" s="337" t="s">
        <v>903</v>
      </c>
      <c r="I392" s="337" t="s">
        <v>18</v>
      </c>
      <c r="J392" s="337" t="s">
        <v>904</v>
      </c>
      <c r="K392" s="330">
        <v>487253</v>
      </c>
      <c r="L392" s="330">
        <v>10</v>
      </c>
      <c r="M392" s="330">
        <v>0</v>
      </c>
      <c r="N392" s="330"/>
      <c r="O392" s="330">
        <v>0</v>
      </c>
      <c r="P392" s="330"/>
      <c r="Q392" s="330">
        <v>10</v>
      </c>
    </row>
    <row r="393" spans="1:27">
      <c r="A393" s="328">
        <v>384</v>
      </c>
      <c r="B393" s="336" t="s">
        <v>988</v>
      </c>
      <c r="C393" s="329"/>
      <c r="D393" s="329"/>
      <c r="E393" s="636" t="s">
        <v>989</v>
      </c>
      <c r="F393" s="337" t="s">
        <v>991</v>
      </c>
      <c r="G393" s="337" t="s">
        <v>948</v>
      </c>
      <c r="H393" s="337" t="s">
        <v>990</v>
      </c>
      <c r="I393" s="337" t="s">
        <v>12</v>
      </c>
      <c r="J393" s="337" t="s">
        <v>941</v>
      </c>
      <c r="K393" s="330">
        <v>4275</v>
      </c>
      <c r="L393" s="330">
        <v>1000</v>
      </c>
      <c r="M393" s="330">
        <v>400</v>
      </c>
      <c r="N393" s="330"/>
      <c r="O393" s="330">
        <v>696</v>
      </c>
      <c r="P393" s="330"/>
      <c r="Q393" s="330">
        <v>704</v>
      </c>
    </row>
    <row r="394" spans="1:27" ht="25.5">
      <c r="A394" s="325">
        <v>385</v>
      </c>
      <c r="B394" s="350" t="s">
        <v>98</v>
      </c>
      <c r="C394" s="329"/>
      <c r="D394" s="329"/>
      <c r="E394" s="641" t="s">
        <v>97</v>
      </c>
      <c r="F394" s="328" t="s">
        <v>2416</v>
      </c>
      <c r="G394" s="345" t="s">
        <v>2413</v>
      </c>
      <c r="H394" s="359" t="s">
        <v>2415</v>
      </c>
      <c r="I394" s="346" t="s">
        <v>10</v>
      </c>
      <c r="J394" s="346" t="s">
        <v>541</v>
      </c>
      <c r="K394" s="330">
        <v>2783</v>
      </c>
      <c r="L394" s="330">
        <v>0</v>
      </c>
      <c r="M394" s="330">
        <v>5000</v>
      </c>
      <c r="N394" s="330"/>
      <c r="O394" s="330">
        <v>200</v>
      </c>
      <c r="P394" s="330"/>
      <c r="Q394" s="330">
        <v>4800</v>
      </c>
    </row>
    <row r="395" spans="1:27" ht="25.5">
      <c r="A395" s="328">
        <v>386</v>
      </c>
      <c r="B395" s="329" t="s">
        <v>2165</v>
      </c>
      <c r="C395" s="329"/>
      <c r="D395" s="329"/>
      <c r="E395" s="333" t="s">
        <v>99</v>
      </c>
      <c r="F395" s="328" t="s">
        <v>2167</v>
      </c>
      <c r="G395" s="328" t="s">
        <v>2168</v>
      </c>
      <c r="H395" s="328" t="s">
        <v>101</v>
      </c>
      <c r="I395" s="328" t="s">
        <v>10</v>
      </c>
      <c r="J395" s="328" t="s">
        <v>2166</v>
      </c>
      <c r="K395" s="330">
        <v>840</v>
      </c>
      <c r="L395" s="330">
        <v>0</v>
      </c>
      <c r="M395" s="330">
        <v>12000</v>
      </c>
      <c r="N395" s="330"/>
      <c r="O395" s="330">
        <v>3367</v>
      </c>
      <c r="P395" s="330"/>
      <c r="Q395" s="330">
        <v>8633</v>
      </c>
    </row>
    <row r="396" spans="1:27" ht="30">
      <c r="A396" s="328">
        <v>387</v>
      </c>
      <c r="B396" s="362" t="s">
        <v>2997</v>
      </c>
      <c r="C396" s="329"/>
      <c r="D396" s="329"/>
      <c r="E396" s="643" t="s">
        <v>2998</v>
      </c>
      <c r="F396" s="363" t="s">
        <v>2999</v>
      </c>
      <c r="G396" s="363" t="s">
        <v>3000</v>
      </c>
      <c r="H396" s="363" t="s">
        <v>1115</v>
      </c>
      <c r="I396" s="363" t="s">
        <v>12</v>
      </c>
      <c r="J396" s="363" t="s">
        <v>3001</v>
      </c>
      <c r="K396" s="330">
        <v>3950</v>
      </c>
      <c r="L396" s="330">
        <f>21+7676+1205</f>
        <v>8902</v>
      </c>
      <c r="M396" s="330"/>
      <c r="N396" s="330"/>
      <c r="O396" s="330">
        <v>8902</v>
      </c>
      <c r="P396" s="330"/>
      <c r="Q396" s="330"/>
      <c r="R396" s="37"/>
      <c r="T396" s="37"/>
      <c r="U396" s="37"/>
      <c r="V396" s="37"/>
      <c r="W396" s="37"/>
      <c r="X396" s="37"/>
      <c r="Y396" s="37"/>
      <c r="Z396" s="37"/>
      <c r="AA396" s="37"/>
    </row>
    <row r="397" spans="1:27">
      <c r="A397" s="328">
        <v>388</v>
      </c>
      <c r="B397" s="329" t="s">
        <v>433</v>
      </c>
      <c r="C397" s="333"/>
      <c r="D397" s="333"/>
      <c r="E397" s="333" t="s">
        <v>2487</v>
      </c>
      <c r="F397" s="328" t="s">
        <v>3002</v>
      </c>
      <c r="G397" s="328" t="s">
        <v>3003</v>
      </c>
      <c r="H397" s="328" t="s">
        <v>1200</v>
      </c>
      <c r="I397" s="328" t="s">
        <v>13</v>
      </c>
      <c r="J397" s="328" t="s">
        <v>3004</v>
      </c>
      <c r="K397" s="330">
        <v>1321</v>
      </c>
      <c r="L397" s="330">
        <v>5995</v>
      </c>
      <c r="M397" s="330">
        <v>0</v>
      </c>
      <c r="N397" s="330"/>
      <c r="O397" s="330">
        <v>5154</v>
      </c>
      <c r="P397" s="330"/>
      <c r="Q397" s="330">
        <v>841</v>
      </c>
    </row>
    <row r="398" spans="1:27">
      <c r="A398" s="328">
        <v>389</v>
      </c>
      <c r="B398" s="329" t="s">
        <v>531</v>
      </c>
      <c r="C398" s="333"/>
      <c r="D398" s="333"/>
      <c r="E398" s="333" t="s">
        <v>3005</v>
      </c>
      <c r="F398" s="328" t="s">
        <v>3006</v>
      </c>
      <c r="G398" s="328" t="s">
        <v>449</v>
      </c>
      <c r="H398" s="328" t="s">
        <v>267</v>
      </c>
      <c r="I398" s="328" t="s">
        <v>11</v>
      </c>
      <c r="J398" s="328" t="s">
        <v>647</v>
      </c>
      <c r="K398" s="330">
        <v>144</v>
      </c>
      <c r="L398" s="330">
        <v>1937</v>
      </c>
      <c r="M398" s="330">
        <v>0</v>
      </c>
      <c r="N398" s="330"/>
      <c r="O398" s="330">
        <v>1937</v>
      </c>
      <c r="P398" s="330"/>
      <c r="Q398" s="330">
        <v>0</v>
      </c>
    </row>
    <row r="399" spans="1:27">
      <c r="A399" s="328">
        <v>390</v>
      </c>
      <c r="B399" s="329" t="s">
        <v>3007</v>
      </c>
      <c r="C399" s="329"/>
      <c r="D399" s="329"/>
      <c r="E399" s="333" t="s">
        <v>2607</v>
      </c>
      <c r="F399" s="328" t="s">
        <v>3008</v>
      </c>
      <c r="G399" s="328" t="s">
        <v>3009</v>
      </c>
      <c r="H399" s="328" t="s">
        <v>235</v>
      </c>
      <c r="I399" s="328" t="s">
        <v>520</v>
      </c>
      <c r="J399" s="328" t="s">
        <v>2654</v>
      </c>
      <c r="K399" s="330">
        <v>5500</v>
      </c>
      <c r="L399" s="330">
        <v>2</v>
      </c>
      <c r="M399" s="330">
        <v>0</v>
      </c>
      <c r="N399" s="330"/>
      <c r="O399" s="330">
        <v>0</v>
      </c>
      <c r="P399" s="330"/>
      <c r="Q399" s="330">
        <v>2</v>
      </c>
    </row>
    <row r="400" spans="1:27">
      <c r="A400" s="325">
        <v>391</v>
      </c>
      <c r="B400" s="347" t="s">
        <v>531</v>
      </c>
      <c r="C400" s="329"/>
      <c r="D400" s="329"/>
      <c r="E400" s="640" t="s">
        <v>3010</v>
      </c>
      <c r="F400" s="348" t="s">
        <v>3011</v>
      </c>
      <c r="G400" s="348" t="s">
        <v>288</v>
      </c>
      <c r="H400" s="348" t="s">
        <v>235</v>
      </c>
      <c r="I400" s="348" t="s">
        <v>628</v>
      </c>
      <c r="J400" s="348" t="s">
        <v>3012</v>
      </c>
      <c r="K400" s="330">
        <v>4683</v>
      </c>
      <c r="L400" s="330"/>
      <c r="M400" s="330">
        <v>200</v>
      </c>
      <c r="N400" s="330"/>
      <c r="O400" s="330">
        <v>200</v>
      </c>
      <c r="P400" s="330"/>
      <c r="Q400" s="330"/>
      <c r="R400" s="37"/>
      <c r="T400" s="37"/>
      <c r="U400" s="37"/>
      <c r="V400" s="37"/>
      <c r="W400" s="37"/>
      <c r="X400" s="37"/>
      <c r="Y400" s="37"/>
      <c r="Z400" s="37"/>
      <c r="AA400" s="37"/>
    </row>
    <row r="401" spans="1:17">
      <c r="A401" s="328">
        <v>392</v>
      </c>
      <c r="B401" s="342" t="s">
        <v>882</v>
      </c>
      <c r="C401" s="342"/>
      <c r="D401" s="342"/>
      <c r="E401" s="638" t="s">
        <v>1699</v>
      </c>
      <c r="F401" s="343" t="s">
        <v>1701</v>
      </c>
      <c r="G401" s="343" t="s">
        <v>1698</v>
      </c>
      <c r="H401" s="343" t="s">
        <v>1580</v>
      </c>
      <c r="I401" s="343" t="s">
        <v>10</v>
      </c>
      <c r="J401" s="343" t="s">
        <v>1700</v>
      </c>
      <c r="K401" s="330">
        <v>504</v>
      </c>
      <c r="L401" s="330">
        <v>42</v>
      </c>
      <c r="M401" s="330">
        <v>19980</v>
      </c>
      <c r="N401" s="330"/>
      <c r="O401" s="330">
        <v>17781</v>
      </c>
      <c r="P401" s="330"/>
      <c r="Q401" s="330">
        <v>2241</v>
      </c>
    </row>
    <row r="402" spans="1:17">
      <c r="A402" s="328">
        <v>393</v>
      </c>
      <c r="B402" s="336" t="s">
        <v>659</v>
      </c>
      <c r="C402" s="329"/>
      <c r="D402" s="329"/>
      <c r="E402" s="333" t="s">
        <v>1974</v>
      </c>
      <c r="F402" s="328" t="s">
        <v>1975</v>
      </c>
      <c r="G402" s="328" t="s">
        <v>1946</v>
      </c>
      <c r="H402" s="328" t="s">
        <v>262</v>
      </c>
      <c r="I402" s="328" t="s">
        <v>11</v>
      </c>
      <c r="J402" s="328" t="s">
        <v>804</v>
      </c>
      <c r="K402" s="330">
        <v>2940</v>
      </c>
      <c r="L402" s="330">
        <v>0</v>
      </c>
      <c r="M402" s="330">
        <v>30000</v>
      </c>
      <c r="N402" s="330"/>
      <c r="O402" s="330">
        <v>16300</v>
      </c>
      <c r="P402" s="330"/>
      <c r="Q402" s="330">
        <v>13700</v>
      </c>
    </row>
    <row r="403" spans="1:17">
      <c r="A403" s="328">
        <v>394</v>
      </c>
      <c r="B403" s="329" t="s">
        <v>659</v>
      </c>
      <c r="C403" s="333"/>
      <c r="D403" s="333"/>
      <c r="E403" s="333" t="s">
        <v>659</v>
      </c>
      <c r="F403" s="328" t="s">
        <v>3013</v>
      </c>
      <c r="G403" s="328" t="s">
        <v>360</v>
      </c>
      <c r="H403" s="328" t="s">
        <v>262</v>
      </c>
      <c r="I403" s="328" t="s">
        <v>10</v>
      </c>
      <c r="J403" s="328" t="s">
        <v>2204</v>
      </c>
      <c r="K403" s="330">
        <v>766</v>
      </c>
      <c r="L403" s="330">
        <v>275</v>
      </c>
      <c r="M403" s="330">
        <v>0</v>
      </c>
      <c r="N403" s="330"/>
      <c r="O403" s="330">
        <v>256</v>
      </c>
      <c r="P403" s="330"/>
      <c r="Q403" s="330">
        <v>19</v>
      </c>
    </row>
    <row r="404" spans="1:17" ht="25.5">
      <c r="A404" s="328">
        <v>395</v>
      </c>
      <c r="B404" s="329" t="s">
        <v>2218</v>
      </c>
      <c r="C404" s="329"/>
      <c r="D404" s="329"/>
      <c r="E404" s="333" t="s">
        <v>102</v>
      </c>
      <c r="F404" s="349" t="s">
        <v>2346</v>
      </c>
      <c r="G404" s="349" t="s">
        <v>1567</v>
      </c>
      <c r="H404" s="328" t="s">
        <v>103</v>
      </c>
      <c r="I404" s="328" t="s">
        <v>10</v>
      </c>
      <c r="J404" s="328" t="s">
        <v>1237</v>
      </c>
      <c r="K404" s="330">
        <v>546</v>
      </c>
      <c r="L404" s="330">
        <v>618</v>
      </c>
      <c r="M404" s="330">
        <v>30000</v>
      </c>
      <c r="N404" s="330"/>
      <c r="O404" s="330">
        <v>30588</v>
      </c>
      <c r="P404" s="330"/>
      <c r="Q404" s="330">
        <v>30</v>
      </c>
    </row>
    <row r="405" spans="1:17">
      <c r="A405" s="328">
        <v>396</v>
      </c>
      <c r="B405" s="331" t="s">
        <v>506</v>
      </c>
      <c r="C405" s="331"/>
      <c r="D405" s="331"/>
      <c r="E405" s="333" t="s">
        <v>507</v>
      </c>
      <c r="F405" s="328" t="s">
        <v>508</v>
      </c>
      <c r="G405" s="328" t="s">
        <v>509</v>
      </c>
      <c r="H405" s="328" t="s">
        <v>258</v>
      </c>
      <c r="I405" s="328" t="s">
        <v>14</v>
      </c>
      <c r="J405" s="328" t="s">
        <v>483</v>
      </c>
      <c r="K405" s="330">
        <v>7849</v>
      </c>
      <c r="L405" s="330">
        <v>0</v>
      </c>
      <c r="M405" s="330">
        <v>200</v>
      </c>
      <c r="N405" s="330"/>
      <c r="O405" s="330">
        <v>39</v>
      </c>
      <c r="P405" s="330"/>
      <c r="Q405" s="330">
        <v>161</v>
      </c>
    </row>
    <row r="406" spans="1:17">
      <c r="A406" s="325">
        <v>397</v>
      </c>
      <c r="B406" s="329" t="s">
        <v>1109</v>
      </c>
      <c r="C406" s="329"/>
      <c r="D406" s="329"/>
      <c r="E406" s="333" t="s">
        <v>1486</v>
      </c>
      <c r="F406" s="328" t="s">
        <v>1487</v>
      </c>
      <c r="G406" s="328" t="s">
        <v>1485</v>
      </c>
      <c r="H406" s="328" t="s">
        <v>310</v>
      </c>
      <c r="I406" s="328" t="s">
        <v>10</v>
      </c>
      <c r="J406" s="328" t="s">
        <v>620</v>
      </c>
      <c r="K406" s="330">
        <v>9000</v>
      </c>
      <c r="L406" s="330">
        <v>0</v>
      </c>
      <c r="M406" s="330">
        <v>16296</v>
      </c>
      <c r="N406" s="330"/>
      <c r="O406" s="330">
        <v>7940</v>
      </c>
      <c r="P406" s="330"/>
      <c r="Q406" s="330">
        <v>8356</v>
      </c>
    </row>
    <row r="407" spans="1:17">
      <c r="A407" s="328">
        <v>398</v>
      </c>
      <c r="B407" s="336" t="s">
        <v>960</v>
      </c>
      <c r="C407" s="329"/>
      <c r="D407" s="329"/>
      <c r="E407" s="636" t="s">
        <v>961</v>
      </c>
      <c r="F407" s="337" t="s">
        <v>963</v>
      </c>
      <c r="G407" s="337" t="s">
        <v>948</v>
      </c>
      <c r="H407" s="337" t="s">
        <v>962</v>
      </c>
      <c r="I407" s="337" t="s">
        <v>12</v>
      </c>
      <c r="J407" s="337" t="s">
        <v>946</v>
      </c>
      <c r="K407" s="330">
        <v>3053</v>
      </c>
      <c r="L407" s="330">
        <v>1719</v>
      </c>
      <c r="M407" s="330">
        <v>0</v>
      </c>
      <c r="N407" s="330"/>
      <c r="O407" s="330">
        <v>1225</v>
      </c>
      <c r="P407" s="330"/>
      <c r="Q407" s="330">
        <v>494</v>
      </c>
    </row>
    <row r="408" spans="1:17" ht="25.5">
      <c r="A408" s="328">
        <v>399</v>
      </c>
      <c r="B408" s="331" t="s">
        <v>395</v>
      </c>
      <c r="C408" s="331"/>
      <c r="D408" s="331"/>
      <c r="E408" s="333" t="s">
        <v>510</v>
      </c>
      <c r="F408" s="328" t="s">
        <v>512</v>
      </c>
      <c r="G408" s="328" t="s">
        <v>509</v>
      </c>
      <c r="H408" s="328" t="s">
        <v>267</v>
      </c>
      <c r="I408" s="328" t="s">
        <v>14</v>
      </c>
      <c r="J408" s="328" t="s">
        <v>511</v>
      </c>
      <c r="K408" s="330">
        <v>13999</v>
      </c>
      <c r="L408" s="330">
        <v>0</v>
      </c>
      <c r="M408" s="330">
        <v>500</v>
      </c>
      <c r="N408" s="330"/>
      <c r="O408" s="330">
        <v>270</v>
      </c>
      <c r="P408" s="330"/>
      <c r="Q408" s="330">
        <v>230</v>
      </c>
    </row>
    <row r="409" spans="1:17">
      <c r="A409" s="328">
        <v>400</v>
      </c>
      <c r="B409" s="336" t="s">
        <v>1982</v>
      </c>
      <c r="C409" s="329"/>
      <c r="D409" s="329"/>
      <c r="E409" s="333" t="s">
        <v>1983</v>
      </c>
      <c r="F409" s="328" t="s">
        <v>1986</v>
      </c>
      <c r="G409" s="328" t="s">
        <v>1953</v>
      </c>
      <c r="H409" s="328" t="s">
        <v>1984</v>
      </c>
      <c r="I409" s="328" t="s">
        <v>13</v>
      </c>
      <c r="J409" s="328" t="s">
        <v>1985</v>
      </c>
      <c r="K409" s="330">
        <v>2394</v>
      </c>
      <c r="L409" s="330">
        <v>732</v>
      </c>
      <c r="M409" s="330">
        <v>55980</v>
      </c>
      <c r="N409" s="330"/>
      <c r="O409" s="330">
        <v>48574</v>
      </c>
      <c r="P409" s="330"/>
      <c r="Q409" s="330">
        <v>8138</v>
      </c>
    </row>
    <row r="410" spans="1:17">
      <c r="A410" s="328">
        <v>401</v>
      </c>
      <c r="B410" s="332" t="s">
        <v>2489</v>
      </c>
      <c r="C410" s="329"/>
      <c r="D410" s="329"/>
      <c r="E410" s="332" t="s">
        <v>2488</v>
      </c>
      <c r="F410" s="328" t="s">
        <v>3014</v>
      </c>
      <c r="G410" s="328" t="s">
        <v>2672</v>
      </c>
      <c r="H410" s="334" t="s">
        <v>2490</v>
      </c>
      <c r="I410" s="334" t="s">
        <v>15</v>
      </c>
      <c r="J410" s="328" t="s">
        <v>3015</v>
      </c>
      <c r="K410" s="335">
        <v>115500</v>
      </c>
      <c r="L410" s="330">
        <v>5</v>
      </c>
      <c r="M410" s="330">
        <v>0</v>
      </c>
      <c r="N410" s="330"/>
      <c r="O410" s="330">
        <v>0</v>
      </c>
      <c r="P410" s="330"/>
      <c r="Q410" s="330">
        <v>5</v>
      </c>
    </row>
    <row r="411" spans="1:17">
      <c r="A411" s="328">
        <v>402</v>
      </c>
      <c r="B411" s="329" t="s">
        <v>438</v>
      </c>
      <c r="C411" s="333"/>
      <c r="D411" s="333"/>
      <c r="E411" s="333" t="s">
        <v>2491</v>
      </c>
      <c r="F411" s="328" t="s">
        <v>3016</v>
      </c>
      <c r="G411" s="328" t="s">
        <v>3017</v>
      </c>
      <c r="H411" s="328" t="s">
        <v>2492</v>
      </c>
      <c r="I411" s="328" t="s">
        <v>520</v>
      </c>
      <c r="J411" s="328" t="s">
        <v>2654</v>
      </c>
      <c r="K411" s="330">
        <v>1050</v>
      </c>
      <c r="L411" s="330">
        <v>1319</v>
      </c>
      <c r="M411" s="330">
        <v>30</v>
      </c>
      <c r="N411" s="330"/>
      <c r="O411" s="330">
        <v>1347</v>
      </c>
      <c r="P411" s="330"/>
      <c r="Q411" s="330">
        <v>2</v>
      </c>
    </row>
    <row r="412" spans="1:17">
      <c r="A412" s="325">
        <v>403</v>
      </c>
      <c r="B412" s="342" t="s">
        <v>3018</v>
      </c>
      <c r="C412" s="329"/>
      <c r="D412" s="329"/>
      <c r="E412" s="333" t="s">
        <v>2491</v>
      </c>
      <c r="F412" s="328" t="s">
        <v>3016</v>
      </c>
      <c r="G412" s="328" t="s">
        <v>3017</v>
      </c>
      <c r="H412" s="328" t="s">
        <v>2492</v>
      </c>
      <c r="I412" s="328" t="s">
        <v>520</v>
      </c>
      <c r="J412" s="328" t="s">
        <v>3019</v>
      </c>
      <c r="K412" s="330">
        <v>945</v>
      </c>
      <c r="L412" s="330">
        <v>10</v>
      </c>
      <c r="M412" s="330">
        <v>0</v>
      </c>
      <c r="N412" s="330"/>
      <c r="O412" s="330">
        <v>0</v>
      </c>
      <c r="P412" s="330"/>
      <c r="Q412" s="330">
        <v>10</v>
      </c>
    </row>
    <row r="413" spans="1:17" ht="25.5">
      <c r="A413" s="328">
        <v>404</v>
      </c>
      <c r="B413" s="329" t="s">
        <v>2417</v>
      </c>
      <c r="C413" s="329"/>
      <c r="D413" s="329"/>
      <c r="E413" s="644" t="s">
        <v>104</v>
      </c>
      <c r="F413" s="328" t="s">
        <v>2418</v>
      </c>
      <c r="G413" s="345" t="s">
        <v>2413</v>
      </c>
      <c r="H413" s="328" t="s">
        <v>106</v>
      </c>
      <c r="I413" s="328" t="s">
        <v>10</v>
      </c>
      <c r="J413" s="346" t="s">
        <v>541</v>
      </c>
      <c r="K413" s="330">
        <v>2783</v>
      </c>
      <c r="L413" s="330">
        <v>2732</v>
      </c>
      <c r="M413" s="330">
        <v>14000</v>
      </c>
      <c r="N413" s="330"/>
      <c r="O413" s="330">
        <v>6690</v>
      </c>
      <c r="P413" s="330"/>
      <c r="Q413" s="330">
        <v>10042</v>
      </c>
    </row>
    <row r="414" spans="1:17">
      <c r="A414" s="328">
        <v>405</v>
      </c>
      <c r="B414" s="329" t="s">
        <v>1359</v>
      </c>
      <c r="C414" s="329"/>
      <c r="D414" s="329"/>
      <c r="E414" s="333" t="s">
        <v>1360</v>
      </c>
      <c r="F414" s="328" t="s">
        <v>1361</v>
      </c>
      <c r="G414" s="328" t="s">
        <v>360</v>
      </c>
      <c r="H414" s="328" t="s">
        <v>225</v>
      </c>
      <c r="I414" s="328" t="s">
        <v>11</v>
      </c>
      <c r="J414" s="328" t="s">
        <v>642</v>
      </c>
      <c r="K414" s="330">
        <v>328</v>
      </c>
      <c r="L414" s="330">
        <v>115</v>
      </c>
      <c r="M414" s="330">
        <v>111200</v>
      </c>
      <c r="N414" s="330"/>
      <c r="O414" s="330">
        <v>95094</v>
      </c>
      <c r="P414" s="330"/>
      <c r="Q414" s="330">
        <v>16221</v>
      </c>
    </row>
    <row r="415" spans="1:17" ht="51">
      <c r="A415" s="328">
        <v>406</v>
      </c>
      <c r="B415" s="336" t="s">
        <v>2133</v>
      </c>
      <c r="C415" s="329"/>
      <c r="D415" s="329"/>
      <c r="E415" s="333" t="s">
        <v>2134</v>
      </c>
      <c r="F415" s="328" t="s">
        <v>2135</v>
      </c>
      <c r="G415" s="328" t="s">
        <v>2136</v>
      </c>
      <c r="H415" s="328" t="s">
        <v>267</v>
      </c>
      <c r="I415" s="328" t="s">
        <v>10</v>
      </c>
      <c r="J415" s="328" t="s">
        <v>2132</v>
      </c>
      <c r="K415" s="330">
        <v>3500</v>
      </c>
      <c r="L415" s="330">
        <v>0</v>
      </c>
      <c r="M415" s="330">
        <v>990</v>
      </c>
      <c r="N415" s="330"/>
      <c r="O415" s="330">
        <v>718</v>
      </c>
      <c r="P415" s="330"/>
      <c r="Q415" s="330">
        <v>272</v>
      </c>
    </row>
    <row r="416" spans="1:17">
      <c r="A416" s="328">
        <v>407</v>
      </c>
      <c r="B416" s="329" t="s">
        <v>1813</v>
      </c>
      <c r="C416" s="329"/>
      <c r="D416" s="329"/>
      <c r="E416" s="333" t="s">
        <v>1814</v>
      </c>
      <c r="F416" s="328" t="s">
        <v>1816</v>
      </c>
      <c r="G416" s="328" t="s">
        <v>1817</v>
      </c>
      <c r="H416" s="328" t="s">
        <v>1815</v>
      </c>
      <c r="I416" s="355" t="s">
        <v>10</v>
      </c>
      <c r="J416" s="328" t="s">
        <v>623</v>
      </c>
      <c r="K416" s="330">
        <v>6000</v>
      </c>
      <c r="L416" s="330">
        <v>361</v>
      </c>
      <c r="M416" s="330">
        <v>20970</v>
      </c>
      <c r="N416" s="330"/>
      <c r="O416" s="330">
        <v>9436</v>
      </c>
      <c r="P416" s="330"/>
      <c r="Q416" s="330">
        <v>11895</v>
      </c>
    </row>
    <row r="417" spans="1:27">
      <c r="A417" s="328">
        <v>408</v>
      </c>
      <c r="B417" s="329" t="s">
        <v>1220</v>
      </c>
      <c r="C417" s="333"/>
      <c r="D417" s="333"/>
      <c r="E417" s="333" t="s">
        <v>1220</v>
      </c>
      <c r="F417" s="328" t="s">
        <v>3020</v>
      </c>
      <c r="G417" s="328" t="s">
        <v>360</v>
      </c>
      <c r="H417" s="328" t="s">
        <v>267</v>
      </c>
      <c r="I417" s="328" t="s">
        <v>10</v>
      </c>
      <c r="J417" s="328" t="s">
        <v>623</v>
      </c>
      <c r="K417" s="330">
        <v>105</v>
      </c>
      <c r="L417" s="330">
        <v>118</v>
      </c>
      <c r="M417" s="330">
        <v>0</v>
      </c>
      <c r="N417" s="330"/>
      <c r="O417" s="330">
        <v>79</v>
      </c>
      <c r="P417" s="330"/>
      <c r="Q417" s="330">
        <v>39</v>
      </c>
    </row>
    <row r="418" spans="1:27">
      <c r="A418" s="325">
        <v>409</v>
      </c>
      <c r="B418" s="336" t="s">
        <v>1241</v>
      </c>
      <c r="C418" s="329"/>
      <c r="D418" s="329"/>
      <c r="E418" s="636" t="s">
        <v>1243</v>
      </c>
      <c r="F418" s="337" t="s">
        <v>1244</v>
      </c>
      <c r="G418" s="337" t="s">
        <v>1242</v>
      </c>
      <c r="H418" s="337" t="s">
        <v>238</v>
      </c>
      <c r="I418" s="337" t="s">
        <v>11</v>
      </c>
      <c r="J418" s="337" t="s">
        <v>884</v>
      </c>
      <c r="K418" s="330">
        <v>2650</v>
      </c>
      <c r="L418" s="330">
        <v>0</v>
      </c>
      <c r="M418" s="330">
        <v>2640</v>
      </c>
      <c r="N418" s="330"/>
      <c r="O418" s="330">
        <v>410</v>
      </c>
      <c r="P418" s="330"/>
      <c r="Q418" s="330">
        <v>2230</v>
      </c>
    </row>
    <row r="419" spans="1:27">
      <c r="A419" s="328">
        <v>410</v>
      </c>
      <c r="B419" s="331" t="s">
        <v>325</v>
      </c>
      <c r="C419" s="331"/>
      <c r="D419" s="331"/>
      <c r="E419" s="333" t="s">
        <v>326</v>
      </c>
      <c r="F419" s="328" t="s">
        <v>328</v>
      </c>
      <c r="G419" s="328" t="s">
        <v>324</v>
      </c>
      <c r="H419" s="328" t="s">
        <v>327</v>
      </c>
      <c r="I419" s="328" t="s">
        <v>10</v>
      </c>
      <c r="J419" s="328" t="s">
        <v>642</v>
      </c>
      <c r="K419" s="330">
        <v>231</v>
      </c>
      <c r="L419" s="330">
        <v>0</v>
      </c>
      <c r="M419" s="330">
        <v>15000</v>
      </c>
      <c r="N419" s="330"/>
      <c r="O419" s="330">
        <v>1286</v>
      </c>
      <c r="P419" s="330"/>
      <c r="Q419" s="330">
        <v>13714</v>
      </c>
    </row>
    <row r="420" spans="1:27">
      <c r="A420" s="328">
        <v>411</v>
      </c>
      <c r="B420" s="336" t="s">
        <v>583</v>
      </c>
      <c r="C420" s="329"/>
      <c r="D420" s="329"/>
      <c r="E420" s="333" t="s">
        <v>1824</v>
      </c>
      <c r="F420" s="328" t="s">
        <v>1825</v>
      </c>
      <c r="G420" s="328" t="s">
        <v>492</v>
      </c>
      <c r="H420" s="328" t="s">
        <v>222</v>
      </c>
      <c r="I420" s="328" t="s">
        <v>10</v>
      </c>
      <c r="J420" s="328" t="s">
        <v>626</v>
      </c>
      <c r="K420" s="330">
        <v>282</v>
      </c>
      <c r="L420" s="330">
        <v>0</v>
      </c>
      <c r="M420" s="330">
        <v>5942</v>
      </c>
      <c r="N420" s="330"/>
      <c r="O420" s="330">
        <v>5040</v>
      </c>
      <c r="P420" s="330"/>
      <c r="Q420" s="330">
        <v>902</v>
      </c>
    </row>
    <row r="421" spans="1:27">
      <c r="A421" s="328">
        <v>412</v>
      </c>
      <c r="B421" s="347" t="s">
        <v>309</v>
      </c>
      <c r="C421" s="329"/>
      <c r="D421" s="329"/>
      <c r="E421" s="640" t="s">
        <v>3021</v>
      </c>
      <c r="F421" s="348" t="s">
        <v>3022</v>
      </c>
      <c r="G421" s="348" t="s">
        <v>2702</v>
      </c>
      <c r="H421" s="348" t="s">
        <v>310</v>
      </c>
      <c r="I421" s="348" t="s">
        <v>10</v>
      </c>
      <c r="J421" s="348" t="s">
        <v>3023</v>
      </c>
      <c r="K421" s="330">
        <v>554</v>
      </c>
      <c r="L421" s="330">
        <v>80</v>
      </c>
      <c r="M421" s="330"/>
      <c r="N421" s="330"/>
      <c r="O421" s="330">
        <v>80</v>
      </c>
      <c r="P421" s="330"/>
      <c r="Q421" s="330"/>
      <c r="R421" s="37"/>
      <c r="T421" s="37"/>
      <c r="U421" s="37"/>
      <c r="V421" s="37"/>
      <c r="W421" s="37"/>
      <c r="X421" s="37"/>
      <c r="Y421" s="37"/>
      <c r="Z421" s="37"/>
      <c r="AA421" s="37"/>
    </row>
    <row r="422" spans="1:27">
      <c r="A422" s="328">
        <v>413</v>
      </c>
      <c r="B422" s="336" t="s">
        <v>289</v>
      </c>
      <c r="C422" s="333"/>
      <c r="D422" s="333"/>
      <c r="E422" s="636" t="s">
        <v>871</v>
      </c>
      <c r="F422" s="337" t="s">
        <v>872</v>
      </c>
      <c r="G422" s="337" t="s">
        <v>293</v>
      </c>
      <c r="H422" s="337" t="s">
        <v>258</v>
      </c>
      <c r="I422" s="337" t="s">
        <v>10</v>
      </c>
      <c r="J422" s="337" t="s">
        <v>626</v>
      </c>
      <c r="K422" s="330">
        <v>4738</v>
      </c>
      <c r="L422" s="330">
        <v>0</v>
      </c>
      <c r="M422" s="330">
        <v>25000</v>
      </c>
      <c r="N422" s="330"/>
      <c r="O422" s="330">
        <v>13640</v>
      </c>
      <c r="P422" s="330"/>
      <c r="Q422" s="330">
        <v>11360</v>
      </c>
    </row>
    <row r="423" spans="1:27">
      <c r="A423" s="328">
        <v>414</v>
      </c>
      <c r="B423" s="329" t="s">
        <v>289</v>
      </c>
      <c r="C423" s="333"/>
      <c r="D423" s="333"/>
      <c r="E423" s="333" t="s">
        <v>290</v>
      </c>
      <c r="F423" s="328" t="s">
        <v>292</v>
      </c>
      <c r="G423" s="328" t="s">
        <v>293</v>
      </c>
      <c r="H423" s="328" t="s">
        <v>291</v>
      </c>
      <c r="I423" s="328" t="s">
        <v>10</v>
      </c>
      <c r="J423" s="328" t="s">
        <v>642</v>
      </c>
      <c r="K423" s="330">
        <v>2760</v>
      </c>
      <c r="L423" s="330">
        <v>0</v>
      </c>
      <c r="M423" s="330">
        <v>10000</v>
      </c>
      <c r="N423" s="330"/>
      <c r="O423" s="330">
        <v>9968</v>
      </c>
      <c r="P423" s="330"/>
      <c r="Q423" s="330">
        <v>32</v>
      </c>
    </row>
    <row r="424" spans="1:27">
      <c r="A424" s="325">
        <v>415</v>
      </c>
      <c r="B424" s="332" t="s">
        <v>1618</v>
      </c>
      <c r="C424" s="329"/>
      <c r="D424" s="329"/>
      <c r="E424" s="332" t="s">
        <v>2493</v>
      </c>
      <c r="F424" s="328" t="s">
        <v>3024</v>
      </c>
      <c r="G424" s="328" t="s">
        <v>3025</v>
      </c>
      <c r="H424" s="334" t="s">
        <v>1232</v>
      </c>
      <c r="I424" s="328" t="s">
        <v>11</v>
      </c>
      <c r="J424" s="328" t="s">
        <v>815</v>
      </c>
      <c r="K424" s="335">
        <v>567</v>
      </c>
      <c r="L424" s="330">
        <v>42</v>
      </c>
      <c r="M424" s="330">
        <v>0</v>
      </c>
      <c r="N424" s="330"/>
      <c r="O424" s="330">
        <v>28</v>
      </c>
      <c r="P424" s="330"/>
      <c r="Q424" s="330">
        <v>14</v>
      </c>
    </row>
    <row r="425" spans="1:27">
      <c r="A425" s="328">
        <v>416</v>
      </c>
      <c r="B425" s="329" t="s">
        <v>1618</v>
      </c>
      <c r="C425" s="333"/>
      <c r="D425" s="333"/>
      <c r="E425" s="333" t="s">
        <v>2608</v>
      </c>
      <c r="F425" s="328" t="s">
        <v>3026</v>
      </c>
      <c r="G425" s="328" t="s">
        <v>3025</v>
      </c>
      <c r="H425" s="328" t="s">
        <v>225</v>
      </c>
      <c r="I425" s="328" t="s">
        <v>11</v>
      </c>
      <c r="J425" s="328" t="s">
        <v>815</v>
      </c>
      <c r="K425" s="330">
        <v>170</v>
      </c>
      <c r="L425" s="330">
        <v>20718</v>
      </c>
      <c r="M425" s="330">
        <v>1542</v>
      </c>
      <c r="N425" s="330"/>
      <c r="O425" s="330">
        <v>22215</v>
      </c>
      <c r="P425" s="330"/>
      <c r="Q425" s="330">
        <v>45</v>
      </c>
    </row>
    <row r="426" spans="1:27">
      <c r="A426" s="328">
        <v>417</v>
      </c>
      <c r="B426" s="329" t="s">
        <v>729</v>
      </c>
      <c r="C426" s="333"/>
      <c r="D426" s="333"/>
      <c r="E426" s="333" t="s">
        <v>1344</v>
      </c>
      <c r="F426" s="328" t="s">
        <v>1345</v>
      </c>
      <c r="G426" s="328" t="s">
        <v>360</v>
      </c>
      <c r="H426" s="328" t="s">
        <v>272</v>
      </c>
      <c r="I426" s="328" t="s">
        <v>11</v>
      </c>
      <c r="J426" s="328" t="s">
        <v>1329</v>
      </c>
      <c r="K426" s="330">
        <v>203</v>
      </c>
      <c r="L426" s="330">
        <v>10022</v>
      </c>
      <c r="M426" s="330">
        <v>0</v>
      </c>
      <c r="N426" s="330"/>
      <c r="O426" s="330">
        <v>3406</v>
      </c>
      <c r="P426" s="330"/>
      <c r="Q426" s="330">
        <v>6616</v>
      </c>
    </row>
    <row r="427" spans="1:27">
      <c r="A427" s="328">
        <v>418</v>
      </c>
      <c r="B427" s="329" t="s">
        <v>729</v>
      </c>
      <c r="C427" s="333"/>
      <c r="D427" s="333"/>
      <c r="E427" s="333" t="s">
        <v>1346</v>
      </c>
      <c r="F427" s="328" t="s">
        <v>1347</v>
      </c>
      <c r="G427" s="328" t="s">
        <v>360</v>
      </c>
      <c r="H427" s="328" t="s">
        <v>225</v>
      </c>
      <c r="I427" s="328" t="s">
        <v>11</v>
      </c>
      <c r="J427" s="328" t="s">
        <v>647</v>
      </c>
      <c r="K427" s="330">
        <v>244</v>
      </c>
      <c r="L427" s="330">
        <v>21396</v>
      </c>
      <c r="M427" s="330">
        <v>0</v>
      </c>
      <c r="N427" s="330"/>
      <c r="O427" s="330">
        <v>17669</v>
      </c>
      <c r="P427" s="330"/>
      <c r="Q427" s="330">
        <v>3727</v>
      </c>
    </row>
    <row r="428" spans="1:27">
      <c r="A428" s="328">
        <v>419</v>
      </c>
      <c r="B428" s="329" t="s">
        <v>513</v>
      </c>
      <c r="C428" s="333"/>
      <c r="D428" s="333"/>
      <c r="E428" s="333" t="s">
        <v>1761</v>
      </c>
      <c r="F428" s="328" t="s">
        <v>3027</v>
      </c>
      <c r="G428" s="328" t="s">
        <v>1763</v>
      </c>
      <c r="H428" s="328" t="s">
        <v>2517</v>
      </c>
      <c r="I428" s="328" t="s">
        <v>15</v>
      </c>
      <c r="J428" s="328" t="s">
        <v>1762</v>
      </c>
      <c r="K428" s="330">
        <v>9660</v>
      </c>
      <c r="L428" s="330">
        <v>54</v>
      </c>
      <c r="M428" s="330">
        <v>0</v>
      </c>
      <c r="N428" s="330"/>
      <c r="O428" s="330">
        <v>18</v>
      </c>
      <c r="P428" s="330"/>
      <c r="Q428" s="330">
        <v>36</v>
      </c>
    </row>
    <row r="429" spans="1:27">
      <c r="A429" s="328">
        <v>420</v>
      </c>
      <c r="B429" s="329" t="s">
        <v>513</v>
      </c>
      <c r="C429" s="333"/>
      <c r="D429" s="333"/>
      <c r="E429" s="333" t="s">
        <v>2565</v>
      </c>
      <c r="F429" s="328" t="s">
        <v>3028</v>
      </c>
      <c r="G429" s="328" t="s">
        <v>1763</v>
      </c>
      <c r="H429" s="328" t="s">
        <v>2567</v>
      </c>
      <c r="I429" s="328" t="s">
        <v>15</v>
      </c>
      <c r="J429" s="328" t="s">
        <v>1762</v>
      </c>
      <c r="K429" s="330">
        <v>7245</v>
      </c>
      <c r="L429" s="330">
        <v>1000</v>
      </c>
      <c r="M429" s="330">
        <v>0</v>
      </c>
      <c r="N429" s="330"/>
      <c r="O429" s="330">
        <v>24</v>
      </c>
      <c r="P429" s="330"/>
      <c r="Q429" s="330">
        <v>976</v>
      </c>
    </row>
    <row r="430" spans="1:27">
      <c r="A430" s="325">
        <v>421</v>
      </c>
      <c r="B430" s="329" t="s">
        <v>513</v>
      </c>
      <c r="C430" s="333"/>
      <c r="D430" s="333"/>
      <c r="E430" s="333" t="s">
        <v>2565</v>
      </c>
      <c r="F430" s="328" t="s">
        <v>3028</v>
      </c>
      <c r="G430" s="328" t="s">
        <v>1763</v>
      </c>
      <c r="H430" s="328" t="s">
        <v>2566</v>
      </c>
      <c r="I430" s="328" t="s">
        <v>15</v>
      </c>
      <c r="J430" s="328" t="s">
        <v>1762</v>
      </c>
      <c r="K430" s="330">
        <v>7350</v>
      </c>
      <c r="L430" s="330">
        <v>144</v>
      </c>
      <c r="M430" s="330">
        <v>0</v>
      </c>
      <c r="N430" s="330"/>
      <c r="O430" s="330">
        <v>117</v>
      </c>
      <c r="P430" s="330"/>
      <c r="Q430" s="330">
        <v>27</v>
      </c>
    </row>
    <row r="431" spans="1:27">
      <c r="A431" s="328">
        <v>422</v>
      </c>
      <c r="B431" s="329" t="s">
        <v>513</v>
      </c>
      <c r="C431" s="333"/>
      <c r="D431" s="333"/>
      <c r="E431" s="333" t="s">
        <v>2609</v>
      </c>
      <c r="F431" s="328" t="s">
        <v>3029</v>
      </c>
      <c r="G431" s="328" t="s">
        <v>1763</v>
      </c>
      <c r="H431" s="328" t="s">
        <v>2610</v>
      </c>
      <c r="I431" s="328" t="s">
        <v>15</v>
      </c>
      <c r="J431" s="328" t="s">
        <v>3030</v>
      </c>
      <c r="K431" s="330">
        <v>1103</v>
      </c>
      <c r="L431" s="330">
        <v>1449</v>
      </c>
      <c r="M431" s="330">
        <v>35</v>
      </c>
      <c r="N431" s="330"/>
      <c r="O431" s="330">
        <v>475</v>
      </c>
      <c r="P431" s="330"/>
      <c r="Q431" s="330">
        <v>1009</v>
      </c>
    </row>
    <row r="432" spans="1:27">
      <c r="A432" s="328">
        <v>423</v>
      </c>
      <c r="B432" s="329" t="s">
        <v>1618</v>
      </c>
      <c r="C432" s="329"/>
      <c r="D432" s="329"/>
      <c r="E432" s="333" t="s">
        <v>1927</v>
      </c>
      <c r="F432" s="328" t="s">
        <v>1928</v>
      </c>
      <c r="G432" s="328" t="s">
        <v>1913</v>
      </c>
      <c r="H432" s="328" t="s">
        <v>225</v>
      </c>
      <c r="I432" s="328" t="s">
        <v>11</v>
      </c>
      <c r="J432" s="328" t="s">
        <v>585</v>
      </c>
      <c r="K432" s="330">
        <v>147</v>
      </c>
      <c r="L432" s="330">
        <v>0</v>
      </c>
      <c r="M432" s="330">
        <v>10416</v>
      </c>
      <c r="N432" s="330"/>
      <c r="O432" s="330">
        <v>10416</v>
      </c>
      <c r="P432" s="330"/>
      <c r="Q432" s="330">
        <v>0</v>
      </c>
    </row>
    <row r="433" spans="1:17">
      <c r="A433" s="328">
        <v>424</v>
      </c>
      <c r="B433" s="329" t="s">
        <v>1618</v>
      </c>
      <c r="C433" s="329"/>
      <c r="D433" s="329"/>
      <c r="E433" s="333" t="s">
        <v>1925</v>
      </c>
      <c r="F433" s="328" t="s">
        <v>1926</v>
      </c>
      <c r="G433" s="328" t="s">
        <v>1913</v>
      </c>
      <c r="H433" s="328" t="s">
        <v>994</v>
      </c>
      <c r="I433" s="328" t="s">
        <v>11</v>
      </c>
      <c r="J433" s="328" t="s">
        <v>585</v>
      </c>
      <c r="K433" s="330">
        <v>200</v>
      </c>
      <c r="L433" s="330">
        <v>0</v>
      </c>
      <c r="M433" s="330">
        <v>25248</v>
      </c>
      <c r="N433" s="330"/>
      <c r="O433" s="330">
        <v>25213</v>
      </c>
      <c r="P433" s="330"/>
      <c r="Q433" s="330">
        <v>35</v>
      </c>
    </row>
    <row r="434" spans="1:17">
      <c r="A434" s="328">
        <v>425</v>
      </c>
      <c r="B434" s="329" t="s">
        <v>583</v>
      </c>
      <c r="C434" s="329"/>
      <c r="D434" s="329"/>
      <c r="E434" s="333" t="s">
        <v>1100</v>
      </c>
      <c r="F434" s="328" t="s">
        <v>1101</v>
      </c>
      <c r="G434" s="328" t="s">
        <v>1102</v>
      </c>
      <c r="H434" s="328" t="s">
        <v>222</v>
      </c>
      <c r="I434" s="328" t="s">
        <v>11</v>
      </c>
      <c r="J434" s="328" t="s">
        <v>842</v>
      </c>
      <c r="K434" s="330">
        <v>1550</v>
      </c>
      <c r="L434" s="330">
        <v>0</v>
      </c>
      <c r="M434" s="330">
        <v>8950</v>
      </c>
      <c r="N434" s="330"/>
      <c r="O434" s="330">
        <v>8310</v>
      </c>
      <c r="P434" s="330"/>
      <c r="Q434" s="330">
        <v>640</v>
      </c>
    </row>
    <row r="435" spans="1:17">
      <c r="A435" s="328">
        <v>426</v>
      </c>
      <c r="B435" s="329" t="s">
        <v>583</v>
      </c>
      <c r="C435" s="329"/>
      <c r="D435" s="329"/>
      <c r="E435" s="333" t="s">
        <v>1103</v>
      </c>
      <c r="F435" s="328" t="s">
        <v>1104</v>
      </c>
      <c r="G435" s="328" t="s">
        <v>1102</v>
      </c>
      <c r="H435" s="328" t="s">
        <v>390</v>
      </c>
      <c r="I435" s="328" t="s">
        <v>11</v>
      </c>
      <c r="J435" s="328" t="s">
        <v>842</v>
      </c>
      <c r="K435" s="330">
        <v>3600</v>
      </c>
      <c r="L435" s="330">
        <v>0</v>
      </c>
      <c r="M435" s="330">
        <v>21779</v>
      </c>
      <c r="N435" s="330"/>
      <c r="O435" s="330">
        <v>19770</v>
      </c>
      <c r="P435" s="330"/>
      <c r="Q435" s="330">
        <v>2009</v>
      </c>
    </row>
    <row r="436" spans="1:17">
      <c r="A436" s="325">
        <v>427</v>
      </c>
      <c r="B436" s="329" t="s">
        <v>1618</v>
      </c>
      <c r="C436" s="333"/>
      <c r="D436" s="333"/>
      <c r="E436" s="333" t="s">
        <v>2494</v>
      </c>
      <c r="F436" s="328" t="s">
        <v>3031</v>
      </c>
      <c r="G436" s="328" t="s">
        <v>3032</v>
      </c>
      <c r="H436" s="328" t="s">
        <v>994</v>
      </c>
      <c r="I436" s="328" t="s">
        <v>11</v>
      </c>
      <c r="J436" s="328" t="s">
        <v>815</v>
      </c>
      <c r="K436" s="330">
        <v>236</v>
      </c>
      <c r="L436" s="330">
        <v>39</v>
      </c>
      <c r="M436" s="330">
        <v>6901</v>
      </c>
      <c r="N436" s="330"/>
      <c r="O436" s="330">
        <v>6939</v>
      </c>
      <c r="P436" s="330"/>
      <c r="Q436" s="330">
        <v>1</v>
      </c>
    </row>
    <row r="437" spans="1:17">
      <c r="A437" s="328">
        <v>428</v>
      </c>
      <c r="B437" s="333" t="s">
        <v>1891</v>
      </c>
      <c r="C437" s="329"/>
      <c r="D437" s="329"/>
      <c r="E437" s="333" t="s">
        <v>1892</v>
      </c>
      <c r="F437" s="340" t="s">
        <v>1893</v>
      </c>
      <c r="G437" s="340" t="s">
        <v>3033</v>
      </c>
      <c r="H437" s="340" t="s">
        <v>327</v>
      </c>
      <c r="I437" s="337" t="s">
        <v>10</v>
      </c>
      <c r="J437" s="340" t="s">
        <v>311</v>
      </c>
      <c r="K437" s="330">
        <v>5500</v>
      </c>
      <c r="L437" s="330">
        <v>0</v>
      </c>
      <c r="M437" s="330">
        <v>3000</v>
      </c>
      <c r="N437" s="330"/>
      <c r="O437" s="330">
        <v>0</v>
      </c>
      <c r="P437" s="330"/>
      <c r="Q437" s="330">
        <v>3000</v>
      </c>
    </row>
    <row r="438" spans="1:17">
      <c r="A438" s="328">
        <v>429</v>
      </c>
      <c r="B438" s="329" t="s">
        <v>309</v>
      </c>
      <c r="C438" s="329"/>
      <c r="D438" s="329"/>
      <c r="E438" s="333" t="s">
        <v>1554</v>
      </c>
      <c r="F438" s="328" t="s">
        <v>1556</v>
      </c>
      <c r="G438" s="328" t="s">
        <v>1557</v>
      </c>
      <c r="H438" s="328" t="s">
        <v>869</v>
      </c>
      <c r="I438" s="328" t="s">
        <v>10</v>
      </c>
      <c r="J438" s="328" t="s">
        <v>1555</v>
      </c>
      <c r="K438" s="330">
        <v>3000</v>
      </c>
      <c r="L438" s="330">
        <v>0</v>
      </c>
      <c r="M438" s="330">
        <v>19200</v>
      </c>
      <c r="N438" s="330"/>
      <c r="O438" s="330">
        <v>16922</v>
      </c>
      <c r="P438" s="330"/>
      <c r="Q438" s="330">
        <v>2278</v>
      </c>
    </row>
    <row r="439" spans="1:17">
      <c r="A439" s="328">
        <v>430</v>
      </c>
      <c r="B439" s="329" t="s">
        <v>731</v>
      </c>
      <c r="C439" s="329"/>
      <c r="D439" s="329"/>
      <c r="E439" s="333" t="s">
        <v>732</v>
      </c>
      <c r="F439" s="328" t="s">
        <v>735</v>
      </c>
      <c r="G439" s="328" t="s">
        <v>718</v>
      </c>
      <c r="H439" s="328" t="s">
        <v>733</v>
      </c>
      <c r="I439" s="328" t="s">
        <v>628</v>
      </c>
      <c r="J439" s="328" t="s">
        <v>734</v>
      </c>
      <c r="K439" s="330">
        <v>72975</v>
      </c>
      <c r="L439" s="330">
        <v>8</v>
      </c>
      <c r="M439" s="330">
        <v>10</v>
      </c>
      <c r="N439" s="330"/>
      <c r="O439" s="330">
        <v>7</v>
      </c>
      <c r="P439" s="330"/>
      <c r="Q439" s="330">
        <v>11</v>
      </c>
    </row>
    <row r="440" spans="1:17">
      <c r="A440" s="328">
        <v>431</v>
      </c>
      <c r="B440" s="329" t="s">
        <v>309</v>
      </c>
      <c r="C440" s="333"/>
      <c r="D440" s="333"/>
      <c r="E440" s="333" t="s">
        <v>2495</v>
      </c>
      <c r="F440" s="328" t="s">
        <v>3034</v>
      </c>
      <c r="G440" s="328" t="s">
        <v>3035</v>
      </c>
      <c r="H440" s="328" t="s">
        <v>310</v>
      </c>
      <c r="I440" s="328" t="s">
        <v>11</v>
      </c>
      <c r="J440" s="328" t="s">
        <v>3036</v>
      </c>
      <c r="K440" s="330">
        <v>2604</v>
      </c>
      <c r="L440" s="330">
        <v>19729</v>
      </c>
      <c r="M440" s="330">
        <v>1412</v>
      </c>
      <c r="N440" s="330"/>
      <c r="O440" s="330">
        <v>20947</v>
      </c>
      <c r="P440" s="330"/>
      <c r="Q440" s="330">
        <v>194</v>
      </c>
    </row>
    <row r="441" spans="1:17">
      <c r="A441" s="328">
        <v>432</v>
      </c>
      <c r="B441" s="336" t="s">
        <v>544</v>
      </c>
      <c r="C441" s="329"/>
      <c r="D441" s="329"/>
      <c r="E441" s="333" t="s">
        <v>545</v>
      </c>
      <c r="F441" s="328" t="s">
        <v>548</v>
      </c>
      <c r="G441" s="328" t="s">
        <v>215</v>
      </c>
      <c r="H441" s="328" t="s">
        <v>546</v>
      </c>
      <c r="I441" s="328" t="s">
        <v>11</v>
      </c>
      <c r="J441" s="328" t="s">
        <v>547</v>
      </c>
      <c r="K441" s="330">
        <v>210</v>
      </c>
      <c r="L441" s="330">
        <v>70</v>
      </c>
      <c r="M441" s="330">
        <v>400</v>
      </c>
      <c r="N441" s="330"/>
      <c r="O441" s="330">
        <v>470</v>
      </c>
      <c r="P441" s="330"/>
      <c r="Q441" s="330">
        <v>0</v>
      </c>
    </row>
    <row r="442" spans="1:17">
      <c r="A442" s="325">
        <v>433</v>
      </c>
      <c r="B442" s="336" t="s">
        <v>1585</v>
      </c>
      <c r="C442" s="329"/>
      <c r="D442" s="329"/>
      <c r="E442" s="333" t="s">
        <v>1586</v>
      </c>
      <c r="F442" s="328" t="s">
        <v>1589</v>
      </c>
      <c r="G442" s="328" t="s">
        <v>772</v>
      </c>
      <c r="H442" s="328" t="s">
        <v>1587</v>
      </c>
      <c r="I442" s="328" t="s">
        <v>13</v>
      </c>
      <c r="J442" s="328" t="s">
        <v>1588</v>
      </c>
      <c r="K442" s="330">
        <v>7900</v>
      </c>
      <c r="L442" s="330">
        <v>5187</v>
      </c>
      <c r="M442" s="330">
        <v>4300</v>
      </c>
      <c r="N442" s="330"/>
      <c r="O442" s="330">
        <v>8344</v>
      </c>
      <c r="P442" s="330"/>
      <c r="Q442" s="330">
        <v>1143</v>
      </c>
    </row>
    <row r="443" spans="1:17">
      <c r="A443" s="328">
        <v>434</v>
      </c>
      <c r="B443" s="329" t="s">
        <v>736</v>
      </c>
      <c r="C443" s="329"/>
      <c r="D443" s="329"/>
      <c r="E443" s="333" t="s">
        <v>1671</v>
      </c>
      <c r="F443" s="328" t="s">
        <v>1673</v>
      </c>
      <c r="G443" s="328" t="s">
        <v>1667</v>
      </c>
      <c r="H443" s="328" t="s">
        <v>1672</v>
      </c>
      <c r="I443" s="328" t="s">
        <v>12</v>
      </c>
      <c r="J443" s="328" t="s">
        <v>3037</v>
      </c>
      <c r="K443" s="330">
        <v>2940</v>
      </c>
      <c r="L443" s="330">
        <v>29559</v>
      </c>
      <c r="M443" s="330">
        <v>7500</v>
      </c>
      <c r="N443" s="330"/>
      <c r="O443" s="330">
        <v>35324</v>
      </c>
      <c r="P443" s="330"/>
      <c r="Q443" s="330">
        <v>1735</v>
      </c>
    </row>
    <row r="444" spans="1:17">
      <c r="A444" s="328">
        <v>435</v>
      </c>
      <c r="B444" s="336" t="s">
        <v>779</v>
      </c>
      <c r="C444" s="329"/>
      <c r="D444" s="329"/>
      <c r="E444" s="333" t="s">
        <v>780</v>
      </c>
      <c r="F444" s="328" t="s">
        <v>782</v>
      </c>
      <c r="G444" s="328" t="s">
        <v>783</v>
      </c>
      <c r="H444" s="328" t="s">
        <v>435</v>
      </c>
      <c r="I444" s="328" t="s">
        <v>15</v>
      </c>
      <c r="J444" s="328" t="s">
        <v>781</v>
      </c>
      <c r="K444" s="330">
        <v>30000</v>
      </c>
      <c r="L444" s="330">
        <v>0</v>
      </c>
      <c r="M444" s="330">
        <v>200</v>
      </c>
      <c r="N444" s="330"/>
      <c r="O444" s="330">
        <v>40</v>
      </c>
      <c r="P444" s="330"/>
      <c r="Q444" s="330">
        <v>160</v>
      </c>
    </row>
    <row r="445" spans="1:17">
      <c r="A445" s="328">
        <v>436</v>
      </c>
      <c r="B445" s="329" t="s">
        <v>1562</v>
      </c>
      <c r="C445" s="329"/>
      <c r="D445" s="329"/>
      <c r="E445" s="333" t="s">
        <v>1628</v>
      </c>
      <c r="F445" s="328" t="s">
        <v>1630</v>
      </c>
      <c r="G445" s="328" t="s">
        <v>473</v>
      </c>
      <c r="H445" s="328" t="s">
        <v>232</v>
      </c>
      <c r="I445" s="328" t="s">
        <v>13</v>
      </c>
      <c r="J445" s="328" t="s">
        <v>1629</v>
      </c>
      <c r="K445" s="330">
        <v>900</v>
      </c>
      <c r="L445" s="330">
        <v>0</v>
      </c>
      <c r="M445" s="330">
        <v>22400</v>
      </c>
      <c r="N445" s="330"/>
      <c r="O445" s="330">
        <v>16961</v>
      </c>
      <c r="P445" s="330"/>
      <c r="Q445" s="330">
        <v>5439</v>
      </c>
    </row>
    <row r="446" spans="1:17">
      <c r="A446" s="328">
        <v>437</v>
      </c>
      <c r="B446" s="336" t="s">
        <v>1439</v>
      </c>
      <c r="C446" s="329"/>
      <c r="D446" s="329"/>
      <c r="E446" s="333" t="s">
        <v>1440</v>
      </c>
      <c r="F446" s="328" t="s">
        <v>1442</v>
      </c>
      <c r="G446" s="328" t="s">
        <v>1429</v>
      </c>
      <c r="H446" s="365">
        <v>0.05</v>
      </c>
      <c r="I446" s="328" t="s">
        <v>1144</v>
      </c>
      <c r="J446" s="328" t="s">
        <v>1441</v>
      </c>
      <c r="K446" s="330">
        <v>7320</v>
      </c>
      <c r="L446" s="330">
        <v>4</v>
      </c>
      <c r="M446" s="330">
        <v>210</v>
      </c>
      <c r="N446" s="330"/>
      <c r="O446" s="330">
        <v>171</v>
      </c>
      <c r="P446" s="330"/>
      <c r="Q446" s="330">
        <v>43</v>
      </c>
    </row>
    <row r="447" spans="1:17">
      <c r="A447" s="328">
        <v>438</v>
      </c>
      <c r="B447" s="329" t="s">
        <v>1439</v>
      </c>
      <c r="C447" s="329"/>
      <c r="D447" s="329"/>
      <c r="E447" s="333" t="s">
        <v>1923</v>
      </c>
      <c r="F447" s="328" t="s">
        <v>1924</v>
      </c>
      <c r="G447" s="328" t="s">
        <v>1913</v>
      </c>
      <c r="H447" s="328" t="s">
        <v>225</v>
      </c>
      <c r="I447" s="328" t="s">
        <v>11</v>
      </c>
      <c r="J447" s="328" t="s">
        <v>585</v>
      </c>
      <c r="K447" s="330">
        <v>1197</v>
      </c>
      <c r="L447" s="330">
        <v>70</v>
      </c>
      <c r="M447" s="330">
        <v>4100</v>
      </c>
      <c r="N447" s="330"/>
      <c r="O447" s="330">
        <v>3203</v>
      </c>
      <c r="P447" s="330"/>
      <c r="Q447" s="330">
        <v>967</v>
      </c>
    </row>
    <row r="448" spans="1:17">
      <c r="A448" s="325">
        <v>439</v>
      </c>
      <c r="B448" s="329" t="s">
        <v>1470</v>
      </c>
      <c r="C448" s="329"/>
      <c r="D448" s="329"/>
      <c r="E448" s="333" t="s">
        <v>1471</v>
      </c>
      <c r="F448" s="328" t="s">
        <v>1474</v>
      </c>
      <c r="G448" s="328" t="s">
        <v>1475</v>
      </c>
      <c r="H448" s="328" t="s">
        <v>1472</v>
      </c>
      <c r="I448" s="328" t="s">
        <v>1476</v>
      </c>
      <c r="J448" s="328" t="s">
        <v>1473</v>
      </c>
      <c r="K448" s="330">
        <v>13300</v>
      </c>
      <c r="L448" s="330">
        <v>17</v>
      </c>
      <c r="M448" s="330">
        <v>200</v>
      </c>
      <c r="N448" s="330"/>
      <c r="O448" s="330">
        <v>52</v>
      </c>
      <c r="P448" s="330"/>
      <c r="Q448" s="330">
        <v>165</v>
      </c>
    </row>
    <row r="449" spans="1:27">
      <c r="A449" s="328">
        <v>440</v>
      </c>
      <c r="B449" s="336" t="s">
        <v>411</v>
      </c>
      <c r="C449" s="329"/>
      <c r="D449" s="329"/>
      <c r="E449" s="333" t="s">
        <v>1192</v>
      </c>
      <c r="F449" s="328" t="s">
        <v>1194</v>
      </c>
      <c r="G449" s="328" t="s">
        <v>352</v>
      </c>
      <c r="H449" s="328" t="s">
        <v>272</v>
      </c>
      <c r="I449" s="328" t="s">
        <v>13</v>
      </c>
      <c r="J449" s="328" t="s">
        <v>1193</v>
      </c>
      <c r="K449" s="330">
        <v>536</v>
      </c>
      <c r="L449" s="330">
        <v>0</v>
      </c>
      <c r="M449" s="330">
        <v>8112</v>
      </c>
      <c r="N449" s="330"/>
      <c r="O449" s="330">
        <v>7805</v>
      </c>
      <c r="P449" s="330"/>
      <c r="Q449" s="330">
        <v>307</v>
      </c>
    </row>
    <row r="450" spans="1:27">
      <c r="A450" s="328">
        <v>441</v>
      </c>
      <c r="B450" s="329" t="s">
        <v>411</v>
      </c>
      <c r="C450" s="333"/>
      <c r="D450" s="333"/>
      <c r="E450" s="333" t="s">
        <v>1192</v>
      </c>
      <c r="F450" s="328" t="s">
        <v>3038</v>
      </c>
      <c r="G450" s="328" t="s">
        <v>352</v>
      </c>
      <c r="H450" s="328" t="s">
        <v>272</v>
      </c>
      <c r="I450" s="328" t="s">
        <v>13</v>
      </c>
      <c r="J450" s="328" t="s">
        <v>1106</v>
      </c>
      <c r="K450" s="330">
        <v>600</v>
      </c>
      <c r="L450" s="330">
        <v>222</v>
      </c>
      <c r="M450" s="330">
        <v>0</v>
      </c>
      <c r="N450" s="330"/>
      <c r="O450" s="330">
        <v>222</v>
      </c>
      <c r="P450" s="330"/>
      <c r="Q450" s="330">
        <v>0</v>
      </c>
    </row>
    <row r="451" spans="1:27">
      <c r="A451" s="328">
        <v>442</v>
      </c>
      <c r="B451" s="336" t="s">
        <v>1212</v>
      </c>
      <c r="C451" s="329"/>
      <c r="D451" s="329"/>
      <c r="E451" s="333" t="s">
        <v>1213</v>
      </c>
      <c r="F451" s="328" t="s">
        <v>1214</v>
      </c>
      <c r="G451" s="328" t="s">
        <v>352</v>
      </c>
      <c r="H451" s="328" t="s">
        <v>945</v>
      </c>
      <c r="I451" s="328" t="s">
        <v>13</v>
      </c>
      <c r="J451" s="328" t="s">
        <v>1193</v>
      </c>
      <c r="K451" s="330">
        <v>735</v>
      </c>
      <c r="L451" s="330">
        <v>125</v>
      </c>
      <c r="M451" s="330">
        <v>8040</v>
      </c>
      <c r="N451" s="330"/>
      <c r="O451" s="330">
        <v>5165</v>
      </c>
      <c r="P451" s="330"/>
      <c r="Q451" s="330">
        <v>3000</v>
      </c>
    </row>
    <row r="452" spans="1:27">
      <c r="A452" s="328">
        <v>443</v>
      </c>
      <c r="B452" s="329" t="s">
        <v>3039</v>
      </c>
      <c r="C452" s="329"/>
      <c r="D452" s="329"/>
      <c r="E452" s="333" t="s">
        <v>107</v>
      </c>
      <c r="F452" s="366" t="s">
        <v>2396</v>
      </c>
      <c r="G452" s="328" t="s">
        <v>2397</v>
      </c>
      <c r="H452" s="328" t="s">
        <v>109</v>
      </c>
      <c r="I452" s="328" t="s">
        <v>10</v>
      </c>
      <c r="J452" s="328" t="s">
        <v>620</v>
      </c>
      <c r="K452" s="330">
        <v>830</v>
      </c>
      <c r="L452" s="330">
        <v>0</v>
      </c>
      <c r="M452" s="330">
        <v>20000</v>
      </c>
      <c r="N452" s="330"/>
      <c r="O452" s="330">
        <v>19980</v>
      </c>
      <c r="P452" s="330"/>
      <c r="Q452" s="330">
        <v>20</v>
      </c>
    </row>
    <row r="453" spans="1:27">
      <c r="A453" s="328">
        <v>444</v>
      </c>
      <c r="B453" s="329" t="s">
        <v>395</v>
      </c>
      <c r="C453" s="333"/>
      <c r="D453" s="333"/>
      <c r="E453" s="333" t="s">
        <v>2496</v>
      </c>
      <c r="F453" s="328" t="s">
        <v>3040</v>
      </c>
      <c r="G453" s="328" t="s">
        <v>2702</v>
      </c>
      <c r="H453" s="328" t="s">
        <v>267</v>
      </c>
      <c r="I453" s="328" t="s">
        <v>10</v>
      </c>
      <c r="J453" s="328" t="s">
        <v>3041</v>
      </c>
      <c r="K453" s="330">
        <v>945</v>
      </c>
      <c r="L453" s="330">
        <v>32</v>
      </c>
      <c r="M453" s="330">
        <v>0</v>
      </c>
      <c r="N453" s="330"/>
      <c r="O453" s="330">
        <v>3</v>
      </c>
      <c r="P453" s="330"/>
      <c r="Q453" s="330">
        <v>29</v>
      </c>
    </row>
    <row r="454" spans="1:27">
      <c r="A454" s="325">
        <v>445</v>
      </c>
      <c r="B454" s="329" t="s">
        <v>1562</v>
      </c>
      <c r="C454" s="333"/>
      <c r="D454" s="333"/>
      <c r="E454" s="333" t="s">
        <v>3042</v>
      </c>
      <c r="F454" s="328" t="s">
        <v>3043</v>
      </c>
      <c r="G454" s="328" t="s">
        <v>352</v>
      </c>
      <c r="H454" s="328" t="s">
        <v>3044</v>
      </c>
      <c r="I454" s="328" t="s">
        <v>13</v>
      </c>
      <c r="J454" s="328" t="s">
        <v>1193</v>
      </c>
      <c r="K454" s="330">
        <v>1200</v>
      </c>
      <c r="L454" s="330">
        <v>927</v>
      </c>
      <c r="M454" s="330">
        <v>0</v>
      </c>
      <c r="N454" s="330"/>
      <c r="O454" s="330">
        <v>927</v>
      </c>
      <c r="P454" s="330"/>
      <c r="Q454" s="330">
        <v>0</v>
      </c>
    </row>
    <row r="455" spans="1:27">
      <c r="A455" s="328">
        <v>446</v>
      </c>
      <c r="B455" s="336" t="s">
        <v>1209</v>
      </c>
      <c r="C455" s="329"/>
      <c r="D455" s="329"/>
      <c r="E455" s="333" t="s">
        <v>1210</v>
      </c>
      <c r="F455" s="328" t="s">
        <v>1211</v>
      </c>
      <c r="G455" s="328" t="s">
        <v>352</v>
      </c>
      <c r="H455" s="328" t="s">
        <v>272</v>
      </c>
      <c r="I455" s="328" t="s">
        <v>13</v>
      </c>
      <c r="J455" s="328" t="s">
        <v>1201</v>
      </c>
      <c r="K455" s="330">
        <v>704</v>
      </c>
      <c r="L455" s="330">
        <v>0</v>
      </c>
      <c r="M455" s="330">
        <v>3000</v>
      </c>
      <c r="N455" s="330"/>
      <c r="O455" s="330">
        <v>2598</v>
      </c>
      <c r="P455" s="330"/>
      <c r="Q455" s="330">
        <v>402</v>
      </c>
    </row>
    <row r="456" spans="1:27">
      <c r="A456" s="328">
        <v>447</v>
      </c>
      <c r="B456" s="336" t="s">
        <v>1240</v>
      </c>
      <c r="C456" s="329"/>
      <c r="D456" s="329"/>
      <c r="E456" s="333" t="s">
        <v>1987</v>
      </c>
      <c r="F456" s="328" t="s">
        <v>1989</v>
      </c>
      <c r="G456" s="328" t="s">
        <v>1946</v>
      </c>
      <c r="H456" s="328" t="s">
        <v>1988</v>
      </c>
      <c r="I456" s="328" t="s">
        <v>11</v>
      </c>
      <c r="J456" s="328" t="s">
        <v>814</v>
      </c>
      <c r="K456" s="330">
        <v>798</v>
      </c>
      <c r="L456" s="330">
        <v>355</v>
      </c>
      <c r="M456" s="330">
        <v>101134</v>
      </c>
      <c r="N456" s="330"/>
      <c r="O456" s="330">
        <v>82737</v>
      </c>
      <c r="P456" s="330"/>
      <c r="Q456" s="330">
        <v>18752</v>
      </c>
    </row>
    <row r="457" spans="1:27">
      <c r="A457" s="328">
        <v>448</v>
      </c>
      <c r="B457" s="331" t="s">
        <v>289</v>
      </c>
      <c r="C457" s="331"/>
      <c r="D457" s="331"/>
      <c r="E457" s="333" t="s">
        <v>500</v>
      </c>
      <c r="F457" s="328" t="s">
        <v>501</v>
      </c>
      <c r="G457" s="328" t="s">
        <v>1946</v>
      </c>
      <c r="H457" s="328" t="s">
        <v>291</v>
      </c>
      <c r="I457" s="328" t="s">
        <v>10</v>
      </c>
      <c r="J457" s="328" t="s">
        <v>642</v>
      </c>
      <c r="K457" s="330">
        <v>798</v>
      </c>
      <c r="L457" s="330">
        <v>0</v>
      </c>
      <c r="M457" s="330">
        <v>60000</v>
      </c>
      <c r="N457" s="330"/>
      <c r="O457" s="330">
        <v>43686</v>
      </c>
      <c r="P457" s="330"/>
      <c r="Q457" s="330">
        <v>16314</v>
      </c>
    </row>
    <row r="458" spans="1:27">
      <c r="A458" s="328">
        <v>449</v>
      </c>
      <c r="B458" s="332" t="s">
        <v>323</v>
      </c>
      <c r="C458" s="329"/>
      <c r="D458" s="329"/>
      <c r="E458" s="332" t="s">
        <v>2576</v>
      </c>
      <c r="F458" s="328" t="s">
        <v>3045</v>
      </c>
      <c r="G458" s="328" t="s">
        <v>1946</v>
      </c>
      <c r="H458" s="334" t="s">
        <v>225</v>
      </c>
      <c r="I458" s="328" t="s">
        <v>10</v>
      </c>
      <c r="J458" s="328" t="s">
        <v>814</v>
      </c>
      <c r="K458" s="335">
        <v>3402</v>
      </c>
      <c r="L458" s="330">
        <v>20</v>
      </c>
      <c r="M458" s="330">
        <v>0</v>
      </c>
      <c r="N458" s="330"/>
      <c r="O458" s="330">
        <v>0</v>
      </c>
      <c r="P458" s="330"/>
      <c r="Q458" s="330">
        <v>20</v>
      </c>
    </row>
    <row r="459" spans="1:27">
      <c r="A459" s="328">
        <v>450</v>
      </c>
      <c r="B459" s="329" t="s">
        <v>596</v>
      </c>
      <c r="C459" s="329"/>
      <c r="D459" s="329"/>
      <c r="E459" s="333" t="s">
        <v>597</v>
      </c>
      <c r="F459" s="328" t="s">
        <v>600</v>
      </c>
      <c r="G459" s="328" t="s">
        <v>3046</v>
      </c>
      <c r="H459" s="328" t="s">
        <v>598</v>
      </c>
      <c r="I459" s="328" t="s">
        <v>14</v>
      </c>
      <c r="J459" s="328" t="s">
        <v>599</v>
      </c>
      <c r="K459" s="330">
        <v>66800</v>
      </c>
      <c r="L459" s="330">
        <v>0</v>
      </c>
      <c r="M459" s="330">
        <v>300</v>
      </c>
      <c r="N459" s="330"/>
      <c r="O459" s="330">
        <v>300</v>
      </c>
      <c r="P459" s="330"/>
      <c r="Q459" s="330">
        <v>0</v>
      </c>
    </row>
    <row r="460" spans="1:27">
      <c r="A460" s="325">
        <v>451</v>
      </c>
      <c r="B460" s="332" t="s">
        <v>2498</v>
      </c>
      <c r="C460" s="333"/>
      <c r="D460" s="333"/>
      <c r="E460" s="332" t="s">
        <v>2497</v>
      </c>
      <c r="F460" s="328" t="s">
        <v>3047</v>
      </c>
      <c r="G460" s="328" t="s">
        <v>3048</v>
      </c>
      <c r="H460" s="334" t="s">
        <v>2499</v>
      </c>
      <c r="I460" s="328" t="s">
        <v>1476</v>
      </c>
      <c r="J460" s="328" t="s">
        <v>3049</v>
      </c>
      <c r="K460" s="330">
        <v>6489</v>
      </c>
      <c r="L460" s="330">
        <v>17558</v>
      </c>
      <c r="M460" s="330">
        <v>0</v>
      </c>
      <c r="N460" s="330"/>
      <c r="O460" s="330">
        <v>17551</v>
      </c>
      <c r="P460" s="330"/>
      <c r="Q460" s="330">
        <v>7</v>
      </c>
    </row>
    <row r="461" spans="1:27">
      <c r="A461" s="328">
        <v>452</v>
      </c>
      <c r="B461" s="329" t="s">
        <v>592</v>
      </c>
      <c r="C461" s="329"/>
      <c r="D461" s="329"/>
      <c r="E461" s="333" t="s">
        <v>1400</v>
      </c>
      <c r="F461" s="328" t="s">
        <v>1401</v>
      </c>
      <c r="G461" s="328" t="s">
        <v>360</v>
      </c>
      <c r="H461" s="328" t="s">
        <v>235</v>
      </c>
      <c r="I461" s="328" t="s">
        <v>11</v>
      </c>
      <c r="J461" s="328" t="s">
        <v>647</v>
      </c>
      <c r="K461" s="330">
        <v>82</v>
      </c>
      <c r="L461" s="330">
        <v>0</v>
      </c>
      <c r="M461" s="330">
        <v>90000</v>
      </c>
      <c r="N461" s="330"/>
      <c r="O461" s="330">
        <v>72273</v>
      </c>
      <c r="P461" s="330"/>
      <c r="Q461" s="330">
        <v>17727</v>
      </c>
    </row>
    <row r="462" spans="1:27" ht="25.5">
      <c r="A462" s="328">
        <v>453</v>
      </c>
      <c r="B462" s="329" t="s">
        <v>2191</v>
      </c>
      <c r="C462" s="329"/>
      <c r="D462" s="329"/>
      <c r="E462" s="333" t="s">
        <v>110</v>
      </c>
      <c r="F462" s="328" t="s">
        <v>2193</v>
      </c>
      <c r="G462" s="328" t="s">
        <v>2194</v>
      </c>
      <c r="H462" s="328" t="s">
        <v>112</v>
      </c>
      <c r="I462" s="328" t="s">
        <v>12</v>
      </c>
      <c r="J462" s="328" t="s">
        <v>2192</v>
      </c>
      <c r="K462" s="330">
        <v>9600</v>
      </c>
      <c r="L462" s="330">
        <v>0</v>
      </c>
      <c r="M462" s="330">
        <v>13200</v>
      </c>
      <c r="N462" s="330"/>
      <c r="O462" s="330">
        <v>8265</v>
      </c>
      <c r="P462" s="330"/>
      <c r="Q462" s="330">
        <v>4935</v>
      </c>
    </row>
    <row r="463" spans="1:27" ht="25.5">
      <c r="A463" s="328">
        <v>454</v>
      </c>
      <c r="B463" s="329" t="s">
        <v>2347</v>
      </c>
      <c r="C463" s="329"/>
      <c r="D463" s="329"/>
      <c r="E463" s="333" t="s">
        <v>113</v>
      </c>
      <c r="F463" s="328" t="s">
        <v>2349</v>
      </c>
      <c r="G463" s="328" t="s">
        <v>3050</v>
      </c>
      <c r="H463" s="328" t="s">
        <v>114</v>
      </c>
      <c r="I463" s="328" t="s">
        <v>115</v>
      </c>
      <c r="J463" s="328" t="s">
        <v>2348</v>
      </c>
      <c r="K463" s="330">
        <v>175</v>
      </c>
      <c r="L463" s="330">
        <v>0</v>
      </c>
      <c r="M463" s="330">
        <v>49200</v>
      </c>
      <c r="N463" s="330"/>
      <c r="O463" s="330">
        <v>21120</v>
      </c>
      <c r="P463" s="330"/>
      <c r="Q463" s="330">
        <v>28080</v>
      </c>
    </row>
    <row r="464" spans="1:27">
      <c r="A464" s="328">
        <v>455</v>
      </c>
      <c r="B464" s="347" t="s">
        <v>2207</v>
      </c>
      <c r="C464" s="329"/>
      <c r="D464" s="329"/>
      <c r="E464" s="640" t="s">
        <v>3051</v>
      </c>
      <c r="F464" s="348" t="s">
        <v>3052</v>
      </c>
      <c r="G464" s="348" t="s">
        <v>3053</v>
      </c>
      <c r="H464" s="348" t="s">
        <v>3054</v>
      </c>
      <c r="I464" s="348" t="s">
        <v>13</v>
      </c>
      <c r="J464" s="348" t="s">
        <v>3055</v>
      </c>
      <c r="K464" s="330">
        <v>2490</v>
      </c>
      <c r="L464" s="330">
        <f>4765+2075</f>
        <v>6840</v>
      </c>
      <c r="M464" s="330"/>
      <c r="N464" s="330"/>
      <c r="O464" s="330">
        <v>6840</v>
      </c>
      <c r="P464" s="330"/>
      <c r="Q464" s="330"/>
      <c r="R464" s="37"/>
      <c r="T464" s="37"/>
      <c r="U464" s="37"/>
      <c r="V464" s="37"/>
      <c r="W464" s="37"/>
      <c r="X464" s="37"/>
      <c r="Y464" s="37"/>
      <c r="Z464" s="37"/>
      <c r="AA464" s="37"/>
    </row>
    <row r="465" spans="1:27" ht="25.5">
      <c r="A465" s="328">
        <v>456</v>
      </c>
      <c r="B465" s="329" t="s">
        <v>2377</v>
      </c>
      <c r="C465" s="329"/>
      <c r="D465" s="329"/>
      <c r="E465" s="333" t="s">
        <v>116</v>
      </c>
      <c r="F465" s="328" t="s">
        <v>2379</v>
      </c>
      <c r="G465" s="328" t="s">
        <v>2373</v>
      </c>
      <c r="H465" s="328" t="s">
        <v>117</v>
      </c>
      <c r="I465" s="328" t="s">
        <v>80</v>
      </c>
      <c r="J465" s="328" t="s">
        <v>2378</v>
      </c>
      <c r="K465" s="330">
        <v>1950</v>
      </c>
      <c r="L465" s="330">
        <v>1960</v>
      </c>
      <c r="M465" s="330">
        <v>4000</v>
      </c>
      <c r="N465" s="330"/>
      <c r="O465" s="330">
        <v>4182</v>
      </c>
      <c r="P465" s="330"/>
      <c r="Q465" s="330">
        <v>1778</v>
      </c>
    </row>
    <row r="466" spans="1:27" ht="25.5">
      <c r="A466" s="325">
        <v>457</v>
      </c>
      <c r="B466" s="329" t="s">
        <v>2350</v>
      </c>
      <c r="C466" s="329"/>
      <c r="D466" s="329"/>
      <c r="E466" s="333" t="s">
        <v>118</v>
      </c>
      <c r="F466" s="349" t="s">
        <v>2351</v>
      </c>
      <c r="G466" s="349" t="s">
        <v>1567</v>
      </c>
      <c r="H466" s="328" t="s">
        <v>120</v>
      </c>
      <c r="I466" s="328" t="s">
        <v>115</v>
      </c>
      <c r="J466" s="328" t="s">
        <v>2348</v>
      </c>
      <c r="K466" s="330">
        <v>175</v>
      </c>
      <c r="L466" s="330">
        <v>3560</v>
      </c>
      <c r="M466" s="330">
        <v>52800</v>
      </c>
      <c r="N466" s="330"/>
      <c r="O466" s="330">
        <v>31880</v>
      </c>
      <c r="P466" s="330"/>
      <c r="Q466" s="330">
        <v>24480</v>
      </c>
    </row>
    <row r="467" spans="1:27" ht="38.25">
      <c r="A467" s="328">
        <v>458</v>
      </c>
      <c r="B467" s="336" t="s">
        <v>2222</v>
      </c>
      <c r="C467" s="329"/>
      <c r="D467" s="329"/>
      <c r="E467" s="636" t="s">
        <v>121</v>
      </c>
      <c r="F467" s="337" t="s">
        <v>2223</v>
      </c>
      <c r="G467" s="337" t="s">
        <v>2210</v>
      </c>
      <c r="H467" s="337" t="s">
        <v>122</v>
      </c>
      <c r="I467" s="328" t="s">
        <v>13</v>
      </c>
      <c r="J467" s="337" t="s">
        <v>2208</v>
      </c>
      <c r="K467" s="330">
        <v>3650</v>
      </c>
      <c r="L467" s="330">
        <v>1710</v>
      </c>
      <c r="M467" s="330">
        <v>500</v>
      </c>
      <c r="N467" s="330"/>
      <c r="O467" s="330">
        <v>1710</v>
      </c>
      <c r="P467" s="330"/>
      <c r="Q467" s="330">
        <v>500</v>
      </c>
    </row>
    <row r="468" spans="1:27" ht="25.5">
      <c r="A468" s="328">
        <v>459</v>
      </c>
      <c r="B468" s="329" t="s">
        <v>2389</v>
      </c>
      <c r="C468" s="329"/>
      <c r="D468" s="329"/>
      <c r="E468" s="333" t="s">
        <v>2390</v>
      </c>
      <c r="F468" s="328" t="s">
        <v>2393</v>
      </c>
      <c r="G468" s="328" t="s">
        <v>2388</v>
      </c>
      <c r="H468" s="328" t="s">
        <v>2391</v>
      </c>
      <c r="I468" s="328" t="s">
        <v>997</v>
      </c>
      <c r="J468" s="328" t="s">
        <v>2392</v>
      </c>
      <c r="K468" s="330">
        <v>4800</v>
      </c>
      <c r="L468" s="330">
        <v>6682</v>
      </c>
      <c r="M468" s="330">
        <v>0</v>
      </c>
      <c r="N468" s="330"/>
      <c r="O468" s="330">
        <v>6682</v>
      </c>
      <c r="P468" s="330"/>
      <c r="Q468" s="330">
        <v>0</v>
      </c>
    </row>
    <row r="469" spans="1:27" ht="25.5">
      <c r="A469" s="328">
        <v>460</v>
      </c>
      <c r="B469" s="329" t="s">
        <v>2352</v>
      </c>
      <c r="C469" s="333"/>
      <c r="D469" s="333"/>
      <c r="E469" s="333" t="s">
        <v>123</v>
      </c>
      <c r="F469" s="328" t="s">
        <v>3056</v>
      </c>
      <c r="G469" s="349" t="s">
        <v>1567</v>
      </c>
      <c r="H469" s="328" t="s">
        <v>125</v>
      </c>
      <c r="I469" s="328" t="s">
        <v>18</v>
      </c>
      <c r="J469" s="328" t="s">
        <v>2353</v>
      </c>
      <c r="K469" s="330">
        <v>31500</v>
      </c>
      <c r="L469" s="330">
        <v>1746</v>
      </c>
      <c r="M469" s="330">
        <v>0</v>
      </c>
      <c r="N469" s="330"/>
      <c r="O469" s="330">
        <v>1746</v>
      </c>
      <c r="P469" s="330"/>
      <c r="Q469" s="330">
        <v>0</v>
      </c>
    </row>
    <row r="470" spans="1:27" ht="25.5">
      <c r="A470" s="328">
        <v>461</v>
      </c>
      <c r="B470" s="329" t="s">
        <v>2352</v>
      </c>
      <c r="C470" s="329"/>
      <c r="D470" s="329"/>
      <c r="E470" s="333" t="s">
        <v>123</v>
      </c>
      <c r="F470" s="349" t="s">
        <v>2354</v>
      </c>
      <c r="G470" s="349" t="s">
        <v>1567</v>
      </c>
      <c r="H470" s="328" t="s">
        <v>125</v>
      </c>
      <c r="I470" s="328" t="s">
        <v>18</v>
      </c>
      <c r="J470" s="328" t="s">
        <v>2353</v>
      </c>
      <c r="K470" s="330">
        <v>31600</v>
      </c>
      <c r="L470" s="330">
        <v>0</v>
      </c>
      <c r="M470" s="330">
        <v>3840</v>
      </c>
      <c r="N470" s="330"/>
      <c r="O470" s="330">
        <v>3262</v>
      </c>
      <c r="P470" s="330"/>
      <c r="Q470" s="330">
        <v>578</v>
      </c>
    </row>
    <row r="471" spans="1:27">
      <c r="A471" s="328">
        <v>462</v>
      </c>
      <c r="B471" s="329" t="s">
        <v>2365</v>
      </c>
      <c r="C471" s="329"/>
      <c r="D471" s="329"/>
      <c r="E471" s="333" t="s">
        <v>126</v>
      </c>
      <c r="F471" s="367" t="s">
        <v>2366</v>
      </c>
      <c r="G471" s="368" t="s">
        <v>2367</v>
      </c>
      <c r="H471" s="369" t="s">
        <v>128</v>
      </c>
      <c r="I471" s="328" t="s">
        <v>11</v>
      </c>
      <c r="J471" s="328" t="s">
        <v>804</v>
      </c>
      <c r="K471" s="330">
        <v>483</v>
      </c>
      <c r="L471" s="330">
        <v>0</v>
      </c>
      <c r="M471" s="330">
        <v>100000</v>
      </c>
      <c r="N471" s="330"/>
      <c r="O471" s="330">
        <v>94795</v>
      </c>
      <c r="P471" s="330"/>
      <c r="Q471" s="330">
        <v>5205</v>
      </c>
    </row>
    <row r="472" spans="1:27" ht="25.5">
      <c r="A472" s="325">
        <v>463</v>
      </c>
      <c r="B472" s="336" t="s">
        <v>2224</v>
      </c>
      <c r="C472" s="329"/>
      <c r="D472" s="329"/>
      <c r="E472" s="636" t="s">
        <v>129</v>
      </c>
      <c r="F472" s="337" t="s">
        <v>2226</v>
      </c>
      <c r="G472" s="337" t="s">
        <v>2227</v>
      </c>
      <c r="H472" s="337" t="s">
        <v>131</v>
      </c>
      <c r="I472" s="328" t="s">
        <v>15</v>
      </c>
      <c r="J472" s="337" t="s">
        <v>2225</v>
      </c>
      <c r="K472" s="330">
        <v>43500</v>
      </c>
      <c r="L472" s="330">
        <v>0</v>
      </c>
      <c r="M472" s="330">
        <v>1950</v>
      </c>
      <c r="N472" s="330"/>
      <c r="O472" s="330">
        <v>1907</v>
      </c>
      <c r="P472" s="330"/>
      <c r="Q472" s="330">
        <v>43</v>
      </c>
    </row>
    <row r="473" spans="1:27" ht="25.5">
      <c r="A473" s="328">
        <v>464</v>
      </c>
      <c r="B473" s="336" t="s">
        <v>3057</v>
      </c>
      <c r="C473" s="329"/>
      <c r="D473" s="329"/>
      <c r="E473" s="636" t="s">
        <v>1175</v>
      </c>
      <c r="F473" s="337" t="s">
        <v>3058</v>
      </c>
      <c r="G473" s="337" t="s">
        <v>1159</v>
      </c>
      <c r="H473" s="337" t="s">
        <v>3059</v>
      </c>
      <c r="I473" s="337" t="s">
        <v>13</v>
      </c>
      <c r="J473" s="337" t="s">
        <v>632</v>
      </c>
      <c r="K473" s="330">
        <v>3000</v>
      </c>
      <c r="L473" s="330">
        <v>8119</v>
      </c>
      <c r="M473" s="330">
        <v>11760</v>
      </c>
      <c r="N473" s="330"/>
      <c r="O473" s="330">
        <v>19428</v>
      </c>
      <c r="P473" s="330"/>
      <c r="Q473" s="330">
        <v>451</v>
      </c>
    </row>
    <row r="474" spans="1:27" ht="25.5">
      <c r="A474" s="328">
        <v>465</v>
      </c>
      <c r="B474" s="338" t="s">
        <v>2069</v>
      </c>
      <c r="C474" s="329"/>
      <c r="D474" s="329"/>
      <c r="E474" s="333" t="s">
        <v>2070</v>
      </c>
      <c r="F474" s="328" t="s">
        <v>2071</v>
      </c>
      <c r="G474" s="328" t="s">
        <v>2067</v>
      </c>
      <c r="H474" s="328" t="s">
        <v>2064</v>
      </c>
      <c r="I474" s="328" t="s">
        <v>2068</v>
      </c>
      <c r="J474" s="328" t="s">
        <v>2065</v>
      </c>
      <c r="K474" s="330">
        <v>227000</v>
      </c>
      <c r="L474" s="330">
        <v>0</v>
      </c>
      <c r="M474" s="330">
        <v>300</v>
      </c>
      <c r="N474" s="330"/>
      <c r="O474" s="330">
        <v>300</v>
      </c>
      <c r="P474" s="330"/>
      <c r="Q474" s="330">
        <v>0</v>
      </c>
    </row>
    <row r="475" spans="1:27" ht="25.5">
      <c r="A475" s="328">
        <v>466</v>
      </c>
      <c r="B475" s="338" t="s">
        <v>2062</v>
      </c>
      <c r="C475" s="329"/>
      <c r="D475" s="329"/>
      <c r="E475" s="333" t="s">
        <v>2063</v>
      </c>
      <c r="F475" s="328" t="s">
        <v>2066</v>
      </c>
      <c r="G475" s="328" t="s">
        <v>2067</v>
      </c>
      <c r="H475" s="328" t="s">
        <v>2064</v>
      </c>
      <c r="I475" s="328" t="s">
        <v>2068</v>
      </c>
      <c r="J475" s="328" t="s">
        <v>2065</v>
      </c>
      <c r="K475" s="330">
        <v>227000</v>
      </c>
      <c r="L475" s="330">
        <v>0</v>
      </c>
      <c r="M475" s="330">
        <v>700</v>
      </c>
      <c r="N475" s="330"/>
      <c r="O475" s="330">
        <v>700</v>
      </c>
      <c r="P475" s="330"/>
      <c r="Q475" s="330">
        <v>0</v>
      </c>
    </row>
    <row r="476" spans="1:27" ht="25.5">
      <c r="A476" s="328">
        <v>467</v>
      </c>
      <c r="B476" s="347" t="s">
        <v>3060</v>
      </c>
      <c r="C476" s="329"/>
      <c r="D476" s="329"/>
      <c r="E476" s="640" t="s">
        <v>3061</v>
      </c>
      <c r="F476" s="348" t="s">
        <v>3062</v>
      </c>
      <c r="G476" s="348" t="s">
        <v>2253</v>
      </c>
      <c r="H476" s="348" t="s">
        <v>3063</v>
      </c>
      <c r="I476" s="348" t="s">
        <v>11</v>
      </c>
      <c r="J476" s="348" t="s">
        <v>1350</v>
      </c>
      <c r="K476" s="330">
        <v>900</v>
      </c>
      <c r="L476" s="330">
        <v>235</v>
      </c>
      <c r="M476" s="330"/>
      <c r="N476" s="330"/>
      <c r="O476" s="330">
        <v>235</v>
      </c>
      <c r="P476" s="330"/>
      <c r="Q476" s="330"/>
      <c r="R476" s="37"/>
      <c r="T476" s="37"/>
      <c r="U476" s="37"/>
      <c r="V476" s="37"/>
      <c r="W476" s="37"/>
      <c r="X476" s="37"/>
      <c r="Y476" s="37"/>
      <c r="Z476" s="37"/>
      <c r="AA476" s="37"/>
    </row>
    <row r="477" spans="1:27">
      <c r="A477" s="328">
        <v>468</v>
      </c>
      <c r="B477" s="332" t="s">
        <v>592</v>
      </c>
      <c r="C477" s="333"/>
      <c r="D477" s="333"/>
      <c r="E477" s="332" t="s">
        <v>3064</v>
      </c>
      <c r="F477" s="328" t="s">
        <v>3065</v>
      </c>
      <c r="G477" s="328" t="s">
        <v>2380</v>
      </c>
      <c r="H477" s="334" t="s">
        <v>235</v>
      </c>
      <c r="I477" s="328" t="s">
        <v>11</v>
      </c>
      <c r="J477" s="337" t="s">
        <v>623</v>
      </c>
      <c r="K477" s="330">
        <v>87</v>
      </c>
      <c r="L477" s="330">
        <v>37877</v>
      </c>
      <c r="M477" s="330">
        <v>0</v>
      </c>
      <c r="N477" s="330"/>
      <c r="O477" s="330">
        <v>37853</v>
      </c>
      <c r="P477" s="330"/>
      <c r="Q477" s="330">
        <v>24</v>
      </c>
    </row>
    <row r="478" spans="1:27">
      <c r="A478" s="325">
        <v>469</v>
      </c>
      <c r="B478" s="331" t="s">
        <v>402</v>
      </c>
      <c r="C478" s="331"/>
      <c r="D478" s="331"/>
      <c r="E478" s="333" t="s">
        <v>403</v>
      </c>
      <c r="F478" s="328" t="s">
        <v>404</v>
      </c>
      <c r="G478" s="328" t="s">
        <v>360</v>
      </c>
      <c r="H478" s="328" t="s">
        <v>327</v>
      </c>
      <c r="I478" s="328" t="s">
        <v>10</v>
      </c>
      <c r="J478" s="328" t="s">
        <v>642</v>
      </c>
      <c r="K478" s="330">
        <v>95</v>
      </c>
      <c r="L478" s="330">
        <v>18429</v>
      </c>
      <c r="M478" s="330">
        <v>310000</v>
      </c>
      <c r="N478" s="330"/>
      <c r="O478" s="330">
        <v>267603</v>
      </c>
      <c r="P478" s="330"/>
      <c r="Q478" s="330">
        <v>60826</v>
      </c>
    </row>
    <row r="479" spans="1:27">
      <c r="A479" s="328">
        <v>470</v>
      </c>
      <c r="B479" s="329" t="s">
        <v>515</v>
      </c>
      <c r="C479" s="333"/>
      <c r="D479" s="333"/>
      <c r="E479" s="333" t="s">
        <v>2500</v>
      </c>
      <c r="F479" s="328" t="s">
        <v>3066</v>
      </c>
      <c r="G479" s="328" t="s">
        <v>801</v>
      </c>
      <c r="H479" s="328" t="s">
        <v>517</v>
      </c>
      <c r="I479" s="334" t="s">
        <v>520</v>
      </c>
      <c r="J479" s="328" t="s">
        <v>2654</v>
      </c>
      <c r="K479" s="330">
        <v>8180</v>
      </c>
      <c r="L479" s="330">
        <v>139</v>
      </c>
      <c r="M479" s="330">
        <v>0</v>
      </c>
      <c r="N479" s="330"/>
      <c r="O479" s="330">
        <v>135</v>
      </c>
      <c r="P479" s="330"/>
      <c r="Q479" s="330">
        <v>4</v>
      </c>
    </row>
    <row r="480" spans="1:27">
      <c r="A480" s="328">
        <v>471</v>
      </c>
      <c r="B480" s="331" t="s">
        <v>378</v>
      </c>
      <c r="C480" s="331"/>
      <c r="D480" s="331"/>
      <c r="E480" s="333" t="s">
        <v>378</v>
      </c>
      <c r="F480" s="328" t="s">
        <v>379</v>
      </c>
      <c r="G480" s="328" t="s">
        <v>360</v>
      </c>
      <c r="H480" s="328" t="s">
        <v>334</v>
      </c>
      <c r="I480" s="328" t="s">
        <v>10</v>
      </c>
      <c r="J480" s="328" t="s">
        <v>647</v>
      </c>
      <c r="K480" s="330">
        <v>234</v>
      </c>
      <c r="L480" s="330">
        <v>0</v>
      </c>
      <c r="M480" s="330">
        <v>15000</v>
      </c>
      <c r="N480" s="330"/>
      <c r="O480" s="330">
        <v>11983</v>
      </c>
      <c r="P480" s="330"/>
      <c r="Q480" s="330">
        <v>3017</v>
      </c>
    </row>
    <row r="481" spans="1:27">
      <c r="A481" s="328">
        <v>472</v>
      </c>
      <c r="B481" s="331" t="s">
        <v>378</v>
      </c>
      <c r="C481" s="331"/>
      <c r="D481" s="331"/>
      <c r="E481" s="333" t="s">
        <v>378</v>
      </c>
      <c r="F481" s="328" t="s">
        <v>379</v>
      </c>
      <c r="G481" s="328" t="s">
        <v>360</v>
      </c>
      <c r="H481" s="328" t="s">
        <v>334</v>
      </c>
      <c r="I481" s="328" t="s">
        <v>10</v>
      </c>
      <c r="J481" s="328" t="s">
        <v>647</v>
      </c>
      <c r="K481" s="330">
        <v>234</v>
      </c>
      <c r="L481" s="330">
        <v>2581</v>
      </c>
      <c r="M481" s="330">
        <v>12000</v>
      </c>
      <c r="N481" s="330"/>
      <c r="O481" s="330">
        <v>10136</v>
      </c>
      <c r="P481" s="330"/>
      <c r="Q481" s="330">
        <v>4445</v>
      </c>
    </row>
    <row r="482" spans="1:27" ht="51">
      <c r="A482" s="328">
        <v>473</v>
      </c>
      <c r="B482" s="336" t="s">
        <v>2240</v>
      </c>
      <c r="C482" s="329"/>
      <c r="D482" s="329"/>
      <c r="E482" s="333" t="s">
        <v>2241</v>
      </c>
      <c r="F482" s="328" t="s">
        <v>2243</v>
      </c>
      <c r="G482" s="328" t="s">
        <v>2244</v>
      </c>
      <c r="H482" s="328" t="s">
        <v>2242</v>
      </c>
      <c r="I482" s="328" t="s">
        <v>10</v>
      </c>
      <c r="J482" s="328" t="s">
        <v>541</v>
      </c>
      <c r="K482" s="330">
        <v>490</v>
      </c>
      <c r="L482" s="330">
        <v>5240</v>
      </c>
      <c r="M482" s="330">
        <v>0</v>
      </c>
      <c r="N482" s="330"/>
      <c r="O482" s="330">
        <v>5240</v>
      </c>
      <c r="P482" s="330"/>
      <c r="Q482" s="330">
        <v>0</v>
      </c>
    </row>
    <row r="483" spans="1:27" ht="25.5">
      <c r="A483" s="328">
        <v>474</v>
      </c>
      <c r="B483" s="332" t="s">
        <v>2501</v>
      </c>
      <c r="C483" s="333"/>
      <c r="D483" s="333"/>
      <c r="E483" s="332" t="s">
        <v>3067</v>
      </c>
      <c r="F483" s="328" t="s">
        <v>3068</v>
      </c>
      <c r="G483" s="328" t="s">
        <v>3069</v>
      </c>
      <c r="H483" s="334" t="s">
        <v>299</v>
      </c>
      <c r="I483" s="328" t="s">
        <v>10</v>
      </c>
      <c r="J483" s="328" t="s">
        <v>842</v>
      </c>
      <c r="K483" s="330">
        <v>2520</v>
      </c>
      <c r="L483" s="330">
        <v>32809</v>
      </c>
      <c r="M483" s="330">
        <v>0</v>
      </c>
      <c r="N483" s="330"/>
      <c r="O483" s="330">
        <v>32538</v>
      </c>
      <c r="P483" s="330"/>
      <c r="Q483" s="330">
        <v>271</v>
      </c>
    </row>
    <row r="484" spans="1:27">
      <c r="A484" s="325">
        <v>475</v>
      </c>
      <c r="B484" s="329" t="s">
        <v>2503</v>
      </c>
      <c r="C484" s="333"/>
      <c r="D484" s="333"/>
      <c r="E484" s="333" t="s">
        <v>2502</v>
      </c>
      <c r="F484" s="328" t="s">
        <v>3070</v>
      </c>
      <c r="G484" s="328" t="s">
        <v>3071</v>
      </c>
      <c r="H484" s="328" t="s">
        <v>238</v>
      </c>
      <c r="I484" s="328" t="s">
        <v>10</v>
      </c>
      <c r="J484" s="328" t="s">
        <v>538</v>
      </c>
      <c r="K484" s="330">
        <v>2230</v>
      </c>
      <c r="L484" s="330">
        <v>962</v>
      </c>
      <c r="M484" s="330">
        <v>0</v>
      </c>
      <c r="N484" s="330"/>
      <c r="O484" s="330">
        <v>947</v>
      </c>
      <c r="P484" s="330"/>
      <c r="Q484" s="330">
        <v>15</v>
      </c>
    </row>
    <row r="485" spans="1:27">
      <c r="A485" s="328">
        <v>476</v>
      </c>
      <c r="B485" s="329" t="s">
        <v>2503</v>
      </c>
      <c r="C485" s="333"/>
      <c r="D485" s="333"/>
      <c r="E485" s="333" t="s">
        <v>2504</v>
      </c>
      <c r="F485" s="328" t="s">
        <v>3072</v>
      </c>
      <c r="G485" s="328" t="s">
        <v>3071</v>
      </c>
      <c r="H485" s="328" t="s">
        <v>327</v>
      </c>
      <c r="I485" s="328" t="s">
        <v>10</v>
      </c>
      <c r="J485" s="328" t="s">
        <v>538</v>
      </c>
      <c r="K485" s="330">
        <v>1218</v>
      </c>
      <c r="L485" s="330">
        <v>5314</v>
      </c>
      <c r="M485" s="330">
        <v>0</v>
      </c>
      <c r="N485" s="330"/>
      <c r="O485" s="330">
        <v>2315</v>
      </c>
      <c r="P485" s="330"/>
      <c r="Q485" s="330">
        <v>2999</v>
      </c>
    </row>
    <row r="486" spans="1:27">
      <c r="A486" s="328">
        <v>477</v>
      </c>
      <c r="B486" s="329" t="s">
        <v>442</v>
      </c>
      <c r="C486" s="333"/>
      <c r="D486" s="333"/>
      <c r="E486" s="333" t="s">
        <v>2577</v>
      </c>
      <c r="F486" s="328" t="s">
        <v>3073</v>
      </c>
      <c r="G486" s="328" t="s">
        <v>3074</v>
      </c>
      <c r="H486" s="328" t="s">
        <v>272</v>
      </c>
      <c r="I486" s="328" t="s">
        <v>11</v>
      </c>
      <c r="J486" s="328" t="s">
        <v>815</v>
      </c>
      <c r="K486" s="330">
        <v>450</v>
      </c>
      <c r="L486" s="330">
        <v>12691</v>
      </c>
      <c r="M486" s="330">
        <v>0</v>
      </c>
      <c r="N486" s="330"/>
      <c r="O486" s="330">
        <v>12359</v>
      </c>
      <c r="P486" s="330"/>
      <c r="Q486" s="330">
        <v>332</v>
      </c>
    </row>
    <row r="487" spans="1:27" ht="25.5">
      <c r="A487" s="328">
        <v>478</v>
      </c>
      <c r="B487" s="336" t="s">
        <v>992</v>
      </c>
      <c r="C487" s="329"/>
      <c r="D487" s="329"/>
      <c r="E487" s="333" t="s">
        <v>1145</v>
      </c>
      <c r="F487" s="328" t="s">
        <v>1146</v>
      </c>
      <c r="G487" s="328" t="s">
        <v>1147</v>
      </c>
      <c r="H487" s="328" t="s">
        <v>225</v>
      </c>
      <c r="I487" s="328" t="s">
        <v>11</v>
      </c>
      <c r="J487" s="328" t="s">
        <v>815</v>
      </c>
      <c r="K487" s="330">
        <v>390</v>
      </c>
      <c r="L487" s="330">
        <v>0</v>
      </c>
      <c r="M487" s="330">
        <v>14980</v>
      </c>
      <c r="N487" s="330"/>
      <c r="O487" s="330">
        <v>1717</v>
      </c>
      <c r="P487" s="330"/>
      <c r="Q487" s="330">
        <v>13263</v>
      </c>
    </row>
    <row r="488" spans="1:27">
      <c r="A488" s="328">
        <v>479</v>
      </c>
      <c r="B488" s="329" t="s">
        <v>555</v>
      </c>
      <c r="C488" s="333"/>
      <c r="D488" s="333"/>
      <c r="E488" s="333" t="s">
        <v>3075</v>
      </c>
      <c r="F488" s="328" t="s">
        <v>3076</v>
      </c>
      <c r="G488" s="328" t="s">
        <v>3077</v>
      </c>
      <c r="H488" s="328" t="s">
        <v>262</v>
      </c>
      <c r="I488" s="328" t="s">
        <v>11</v>
      </c>
      <c r="J488" s="328" t="s">
        <v>815</v>
      </c>
      <c r="K488" s="330">
        <v>1302</v>
      </c>
      <c r="L488" s="330">
        <v>9930</v>
      </c>
      <c r="M488" s="330">
        <v>0</v>
      </c>
      <c r="N488" s="330"/>
      <c r="O488" s="330">
        <v>9929</v>
      </c>
      <c r="P488" s="330"/>
      <c r="Q488" s="330">
        <v>1</v>
      </c>
    </row>
    <row r="489" spans="1:27">
      <c r="A489" s="328">
        <v>480</v>
      </c>
      <c r="B489" s="332" t="s">
        <v>1348</v>
      </c>
      <c r="C489" s="333"/>
      <c r="D489" s="333"/>
      <c r="E489" s="332" t="s">
        <v>2505</v>
      </c>
      <c r="F489" s="328" t="s">
        <v>3078</v>
      </c>
      <c r="G489" s="328" t="s">
        <v>3079</v>
      </c>
      <c r="H489" s="334" t="s">
        <v>869</v>
      </c>
      <c r="I489" s="328" t="s">
        <v>11</v>
      </c>
      <c r="J489" s="328" t="s">
        <v>3080</v>
      </c>
      <c r="K489" s="330">
        <v>1832</v>
      </c>
      <c r="L489" s="330">
        <v>1437</v>
      </c>
      <c r="M489" s="330">
        <v>0</v>
      </c>
      <c r="N489" s="330"/>
      <c r="O489" s="330">
        <v>711</v>
      </c>
      <c r="P489" s="330"/>
      <c r="Q489" s="330">
        <v>726</v>
      </c>
    </row>
    <row r="490" spans="1:27">
      <c r="A490" s="325">
        <v>481</v>
      </c>
      <c r="B490" s="336" t="s">
        <v>286</v>
      </c>
      <c r="C490" s="329"/>
      <c r="D490" s="329"/>
      <c r="E490" s="333" t="s">
        <v>1222</v>
      </c>
      <c r="F490" s="328" t="s">
        <v>1225</v>
      </c>
      <c r="G490" s="328" t="s">
        <v>1221</v>
      </c>
      <c r="H490" s="328" t="s">
        <v>1223</v>
      </c>
      <c r="I490" s="328" t="s">
        <v>658</v>
      </c>
      <c r="J490" s="328" t="s">
        <v>1224</v>
      </c>
      <c r="K490" s="330">
        <v>14700</v>
      </c>
      <c r="L490" s="330">
        <v>0</v>
      </c>
      <c r="M490" s="330">
        <v>100</v>
      </c>
      <c r="N490" s="330"/>
      <c r="O490" s="330">
        <v>61</v>
      </c>
      <c r="P490" s="330"/>
      <c r="Q490" s="330">
        <v>39</v>
      </c>
    </row>
    <row r="491" spans="1:27">
      <c r="A491" s="328">
        <v>482</v>
      </c>
      <c r="B491" s="329" t="s">
        <v>1318</v>
      </c>
      <c r="C491" s="329"/>
      <c r="D491" s="329"/>
      <c r="E491" s="333" t="s">
        <v>1319</v>
      </c>
      <c r="F491" s="328" t="s">
        <v>1320</v>
      </c>
      <c r="G491" s="328" t="s">
        <v>360</v>
      </c>
      <c r="H491" s="328" t="s">
        <v>238</v>
      </c>
      <c r="I491" s="328" t="s">
        <v>11</v>
      </c>
      <c r="J491" s="328" t="s">
        <v>642</v>
      </c>
      <c r="K491" s="330">
        <v>53</v>
      </c>
      <c r="L491" s="330">
        <v>0</v>
      </c>
      <c r="M491" s="330">
        <v>57000</v>
      </c>
      <c r="N491" s="330"/>
      <c r="O491" s="330">
        <v>51750</v>
      </c>
      <c r="P491" s="330"/>
      <c r="Q491" s="330">
        <v>5250</v>
      </c>
    </row>
    <row r="492" spans="1:27">
      <c r="A492" s="328">
        <v>483</v>
      </c>
      <c r="B492" s="329" t="s">
        <v>855</v>
      </c>
      <c r="C492" s="329"/>
      <c r="D492" s="329"/>
      <c r="E492" s="333" t="s">
        <v>1374</v>
      </c>
      <c r="F492" s="328" t="s">
        <v>1375</v>
      </c>
      <c r="G492" s="328" t="s">
        <v>360</v>
      </c>
      <c r="H492" s="328" t="s">
        <v>641</v>
      </c>
      <c r="I492" s="328" t="s">
        <v>11</v>
      </c>
      <c r="J492" s="328" t="s">
        <v>647</v>
      </c>
      <c r="K492" s="330">
        <v>262</v>
      </c>
      <c r="L492" s="330">
        <v>511</v>
      </c>
      <c r="M492" s="330">
        <v>20000</v>
      </c>
      <c r="N492" s="330"/>
      <c r="O492" s="330">
        <v>18111</v>
      </c>
      <c r="P492" s="330"/>
      <c r="Q492" s="330">
        <v>2400</v>
      </c>
    </row>
    <row r="493" spans="1:27">
      <c r="A493" s="328">
        <v>484</v>
      </c>
      <c r="B493" s="329" t="s">
        <v>1376</v>
      </c>
      <c r="C493" s="329"/>
      <c r="D493" s="329"/>
      <c r="E493" s="333" t="s">
        <v>1377</v>
      </c>
      <c r="F493" s="328" t="s">
        <v>1379</v>
      </c>
      <c r="G493" s="328" t="s">
        <v>360</v>
      </c>
      <c r="H493" s="328" t="s">
        <v>1378</v>
      </c>
      <c r="I493" s="328" t="s">
        <v>11</v>
      </c>
      <c r="J493" s="328" t="s">
        <v>647</v>
      </c>
      <c r="K493" s="330">
        <v>258</v>
      </c>
      <c r="L493" s="330">
        <v>2539</v>
      </c>
      <c r="M493" s="330">
        <v>20000</v>
      </c>
      <c r="N493" s="330"/>
      <c r="O493" s="330">
        <v>22466</v>
      </c>
      <c r="P493" s="330"/>
      <c r="Q493" s="330">
        <v>73</v>
      </c>
    </row>
    <row r="494" spans="1:27">
      <c r="A494" s="328">
        <v>485</v>
      </c>
      <c r="B494" s="331" t="s">
        <v>392</v>
      </c>
      <c r="C494" s="331"/>
      <c r="D494" s="331"/>
      <c r="E494" s="333" t="s">
        <v>393</v>
      </c>
      <c r="F494" s="328" t="s">
        <v>394</v>
      </c>
      <c r="G494" s="328" t="s">
        <v>360</v>
      </c>
      <c r="H494" s="328" t="s">
        <v>235</v>
      </c>
      <c r="I494" s="328" t="s">
        <v>10</v>
      </c>
      <c r="J494" s="328" t="s">
        <v>1329</v>
      </c>
      <c r="K494" s="330">
        <v>131</v>
      </c>
      <c r="L494" s="330">
        <v>0</v>
      </c>
      <c r="M494" s="330">
        <v>73900</v>
      </c>
      <c r="N494" s="330"/>
      <c r="O494" s="330">
        <v>42223</v>
      </c>
      <c r="P494" s="330"/>
      <c r="Q494" s="330">
        <v>31677</v>
      </c>
    </row>
    <row r="495" spans="1:27">
      <c r="A495" s="328">
        <v>486</v>
      </c>
      <c r="B495" s="332" t="s">
        <v>392</v>
      </c>
      <c r="C495" s="329"/>
      <c r="D495" s="329"/>
      <c r="E495" s="332" t="s">
        <v>2611</v>
      </c>
      <c r="F495" s="328" t="s">
        <v>3081</v>
      </c>
      <c r="G495" s="328" t="s">
        <v>360</v>
      </c>
      <c r="H495" s="334" t="s">
        <v>235</v>
      </c>
      <c r="I495" s="328" t="s">
        <v>10</v>
      </c>
      <c r="J495" s="328" t="s">
        <v>1329</v>
      </c>
      <c r="K495" s="335">
        <v>232</v>
      </c>
      <c r="L495" s="330">
        <v>2865</v>
      </c>
      <c r="M495" s="330">
        <v>0</v>
      </c>
      <c r="N495" s="330"/>
      <c r="O495" s="330">
        <v>2847</v>
      </c>
      <c r="P495" s="330"/>
      <c r="Q495" s="330">
        <v>18</v>
      </c>
    </row>
    <row r="496" spans="1:27">
      <c r="A496" s="325">
        <v>487</v>
      </c>
      <c r="B496" s="347" t="s">
        <v>3082</v>
      </c>
      <c r="C496" s="329"/>
      <c r="D496" s="329"/>
      <c r="E496" s="640" t="s">
        <v>3083</v>
      </c>
      <c r="F496" s="348" t="s">
        <v>3084</v>
      </c>
      <c r="G496" s="348" t="s">
        <v>3085</v>
      </c>
      <c r="H496" s="348" t="s">
        <v>3086</v>
      </c>
      <c r="I496" s="348" t="s">
        <v>11</v>
      </c>
      <c r="J496" s="348" t="s">
        <v>1350</v>
      </c>
      <c r="K496" s="330">
        <v>296</v>
      </c>
      <c r="L496" s="330">
        <v>14328</v>
      </c>
      <c r="M496" s="330"/>
      <c r="N496" s="330"/>
      <c r="O496" s="330">
        <f>2550+6500+1154+3524+600</f>
        <v>14328</v>
      </c>
      <c r="P496" s="330"/>
      <c r="Q496" s="330"/>
      <c r="R496" s="37"/>
      <c r="T496" s="37"/>
      <c r="U496" s="37"/>
      <c r="V496" s="37"/>
      <c r="W496" s="37"/>
      <c r="X496" s="37"/>
      <c r="Y496" s="37"/>
      <c r="Z496" s="37"/>
      <c r="AA496" s="37"/>
    </row>
    <row r="497" spans="1:17">
      <c r="A497" s="328">
        <v>488</v>
      </c>
      <c r="B497" s="329" t="s">
        <v>2623</v>
      </c>
      <c r="C497" s="333"/>
      <c r="D497" s="333"/>
      <c r="E497" s="333" t="s">
        <v>2622</v>
      </c>
      <c r="F497" s="328" t="s">
        <v>3087</v>
      </c>
      <c r="G497" s="328" t="s">
        <v>1812</v>
      </c>
      <c r="H497" s="328" t="s">
        <v>2624</v>
      </c>
      <c r="I497" s="328" t="s">
        <v>11</v>
      </c>
      <c r="J497" s="328" t="s">
        <v>3088</v>
      </c>
      <c r="K497" s="330">
        <v>1800</v>
      </c>
      <c r="L497" s="330">
        <v>2146</v>
      </c>
      <c r="M497" s="330">
        <v>0</v>
      </c>
      <c r="N497" s="330"/>
      <c r="O497" s="330">
        <v>2090</v>
      </c>
      <c r="P497" s="330"/>
      <c r="Q497" s="330">
        <v>56</v>
      </c>
    </row>
    <row r="498" spans="1:17" ht="25.5">
      <c r="A498" s="328">
        <v>489</v>
      </c>
      <c r="B498" s="336" t="s">
        <v>2138</v>
      </c>
      <c r="C498" s="329"/>
      <c r="D498" s="329"/>
      <c r="E498" s="333" t="s">
        <v>2139</v>
      </c>
      <c r="F498" s="328" t="s">
        <v>2141</v>
      </c>
      <c r="G498" s="328" t="s">
        <v>2142</v>
      </c>
      <c r="H498" s="328" t="s">
        <v>1290</v>
      </c>
      <c r="I498" s="328" t="s">
        <v>10</v>
      </c>
      <c r="J498" s="328" t="s">
        <v>2140</v>
      </c>
      <c r="K498" s="330">
        <v>1701</v>
      </c>
      <c r="L498" s="330">
        <v>0</v>
      </c>
      <c r="M498" s="330">
        <v>15500</v>
      </c>
      <c r="N498" s="330"/>
      <c r="O498" s="330">
        <v>6764</v>
      </c>
      <c r="P498" s="330"/>
      <c r="Q498" s="330">
        <v>8736</v>
      </c>
    </row>
    <row r="499" spans="1:17">
      <c r="A499" s="328">
        <v>490</v>
      </c>
      <c r="B499" s="331" t="s">
        <v>353</v>
      </c>
      <c r="C499" s="331"/>
      <c r="D499" s="331"/>
      <c r="E499" s="333" t="s">
        <v>383</v>
      </c>
      <c r="F499" s="328" t="s">
        <v>385</v>
      </c>
      <c r="G499" s="328" t="s">
        <v>360</v>
      </c>
      <c r="H499" s="328" t="s">
        <v>384</v>
      </c>
      <c r="I499" s="328" t="s">
        <v>10</v>
      </c>
      <c r="J499" s="328" t="s">
        <v>647</v>
      </c>
      <c r="K499" s="330">
        <v>120</v>
      </c>
      <c r="L499" s="330">
        <v>0</v>
      </c>
      <c r="M499" s="330">
        <v>24000</v>
      </c>
      <c r="N499" s="330"/>
      <c r="O499" s="330">
        <v>21046</v>
      </c>
      <c r="P499" s="330"/>
      <c r="Q499" s="330">
        <v>2954</v>
      </c>
    </row>
    <row r="500" spans="1:17">
      <c r="A500" s="328">
        <v>491</v>
      </c>
      <c r="B500" s="329" t="s">
        <v>841</v>
      </c>
      <c r="C500" s="333"/>
      <c r="D500" s="333"/>
      <c r="E500" s="333" t="s">
        <v>2578</v>
      </c>
      <c r="F500" s="328" t="s">
        <v>3089</v>
      </c>
      <c r="G500" s="328" t="s">
        <v>360</v>
      </c>
      <c r="H500" s="328" t="s">
        <v>2579</v>
      </c>
      <c r="I500" s="328" t="s">
        <v>11</v>
      </c>
      <c r="J500" s="328" t="s">
        <v>647</v>
      </c>
      <c r="K500" s="330">
        <v>475</v>
      </c>
      <c r="L500" s="330">
        <v>2220</v>
      </c>
      <c r="M500" s="330">
        <v>0</v>
      </c>
      <c r="N500" s="330"/>
      <c r="O500" s="330">
        <v>540</v>
      </c>
      <c r="P500" s="330"/>
      <c r="Q500" s="330">
        <v>1680</v>
      </c>
    </row>
    <row r="501" spans="1:17">
      <c r="A501" s="328">
        <v>492</v>
      </c>
      <c r="B501" s="329" t="s">
        <v>1390</v>
      </c>
      <c r="C501" s="329"/>
      <c r="D501" s="329"/>
      <c r="E501" s="333" t="s">
        <v>1391</v>
      </c>
      <c r="F501" s="328" t="s">
        <v>1393</v>
      </c>
      <c r="G501" s="328" t="s">
        <v>360</v>
      </c>
      <c r="H501" s="328" t="s">
        <v>1392</v>
      </c>
      <c r="I501" s="328" t="s">
        <v>11</v>
      </c>
      <c r="J501" s="328" t="s">
        <v>647</v>
      </c>
      <c r="K501" s="330">
        <v>743</v>
      </c>
      <c r="L501" s="330">
        <v>0</v>
      </c>
      <c r="M501" s="330">
        <v>9000</v>
      </c>
      <c r="N501" s="330"/>
      <c r="O501" s="330">
        <v>3800</v>
      </c>
      <c r="P501" s="330"/>
      <c r="Q501" s="330">
        <v>5200</v>
      </c>
    </row>
    <row r="502" spans="1:17">
      <c r="A502" s="325">
        <v>493</v>
      </c>
      <c r="B502" s="329" t="s">
        <v>1390</v>
      </c>
      <c r="C502" s="329"/>
      <c r="D502" s="329"/>
      <c r="E502" s="333" t="s">
        <v>1394</v>
      </c>
      <c r="F502" s="328" t="s">
        <v>1396</v>
      </c>
      <c r="G502" s="328" t="s">
        <v>360</v>
      </c>
      <c r="H502" s="328" t="s">
        <v>1395</v>
      </c>
      <c r="I502" s="328" t="s">
        <v>11</v>
      </c>
      <c r="J502" s="328" t="s">
        <v>647</v>
      </c>
      <c r="K502" s="330">
        <v>1740</v>
      </c>
      <c r="L502" s="330">
        <v>0</v>
      </c>
      <c r="M502" s="330">
        <v>8400</v>
      </c>
      <c r="N502" s="330"/>
      <c r="O502" s="330">
        <v>8100</v>
      </c>
      <c r="P502" s="330"/>
      <c r="Q502" s="330">
        <v>300</v>
      </c>
    </row>
    <row r="503" spans="1:17">
      <c r="A503" s="328">
        <v>494</v>
      </c>
      <c r="B503" s="332" t="s">
        <v>2580</v>
      </c>
      <c r="C503" s="329"/>
      <c r="D503" s="329"/>
      <c r="E503" s="332" t="s">
        <v>1394</v>
      </c>
      <c r="F503" s="328" t="s">
        <v>1396</v>
      </c>
      <c r="G503" s="328" t="s">
        <v>360</v>
      </c>
      <c r="H503" s="334" t="s">
        <v>2581</v>
      </c>
      <c r="I503" s="328" t="s">
        <v>11</v>
      </c>
      <c r="J503" s="328" t="s">
        <v>815</v>
      </c>
      <c r="K503" s="330">
        <v>2060</v>
      </c>
      <c r="L503" s="330">
        <v>170</v>
      </c>
      <c r="M503" s="330">
        <v>0</v>
      </c>
      <c r="N503" s="330"/>
      <c r="O503" s="330">
        <v>94</v>
      </c>
      <c r="P503" s="330"/>
      <c r="Q503" s="330">
        <v>76</v>
      </c>
    </row>
    <row r="504" spans="1:17">
      <c r="A504" s="328">
        <v>495</v>
      </c>
      <c r="B504" s="329" t="s">
        <v>1356</v>
      </c>
      <c r="C504" s="329"/>
      <c r="D504" s="329"/>
      <c r="E504" s="333" t="s">
        <v>1357</v>
      </c>
      <c r="F504" s="328" t="s">
        <v>1358</v>
      </c>
      <c r="G504" s="328" t="s">
        <v>360</v>
      </c>
      <c r="H504" s="328" t="s">
        <v>238</v>
      </c>
      <c r="I504" s="328" t="s">
        <v>11</v>
      </c>
      <c r="J504" s="328" t="s">
        <v>642</v>
      </c>
      <c r="K504" s="330">
        <v>98</v>
      </c>
      <c r="L504" s="330">
        <v>0</v>
      </c>
      <c r="M504" s="330">
        <v>1000</v>
      </c>
      <c r="N504" s="330"/>
      <c r="O504" s="330">
        <v>740</v>
      </c>
      <c r="P504" s="330"/>
      <c r="Q504" s="330">
        <v>260</v>
      </c>
    </row>
    <row r="505" spans="1:17">
      <c r="A505" s="328">
        <v>496</v>
      </c>
      <c r="B505" s="329" t="s">
        <v>1356</v>
      </c>
      <c r="C505" s="329"/>
      <c r="D505" s="329"/>
      <c r="E505" s="333" t="s">
        <v>1357</v>
      </c>
      <c r="F505" s="328" t="s">
        <v>1358</v>
      </c>
      <c r="G505" s="328" t="s">
        <v>360</v>
      </c>
      <c r="H505" s="328" t="s">
        <v>238</v>
      </c>
      <c r="I505" s="328" t="s">
        <v>11</v>
      </c>
      <c r="J505" s="328" t="s">
        <v>642</v>
      </c>
      <c r="K505" s="330">
        <v>105</v>
      </c>
      <c r="L505" s="330">
        <v>20</v>
      </c>
      <c r="M505" s="330">
        <v>0</v>
      </c>
      <c r="N505" s="330"/>
      <c r="O505" s="330">
        <v>20</v>
      </c>
      <c r="P505" s="330"/>
      <c r="Q505" s="330">
        <v>0</v>
      </c>
    </row>
    <row r="506" spans="1:17">
      <c r="A506" s="328">
        <v>497</v>
      </c>
      <c r="B506" s="329" t="s">
        <v>1311</v>
      </c>
      <c r="C506" s="329"/>
      <c r="D506" s="329"/>
      <c r="E506" s="333" t="s">
        <v>1312</v>
      </c>
      <c r="F506" s="328" t="s">
        <v>1314</v>
      </c>
      <c r="G506" s="328" t="s">
        <v>360</v>
      </c>
      <c r="H506" s="328" t="s">
        <v>1313</v>
      </c>
      <c r="I506" s="328" t="s">
        <v>11</v>
      </c>
      <c r="J506" s="328" t="s">
        <v>642</v>
      </c>
      <c r="K506" s="330">
        <v>128</v>
      </c>
      <c r="L506" s="330">
        <v>5325</v>
      </c>
      <c r="M506" s="330">
        <v>73000</v>
      </c>
      <c r="N506" s="330"/>
      <c r="O506" s="330">
        <v>78325</v>
      </c>
      <c r="P506" s="330"/>
      <c r="Q506" s="330">
        <v>0</v>
      </c>
    </row>
    <row r="507" spans="1:17">
      <c r="A507" s="328">
        <v>498</v>
      </c>
      <c r="B507" s="336" t="s">
        <v>347</v>
      </c>
      <c r="C507" s="329"/>
      <c r="D507" s="329"/>
      <c r="E507" s="333" t="s">
        <v>858</v>
      </c>
      <c r="F507" s="328" t="s">
        <v>860</v>
      </c>
      <c r="G507" s="328" t="s">
        <v>861</v>
      </c>
      <c r="H507" s="328" t="s">
        <v>238</v>
      </c>
      <c r="I507" s="328" t="s">
        <v>10</v>
      </c>
      <c r="J507" s="328" t="s">
        <v>859</v>
      </c>
      <c r="K507" s="330">
        <v>345</v>
      </c>
      <c r="L507" s="330">
        <v>0</v>
      </c>
      <c r="M507" s="330">
        <v>15500</v>
      </c>
      <c r="N507" s="330"/>
      <c r="O507" s="330">
        <v>15485</v>
      </c>
      <c r="P507" s="330"/>
      <c r="Q507" s="330">
        <v>15</v>
      </c>
    </row>
    <row r="508" spans="1:17">
      <c r="A508" s="325">
        <v>499</v>
      </c>
      <c r="B508" s="331" t="s">
        <v>347</v>
      </c>
      <c r="C508" s="331"/>
      <c r="D508" s="331"/>
      <c r="E508" s="333" t="s">
        <v>361</v>
      </c>
      <c r="F508" s="328" t="s">
        <v>362</v>
      </c>
      <c r="G508" s="328" t="s">
        <v>360</v>
      </c>
      <c r="H508" s="328" t="s">
        <v>327</v>
      </c>
      <c r="I508" s="328" t="s">
        <v>10</v>
      </c>
      <c r="J508" s="328" t="s">
        <v>647</v>
      </c>
      <c r="K508" s="330">
        <v>81</v>
      </c>
      <c r="L508" s="330">
        <v>2720</v>
      </c>
      <c r="M508" s="330">
        <v>30000</v>
      </c>
      <c r="N508" s="330"/>
      <c r="O508" s="330">
        <v>32720</v>
      </c>
      <c r="P508" s="330"/>
      <c r="Q508" s="330">
        <v>0</v>
      </c>
    </row>
    <row r="509" spans="1:17">
      <c r="A509" s="328">
        <v>500</v>
      </c>
      <c r="B509" s="336" t="s">
        <v>802</v>
      </c>
      <c r="C509" s="329"/>
      <c r="D509" s="329"/>
      <c r="E509" s="333" t="s">
        <v>1199</v>
      </c>
      <c r="F509" s="328" t="s">
        <v>1202</v>
      </c>
      <c r="G509" s="328" t="s">
        <v>352</v>
      </c>
      <c r="H509" s="328" t="s">
        <v>1200</v>
      </c>
      <c r="I509" s="328" t="s">
        <v>13</v>
      </c>
      <c r="J509" s="328" t="s">
        <v>1201</v>
      </c>
      <c r="K509" s="330">
        <v>1191</v>
      </c>
      <c r="L509" s="330">
        <v>0</v>
      </c>
      <c r="M509" s="330">
        <v>1488</v>
      </c>
      <c r="N509" s="330"/>
      <c r="O509" s="330">
        <v>980</v>
      </c>
      <c r="P509" s="330"/>
      <c r="Q509" s="330">
        <v>508</v>
      </c>
    </row>
    <row r="510" spans="1:17">
      <c r="A510" s="328">
        <v>501</v>
      </c>
      <c r="B510" s="336" t="s">
        <v>802</v>
      </c>
      <c r="C510" s="329"/>
      <c r="D510" s="329"/>
      <c r="E510" s="333" t="s">
        <v>1203</v>
      </c>
      <c r="F510" s="328" t="s">
        <v>1205</v>
      </c>
      <c r="G510" s="328" t="s">
        <v>352</v>
      </c>
      <c r="H510" s="328" t="s">
        <v>965</v>
      </c>
      <c r="I510" s="328" t="s">
        <v>11</v>
      </c>
      <c r="J510" s="328" t="s">
        <v>1204</v>
      </c>
      <c r="K510" s="330">
        <v>2510</v>
      </c>
      <c r="L510" s="330">
        <v>0</v>
      </c>
      <c r="M510" s="330">
        <v>500</v>
      </c>
      <c r="N510" s="330"/>
      <c r="O510" s="330">
        <v>250</v>
      </c>
      <c r="P510" s="330"/>
      <c r="Q510" s="330">
        <v>250</v>
      </c>
    </row>
    <row r="511" spans="1:17">
      <c r="A511" s="328">
        <v>502</v>
      </c>
      <c r="B511" s="329" t="s">
        <v>639</v>
      </c>
      <c r="C511" s="329"/>
      <c r="D511" s="329"/>
      <c r="E511" s="333" t="s">
        <v>677</v>
      </c>
      <c r="F511" s="328" t="s">
        <v>680</v>
      </c>
      <c r="G511" s="328" t="s">
        <v>681</v>
      </c>
      <c r="H511" s="328" t="s">
        <v>678</v>
      </c>
      <c r="I511" s="328" t="s">
        <v>682</v>
      </c>
      <c r="J511" s="328" t="s">
        <v>679</v>
      </c>
      <c r="K511" s="330">
        <v>5250</v>
      </c>
      <c r="L511" s="330">
        <v>0</v>
      </c>
      <c r="M511" s="330">
        <v>30</v>
      </c>
      <c r="N511" s="330"/>
      <c r="O511" s="330">
        <v>30</v>
      </c>
      <c r="P511" s="330"/>
      <c r="Q511" s="330">
        <v>0</v>
      </c>
    </row>
    <row r="512" spans="1:17">
      <c r="A512" s="328">
        <v>503</v>
      </c>
      <c r="B512" s="329" t="s">
        <v>639</v>
      </c>
      <c r="C512" s="329"/>
      <c r="D512" s="329"/>
      <c r="E512" s="333" t="s">
        <v>673</v>
      </c>
      <c r="F512" s="328" t="s">
        <v>675</v>
      </c>
      <c r="G512" s="328" t="s">
        <v>676</v>
      </c>
      <c r="H512" s="328" t="s">
        <v>641</v>
      </c>
      <c r="I512" s="328" t="s">
        <v>10</v>
      </c>
      <c r="J512" s="328" t="s">
        <v>674</v>
      </c>
      <c r="K512" s="330">
        <v>12850</v>
      </c>
      <c r="L512" s="330">
        <v>1945</v>
      </c>
      <c r="M512" s="330">
        <v>520</v>
      </c>
      <c r="N512" s="330"/>
      <c r="O512" s="330">
        <v>2375</v>
      </c>
      <c r="P512" s="330"/>
      <c r="Q512" s="330">
        <v>90</v>
      </c>
    </row>
    <row r="513" spans="1:27">
      <c r="A513" s="328">
        <v>504</v>
      </c>
      <c r="B513" s="336" t="s">
        <v>2329</v>
      </c>
      <c r="C513" s="329"/>
      <c r="D513" s="329"/>
      <c r="E513" s="333" t="s">
        <v>132</v>
      </c>
      <c r="F513" s="328" t="s">
        <v>2330</v>
      </c>
      <c r="G513" s="328" t="s">
        <v>2331</v>
      </c>
      <c r="H513" s="328" t="s">
        <v>134</v>
      </c>
      <c r="I513" s="328" t="s">
        <v>11</v>
      </c>
      <c r="J513" s="328" t="s">
        <v>1675</v>
      </c>
      <c r="K513" s="330">
        <v>1386</v>
      </c>
      <c r="L513" s="330">
        <v>0</v>
      </c>
      <c r="M513" s="330">
        <v>12000</v>
      </c>
      <c r="N513" s="330"/>
      <c r="O513" s="330">
        <v>5410</v>
      </c>
      <c r="P513" s="330"/>
      <c r="Q513" s="330">
        <v>6590</v>
      </c>
    </row>
    <row r="514" spans="1:27">
      <c r="A514" s="325">
        <v>505</v>
      </c>
      <c r="B514" s="329" t="s">
        <v>1494</v>
      </c>
      <c r="C514" s="329"/>
      <c r="D514" s="329"/>
      <c r="E514" s="333" t="s">
        <v>1534</v>
      </c>
      <c r="F514" s="328" t="s">
        <v>1535</v>
      </c>
      <c r="G514" s="328" t="s">
        <v>1536</v>
      </c>
      <c r="H514" s="328" t="s">
        <v>369</v>
      </c>
      <c r="I514" s="328" t="s">
        <v>10</v>
      </c>
      <c r="J514" s="328" t="s">
        <v>1239</v>
      </c>
      <c r="K514" s="330">
        <v>1610</v>
      </c>
      <c r="L514" s="330">
        <v>0</v>
      </c>
      <c r="M514" s="330">
        <v>3000</v>
      </c>
      <c r="N514" s="330"/>
      <c r="O514" s="330">
        <v>0</v>
      </c>
      <c r="P514" s="330"/>
      <c r="Q514" s="330">
        <v>3000</v>
      </c>
    </row>
    <row r="515" spans="1:27">
      <c r="A515" s="328">
        <v>506</v>
      </c>
      <c r="B515" s="336" t="s">
        <v>1505</v>
      </c>
      <c r="C515" s="329"/>
      <c r="D515" s="329"/>
      <c r="E515" s="333" t="s">
        <v>1506</v>
      </c>
      <c r="F515" s="328" t="s">
        <v>1508</v>
      </c>
      <c r="G515" s="328" t="s">
        <v>1509</v>
      </c>
      <c r="H515" s="328" t="s">
        <v>1507</v>
      </c>
      <c r="I515" s="328" t="s">
        <v>14</v>
      </c>
      <c r="J515" s="328" t="s">
        <v>306</v>
      </c>
      <c r="K515" s="330">
        <v>35595</v>
      </c>
      <c r="L515" s="330">
        <v>0</v>
      </c>
      <c r="M515" s="330">
        <v>200</v>
      </c>
      <c r="N515" s="330"/>
      <c r="O515" s="330">
        <v>159</v>
      </c>
      <c r="P515" s="330"/>
      <c r="Q515" s="330">
        <v>41</v>
      </c>
    </row>
    <row r="516" spans="1:27">
      <c r="A516" s="328">
        <v>507</v>
      </c>
      <c r="B516" s="336" t="s">
        <v>2308</v>
      </c>
      <c r="C516" s="329"/>
      <c r="D516" s="329"/>
      <c r="E516" s="636" t="s">
        <v>135</v>
      </c>
      <c r="F516" s="337" t="s">
        <v>2309</v>
      </c>
      <c r="G516" s="337" t="s">
        <v>2310</v>
      </c>
      <c r="H516" s="337" t="s">
        <v>137</v>
      </c>
      <c r="I516" s="337" t="s">
        <v>10</v>
      </c>
      <c r="J516" s="337" t="s">
        <v>2306</v>
      </c>
      <c r="K516" s="330">
        <v>2200</v>
      </c>
      <c r="L516" s="330">
        <v>0</v>
      </c>
      <c r="M516" s="330">
        <v>20000</v>
      </c>
      <c r="N516" s="330"/>
      <c r="O516" s="330">
        <v>0</v>
      </c>
      <c r="P516" s="330"/>
      <c r="Q516" s="330">
        <v>20000</v>
      </c>
    </row>
    <row r="517" spans="1:27" ht="38.25">
      <c r="A517" s="328">
        <v>508</v>
      </c>
      <c r="B517" s="329" t="s">
        <v>2195</v>
      </c>
      <c r="C517" s="329"/>
      <c r="D517" s="329"/>
      <c r="E517" s="333" t="s">
        <v>138</v>
      </c>
      <c r="F517" s="328" t="s">
        <v>2197</v>
      </c>
      <c r="G517" s="328" t="s">
        <v>2194</v>
      </c>
      <c r="H517" s="328" t="s">
        <v>139</v>
      </c>
      <c r="I517" s="328" t="s">
        <v>10</v>
      </c>
      <c r="J517" s="328" t="s">
        <v>2196</v>
      </c>
      <c r="K517" s="330">
        <v>154</v>
      </c>
      <c r="L517" s="330">
        <v>0</v>
      </c>
      <c r="M517" s="330">
        <v>81000</v>
      </c>
      <c r="N517" s="330"/>
      <c r="O517" s="330">
        <v>6000</v>
      </c>
      <c r="P517" s="330"/>
      <c r="Q517" s="330">
        <v>75000</v>
      </c>
    </row>
    <row r="518" spans="1:27">
      <c r="A518" s="328">
        <v>509</v>
      </c>
      <c r="B518" s="329" t="s">
        <v>2169</v>
      </c>
      <c r="C518" s="329"/>
      <c r="D518" s="329"/>
      <c r="E518" s="333" t="s">
        <v>2170</v>
      </c>
      <c r="F518" s="328" t="s">
        <v>2173</v>
      </c>
      <c r="G518" s="328" t="s">
        <v>2174</v>
      </c>
      <c r="H518" s="328" t="s">
        <v>2171</v>
      </c>
      <c r="I518" s="328" t="s">
        <v>10</v>
      </c>
      <c r="J518" s="328" t="s">
        <v>2172</v>
      </c>
      <c r="K518" s="330">
        <v>215</v>
      </c>
      <c r="L518" s="330">
        <v>3100</v>
      </c>
      <c r="M518" s="330">
        <v>51500</v>
      </c>
      <c r="N518" s="330"/>
      <c r="O518" s="330">
        <v>54600</v>
      </c>
      <c r="P518" s="330"/>
      <c r="Q518" s="330">
        <v>0</v>
      </c>
    </row>
    <row r="519" spans="1:27">
      <c r="A519" s="328">
        <v>510</v>
      </c>
      <c r="B519" s="329" t="s">
        <v>141</v>
      </c>
      <c r="C519" s="333"/>
      <c r="D519" s="333"/>
      <c r="E519" s="333" t="s">
        <v>3090</v>
      </c>
      <c r="F519" s="328" t="s">
        <v>2312</v>
      </c>
      <c r="G519" s="337" t="s">
        <v>2310</v>
      </c>
      <c r="H519" s="328" t="s">
        <v>3091</v>
      </c>
      <c r="I519" s="337" t="s">
        <v>10</v>
      </c>
      <c r="J519" s="337" t="s">
        <v>2306</v>
      </c>
      <c r="K519" s="330">
        <v>1450</v>
      </c>
      <c r="L519" s="330">
        <v>2742</v>
      </c>
      <c r="M519" s="330">
        <v>0</v>
      </c>
      <c r="N519" s="330"/>
      <c r="O519" s="330">
        <v>2742</v>
      </c>
      <c r="P519" s="330"/>
      <c r="Q519" s="330">
        <v>0</v>
      </c>
    </row>
    <row r="520" spans="1:27">
      <c r="A520" s="325">
        <v>511</v>
      </c>
      <c r="B520" s="336" t="s">
        <v>2311</v>
      </c>
      <c r="C520" s="329"/>
      <c r="D520" s="329"/>
      <c r="E520" s="333" t="s">
        <v>140</v>
      </c>
      <c r="F520" s="337" t="s">
        <v>2312</v>
      </c>
      <c r="G520" s="337" t="s">
        <v>2310</v>
      </c>
      <c r="H520" s="337" t="s">
        <v>142</v>
      </c>
      <c r="I520" s="337" t="s">
        <v>10</v>
      </c>
      <c r="J520" s="337" t="s">
        <v>2306</v>
      </c>
      <c r="K520" s="330">
        <v>1490</v>
      </c>
      <c r="L520" s="330">
        <v>0</v>
      </c>
      <c r="M520" s="330">
        <v>60000</v>
      </c>
      <c r="N520" s="330"/>
      <c r="O520" s="330">
        <v>42426</v>
      </c>
      <c r="P520" s="330"/>
      <c r="Q520" s="330">
        <v>17574</v>
      </c>
    </row>
    <row r="521" spans="1:27">
      <c r="A521" s="328">
        <v>512</v>
      </c>
      <c r="B521" s="347" t="s">
        <v>3092</v>
      </c>
      <c r="C521" s="329"/>
      <c r="D521" s="329"/>
      <c r="E521" s="640" t="s">
        <v>3093</v>
      </c>
      <c r="F521" s="328" t="s">
        <v>253</v>
      </c>
      <c r="G521" s="348" t="s">
        <v>3094</v>
      </c>
      <c r="H521" s="348" t="s">
        <v>238</v>
      </c>
      <c r="I521" s="351" t="s">
        <v>10</v>
      </c>
      <c r="J521" s="328" t="s">
        <v>2841</v>
      </c>
      <c r="K521" s="330">
        <v>4000</v>
      </c>
      <c r="L521" s="330">
        <v>1604</v>
      </c>
      <c r="M521" s="330"/>
      <c r="N521" s="330"/>
      <c r="O521" s="330">
        <v>1604</v>
      </c>
      <c r="P521" s="330"/>
      <c r="Q521" s="330"/>
      <c r="R521" s="37"/>
      <c r="T521" s="37"/>
      <c r="U521" s="37"/>
      <c r="V521" s="37"/>
      <c r="W521" s="37"/>
      <c r="X521" s="37"/>
      <c r="Y521" s="37"/>
      <c r="Z521" s="37"/>
      <c r="AA521" s="37"/>
    </row>
    <row r="522" spans="1:27">
      <c r="A522" s="328">
        <v>513</v>
      </c>
      <c r="B522" s="329" t="s">
        <v>506</v>
      </c>
      <c r="C522" s="333"/>
      <c r="D522" s="333"/>
      <c r="E522" s="333" t="s">
        <v>2506</v>
      </c>
      <c r="F522" s="328" t="s">
        <v>3095</v>
      </c>
      <c r="G522" s="328" t="s">
        <v>3096</v>
      </c>
      <c r="H522" s="328" t="s">
        <v>258</v>
      </c>
      <c r="I522" s="328" t="s">
        <v>658</v>
      </c>
      <c r="J522" s="328" t="s">
        <v>3097</v>
      </c>
      <c r="K522" s="330">
        <v>9790</v>
      </c>
      <c r="L522" s="330">
        <v>29</v>
      </c>
      <c r="M522" s="330">
        <v>50</v>
      </c>
      <c r="N522" s="330"/>
      <c r="O522" s="330">
        <v>77</v>
      </c>
      <c r="P522" s="330"/>
      <c r="Q522" s="330">
        <v>2</v>
      </c>
    </row>
    <row r="523" spans="1:27">
      <c r="A523" s="328">
        <v>514</v>
      </c>
      <c r="B523" s="347" t="s">
        <v>1522</v>
      </c>
      <c r="C523" s="329"/>
      <c r="D523" s="329"/>
      <c r="E523" s="640" t="s">
        <v>3098</v>
      </c>
      <c r="F523" s="348" t="s">
        <v>3099</v>
      </c>
      <c r="G523" s="348" t="s">
        <v>3100</v>
      </c>
      <c r="H523" s="348" t="s">
        <v>225</v>
      </c>
      <c r="I523" s="348" t="s">
        <v>10</v>
      </c>
      <c r="J523" s="348" t="s">
        <v>642</v>
      </c>
      <c r="K523" s="330">
        <v>1230</v>
      </c>
      <c r="L523" s="330">
        <f>2413+25+62+30964</f>
        <v>33464</v>
      </c>
      <c r="M523" s="330"/>
      <c r="N523" s="330"/>
      <c r="O523" s="330">
        <f>33464</f>
        <v>33464</v>
      </c>
      <c r="P523" s="330"/>
      <c r="Q523" s="330"/>
      <c r="R523" s="37"/>
      <c r="T523" s="37"/>
      <c r="U523" s="37"/>
      <c r="V523" s="37"/>
      <c r="W523" s="37"/>
      <c r="X523" s="37"/>
      <c r="Y523" s="37"/>
      <c r="Z523" s="37"/>
      <c r="AA523" s="37"/>
    </row>
    <row r="524" spans="1:27">
      <c r="A524" s="328">
        <v>515</v>
      </c>
      <c r="B524" s="336" t="s">
        <v>2507</v>
      </c>
      <c r="C524" s="329"/>
      <c r="D524" s="329"/>
      <c r="E524" s="333" t="s">
        <v>1950</v>
      </c>
      <c r="F524" s="328" t="s">
        <v>1952</v>
      </c>
      <c r="G524" s="328" t="s">
        <v>1953</v>
      </c>
      <c r="H524" s="328" t="s">
        <v>1951</v>
      </c>
      <c r="I524" s="328" t="s">
        <v>13</v>
      </c>
      <c r="J524" s="328" t="s">
        <v>1106</v>
      </c>
      <c r="K524" s="330">
        <v>2184</v>
      </c>
      <c r="L524" s="330">
        <v>418</v>
      </c>
      <c r="M524" s="330">
        <v>24990</v>
      </c>
      <c r="N524" s="330"/>
      <c r="O524" s="330">
        <v>13333</v>
      </c>
      <c r="P524" s="330"/>
      <c r="Q524" s="330">
        <v>12075</v>
      </c>
    </row>
    <row r="525" spans="1:27">
      <c r="A525" s="328">
        <v>516</v>
      </c>
      <c r="B525" s="329" t="s">
        <v>3101</v>
      </c>
      <c r="C525" s="329"/>
      <c r="D525" s="329"/>
      <c r="E525" s="333" t="s">
        <v>2568</v>
      </c>
      <c r="F525" s="328" t="s">
        <v>3102</v>
      </c>
      <c r="G525" s="328" t="s">
        <v>3103</v>
      </c>
      <c r="H525" s="328" t="s">
        <v>759</v>
      </c>
      <c r="I525" s="328" t="s">
        <v>15</v>
      </c>
      <c r="J525" s="328" t="s">
        <v>3104</v>
      </c>
      <c r="K525" s="330">
        <v>6790</v>
      </c>
      <c r="L525" s="330">
        <v>375</v>
      </c>
      <c r="M525" s="330">
        <v>11</v>
      </c>
      <c r="N525" s="330"/>
      <c r="O525" s="330">
        <v>69</v>
      </c>
      <c r="P525" s="330"/>
      <c r="Q525" s="330">
        <v>317</v>
      </c>
    </row>
    <row r="526" spans="1:27">
      <c r="A526" s="325">
        <v>517</v>
      </c>
      <c r="B526" s="329" t="s">
        <v>1109</v>
      </c>
      <c r="C526" s="329"/>
      <c r="D526" s="329"/>
      <c r="E526" s="333" t="s">
        <v>1349</v>
      </c>
      <c r="F526" s="328" t="s">
        <v>1351</v>
      </c>
      <c r="G526" s="328" t="s">
        <v>360</v>
      </c>
      <c r="H526" s="328" t="s">
        <v>310</v>
      </c>
      <c r="I526" s="328" t="s">
        <v>11</v>
      </c>
      <c r="J526" s="328" t="s">
        <v>1350</v>
      </c>
      <c r="K526" s="330">
        <v>312</v>
      </c>
      <c r="L526" s="330">
        <v>339</v>
      </c>
      <c r="M526" s="330">
        <v>15000</v>
      </c>
      <c r="N526" s="330"/>
      <c r="O526" s="330">
        <v>15258</v>
      </c>
      <c r="P526" s="330"/>
      <c r="Q526" s="330">
        <v>81</v>
      </c>
    </row>
    <row r="527" spans="1:27">
      <c r="A527" s="328">
        <v>518</v>
      </c>
      <c r="B527" s="336" t="s">
        <v>893</v>
      </c>
      <c r="C527" s="329"/>
      <c r="D527" s="329"/>
      <c r="E527" s="636" t="s">
        <v>982</v>
      </c>
      <c r="F527" s="337" t="s">
        <v>896</v>
      </c>
      <c r="G527" s="337" t="s">
        <v>897</v>
      </c>
      <c r="H527" s="337" t="s">
        <v>894</v>
      </c>
      <c r="I527" s="337" t="s">
        <v>898</v>
      </c>
      <c r="J527" s="337" t="s">
        <v>895</v>
      </c>
      <c r="K527" s="330">
        <v>277000</v>
      </c>
      <c r="L527" s="330">
        <v>0</v>
      </c>
      <c r="M527" s="330">
        <v>50</v>
      </c>
      <c r="N527" s="330"/>
      <c r="O527" s="330">
        <v>27</v>
      </c>
      <c r="P527" s="330"/>
      <c r="Q527" s="330">
        <v>23</v>
      </c>
    </row>
    <row r="528" spans="1:27">
      <c r="A528" s="328">
        <v>519</v>
      </c>
      <c r="B528" s="332" t="s">
        <v>622</v>
      </c>
      <c r="C528" s="333"/>
      <c r="D528" s="333"/>
      <c r="E528" s="332" t="s">
        <v>3105</v>
      </c>
      <c r="F528" s="328" t="s">
        <v>3106</v>
      </c>
      <c r="G528" s="328" t="s">
        <v>3107</v>
      </c>
      <c r="H528" s="334" t="s">
        <v>299</v>
      </c>
      <c r="I528" s="328" t="s">
        <v>11</v>
      </c>
      <c r="J528" s="328" t="s">
        <v>842</v>
      </c>
      <c r="K528" s="330">
        <v>2270</v>
      </c>
      <c r="L528" s="330">
        <v>815</v>
      </c>
      <c r="M528" s="330">
        <v>0</v>
      </c>
      <c r="N528" s="330"/>
      <c r="O528" s="330">
        <v>605</v>
      </c>
      <c r="P528" s="330"/>
      <c r="Q528" s="330">
        <v>210</v>
      </c>
    </row>
    <row r="529" spans="1:17">
      <c r="A529" s="328">
        <v>520</v>
      </c>
      <c r="B529" s="329" t="s">
        <v>1352</v>
      </c>
      <c r="C529" s="329"/>
      <c r="D529" s="329"/>
      <c r="E529" s="333" t="s">
        <v>1798</v>
      </c>
      <c r="F529" s="328" t="s">
        <v>1799</v>
      </c>
      <c r="G529" s="328" t="s">
        <v>1797</v>
      </c>
      <c r="H529" s="328" t="s">
        <v>327</v>
      </c>
      <c r="I529" s="328" t="s">
        <v>11</v>
      </c>
      <c r="J529" s="328" t="s">
        <v>647</v>
      </c>
      <c r="K529" s="330">
        <v>5985</v>
      </c>
      <c r="L529" s="330">
        <v>4279</v>
      </c>
      <c r="M529" s="330">
        <v>0</v>
      </c>
      <c r="N529" s="330"/>
      <c r="O529" s="330">
        <v>4279</v>
      </c>
      <c r="P529" s="330"/>
      <c r="Q529" s="330">
        <v>0</v>
      </c>
    </row>
    <row r="530" spans="1:17">
      <c r="A530" s="328">
        <v>521</v>
      </c>
      <c r="B530" s="329" t="s">
        <v>2509</v>
      </c>
      <c r="C530" s="333"/>
      <c r="D530" s="333"/>
      <c r="E530" s="333" t="s">
        <v>2508</v>
      </c>
      <c r="F530" s="328" t="s">
        <v>420</v>
      </c>
      <c r="G530" s="328" t="s">
        <v>414</v>
      </c>
      <c r="H530" s="328" t="s">
        <v>2510</v>
      </c>
      <c r="I530" s="328" t="s">
        <v>520</v>
      </c>
      <c r="J530" s="328" t="s">
        <v>3108</v>
      </c>
      <c r="K530" s="330">
        <v>503</v>
      </c>
      <c r="L530" s="330">
        <v>3806</v>
      </c>
      <c r="M530" s="330">
        <v>0</v>
      </c>
      <c r="N530" s="330"/>
      <c r="O530" s="330">
        <v>3176</v>
      </c>
      <c r="P530" s="330"/>
      <c r="Q530" s="330">
        <v>630</v>
      </c>
    </row>
    <row r="531" spans="1:17">
      <c r="A531" s="328">
        <v>522</v>
      </c>
      <c r="B531" s="336" t="s">
        <v>2294</v>
      </c>
      <c r="C531" s="329"/>
      <c r="D531" s="329"/>
      <c r="E531" s="333" t="s">
        <v>145</v>
      </c>
      <c r="F531" s="328" t="s">
        <v>2295</v>
      </c>
      <c r="G531" s="328" t="s">
        <v>2253</v>
      </c>
      <c r="H531" s="328" t="s">
        <v>147</v>
      </c>
      <c r="I531" s="328" t="s">
        <v>16</v>
      </c>
      <c r="J531" s="328" t="s">
        <v>2250</v>
      </c>
      <c r="K531" s="330">
        <v>1200</v>
      </c>
      <c r="L531" s="330">
        <v>150</v>
      </c>
      <c r="M531" s="330">
        <v>43600</v>
      </c>
      <c r="N531" s="330"/>
      <c r="O531" s="330">
        <v>24725</v>
      </c>
      <c r="P531" s="330"/>
      <c r="Q531" s="330">
        <v>19025</v>
      </c>
    </row>
    <row r="532" spans="1:17">
      <c r="A532" s="325">
        <v>523</v>
      </c>
      <c r="B532" s="336" t="s">
        <v>376</v>
      </c>
      <c r="C532" s="329"/>
      <c r="D532" s="329"/>
      <c r="E532" s="333" t="s">
        <v>549</v>
      </c>
      <c r="F532" s="328" t="s">
        <v>551</v>
      </c>
      <c r="G532" s="328" t="s">
        <v>215</v>
      </c>
      <c r="H532" s="328" t="s">
        <v>550</v>
      </c>
      <c r="I532" s="328" t="s">
        <v>11</v>
      </c>
      <c r="J532" s="328" t="s">
        <v>538</v>
      </c>
      <c r="K532" s="330">
        <v>520</v>
      </c>
      <c r="L532" s="330">
        <v>0</v>
      </c>
      <c r="M532" s="330">
        <v>6480</v>
      </c>
      <c r="N532" s="330"/>
      <c r="O532" s="330">
        <v>5652</v>
      </c>
      <c r="P532" s="330"/>
      <c r="Q532" s="330">
        <v>828</v>
      </c>
    </row>
    <row r="533" spans="1:17">
      <c r="A533" s="328">
        <v>524</v>
      </c>
      <c r="B533" s="336" t="s">
        <v>376</v>
      </c>
      <c r="C533" s="329"/>
      <c r="D533" s="329"/>
      <c r="E533" s="333" t="s">
        <v>552</v>
      </c>
      <c r="F533" s="328" t="s">
        <v>554</v>
      </c>
      <c r="G533" s="328" t="s">
        <v>215</v>
      </c>
      <c r="H533" s="328" t="s">
        <v>299</v>
      </c>
      <c r="I533" s="328" t="s">
        <v>11</v>
      </c>
      <c r="J533" s="328" t="s">
        <v>553</v>
      </c>
      <c r="K533" s="330">
        <v>435</v>
      </c>
      <c r="L533" s="330">
        <v>0</v>
      </c>
      <c r="M533" s="330">
        <v>480</v>
      </c>
      <c r="N533" s="330"/>
      <c r="O533" s="330">
        <v>480</v>
      </c>
      <c r="P533" s="330"/>
      <c r="Q533" s="330">
        <v>0</v>
      </c>
    </row>
    <row r="534" spans="1:17">
      <c r="A534" s="328">
        <v>525</v>
      </c>
      <c r="B534" s="336" t="s">
        <v>556</v>
      </c>
      <c r="C534" s="329"/>
      <c r="D534" s="329"/>
      <c r="E534" s="333" t="s">
        <v>1980</v>
      </c>
      <c r="F534" s="328" t="s">
        <v>1981</v>
      </c>
      <c r="G534" s="328" t="s">
        <v>1946</v>
      </c>
      <c r="H534" s="328" t="s">
        <v>238</v>
      </c>
      <c r="I534" s="328" t="s">
        <v>11</v>
      </c>
      <c r="J534" s="328" t="s">
        <v>842</v>
      </c>
      <c r="K534" s="330">
        <v>460</v>
      </c>
      <c r="L534" s="330">
        <v>0</v>
      </c>
      <c r="M534" s="330">
        <v>9990</v>
      </c>
      <c r="N534" s="330"/>
      <c r="O534" s="330">
        <v>6653</v>
      </c>
      <c r="P534" s="330"/>
      <c r="Q534" s="330">
        <v>3337</v>
      </c>
    </row>
    <row r="535" spans="1:17">
      <c r="A535" s="328">
        <v>526</v>
      </c>
      <c r="B535" s="336" t="s">
        <v>649</v>
      </c>
      <c r="C535" s="329"/>
      <c r="D535" s="329"/>
      <c r="E535" s="333" t="s">
        <v>650</v>
      </c>
      <c r="F535" s="328" t="s">
        <v>652</v>
      </c>
      <c r="G535" s="328" t="s">
        <v>245</v>
      </c>
      <c r="H535" s="328" t="s">
        <v>651</v>
      </c>
      <c r="I535" s="328" t="s">
        <v>11</v>
      </c>
      <c r="J535" s="328" t="s">
        <v>547</v>
      </c>
      <c r="K535" s="330">
        <v>4200</v>
      </c>
      <c r="L535" s="330">
        <v>1049</v>
      </c>
      <c r="M535" s="330">
        <v>9000</v>
      </c>
      <c r="N535" s="330"/>
      <c r="O535" s="330">
        <v>3392</v>
      </c>
      <c r="P535" s="330"/>
      <c r="Q535" s="330">
        <v>6657</v>
      </c>
    </row>
    <row r="536" spans="1:17">
      <c r="A536" s="328">
        <v>527</v>
      </c>
      <c r="B536" s="331" t="s">
        <v>221</v>
      </c>
      <c r="C536" s="331"/>
      <c r="D536" s="331"/>
      <c r="E536" s="333" t="s">
        <v>221</v>
      </c>
      <c r="F536" s="328" t="s">
        <v>223</v>
      </c>
      <c r="G536" s="328" t="s">
        <v>215</v>
      </c>
      <c r="H536" s="328" t="s">
        <v>222</v>
      </c>
      <c r="I536" s="328" t="s">
        <v>10</v>
      </c>
      <c r="J536" s="328" t="s">
        <v>1329</v>
      </c>
      <c r="K536" s="330">
        <v>115</v>
      </c>
      <c r="L536" s="330">
        <v>0</v>
      </c>
      <c r="M536" s="330">
        <v>3500</v>
      </c>
      <c r="N536" s="330"/>
      <c r="O536" s="330">
        <v>3000</v>
      </c>
      <c r="P536" s="330"/>
      <c r="Q536" s="330">
        <v>500</v>
      </c>
    </row>
    <row r="537" spans="1:17">
      <c r="A537" s="328">
        <v>528</v>
      </c>
      <c r="B537" s="331" t="s">
        <v>221</v>
      </c>
      <c r="C537" s="331"/>
      <c r="D537" s="331"/>
      <c r="E537" s="333" t="s">
        <v>221</v>
      </c>
      <c r="F537" s="328" t="s">
        <v>380</v>
      </c>
      <c r="G537" s="328" t="s">
        <v>360</v>
      </c>
      <c r="H537" s="328" t="s">
        <v>222</v>
      </c>
      <c r="I537" s="328" t="s">
        <v>10</v>
      </c>
      <c r="J537" s="328" t="s">
        <v>1329</v>
      </c>
      <c r="K537" s="330">
        <v>123</v>
      </c>
      <c r="L537" s="330">
        <v>0</v>
      </c>
      <c r="M537" s="330">
        <v>3000</v>
      </c>
      <c r="N537" s="330"/>
      <c r="O537" s="330">
        <v>3000</v>
      </c>
      <c r="P537" s="330"/>
      <c r="Q537" s="330">
        <v>0</v>
      </c>
    </row>
    <row r="538" spans="1:17">
      <c r="A538" s="325">
        <v>529</v>
      </c>
      <c r="B538" s="329" t="s">
        <v>221</v>
      </c>
      <c r="C538" s="333"/>
      <c r="D538" s="333"/>
      <c r="E538" s="333" t="s">
        <v>221</v>
      </c>
      <c r="F538" s="328" t="s">
        <v>3109</v>
      </c>
      <c r="G538" s="328" t="s">
        <v>360</v>
      </c>
      <c r="H538" s="328" t="s">
        <v>222</v>
      </c>
      <c r="I538" s="328" t="s">
        <v>10</v>
      </c>
      <c r="J538" s="328" t="s">
        <v>1329</v>
      </c>
      <c r="K538" s="330">
        <v>125</v>
      </c>
      <c r="L538" s="330">
        <v>1283</v>
      </c>
      <c r="M538" s="330">
        <v>0</v>
      </c>
      <c r="N538" s="330"/>
      <c r="O538" s="330">
        <v>1268</v>
      </c>
      <c r="P538" s="330"/>
      <c r="Q538" s="330">
        <v>15</v>
      </c>
    </row>
    <row r="539" spans="1:17">
      <c r="A539" s="328">
        <v>530</v>
      </c>
      <c r="B539" s="329" t="s">
        <v>221</v>
      </c>
      <c r="C539" s="329"/>
      <c r="D539" s="329"/>
      <c r="E539" s="333" t="s">
        <v>221</v>
      </c>
      <c r="F539" s="328" t="s">
        <v>3109</v>
      </c>
      <c r="G539" s="328" t="s">
        <v>360</v>
      </c>
      <c r="H539" s="328" t="s">
        <v>222</v>
      </c>
      <c r="I539" s="328" t="s">
        <v>10</v>
      </c>
      <c r="J539" s="328" t="s">
        <v>1329</v>
      </c>
      <c r="K539" s="330">
        <v>144</v>
      </c>
      <c r="L539" s="330">
        <v>207</v>
      </c>
      <c r="M539" s="330">
        <v>0</v>
      </c>
      <c r="N539" s="330"/>
      <c r="O539" s="330">
        <v>203</v>
      </c>
      <c r="P539" s="330"/>
      <c r="Q539" s="330">
        <v>4</v>
      </c>
    </row>
    <row r="540" spans="1:17">
      <c r="A540" s="328">
        <v>531</v>
      </c>
      <c r="B540" s="331" t="s">
        <v>474</v>
      </c>
      <c r="C540" s="331"/>
      <c r="D540" s="331"/>
      <c r="E540" s="333" t="s">
        <v>475</v>
      </c>
      <c r="F540" s="328" t="s">
        <v>476</v>
      </c>
      <c r="G540" s="328" t="s">
        <v>473</v>
      </c>
      <c r="H540" s="328" t="s">
        <v>238</v>
      </c>
      <c r="I540" s="328" t="s">
        <v>10</v>
      </c>
      <c r="J540" s="328" t="s">
        <v>642</v>
      </c>
      <c r="K540" s="330">
        <v>92</v>
      </c>
      <c r="L540" s="330">
        <v>0</v>
      </c>
      <c r="M540" s="330">
        <v>26500</v>
      </c>
      <c r="N540" s="330"/>
      <c r="O540" s="330">
        <v>26473</v>
      </c>
      <c r="P540" s="330"/>
      <c r="Q540" s="330">
        <v>27</v>
      </c>
    </row>
    <row r="541" spans="1:17">
      <c r="A541" s="328">
        <v>532</v>
      </c>
      <c r="B541" s="329" t="s">
        <v>1488</v>
      </c>
      <c r="C541" s="329"/>
      <c r="D541" s="329"/>
      <c r="E541" s="333" t="s">
        <v>1489</v>
      </c>
      <c r="F541" s="328" t="s">
        <v>1490</v>
      </c>
      <c r="G541" s="328" t="s">
        <v>1485</v>
      </c>
      <c r="H541" s="328" t="s">
        <v>1173</v>
      </c>
      <c r="I541" s="328" t="s">
        <v>10</v>
      </c>
      <c r="J541" s="328" t="s">
        <v>623</v>
      </c>
      <c r="K541" s="330">
        <v>4925</v>
      </c>
      <c r="L541" s="330">
        <v>842</v>
      </c>
      <c r="M541" s="330">
        <v>49980</v>
      </c>
      <c r="N541" s="330"/>
      <c r="O541" s="330">
        <v>50564</v>
      </c>
      <c r="P541" s="330"/>
      <c r="Q541" s="330">
        <v>258</v>
      </c>
    </row>
    <row r="542" spans="1:17">
      <c r="A542" s="328">
        <v>533</v>
      </c>
      <c r="B542" s="329" t="s">
        <v>474</v>
      </c>
      <c r="C542" s="333"/>
      <c r="D542" s="333"/>
      <c r="E542" s="333" t="s">
        <v>2511</v>
      </c>
      <c r="F542" s="328" t="s">
        <v>3110</v>
      </c>
      <c r="G542" s="328" t="s">
        <v>3111</v>
      </c>
      <c r="H542" s="328" t="s">
        <v>238</v>
      </c>
      <c r="I542" s="328" t="s">
        <v>11</v>
      </c>
      <c r="J542" s="328" t="s">
        <v>642</v>
      </c>
      <c r="K542" s="330">
        <v>2394</v>
      </c>
      <c r="L542" s="330">
        <v>4208</v>
      </c>
      <c r="M542" s="330">
        <v>0</v>
      </c>
      <c r="N542" s="330"/>
      <c r="O542" s="330">
        <v>3791</v>
      </c>
      <c r="P542" s="330"/>
      <c r="Q542" s="330">
        <v>417</v>
      </c>
    </row>
    <row r="543" spans="1:17">
      <c r="A543" s="328">
        <v>534</v>
      </c>
      <c r="B543" s="329" t="s">
        <v>3112</v>
      </c>
      <c r="C543" s="333"/>
      <c r="D543" s="333"/>
      <c r="E543" s="333" t="s">
        <v>2512</v>
      </c>
      <c r="F543" s="328" t="s">
        <v>3113</v>
      </c>
      <c r="G543" s="328" t="s">
        <v>3114</v>
      </c>
      <c r="H543" s="328" t="s">
        <v>258</v>
      </c>
      <c r="I543" s="328" t="s">
        <v>11</v>
      </c>
      <c r="J543" s="328" t="s">
        <v>1736</v>
      </c>
      <c r="K543" s="330">
        <v>9450</v>
      </c>
      <c r="L543" s="330">
        <v>3617</v>
      </c>
      <c r="M543" s="330">
        <v>0</v>
      </c>
      <c r="N543" s="330"/>
      <c r="O543" s="330">
        <v>3617</v>
      </c>
      <c r="P543" s="330"/>
      <c r="Q543" s="330">
        <v>0</v>
      </c>
    </row>
    <row r="544" spans="1:17">
      <c r="A544" s="325">
        <v>535</v>
      </c>
      <c r="B544" s="329" t="s">
        <v>645</v>
      </c>
      <c r="C544" s="329"/>
      <c r="D544" s="329"/>
      <c r="E544" s="333" t="s">
        <v>645</v>
      </c>
      <c r="F544" s="328" t="s">
        <v>1355</v>
      </c>
      <c r="G544" s="328" t="s">
        <v>360</v>
      </c>
      <c r="H544" s="328" t="s">
        <v>291</v>
      </c>
      <c r="I544" s="328" t="s">
        <v>11</v>
      </c>
      <c r="J544" s="328" t="s">
        <v>647</v>
      </c>
      <c r="K544" s="330">
        <v>232</v>
      </c>
      <c r="L544" s="330">
        <v>70</v>
      </c>
      <c r="M544" s="330">
        <v>10000</v>
      </c>
      <c r="N544" s="330"/>
      <c r="O544" s="330">
        <v>10043</v>
      </c>
      <c r="P544" s="330"/>
      <c r="Q544" s="330">
        <v>27</v>
      </c>
    </row>
    <row r="545" spans="1:27">
      <c r="A545" s="328">
        <v>536</v>
      </c>
      <c r="B545" s="336" t="s">
        <v>645</v>
      </c>
      <c r="C545" s="329"/>
      <c r="D545" s="329"/>
      <c r="E545" s="333" t="s">
        <v>646</v>
      </c>
      <c r="F545" s="328" t="s">
        <v>648</v>
      </c>
      <c r="G545" s="328" t="s">
        <v>644</v>
      </c>
      <c r="H545" s="328" t="s">
        <v>248</v>
      </c>
      <c r="I545" s="328" t="s">
        <v>10</v>
      </c>
      <c r="J545" s="328" t="s">
        <v>647</v>
      </c>
      <c r="K545" s="330">
        <v>225</v>
      </c>
      <c r="L545" s="330">
        <v>0</v>
      </c>
      <c r="M545" s="330">
        <v>28590</v>
      </c>
      <c r="N545" s="330"/>
      <c r="O545" s="330">
        <v>26774</v>
      </c>
      <c r="P545" s="330"/>
      <c r="Q545" s="330">
        <v>1816</v>
      </c>
    </row>
    <row r="546" spans="1:27">
      <c r="A546" s="328">
        <v>537</v>
      </c>
      <c r="B546" s="332" t="s">
        <v>645</v>
      </c>
      <c r="C546" s="333"/>
      <c r="D546" s="333"/>
      <c r="E546" s="332" t="s">
        <v>646</v>
      </c>
      <c r="F546" s="328" t="s">
        <v>648</v>
      </c>
      <c r="G546" s="328" t="s">
        <v>3115</v>
      </c>
      <c r="H546" s="334" t="s">
        <v>248</v>
      </c>
      <c r="I546" s="328" t="s">
        <v>10</v>
      </c>
      <c r="J546" s="328" t="s">
        <v>647</v>
      </c>
      <c r="K546" s="330">
        <v>259</v>
      </c>
      <c r="L546" s="330">
        <v>1345</v>
      </c>
      <c r="M546" s="330">
        <v>0</v>
      </c>
      <c r="N546" s="330"/>
      <c r="O546" s="330">
        <v>1328</v>
      </c>
      <c r="P546" s="330"/>
      <c r="Q546" s="330">
        <v>17</v>
      </c>
    </row>
    <row r="547" spans="1:27">
      <c r="A547" s="328">
        <v>538</v>
      </c>
      <c r="B547" s="347" t="s">
        <v>645</v>
      </c>
      <c r="C547" s="329"/>
      <c r="D547" s="329"/>
      <c r="E547" s="640" t="s">
        <v>3116</v>
      </c>
      <c r="F547" s="348" t="s">
        <v>3117</v>
      </c>
      <c r="G547" s="348" t="s">
        <v>2757</v>
      </c>
      <c r="H547" s="348" t="s">
        <v>291</v>
      </c>
      <c r="I547" s="348" t="s">
        <v>10</v>
      </c>
      <c r="J547" s="348" t="s">
        <v>642</v>
      </c>
      <c r="K547" s="330">
        <v>1000</v>
      </c>
      <c r="L547" s="330">
        <f>23+236+28+24+4992</f>
        <v>5303</v>
      </c>
      <c r="M547" s="330"/>
      <c r="N547" s="330"/>
      <c r="O547" s="330">
        <v>5303</v>
      </c>
      <c r="P547" s="330"/>
      <c r="Q547" s="330"/>
      <c r="R547" s="37"/>
      <c r="T547" s="37"/>
      <c r="U547" s="37"/>
      <c r="V547" s="37"/>
      <c r="W547" s="37"/>
      <c r="X547" s="37"/>
      <c r="Y547" s="37"/>
      <c r="Z547" s="37"/>
      <c r="AA547" s="37"/>
    </row>
    <row r="548" spans="1:27">
      <c r="A548" s="328">
        <v>539</v>
      </c>
      <c r="B548" s="329" t="s">
        <v>645</v>
      </c>
      <c r="C548" s="329"/>
      <c r="D548" s="329"/>
      <c r="E548" s="333" t="s">
        <v>1286</v>
      </c>
      <c r="F548" s="328" t="s">
        <v>1287</v>
      </c>
      <c r="G548" s="328" t="s">
        <v>1288</v>
      </c>
      <c r="H548" s="328" t="s">
        <v>248</v>
      </c>
      <c r="I548" s="328" t="s">
        <v>10</v>
      </c>
      <c r="J548" s="328" t="s">
        <v>647</v>
      </c>
      <c r="K548" s="330">
        <v>750</v>
      </c>
      <c r="L548" s="330">
        <v>0</v>
      </c>
      <c r="M548" s="330">
        <v>16980</v>
      </c>
      <c r="N548" s="330"/>
      <c r="O548" s="330">
        <v>2257</v>
      </c>
      <c r="P548" s="330"/>
      <c r="Q548" s="330">
        <v>14723</v>
      </c>
    </row>
    <row r="549" spans="1:27">
      <c r="A549" s="328">
        <v>540</v>
      </c>
      <c r="B549" s="329" t="s">
        <v>256</v>
      </c>
      <c r="C549" s="329"/>
      <c r="D549" s="329"/>
      <c r="E549" s="333" t="s">
        <v>1274</v>
      </c>
      <c r="F549" s="328" t="s">
        <v>1275</v>
      </c>
      <c r="G549" s="328" t="s">
        <v>1276</v>
      </c>
      <c r="H549" s="328" t="s">
        <v>296</v>
      </c>
      <c r="I549" s="328" t="s">
        <v>12</v>
      </c>
      <c r="J549" s="328" t="s">
        <v>1267</v>
      </c>
      <c r="K549" s="330">
        <v>6800</v>
      </c>
      <c r="L549" s="330">
        <v>0</v>
      </c>
      <c r="M549" s="330">
        <v>1500</v>
      </c>
      <c r="N549" s="330"/>
      <c r="O549" s="330">
        <v>1500</v>
      </c>
      <c r="P549" s="330"/>
      <c r="Q549" s="330">
        <v>0</v>
      </c>
    </row>
    <row r="550" spans="1:27" ht="25.5">
      <c r="A550" s="325">
        <v>541</v>
      </c>
      <c r="B550" s="336" t="s">
        <v>886</v>
      </c>
      <c r="C550" s="333"/>
      <c r="D550" s="333"/>
      <c r="E550" s="636" t="s">
        <v>887</v>
      </c>
      <c r="F550" s="337" t="s">
        <v>890</v>
      </c>
      <c r="G550" s="337" t="s">
        <v>298</v>
      </c>
      <c r="H550" s="337" t="s">
        <v>888</v>
      </c>
      <c r="I550" s="337" t="s">
        <v>891</v>
      </c>
      <c r="J550" s="337" t="s">
        <v>889</v>
      </c>
      <c r="K550" s="330">
        <v>113163</v>
      </c>
      <c r="L550" s="330">
        <v>5</v>
      </c>
      <c r="M550" s="330">
        <v>0</v>
      </c>
      <c r="N550" s="330"/>
      <c r="O550" s="330">
        <v>5</v>
      </c>
      <c r="P550" s="330"/>
      <c r="Q550" s="330">
        <v>0</v>
      </c>
    </row>
    <row r="551" spans="1:27">
      <c r="A551" s="328">
        <v>542</v>
      </c>
      <c r="B551" s="332" t="s">
        <v>2513</v>
      </c>
      <c r="C551" s="333"/>
      <c r="D551" s="333"/>
      <c r="E551" s="332" t="s">
        <v>3118</v>
      </c>
      <c r="F551" s="328" t="s">
        <v>3119</v>
      </c>
      <c r="G551" s="328" t="s">
        <v>298</v>
      </c>
      <c r="H551" s="334" t="s">
        <v>2514</v>
      </c>
      <c r="I551" s="328" t="s">
        <v>891</v>
      </c>
      <c r="J551" s="328" t="s">
        <v>3120</v>
      </c>
      <c r="K551" s="330">
        <v>85381</v>
      </c>
      <c r="L551" s="330">
        <v>20</v>
      </c>
      <c r="M551" s="330">
        <v>0</v>
      </c>
      <c r="N551" s="330"/>
      <c r="O551" s="330">
        <v>7</v>
      </c>
      <c r="P551" s="330"/>
      <c r="Q551" s="330">
        <v>13</v>
      </c>
    </row>
    <row r="552" spans="1:27">
      <c r="A552" s="328">
        <v>543</v>
      </c>
      <c r="B552" s="329" t="s">
        <v>1668</v>
      </c>
      <c r="C552" s="329"/>
      <c r="D552" s="329"/>
      <c r="E552" s="333" t="s">
        <v>1669</v>
      </c>
      <c r="F552" s="355" t="s">
        <v>1670</v>
      </c>
      <c r="G552" s="328" t="s">
        <v>1667</v>
      </c>
      <c r="H552" s="328" t="s">
        <v>869</v>
      </c>
      <c r="I552" s="370" t="s">
        <v>1011</v>
      </c>
      <c r="J552" s="328" t="s">
        <v>547</v>
      </c>
      <c r="K552" s="330">
        <v>1280</v>
      </c>
      <c r="L552" s="330">
        <v>25602</v>
      </c>
      <c r="M552" s="330">
        <v>39000</v>
      </c>
      <c r="N552" s="330"/>
      <c r="O552" s="330">
        <v>57621</v>
      </c>
      <c r="P552" s="330"/>
      <c r="Q552" s="330">
        <v>6981</v>
      </c>
    </row>
    <row r="553" spans="1:27" ht="25.5">
      <c r="A553" s="328">
        <v>544</v>
      </c>
      <c r="B553" s="329" t="s">
        <v>2350</v>
      </c>
      <c r="C553" s="329"/>
      <c r="D553" s="329"/>
      <c r="E553" s="333" t="s">
        <v>148</v>
      </c>
      <c r="F553" s="366" t="s">
        <v>2398</v>
      </c>
      <c r="G553" s="328" t="s">
        <v>2397</v>
      </c>
      <c r="H553" s="371" t="s">
        <v>3121</v>
      </c>
      <c r="I553" s="328" t="s">
        <v>10</v>
      </c>
      <c r="J553" s="328" t="s">
        <v>620</v>
      </c>
      <c r="K553" s="330">
        <v>595</v>
      </c>
      <c r="L553" s="330">
        <v>0</v>
      </c>
      <c r="M553" s="330">
        <v>60000</v>
      </c>
      <c r="N553" s="330"/>
      <c r="O553" s="330">
        <v>38020</v>
      </c>
      <c r="P553" s="330"/>
      <c r="Q553" s="330">
        <v>21980</v>
      </c>
    </row>
    <row r="554" spans="1:27">
      <c r="A554" s="328">
        <v>545</v>
      </c>
      <c r="B554" s="347" t="s">
        <v>3122</v>
      </c>
      <c r="C554" s="329"/>
      <c r="D554" s="329"/>
      <c r="E554" s="640" t="s">
        <v>3123</v>
      </c>
      <c r="F554" s="348" t="s">
        <v>3124</v>
      </c>
      <c r="G554" s="348" t="s">
        <v>3125</v>
      </c>
      <c r="H554" s="348" t="s">
        <v>3126</v>
      </c>
      <c r="I554" s="348" t="s">
        <v>10</v>
      </c>
      <c r="J554" s="348" t="s">
        <v>263</v>
      </c>
      <c r="K554" s="330">
        <v>730</v>
      </c>
      <c r="L554" s="330">
        <f>650+7810+600</f>
        <v>9060</v>
      </c>
      <c r="M554" s="330"/>
      <c r="N554" s="330"/>
      <c r="O554" s="330">
        <v>9060</v>
      </c>
      <c r="P554" s="330"/>
      <c r="Q554" s="330"/>
      <c r="R554" s="37"/>
      <c r="T554" s="37"/>
      <c r="U554" s="37"/>
      <c r="V554" s="37"/>
      <c r="W554" s="37"/>
      <c r="X554" s="37"/>
      <c r="Y554" s="37"/>
      <c r="Z554" s="37"/>
      <c r="AA554" s="37"/>
    </row>
    <row r="555" spans="1:27">
      <c r="A555" s="328">
        <v>546</v>
      </c>
      <c r="B555" s="329" t="s">
        <v>1123</v>
      </c>
      <c r="C555" s="329"/>
      <c r="D555" s="329"/>
      <c r="E555" s="333" t="s">
        <v>1547</v>
      </c>
      <c r="F555" s="328" t="s">
        <v>1549</v>
      </c>
      <c r="G555" s="328" t="s">
        <v>3127</v>
      </c>
      <c r="H555" s="328" t="s">
        <v>310</v>
      </c>
      <c r="I555" s="328" t="s">
        <v>10</v>
      </c>
      <c r="J555" s="328" t="s">
        <v>1548</v>
      </c>
      <c r="K555" s="330">
        <v>3780</v>
      </c>
      <c r="L555" s="330">
        <v>0</v>
      </c>
      <c r="M555" s="330">
        <v>1500</v>
      </c>
      <c r="N555" s="330"/>
      <c r="O555" s="330">
        <v>1500</v>
      </c>
      <c r="P555" s="330"/>
      <c r="Q555" s="330">
        <v>0</v>
      </c>
    </row>
    <row r="556" spans="1:27">
      <c r="A556" s="325">
        <v>547</v>
      </c>
      <c r="B556" s="329" t="s">
        <v>1123</v>
      </c>
      <c r="C556" s="333"/>
      <c r="D556" s="333"/>
      <c r="E556" s="333" t="s">
        <v>1547</v>
      </c>
      <c r="F556" s="328" t="s">
        <v>3128</v>
      </c>
      <c r="G556" s="328" t="s">
        <v>3127</v>
      </c>
      <c r="H556" s="328" t="s">
        <v>310</v>
      </c>
      <c r="I556" s="328" t="s">
        <v>10</v>
      </c>
      <c r="J556" s="328" t="s">
        <v>1548</v>
      </c>
      <c r="K556" s="330">
        <v>4095</v>
      </c>
      <c r="L556" s="330">
        <v>4933</v>
      </c>
      <c r="M556" s="330">
        <v>0</v>
      </c>
      <c r="N556" s="330"/>
      <c r="O556" s="330">
        <v>4887</v>
      </c>
      <c r="P556" s="330"/>
      <c r="Q556" s="330">
        <v>46</v>
      </c>
    </row>
    <row r="557" spans="1:27">
      <c r="A557" s="328">
        <v>548</v>
      </c>
      <c r="B557" s="329" t="s">
        <v>1636</v>
      </c>
      <c r="C557" s="329"/>
      <c r="D557" s="329"/>
      <c r="E557" s="333" t="s">
        <v>1637</v>
      </c>
      <c r="F557" s="328" t="s">
        <v>1639</v>
      </c>
      <c r="G557" s="328" t="s">
        <v>473</v>
      </c>
      <c r="H557" s="328" t="s">
        <v>1638</v>
      </c>
      <c r="I557" s="328" t="s">
        <v>11</v>
      </c>
      <c r="J557" s="328" t="s">
        <v>2700</v>
      </c>
      <c r="K557" s="330">
        <v>100</v>
      </c>
      <c r="L557" s="330">
        <v>366</v>
      </c>
      <c r="M557" s="330">
        <v>183000</v>
      </c>
      <c r="N557" s="330"/>
      <c r="O557" s="330">
        <v>162092</v>
      </c>
      <c r="P557" s="330"/>
      <c r="Q557" s="330">
        <v>21274</v>
      </c>
    </row>
    <row r="558" spans="1:27">
      <c r="A558" s="328">
        <v>549</v>
      </c>
      <c r="B558" s="332" t="s">
        <v>2612</v>
      </c>
      <c r="C558" s="333"/>
      <c r="D558" s="333"/>
      <c r="E558" s="332" t="s">
        <v>3129</v>
      </c>
      <c r="F558" s="328" t="s">
        <v>3130</v>
      </c>
      <c r="G558" s="328" t="s">
        <v>2056</v>
      </c>
      <c r="H558" s="334" t="s">
        <v>2613</v>
      </c>
      <c r="I558" s="328" t="s">
        <v>520</v>
      </c>
      <c r="J558" s="328" t="s">
        <v>3131</v>
      </c>
      <c r="K558" s="330">
        <v>6600</v>
      </c>
      <c r="L558" s="330">
        <v>46</v>
      </c>
      <c r="M558" s="330">
        <v>0</v>
      </c>
      <c r="N558" s="330"/>
      <c r="O558" s="330">
        <v>46</v>
      </c>
      <c r="P558" s="330"/>
      <c r="Q558" s="330">
        <v>0</v>
      </c>
    </row>
    <row r="559" spans="1:27">
      <c r="A559" s="328">
        <v>550</v>
      </c>
      <c r="B559" s="329" t="s">
        <v>2516</v>
      </c>
      <c r="C559" s="333"/>
      <c r="D559" s="333"/>
      <c r="E559" s="333" t="s">
        <v>2515</v>
      </c>
      <c r="F559" s="328" t="s">
        <v>3132</v>
      </c>
      <c r="G559" s="328" t="s">
        <v>3133</v>
      </c>
      <c r="H559" s="328" t="s">
        <v>2517</v>
      </c>
      <c r="I559" s="328" t="s">
        <v>15</v>
      </c>
      <c r="J559" s="328" t="s">
        <v>3131</v>
      </c>
      <c r="K559" s="330">
        <v>17010</v>
      </c>
      <c r="L559" s="330">
        <v>121</v>
      </c>
      <c r="M559" s="330">
        <v>0</v>
      </c>
      <c r="N559" s="330"/>
      <c r="O559" s="330">
        <v>31</v>
      </c>
      <c r="P559" s="330"/>
      <c r="Q559" s="330">
        <v>90</v>
      </c>
    </row>
    <row r="560" spans="1:27">
      <c r="A560" s="328">
        <v>551</v>
      </c>
      <c r="B560" s="332" t="s">
        <v>1697</v>
      </c>
      <c r="C560" s="333"/>
      <c r="D560" s="333"/>
      <c r="E560" s="332" t="s">
        <v>3134</v>
      </c>
      <c r="F560" s="328" t="s">
        <v>3135</v>
      </c>
      <c r="G560" s="328" t="s">
        <v>3136</v>
      </c>
      <c r="H560" s="334" t="s">
        <v>2518</v>
      </c>
      <c r="I560" s="328" t="s">
        <v>11</v>
      </c>
      <c r="J560" s="328" t="s">
        <v>3137</v>
      </c>
      <c r="K560" s="330">
        <v>415</v>
      </c>
      <c r="L560" s="330">
        <v>25787</v>
      </c>
      <c r="M560" s="330">
        <v>0</v>
      </c>
      <c r="N560" s="330"/>
      <c r="O560" s="330">
        <v>25784</v>
      </c>
      <c r="P560" s="330"/>
      <c r="Q560" s="330">
        <v>3</v>
      </c>
    </row>
    <row r="561" spans="1:27" ht="25.5">
      <c r="A561" s="328">
        <v>552</v>
      </c>
      <c r="B561" s="332" t="s">
        <v>52</v>
      </c>
      <c r="C561" s="333"/>
      <c r="D561" s="333"/>
      <c r="E561" s="332" t="s">
        <v>3138</v>
      </c>
      <c r="F561" s="328" t="s">
        <v>2238</v>
      </c>
      <c r="G561" s="328" t="s">
        <v>3139</v>
      </c>
      <c r="H561" s="334" t="s">
        <v>3140</v>
      </c>
      <c r="I561" s="328" t="s">
        <v>18</v>
      </c>
      <c r="J561" s="328" t="s">
        <v>2775</v>
      </c>
      <c r="K561" s="330">
        <v>46200</v>
      </c>
      <c r="L561" s="330">
        <v>495</v>
      </c>
      <c r="M561" s="330">
        <v>0</v>
      </c>
      <c r="N561" s="330"/>
      <c r="O561" s="330">
        <v>495</v>
      </c>
      <c r="P561" s="330"/>
      <c r="Q561" s="330">
        <v>0</v>
      </c>
    </row>
    <row r="562" spans="1:27">
      <c r="A562" s="325">
        <v>553</v>
      </c>
      <c r="B562" s="347" t="s">
        <v>1390</v>
      </c>
      <c r="C562" s="329"/>
      <c r="D562" s="329"/>
      <c r="E562" s="640" t="s">
        <v>3141</v>
      </c>
      <c r="F562" s="348" t="s">
        <v>3142</v>
      </c>
      <c r="G562" s="348" t="s">
        <v>3143</v>
      </c>
      <c r="H562" s="348" t="s">
        <v>3144</v>
      </c>
      <c r="I562" s="348" t="s">
        <v>10</v>
      </c>
      <c r="J562" s="348" t="s">
        <v>3145</v>
      </c>
      <c r="K562" s="330">
        <v>735</v>
      </c>
      <c r="L562" s="330">
        <f>4661+1179+89</f>
        <v>5929</v>
      </c>
      <c r="M562" s="330"/>
      <c r="N562" s="330"/>
      <c r="O562" s="330">
        <v>5929</v>
      </c>
      <c r="P562" s="330"/>
      <c r="Q562" s="330"/>
      <c r="R562" s="37"/>
      <c r="T562" s="37"/>
      <c r="U562" s="37"/>
      <c r="V562" s="37"/>
      <c r="W562" s="37"/>
      <c r="X562" s="37"/>
      <c r="Y562" s="37"/>
      <c r="Z562" s="37"/>
      <c r="AA562" s="37"/>
    </row>
    <row r="563" spans="1:27">
      <c r="A563" s="328">
        <v>554</v>
      </c>
      <c r="B563" s="347" t="s">
        <v>1289</v>
      </c>
      <c r="C563" s="329"/>
      <c r="D563" s="329"/>
      <c r="E563" s="640" t="s">
        <v>3146</v>
      </c>
      <c r="F563" s="348" t="s">
        <v>3147</v>
      </c>
      <c r="G563" s="348" t="s">
        <v>2685</v>
      </c>
      <c r="H563" s="348" t="s">
        <v>1290</v>
      </c>
      <c r="I563" s="348" t="s">
        <v>10</v>
      </c>
      <c r="J563" s="348" t="s">
        <v>3145</v>
      </c>
      <c r="K563" s="330">
        <v>1950</v>
      </c>
      <c r="L563" s="330">
        <f>1959+21</f>
        <v>1980</v>
      </c>
      <c r="M563" s="330"/>
      <c r="N563" s="330"/>
      <c r="O563" s="330">
        <v>1980</v>
      </c>
      <c r="P563" s="330"/>
      <c r="Q563" s="330"/>
      <c r="R563" s="37"/>
      <c r="T563" s="37"/>
      <c r="U563" s="37"/>
      <c r="V563" s="37"/>
      <c r="W563" s="37"/>
      <c r="X563" s="37"/>
      <c r="Y563" s="37"/>
      <c r="Z563" s="37"/>
      <c r="AA563" s="37"/>
    </row>
    <row r="564" spans="1:27">
      <c r="A564" s="328">
        <v>555</v>
      </c>
      <c r="B564" s="331" t="s">
        <v>224</v>
      </c>
      <c r="C564" s="331"/>
      <c r="D564" s="331"/>
      <c r="E564" s="645" t="s">
        <v>224</v>
      </c>
      <c r="F564" s="328" t="s">
        <v>226</v>
      </c>
      <c r="G564" s="328" t="s">
        <v>215</v>
      </c>
      <c r="H564" s="328" t="s">
        <v>225</v>
      </c>
      <c r="I564" s="328" t="s">
        <v>10</v>
      </c>
      <c r="J564" s="328" t="s">
        <v>647</v>
      </c>
      <c r="K564" s="330">
        <v>1450</v>
      </c>
      <c r="L564" s="330">
        <v>0</v>
      </c>
      <c r="M564" s="330">
        <v>600</v>
      </c>
      <c r="N564" s="330"/>
      <c r="O564" s="330">
        <v>130</v>
      </c>
      <c r="P564" s="330"/>
      <c r="Q564" s="330">
        <v>470</v>
      </c>
    </row>
    <row r="565" spans="1:27">
      <c r="A565" s="328">
        <v>556</v>
      </c>
      <c r="B565" s="329" t="s">
        <v>224</v>
      </c>
      <c r="C565" s="333"/>
      <c r="D565" s="333"/>
      <c r="E565" s="333" t="s">
        <v>3148</v>
      </c>
      <c r="F565" s="328" t="s">
        <v>3149</v>
      </c>
      <c r="G565" s="328" t="s">
        <v>449</v>
      </c>
      <c r="H565" s="328" t="s">
        <v>225</v>
      </c>
      <c r="I565" s="328" t="s">
        <v>11</v>
      </c>
      <c r="J565" s="328" t="s">
        <v>842</v>
      </c>
      <c r="K565" s="330">
        <v>1492</v>
      </c>
      <c r="L565" s="330">
        <v>511</v>
      </c>
      <c r="M565" s="330">
        <v>0</v>
      </c>
      <c r="N565" s="330"/>
      <c r="O565" s="330">
        <v>511</v>
      </c>
      <c r="P565" s="330"/>
      <c r="Q565" s="330">
        <v>0</v>
      </c>
    </row>
    <row r="566" spans="1:27">
      <c r="A566" s="328">
        <v>557</v>
      </c>
      <c r="B566" s="332" t="s">
        <v>1119</v>
      </c>
      <c r="C566" s="333"/>
      <c r="D566" s="333"/>
      <c r="E566" s="332" t="s">
        <v>1120</v>
      </c>
      <c r="F566" s="328" t="s">
        <v>1121</v>
      </c>
      <c r="G566" s="328" t="s">
        <v>1122</v>
      </c>
      <c r="H566" s="334" t="s">
        <v>17</v>
      </c>
      <c r="I566" s="328" t="s">
        <v>11</v>
      </c>
      <c r="J566" s="328" t="s">
        <v>814</v>
      </c>
      <c r="K566" s="330">
        <v>6700</v>
      </c>
      <c r="L566" s="330">
        <v>15566</v>
      </c>
      <c r="M566" s="330">
        <v>0</v>
      </c>
      <c r="N566" s="330"/>
      <c r="O566" s="330">
        <v>5277</v>
      </c>
      <c r="P566" s="330"/>
      <c r="Q566" s="330">
        <v>10289</v>
      </c>
    </row>
    <row r="567" spans="1:27">
      <c r="A567" s="328">
        <v>558</v>
      </c>
      <c r="B567" s="342" t="s">
        <v>1522</v>
      </c>
      <c r="C567" s="342"/>
      <c r="D567" s="342"/>
      <c r="E567" s="638" t="s">
        <v>1711</v>
      </c>
      <c r="F567" s="343" t="s">
        <v>1712</v>
      </c>
      <c r="G567" s="343" t="s">
        <v>1698</v>
      </c>
      <c r="H567" s="343" t="s">
        <v>17</v>
      </c>
      <c r="I567" s="343" t="s">
        <v>10</v>
      </c>
      <c r="J567" s="343" t="s">
        <v>1710</v>
      </c>
      <c r="K567" s="330">
        <v>1407</v>
      </c>
      <c r="L567" s="330">
        <v>0</v>
      </c>
      <c r="M567" s="330">
        <v>39960</v>
      </c>
      <c r="N567" s="330"/>
      <c r="O567" s="330">
        <v>24571</v>
      </c>
      <c r="P567" s="330"/>
      <c r="Q567" s="330">
        <v>15389</v>
      </c>
    </row>
    <row r="568" spans="1:27">
      <c r="A568" s="325">
        <v>559</v>
      </c>
      <c r="B568" s="336" t="s">
        <v>256</v>
      </c>
      <c r="C568" s="329"/>
      <c r="D568" s="329"/>
      <c r="E568" s="333" t="s">
        <v>1579</v>
      </c>
      <c r="F568" s="328" t="s">
        <v>1582</v>
      </c>
      <c r="G568" s="328" t="s">
        <v>1578</v>
      </c>
      <c r="H568" s="328" t="s">
        <v>1580</v>
      </c>
      <c r="I568" s="328" t="s">
        <v>13</v>
      </c>
      <c r="J568" s="328" t="s">
        <v>1581</v>
      </c>
      <c r="K568" s="330">
        <v>6500</v>
      </c>
      <c r="L568" s="330">
        <v>8994</v>
      </c>
      <c r="M568" s="330">
        <v>7296</v>
      </c>
      <c r="N568" s="330"/>
      <c r="O568" s="330">
        <v>16290</v>
      </c>
      <c r="P568" s="330"/>
      <c r="Q568" s="330">
        <v>0</v>
      </c>
    </row>
    <row r="569" spans="1:27">
      <c r="A569" s="328">
        <v>560</v>
      </c>
      <c r="B569" s="336" t="s">
        <v>256</v>
      </c>
      <c r="C569" s="329"/>
      <c r="D569" s="329"/>
      <c r="E569" s="333" t="s">
        <v>1579</v>
      </c>
      <c r="F569" s="328" t="s">
        <v>1584</v>
      </c>
      <c r="G569" s="328" t="s">
        <v>1578</v>
      </c>
      <c r="H569" s="328" t="s">
        <v>1583</v>
      </c>
      <c r="I569" s="328" t="s">
        <v>11</v>
      </c>
      <c r="J569" s="328" t="s">
        <v>1046</v>
      </c>
      <c r="K569" s="330">
        <v>12500</v>
      </c>
      <c r="L569" s="330">
        <v>0</v>
      </c>
      <c r="M569" s="330">
        <v>16000</v>
      </c>
      <c r="N569" s="330"/>
      <c r="O569" s="330">
        <v>16000</v>
      </c>
      <c r="P569" s="330"/>
      <c r="Q569" s="330">
        <v>0</v>
      </c>
    </row>
    <row r="570" spans="1:27">
      <c r="A570" s="328">
        <v>561</v>
      </c>
      <c r="B570" s="329" t="s">
        <v>1292</v>
      </c>
      <c r="C570" s="329"/>
      <c r="D570" s="329"/>
      <c r="E570" s="333" t="s">
        <v>1293</v>
      </c>
      <c r="F570" s="328" t="s">
        <v>1296</v>
      </c>
      <c r="G570" s="328" t="s">
        <v>1297</v>
      </c>
      <c r="H570" s="328" t="s">
        <v>1294</v>
      </c>
      <c r="I570" s="328" t="s">
        <v>10</v>
      </c>
      <c r="J570" s="328" t="s">
        <v>1295</v>
      </c>
      <c r="K570" s="330">
        <v>16000</v>
      </c>
      <c r="L570" s="330">
        <v>386</v>
      </c>
      <c r="M570" s="330">
        <v>800</v>
      </c>
      <c r="N570" s="330"/>
      <c r="O570" s="330">
        <v>1084</v>
      </c>
      <c r="P570" s="330"/>
      <c r="Q570" s="330">
        <v>102</v>
      </c>
    </row>
    <row r="571" spans="1:27">
      <c r="A571" s="328">
        <v>562</v>
      </c>
      <c r="B571" s="347" t="s">
        <v>1289</v>
      </c>
      <c r="C571" s="329"/>
      <c r="D571" s="329"/>
      <c r="E571" s="640" t="s">
        <v>3150</v>
      </c>
      <c r="F571" s="348" t="s">
        <v>3151</v>
      </c>
      <c r="G571" s="348" t="s">
        <v>255</v>
      </c>
      <c r="H571" s="348" t="s">
        <v>3152</v>
      </c>
      <c r="I571" s="348" t="s">
        <v>10</v>
      </c>
      <c r="J571" s="348" t="s">
        <v>1329</v>
      </c>
      <c r="K571" s="330">
        <v>559</v>
      </c>
      <c r="L571" s="330">
        <f>4500+2480</f>
        <v>6980</v>
      </c>
      <c r="M571" s="330"/>
      <c r="N571" s="330"/>
      <c r="O571" s="330">
        <f>6980</f>
        <v>6980</v>
      </c>
      <c r="P571" s="330"/>
      <c r="Q571" s="330"/>
      <c r="R571" s="37"/>
      <c r="T571" s="37"/>
      <c r="U571" s="37"/>
      <c r="V571" s="37"/>
      <c r="W571" s="37"/>
      <c r="X571" s="37"/>
      <c r="Y571" s="37"/>
      <c r="Z571" s="37"/>
      <c r="AA571" s="37"/>
    </row>
    <row r="572" spans="1:27" ht="12.75" customHeight="1">
      <c r="A572" s="328">
        <v>563</v>
      </c>
      <c r="B572" s="362" t="s">
        <v>3153</v>
      </c>
      <c r="C572" s="329"/>
      <c r="D572" s="329"/>
      <c r="E572" s="333" t="s">
        <v>3154</v>
      </c>
      <c r="F572" s="372" t="s">
        <v>3155</v>
      </c>
      <c r="G572" s="363" t="s">
        <v>3156</v>
      </c>
      <c r="H572" s="328" t="s">
        <v>3157</v>
      </c>
      <c r="I572" s="328" t="s">
        <v>520</v>
      </c>
      <c r="J572" s="328" t="s">
        <v>2654</v>
      </c>
      <c r="K572" s="330">
        <v>5565</v>
      </c>
      <c r="L572" s="330">
        <v>300</v>
      </c>
      <c r="M572" s="330"/>
      <c r="N572" s="330"/>
      <c r="O572" s="330">
        <v>300</v>
      </c>
      <c r="P572" s="330"/>
      <c r="Q572" s="330"/>
      <c r="R572" s="37"/>
      <c r="T572" s="37"/>
      <c r="U572" s="37"/>
      <c r="V572" s="37"/>
      <c r="W572" s="37"/>
      <c r="X572" s="37"/>
      <c r="Y572" s="37"/>
      <c r="Z572" s="37"/>
      <c r="AA572" s="37"/>
    </row>
    <row r="573" spans="1:27">
      <c r="A573" s="328">
        <v>564</v>
      </c>
      <c r="B573" s="347" t="s">
        <v>353</v>
      </c>
      <c r="C573" s="329"/>
      <c r="D573" s="329"/>
      <c r="E573" s="640" t="s">
        <v>3158</v>
      </c>
      <c r="F573" s="348" t="s">
        <v>3159</v>
      </c>
      <c r="G573" s="348" t="s">
        <v>3160</v>
      </c>
      <c r="H573" s="348" t="s">
        <v>384</v>
      </c>
      <c r="I573" s="348" t="s">
        <v>10</v>
      </c>
      <c r="J573" s="348" t="s">
        <v>642</v>
      </c>
      <c r="K573" s="330">
        <v>4200</v>
      </c>
      <c r="L573" s="330">
        <f>3746+115+315+550</f>
        <v>4726</v>
      </c>
      <c r="M573" s="330"/>
      <c r="N573" s="330"/>
      <c r="O573" s="330">
        <v>4726</v>
      </c>
      <c r="P573" s="330"/>
      <c r="Q573" s="330"/>
      <c r="R573" s="37"/>
      <c r="T573" s="37"/>
      <c r="U573" s="37"/>
      <c r="V573" s="37"/>
      <c r="W573" s="37"/>
      <c r="X573" s="37"/>
      <c r="Y573" s="37"/>
      <c r="Z573" s="37"/>
      <c r="AA573" s="37"/>
    </row>
    <row r="574" spans="1:27">
      <c r="A574" s="325">
        <v>565</v>
      </c>
      <c r="B574" s="347" t="s">
        <v>353</v>
      </c>
      <c r="C574" s="329"/>
      <c r="D574" s="329"/>
      <c r="E574" s="640" t="s">
        <v>3161</v>
      </c>
      <c r="F574" s="348" t="s">
        <v>3162</v>
      </c>
      <c r="G574" s="348" t="s">
        <v>3160</v>
      </c>
      <c r="H574" s="348" t="s">
        <v>3163</v>
      </c>
      <c r="I574" s="348" t="s">
        <v>10</v>
      </c>
      <c r="J574" s="348" t="s">
        <v>642</v>
      </c>
      <c r="K574" s="330">
        <v>2330</v>
      </c>
      <c r="L574" s="330">
        <f>3055+853+22+520+6488</f>
        <v>10938</v>
      </c>
      <c r="M574" s="330"/>
      <c r="N574" s="330"/>
      <c r="O574" s="330">
        <v>10938</v>
      </c>
      <c r="P574" s="330"/>
      <c r="Q574" s="330"/>
      <c r="R574" s="37"/>
      <c r="T574" s="37"/>
      <c r="U574" s="37"/>
      <c r="V574" s="37"/>
      <c r="W574" s="37"/>
      <c r="X574" s="37"/>
      <c r="Y574" s="37"/>
      <c r="Z574" s="37"/>
      <c r="AA574" s="37"/>
    </row>
    <row r="575" spans="1:27">
      <c r="A575" s="328">
        <v>566</v>
      </c>
      <c r="B575" s="329" t="s">
        <v>765</v>
      </c>
      <c r="C575" s="333"/>
      <c r="D575" s="333"/>
      <c r="E575" s="333" t="s">
        <v>766</v>
      </c>
      <c r="F575" s="328" t="s">
        <v>3164</v>
      </c>
      <c r="G575" s="328" t="s">
        <v>769</v>
      </c>
      <c r="H575" s="328" t="s">
        <v>767</v>
      </c>
      <c r="I575" s="328" t="s">
        <v>520</v>
      </c>
      <c r="J575" s="328" t="s">
        <v>768</v>
      </c>
      <c r="K575" s="330">
        <v>10100</v>
      </c>
      <c r="L575" s="330">
        <v>79</v>
      </c>
      <c r="M575" s="330">
        <v>0</v>
      </c>
      <c r="N575" s="330"/>
      <c r="O575" s="330">
        <v>56</v>
      </c>
      <c r="P575" s="330"/>
      <c r="Q575" s="330">
        <v>23</v>
      </c>
    </row>
    <row r="576" spans="1:27">
      <c r="A576" s="328">
        <v>567</v>
      </c>
      <c r="B576" s="336" t="s">
        <v>639</v>
      </c>
      <c r="C576" s="329"/>
      <c r="D576" s="329"/>
      <c r="E576" s="333" t="s">
        <v>1189</v>
      </c>
      <c r="F576" s="328" t="s">
        <v>1191</v>
      </c>
      <c r="G576" s="328" t="s">
        <v>352</v>
      </c>
      <c r="H576" s="328" t="s">
        <v>334</v>
      </c>
      <c r="I576" s="328" t="s">
        <v>11</v>
      </c>
      <c r="J576" s="328" t="s">
        <v>1190</v>
      </c>
      <c r="K576" s="330">
        <v>798</v>
      </c>
      <c r="L576" s="330">
        <v>0</v>
      </c>
      <c r="M576" s="330">
        <v>2280</v>
      </c>
      <c r="N576" s="330"/>
      <c r="O576" s="330">
        <v>1432</v>
      </c>
      <c r="P576" s="330"/>
      <c r="Q576" s="330">
        <v>848</v>
      </c>
    </row>
    <row r="577" spans="1:27">
      <c r="A577" s="328">
        <v>568</v>
      </c>
      <c r="B577" s="329" t="s">
        <v>639</v>
      </c>
      <c r="C577" s="333"/>
      <c r="D577" s="333"/>
      <c r="E577" s="333" t="s">
        <v>1189</v>
      </c>
      <c r="F577" s="328" t="s">
        <v>1191</v>
      </c>
      <c r="G577" s="328" t="s">
        <v>352</v>
      </c>
      <c r="H577" s="328" t="s">
        <v>334</v>
      </c>
      <c r="I577" s="328" t="s">
        <v>11</v>
      </c>
      <c r="J577" s="337" t="s">
        <v>623</v>
      </c>
      <c r="K577" s="330">
        <v>882</v>
      </c>
      <c r="L577" s="330">
        <v>1801</v>
      </c>
      <c r="M577" s="330">
        <v>0</v>
      </c>
      <c r="N577" s="330"/>
      <c r="O577" s="330">
        <v>1257</v>
      </c>
      <c r="P577" s="330"/>
      <c r="Q577" s="330">
        <v>544</v>
      </c>
    </row>
    <row r="578" spans="1:27">
      <c r="A578" s="328">
        <v>569</v>
      </c>
      <c r="B578" s="347" t="s">
        <v>3165</v>
      </c>
      <c r="C578" s="329"/>
      <c r="D578" s="329"/>
      <c r="E578" s="640" t="s">
        <v>3166</v>
      </c>
      <c r="F578" s="348" t="s">
        <v>3167</v>
      </c>
      <c r="G578" s="348" t="s">
        <v>3032</v>
      </c>
      <c r="H578" s="348" t="s">
        <v>387</v>
      </c>
      <c r="I578" s="351" t="s">
        <v>10</v>
      </c>
      <c r="J578" s="348" t="s">
        <v>642</v>
      </c>
      <c r="K578" s="330">
        <v>1020</v>
      </c>
      <c r="L578" s="330">
        <f>23+5313</f>
        <v>5336</v>
      </c>
      <c r="M578" s="330"/>
      <c r="N578" s="330"/>
      <c r="O578" s="330">
        <v>5336</v>
      </c>
      <c r="P578" s="330"/>
      <c r="Q578" s="330"/>
      <c r="R578" s="37"/>
      <c r="T578" s="37"/>
      <c r="U578" s="37"/>
      <c r="V578" s="37"/>
      <c r="W578" s="37"/>
      <c r="X578" s="37"/>
      <c r="Y578" s="37"/>
      <c r="Z578" s="37"/>
      <c r="AA578" s="37"/>
    </row>
    <row r="579" spans="1:27">
      <c r="A579" s="328">
        <v>570</v>
      </c>
      <c r="B579" s="336" t="s">
        <v>992</v>
      </c>
      <c r="C579" s="329"/>
      <c r="D579" s="329"/>
      <c r="E579" s="636" t="s">
        <v>993</v>
      </c>
      <c r="F579" s="337" t="s">
        <v>995</v>
      </c>
      <c r="G579" s="337" t="s">
        <v>979</v>
      </c>
      <c r="H579" s="337" t="s">
        <v>994</v>
      </c>
      <c r="I579" s="337" t="s">
        <v>10</v>
      </c>
      <c r="J579" s="337" t="s">
        <v>623</v>
      </c>
      <c r="K579" s="330">
        <v>780</v>
      </c>
      <c r="L579" s="330">
        <v>0</v>
      </c>
      <c r="M579" s="330">
        <v>45120</v>
      </c>
      <c r="N579" s="330"/>
      <c r="O579" s="330">
        <v>34362</v>
      </c>
      <c r="P579" s="330"/>
      <c r="Q579" s="330">
        <v>10758</v>
      </c>
    </row>
    <row r="580" spans="1:27">
      <c r="A580" s="325">
        <v>571</v>
      </c>
      <c r="B580" s="336" t="s">
        <v>847</v>
      </c>
      <c r="C580" s="329"/>
      <c r="D580" s="329"/>
      <c r="E580" s="333" t="s">
        <v>1430</v>
      </c>
      <c r="F580" s="328" t="s">
        <v>1431</v>
      </c>
      <c r="G580" s="328" t="s">
        <v>1429</v>
      </c>
      <c r="H580" s="328" t="s">
        <v>272</v>
      </c>
      <c r="I580" s="328" t="s">
        <v>10</v>
      </c>
      <c r="J580" s="328" t="s">
        <v>1046</v>
      </c>
      <c r="K580" s="330">
        <v>696</v>
      </c>
      <c r="L580" s="330">
        <v>0</v>
      </c>
      <c r="M580" s="330">
        <v>10000</v>
      </c>
      <c r="N580" s="330"/>
      <c r="O580" s="330">
        <v>5000</v>
      </c>
      <c r="P580" s="330"/>
      <c r="Q580" s="330">
        <v>5000</v>
      </c>
    </row>
    <row r="581" spans="1:27">
      <c r="A581" s="328">
        <v>572</v>
      </c>
      <c r="B581" s="331" t="s">
        <v>353</v>
      </c>
      <c r="C581" s="331"/>
      <c r="D581" s="331"/>
      <c r="E581" s="333" t="s">
        <v>461</v>
      </c>
      <c r="F581" s="328" t="s">
        <v>462</v>
      </c>
      <c r="G581" s="328" t="s">
        <v>458</v>
      </c>
      <c r="H581" s="328" t="s">
        <v>381</v>
      </c>
      <c r="I581" s="328" t="s">
        <v>10</v>
      </c>
      <c r="J581" s="328" t="s">
        <v>642</v>
      </c>
      <c r="K581" s="330">
        <v>1410</v>
      </c>
      <c r="L581" s="330">
        <v>0</v>
      </c>
      <c r="M581" s="330">
        <v>46500</v>
      </c>
      <c r="N581" s="330"/>
      <c r="O581" s="330">
        <v>35768</v>
      </c>
      <c r="P581" s="330"/>
      <c r="Q581" s="330">
        <v>10732</v>
      </c>
    </row>
    <row r="582" spans="1:27">
      <c r="A582" s="328">
        <v>573</v>
      </c>
      <c r="B582" s="331" t="s">
        <v>353</v>
      </c>
      <c r="C582" s="331"/>
      <c r="D582" s="331"/>
      <c r="E582" s="333" t="s">
        <v>353</v>
      </c>
      <c r="F582" s="328" t="s">
        <v>382</v>
      </c>
      <c r="G582" s="328" t="s">
        <v>360</v>
      </c>
      <c r="H582" s="328" t="s">
        <v>381</v>
      </c>
      <c r="I582" s="328" t="s">
        <v>10</v>
      </c>
      <c r="J582" s="328" t="s">
        <v>642</v>
      </c>
      <c r="K582" s="330">
        <v>53</v>
      </c>
      <c r="L582" s="330">
        <v>664</v>
      </c>
      <c r="M582" s="330">
        <v>54000</v>
      </c>
      <c r="N582" s="330"/>
      <c r="O582" s="330">
        <v>54582</v>
      </c>
      <c r="P582" s="330"/>
      <c r="Q582" s="330">
        <v>82</v>
      </c>
    </row>
    <row r="583" spans="1:27">
      <c r="A583" s="328">
        <v>574</v>
      </c>
      <c r="B583" s="347" t="s">
        <v>353</v>
      </c>
      <c r="C583" s="329"/>
      <c r="D583" s="329"/>
      <c r="E583" s="333" t="s">
        <v>3168</v>
      </c>
      <c r="F583" s="348" t="s">
        <v>3169</v>
      </c>
      <c r="G583" s="348" t="s">
        <v>2380</v>
      </c>
      <c r="H583" s="348" t="s">
        <v>384</v>
      </c>
      <c r="I583" s="351" t="s">
        <v>10</v>
      </c>
      <c r="J583" s="348" t="s">
        <v>642</v>
      </c>
      <c r="K583" s="330">
        <v>128</v>
      </c>
      <c r="L583" s="330">
        <f>382+927+3534</f>
        <v>4843</v>
      </c>
      <c r="M583" s="330"/>
      <c r="N583" s="330"/>
      <c r="O583" s="330">
        <v>4843</v>
      </c>
      <c r="P583" s="330"/>
      <c r="Q583" s="330"/>
      <c r="R583" s="37"/>
      <c r="T583" s="37"/>
      <c r="U583" s="37"/>
      <c r="V583" s="37"/>
      <c r="W583" s="37"/>
      <c r="X583" s="37"/>
      <c r="Y583" s="37"/>
      <c r="Z583" s="37"/>
      <c r="AA583" s="37"/>
    </row>
    <row r="584" spans="1:27">
      <c r="A584" s="328">
        <v>575</v>
      </c>
      <c r="B584" s="331" t="s">
        <v>265</v>
      </c>
      <c r="C584" s="331"/>
      <c r="D584" s="331"/>
      <c r="E584" s="333" t="s">
        <v>469</v>
      </c>
      <c r="F584" s="328" t="s">
        <v>470</v>
      </c>
      <c r="G584" s="328" t="s">
        <v>463</v>
      </c>
      <c r="H584" s="328" t="s">
        <v>390</v>
      </c>
      <c r="I584" s="328" t="s">
        <v>10</v>
      </c>
      <c r="J584" s="328" t="s">
        <v>642</v>
      </c>
      <c r="K584" s="330">
        <v>900</v>
      </c>
      <c r="L584" s="330">
        <v>0</v>
      </c>
      <c r="M584" s="330">
        <v>30990</v>
      </c>
      <c r="N584" s="330"/>
      <c r="O584" s="330">
        <v>15538</v>
      </c>
      <c r="P584" s="330"/>
      <c r="Q584" s="330">
        <v>15452</v>
      </c>
    </row>
    <row r="585" spans="1:27" ht="25.5">
      <c r="A585" s="328">
        <v>576</v>
      </c>
      <c r="B585" s="336" t="s">
        <v>3170</v>
      </c>
      <c r="C585" s="329"/>
      <c r="D585" s="329"/>
      <c r="E585" s="333" t="s">
        <v>1594</v>
      </c>
      <c r="F585" s="328" t="s">
        <v>1597</v>
      </c>
      <c r="G585" s="328" t="s">
        <v>1578</v>
      </c>
      <c r="H585" s="328" t="s">
        <v>1595</v>
      </c>
      <c r="I585" s="328" t="s">
        <v>658</v>
      </c>
      <c r="J585" s="328" t="s">
        <v>1596</v>
      </c>
      <c r="K585" s="330">
        <v>37000</v>
      </c>
      <c r="L585" s="330">
        <v>48</v>
      </c>
      <c r="M585" s="330">
        <v>520</v>
      </c>
      <c r="N585" s="330"/>
      <c r="O585" s="330">
        <v>468</v>
      </c>
      <c r="P585" s="330"/>
      <c r="Q585" s="330">
        <v>100</v>
      </c>
    </row>
    <row r="586" spans="1:27">
      <c r="A586" s="325">
        <v>577</v>
      </c>
      <c r="B586" s="336" t="s">
        <v>2507</v>
      </c>
      <c r="C586" s="329"/>
      <c r="D586" s="329"/>
      <c r="E586" s="333" t="s">
        <v>1569</v>
      </c>
      <c r="F586" s="328" t="s">
        <v>1572</v>
      </c>
      <c r="G586" s="328" t="s">
        <v>1573</v>
      </c>
      <c r="H586" s="328" t="s">
        <v>1570</v>
      </c>
      <c r="I586" s="328" t="s">
        <v>13</v>
      </c>
      <c r="J586" s="328" t="s">
        <v>1571</v>
      </c>
      <c r="K586" s="330">
        <v>2800</v>
      </c>
      <c r="L586" s="330">
        <v>23248</v>
      </c>
      <c r="M586" s="330">
        <v>21700</v>
      </c>
      <c r="N586" s="330"/>
      <c r="O586" s="330">
        <v>44907</v>
      </c>
      <c r="P586" s="330"/>
      <c r="Q586" s="330">
        <v>41</v>
      </c>
    </row>
    <row r="587" spans="1:27">
      <c r="A587" s="328">
        <v>578</v>
      </c>
      <c r="B587" s="332" t="s">
        <v>2507</v>
      </c>
      <c r="C587" s="333"/>
      <c r="D587" s="333"/>
      <c r="E587" s="332" t="s">
        <v>3171</v>
      </c>
      <c r="F587" s="328" t="s">
        <v>3172</v>
      </c>
      <c r="G587" s="328" t="s">
        <v>1573</v>
      </c>
      <c r="H587" s="334" t="s">
        <v>3173</v>
      </c>
      <c r="I587" s="328" t="s">
        <v>13</v>
      </c>
      <c r="J587" s="328" t="s">
        <v>1571</v>
      </c>
      <c r="K587" s="330">
        <v>2200</v>
      </c>
      <c r="L587" s="330">
        <v>8417</v>
      </c>
      <c r="M587" s="330">
        <v>0</v>
      </c>
      <c r="N587" s="330"/>
      <c r="O587" s="330">
        <v>8417</v>
      </c>
      <c r="P587" s="330"/>
      <c r="Q587" s="330">
        <v>0</v>
      </c>
    </row>
    <row r="588" spans="1:27">
      <c r="A588" s="328">
        <v>579</v>
      </c>
      <c r="B588" s="336" t="s">
        <v>821</v>
      </c>
      <c r="C588" s="329"/>
      <c r="D588" s="329"/>
      <c r="E588" s="333" t="s">
        <v>822</v>
      </c>
      <c r="F588" s="328" t="s">
        <v>823</v>
      </c>
      <c r="G588" s="328" t="s">
        <v>806</v>
      </c>
      <c r="H588" s="328" t="s">
        <v>272</v>
      </c>
      <c r="I588" s="328" t="s">
        <v>11</v>
      </c>
      <c r="J588" s="328" t="s">
        <v>804</v>
      </c>
      <c r="K588" s="330">
        <v>147</v>
      </c>
      <c r="L588" s="330">
        <v>8865</v>
      </c>
      <c r="M588" s="330">
        <v>4500</v>
      </c>
      <c r="N588" s="330"/>
      <c r="O588" s="330">
        <v>10657</v>
      </c>
      <c r="P588" s="330"/>
      <c r="Q588" s="330">
        <v>2708</v>
      </c>
    </row>
    <row r="589" spans="1:27">
      <c r="A589" s="328">
        <v>580</v>
      </c>
      <c r="B589" s="331" t="s">
        <v>270</v>
      </c>
      <c r="C589" s="331"/>
      <c r="D589" s="331"/>
      <c r="E589" s="333" t="s">
        <v>271</v>
      </c>
      <c r="F589" s="328" t="s">
        <v>273</v>
      </c>
      <c r="G589" s="328" t="s">
        <v>255</v>
      </c>
      <c r="H589" s="328" t="s">
        <v>272</v>
      </c>
      <c r="I589" s="328" t="s">
        <v>10</v>
      </c>
      <c r="J589" s="328" t="s">
        <v>647</v>
      </c>
      <c r="K589" s="330">
        <v>609</v>
      </c>
      <c r="L589" s="330">
        <v>5</v>
      </c>
      <c r="M589" s="330">
        <v>0</v>
      </c>
      <c r="N589" s="330"/>
      <c r="O589" s="330">
        <v>5</v>
      </c>
      <c r="P589" s="330"/>
      <c r="Q589" s="330">
        <v>0</v>
      </c>
    </row>
    <row r="590" spans="1:27">
      <c r="A590" s="328">
        <v>581</v>
      </c>
      <c r="B590" s="329" t="s">
        <v>265</v>
      </c>
      <c r="C590" s="333"/>
      <c r="D590" s="333"/>
      <c r="E590" s="333" t="s">
        <v>386</v>
      </c>
      <c r="F590" s="328" t="s">
        <v>388</v>
      </c>
      <c r="G590" s="328" t="s">
        <v>360</v>
      </c>
      <c r="H590" s="328" t="s">
        <v>387</v>
      </c>
      <c r="I590" s="328" t="s">
        <v>10</v>
      </c>
      <c r="J590" s="328" t="s">
        <v>642</v>
      </c>
      <c r="K590" s="330">
        <v>886</v>
      </c>
      <c r="L590" s="330">
        <v>48561</v>
      </c>
      <c r="M590" s="330">
        <v>0</v>
      </c>
      <c r="N590" s="330"/>
      <c r="O590" s="330">
        <v>46352</v>
      </c>
      <c r="P590" s="330"/>
      <c r="Q590" s="330">
        <v>2209</v>
      </c>
    </row>
    <row r="591" spans="1:27">
      <c r="A591" s="328">
        <v>582</v>
      </c>
      <c r="B591" s="331" t="s">
        <v>265</v>
      </c>
      <c r="C591" s="331"/>
      <c r="D591" s="331"/>
      <c r="E591" s="333" t="s">
        <v>389</v>
      </c>
      <c r="F591" s="328" t="s">
        <v>391</v>
      </c>
      <c r="G591" s="328" t="s">
        <v>360</v>
      </c>
      <c r="H591" s="328" t="s">
        <v>390</v>
      </c>
      <c r="I591" s="328" t="s">
        <v>10</v>
      </c>
      <c r="J591" s="328" t="s">
        <v>642</v>
      </c>
      <c r="K591" s="330">
        <v>230</v>
      </c>
      <c r="L591" s="330">
        <v>5541</v>
      </c>
      <c r="M591" s="330">
        <v>34500</v>
      </c>
      <c r="N591" s="330"/>
      <c r="O591" s="330">
        <v>40041</v>
      </c>
      <c r="P591" s="330"/>
      <c r="Q591" s="330">
        <v>0</v>
      </c>
    </row>
    <row r="592" spans="1:27">
      <c r="A592" s="325">
        <v>583</v>
      </c>
      <c r="B592" s="329" t="s">
        <v>1356</v>
      </c>
      <c r="C592" s="333"/>
      <c r="D592" s="333"/>
      <c r="E592" s="333" t="s">
        <v>1766</v>
      </c>
      <c r="F592" s="328" t="s">
        <v>3174</v>
      </c>
      <c r="G592" s="328" t="s">
        <v>1763</v>
      </c>
      <c r="H592" s="328" t="s">
        <v>1767</v>
      </c>
      <c r="I592" s="328" t="s">
        <v>628</v>
      </c>
      <c r="J592" s="328" t="s">
        <v>1743</v>
      </c>
      <c r="K592" s="330">
        <v>1544</v>
      </c>
      <c r="L592" s="330">
        <v>495</v>
      </c>
      <c r="M592" s="330">
        <v>0</v>
      </c>
      <c r="N592" s="330"/>
      <c r="O592" s="330">
        <v>72</v>
      </c>
      <c r="P592" s="330"/>
      <c r="Q592" s="330">
        <v>423</v>
      </c>
    </row>
    <row r="593" spans="1:27">
      <c r="A593" s="328">
        <v>584</v>
      </c>
      <c r="B593" s="329" t="s">
        <v>442</v>
      </c>
      <c r="C593" s="333"/>
      <c r="D593" s="333"/>
      <c r="E593" s="333" t="s">
        <v>442</v>
      </c>
      <c r="F593" s="328" t="s">
        <v>3175</v>
      </c>
      <c r="G593" s="328" t="s">
        <v>2903</v>
      </c>
      <c r="H593" s="328" t="s">
        <v>272</v>
      </c>
      <c r="I593" s="328" t="s">
        <v>10</v>
      </c>
      <c r="J593" s="328" t="s">
        <v>642</v>
      </c>
      <c r="K593" s="330">
        <v>118</v>
      </c>
      <c r="L593" s="330">
        <v>118</v>
      </c>
      <c r="M593" s="330">
        <v>0</v>
      </c>
      <c r="N593" s="330"/>
      <c r="O593" s="330">
        <v>112</v>
      </c>
      <c r="P593" s="330"/>
      <c r="Q593" s="330">
        <v>6</v>
      </c>
    </row>
    <row r="594" spans="1:27">
      <c r="A594" s="328">
        <v>585</v>
      </c>
      <c r="B594" s="329" t="s">
        <v>3176</v>
      </c>
      <c r="C594" s="329"/>
      <c r="D594" s="329"/>
      <c r="E594" s="333" t="s">
        <v>2582</v>
      </c>
      <c r="F594" s="328" t="s">
        <v>3177</v>
      </c>
      <c r="G594" s="328" t="s">
        <v>3178</v>
      </c>
      <c r="H594" s="328" t="s">
        <v>272</v>
      </c>
      <c r="I594" s="328" t="s">
        <v>10</v>
      </c>
      <c r="J594" s="328" t="s">
        <v>3179</v>
      </c>
      <c r="K594" s="330">
        <v>116</v>
      </c>
      <c r="L594" s="330">
        <v>189</v>
      </c>
      <c r="M594" s="330">
        <v>0</v>
      </c>
      <c r="N594" s="330"/>
      <c r="O594" s="330">
        <v>173</v>
      </c>
      <c r="P594" s="330"/>
      <c r="Q594" s="330">
        <v>16</v>
      </c>
    </row>
    <row r="595" spans="1:27">
      <c r="A595" s="328">
        <v>586</v>
      </c>
      <c r="B595" s="331" t="s">
        <v>442</v>
      </c>
      <c r="C595" s="331"/>
      <c r="D595" s="331"/>
      <c r="E595" s="645" t="s">
        <v>443</v>
      </c>
      <c r="F595" s="328" t="s">
        <v>446</v>
      </c>
      <c r="G595" s="328" t="s">
        <v>437</v>
      </c>
      <c r="H595" s="328" t="s">
        <v>444</v>
      </c>
      <c r="I595" s="328" t="s">
        <v>15</v>
      </c>
      <c r="J595" s="328" t="s">
        <v>445</v>
      </c>
      <c r="K595" s="330">
        <v>8820</v>
      </c>
      <c r="L595" s="330">
        <v>0</v>
      </c>
      <c r="M595" s="330">
        <v>200</v>
      </c>
      <c r="N595" s="330"/>
      <c r="O595" s="330">
        <v>62</v>
      </c>
      <c r="P595" s="330"/>
      <c r="Q595" s="330">
        <v>138</v>
      </c>
    </row>
    <row r="596" spans="1:27">
      <c r="A596" s="328">
        <v>587</v>
      </c>
      <c r="B596" s="356" t="s">
        <v>1661</v>
      </c>
      <c r="C596" s="329"/>
      <c r="D596" s="329"/>
      <c r="E596" s="333" t="s">
        <v>1662</v>
      </c>
      <c r="F596" s="328" t="s">
        <v>1663</v>
      </c>
      <c r="G596" s="361" t="s">
        <v>479</v>
      </c>
      <c r="H596" s="351" t="s">
        <v>994</v>
      </c>
      <c r="I596" s="361" t="s">
        <v>10</v>
      </c>
      <c r="J596" s="351" t="s">
        <v>1642</v>
      </c>
      <c r="K596" s="330">
        <v>590</v>
      </c>
      <c r="L596" s="330">
        <v>0</v>
      </c>
      <c r="M596" s="330">
        <v>30912</v>
      </c>
      <c r="N596" s="330"/>
      <c r="O596" s="330">
        <v>30912</v>
      </c>
      <c r="P596" s="330"/>
      <c r="Q596" s="330">
        <v>0</v>
      </c>
    </row>
    <row r="597" spans="1:27">
      <c r="A597" s="328">
        <v>588</v>
      </c>
      <c r="B597" s="336" t="s">
        <v>1522</v>
      </c>
      <c r="C597" s="329"/>
      <c r="D597" s="329"/>
      <c r="E597" s="333" t="s">
        <v>1523</v>
      </c>
      <c r="F597" s="328" t="s">
        <v>1524</v>
      </c>
      <c r="G597" s="328" t="s">
        <v>1525</v>
      </c>
      <c r="H597" s="328" t="s">
        <v>225</v>
      </c>
      <c r="I597" s="328" t="s">
        <v>10</v>
      </c>
      <c r="J597" s="328" t="s">
        <v>538</v>
      </c>
      <c r="K597" s="330">
        <v>945</v>
      </c>
      <c r="L597" s="330">
        <v>0</v>
      </c>
      <c r="M597" s="330">
        <v>30000</v>
      </c>
      <c r="N597" s="330"/>
      <c r="O597" s="330">
        <v>27635</v>
      </c>
      <c r="P597" s="330"/>
      <c r="Q597" s="330">
        <v>2365</v>
      </c>
    </row>
    <row r="598" spans="1:27">
      <c r="A598" s="325">
        <v>589</v>
      </c>
      <c r="B598" s="347" t="s">
        <v>347</v>
      </c>
      <c r="C598" s="329"/>
      <c r="D598" s="329"/>
      <c r="E598" s="333" t="s">
        <v>3180</v>
      </c>
      <c r="F598" s="348" t="s">
        <v>3181</v>
      </c>
      <c r="G598" s="348" t="s">
        <v>3182</v>
      </c>
      <c r="H598" s="348" t="s">
        <v>327</v>
      </c>
      <c r="I598" s="351" t="s">
        <v>10</v>
      </c>
      <c r="J598" s="348" t="s">
        <v>642</v>
      </c>
      <c r="K598" s="330">
        <v>92</v>
      </c>
      <c r="L598" s="330">
        <v>613</v>
      </c>
      <c r="M598" s="330"/>
      <c r="N598" s="330"/>
      <c r="O598" s="330">
        <v>613</v>
      </c>
      <c r="P598" s="330"/>
      <c r="Q598" s="330"/>
      <c r="R598" s="37"/>
      <c r="T598" s="37"/>
      <c r="U598" s="37"/>
      <c r="V598" s="37"/>
      <c r="W598" s="37"/>
      <c r="X598" s="37"/>
      <c r="Y598" s="37"/>
      <c r="Z598" s="37"/>
      <c r="AA598" s="37"/>
    </row>
    <row r="599" spans="1:27">
      <c r="A599" s="328">
        <v>590</v>
      </c>
      <c r="B599" s="331" t="s">
        <v>236</v>
      </c>
      <c r="C599" s="331"/>
      <c r="D599" s="331"/>
      <c r="E599" s="333" t="s">
        <v>237</v>
      </c>
      <c r="F599" s="328" t="s">
        <v>239</v>
      </c>
      <c r="G599" s="328" t="s">
        <v>240</v>
      </c>
      <c r="H599" s="328" t="s">
        <v>238</v>
      </c>
      <c r="I599" s="328" t="s">
        <v>10</v>
      </c>
      <c r="J599" s="328" t="s">
        <v>642</v>
      </c>
      <c r="K599" s="330">
        <v>136</v>
      </c>
      <c r="L599" s="330">
        <v>625</v>
      </c>
      <c r="M599" s="330">
        <v>10000</v>
      </c>
      <c r="N599" s="330"/>
      <c r="O599" s="330">
        <v>10625</v>
      </c>
      <c r="P599" s="330"/>
      <c r="Q599" s="330">
        <v>0</v>
      </c>
    </row>
    <row r="600" spans="1:27">
      <c r="A600" s="328">
        <v>591</v>
      </c>
      <c r="B600" s="342" t="s">
        <v>1702</v>
      </c>
      <c r="C600" s="342"/>
      <c r="D600" s="342"/>
      <c r="E600" s="638" t="s">
        <v>1703</v>
      </c>
      <c r="F600" s="353" t="s">
        <v>1704</v>
      </c>
      <c r="G600" s="343" t="s">
        <v>1705</v>
      </c>
      <c r="H600" s="343" t="s">
        <v>238</v>
      </c>
      <c r="I600" s="343" t="s">
        <v>10</v>
      </c>
      <c r="J600" s="343" t="s">
        <v>1239</v>
      </c>
      <c r="K600" s="330">
        <v>693</v>
      </c>
      <c r="L600" s="330">
        <v>28757</v>
      </c>
      <c r="M600" s="330">
        <v>0</v>
      </c>
      <c r="N600" s="330"/>
      <c r="O600" s="330">
        <v>6286</v>
      </c>
      <c r="P600" s="330"/>
      <c r="Q600" s="330">
        <v>22471</v>
      </c>
    </row>
    <row r="601" spans="1:27">
      <c r="A601" s="328">
        <v>592</v>
      </c>
      <c r="B601" s="329" t="s">
        <v>1419</v>
      </c>
      <c r="C601" s="333"/>
      <c r="D601" s="333"/>
      <c r="E601" s="333" t="s">
        <v>2519</v>
      </c>
      <c r="F601" s="328" t="s">
        <v>3183</v>
      </c>
      <c r="G601" s="328" t="s">
        <v>1268</v>
      </c>
      <c r="H601" s="328" t="s">
        <v>1421</v>
      </c>
      <c r="I601" s="343" t="s">
        <v>10</v>
      </c>
      <c r="J601" s="328" t="s">
        <v>1350</v>
      </c>
      <c r="K601" s="330">
        <v>5000</v>
      </c>
      <c r="L601" s="330">
        <v>10830</v>
      </c>
      <c r="M601" s="330">
        <v>0</v>
      </c>
      <c r="N601" s="330"/>
      <c r="O601" s="330">
        <v>3901</v>
      </c>
      <c r="P601" s="330"/>
      <c r="Q601" s="330">
        <v>6929</v>
      </c>
    </row>
    <row r="602" spans="1:27">
      <c r="A602" s="328">
        <v>593</v>
      </c>
      <c r="B602" s="336" t="s">
        <v>1999</v>
      </c>
      <c r="C602" s="329"/>
      <c r="D602" s="329"/>
      <c r="E602" s="333" t="s">
        <v>2000</v>
      </c>
      <c r="F602" s="328" t="s">
        <v>2002</v>
      </c>
      <c r="G602" s="328" t="s">
        <v>1953</v>
      </c>
      <c r="H602" s="328" t="s">
        <v>2001</v>
      </c>
      <c r="I602" s="328" t="s">
        <v>11</v>
      </c>
      <c r="J602" s="328" t="s">
        <v>842</v>
      </c>
      <c r="K602" s="330">
        <v>3465</v>
      </c>
      <c r="L602" s="330">
        <v>0</v>
      </c>
      <c r="M602" s="330">
        <v>55800</v>
      </c>
      <c r="N602" s="330"/>
      <c r="O602" s="330">
        <v>37346</v>
      </c>
      <c r="P602" s="330"/>
      <c r="Q602" s="330">
        <v>18454</v>
      </c>
    </row>
    <row r="603" spans="1:27">
      <c r="A603" s="328">
        <v>594</v>
      </c>
      <c r="B603" s="338" t="s">
        <v>2115</v>
      </c>
      <c r="C603" s="329"/>
      <c r="D603" s="329"/>
      <c r="E603" s="333" t="s">
        <v>2116</v>
      </c>
      <c r="F603" s="328" t="s">
        <v>2118</v>
      </c>
      <c r="G603" s="328" t="s">
        <v>2036</v>
      </c>
      <c r="H603" s="328" t="s">
        <v>2117</v>
      </c>
      <c r="I603" s="328" t="s">
        <v>10</v>
      </c>
      <c r="J603" s="328" t="s">
        <v>626</v>
      </c>
      <c r="K603" s="330">
        <v>10387</v>
      </c>
      <c r="L603" s="330">
        <v>650</v>
      </c>
      <c r="M603" s="330">
        <v>13980</v>
      </c>
      <c r="N603" s="330"/>
      <c r="O603" s="330">
        <v>5753</v>
      </c>
      <c r="P603" s="330"/>
      <c r="Q603" s="330">
        <v>8877</v>
      </c>
    </row>
    <row r="604" spans="1:27" ht="51" customHeight="1">
      <c r="A604" s="325">
        <v>595</v>
      </c>
      <c r="B604" s="329" t="s">
        <v>588</v>
      </c>
      <c r="C604" s="333"/>
      <c r="D604" s="333"/>
      <c r="E604" s="333" t="s">
        <v>2520</v>
      </c>
      <c r="F604" s="328" t="s">
        <v>3184</v>
      </c>
      <c r="G604" s="328" t="s">
        <v>3185</v>
      </c>
      <c r="H604" s="328" t="s">
        <v>267</v>
      </c>
      <c r="I604" s="328" t="s">
        <v>10</v>
      </c>
      <c r="J604" s="328" t="s">
        <v>547</v>
      </c>
      <c r="K604" s="330">
        <v>10349</v>
      </c>
      <c r="L604" s="330">
        <v>4263</v>
      </c>
      <c r="M604" s="330">
        <v>0</v>
      </c>
      <c r="N604" s="330"/>
      <c r="O604" s="330">
        <v>4191</v>
      </c>
      <c r="P604" s="330"/>
      <c r="Q604" s="330">
        <v>72</v>
      </c>
    </row>
    <row r="605" spans="1:27">
      <c r="A605" s="328">
        <v>596</v>
      </c>
      <c r="B605" s="347" t="s">
        <v>802</v>
      </c>
      <c r="C605" s="329"/>
      <c r="D605" s="329"/>
      <c r="E605" s="640" t="s">
        <v>3186</v>
      </c>
      <c r="F605" s="348" t="s">
        <v>3187</v>
      </c>
      <c r="G605" s="348" t="s">
        <v>3188</v>
      </c>
      <c r="H605" s="348" t="s">
        <v>225</v>
      </c>
      <c r="I605" s="348" t="s">
        <v>10</v>
      </c>
      <c r="J605" s="348" t="s">
        <v>1350</v>
      </c>
      <c r="K605" s="330">
        <v>2793</v>
      </c>
      <c r="L605" s="330">
        <f>3560+3240+700+1431</f>
        <v>8931</v>
      </c>
      <c r="M605" s="330"/>
      <c r="N605" s="330"/>
      <c r="O605" s="330">
        <v>8931</v>
      </c>
      <c r="P605" s="330"/>
      <c r="Q605" s="330"/>
      <c r="R605" s="37"/>
      <c r="T605" s="37"/>
      <c r="U605" s="37"/>
      <c r="V605" s="37"/>
      <c r="W605" s="37"/>
      <c r="X605" s="37"/>
      <c r="Y605" s="37"/>
      <c r="Z605" s="37"/>
      <c r="AA605" s="37"/>
    </row>
    <row r="606" spans="1:27">
      <c r="A606" s="328">
        <v>597</v>
      </c>
      <c r="B606" s="329" t="s">
        <v>683</v>
      </c>
      <c r="C606" s="333"/>
      <c r="D606" s="333"/>
      <c r="E606" s="333" t="s">
        <v>2583</v>
      </c>
      <c r="F606" s="328" t="s">
        <v>3189</v>
      </c>
      <c r="G606" s="328" t="s">
        <v>1449</v>
      </c>
      <c r="H606" s="328" t="s">
        <v>1918</v>
      </c>
      <c r="I606" s="328" t="s">
        <v>12</v>
      </c>
      <c r="J606" s="328" t="s">
        <v>3190</v>
      </c>
      <c r="K606" s="330">
        <v>1638</v>
      </c>
      <c r="L606" s="330">
        <v>279</v>
      </c>
      <c r="M606" s="330">
        <v>0</v>
      </c>
      <c r="N606" s="330"/>
      <c r="O606" s="330">
        <v>265</v>
      </c>
      <c r="P606" s="330"/>
      <c r="Q606" s="330">
        <v>14</v>
      </c>
    </row>
    <row r="607" spans="1:27">
      <c r="A607" s="328">
        <v>598</v>
      </c>
      <c r="B607" s="329" t="s">
        <v>2618</v>
      </c>
      <c r="C607" s="333"/>
      <c r="D607" s="333"/>
      <c r="E607" s="333" t="s">
        <v>2617</v>
      </c>
      <c r="F607" s="328" t="s">
        <v>3191</v>
      </c>
      <c r="G607" s="328" t="s">
        <v>2909</v>
      </c>
      <c r="H607" s="328" t="s">
        <v>2619</v>
      </c>
      <c r="I607" s="328" t="s">
        <v>628</v>
      </c>
      <c r="J607" s="328" t="s">
        <v>241</v>
      </c>
      <c r="K607" s="330">
        <v>15380</v>
      </c>
      <c r="L607" s="330">
        <v>15</v>
      </c>
      <c r="M607" s="330">
        <v>0</v>
      </c>
      <c r="N607" s="330"/>
      <c r="O607" s="330">
        <v>0</v>
      </c>
      <c r="P607" s="330"/>
      <c r="Q607" s="330">
        <v>15</v>
      </c>
    </row>
    <row r="608" spans="1:27">
      <c r="A608" s="328">
        <v>599</v>
      </c>
      <c r="B608" s="329" t="s">
        <v>683</v>
      </c>
      <c r="C608" s="333"/>
      <c r="D608" s="333"/>
      <c r="E608" s="333" t="s">
        <v>2584</v>
      </c>
      <c r="F608" s="328" t="s">
        <v>3192</v>
      </c>
      <c r="G608" s="328" t="s">
        <v>1449</v>
      </c>
      <c r="H608" s="328" t="s">
        <v>2585</v>
      </c>
      <c r="I608" s="334" t="s">
        <v>10</v>
      </c>
      <c r="J608" s="328" t="s">
        <v>3193</v>
      </c>
      <c r="K608" s="330">
        <v>2709</v>
      </c>
      <c r="L608" s="330">
        <v>4464</v>
      </c>
      <c r="M608" s="330">
        <v>0</v>
      </c>
      <c r="N608" s="330"/>
      <c r="O608" s="330">
        <v>4464</v>
      </c>
      <c r="P608" s="330"/>
      <c r="Q608" s="330">
        <v>0</v>
      </c>
    </row>
    <row r="609" spans="1:27">
      <c r="A609" s="328">
        <v>600</v>
      </c>
      <c r="B609" s="336" t="s">
        <v>1450</v>
      </c>
      <c r="C609" s="329"/>
      <c r="D609" s="329"/>
      <c r="E609" s="333" t="s">
        <v>1451</v>
      </c>
      <c r="F609" s="328" t="s">
        <v>1454</v>
      </c>
      <c r="G609" s="328" t="s">
        <v>1449</v>
      </c>
      <c r="H609" s="328" t="s">
        <v>1452</v>
      </c>
      <c r="I609" s="328" t="s">
        <v>10</v>
      </c>
      <c r="J609" s="328" t="s">
        <v>1453</v>
      </c>
      <c r="K609" s="330">
        <v>3024</v>
      </c>
      <c r="L609" s="330">
        <v>0</v>
      </c>
      <c r="M609" s="330">
        <v>31640</v>
      </c>
      <c r="N609" s="330"/>
      <c r="O609" s="330">
        <v>30756</v>
      </c>
      <c r="P609" s="330"/>
      <c r="Q609" s="330">
        <v>884</v>
      </c>
    </row>
    <row r="610" spans="1:27">
      <c r="A610" s="325">
        <v>601</v>
      </c>
      <c r="B610" s="329" t="s">
        <v>683</v>
      </c>
      <c r="C610" s="333"/>
      <c r="D610" s="333"/>
      <c r="E610" s="332" t="s">
        <v>3194</v>
      </c>
      <c r="F610" s="328" t="s">
        <v>1454</v>
      </c>
      <c r="G610" s="328" t="s">
        <v>1449</v>
      </c>
      <c r="H610" s="328" t="s">
        <v>2586</v>
      </c>
      <c r="I610" s="328" t="s">
        <v>10</v>
      </c>
      <c r="J610" s="328" t="s">
        <v>3193</v>
      </c>
      <c r="K610" s="330">
        <v>3900</v>
      </c>
      <c r="L610" s="330">
        <v>8019</v>
      </c>
      <c r="M610" s="330">
        <v>0</v>
      </c>
      <c r="N610" s="330"/>
      <c r="O610" s="330">
        <v>8001</v>
      </c>
      <c r="P610" s="330"/>
      <c r="Q610" s="330">
        <v>18</v>
      </c>
    </row>
    <row r="611" spans="1:27">
      <c r="A611" s="328">
        <v>602</v>
      </c>
      <c r="B611" s="336" t="s">
        <v>1970</v>
      </c>
      <c r="C611" s="329"/>
      <c r="D611" s="329"/>
      <c r="E611" s="333" t="s">
        <v>1971</v>
      </c>
      <c r="F611" s="328" t="s">
        <v>1973</v>
      </c>
      <c r="G611" s="328" t="s">
        <v>1953</v>
      </c>
      <c r="H611" s="328" t="s">
        <v>1972</v>
      </c>
      <c r="I611" s="328" t="s">
        <v>11</v>
      </c>
      <c r="J611" s="328" t="s">
        <v>842</v>
      </c>
      <c r="K611" s="330">
        <v>1950</v>
      </c>
      <c r="L611" s="330">
        <v>7840</v>
      </c>
      <c r="M611" s="330">
        <v>0</v>
      </c>
      <c r="N611" s="330"/>
      <c r="O611" s="330">
        <v>931</v>
      </c>
      <c r="P611" s="330"/>
      <c r="Q611" s="330">
        <v>6909</v>
      </c>
    </row>
    <row r="612" spans="1:27" ht="25.5">
      <c r="A612" s="328">
        <v>603</v>
      </c>
      <c r="B612" s="329" t="s">
        <v>2355</v>
      </c>
      <c r="C612" s="329"/>
      <c r="D612" s="329"/>
      <c r="E612" s="333" t="s">
        <v>149</v>
      </c>
      <c r="F612" s="349" t="s">
        <v>2356</v>
      </c>
      <c r="G612" s="349" t="s">
        <v>1567</v>
      </c>
      <c r="H612" s="328" t="s">
        <v>150</v>
      </c>
      <c r="I612" s="328" t="s">
        <v>10</v>
      </c>
      <c r="J612" s="328" t="s">
        <v>2180</v>
      </c>
      <c r="K612" s="330">
        <v>1155</v>
      </c>
      <c r="L612" s="330">
        <v>10</v>
      </c>
      <c r="M612" s="330">
        <v>11300</v>
      </c>
      <c r="N612" s="330"/>
      <c r="O612" s="330">
        <v>1410</v>
      </c>
      <c r="P612" s="330"/>
      <c r="Q612" s="330">
        <v>9900</v>
      </c>
    </row>
    <row r="613" spans="1:27">
      <c r="A613" s="328">
        <v>604</v>
      </c>
      <c r="B613" s="336" t="s">
        <v>256</v>
      </c>
      <c r="C613" s="329"/>
      <c r="D613" s="329"/>
      <c r="E613" s="333" t="s">
        <v>1612</v>
      </c>
      <c r="F613" s="328" t="s">
        <v>1614</v>
      </c>
      <c r="G613" s="328" t="s">
        <v>463</v>
      </c>
      <c r="H613" s="328" t="s">
        <v>334</v>
      </c>
      <c r="I613" s="328" t="s">
        <v>11</v>
      </c>
      <c r="J613" s="328" t="s">
        <v>1613</v>
      </c>
      <c r="K613" s="330">
        <v>12600</v>
      </c>
      <c r="L613" s="330">
        <v>0</v>
      </c>
      <c r="M613" s="330">
        <v>3000</v>
      </c>
      <c r="N613" s="330"/>
      <c r="O613" s="330">
        <v>1000</v>
      </c>
      <c r="P613" s="330"/>
      <c r="Q613" s="330">
        <v>2000</v>
      </c>
    </row>
    <row r="614" spans="1:27">
      <c r="A614" s="328">
        <v>605</v>
      </c>
      <c r="B614" s="347" t="s">
        <v>659</v>
      </c>
      <c r="C614" s="329"/>
      <c r="D614" s="329"/>
      <c r="E614" s="640" t="s">
        <v>3195</v>
      </c>
      <c r="F614" s="348" t="s">
        <v>3196</v>
      </c>
      <c r="G614" s="348" t="s">
        <v>3197</v>
      </c>
      <c r="H614" s="348" t="s">
        <v>258</v>
      </c>
      <c r="I614" s="348" t="s">
        <v>10</v>
      </c>
      <c r="J614" s="348" t="s">
        <v>1350</v>
      </c>
      <c r="K614" s="330">
        <v>1900</v>
      </c>
      <c r="L614" s="330">
        <v>3980</v>
      </c>
      <c r="M614" s="330"/>
      <c r="N614" s="330"/>
      <c r="O614" s="330">
        <v>3980</v>
      </c>
      <c r="P614" s="330"/>
      <c r="Q614" s="330"/>
      <c r="R614" s="37"/>
      <c r="T614" s="37"/>
      <c r="U614" s="37"/>
      <c r="V614" s="37"/>
      <c r="W614" s="37"/>
      <c r="X614" s="37"/>
      <c r="Y614" s="37"/>
      <c r="Z614" s="37"/>
      <c r="AA614" s="37"/>
    </row>
    <row r="615" spans="1:27">
      <c r="A615" s="328">
        <v>606</v>
      </c>
      <c r="B615" s="347" t="s">
        <v>3198</v>
      </c>
      <c r="C615" s="329"/>
      <c r="D615" s="329"/>
      <c r="E615" s="640" t="s">
        <v>3199</v>
      </c>
      <c r="F615" s="348" t="s">
        <v>3200</v>
      </c>
      <c r="G615" s="348" t="s">
        <v>2072</v>
      </c>
      <c r="H615" s="348" t="s">
        <v>3201</v>
      </c>
      <c r="I615" s="348" t="s">
        <v>14</v>
      </c>
      <c r="J615" s="348" t="s">
        <v>3202</v>
      </c>
      <c r="K615" s="330">
        <v>138500</v>
      </c>
      <c r="L615" s="330">
        <v>116</v>
      </c>
      <c r="M615" s="330"/>
      <c r="N615" s="330"/>
      <c r="O615" s="330">
        <v>116</v>
      </c>
      <c r="P615" s="330"/>
      <c r="Q615" s="330"/>
      <c r="R615" s="37"/>
      <c r="T615" s="37"/>
      <c r="U615" s="37"/>
      <c r="V615" s="37"/>
      <c r="W615" s="37"/>
      <c r="X615" s="37"/>
      <c r="Y615" s="37"/>
      <c r="Z615" s="37"/>
      <c r="AA615" s="37"/>
    </row>
    <row r="616" spans="1:27">
      <c r="A616" s="325">
        <v>607</v>
      </c>
      <c r="B616" s="338" t="s">
        <v>2073</v>
      </c>
      <c r="C616" s="329"/>
      <c r="D616" s="329"/>
      <c r="E616" s="333" t="s">
        <v>2074</v>
      </c>
      <c r="F616" s="328" t="s">
        <v>2076</v>
      </c>
      <c r="G616" s="328" t="s">
        <v>2072</v>
      </c>
      <c r="H616" s="328" t="s">
        <v>2075</v>
      </c>
      <c r="I616" s="328" t="s">
        <v>898</v>
      </c>
      <c r="J616" s="328" t="s">
        <v>2065</v>
      </c>
      <c r="K616" s="330">
        <v>153999</v>
      </c>
      <c r="L616" s="330">
        <v>8</v>
      </c>
      <c r="M616" s="330">
        <v>3700</v>
      </c>
      <c r="N616" s="330"/>
      <c r="O616" s="330">
        <v>3161</v>
      </c>
      <c r="P616" s="330"/>
      <c r="Q616" s="330">
        <v>547</v>
      </c>
    </row>
    <row r="617" spans="1:27">
      <c r="A617" s="328">
        <v>608</v>
      </c>
      <c r="B617" s="342" t="s">
        <v>353</v>
      </c>
      <c r="C617" s="329"/>
      <c r="D617" s="329"/>
      <c r="E617" s="333" t="s">
        <v>2614</v>
      </c>
      <c r="F617" s="328" t="s">
        <v>525</v>
      </c>
      <c r="G617" s="328" t="s">
        <v>526</v>
      </c>
      <c r="H617" s="328" t="s">
        <v>524</v>
      </c>
      <c r="I617" s="328" t="s">
        <v>628</v>
      </c>
      <c r="J617" s="328" t="s">
        <v>3203</v>
      </c>
      <c r="K617" s="330">
        <v>21945</v>
      </c>
      <c r="L617" s="330">
        <v>5</v>
      </c>
      <c r="M617" s="330">
        <v>0</v>
      </c>
      <c r="N617" s="330"/>
      <c r="O617" s="330">
        <v>1</v>
      </c>
      <c r="P617" s="330"/>
      <c r="Q617" s="330">
        <v>4</v>
      </c>
    </row>
    <row r="618" spans="1:27">
      <c r="A618" s="328">
        <v>609</v>
      </c>
      <c r="B618" s="347" t="s">
        <v>3092</v>
      </c>
      <c r="C618" s="329"/>
      <c r="D618" s="329"/>
      <c r="E618" s="640" t="s">
        <v>3204</v>
      </c>
      <c r="F618" s="348" t="s">
        <v>3205</v>
      </c>
      <c r="G618" s="328" t="s">
        <v>3206</v>
      </c>
      <c r="H618" s="348" t="s">
        <v>238</v>
      </c>
      <c r="I618" s="348" t="s">
        <v>10</v>
      </c>
      <c r="J618" s="328" t="s">
        <v>667</v>
      </c>
      <c r="K618" s="330">
        <v>5397</v>
      </c>
      <c r="L618" s="330">
        <f>1423+519</f>
        <v>1942</v>
      </c>
      <c r="M618" s="330"/>
      <c r="N618" s="330"/>
      <c r="O618" s="330">
        <v>1942</v>
      </c>
      <c r="P618" s="330"/>
      <c r="Q618" s="330"/>
      <c r="R618" s="37"/>
      <c r="T618" s="37"/>
      <c r="U618" s="37"/>
      <c r="V618" s="37"/>
      <c r="W618" s="37"/>
      <c r="X618" s="37"/>
      <c r="Y618" s="37"/>
      <c r="Z618" s="37"/>
      <c r="AA618" s="37"/>
    </row>
    <row r="619" spans="1:27">
      <c r="A619" s="328">
        <v>610</v>
      </c>
      <c r="B619" s="332" t="s">
        <v>3207</v>
      </c>
      <c r="C619" s="333"/>
      <c r="D619" s="333"/>
      <c r="E619" s="332" t="s">
        <v>3207</v>
      </c>
      <c r="F619" s="328" t="s">
        <v>3208</v>
      </c>
      <c r="G619" s="328" t="s">
        <v>1913</v>
      </c>
      <c r="H619" s="328" t="s">
        <v>739</v>
      </c>
      <c r="I619" s="328" t="s">
        <v>701</v>
      </c>
      <c r="J619" s="328" t="s">
        <v>241</v>
      </c>
      <c r="K619" s="330">
        <v>3169</v>
      </c>
      <c r="L619" s="330">
        <v>484</v>
      </c>
      <c r="M619" s="330">
        <v>0</v>
      </c>
      <c r="N619" s="330"/>
      <c r="O619" s="330">
        <v>478</v>
      </c>
      <c r="P619" s="330"/>
      <c r="Q619" s="330">
        <v>6</v>
      </c>
    </row>
    <row r="620" spans="1:27">
      <c r="A620" s="328">
        <v>611</v>
      </c>
      <c r="B620" s="329" t="s">
        <v>1333</v>
      </c>
      <c r="C620" s="333"/>
      <c r="D620" s="333"/>
      <c r="E620" s="333" t="s">
        <v>2521</v>
      </c>
      <c r="F620" s="328" t="s">
        <v>3209</v>
      </c>
      <c r="G620" s="328" t="s">
        <v>3210</v>
      </c>
      <c r="H620" s="328" t="s">
        <v>2522</v>
      </c>
      <c r="I620" s="328" t="s">
        <v>18</v>
      </c>
      <c r="J620" s="328" t="s">
        <v>3211</v>
      </c>
      <c r="K620" s="330">
        <v>23799</v>
      </c>
      <c r="L620" s="330">
        <v>650</v>
      </c>
      <c r="M620" s="330">
        <v>0</v>
      </c>
      <c r="N620" s="330"/>
      <c r="O620" s="330">
        <v>434</v>
      </c>
      <c r="P620" s="330"/>
      <c r="Q620" s="330">
        <v>216</v>
      </c>
    </row>
    <row r="621" spans="1:27">
      <c r="A621" s="328">
        <v>612</v>
      </c>
      <c r="B621" s="333" t="s">
        <v>1664</v>
      </c>
      <c r="C621" s="329"/>
      <c r="D621" s="329"/>
      <c r="E621" s="333" t="s">
        <v>1899</v>
      </c>
      <c r="F621" s="340" t="s">
        <v>1900</v>
      </c>
      <c r="G621" s="340" t="s">
        <v>1901</v>
      </c>
      <c r="H621" s="340" t="s">
        <v>715</v>
      </c>
      <c r="I621" s="337" t="s">
        <v>14</v>
      </c>
      <c r="J621" s="340" t="s">
        <v>306</v>
      </c>
      <c r="K621" s="330">
        <v>23000</v>
      </c>
      <c r="L621" s="330">
        <v>0</v>
      </c>
      <c r="M621" s="330">
        <v>50</v>
      </c>
      <c r="N621" s="330"/>
      <c r="O621" s="330">
        <v>50</v>
      </c>
      <c r="P621" s="330"/>
      <c r="Q621" s="330">
        <v>0</v>
      </c>
    </row>
    <row r="622" spans="1:27">
      <c r="A622" s="325">
        <v>613</v>
      </c>
      <c r="B622" s="329" t="s">
        <v>411</v>
      </c>
      <c r="C622" s="333"/>
      <c r="D622" s="333"/>
      <c r="E622" s="333" t="s">
        <v>2587</v>
      </c>
      <c r="F622" s="328" t="s">
        <v>3212</v>
      </c>
      <c r="G622" s="328" t="s">
        <v>3213</v>
      </c>
      <c r="H622" s="328" t="s">
        <v>225</v>
      </c>
      <c r="I622" s="334" t="s">
        <v>10</v>
      </c>
      <c r="J622" s="328" t="s">
        <v>1350</v>
      </c>
      <c r="K622" s="330">
        <v>2350</v>
      </c>
      <c r="L622" s="330">
        <v>2405</v>
      </c>
      <c r="M622" s="330">
        <v>0</v>
      </c>
      <c r="N622" s="330"/>
      <c r="O622" s="330">
        <v>2403</v>
      </c>
      <c r="P622" s="330"/>
      <c r="Q622" s="330">
        <v>2</v>
      </c>
    </row>
    <row r="623" spans="1:27">
      <c r="A623" s="328">
        <v>614</v>
      </c>
      <c r="B623" s="329" t="s">
        <v>702</v>
      </c>
      <c r="C623" s="329"/>
      <c r="D623" s="329"/>
      <c r="E623" s="333" t="s">
        <v>703</v>
      </c>
      <c r="F623" s="328" t="s">
        <v>705</v>
      </c>
      <c r="G623" s="328" t="s">
        <v>700</v>
      </c>
      <c r="H623" s="328" t="s">
        <v>704</v>
      </c>
      <c r="I623" s="328" t="s">
        <v>701</v>
      </c>
      <c r="J623" s="328" t="s">
        <v>698</v>
      </c>
      <c r="K623" s="330">
        <v>3500</v>
      </c>
      <c r="L623" s="330">
        <v>11564</v>
      </c>
      <c r="M623" s="330">
        <v>39000</v>
      </c>
      <c r="N623" s="330"/>
      <c r="O623" s="330">
        <v>46838</v>
      </c>
      <c r="P623" s="330"/>
      <c r="Q623" s="330">
        <v>3726</v>
      </c>
    </row>
    <row r="624" spans="1:27">
      <c r="A624" s="328">
        <v>615</v>
      </c>
      <c r="B624" s="329" t="s">
        <v>337</v>
      </c>
      <c r="C624" s="333"/>
      <c r="D624" s="333"/>
      <c r="E624" s="332" t="s">
        <v>3214</v>
      </c>
      <c r="F624" s="328" t="s">
        <v>3215</v>
      </c>
      <c r="G624" s="328" t="s">
        <v>3216</v>
      </c>
      <c r="H624" s="328" t="s">
        <v>225</v>
      </c>
      <c r="I624" s="334" t="s">
        <v>10</v>
      </c>
      <c r="J624" s="328" t="s">
        <v>667</v>
      </c>
      <c r="K624" s="330">
        <v>5250</v>
      </c>
      <c r="L624" s="330">
        <v>72</v>
      </c>
      <c r="M624" s="330">
        <v>0</v>
      </c>
      <c r="N624" s="330"/>
      <c r="O624" s="330">
        <v>48</v>
      </c>
      <c r="P624" s="330"/>
      <c r="Q624" s="330">
        <v>24</v>
      </c>
    </row>
    <row r="625" spans="1:27" ht="25.5">
      <c r="A625" s="328">
        <v>616</v>
      </c>
      <c r="B625" s="336" t="s">
        <v>1140</v>
      </c>
      <c r="C625" s="329"/>
      <c r="D625" s="329"/>
      <c r="E625" s="333" t="s">
        <v>1141</v>
      </c>
      <c r="F625" s="328" t="s">
        <v>1143</v>
      </c>
      <c r="G625" s="328" t="s">
        <v>1136</v>
      </c>
      <c r="H625" s="328" t="s">
        <v>909</v>
      </c>
      <c r="I625" s="328" t="s">
        <v>1144</v>
      </c>
      <c r="J625" s="328" t="s">
        <v>1142</v>
      </c>
      <c r="K625" s="330">
        <v>6574</v>
      </c>
      <c r="L625" s="330">
        <v>29</v>
      </c>
      <c r="M625" s="330">
        <v>130</v>
      </c>
      <c r="N625" s="330"/>
      <c r="O625" s="330">
        <v>49</v>
      </c>
      <c r="P625" s="330"/>
      <c r="Q625" s="330">
        <v>110</v>
      </c>
    </row>
    <row r="626" spans="1:27">
      <c r="A626" s="328">
        <v>617</v>
      </c>
      <c r="B626" s="329" t="s">
        <v>1540</v>
      </c>
      <c r="C626" s="329"/>
      <c r="D626" s="329"/>
      <c r="E626" s="333" t="s">
        <v>1541</v>
      </c>
      <c r="F626" s="328" t="s">
        <v>1543</v>
      </c>
      <c r="G626" s="328" t="s">
        <v>1544</v>
      </c>
      <c r="H626" s="328" t="s">
        <v>1542</v>
      </c>
      <c r="I626" s="328" t="s">
        <v>10</v>
      </c>
      <c r="J626" s="328" t="s">
        <v>884</v>
      </c>
      <c r="K626" s="330">
        <v>4290</v>
      </c>
      <c r="L626" s="330">
        <v>0</v>
      </c>
      <c r="M626" s="330">
        <v>16800</v>
      </c>
      <c r="N626" s="330"/>
      <c r="O626" s="330">
        <v>7914</v>
      </c>
      <c r="P626" s="330"/>
      <c r="Q626" s="330">
        <v>8886</v>
      </c>
    </row>
    <row r="627" spans="1:27">
      <c r="A627" s="328">
        <v>618</v>
      </c>
      <c r="B627" s="329" t="s">
        <v>3217</v>
      </c>
      <c r="C627" s="333"/>
      <c r="D627" s="333"/>
      <c r="E627" s="333" t="s">
        <v>1541</v>
      </c>
      <c r="F627" s="328" t="s">
        <v>1543</v>
      </c>
      <c r="G627" s="328" t="s">
        <v>3218</v>
      </c>
      <c r="H627" s="328" t="s">
        <v>1542</v>
      </c>
      <c r="I627" s="328" t="s">
        <v>10</v>
      </c>
      <c r="J627" s="328" t="s">
        <v>647</v>
      </c>
      <c r="K627" s="330">
        <v>4560</v>
      </c>
      <c r="L627" s="330">
        <v>10235</v>
      </c>
      <c r="M627" s="330">
        <v>70</v>
      </c>
      <c r="N627" s="330"/>
      <c r="O627" s="330">
        <v>10305</v>
      </c>
      <c r="P627" s="330"/>
      <c r="Q627" s="330">
        <v>0</v>
      </c>
    </row>
    <row r="628" spans="1:27" ht="25.5">
      <c r="A628" s="325">
        <v>619</v>
      </c>
      <c r="B628" s="329" t="s">
        <v>683</v>
      </c>
      <c r="C628" s="329"/>
      <c r="D628" s="329"/>
      <c r="E628" s="333" t="s">
        <v>684</v>
      </c>
      <c r="F628" s="328" t="s">
        <v>687</v>
      </c>
      <c r="G628" s="328" t="s">
        <v>688</v>
      </c>
      <c r="H628" s="328" t="s">
        <v>685</v>
      </c>
      <c r="I628" s="328" t="s">
        <v>10</v>
      </c>
      <c r="J628" s="328" t="s">
        <v>686</v>
      </c>
      <c r="K628" s="330">
        <v>3500</v>
      </c>
      <c r="L628" s="330">
        <v>0</v>
      </c>
      <c r="M628" s="330">
        <v>1980</v>
      </c>
      <c r="N628" s="330"/>
      <c r="O628" s="330">
        <v>1980</v>
      </c>
      <c r="P628" s="330"/>
      <c r="Q628" s="330">
        <v>0</v>
      </c>
    </row>
    <row r="629" spans="1:27">
      <c r="A629" s="328">
        <v>620</v>
      </c>
      <c r="B629" s="329" t="s">
        <v>742</v>
      </c>
      <c r="C629" s="329"/>
      <c r="D629" s="329"/>
      <c r="E629" s="333" t="s">
        <v>743</v>
      </c>
      <c r="F629" s="328" t="s">
        <v>746</v>
      </c>
      <c r="G629" s="328" t="s">
        <v>718</v>
      </c>
      <c r="H629" s="328" t="s">
        <v>744</v>
      </c>
      <c r="I629" s="328" t="s">
        <v>628</v>
      </c>
      <c r="J629" s="328" t="s">
        <v>745</v>
      </c>
      <c r="K629" s="330">
        <v>39900</v>
      </c>
      <c r="L629" s="330">
        <v>0</v>
      </c>
      <c r="M629" s="330">
        <v>20</v>
      </c>
      <c r="N629" s="330"/>
      <c r="O629" s="330">
        <v>2</v>
      </c>
      <c r="P629" s="330"/>
      <c r="Q629" s="330">
        <v>18</v>
      </c>
    </row>
    <row r="630" spans="1:27" ht="25.5">
      <c r="A630" s="328">
        <v>621</v>
      </c>
      <c r="B630" s="329" t="s">
        <v>3219</v>
      </c>
      <c r="C630" s="333"/>
      <c r="D630" s="333"/>
      <c r="E630" s="333" t="s">
        <v>2523</v>
      </c>
      <c r="F630" s="328" t="s">
        <v>3220</v>
      </c>
      <c r="G630" s="328" t="s">
        <v>449</v>
      </c>
      <c r="H630" s="328" t="s">
        <v>2524</v>
      </c>
      <c r="I630" s="334" t="s">
        <v>10</v>
      </c>
      <c r="J630" s="328" t="s">
        <v>647</v>
      </c>
      <c r="K630" s="330">
        <v>350</v>
      </c>
      <c r="L630" s="330">
        <v>52</v>
      </c>
      <c r="M630" s="330">
        <v>0</v>
      </c>
      <c r="N630" s="330"/>
      <c r="O630" s="330">
        <v>29</v>
      </c>
      <c r="P630" s="330"/>
      <c r="Q630" s="330">
        <v>23</v>
      </c>
    </row>
    <row r="631" spans="1:27">
      <c r="A631" s="328">
        <v>622</v>
      </c>
      <c r="B631" s="329" t="s">
        <v>747</v>
      </c>
      <c r="C631" s="333"/>
      <c r="D631" s="333"/>
      <c r="E631" s="333" t="s">
        <v>1068</v>
      </c>
      <c r="F631" s="328" t="s">
        <v>3221</v>
      </c>
      <c r="G631" s="328" t="s">
        <v>414</v>
      </c>
      <c r="H631" s="328" t="s">
        <v>3222</v>
      </c>
      <c r="I631" s="334" t="s">
        <v>14</v>
      </c>
      <c r="J631" s="328" t="s">
        <v>3223</v>
      </c>
      <c r="K631" s="330">
        <v>1145</v>
      </c>
      <c r="L631" s="330">
        <v>9</v>
      </c>
      <c r="M631" s="330">
        <v>0</v>
      </c>
      <c r="N631" s="330"/>
      <c r="O631" s="330">
        <v>9</v>
      </c>
      <c r="P631" s="330"/>
      <c r="Q631" s="330">
        <v>0</v>
      </c>
    </row>
    <row r="632" spans="1:27">
      <c r="A632" s="328">
        <v>623</v>
      </c>
      <c r="B632" s="329" t="s">
        <v>747</v>
      </c>
      <c r="C632" s="333"/>
      <c r="D632" s="333"/>
      <c r="E632" s="333" t="s">
        <v>1068</v>
      </c>
      <c r="F632" s="328" t="s">
        <v>3224</v>
      </c>
      <c r="G632" s="328" t="s">
        <v>255</v>
      </c>
      <c r="H632" s="328" t="s">
        <v>2525</v>
      </c>
      <c r="I632" s="328" t="s">
        <v>18</v>
      </c>
      <c r="J632" s="328" t="s">
        <v>1069</v>
      </c>
      <c r="K632" s="330">
        <v>11886</v>
      </c>
      <c r="L632" s="330">
        <v>439</v>
      </c>
      <c r="M632" s="330">
        <v>0</v>
      </c>
      <c r="N632" s="330"/>
      <c r="O632" s="330">
        <v>244</v>
      </c>
      <c r="P632" s="330"/>
      <c r="Q632" s="330">
        <v>195</v>
      </c>
    </row>
    <row r="633" spans="1:27">
      <c r="A633" s="328">
        <v>624</v>
      </c>
      <c r="B633" s="329" t="s">
        <v>747</v>
      </c>
      <c r="C633" s="329"/>
      <c r="D633" s="329"/>
      <c r="E633" s="333" t="s">
        <v>1768</v>
      </c>
      <c r="F633" s="328" t="s">
        <v>1770</v>
      </c>
      <c r="G633" s="328" t="s">
        <v>1763</v>
      </c>
      <c r="H633" s="328" t="s">
        <v>1769</v>
      </c>
      <c r="I633" s="328" t="s">
        <v>15</v>
      </c>
      <c r="J633" s="328" t="s">
        <v>1762</v>
      </c>
      <c r="K633" s="330">
        <v>8190</v>
      </c>
      <c r="L633" s="330">
        <v>104</v>
      </c>
      <c r="M633" s="330">
        <v>0</v>
      </c>
      <c r="N633" s="330"/>
      <c r="O633" s="330">
        <v>104</v>
      </c>
      <c r="P633" s="330"/>
      <c r="Q633" s="330">
        <v>0</v>
      </c>
    </row>
    <row r="634" spans="1:27">
      <c r="A634" s="325">
        <v>625</v>
      </c>
      <c r="B634" s="336" t="s">
        <v>998</v>
      </c>
      <c r="C634" s="329"/>
      <c r="D634" s="329"/>
      <c r="E634" s="636" t="s">
        <v>999</v>
      </c>
      <c r="F634" s="337" t="s">
        <v>1000</v>
      </c>
      <c r="G634" s="337" t="s">
        <v>1001</v>
      </c>
      <c r="H634" s="337" t="s">
        <v>327</v>
      </c>
      <c r="I634" s="337" t="s">
        <v>10</v>
      </c>
      <c r="J634" s="337" t="s">
        <v>626</v>
      </c>
      <c r="K634" s="330">
        <v>8000</v>
      </c>
      <c r="L634" s="330">
        <v>4521</v>
      </c>
      <c r="M634" s="330">
        <v>9996</v>
      </c>
      <c r="N634" s="330"/>
      <c r="O634" s="330">
        <v>9742</v>
      </c>
      <c r="P634" s="330"/>
      <c r="Q634" s="330">
        <v>4775</v>
      </c>
    </row>
    <row r="635" spans="1:27">
      <c r="A635" s="328">
        <v>626</v>
      </c>
      <c r="B635" s="329" t="s">
        <v>583</v>
      </c>
      <c r="C635" s="329"/>
      <c r="D635" s="329"/>
      <c r="E635" s="333" t="s">
        <v>3225</v>
      </c>
      <c r="F635" s="328" t="s">
        <v>3226</v>
      </c>
      <c r="G635" s="328" t="s">
        <v>3227</v>
      </c>
      <c r="H635" s="328" t="s">
        <v>390</v>
      </c>
      <c r="I635" s="328" t="s">
        <v>11</v>
      </c>
      <c r="J635" s="328" t="s">
        <v>1131</v>
      </c>
      <c r="K635" s="330">
        <v>1075</v>
      </c>
      <c r="L635" s="330">
        <v>6</v>
      </c>
      <c r="M635" s="330">
        <v>5000</v>
      </c>
      <c r="N635" s="330"/>
      <c r="O635" s="330">
        <v>5006</v>
      </c>
      <c r="P635" s="330"/>
      <c r="Q635" s="330"/>
      <c r="R635" s="37"/>
      <c r="T635" s="37"/>
      <c r="U635" s="37"/>
      <c r="V635" s="37"/>
      <c r="W635" s="37"/>
      <c r="X635" s="37"/>
      <c r="Y635" s="37"/>
      <c r="Z635" s="37"/>
      <c r="AA635" s="37"/>
    </row>
    <row r="636" spans="1:27">
      <c r="A636" s="328">
        <v>627</v>
      </c>
      <c r="B636" s="331" t="s">
        <v>433</v>
      </c>
      <c r="C636" s="331"/>
      <c r="D636" s="331"/>
      <c r="E636" s="333" t="s">
        <v>464</v>
      </c>
      <c r="F636" s="328" t="s">
        <v>465</v>
      </c>
      <c r="G636" s="328" t="s">
        <v>463</v>
      </c>
      <c r="H636" s="328" t="s">
        <v>225</v>
      </c>
      <c r="I636" s="328" t="s">
        <v>10</v>
      </c>
      <c r="J636" s="328" t="s">
        <v>647</v>
      </c>
      <c r="K636" s="330">
        <v>9600</v>
      </c>
      <c r="L636" s="330">
        <v>0</v>
      </c>
      <c r="M636" s="330">
        <v>20000</v>
      </c>
      <c r="N636" s="330"/>
      <c r="O636" s="330">
        <v>1236</v>
      </c>
      <c r="P636" s="330"/>
      <c r="Q636" s="330">
        <v>18764</v>
      </c>
    </row>
    <row r="637" spans="1:27">
      <c r="A637" s="328">
        <v>628</v>
      </c>
      <c r="B637" s="342" t="s">
        <v>3228</v>
      </c>
      <c r="C637" s="329"/>
      <c r="D637" s="329"/>
      <c r="E637" s="332" t="s">
        <v>3229</v>
      </c>
      <c r="F637" s="328" t="s">
        <v>3230</v>
      </c>
      <c r="G637" s="328" t="s">
        <v>1136</v>
      </c>
      <c r="H637" s="328" t="s">
        <v>2588</v>
      </c>
      <c r="I637" s="328" t="s">
        <v>18</v>
      </c>
      <c r="J637" s="328" t="s">
        <v>3231</v>
      </c>
      <c r="K637" s="330">
        <v>2982</v>
      </c>
      <c r="L637" s="330">
        <v>1</v>
      </c>
      <c r="M637" s="330">
        <v>0</v>
      </c>
      <c r="N637" s="330"/>
      <c r="O637" s="330">
        <v>0</v>
      </c>
      <c r="P637" s="330"/>
      <c r="Q637" s="330">
        <v>1</v>
      </c>
    </row>
    <row r="638" spans="1:27">
      <c r="A638" s="328">
        <v>629</v>
      </c>
      <c r="B638" s="336" t="s">
        <v>2003</v>
      </c>
      <c r="C638" s="329"/>
      <c r="D638" s="329"/>
      <c r="E638" s="636" t="s">
        <v>2004</v>
      </c>
      <c r="F638" s="337" t="s">
        <v>2006</v>
      </c>
      <c r="G638" s="337" t="s">
        <v>2007</v>
      </c>
      <c r="H638" s="337" t="s">
        <v>2005</v>
      </c>
      <c r="I638" s="337" t="s">
        <v>10</v>
      </c>
      <c r="J638" s="337" t="s">
        <v>1041</v>
      </c>
      <c r="K638" s="330">
        <v>3585</v>
      </c>
      <c r="L638" s="330">
        <v>0</v>
      </c>
      <c r="M638" s="330">
        <v>5000</v>
      </c>
      <c r="N638" s="330"/>
      <c r="O638" s="330">
        <v>2439</v>
      </c>
      <c r="P638" s="330"/>
      <c r="Q638" s="330">
        <v>2561</v>
      </c>
    </row>
    <row r="639" spans="1:27">
      <c r="A639" s="328">
        <v>630</v>
      </c>
      <c r="B639" s="332" t="s">
        <v>2615</v>
      </c>
      <c r="C639" s="329"/>
      <c r="D639" s="329"/>
      <c r="E639" s="333" t="s">
        <v>3232</v>
      </c>
      <c r="F639" s="328" t="s">
        <v>3233</v>
      </c>
      <c r="G639" s="328" t="s">
        <v>3234</v>
      </c>
      <c r="H639" s="328" t="s">
        <v>235</v>
      </c>
      <c r="I639" s="328" t="s">
        <v>10</v>
      </c>
      <c r="J639" s="328" t="s">
        <v>538</v>
      </c>
      <c r="K639" s="330">
        <v>178</v>
      </c>
      <c r="L639" s="330">
        <v>67</v>
      </c>
      <c r="M639" s="330">
        <v>0</v>
      </c>
      <c r="N639" s="330"/>
      <c r="O639" s="330">
        <v>66</v>
      </c>
      <c r="P639" s="330"/>
      <c r="Q639" s="330">
        <v>1</v>
      </c>
    </row>
    <row r="640" spans="1:27">
      <c r="A640" s="325">
        <v>631</v>
      </c>
      <c r="B640" s="336" t="s">
        <v>592</v>
      </c>
      <c r="C640" s="329"/>
      <c r="D640" s="329"/>
      <c r="E640" s="333" t="s">
        <v>593</v>
      </c>
      <c r="F640" s="328" t="s">
        <v>595</v>
      </c>
      <c r="G640" s="328" t="s">
        <v>587</v>
      </c>
      <c r="H640" s="328" t="s">
        <v>594</v>
      </c>
      <c r="I640" s="328" t="s">
        <v>11</v>
      </c>
      <c r="J640" s="328" t="s">
        <v>585</v>
      </c>
      <c r="K640" s="330">
        <v>436</v>
      </c>
      <c r="L640" s="330">
        <v>47333</v>
      </c>
      <c r="M640" s="330">
        <v>0</v>
      </c>
      <c r="N640" s="330"/>
      <c r="O640" s="330">
        <v>47333</v>
      </c>
      <c r="P640" s="330"/>
      <c r="Q640" s="330">
        <v>0</v>
      </c>
    </row>
    <row r="641" spans="1:27">
      <c r="A641" s="328">
        <v>632</v>
      </c>
      <c r="B641" s="347" t="s">
        <v>3235</v>
      </c>
      <c r="C641" s="329"/>
      <c r="D641" s="329"/>
      <c r="E641" s="640" t="s">
        <v>3236</v>
      </c>
      <c r="F641" s="348" t="s">
        <v>3237</v>
      </c>
      <c r="G641" s="348" t="s">
        <v>489</v>
      </c>
      <c r="H641" s="348" t="s">
        <v>2005</v>
      </c>
      <c r="I641" s="351" t="s">
        <v>10</v>
      </c>
      <c r="J641" s="328" t="s">
        <v>3238</v>
      </c>
      <c r="K641" s="330">
        <v>1450</v>
      </c>
      <c r="L641" s="330">
        <v>69</v>
      </c>
      <c r="M641" s="330"/>
      <c r="N641" s="330"/>
      <c r="O641" s="330">
        <v>69</v>
      </c>
      <c r="P641" s="330"/>
      <c r="Q641" s="330"/>
      <c r="R641" s="37"/>
      <c r="T641" s="37"/>
      <c r="U641" s="37"/>
      <c r="V641" s="37"/>
      <c r="W641" s="37"/>
      <c r="X641" s="37"/>
      <c r="Y641" s="37"/>
      <c r="Z641" s="37"/>
      <c r="AA641" s="37"/>
    </row>
    <row r="642" spans="1:27">
      <c r="A642" s="328">
        <v>633</v>
      </c>
      <c r="B642" s="336" t="s">
        <v>1171</v>
      </c>
      <c r="C642" s="329"/>
      <c r="D642" s="329"/>
      <c r="E642" s="636" t="s">
        <v>1172</v>
      </c>
      <c r="F642" s="337" t="s">
        <v>1174</v>
      </c>
      <c r="G642" s="337" t="s">
        <v>1159</v>
      </c>
      <c r="H642" s="337" t="s">
        <v>1173</v>
      </c>
      <c r="I642" s="337" t="s">
        <v>11</v>
      </c>
      <c r="J642" s="337" t="s">
        <v>623</v>
      </c>
      <c r="K642" s="330">
        <v>790</v>
      </c>
      <c r="L642" s="330">
        <v>0</v>
      </c>
      <c r="M642" s="330">
        <v>19980</v>
      </c>
      <c r="N642" s="330"/>
      <c r="O642" s="330">
        <v>12060</v>
      </c>
      <c r="P642" s="330"/>
      <c r="Q642" s="330">
        <v>7920</v>
      </c>
    </row>
    <row r="643" spans="1:27">
      <c r="A643" s="328">
        <v>634</v>
      </c>
      <c r="B643" s="329" t="s">
        <v>1362</v>
      </c>
      <c r="C643" s="329"/>
      <c r="D643" s="329"/>
      <c r="E643" s="333" t="s">
        <v>1363</v>
      </c>
      <c r="F643" s="328" t="s">
        <v>1364</v>
      </c>
      <c r="G643" s="328" t="s">
        <v>360</v>
      </c>
      <c r="H643" s="328" t="s">
        <v>225</v>
      </c>
      <c r="I643" s="328" t="s">
        <v>11</v>
      </c>
      <c r="J643" s="328" t="s">
        <v>1336</v>
      </c>
      <c r="K643" s="330">
        <v>623</v>
      </c>
      <c r="L643" s="330">
        <v>0</v>
      </c>
      <c r="M643" s="330">
        <v>5300</v>
      </c>
      <c r="N643" s="330"/>
      <c r="O643" s="330">
        <v>4800</v>
      </c>
      <c r="P643" s="330"/>
      <c r="Q643" s="330">
        <v>500</v>
      </c>
    </row>
    <row r="644" spans="1:27">
      <c r="A644" s="328">
        <v>635</v>
      </c>
      <c r="B644" s="329" t="s">
        <v>1362</v>
      </c>
      <c r="C644" s="333"/>
      <c r="D644" s="333"/>
      <c r="E644" s="333" t="s">
        <v>1363</v>
      </c>
      <c r="F644" s="328" t="s">
        <v>1364</v>
      </c>
      <c r="G644" s="328" t="s">
        <v>360</v>
      </c>
      <c r="H644" s="328" t="s">
        <v>225</v>
      </c>
      <c r="I644" s="328" t="s">
        <v>11</v>
      </c>
      <c r="J644" s="328" t="s">
        <v>1336</v>
      </c>
      <c r="K644" s="330">
        <v>709</v>
      </c>
      <c r="L644" s="330">
        <v>3134</v>
      </c>
      <c r="M644" s="330">
        <v>0</v>
      </c>
      <c r="N644" s="330"/>
      <c r="O644" s="330">
        <v>1940</v>
      </c>
      <c r="P644" s="330"/>
      <c r="Q644" s="330">
        <v>1194</v>
      </c>
    </row>
    <row r="645" spans="1:27">
      <c r="A645" s="328">
        <v>636</v>
      </c>
      <c r="B645" s="364" t="s">
        <v>3239</v>
      </c>
      <c r="C645" s="329"/>
      <c r="D645" s="329"/>
      <c r="E645" s="333" t="s">
        <v>1674</v>
      </c>
      <c r="F645" s="357" t="s">
        <v>1676</v>
      </c>
      <c r="G645" s="359" t="s">
        <v>1677</v>
      </c>
      <c r="H645" s="328" t="s">
        <v>3240</v>
      </c>
      <c r="I645" s="359" t="s">
        <v>10</v>
      </c>
      <c r="J645" s="328" t="s">
        <v>1675</v>
      </c>
      <c r="K645" s="330">
        <v>840</v>
      </c>
      <c r="L645" s="330">
        <v>0</v>
      </c>
      <c r="M645" s="330">
        <v>14070</v>
      </c>
      <c r="N645" s="330"/>
      <c r="O645" s="330">
        <v>10139</v>
      </c>
      <c r="P645" s="330"/>
      <c r="Q645" s="330">
        <v>3931</v>
      </c>
    </row>
    <row r="646" spans="1:27">
      <c r="A646" s="325">
        <v>637</v>
      </c>
      <c r="B646" s="329" t="s">
        <v>2527</v>
      </c>
      <c r="C646" s="333"/>
      <c r="D646" s="333"/>
      <c r="E646" s="333" t="s">
        <v>2526</v>
      </c>
      <c r="F646" s="328" t="s">
        <v>3241</v>
      </c>
      <c r="G646" s="328" t="s">
        <v>3242</v>
      </c>
      <c r="H646" s="328" t="s">
        <v>267</v>
      </c>
      <c r="I646" s="328" t="s">
        <v>14</v>
      </c>
      <c r="J646" s="328" t="s">
        <v>3243</v>
      </c>
      <c r="K646" s="330">
        <v>153560</v>
      </c>
      <c r="L646" s="330">
        <v>138</v>
      </c>
      <c r="M646" s="330">
        <v>0</v>
      </c>
      <c r="N646" s="330"/>
      <c r="O646" s="330">
        <v>136</v>
      </c>
      <c r="P646" s="330"/>
      <c r="Q646" s="330">
        <v>2</v>
      </c>
    </row>
    <row r="647" spans="1:27" ht="25.5">
      <c r="A647" s="328">
        <v>638</v>
      </c>
      <c r="B647" s="332" t="s">
        <v>152</v>
      </c>
      <c r="C647" s="333"/>
      <c r="D647" s="333"/>
      <c r="E647" s="332" t="s">
        <v>151</v>
      </c>
      <c r="F647" s="328" t="s">
        <v>2297</v>
      </c>
      <c r="G647" s="328" t="s">
        <v>2253</v>
      </c>
      <c r="H647" s="334" t="s">
        <v>153</v>
      </c>
      <c r="I647" s="328" t="s">
        <v>11</v>
      </c>
      <c r="J647" s="328" t="s">
        <v>1329</v>
      </c>
      <c r="K647" s="330">
        <v>780</v>
      </c>
      <c r="L647" s="330">
        <v>11700</v>
      </c>
      <c r="M647" s="330">
        <v>0</v>
      </c>
      <c r="N647" s="330"/>
      <c r="O647" s="330">
        <v>11700</v>
      </c>
      <c r="P647" s="330"/>
      <c r="Q647" s="330">
        <v>0</v>
      </c>
    </row>
    <row r="648" spans="1:27" ht="25.5">
      <c r="A648" s="328">
        <v>639</v>
      </c>
      <c r="B648" s="336" t="s">
        <v>2296</v>
      </c>
      <c r="C648" s="329"/>
      <c r="D648" s="329"/>
      <c r="E648" s="333" t="s">
        <v>151</v>
      </c>
      <c r="F648" s="328" t="s">
        <v>2297</v>
      </c>
      <c r="G648" s="328" t="s">
        <v>2253</v>
      </c>
      <c r="H648" s="328" t="s">
        <v>153</v>
      </c>
      <c r="I648" s="328" t="s">
        <v>16</v>
      </c>
      <c r="J648" s="328" t="s">
        <v>2250</v>
      </c>
      <c r="K648" s="330">
        <v>800</v>
      </c>
      <c r="L648" s="330">
        <v>0</v>
      </c>
      <c r="M648" s="330">
        <v>40000</v>
      </c>
      <c r="N648" s="330"/>
      <c r="O648" s="330">
        <v>20570</v>
      </c>
      <c r="P648" s="330"/>
      <c r="Q648" s="330">
        <v>19430</v>
      </c>
    </row>
    <row r="649" spans="1:27">
      <c r="A649" s="328">
        <v>640</v>
      </c>
      <c r="B649" s="338" t="s">
        <v>2106</v>
      </c>
      <c r="C649" s="329"/>
      <c r="D649" s="329"/>
      <c r="E649" s="333" t="s">
        <v>2107</v>
      </c>
      <c r="F649" s="328" t="s">
        <v>2109</v>
      </c>
      <c r="G649" s="328" t="s">
        <v>2056</v>
      </c>
      <c r="H649" s="328" t="s">
        <v>2108</v>
      </c>
      <c r="I649" s="328" t="s">
        <v>628</v>
      </c>
      <c r="J649" s="328" t="s">
        <v>1034</v>
      </c>
      <c r="K649" s="330">
        <v>124999</v>
      </c>
      <c r="L649" s="330">
        <v>19</v>
      </c>
      <c r="M649" s="330">
        <v>0</v>
      </c>
      <c r="N649" s="330"/>
      <c r="O649" s="330">
        <v>7</v>
      </c>
      <c r="P649" s="330"/>
      <c r="Q649" s="330">
        <v>12</v>
      </c>
    </row>
    <row r="650" spans="1:27" ht="38.25">
      <c r="A650" s="328">
        <v>641</v>
      </c>
      <c r="B650" s="336" t="s">
        <v>607</v>
      </c>
      <c r="C650" s="329"/>
      <c r="D650" s="329"/>
      <c r="E650" s="333" t="s">
        <v>608</v>
      </c>
      <c r="F650" s="328" t="s">
        <v>609</v>
      </c>
      <c r="G650" s="328" t="s">
        <v>610</v>
      </c>
      <c r="H650" s="328" t="s">
        <v>327</v>
      </c>
      <c r="I650" s="328" t="s">
        <v>10</v>
      </c>
      <c r="J650" s="328" t="s">
        <v>547</v>
      </c>
      <c r="K650" s="330">
        <v>3500</v>
      </c>
      <c r="L650" s="330">
        <v>0</v>
      </c>
      <c r="M650" s="330">
        <v>2000</v>
      </c>
      <c r="N650" s="330"/>
      <c r="O650" s="330">
        <v>386</v>
      </c>
      <c r="P650" s="330"/>
      <c r="Q650" s="330">
        <v>1614</v>
      </c>
    </row>
    <row r="651" spans="1:27">
      <c r="A651" s="328">
        <v>642</v>
      </c>
      <c r="B651" s="331" t="s">
        <v>313</v>
      </c>
      <c r="C651" s="331"/>
      <c r="D651" s="331"/>
      <c r="E651" s="333" t="s">
        <v>502</v>
      </c>
      <c r="F651" s="328" t="s">
        <v>504</v>
      </c>
      <c r="G651" s="328" t="s">
        <v>1946</v>
      </c>
      <c r="H651" s="328" t="s">
        <v>235</v>
      </c>
      <c r="I651" s="328" t="s">
        <v>10</v>
      </c>
      <c r="J651" s="328" t="s">
        <v>503</v>
      </c>
      <c r="K651" s="330">
        <v>473</v>
      </c>
      <c r="L651" s="330">
        <v>41</v>
      </c>
      <c r="M651" s="330">
        <v>30000</v>
      </c>
      <c r="N651" s="330"/>
      <c r="O651" s="330">
        <v>24959</v>
      </c>
      <c r="P651" s="330"/>
      <c r="Q651" s="330">
        <v>5082</v>
      </c>
    </row>
    <row r="652" spans="1:27">
      <c r="A652" s="325">
        <v>643</v>
      </c>
      <c r="B652" s="329" t="s">
        <v>313</v>
      </c>
      <c r="C652" s="333"/>
      <c r="D652" s="333"/>
      <c r="E652" s="333" t="s">
        <v>2528</v>
      </c>
      <c r="F652" s="328" t="s">
        <v>3244</v>
      </c>
      <c r="G652" s="328" t="s">
        <v>3245</v>
      </c>
      <c r="H652" s="328" t="s">
        <v>315</v>
      </c>
      <c r="I652" s="328" t="s">
        <v>11</v>
      </c>
      <c r="J652" s="328" t="s">
        <v>503</v>
      </c>
      <c r="K652" s="330">
        <v>700</v>
      </c>
      <c r="L652" s="330">
        <v>1297</v>
      </c>
      <c r="M652" s="330">
        <v>0</v>
      </c>
      <c r="N652" s="330"/>
      <c r="O652" s="330">
        <v>1216</v>
      </c>
      <c r="P652" s="330"/>
      <c r="Q652" s="330">
        <v>81</v>
      </c>
    </row>
    <row r="653" spans="1:27">
      <c r="A653" s="328">
        <v>644</v>
      </c>
      <c r="B653" s="329" t="s">
        <v>1365</v>
      </c>
      <c r="C653" s="329"/>
      <c r="D653" s="329"/>
      <c r="E653" s="333" t="s">
        <v>1366</v>
      </c>
      <c r="F653" s="328" t="s">
        <v>1367</v>
      </c>
      <c r="G653" s="328" t="s">
        <v>360</v>
      </c>
      <c r="H653" s="328" t="s">
        <v>310</v>
      </c>
      <c r="I653" s="328" t="s">
        <v>11</v>
      </c>
      <c r="J653" s="328" t="s">
        <v>1329</v>
      </c>
      <c r="K653" s="330">
        <v>245</v>
      </c>
      <c r="L653" s="330">
        <v>25234</v>
      </c>
      <c r="M653" s="330">
        <v>20000</v>
      </c>
      <c r="N653" s="330"/>
      <c r="O653" s="330">
        <v>35831</v>
      </c>
      <c r="P653" s="330"/>
      <c r="Q653" s="330">
        <v>9403</v>
      </c>
    </row>
    <row r="654" spans="1:27">
      <c r="A654" s="328">
        <v>645</v>
      </c>
      <c r="B654" s="329" t="s">
        <v>731</v>
      </c>
      <c r="C654" s="333"/>
      <c r="D654" s="333"/>
      <c r="E654" s="332" t="s">
        <v>2023</v>
      </c>
      <c r="F654" s="328" t="s">
        <v>3246</v>
      </c>
      <c r="G654" s="328" t="s">
        <v>3247</v>
      </c>
      <c r="H654" s="328" t="s">
        <v>1807</v>
      </c>
      <c r="I654" s="334" t="s">
        <v>10</v>
      </c>
      <c r="J654" s="328" t="s">
        <v>3248</v>
      </c>
      <c r="K654" s="330">
        <v>1600</v>
      </c>
      <c r="L654" s="330">
        <v>34427</v>
      </c>
      <c r="M654" s="330">
        <v>0</v>
      </c>
      <c r="N654" s="330"/>
      <c r="O654" s="330">
        <v>34427</v>
      </c>
      <c r="P654" s="330"/>
      <c r="Q654" s="330">
        <v>0</v>
      </c>
    </row>
    <row r="655" spans="1:27">
      <c r="A655" s="328">
        <v>646</v>
      </c>
      <c r="B655" s="336" t="s">
        <v>2022</v>
      </c>
      <c r="C655" s="329"/>
      <c r="D655" s="329"/>
      <c r="E655" s="636" t="s">
        <v>2023</v>
      </c>
      <c r="F655" s="337" t="s">
        <v>2025</v>
      </c>
      <c r="G655" s="337" t="s">
        <v>505</v>
      </c>
      <c r="H655" s="337" t="s">
        <v>1807</v>
      </c>
      <c r="I655" s="337" t="s">
        <v>10</v>
      </c>
      <c r="J655" s="337" t="s">
        <v>2024</v>
      </c>
      <c r="K655" s="330">
        <v>1700</v>
      </c>
      <c r="L655" s="330">
        <v>0</v>
      </c>
      <c r="M655" s="330">
        <v>55200</v>
      </c>
      <c r="N655" s="330"/>
      <c r="O655" s="330">
        <v>45336</v>
      </c>
      <c r="P655" s="330"/>
      <c r="Q655" s="330">
        <v>9864</v>
      </c>
    </row>
    <row r="656" spans="1:27">
      <c r="A656" s="328">
        <v>647</v>
      </c>
      <c r="B656" s="329" t="s">
        <v>433</v>
      </c>
      <c r="C656" s="333"/>
      <c r="D656" s="333"/>
      <c r="E656" s="333" t="s">
        <v>2589</v>
      </c>
      <c r="F656" s="328" t="s">
        <v>3249</v>
      </c>
      <c r="G656" s="328" t="s">
        <v>3250</v>
      </c>
      <c r="H656" s="328" t="s">
        <v>272</v>
      </c>
      <c r="I656" s="328" t="s">
        <v>11</v>
      </c>
      <c r="J656" s="328" t="s">
        <v>642</v>
      </c>
      <c r="K656" s="330">
        <v>1370</v>
      </c>
      <c r="L656" s="330">
        <v>28360</v>
      </c>
      <c r="M656" s="330">
        <v>0</v>
      </c>
      <c r="N656" s="330"/>
      <c r="O656" s="330">
        <v>14141</v>
      </c>
      <c r="P656" s="330"/>
      <c r="Q656" s="330">
        <v>14219</v>
      </c>
    </row>
    <row r="657" spans="1:27">
      <c r="A657" s="328">
        <v>648</v>
      </c>
      <c r="B657" s="339" t="s">
        <v>1692</v>
      </c>
      <c r="C657" s="329"/>
      <c r="D657" s="329"/>
      <c r="E657" s="333" t="s">
        <v>1693</v>
      </c>
      <c r="F657" s="328" t="s">
        <v>1696</v>
      </c>
      <c r="G657" s="328" t="s">
        <v>255</v>
      </c>
      <c r="H657" s="328" t="s">
        <v>1694</v>
      </c>
      <c r="I657" s="328" t="s">
        <v>10</v>
      </c>
      <c r="J657" s="328" t="s">
        <v>1695</v>
      </c>
      <c r="K657" s="330">
        <v>4494</v>
      </c>
      <c r="L657" s="330">
        <v>0</v>
      </c>
      <c r="M657" s="330">
        <v>10000</v>
      </c>
      <c r="N657" s="330"/>
      <c r="O657" s="330">
        <v>0</v>
      </c>
      <c r="P657" s="330"/>
      <c r="Q657" s="330">
        <v>10000</v>
      </c>
    </row>
    <row r="658" spans="1:27">
      <c r="A658" s="325">
        <v>649</v>
      </c>
      <c r="B658" s="329" t="s">
        <v>695</v>
      </c>
      <c r="C658" s="329"/>
      <c r="D658" s="329"/>
      <c r="E658" s="333" t="s">
        <v>696</v>
      </c>
      <c r="F658" s="328" t="s">
        <v>699</v>
      </c>
      <c r="G658" s="328" t="s">
        <v>700</v>
      </c>
      <c r="H658" s="328" t="s">
        <v>697</v>
      </c>
      <c r="I658" s="328" t="s">
        <v>701</v>
      </c>
      <c r="J658" s="328" t="s">
        <v>698</v>
      </c>
      <c r="K658" s="330">
        <v>2900</v>
      </c>
      <c r="L658" s="330">
        <v>0</v>
      </c>
      <c r="M658" s="330">
        <v>2490</v>
      </c>
      <c r="N658" s="330"/>
      <c r="O658" s="330">
        <v>2490</v>
      </c>
      <c r="P658" s="330"/>
      <c r="Q658" s="330">
        <v>0</v>
      </c>
    </row>
    <row r="659" spans="1:27">
      <c r="A659" s="328">
        <v>650</v>
      </c>
      <c r="B659" s="360" t="s">
        <v>3251</v>
      </c>
      <c r="C659" s="329"/>
      <c r="D659" s="329"/>
      <c r="E659" s="640" t="s">
        <v>3252</v>
      </c>
      <c r="F659" s="348" t="s">
        <v>3253</v>
      </c>
      <c r="G659" s="348" t="s">
        <v>2927</v>
      </c>
      <c r="H659" s="348" t="s">
        <v>3254</v>
      </c>
      <c r="I659" s="348" t="s">
        <v>18</v>
      </c>
      <c r="J659" s="328" t="s">
        <v>277</v>
      </c>
      <c r="K659" s="330">
        <v>9450</v>
      </c>
      <c r="L659" s="330">
        <f>55+20+23</f>
        <v>98</v>
      </c>
      <c r="M659" s="330"/>
      <c r="N659" s="330"/>
      <c r="O659" s="330">
        <v>98</v>
      </c>
      <c r="P659" s="330"/>
      <c r="Q659" s="330"/>
      <c r="R659" s="37"/>
      <c r="T659" s="37"/>
      <c r="U659" s="37"/>
      <c r="V659" s="37"/>
      <c r="W659" s="37"/>
      <c r="X659" s="37"/>
      <c r="Y659" s="37"/>
      <c r="Z659" s="37"/>
      <c r="AA659" s="37"/>
    </row>
    <row r="660" spans="1:27">
      <c r="A660" s="328">
        <v>651</v>
      </c>
      <c r="B660" s="332" t="s">
        <v>2530</v>
      </c>
      <c r="C660" s="333"/>
      <c r="D660" s="333"/>
      <c r="E660" s="332" t="s">
        <v>2529</v>
      </c>
      <c r="F660" s="328" t="s">
        <v>3255</v>
      </c>
      <c r="G660" s="328" t="s">
        <v>2646</v>
      </c>
      <c r="H660" s="334" t="s">
        <v>3256</v>
      </c>
      <c r="I660" s="328" t="s">
        <v>701</v>
      </c>
      <c r="J660" s="328" t="s">
        <v>423</v>
      </c>
      <c r="K660" s="330">
        <v>630</v>
      </c>
      <c r="L660" s="330">
        <v>1918</v>
      </c>
      <c r="M660" s="330">
        <v>0</v>
      </c>
      <c r="N660" s="330"/>
      <c r="O660" s="330">
        <v>1897</v>
      </c>
      <c r="P660" s="330"/>
      <c r="Q660" s="330">
        <v>21</v>
      </c>
    </row>
    <row r="661" spans="1:27">
      <c r="A661" s="328">
        <v>652</v>
      </c>
      <c r="B661" s="331" t="s">
        <v>341</v>
      </c>
      <c r="C661" s="331"/>
      <c r="D661" s="331"/>
      <c r="E661" s="333" t="s">
        <v>2530</v>
      </c>
      <c r="F661" s="328" t="s">
        <v>343</v>
      </c>
      <c r="G661" s="328" t="s">
        <v>336</v>
      </c>
      <c r="H661" s="328" t="s">
        <v>342</v>
      </c>
      <c r="I661" s="328" t="s">
        <v>520</v>
      </c>
      <c r="J661" s="328" t="s">
        <v>3257</v>
      </c>
      <c r="K661" s="330">
        <v>499</v>
      </c>
      <c r="L661" s="330">
        <v>0</v>
      </c>
      <c r="M661" s="330">
        <v>1200</v>
      </c>
      <c r="N661" s="330"/>
      <c r="O661" s="330">
        <v>317</v>
      </c>
      <c r="P661" s="330"/>
      <c r="Q661" s="330">
        <v>883</v>
      </c>
    </row>
    <row r="662" spans="1:27">
      <c r="A662" s="328">
        <v>653</v>
      </c>
      <c r="B662" s="331" t="s">
        <v>341</v>
      </c>
      <c r="C662" s="331"/>
      <c r="D662" s="331"/>
      <c r="E662" s="333" t="s">
        <v>421</v>
      </c>
      <c r="F662" s="328" t="s">
        <v>424</v>
      </c>
      <c r="G662" s="328" t="s">
        <v>414</v>
      </c>
      <c r="H662" s="328" t="s">
        <v>422</v>
      </c>
      <c r="I662" s="328" t="s">
        <v>520</v>
      </c>
      <c r="J662" s="328" t="s">
        <v>423</v>
      </c>
      <c r="K662" s="330">
        <v>980</v>
      </c>
      <c r="L662" s="330">
        <v>0</v>
      </c>
      <c r="M662" s="330">
        <v>1000</v>
      </c>
      <c r="N662" s="330"/>
      <c r="O662" s="330">
        <v>400</v>
      </c>
      <c r="P662" s="330"/>
      <c r="Q662" s="330">
        <v>600</v>
      </c>
    </row>
    <row r="663" spans="1:27">
      <c r="A663" s="328">
        <v>654</v>
      </c>
      <c r="B663" s="329" t="s">
        <v>1842</v>
      </c>
      <c r="C663" s="329"/>
      <c r="D663" s="329"/>
      <c r="E663" s="639" t="s">
        <v>1843</v>
      </c>
      <c r="F663" s="341" t="s">
        <v>1845</v>
      </c>
      <c r="G663" s="328" t="s">
        <v>1841</v>
      </c>
      <c r="H663" s="328" t="s">
        <v>1844</v>
      </c>
      <c r="I663" s="328" t="s">
        <v>10</v>
      </c>
      <c r="J663" s="341" t="s">
        <v>1153</v>
      </c>
      <c r="K663" s="330">
        <v>1400</v>
      </c>
      <c r="L663" s="330">
        <v>21999</v>
      </c>
      <c r="M663" s="330">
        <v>0</v>
      </c>
      <c r="N663" s="330"/>
      <c r="O663" s="330">
        <v>21999</v>
      </c>
      <c r="P663" s="330"/>
      <c r="Q663" s="330">
        <v>0</v>
      </c>
    </row>
    <row r="664" spans="1:27">
      <c r="A664" s="325">
        <v>655</v>
      </c>
      <c r="B664" s="336" t="s">
        <v>564</v>
      </c>
      <c r="C664" s="329"/>
      <c r="D664" s="329"/>
      <c r="E664" s="333" t="s">
        <v>565</v>
      </c>
      <c r="F664" s="328" t="s">
        <v>567</v>
      </c>
      <c r="G664" s="328" t="s">
        <v>215</v>
      </c>
      <c r="H664" s="328" t="s">
        <v>566</v>
      </c>
      <c r="I664" s="328" t="s">
        <v>11</v>
      </c>
      <c r="J664" s="328" t="s">
        <v>538</v>
      </c>
      <c r="K664" s="330">
        <v>620</v>
      </c>
      <c r="L664" s="330">
        <v>0</v>
      </c>
      <c r="M664" s="330">
        <v>1200</v>
      </c>
      <c r="N664" s="330"/>
      <c r="O664" s="330">
        <v>840</v>
      </c>
      <c r="P664" s="330"/>
      <c r="Q664" s="330">
        <v>360</v>
      </c>
    </row>
    <row r="665" spans="1:27">
      <c r="A665" s="328">
        <v>656</v>
      </c>
      <c r="B665" s="347" t="s">
        <v>564</v>
      </c>
      <c r="C665" s="329"/>
      <c r="D665" s="329"/>
      <c r="E665" s="640" t="s">
        <v>3258</v>
      </c>
      <c r="F665" s="348" t="s">
        <v>3259</v>
      </c>
      <c r="G665" s="348" t="s">
        <v>3260</v>
      </c>
      <c r="H665" s="348" t="s">
        <v>2531</v>
      </c>
      <c r="I665" s="348" t="s">
        <v>10</v>
      </c>
      <c r="J665" s="348" t="s">
        <v>3261</v>
      </c>
      <c r="K665" s="330">
        <v>525</v>
      </c>
      <c r="L665" s="330">
        <f>20+20+10</f>
        <v>50</v>
      </c>
      <c r="M665" s="330"/>
      <c r="N665" s="330"/>
      <c r="O665" s="330">
        <f>20+20+10</f>
        <v>50</v>
      </c>
      <c r="P665" s="330"/>
      <c r="Q665" s="330"/>
      <c r="R665" s="37"/>
      <c r="T665" s="37"/>
      <c r="U665" s="37"/>
      <c r="V665" s="37"/>
      <c r="W665" s="37"/>
      <c r="X665" s="37"/>
      <c r="Y665" s="37"/>
      <c r="Z665" s="37"/>
      <c r="AA665" s="37"/>
    </row>
    <row r="666" spans="1:27">
      <c r="A666" s="328">
        <v>657</v>
      </c>
      <c r="B666" s="329" t="s">
        <v>564</v>
      </c>
      <c r="C666" s="329"/>
      <c r="D666" s="329"/>
      <c r="E666" s="333" t="s">
        <v>1075</v>
      </c>
      <c r="F666" s="328" t="s">
        <v>1078</v>
      </c>
      <c r="G666" s="328" t="s">
        <v>336</v>
      </c>
      <c r="H666" s="328" t="s">
        <v>1076</v>
      </c>
      <c r="I666" s="328" t="s">
        <v>1079</v>
      </c>
      <c r="J666" s="328" t="s">
        <v>1077</v>
      </c>
      <c r="K666" s="330">
        <v>1050</v>
      </c>
      <c r="L666" s="330">
        <v>0</v>
      </c>
      <c r="M666" s="330">
        <v>1200</v>
      </c>
      <c r="N666" s="330"/>
      <c r="O666" s="330">
        <v>1100</v>
      </c>
      <c r="P666" s="330"/>
      <c r="Q666" s="330">
        <v>100</v>
      </c>
    </row>
    <row r="667" spans="1:27">
      <c r="A667" s="328">
        <v>658</v>
      </c>
      <c r="B667" s="332" t="s">
        <v>564</v>
      </c>
      <c r="C667" s="333"/>
      <c r="D667" s="333"/>
      <c r="E667" s="332" t="s">
        <v>1075</v>
      </c>
      <c r="F667" s="328" t="s">
        <v>1078</v>
      </c>
      <c r="G667" s="328" t="s">
        <v>336</v>
      </c>
      <c r="H667" s="334" t="s">
        <v>2532</v>
      </c>
      <c r="I667" s="328" t="s">
        <v>1079</v>
      </c>
      <c r="J667" s="328" t="s">
        <v>1077</v>
      </c>
      <c r="K667" s="330">
        <v>1103</v>
      </c>
      <c r="L667" s="330">
        <v>512</v>
      </c>
      <c r="M667" s="330">
        <v>0</v>
      </c>
      <c r="N667" s="330"/>
      <c r="O667" s="330">
        <v>508</v>
      </c>
      <c r="P667" s="330"/>
      <c r="Q667" s="330">
        <v>4</v>
      </c>
    </row>
    <row r="668" spans="1:27">
      <c r="A668" s="328">
        <v>659</v>
      </c>
      <c r="B668" s="332" t="s">
        <v>564</v>
      </c>
      <c r="C668" s="333"/>
      <c r="D668" s="333"/>
      <c r="E668" s="332" t="s">
        <v>3262</v>
      </c>
      <c r="F668" s="328" t="s">
        <v>3263</v>
      </c>
      <c r="G668" s="328" t="s">
        <v>336</v>
      </c>
      <c r="H668" s="334" t="s">
        <v>566</v>
      </c>
      <c r="I668" s="334" t="s">
        <v>11</v>
      </c>
      <c r="J668" s="328" t="s">
        <v>1291</v>
      </c>
      <c r="K668" s="330">
        <v>630</v>
      </c>
      <c r="L668" s="330">
        <v>3537</v>
      </c>
      <c r="M668" s="330">
        <v>0</v>
      </c>
      <c r="N668" s="330"/>
      <c r="O668" s="330">
        <v>1461</v>
      </c>
      <c r="P668" s="330"/>
      <c r="Q668" s="330">
        <v>2076</v>
      </c>
    </row>
    <row r="669" spans="1:27" ht="38.25">
      <c r="A669" s="328">
        <v>660</v>
      </c>
      <c r="B669" s="336" t="s">
        <v>2146</v>
      </c>
      <c r="C669" s="329"/>
      <c r="D669" s="329"/>
      <c r="E669" s="333" t="s">
        <v>2147</v>
      </c>
      <c r="F669" s="328" t="s">
        <v>2149</v>
      </c>
      <c r="G669" s="328" t="s">
        <v>350</v>
      </c>
      <c r="H669" s="328" t="s">
        <v>267</v>
      </c>
      <c r="I669" s="328" t="s">
        <v>14</v>
      </c>
      <c r="J669" s="328" t="s">
        <v>2148</v>
      </c>
      <c r="K669" s="330">
        <v>26450</v>
      </c>
      <c r="L669" s="330">
        <v>0</v>
      </c>
      <c r="M669" s="330">
        <v>100</v>
      </c>
      <c r="N669" s="330"/>
      <c r="O669" s="330">
        <v>26</v>
      </c>
      <c r="P669" s="330"/>
      <c r="Q669" s="330">
        <v>74</v>
      </c>
    </row>
    <row r="670" spans="1:27">
      <c r="A670" s="325">
        <v>661</v>
      </c>
      <c r="B670" s="347" t="s">
        <v>1368</v>
      </c>
      <c r="C670" s="329"/>
      <c r="D670" s="329"/>
      <c r="E670" s="640" t="s">
        <v>1368</v>
      </c>
      <c r="F670" s="348" t="s">
        <v>3264</v>
      </c>
      <c r="G670" s="348" t="s">
        <v>3265</v>
      </c>
      <c r="H670" s="348" t="s">
        <v>299</v>
      </c>
      <c r="I670" s="348" t="s">
        <v>10</v>
      </c>
      <c r="J670" s="348" t="s">
        <v>647</v>
      </c>
      <c r="K670" s="330">
        <v>325</v>
      </c>
      <c r="L670" s="330">
        <v>1648</v>
      </c>
      <c r="M670" s="330"/>
      <c r="N670" s="330"/>
      <c r="O670" s="330">
        <f>1214+434</f>
        <v>1648</v>
      </c>
      <c r="P670" s="330"/>
      <c r="Q670" s="330"/>
      <c r="R670" s="37"/>
      <c r="T670" s="37"/>
      <c r="U670" s="37"/>
      <c r="V670" s="37"/>
      <c r="W670" s="37"/>
      <c r="X670" s="37"/>
      <c r="Y670" s="37"/>
      <c r="Z670" s="37"/>
      <c r="AA670" s="37"/>
    </row>
    <row r="671" spans="1:27">
      <c r="A671" s="328">
        <v>662</v>
      </c>
      <c r="B671" s="329" t="s">
        <v>683</v>
      </c>
      <c r="C671" s="333"/>
      <c r="D671" s="333"/>
      <c r="E671" s="333" t="s">
        <v>3266</v>
      </c>
      <c r="F671" s="328" t="s">
        <v>3267</v>
      </c>
      <c r="G671" s="328" t="s">
        <v>322</v>
      </c>
      <c r="H671" s="328" t="s">
        <v>691</v>
      </c>
      <c r="I671" s="334" t="s">
        <v>10</v>
      </c>
      <c r="J671" s="328" t="s">
        <v>647</v>
      </c>
      <c r="K671" s="330">
        <v>2098</v>
      </c>
      <c r="L671" s="330">
        <v>24677</v>
      </c>
      <c r="M671" s="330">
        <v>0</v>
      </c>
      <c r="N671" s="330"/>
      <c r="O671" s="330">
        <v>24677</v>
      </c>
      <c r="P671" s="330"/>
      <c r="Q671" s="330">
        <v>0</v>
      </c>
    </row>
    <row r="672" spans="1:27">
      <c r="A672" s="328">
        <v>663</v>
      </c>
      <c r="B672" s="329" t="s">
        <v>392</v>
      </c>
      <c r="C672" s="333"/>
      <c r="D672" s="333"/>
      <c r="E672" s="333" t="s">
        <v>2533</v>
      </c>
      <c r="F672" s="328" t="s">
        <v>3268</v>
      </c>
      <c r="G672" s="328" t="s">
        <v>3269</v>
      </c>
      <c r="H672" s="328" t="s">
        <v>267</v>
      </c>
      <c r="I672" s="328" t="s">
        <v>14</v>
      </c>
      <c r="J672" s="328" t="s">
        <v>483</v>
      </c>
      <c r="K672" s="330">
        <v>45000</v>
      </c>
      <c r="L672" s="330">
        <v>47</v>
      </c>
      <c r="M672" s="330">
        <v>0</v>
      </c>
      <c r="N672" s="330"/>
      <c r="O672" s="330">
        <v>43</v>
      </c>
      <c r="P672" s="330"/>
      <c r="Q672" s="330">
        <v>4</v>
      </c>
    </row>
    <row r="673" spans="1:27" ht="25.5">
      <c r="A673" s="328">
        <v>664</v>
      </c>
      <c r="B673" s="347" t="s">
        <v>392</v>
      </c>
      <c r="C673" s="329"/>
      <c r="D673" s="329"/>
      <c r="E673" s="640" t="s">
        <v>2534</v>
      </c>
      <c r="F673" s="348" t="s">
        <v>3270</v>
      </c>
      <c r="G673" s="348" t="s">
        <v>3271</v>
      </c>
      <c r="H673" s="348" t="s">
        <v>235</v>
      </c>
      <c r="I673" s="348" t="s">
        <v>10</v>
      </c>
      <c r="J673" s="348" t="s">
        <v>1329</v>
      </c>
      <c r="K673" s="330">
        <v>420</v>
      </c>
      <c r="L673" s="330">
        <f>393+761</f>
        <v>1154</v>
      </c>
      <c r="M673" s="330"/>
      <c r="N673" s="330"/>
      <c r="O673" s="330">
        <v>1154</v>
      </c>
      <c r="P673" s="330"/>
      <c r="Q673" s="330"/>
      <c r="R673" s="37"/>
      <c r="T673" s="37"/>
      <c r="U673" s="37"/>
      <c r="V673" s="37"/>
      <c r="W673" s="37"/>
      <c r="X673" s="37"/>
      <c r="Y673" s="37"/>
      <c r="Z673" s="37"/>
      <c r="AA673" s="37"/>
    </row>
    <row r="674" spans="1:27" ht="25.5">
      <c r="A674" s="328">
        <v>665</v>
      </c>
      <c r="B674" s="329" t="s">
        <v>2357</v>
      </c>
      <c r="C674" s="329"/>
      <c r="D674" s="329"/>
      <c r="E674" s="333" t="s">
        <v>2358</v>
      </c>
      <c r="F674" s="349" t="s">
        <v>2359</v>
      </c>
      <c r="G674" s="349" t="s">
        <v>1567</v>
      </c>
      <c r="H674" s="328" t="s">
        <v>550</v>
      </c>
      <c r="I674" s="328" t="s">
        <v>10</v>
      </c>
      <c r="J674" s="328" t="s">
        <v>1237</v>
      </c>
      <c r="K674" s="330">
        <v>630</v>
      </c>
      <c r="L674" s="330">
        <v>0</v>
      </c>
      <c r="M674" s="330">
        <v>900</v>
      </c>
      <c r="N674" s="330"/>
      <c r="O674" s="330">
        <v>900</v>
      </c>
      <c r="P674" s="330"/>
      <c r="Q674" s="330">
        <v>0</v>
      </c>
    </row>
    <row r="675" spans="1:27">
      <c r="A675" s="328">
        <v>666</v>
      </c>
      <c r="B675" s="347" t="s">
        <v>274</v>
      </c>
      <c r="C675" s="329"/>
      <c r="D675" s="329"/>
      <c r="E675" s="640" t="s">
        <v>3272</v>
      </c>
      <c r="F675" s="348" t="s">
        <v>3273</v>
      </c>
      <c r="G675" s="348" t="s">
        <v>2823</v>
      </c>
      <c r="H675" s="348" t="s">
        <v>225</v>
      </c>
      <c r="I675" s="348" t="s">
        <v>10</v>
      </c>
      <c r="J675" s="348" t="s">
        <v>642</v>
      </c>
      <c r="K675" s="330">
        <v>2728</v>
      </c>
      <c r="L675" s="330">
        <f>2651+468+815</f>
        <v>3934</v>
      </c>
      <c r="M675" s="330"/>
      <c r="N675" s="330"/>
      <c r="O675" s="330">
        <f>3934</f>
        <v>3934</v>
      </c>
      <c r="P675" s="330"/>
      <c r="Q675" s="330"/>
      <c r="R675" s="37"/>
      <c r="T675" s="37"/>
      <c r="U675" s="37"/>
      <c r="V675" s="37"/>
      <c r="W675" s="37"/>
      <c r="X675" s="37"/>
      <c r="Y675" s="37"/>
      <c r="Z675" s="37"/>
      <c r="AA675" s="37"/>
    </row>
    <row r="676" spans="1:27">
      <c r="A676" s="325">
        <v>667</v>
      </c>
      <c r="B676" s="329" t="s">
        <v>737</v>
      </c>
      <c r="C676" s="329"/>
      <c r="D676" s="329"/>
      <c r="E676" s="333" t="s">
        <v>738</v>
      </c>
      <c r="F676" s="328" t="s">
        <v>741</v>
      </c>
      <c r="G676" s="328" t="s">
        <v>718</v>
      </c>
      <c r="H676" s="328" t="s">
        <v>739</v>
      </c>
      <c r="I676" s="328" t="s">
        <v>628</v>
      </c>
      <c r="J676" s="328" t="s">
        <v>740</v>
      </c>
      <c r="K676" s="330">
        <v>27930</v>
      </c>
      <c r="L676" s="330">
        <v>0</v>
      </c>
      <c r="M676" s="330">
        <v>300</v>
      </c>
      <c r="N676" s="330"/>
      <c r="O676" s="330">
        <v>10</v>
      </c>
      <c r="P676" s="330"/>
      <c r="Q676" s="330">
        <v>290</v>
      </c>
    </row>
    <row r="677" spans="1:27">
      <c r="A677" s="328">
        <v>668</v>
      </c>
      <c r="B677" s="329" t="s">
        <v>2535</v>
      </c>
      <c r="C677" s="329"/>
      <c r="D677" s="329"/>
      <c r="E677" s="333" t="s">
        <v>1559</v>
      </c>
      <c r="F677" s="328" t="s">
        <v>1561</v>
      </c>
      <c r="G677" s="328" t="s">
        <v>1558</v>
      </c>
      <c r="H677" s="328" t="s">
        <v>3274</v>
      </c>
      <c r="I677" s="337" t="s">
        <v>12</v>
      </c>
      <c r="J677" s="328" t="s">
        <v>1560</v>
      </c>
      <c r="K677" s="330">
        <v>2800</v>
      </c>
      <c r="L677" s="330">
        <v>2705</v>
      </c>
      <c r="M677" s="330">
        <v>0</v>
      </c>
      <c r="N677" s="330"/>
      <c r="O677" s="330">
        <v>1090</v>
      </c>
      <c r="P677" s="330"/>
      <c r="Q677" s="330">
        <v>1615</v>
      </c>
    </row>
    <row r="678" spans="1:27">
      <c r="A678" s="328">
        <v>669</v>
      </c>
      <c r="B678" s="331" t="s">
        <v>256</v>
      </c>
      <c r="C678" s="331"/>
      <c r="D678" s="331"/>
      <c r="E678" s="333" t="s">
        <v>490</v>
      </c>
      <c r="F678" s="328" t="s">
        <v>491</v>
      </c>
      <c r="G678" s="328" t="s">
        <v>492</v>
      </c>
      <c r="H678" s="328" t="s">
        <v>299</v>
      </c>
      <c r="I678" s="328" t="s">
        <v>10</v>
      </c>
      <c r="J678" s="328" t="s">
        <v>1350</v>
      </c>
      <c r="K678" s="330">
        <v>998</v>
      </c>
      <c r="L678" s="330">
        <v>0</v>
      </c>
      <c r="M678" s="330">
        <v>33500</v>
      </c>
      <c r="N678" s="330"/>
      <c r="O678" s="330">
        <v>27604</v>
      </c>
      <c r="P678" s="330"/>
      <c r="Q678" s="330">
        <v>5896</v>
      </c>
    </row>
    <row r="679" spans="1:27">
      <c r="A679" s="328">
        <v>670</v>
      </c>
      <c r="B679" s="329" t="s">
        <v>2537</v>
      </c>
      <c r="C679" s="333"/>
      <c r="D679" s="333"/>
      <c r="E679" s="333" t="s">
        <v>2536</v>
      </c>
      <c r="F679" s="328" t="s">
        <v>3275</v>
      </c>
      <c r="G679" s="328" t="s">
        <v>255</v>
      </c>
      <c r="H679" s="328" t="s">
        <v>2538</v>
      </c>
      <c r="I679" s="334" t="s">
        <v>12</v>
      </c>
      <c r="J679" s="328" t="s">
        <v>3276</v>
      </c>
      <c r="K679" s="330">
        <v>1428</v>
      </c>
      <c r="L679" s="330">
        <v>925</v>
      </c>
      <c r="M679" s="330">
        <v>0</v>
      </c>
      <c r="N679" s="330"/>
      <c r="O679" s="330">
        <v>889</v>
      </c>
      <c r="P679" s="330"/>
      <c r="Q679" s="330">
        <v>36</v>
      </c>
    </row>
    <row r="680" spans="1:27" ht="25.5">
      <c r="A680" s="328">
        <v>671</v>
      </c>
      <c r="B680" s="338" t="s">
        <v>2089</v>
      </c>
      <c r="C680" s="329"/>
      <c r="D680" s="329"/>
      <c r="E680" s="333" t="s">
        <v>2090</v>
      </c>
      <c r="F680" s="328" t="s">
        <v>2091</v>
      </c>
      <c r="G680" s="328" t="s">
        <v>2092</v>
      </c>
      <c r="H680" s="328" t="s">
        <v>327</v>
      </c>
      <c r="I680" s="328" t="s">
        <v>10</v>
      </c>
      <c r="J680" s="328" t="s">
        <v>626</v>
      </c>
      <c r="K680" s="330">
        <v>1900</v>
      </c>
      <c r="L680" s="330">
        <v>0</v>
      </c>
      <c r="M680" s="330">
        <v>600</v>
      </c>
      <c r="N680" s="330"/>
      <c r="O680" s="330">
        <v>28</v>
      </c>
      <c r="P680" s="330"/>
      <c r="Q680" s="330">
        <v>572</v>
      </c>
    </row>
    <row r="681" spans="1:27" ht="25.5">
      <c r="A681" s="328">
        <v>672</v>
      </c>
      <c r="B681" s="329" t="s">
        <v>729</v>
      </c>
      <c r="C681" s="329"/>
      <c r="D681" s="329"/>
      <c r="E681" s="333" t="s">
        <v>1105</v>
      </c>
      <c r="F681" s="328" t="s">
        <v>1107</v>
      </c>
      <c r="G681" s="328" t="s">
        <v>1108</v>
      </c>
      <c r="H681" s="328" t="s">
        <v>849</v>
      </c>
      <c r="I681" s="328" t="s">
        <v>13</v>
      </c>
      <c r="J681" s="328" t="s">
        <v>1106</v>
      </c>
      <c r="K681" s="330">
        <v>3300</v>
      </c>
      <c r="L681" s="330">
        <v>0</v>
      </c>
      <c r="M681" s="330">
        <v>9000</v>
      </c>
      <c r="N681" s="330"/>
      <c r="O681" s="330">
        <v>10</v>
      </c>
      <c r="P681" s="330"/>
      <c r="Q681" s="330">
        <v>8990</v>
      </c>
    </row>
    <row r="682" spans="1:27">
      <c r="A682" s="325">
        <v>673</v>
      </c>
      <c r="B682" s="332" t="s">
        <v>242</v>
      </c>
      <c r="C682" s="333"/>
      <c r="D682" s="333"/>
      <c r="E682" s="332" t="s">
        <v>242</v>
      </c>
      <c r="F682" s="328" t="s">
        <v>3277</v>
      </c>
      <c r="G682" s="328" t="s">
        <v>245</v>
      </c>
      <c r="H682" s="328" t="s">
        <v>2539</v>
      </c>
      <c r="I682" s="334" t="s">
        <v>520</v>
      </c>
      <c r="J682" s="328" t="s">
        <v>241</v>
      </c>
      <c r="K682" s="330">
        <v>3150</v>
      </c>
      <c r="L682" s="330">
        <v>184</v>
      </c>
      <c r="M682" s="330">
        <v>20</v>
      </c>
      <c r="N682" s="330"/>
      <c r="O682" s="330">
        <v>168</v>
      </c>
      <c r="P682" s="330"/>
      <c r="Q682" s="330">
        <v>36</v>
      </c>
    </row>
    <row r="683" spans="1:27">
      <c r="A683" s="328">
        <v>674</v>
      </c>
      <c r="B683" s="331" t="s">
        <v>242</v>
      </c>
      <c r="C683" s="331"/>
      <c r="D683" s="331"/>
      <c r="E683" s="645" t="s">
        <v>242</v>
      </c>
      <c r="F683" s="328" t="s">
        <v>244</v>
      </c>
      <c r="G683" s="328" t="s">
        <v>245</v>
      </c>
      <c r="H683" s="328" t="s">
        <v>243</v>
      </c>
      <c r="I683" s="328" t="s">
        <v>520</v>
      </c>
      <c r="J683" s="328" t="s">
        <v>241</v>
      </c>
      <c r="K683" s="330">
        <v>3255</v>
      </c>
      <c r="L683" s="330">
        <v>0</v>
      </c>
      <c r="M683" s="330">
        <v>300</v>
      </c>
      <c r="N683" s="330"/>
      <c r="O683" s="330">
        <v>130</v>
      </c>
      <c r="P683" s="330"/>
      <c r="Q683" s="330">
        <v>170</v>
      </c>
    </row>
    <row r="684" spans="1:27">
      <c r="A684" s="328">
        <v>675</v>
      </c>
      <c r="B684" s="329" t="s">
        <v>750</v>
      </c>
      <c r="C684" s="329"/>
      <c r="D684" s="329"/>
      <c r="E684" s="333" t="s">
        <v>1369</v>
      </c>
      <c r="F684" s="328" t="s">
        <v>1372</v>
      </c>
      <c r="G684" s="328" t="s">
        <v>360</v>
      </c>
      <c r="H684" s="328" t="s">
        <v>1370</v>
      </c>
      <c r="I684" s="328" t="s">
        <v>11</v>
      </c>
      <c r="J684" s="328" t="s">
        <v>1371</v>
      </c>
      <c r="K684" s="330">
        <v>61</v>
      </c>
      <c r="L684" s="330">
        <v>13669</v>
      </c>
      <c r="M684" s="330">
        <v>60000</v>
      </c>
      <c r="N684" s="330"/>
      <c r="O684" s="330">
        <v>69256</v>
      </c>
      <c r="P684" s="330"/>
      <c r="Q684" s="330">
        <v>4413</v>
      </c>
    </row>
    <row r="685" spans="1:27">
      <c r="A685" s="328">
        <v>676</v>
      </c>
      <c r="B685" s="331" t="s">
        <v>227</v>
      </c>
      <c r="C685" s="331"/>
      <c r="D685" s="331"/>
      <c r="E685" s="333" t="s">
        <v>397</v>
      </c>
      <c r="F685" s="328" t="s">
        <v>399</v>
      </c>
      <c r="G685" s="328" t="s">
        <v>360</v>
      </c>
      <c r="H685" s="328" t="s">
        <v>398</v>
      </c>
      <c r="I685" s="328" t="s">
        <v>10</v>
      </c>
      <c r="J685" s="328" t="s">
        <v>642</v>
      </c>
      <c r="K685" s="330">
        <v>89</v>
      </c>
      <c r="L685" s="330">
        <v>11067</v>
      </c>
      <c r="M685" s="330">
        <v>178000</v>
      </c>
      <c r="N685" s="330"/>
      <c r="O685" s="330">
        <v>145576</v>
      </c>
      <c r="P685" s="330"/>
      <c r="Q685" s="330">
        <v>43491</v>
      </c>
    </row>
    <row r="686" spans="1:27">
      <c r="A686" s="328">
        <v>677</v>
      </c>
      <c r="B686" s="331" t="s">
        <v>227</v>
      </c>
      <c r="C686" s="331"/>
      <c r="D686" s="331"/>
      <c r="E686" s="332" t="s">
        <v>527</v>
      </c>
      <c r="F686" s="328" t="s">
        <v>528</v>
      </c>
      <c r="G686" s="328" t="s">
        <v>529</v>
      </c>
      <c r="H686" s="328" t="s">
        <v>225</v>
      </c>
      <c r="I686" s="328" t="s">
        <v>410</v>
      </c>
      <c r="J686" s="328" t="s">
        <v>3278</v>
      </c>
      <c r="K686" s="330">
        <v>1954</v>
      </c>
      <c r="L686" s="330">
        <v>6017</v>
      </c>
      <c r="M686" s="330">
        <v>20005</v>
      </c>
      <c r="N686" s="330"/>
      <c r="O686" s="330">
        <v>10017</v>
      </c>
      <c r="P686" s="330"/>
      <c r="Q686" s="330">
        <v>16005</v>
      </c>
    </row>
    <row r="687" spans="1:27">
      <c r="A687" s="328">
        <v>678</v>
      </c>
      <c r="B687" s="336" t="s">
        <v>836</v>
      </c>
      <c r="C687" s="329"/>
      <c r="D687" s="329"/>
      <c r="E687" s="333" t="s">
        <v>837</v>
      </c>
      <c r="F687" s="328" t="s">
        <v>840</v>
      </c>
      <c r="G687" s="328" t="s">
        <v>806</v>
      </c>
      <c r="H687" s="328" t="s">
        <v>838</v>
      </c>
      <c r="I687" s="328" t="s">
        <v>16</v>
      </c>
      <c r="J687" s="328" t="s">
        <v>839</v>
      </c>
      <c r="K687" s="330">
        <v>1010</v>
      </c>
      <c r="L687" s="330">
        <v>4861</v>
      </c>
      <c r="M687" s="330">
        <v>9904</v>
      </c>
      <c r="N687" s="330"/>
      <c r="O687" s="330">
        <v>13770</v>
      </c>
      <c r="P687" s="330"/>
      <c r="Q687" s="330">
        <v>995</v>
      </c>
    </row>
    <row r="688" spans="1:27">
      <c r="A688" s="325">
        <v>679</v>
      </c>
      <c r="B688" s="336" t="s">
        <v>661</v>
      </c>
      <c r="C688" s="329"/>
      <c r="D688" s="329"/>
      <c r="E688" s="333" t="s">
        <v>662</v>
      </c>
      <c r="F688" s="328" t="s">
        <v>664</v>
      </c>
      <c r="G688" s="328" t="s">
        <v>245</v>
      </c>
      <c r="H688" s="328" t="s">
        <v>663</v>
      </c>
      <c r="I688" s="328" t="s">
        <v>11</v>
      </c>
      <c r="J688" s="328" t="s">
        <v>538</v>
      </c>
      <c r="K688" s="330">
        <v>1554</v>
      </c>
      <c r="L688" s="330">
        <v>0</v>
      </c>
      <c r="M688" s="330">
        <v>10000</v>
      </c>
      <c r="N688" s="330"/>
      <c r="O688" s="330">
        <v>3615</v>
      </c>
      <c r="P688" s="330"/>
      <c r="Q688" s="330">
        <v>6385</v>
      </c>
    </row>
    <row r="689" spans="1:27" ht="25.5">
      <c r="A689" s="328">
        <v>680</v>
      </c>
      <c r="B689" s="336" t="s">
        <v>996</v>
      </c>
      <c r="C689" s="329"/>
      <c r="D689" s="329"/>
      <c r="E689" s="333" t="s">
        <v>2143</v>
      </c>
      <c r="F689" s="328" t="s">
        <v>2145</v>
      </c>
      <c r="G689" s="328" t="s">
        <v>2137</v>
      </c>
      <c r="H689" s="328" t="s">
        <v>17</v>
      </c>
      <c r="I689" s="328" t="s">
        <v>10</v>
      </c>
      <c r="J689" s="328" t="s">
        <v>2144</v>
      </c>
      <c r="K689" s="330">
        <v>1900</v>
      </c>
      <c r="L689" s="330">
        <v>0</v>
      </c>
      <c r="M689" s="330">
        <v>10000</v>
      </c>
      <c r="N689" s="330"/>
      <c r="O689" s="330">
        <v>3986</v>
      </c>
      <c r="P689" s="330"/>
      <c r="Q689" s="330">
        <v>6014</v>
      </c>
    </row>
    <row r="690" spans="1:27">
      <c r="A690" s="328">
        <v>681</v>
      </c>
      <c r="B690" s="331" t="s">
        <v>395</v>
      </c>
      <c r="C690" s="331"/>
      <c r="D690" s="331"/>
      <c r="E690" s="333" t="s">
        <v>395</v>
      </c>
      <c r="F690" s="328" t="s">
        <v>396</v>
      </c>
      <c r="G690" s="328" t="s">
        <v>360</v>
      </c>
      <c r="H690" s="328" t="s">
        <v>267</v>
      </c>
      <c r="I690" s="328" t="s">
        <v>10</v>
      </c>
      <c r="J690" s="328" t="s">
        <v>1329</v>
      </c>
      <c r="K690" s="330">
        <v>326</v>
      </c>
      <c r="L690" s="330">
        <v>10759</v>
      </c>
      <c r="M690" s="330">
        <v>30000</v>
      </c>
      <c r="N690" s="330"/>
      <c r="O690" s="330">
        <v>30609</v>
      </c>
      <c r="P690" s="330"/>
      <c r="Q690" s="330">
        <v>10150</v>
      </c>
    </row>
    <row r="691" spans="1:27">
      <c r="A691" s="328">
        <v>682</v>
      </c>
      <c r="B691" s="331" t="s">
        <v>227</v>
      </c>
      <c r="C691" s="331"/>
      <c r="D691" s="331"/>
      <c r="E691" s="645" t="s">
        <v>477</v>
      </c>
      <c r="F691" s="328" t="s">
        <v>478</v>
      </c>
      <c r="G691" s="328" t="s">
        <v>473</v>
      </c>
      <c r="H691" s="328" t="s">
        <v>225</v>
      </c>
      <c r="I691" s="328" t="s">
        <v>10</v>
      </c>
      <c r="J691" s="328" t="s">
        <v>642</v>
      </c>
      <c r="K691" s="330">
        <v>76</v>
      </c>
      <c r="L691" s="330">
        <v>14599</v>
      </c>
      <c r="M691" s="330">
        <v>150000</v>
      </c>
      <c r="N691" s="330"/>
      <c r="O691" s="330">
        <v>164598</v>
      </c>
      <c r="P691" s="330"/>
      <c r="Q691" s="330">
        <v>1</v>
      </c>
    </row>
    <row r="692" spans="1:27">
      <c r="A692" s="328">
        <v>683</v>
      </c>
      <c r="B692" s="329" t="s">
        <v>750</v>
      </c>
      <c r="C692" s="329"/>
      <c r="D692" s="329"/>
      <c r="E692" s="333" t="s">
        <v>1771</v>
      </c>
      <c r="F692" s="328" t="s">
        <v>1773</v>
      </c>
      <c r="G692" s="328" t="s">
        <v>1763</v>
      </c>
      <c r="H692" s="328" t="s">
        <v>1772</v>
      </c>
      <c r="I692" s="328" t="s">
        <v>15</v>
      </c>
      <c r="J692" s="328" t="s">
        <v>1762</v>
      </c>
      <c r="K692" s="330">
        <v>18270</v>
      </c>
      <c r="L692" s="330">
        <v>3</v>
      </c>
      <c r="M692" s="330">
        <v>500</v>
      </c>
      <c r="N692" s="330"/>
      <c r="O692" s="330">
        <v>397</v>
      </c>
      <c r="P692" s="330"/>
      <c r="Q692" s="330">
        <v>106</v>
      </c>
    </row>
    <row r="693" spans="1:27">
      <c r="A693" s="328">
        <v>684</v>
      </c>
      <c r="B693" s="331" t="s">
        <v>227</v>
      </c>
      <c r="C693" s="331"/>
      <c r="D693" s="331"/>
      <c r="E693" s="333" t="s">
        <v>450</v>
      </c>
      <c r="F693" s="328" t="s">
        <v>452</v>
      </c>
      <c r="G693" s="328" t="s">
        <v>449</v>
      </c>
      <c r="H693" s="328" t="s">
        <v>272</v>
      </c>
      <c r="I693" s="328" t="s">
        <v>12</v>
      </c>
      <c r="J693" s="328" t="s">
        <v>451</v>
      </c>
      <c r="K693" s="330">
        <v>1235</v>
      </c>
      <c r="L693" s="330">
        <v>0</v>
      </c>
      <c r="M693" s="330">
        <v>11208</v>
      </c>
      <c r="N693" s="330"/>
      <c r="O693" s="330">
        <v>7524</v>
      </c>
      <c r="P693" s="330"/>
      <c r="Q693" s="330">
        <v>3684</v>
      </c>
    </row>
    <row r="694" spans="1:27">
      <c r="A694" s="325">
        <v>685</v>
      </c>
      <c r="B694" s="347" t="s">
        <v>750</v>
      </c>
      <c r="C694" s="329"/>
      <c r="D694" s="329"/>
      <c r="E694" s="640" t="s">
        <v>3279</v>
      </c>
      <c r="F694" s="348" t="s">
        <v>3280</v>
      </c>
      <c r="G694" s="348" t="s">
        <v>3281</v>
      </c>
      <c r="H694" s="348" t="s">
        <v>398</v>
      </c>
      <c r="I694" s="348" t="s">
        <v>3282</v>
      </c>
      <c r="J694" s="348" t="s">
        <v>1897</v>
      </c>
      <c r="K694" s="330">
        <v>1385</v>
      </c>
      <c r="L694" s="330">
        <v>305</v>
      </c>
      <c r="M694" s="330"/>
      <c r="N694" s="330"/>
      <c r="O694" s="330">
        <v>305</v>
      </c>
      <c r="P694" s="330"/>
      <c r="Q694" s="330"/>
      <c r="R694" s="37"/>
      <c r="T694" s="37"/>
      <c r="U694" s="37"/>
      <c r="V694" s="37"/>
      <c r="W694" s="37"/>
      <c r="X694" s="37"/>
      <c r="Y694" s="37"/>
      <c r="Z694" s="37"/>
      <c r="AA694" s="37"/>
    </row>
    <row r="695" spans="1:27">
      <c r="A695" s="328">
        <v>686</v>
      </c>
      <c r="B695" s="329" t="s">
        <v>751</v>
      </c>
      <c r="C695" s="329"/>
      <c r="D695" s="329"/>
      <c r="E695" s="333" t="s">
        <v>752</v>
      </c>
      <c r="F695" s="328" t="s">
        <v>755</v>
      </c>
      <c r="G695" s="328" t="s">
        <v>756</v>
      </c>
      <c r="H695" s="328" t="s">
        <v>753</v>
      </c>
      <c r="I695" s="328" t="s">
        <v>10</v>
      </c>
      <c r="J695" s="328" t="s">
        <v>754</v>
      </c>
      <c r="K695" s="330">
        <v>7350</v>
      </c>
      <c r="L695" s="330">
        <v>11639</v>
      </c>
      <c r="M695" s="330">
        <v>49980</v>
      </c>
      <c r="N695" s="330"/>
      <c r="O695" s="330">
        <v>39585</v>
      </c>
      <c r="P695" s="330"/>
      <c r="Q695" s="330">
        <v>22034</v>
      </c>
    </row>
    <row r="696" spans="1:27">
      <c r="A696" s="328">
        <v>687</v>
      </c>
      <c r="B696" s="347" t="s">
        <v>560</v>
      </c>
      <c r="C696" s="329"/>
      <c r="D696" s="329"/>
      <c r="E696" s="640" t="s">
        <v>3283</v>
      </c>
      <c r="F696" s="348" t="s">
        <v>3284</v>
      </c>
      <c r="G696" s="348" t="s">
        <v>3285</v>
      </c>
      <c r="H696" s="348" t="s">
        <v>299</v>
      </c>
      <c r="I696" s="348" t="s">
        <v>12</v>
      </c>
      <c r="J696" s="348" t="s">
        <v>3286</v>
      </c>
      <c r="K696" s="330">
        <v>2190</v>
      </c>
      <c r="L696" s="330">
        <v>567</v>
      </c>
      <c r="M696" s="330"/>
      <c r="N696" s="330"/>
      <c r="O696" s="330">
        <v>567</v>
      </c>
      <c r="P696" s="330"/>
      <c r="Q696" s="330"/>
      <c r="R696" s="37"/>
      <c r="T696" s="37"/>
      <c r="U696" s="37"/>
      <c r="V696" s="37"/>
      <c r="W696" s="37"/>
      <c r="X696" s="37"/>
      <c r="Y696" s="37"/>
      <c r="Z696" s="37"/>
      <c r="AA696" s="37"/>
    </row>
    <row r="697" spans="1:27">
      <c r="A697" s="328">
        <v>688</v>
      </c>
      <c r="B697" s="329" t="s">
        <v>615</v>
      </c>
      <c r="C697" s="329"/>
      <c r="D697" s="329"/>
      <c r="E697" s="333" t="s">
        <v>616</v>
      </c>
      <c r="F697" s="328" t="s">
        <v>618</v>
      </c>
      <c r="G697" s="328" t="s">
        <v>217</v>
      </c>
      <c r="H697" s="328" t="s">
        <v>617</v>
      </c>
      <c r="I697" s="328" t="s">
        <v>10</v>
      </c>
      <c r="J697" s="328" t="s">
        <v>538</v>
      </c>
      <c r="K697" s="330">
        <v>2289</v>
      </c>
      <c r="L697" s="330">
        <v>8</v>
      </c>
      <c r="M697" s="330">
        <v>38700</v>
      </c>
      <c r="N697" s="330"/>
      <c r="O697" s="330">
        <v>20935</v>
      </c>
      <c r="P697" s="330"/>
      <c r="Q697" s="330">
        <v>17773</v>
      </c>
    </row>
    <row r="698" spans="1:27">
      <c r="A698" s="328">
        <v>689</v>
      </c>
      <c r="B698" s="331" t="s">
        <v>227</v>
      </c>
      <c r="C698" s="331"/>
      <c r="D698" s="331"/>
      <c r="E698" s="333" t="s">
        <v>447</v>
      </c>
      <c r="F698" s="328" t="s">
        <v>448</v>
      </c>
      <c r="G698" s="328" t="s">
        <v>427</v>
      </c>
      <c r="H698" s="328" t="s">
        <v>225</v>
      </c>
      <c r="I698" s="328" t="s">
        <v>410</v>
      </c>
      <c r="J698" s="328" t="s">
        <v>3287</v>
      </c>
      <c r="K698" s="330">
        <v>1400</v>
      </c>
      <c r="L698" s="330">
        <v>1</v>
      </c>
      <c r="M698" s="330">
        <v>50000</v>
      </c>
      <c r="N698" s="330"/>
      <c r="O698" s="330">
        <v>39004</v>
      </c>
      <c r="P698" s="330"/>
      <c r="Q698" s="330">
        <v>10997</v>
      </c>
    </row>
    <row r="699" spans="1:27">
      <c r="A699" s="328">
        <v>690</v>
      </c>
      <c r="B699" s="347" t="s">
        <v>2364</v>
      </c>
      <c r="C699" s="329"/>
      <c r="D699" s="329"/>
      <c r="E699" s="640" t="s">
        <v>3288</v>
      </c>
      <c r="F699" s="348" t="s">
        <v>3289</v>
      </c>
      <c r="G699" s="348" t="s">
        <v>357</v>
      </c>
      <c r="H699" s="348" t="s">
        <v>3290</v>
      </c>
      <c r="I699" s="348" t="s">
        <v>14</v>
      </c>
      <c r="J699" s="348" t="s">
        <v>1271</v>
      </c>
      <c r="K699" s="330">
        <v>57500</v>
      </c>
      <c r="L699" s="330">
        <f>459+326</f>
        <v>785</v>
      </c>
      <c r="M699" s="330"/>
      <c r="N699" s="330"/>
      <c r="O699" s="330">
        <f>785</f>
        <v>785</v>
      </c>
      <c r="P699" s="330"/>
      <c r="Q699" s="330"/>
      <c r="R699" s="37"/>
      <c r="T699" s="37"/>
      <c r="U699" s="37"/>
      <c r="V699" s="37"/>
      <c r="W699" s="37"/>
      <c r="X699" s="37"/>
      <c r="Y699" s="37"/>
      <c r="Z699" s="37"/>
      <c r="AA699" s="37"/>
    </row>
    <row r="700" spans="1:27">
      <c r="A700" s="325">
        <v>691</v>
      </c>
      <c r="B700" s="329" t="s">
        <v>395</v>
      </c>
      <c r="C700" s="333"/>
      <c r="D700" s="333"/>
      <c r="E700" s="333" t="s">
        <v>3291</v>
      </c>
      <c r="F700" s="328" t="s">
        <v>3292</v>
      </c>
      <c r="G700" s="328" t="s">
        <v>776</v>
      </c>
      <c r="H700" s="328" t="s">
        <v>267</v>
      </c>
      <c r="I700" s="328" t="s">
        <v>14</v>
      </c>
      <c r="J700" s="328" t="s">
        <v>483</v>
      </c>
      <c r="K700" s="330">
        <v>56700</v>
      </c>
      <c r="L700" s="330">
        <v>160</v>
      </c>
      <c r="M700" s="330">
        <v>0</v>
      </c>
      <c r="N700" s="330"/>
      <c r="O700" s="330">
        <v>159</v>
      </c>
      <c r="P700" s="330"/>
      <c r="Q700" s="330">
        <v>1</v>
      </c>
    </row>
    <row r="701" spans="1:27">
      <c r="A701" s="328">
        <v>692</v>
      </c>
      <c r="B701" s="329" t="s">
        <v>750</v>
      </c>
      <c r="C701" s="333"/>
      <c r="D701" s="333"/>
      <c r="E701" s="333" t="s">
        <v>2540</v>
      </c>
      <c r="F701" s="328" t="s">
        <v>3293</v>
      </c>
      <c r="G701" s="328" t="s">
        <v>3294</v>
      </c>
      <c r="H701" s="328" t="s">
        <v>1016</v>
      </c>
      <c r="I701" s="328" t="s">
        <v>14</v>
      </c>
      <c r="J701" s="328" t="s">
        <v>3295</v>
      </c>
      <c r="K701" s="330">
        <v>47730</v>
      </c>
      <c r="L701" s="330">
        <v>275</v>
      </c>
      <c r="M701" s="330">
        <v>0</v>
      </c>
      <c r="N701" s="330"/>
      <c r="O701" s="330">
        <v>273</v>
      </c>
      <c r="P701" s="330"/>
      <c r="Q701" s="330">
        <v>2</v>
      </c>
    </row>
    <row r="702" spans="1:27">
      <c r="A702" s="328">
        <v>693</v>
      </c>
      <c r="B702" s="329" t="s">
        <v>1514</v>
      </c>
      <c r="C702" s="329"/>
      <c r="D702" s="329"/>
      <c r="E702" s="333" t="s">
        <v>1515</v>
      </c>
      <c r="F702" s="328" t="s">
        <v>1518</v>
      </c>
      <c r="G702" s="328" t="s">
        <v>1519</v>
      </c>
      <c r="H702" s="328" t="s">
        <v>1516</v>
      </c>
      <c r="I702" s="328" t="s">
        <v>10</v>
      </c>
      <c r="J702" s="328" t="s">
        <v>1517</v>
      </c>
      <c r="K702" s="330">
        <v>3900</v>
      </c>
      <c r="L702" s="330">
        <v>0</v>
      </c>
      <c r="M702" s="330">
        <v>32240</v>
      </c>
      <c r="N702" s="330"/>
      <c r="O702" s="330">
        <v>24637</v>
      </c>
      <c r="P702" s="330"/>
      <c r="Q702" s="330">
        <v>7603</v>
      </c>
    </row>
    <row r="703" spans="1:27">
      <c r="A703" s="328">
        <v>694</v>
      </c>
      <c r="B703" s="329" t="s">
        <v>3296</v>
      </c>
      <c r="C703" s="333"/>
      <c r="D703" s="333"/>
      <c r="E703" s="332" t="s">
        <v>1164</v>
      </c>
      <c r="F703" s="328" t="s">
        <v>1166</v>
      </c>
      <c r="G703" s="337" t="s">
        <v>1159</v>
      </c>
      <c r="H703" s="328" t="s">
        <v>1165</v>
      </c>
      <c r="I703" s="334" t="s">
        <v>10</v>
      </c>
      <c r="J703" s="337" t="s">
        <v>538</v>
      </c>
      <c r="K703" s="330">
        <v>4500</v>
      </c>
      <c r="L703" s="330">
        <v>4127</v>
      </c>
      <c r="M703" s="330">
        <v>0</v>
      </c>
      <c r="N703" s="330"/>
      <c r="O703" s="330">
        <v>4102</v>
      </c>
      <c r="P703" s="330"/>
      <c r="Q703" s="330">
        <v>25</v>
      </c>
    </row>
    <row r="704" spans="1:27">
      <c r="A704" s="328">
        <v>695</v>
      </c>
      <c r="B704" s="336" t="s">
        <v>1163</v>
      </c>
      <c r="C704" s="329"/>
      <c r="D704" s="329"/>
      <c r="E704" s="636" t="s">
        <v>1164</v>
      </c>
      <c r="F704" s="337" t="s">
        <v>1166</v>
      </c>
      <c r="G704" s="337" t="s">
        <v>1159</v>
      </c>
      <c r="H704" s="337" t="s">
        <v>1165</v>
      </c>
      <c r="I704" s="337" t="s">
        <v>11</v>
      </c>
      <c r="J704" s="337" t="s">
        <v>623</v>
      </c>
      <c r="K704" s="330">
        <v>3990</v>
      </c>
      <c r="L704" s="330">
        <v>0</v>
      </c>
      <c r="M704" s="330">
        <v>12000</v>
      </c>
      <c r="N704" s="330"/>
      <c r="O704" s="330">
        <v>6459</v>
      </c>
      <c r="P704" s="330"/>
      <c r="Q704" s="330">
        <v>5541</v>
      </c>
    </row>
    <row r="705" spans="1:17">
      <c r="A705" s="328">
        <v>696</v>
      </c>
      <c r="B705" s="329" t="s">
        <v>1376</v>
      </c>
      <c r="C705" s="329"/>
      <c r="D705" s="329"/>
      <c r="E705" s="333" t="s">
        <v>1407</v>
      </c>
      <c r="F705" s="328" t="s">
        <v>1409</v>
      </c>
      <c r="G705" s="328" t="s">
        <v>407</v>
      </c>
      <c r="H705" s="328" t="s">
        <v>1408</v>
      </c>
      <c r="I705" s="328" t="s">
        <v>11</v>
      </c>
      <c r="J705" s="328" t="s">
        <v>1237</v>
      </c>
      <c r="K705" s="330">
        <v>2800</v>
      </c>
      <c r="L705" s="330">
        <v>14007</v>
      </c>
      <c r="M705" s="330">
        <v>124884</v>
      </c>
      <c r="N705" s="330"/>
      <c r="O705" s="330">
        <v>108923</v>
      </c>
      <c r="P705" s="330"/>
      <c r="Q705" s="330">
        <v>29968</v>
      </c>
    </row>
    <row r="706" spans="1:17">
      <c r="A706" s="325">
        <v>697</v>
      </c>
      <c r="B706" s="329" t="s">
        <v>2198</v>
      </c>
      <c r="C706" s="329"/>
      <c r="D706" s="329"/>
      <c r="E706" s="333" t="s">
        <v>154</v>
      </c>
      <c r="F706" s="328" t="s">
        <v>2199</v>
      </c>
      <c r="G706" s="328" t="s">
        <v>2200</v>
      </c>
      <c r="H706" s="328" t="s">
        <v>156</v>
      </c>
      <c r="I706" s="328" t="s">
        <v>12</v>
      </c>
      <c r="J706" s="328" t="s">
        <v>2187</v>
      </c>
      <c r="K706" s="330">
        <v>6000</v>
      </c>
      <c r="L706" s="330">
        <v>0</v>
      </c>
      <c r="M706" s="330">
        <v>5994</v>
      </c>
      <c r="N706" s="330"/>
      <c r="O706" s="330">
        <v>2930</v>
      </c>
      <c r="P706" s="330"/>
      <c r="Q706" s="330">
        <v>3064</v>
      </c>
    </row>
    <row r="707" spans="1:17" ht="38.25">
      <c r="A707" s="328">
        <v>698</v>
      </c>
      <c r="B707" s="336" t="s">
        <v>2159</v>
      </c>
      <c r="C707" s="329"/>
      <c r="D707" s="329"/>
      <c r="E707" s="333" t="s">
        <v>157</v>
      </c>
      <c r="F707" s="328" t="s">
        <v>2160</v>
      </c>
      <c r="G707" s="328" t="s">
        <v>2161</v>
      </c>
      <c r="H707" s="328" t="s">
        <v>158</v>
      </c>
      <c r="I707" s="328" t="s">
        <v>11</v>
      </c>
      <c r="J707" s="328" t="s">
        <v>660</v>
      </c>
      <c r="K707" s="330">
        <v>2709</v>
      </c>
      <c r="L707" s="330">
        <v>0</v>
      </c>
      <c r="M707" s="330">
        <v>13470</v>
      </c>
      <c r="N707" s="330"/>
      <c r="O707" s="330">
        <v>13450</v>
      </c>
      <c r="P707" s="330"/>
      <c r="Q707" s="330">
        <v>20</v>
      </c>
    </row>
    <row r="708" spans="1:17" ht="51">
      <c r="A708" s="328">
        <v>699</v>
      </c>
      <c r="B708" s="336" t="s">
        <v>2228</v>
      </c>
      <c r="C708" s="329"/>
      <c r="D708" s="329"/>
      <c r="E708" s="636" t="s">
        <v>159</v>
      </c>
      <c r="F708" s="337" t="s">
        <v>2230</v>
      </c>
      <c r="G708" s="337" t="s">
        <v>2227</v>
      </c>
      <c r="H708" s="337" t="s">
        <v>160</v>
      </c>
      <c r="I708" s="328" t="s">
        <v>14</v>
      </c>
      <c r="J708" s="337" t="s">
        <v>2229</v>
      </c>
      <c r="K708" s="330">
        <v>44400</v>
      </c>
      <c r="L708" s="330">
        <v>0</v>
      </c>
      <c r="M708" s="330">
        <v>1000</v>
      </c>
      <c r="N708" s="330"/>
      <c r="O708" s="330">
        <v>1000</v>
      </c>
      <c r="P708" s="330"/>
      <c r="Q708" s="330">
        <v>0</v>
      </c>
    </row>
    <row r="709" spans="1:17">
      <c r="A709" s="328">
        <v>700</v>
      </c>
      <c r="B709" s="329" t="s">
        <v>2399</v>
      </c>
      <c r="C709" s="329"/>
      <c r="D709" s="329"/>
      <c r="E709" s="333" t="s">
        <v>161</v>
      </c>
      <c r="F709" s="328" t="s">
        <v>2400</v>
      </c>
      <c r="G709" s="328" t="s">
        <v>2397</v>
      </c>
      <c r="H709" s="328" t="s">
        <v>3297</v>
      </c>
      <c r="I709" s="328" t="s">
        <v>10</v>
      </c>
      <c r="J709" s="328" t="s">
        <v>620</v>
      </c>
      <c r="K709" s="330">
        <v>1680</v>
      </c>
      <c r="L709" s="330">
        <v>0</v>
      </c>
      <c r="M709" s="330">
        <v>10000</v>
      </c>
      <c r="N709" s="330"/>
      <c r="O709" s="330">
        <v>10000</v>
      </c>
      <c r="P709" s="330"/>
      <c r="Q709" s="330">
        <v>0</v>
      </c>
    </row>
    <row r="710" spans="1:17">
      <c r="A710" s="328">
        <v>701</v>
      </c>
      <c r="B710" s="336" t="s">
        <v>792</v>
      </c>
      <c r="C710" s="329"/>
      <c r="D710" s="329"/>
      <c r="E710" s="333" t="s">
        <v>793</v>
      </c>
      <c r="F710" s="328" t="s">
        <v>795</v>
      </c>
      <c r="G710" s="328" t="s">
        <v>796</v>
      </c>
      <c r="H710" s="328" t="s">
        <v>794</v>
      </c>
      <c r="I710" s="328" t="s">
        <v>520</v>
      </c>
      <c r="J710" s="328" t="s">
        <v>241</v>
      </c>
      <c r="K710" s="330">
        <v>13500</v>
      </c>
      <c r="L710" s="330">
        <v>0</v>
      </c>
      <c r="M710" s="330">
        <v>200</v>
      </c>
      <c r="N710" s="330"/>
      <c r="O710" s="330">
        <v>33</v>
      </c>
      <c r="P710" s="330"/>
      <c r="Q710" s="330">
        <v>167</v>
      </c>
    </row>
    <row r="711" spans="1:17">
      <c r="A711" s="328">
        <v>702</v>
      </c>
      <c r="B711" s="329" t="s">
        <v>855</v>
      </c>
      <c r="C711" s="329"/>
      <c r="D711" s="329"/>
      <c r="E711" s="333" t="s">
        <v>855</v>
      </c>
      <c r="F711" s="328" t="s">
        <v>1373</v>
      </c>
      <c r="G711" s="328" t="s">
        <v>360</v>
      </c>
      <c r="H711" s="328" t="s">
        <v>334</v>
      </c>
      <c r="I711" s="328" t="s">
        <v>11</v>
      </c>
      <c r="J711" s="328" t="s">
        <v>1329</v>
      </c>
      <c r="K711" s="330">
        <v>200</v>
      </c>
      <c r="L711" s="330">
        <v>0</v>
      </c>
      <c r="M711" s="330">
        <v>27500</v>
      </c>
      <c r="N711" s="330"/>
      <c r="O711" s="330">
        <v>14980</v>
      </c>
      <c r="P711" s="330"/>
      <c r="Q711" s="330">
        <v>12520</v>
      </c>
    </row>
    <row r="712" spans="1:17">
      <c r="A712" s="325">
        <v>703</v>
      </c>
      <c r="B712" s="329" t="s">
        <v>855</v>
      </c>
      <c r="C712" s="333"/>
      <c r="D712" s="333"/>
      <c r="E712" s="333" t="s">
        <v>855</v>
      </c>
      <c r="F712" s="328" t="s">
        <v>3298</v>
      </c>
      <c r="G712" s="328" t="s">
        <v>360</v>
      </c>
      <c r="H712" s="328" t="s">
        <v>334</v>
      </c>
      <c r="I712" s="328" t="s">
        <v>11</v>
      </c>
      <c r="J712" s="328" t="s">
        <v>1329</v>
      </c>
      <c r="K712" s="330">
        <v>224</v>
      </c>
      <c r="L712" s="330">
        <v>73</v>
      </c>
      <c r="M712" s="330">
        <v>0</v>
      </c>
      <c r="N712" s="330"/>
      <c r="O712" s="330">
        <v>55</v>
      </c>
      <c r="P712" s="330"/>
      <c r="Q712" s="330">
        <v>18</v>
      </c>
    </row>
    <row r="713" spans="1:17">
      <c r="A713" s="328">
        <v>704</v>
      </c>
      <c r="B713" s="329" t="s">
        <v>855</v>
      </c>
      <c r="C713" s="329"/>
      <c r="D713" s="329"/>
      <c r="E713" s="333" t="s">
        <v>1808</v>
      </c>
      <c r="F713" s="328" t="s">
        <v>1811</v>
      </c>
      <c r="G713" s="328" t="s">
        <v>1812</v>
      </c>
      <c r="H713" s="328" t="s">
        <v>1809</v>
      </c>
      <c r="I713" s="328" t="s">
        <v>520</v>
      </c>
      <c r="J713" s="328" t="s">
        <v>1810</v>
      </c>
      <c r="K713" s="330">
        <v>29900</v>
      </c>
      <c r="L713" s="330">
        <v>0</v>
      </c>
      <c r="M713" s="330">
        <v>100</v>
      </c>
      <c r="N713" s="330"/>
      <c r="O713" s="330">
        <v>24</v>
      </c>
      <c r="P713" s="330"/>
      <c r="Q713" s="330">
        <v>76</v>
      </c>
    </row>
    <row r="714" spans="1:17">
      <c r="A714" s="328">
        <v>705</v>
      </c>
      <c r="B714" s="331" t="s">
        <v>400</v>
      </c>
      <c r="C714" s="331"/>
      <c r="D714" s="331"/>
      <c r="E714" s="333" t="s">
        <v>400</v>
      </c>
      <c r="F714" s="328" t="s">
        <v>401</v>
      </c>
      <c r="G714" s="328" t="s">
        <v>360</v>
      </c>
      <c r="H714" s="328" t="s">
        <v>235</v>
      </c>
      <c r="I714" s="328" t="s">
        <v>10</v>
      </c>
      <c r="J714" s="328" t="s">
        <v>1329</v>
      </c>
      <c r="K714" s="330">
        <v>146</v>
      </c>
      <c r="L714" s="330">
        <v>0</v>
      </c>
      <c r="M714" s="330">
        <v>26000</v>
      </c>
      <c r="N714" s="330"/>
      <c r="O714" s="330">
        <v>19000</v>
      </c>
      <c r="P714" s="330"/>
      <c r="Q714" s="330">
        <v>7000</v>
      </c>
    </row>
    <row r="715" spans="1:17">
      <c r="A715" s="328">
        <v>706</v>
      </c>
      <c r="B715" s="336" t="s">
        <v>882</v>
      </c>
      <c r="C715" s="333"/>
      <c r="D715" s="333"/>
      <c r="E715" s="636" t="s">
        <v>883</v>
      </c>
      <c r="F715" s="337" t="s">
        <v>885</v>
      </c>
      <c r="G715" s="337" t="s">
        <v>298</v>
      </c>
      <c r="H715" s="337" t="s">
        <v>262</v>
      </c>
      <c r="I715" s="337" t="s">
        <v>10</v>
      </c>
      <c r="J715" s="337" t="s">
        <v>884</v>
      </c>
      <c r="K715" s="330">
        <v>64711</v>
      </c>
      <c r="L715" s="330">
        <v>87</v>
      </c>
      <c r="M715" s="330">
        <v>30</v>
      </c>
      <c r="N715" s="330"/>
      <c r="O715" s="330">
        <v>88</v>
      </c>
      <c r="P715" s="330"/>
      <c r="Q715" s="330">
        <v>29</v>
      </c>
    </row>
    <row r="716" spans="1:17">
      <c r="A716" s="328">
        <v>707</v>
      </c>
      <c r="B716" s="333" t="s">
        <v>847</v>
      </c>
      <c r="C716" s="329"/>
      <c r="D716" s="329"/>
      <c r="E716" s="333" t="s">
        <v>1874</v>
      </c>
      <c r="F716" s="340" t="s">
        <v>1875</v>
      </c>
      <c r="G716" s="340" t="s">
        <v>1876</v>
      </c>
      <c r="H716" s="340" t="s">
        <v>225</v>
      </c>
      <c r="I716" s="337" t="s">
        <v>10</v>
      </c>
      <c r="J716" s="340" t="s">
        <v>1350</v>
      </c>
      <c r="K716" s="330">
        <v>2970</v>
      </c>
      <c r="L716" s="330">
        <v>0</v>
      </c>
      <c r="M716" s="330">
        <v>39000</v>
      </c>
      <c r="N716" s="330"/>
      <c r="O716" s="330">
        <v>22681</v>
      </c>
      <c r="P716" s="330"/>
      <c r="Q716" s="330">
        <v>16319</v>
      </c>
    </row>
    <row r="717" spans="1:17">
      <c r="A717" s="328">
        <v>708</v>
      </c>
      <c r="B717" s="329" t="s">
        <v>689</v>
      </c>
      <c r="C717" s="329"/>
      <c r="D717" s="329"/>
      <c r="E717" s="333" t="s">
        <v>1089</v>
      </c>
      <c r="F717" s="328" t="s">
        <v>1091</v>
      </c>
      <c r="G717" s="328" t="s">
        <v>1092</v>
      </c>
      <c r="H717" s="328" t="s">
        <v>1090</v>
      </c>
      <c r="I717" s="328" t="s">
        <v>11</v>
      </c>
      <c r="J717" s="328" t="s">
        <v>815</v>
      </c>
      <c r="K717" s="330">
        <v>7000</v>
      </c>
      <c r="L717" s="330">
        <v>5829</v>
      </c>
      <c r="M717" s="330">
        <v>0</v>
      </c>
      <c r="N717" s="330"/>
      <c r="O717" s="330">
        <v>5693</v>
      </c>
      <c r="P717" s="330"/>
      <c r="Q717" s="330">
        <v>136</v>
      </c>
    </row>
    <row r="718" spans="1:17">
      <c r="A718" s="325">
        <v>709</v>
      </c>
      <c r="B718" s="332" t="s">
        <v>689</v>
      </c>
      <c r="C718" s="333"/>
      <c r="D718" s="333"/>
      <c r="E718" s="332" t="s">
        <v>3299</v>
      </c>
      <c r="F718" s="328" t="s">
        <v>3300</v>
      </c>
      <c r="G718" s="328" t="s">
        <v>3301</v>
      </c>
      <c r="H718" s="334" t="s">
        <v>1260</v>
      </c>
      <c r="I718" s="328" t="s">
        <v>11</v>
      </c>
      <c r="J718" s="328" t="s">
        <v>815</v>
      </c>
      <c r="K718" s="330">
        <v>6870</v>
      </c>
      <c r="L718" s="330">
        <v>22</v>
      </c>
      <c r="M718" s="330">
        <v>0</v>
      </c>
      <c r="N718" s="330"/>
      <c r="O718" s="330">
        <v>18</v>
      </c>
      <c r="P718" s="330"/>
      <c r="Q718" s="330">
        <v>4</v>
      </c>
    </row>
    <row r="719" spans="1:17">
      <c r="A719" s="328">
        <v>710</v>
      </c>
      <c r="B719" s="336" t="s">
        <v>1500</v>
      </c>
      <c r="C719" s="329"/>
      <c r="D719" s="329"/>
      <c r="E719" s="333" t="s">
        <v>1501</v>
      </c>
      <c r="F719" s="328" t="s">
        <v>1503</v>
      </c>
      <c r="G719" s="328" t="s">
        <v>1504</v>
      </c>
      <c r="H719" s="328" t="s">
        <v>1502</v>
      </c>
      <c r="I719" s="328" t="s">
        <v>14</v>
      </c>
      <c r="J719" s="328" t="s">
        <v>306</v>
      </c>
      <c r="K719" s="330">
        <v>29400</v>
      </c>
      <c r="L719" s="330">
        <v>83</v>
      </c>
      <c r="M719" s="330">
        <v>1800</v>
      </c>
      <c r="N719" s="330"/>
      <c r="O719" s="330">
        <v>1559</v>
      </c>
      <c r="P719" s="330"/>
      <c r="Q719" s="330">
        <v>324</v>
      </c>
    </row>
    <row r="720" spans="1:17">
      <c r="A720" s="328">
        <v>711</v>
      </c>
      <c r="B720" s="329" t="s">
        <v>870</v>
      </c>
      <c r="C720" s="333"/>
      <c r="D720" s="333"/>
      <c r="E720" s="332" t="s">
        <v>3302</v>
      </c>
      <c r="F720" s="328" t="s">
        <v>3303</v>
      </c>
      <c r="G720" s="328" t="s">
        <v>3304</v>
      </c>
      <c r="H720" s="328" t="s">
        <v>1568</v>
      </c>
      <c r="I720" s="328" t="s">
        <v>14</v>
      </c>
      <c r="J720" s="328" t="s">
        <v>1069</v>
      </c>
      <c r="K720" s="330">
        <v>10080</v>
      </c>
      <c r="L720" s="330">
        <v>625</v>
      </c>
      <c r="M720" s="330">
        <v>0</v>
      </c>
      <c r="N720" s="330"/>
      <c r="O720" s="330">
        <v>619</v>
      </c>
      <c r="P720" s="330"/>
      <c r="Q720" s="330">
        <v>6</v>
      </c>
    </row>
    <row r="721" spans="1:17">
      <c r="A721" s="328">
        <v>712</v>
      </c>
      <c r="B721" s="336" t="s">
        <v>855</v>
      </c>
      <c r="C721" s="329"/>
      <c r="D721" s="329"/>
      <c r="E721" s="636" t="s">
        <v>1176</v>
      </c>
      <c r="F721" s="337" t="s">
        <v>1178</v>
      </c>
      <c r="G721" s="337" t="s">
        <v>1170</v>
      </c>
      <c r="H721" s="337" t="s">
        <v>1177</v>
      </c>
      <c r="I721" s="337" t="s">
        <v>11</v>
      </c>
      <c r="J721" s="337" t="s">
        <v>623</v>
      </c>
      <c r="K721" s="330">
        <v>2690</v>
      </c>
      <c r="L721" s="330">
        <v>0</v>
      </c>
      <c r="M721" s="330">
        <v>10000</v>
      </c>
      <c r="N721" s="330"/>
      <c r="O721" s="330">
        <v>2101</v>
      </c>
      <c r="P721" s="330"/>
      <c r="Q721" s="330">
        <v>7899</v>
      </c>
    </row>
    <row r="722" spans="1:17">
      <c r="A722" s="328">
        <v>713</v>
      </c>
      <c r="B722" s="329" t="s">
        <v>855</v>
      </c>
      <c r="C722" s="329"/>
      <c r="D722" s="329"/>
      <c r="E722" s="333" t="s">
        <v>1774</v>
      </c>
      <c r="F722" s="328" t="s">
        <v>1775</v>
      </c>
      <c r="G722" s="328" t="s">
        <v>1170</v>
      </c>
      <c r="H722" s="328" t="s">
        <v>641</v>
      </c>
      <c r="I722" s="328" t="s">
        <v>11</v>
      </c>
      <c r="J722" s="328" t="s">
        <v>1736</v>
      </c>
      <c r="K722" s="330">
        <v>1400</v>
      </c>
      <c r="L722" s="330">
        <v>125</v>
      </c>
      <c r="M722" s="330">
        <v>20970</v>
      </c>
      <c r="N722" s="330"/>
      <c r="O722" s="330">
        <v>12559</v>
      </c>
      <c r="P722" s="330"/>
      <c r="Q722" s="330">
        <v>8536</v>
      </c>
    </row>
    <row r="723" spans="1:17">
      <c r="A723" s="328">
        <v>714</v>
      </c>
      <c r="B723" s="336" t="s">
        <v>634</v>
      </c>
      <c r="C723" s="329"/>
      <c r="D723" s="329"/>
      <c r="E723" s="333" t="s">
        <v>1822</v>
      </c>
      <c r="F723" s="328" t="s">
        <v>1823</v>
      </c>
      <c r="G723" s="328" t="s">
        <v>492</v>
      </c>
      <c r="H723" s="328" t="s">
        <v>267</v>
      </c>
      <c r="I723" s="328" t="s">
        <v>10</v>
      </c>
      <c r="J723" s="328" t="s">
        <v>620</v>
      </c>
      <c r="K723" s="330">
        <v>955</v>
      </c>
      <c r="L723" s="330">
        <v>0</v>
      </c>
      <c r="M723" s="330">
        <v>9996</v>
      </c>
      <c r="N723" s="330"/>
      <c r="O723" s="330">
        <v>6957</v>
      </c>
      <c r="P723" s="330"/>
      <c r="Q723" s="330">
        <v>3039</v>
      </c>
    </row>
    <row r="724" spans="1:17">
      <c r="A724" s="325">
        <v>715</v>
      </c>
      <c r="B724" s="329" t="s">
        <v>2541</v>
      </c>
      <c r="C724" s="333"/>
      <c r="D724" s="333"/>
      <c r="E724" s="332" t="s">
        <v>402</v>
      </c>
      <c r="F724" s="328" t="s">
        <v>3305</v>
      </c>
      <c r="G724" s="328" t="s">
        <v>2380</v>
      </c>
      <c r="H724" s="334" t="s">
        <v>327</v>
      </c>
      <c r="I724" s="334" t="s">
        <v>11</v>
      </c>
      <c r="J724" s="328" t="s">
        <v>642</v>
      </c>
      <c r="K724" s="330">
        <v>139</v>
      </c>
      <c r="L724" s="330">
        <v>17835</v>
      </c>
      <c r="M724" s="330">
        <v>0</v>
      </c>
      <c r="N724" s="330"/>
      <c r="O724" s="330">
        <v>17812</v>
      </c>
      <c r="P724" s="330"/>
      <c r="Q724" s="330">
        <v>23</v>
      </c>
    </row>
    <row r="725" spans="1:17">
      <c r="A725" s="328">
        <v>716</v>
      </c>
      <c r="B725" s="329" t="s">
        <v>265</v>
      </c>
      <c r="C725" s="333"/>
      <c r="D725" s="333"/>
      <c r="E725" s="333" t="s">
        <v>2542</v>
      </c>
      <c r="F725" s="328" t="s">
        <v>3306</v>
      </c>
      <c r="G725" s="328" t="s">
        <v>3307</v>
      </c>
      <c r="H725" s="328" t="s">
        <v>387</v>
      </c>
      <c r="I725" s="334" t="s">
        <v>11</v>
      </c>
      <c r="J725" s="328" t="s">
        <v>642</v>
      </c>
      <c r="K725" s="330">
        <v>2079</v>
      </c>
      <c r="L725" s="330">
        <v>40000</v>
      </c>
      <c r="M725" s="330">
        <v>0</v>
      </c>
      <c r="N725" s="330"/>
      <c r="O725" s="330">
        <v>5000</v>
      </c>
      <c r="P725" s="330"/>
      <c r="Q725" s="330">
        <v>35000</v>
      </c>
    </row>
    <row r="726" spans="1:17">
      <c r="A726" s="328">
        <v>717</v>
      </c>
      <c r="B726" s="336" t="s">
        <v>1179</v>
      </c>
      <c r="C726" s="329"/>
      <c r="D726" s="329"/>
      <c r="E726" s="333" t="s">
        <v>1598</v>
      </c>
      <c r="F726" s="328" t="s">
        <v>1599</v>
      </c>
      <c r="G726" s="328" t="s">
        <v>1765</v>
      </c>
      <c r="H726" s="328" t="s">
        <v>258</v>
      </c>
      <c r="I726" s="328" t="s">
        <v>10</v>
      </c>
      <c r="J726" s="328" t="s">
        <v>1350</v>
      </c>
      <c r="K726" s="330">
        <v>9500</v>
      </c>
      <c r="L726" s="330">
        <v>0</v>
      </c>
      <c r="M726" s="330">
        <v>4980</v>
      </c>
      <c r="N726" s="330"/>
      <c r="O726" s="330">
        <v>1329</v>
      </c>
      <c r="P726" s="330"/>
      <c r="Q726" s="330">
        <v>3651</v>
      </c>
    </row>
    <row r="727" spans="1:17">
      <c r="A727" s="328">
        <v>718</v>
      </c>
      <c r="B727" s="329" t="s">
        <v>1356</v>
      </c>
      <c r="C727" s="333"/>
      <c r="D727" s="333"/>
      <c r="E727" s="333" t="s">
        <v>2543</v>
      </c>
      <c r="F727" s="328" t="s">
        <v>3308</v>
      </c>
      <c r="G727" s="328" t="s">
        <v>3309</v>
      </c>
      <c r="H727" s="328" t="s">
        <v>238</v>
      </c>
      <c r="I727" s="334" t="s">
        <v>10</v>
      </c>
      <c r="J727" s="328" t="s">
        <v>642</v>
      </c>
      <c r="K727" s="330">
        <v>1831</v>
      </c>
      <c r="L727" s="330">
        <v>1440</v>
      </c>
      <c r="M727" s="330">
        <v>0</v>
      </c>
      <c r="N727" s="330"/>
      <c r="O727" s="330">
        <v>363</v>
      </c>
      <c r="P727" s="330"/>
      <c r="Q727" s="330">
        <v>1077</v>
      </c>
    </row>
    <row r="728" spans="1:17" ht="25.5">
      <c r="A728" s="328">
        <v>719</v>
      </c>
      <c r="B728" s="329" t="s">
        <v>624</v>
      </c>
      <c r="C728" s="329"/>
      <c r="D728" s="329"/>
      <c r="E728" s="333" t="s">
        <v>1094</v>
      </c>
      <c r="F728" s="328" t="s">
        <v>1095</v>
      </c>
      <c r="G728" s="328" t="s">
        <v>1093</v>
      </c>
      <c r="H728" s="328" t="s">
        <v>238</v>
      </c>
      <c r="I728" s="328" t="s">
        <v>11</v>
      </c>
      <c r="J728" s="328" t="s">
        <v>815</v>
      </c>
      <c r="K728" s="330">
        <v>3000</v>
      </c>
      <c r="L728" s="330">
        <v>0</v>
      </c>
      <c r="M728" s="330">
        <v>3000</v>
      </c>
      <c r="N728" s="330"/>
      <c r="O728" s="330">
        <v>35</v>
      </c>
      <c r="P728" s="330"/>
      <c r="Q728" s="330">
        <v>2965</v>
      </c>
    </row>
    <row r="729" spans="1:17">
      <c r="A729" s="328">
        <v>720</v>
      </c>
      <c r="B729" s="329" t="s">
        <v>792</v>
      </c>
      <c r="C729" s="329"/>
      <c r="D729" s="329"/>
      <c r="E729" s="333" t="s">
        <v>1934</v>
      </c>
      <c r="F729" s="328" t="s">
        <v>1937</v>
      </c>
      <c r="G729" s="328" t="s">
        <v>1913</v>
      </c>
      <c r="H729" s="328" t="s">
        <v>1935</v>
      </c>
      <c r="I729" s="328" t="s">
        <v>15</v>
      </c>
      <c r="J729" s="328" t="s">
        <v>1936</v>
      </c>
      <c r="K729" s="330">
        <v>9440</v>
      </c>
      <c r="L729" s="330">
        <v>0</v>
      </c>
      <c r="M729" s="330">
        <v>354</v>
      </c>
      <c r="N729" s="330"/>
      <c r="O729" s="330">
        <v>280</v>
      </c>
      <c r="P729" s="330"/>
      <c r="Q729" s="330">
        <v>74</v>
      </c>
    </row>
    <row r="730" spans="1:17">
      <c r="A730" s="325">
        <v>721</v>
      </c>
      <c r="B730" s="329" t="s">
        <v>792</v>
      </c>
      <c r="C730" s="329"/>
      <c r="D730" s="329"/>
      <c r="E730" s="333" t="s">
        <v>1929</v>
      </c>
      <c r="F730" s="328" t="s">
        <v>1932</v>
      </c>
      <c r="G730" s="328" t="s">
        <v>1913</v>
      </c>
      <c r="H730" s="328" t="s">
        <v>1930</v>
      </c>
      <c r="I730" s="328" t="s">
        <v>1933</v>
      </c>
      <c r="J730" s="328" t="s">
        <v>1931</v>
      </c>
      <c r="K730" s="330">
        <v>5250</v>
      </c>
      <c r="L730" s="330">
        <v>0</v>
      </c>
      <c r="M730" s="330">
        <v>190</v>
      </c>
      <c r="N730" s="330"/>
      <c r="O730" s="330">
        <v>172</v>
      </c>
      <c r="P730" s="330"/>
      <c r="Q730" s="330">
        <v>18</v>
      </c>
    </row>
    <row r="731" spans="1:17" ht="51">
      <c r="A731" s="328">
        <v>722</v>
      </c>
      <c r="B731" s="329" t="s">
        <v>3310</v>
      </c>
      <c r="C731" s="329"/>
      <c r="D731" s="329"/>
      <c r="E731" s="333" t="s">
        <v>3311</v>
      </c>
      <c r="F731" s="328" t="s">
        <v>3312</v>
      </c>
      <c r="G731" s="328" t="s">
        <v>2672</v>
      </c>
      <c r="H731" s="328" t="s">
        <v>3313</v>
      </c>
      <c r="I731" s="328" t="s">
        <v>14</v>
      </c>
      <c r="J731" s="328" t="s">
        <v>3314</v>
      </c>
      <c r="K731" s="330">
        <v>80000</v>
      </c>
      <c r="L731" s="330">
        <v>48</v>
      </c>
      <c r="M731" s="330">
        <v>0</v>
      </c>
      <c r="N731" s="330"/>
      <c r="O731" s="330">
        <v>0</v>
      </c>
      <c r="P731" s="330"/>
      <c r="Q731" s="330">
        <v>48</v>
      </c>
    </row>
    <row r="732" spans="1:17">
      <c r="A732" s="328">
        <v>723</v>
      </c>
      <c r="B732" s="336" t="s">
        <v>876</v>
      </c>
      <c r="C732" s="333"/>
      <c r="D732" s="333"/>
      <c r="E732" s="636" t="s">
        <v>877</v>
      </c>
      <c r="F732" s="337" t="s">
        <v>880</v>
      </c>
      <c r="G732" s="337" t="s">
        <v>881</v>
      </c>
      <c r="H732" s="337" t="s">
        <v>878</v>
      </c>
      <c r="I732" s="337" t="s">
        <v>628</v>
      </c>
      <c r="J732" s="337" t="s">
        <v>879</v>
      </c>
      <c r="K732" s="330">
        <v>13834</v>
      </c>
      <c r="L732" s="330">
        <v>0</v>
      </c>
      <c r="M732" s="330">
        <v>500</v>
      </c>
      <c r="N732" s="330"/>
      <c r="O732" s="330">
        <v>139</v>
      </c>
      <c r="P732" s="330"/>
      <c r="Q732" s="330">
        <v>361</v>
      </c>
    </row>
    <row r="733" spans="1:17">
      <c r="A733" s="328">
        <v>724</v>
      </c>
      <c r="B733" s="329" t="s">
        <v>870</v>
      </c>
      <c r="C733" s="333"/>
      <c r="D733" s="333"/>
      <c r="E733" s="333" t="s">
        <v>2544</v>
      </c>
      <c r="F733" s="328" t="s">
        <v>3315</v>
      </c>
      <c r="G733" s="328" t="s">
        <v>863</v>
      </c>
      <c r="H733" s="328" t="s">
        <v>2545</v>
      </c>
      <c r="I733" s="334" t="s">
        <v>14</v>
      </c>
      <c r="J733" s="328" t="s">
        <v>3316</v>
      </c>
      <c r="K733" s="330">
        <v>42300</v>
      </c>
      <c r="L733" s="330">
        <v>200</v>
      </c>
      <c r="M733" s="330">
        <v>0</v>
      </c>
      <c r="N733" s="330"/>
      <c r="O733" s="330">
        <v>2</v>
      </c>
      <c r="P733" s="330"/>
      <c r="Q733" s="330">
        <v>198</v>
      </c>
    </row>
    <row r="734" spans="1:17">
      <c r="A734" s="328">
        <v>725</v>
      </c>
      <c r="B734" s="329" t="s">
        <v>870</v>
      </c>
      <c r="C734" s="333"/>
      <c r="D734" s="333"/>
      <c r="E734" s="333" t="s">
        <v>2544</v>
      </c>
      <c r="F734" s="328" t="s">
        <v>3315</v>
      </c>
      <c r="G734" s="328" t="s">
        <v>863</v>
      </c>
      <c r="H734" s="328" t="s">
        <v>2546</v>
      </c>
      <c r="I734" s="334" t="s">
        <v>14</v>
      </c>
      <c r="J734" s="328" t="s">
        <v>3316</v>
      </c>
      <c r="K734" s="330">
        <v>3080</v>
      </c>
      <c r="L734" s="330">
        <v>500</v>
      </c>
      <c r="M734" s="330">
        <v>0</v>
      </c>
      <c r="N734" s="330"/>
      <c r="O734" s="330">
        <v>250</v>
      </c>
      <c r="P734" s="330"/>
      <c r="Q734" s="330">
        <v>250</v>
      </c>
    </row>
    <row r="735" spans="1:17">
      <c r="A735" s="328">
        <v>726</v>
      </c>
      <c r="B735" s="336" t="s">
        <v>802</v>
      </c>
      <c r="C735" s="329"/>
      <c r="D735" s="329"/>
      <c r="E735" s="333" t="s">
        <v>1605</v>
      </c>
      <c r="F735" s="328" t="s">
        <v>1606</v>
      </c>
      <c r="G735" s="328" t="s">
        <v>463</v>
      </c>
      <c r="H735" s="328" t="s">
        <v>272</v>
      </c>
      <c r="I735" s="328" t="s">
        <v>11</v>
      </c>
      <c r="J735" s="328" t="s">
        <v>1600</v>
      </c>
      <c r="K735" s="330">
        <v>3890</v>
      </c>
      <c r="L735" s="330">
        <v>0</v>
      </c>
      <c r="M735" s="330">
        <v>3204</v>
      </c>
      <c r="N735" s="330"/>
      <c r="O735" s="330">
        <v>2300</v>
      </c>
      <c r="P735" s="330"/>
      <c r="Q735" s="330">
        <v>904</v>
      </c>
    </row>
    <row r="736" spans="1:17">
      <c r="A736" s="325">
        <v>727</v>
      </c>
      <c r="B736" s="329" t="s">
        <v>802</v>
      </c>
      <c r="C736" s="333"/>
      <c r="D736" s="333"/>
      <c r="E736" s="332" t="s">
        <v>1605</v>
      </c>
      <c r="F736" s="328" t="s">
        <v>3317</v>
      </c>
      <c r="G736" s="328" t="s">
        <v>463</v>
      </c>
      <c r="H736" s="328" t="s">
        <v>272</v>
      </c>
      <c r="I736" s="328" t="s">
        <v>11</v>
      </c>
      <c r="J736" s="328" t="s">
        <v>1600</v>
      </c>
      <c r="K736" s="330">
        <v>4100</v>
      </c>
      <c r="L736" s="330">
        <v>6540</v>
      </c>
      <c r="M736" s="330">
        <v>0</v>
      </c>
      <c r="N736" s="330"/>
      <c r="O736" s="330">
        <v>3447</v>
      </c>
      <c r="P736" s="330"/>
      <c r="Q736" s="330">
        <v>3093</v>
      </c>
    </row>
    <row r="737" spans="1:17">
      <c r="A737" s="328">
        <v>728</v>
      </c>
      <c r="B737" s="329" t="s">
        <v>802</v>
      </c>
      <c r="C737" s="333"/>
      <c r="D737" s="333"/>
      <c r="E737" s="332" t="s">
        <v>3318</v>
      </c>
      <c r="F737" s="328" t="s">
        <v>1607</v>
      </c>
      <c r="G737" s="328" t="s">
        <v>463</v>
      </c>
      <c r="H737" s="328" t="s">
        <v>225</v>
      </c>
      <c r="I737" s="328" t="s">
        <v>11</v>
      </c>
      <c r="J737" s="328" t="s">
        <v>1600</v>
      </c>
      <c r="K737" s="330">
        <v>8000</v>
      </c>
      <c r="L737" s="330">
        <v>2566</v>
      </c>
      <c r="M737" s="330">
        <v>9996</v>
      </c>
      <c r="N737" s="330"/>
      <c r="O737" s="330">
        <v>10944</v>
      </c>
      <c r="P737" s="330"/>
      <c r="Q737" s="330">
        <v>1618</v>
      </c>
    </row>
    <row r="738" spans="1:17">
      <c r="A738" s="328">
        <v>729</v>
      </c>
      <c r="B738" s="331" t="s">
        <v>309</v>
      </c>
      <c r="C738" s="331"/>
      <c r="D738" s="331"/>
      <c r="E738" s="333" t="s">
        <v>466</v>
      </c>
      <c r="F738" s="328" t="s">
        <v>468</v>
      </c>
      <c r="G738" s="328" t="s">
        <v>463</v>
      </c>
      <c r="H738" s="328" t="s">
        <v>310</v>
      </c>
      <c r="I738" s="328" t="s">
        <v>10</v>
      </c>
      <c r="J738" s="328" t="s">
        <v>467</v>
      </c>
      <c r="K738" s="330">
        <v>420</v>
      </c>
      <c r="L738" s="330">
        <v>0</v>
      </c>
      <c r="M738" s="330">
        <v>30000</v>
      </c>
      <c r="N738" s="330"/>
      <c r="O738" s="330">
        <v>14680</v>
      </c>
      <c r="P738" s="330"/>
      <c r="Q738" s="330">
        <v>15320</v>
      </c>
    </row>
    <row r="739" spans="1:17">
      <c r="A739" s="328">
        <v>730</v>
      </c>
      <c r="B739" s="336" t="s">
        <v>1618</v>
      </c>
      <c r="C739" s="329"/>
      <c r="D739" s="329"/>
      <c r="E739" s="333" t="s">
        <v>1619</v>
      </c>
      <c r="F739" s="328" t="s">
        <v>1620</v>
      </c>
      <c r="G739" s="328" t="s">
        <v>463</v>
      </c>
      <c r="H739" s="328" t="s">
        <v>1232</v>
      </c>
      <c r="I739" s="328" t="s">
        <v>11</v>
      </c>
      <c r="J739" s="328" t="s">
        <v>1613</v>
      </c>
      <c r="K739" s="330">
        <v>880</v>
      </c>
      <c r="L739" s="330">
        <v>0</v>
      </c>
      <c r="M739" s="330">
        <v>4462</v>
      </c>
      <c r="N739" s="330"/>
      <c r="O739" s="330">
        <v>2792</v>
      </c>
      <c r="P739" s="330"/>
      <c r="Q739" s="330">
        <v>1670</v>
      </c>
    </row>
    <row r="740" spans="1:17">
      <c r="A740" s="328">
        <v>731</v>
      </c>
      <c r="B740" s="336" t="s">
        <v>645</v>
      </c>
      <c r="C740" s="329"/>
      <c r="D740" s="329"/>
      <c r="E740" s="333" t="s">
        <v>1615</v>
      </c>
      <c r="F740" s="328" t="s">
        <v>1617</v>
      </c>
      <c r="G740" s="328" t="s">
        <v>463</v>
      </c>
      <c r="H740" s="328" t="s">
        <v>291</v>
      </c>
      <c r="I740" s="328" t="s">
        <v>11</v>
      </c>
      <c r="J740" s="328" t="s">
        <v>1616</v>
      </c>
      <c r="K740" s="330">
        <v>2250</v>
      </c>
      <c r="L740" s="330">
        <v>0</v>
      </c>
      <c r="M740" s="330">
        <v>19980</v>
      </c>
      <c r="N740" s="330"/>
      <c r="O740" s="330">
        <v>16789</v>
      </c>
      <c r="P740" s="330"/>
      <c r="Q740" s="330">
        <v>3191</v>
      </c>
    </row>
    <row r="741" spans="1:17">
      <c r="A741" s="328">
        <v>732</v>
      </c>
      <c r="B741" s="329" t="s">
        <v>337</v>
      </c>
      <c r="C741" s="333"/>
      <c r="D741" s="333"/>
      <c r="E741" s="333" t="s">
        <v>2547</v>
      </c>
      <c r="F741" s="328" t="s">
        <v>3319</v>
      </c>
      <c r="G741" s="328" t="s">
        <v>3032</v>
      </c>
      <c r="H741" s="328" t="s">
        <v>272</v>
      </c>
      <c r="I741" s="328" t="s">
        <v>11</v>
      </c>
      <c r="J741" s="328" t="s">
        <v>1350</v>
      </c>
      <c r="K741" s="330">
        <v>1640</v>
      </c>
      <c r="L741" s="330">
        <v>3899</v>
      </c>
      <c r="M741" s="330">
        <v>0</v>
      </c>
      <c r="N741" s="330"/>
      <c r="O741" s="330">
        <v>3852</v>
      </c>
      <c r="P741" s="330"/>
      <c r="Q741" s="330">
        <v>47</v>
      </c>
    </row>
    <row r="742" spans="1:17">
      <c r="A742" s="325">
        <v>733</v>
      </c>
      <c r="B742" s="329" t="s">
        <v>855</v>
      </c>
      <c r="C742" s="329"/>
      <c r="D742" s="329"/>
      <c r="E742" s="636" t="s">
        <v>1298</v>
      </c>
      <c r="F742" s="328" t="s">
        <v>1300</v>
      </c>
      <c r="G742" s="328" t="s">
        <v>1301</v>
      </c>
      <c r="H742" s="328" t="s">
        <v>1299</v>
      </c>
      <c r="I742" s="328" t="s">
        <v>628</v>
      </c>
      <c r="J742" s="328" t="s">
        <v>241</v>
      </c>
      <c r="K742" s="330">
        <v>10300</v>
      </c>
      <c r="L742" s="330">
        <v>0</v>
      </c>
      <c r="M742" s="330">
        <v>700</v>
      </c>
      <c r="N742" s="330"/>
      <c r="O742" s="330">
        <v>461</v>
      </c>
      <c r="P742" s="330"/>
      <c r="Q742" s="330">
        <v>239</v>
      </c>
    </row>
    <row r="743" spans="1:17">
      <c r="A743" s="328">
        <v>734</v>
      </c>
      <c r="B743" s="329" t="s">
        <v>572</v>
      </c>
      <c r="C743" s="333"/>
      <c r="D743" s="333"/>
      <c r="E743" s="333" t="s">
        <v>2548</v>
      </c>
      <c r="F743" s="328" t="s">
        <v>3320</v>
      </c>
      <c r="G743" s="328" t="s">
        <v>3321</v>
      </c>
      <c r="H743" s="328" t="s">
        <v>235</v>
      </c>
      <c r="I743" s="328" t="s">
        <v>11</v>
      </c>
      <c r="J743" s="328" t="s">
        <v>2700</v>
      </c>
      <c r="K743" s="330">
        <v>810</v>
      </c>
      <c r="L743" s="330">
        <v>8891</v>
      </c>
      <c r="M743" s="330">
        <v>0</v>
      </c>
      <c r="N743" s="330"/>
      <c r="O743" s="330">
        <v>8831</v>
      </c>
      <c r="P743" s="330"/>
      <c r="Q743" s="330">
        <v>60</v>
      </c>
    </row>
    <row r="744" spans="1:17">
      <c r="A744" s="328">
        <v>735</v>
      </c>
      <c r="B744" s="336" t="s">
        <v>572</v>
      </c>
      <c r="C744" s="329"/>
      <c r="D744" s="329"/>
      <c r="E744" s="333" t="s">
        <v>573</v>
      </c>
      <c r="F744" s="328" t="s">
        <v>575</v>
      </c>
      <c r="G744" s="328" t="s">
        <v>215</v>
      </c>
      <c r="H744" s="328" t="s">
        <v>235</v>
      </c>
      <c r="I744" s="328" t="s">
        <v>11</v>
      </c>
      <c r="J744" s="328" t="s">
        <v>574</v>
      </c>
      <c r="K744" s="330">
        <v>680</v>
      </c>
      <c r="L744" s="330">
        <v>0</v>
      </c>
      <c r="M744" s="330">
        <v>30000</v>
      </c>
      <c r="N744" s="330"/>
      <c r="O744" s="330">
        <v>15066</v>
      </c>
      <c r="P744" s="330"/>
      <c r="Q744" s="330">
        <v>14934</v>
      </c>
    </row>
    <row r="745" spans="1:17">
      <c r="A745" s="328">
        <v>736</v>
      </c>
      <c r="B745" s="329" t="s">
        <v>1419</v>
      </c>
      <c r="C745" s="329"/>
      <c r="D745" s="329"/>
      <c r="E745" s="333" t="s">
        <v>1420</v>
      </c>
      <c r="F745" s="328" t="s">
        <v>1422</v>
      </c>
      <c r="G745" s="328" t="s">
        <v>1423</v>
      </c>
      <c r="H745" s="328" t="s">
        <v>1421</v>
      </c>
      <c r="I745" s="328" t="s">
        <v>11</v>
      </c>
      <c r="J745" s="328" t="s">
        <v>1237</v>
      </c>
      <c r="K745" s="330">
        <v>5400</v>
      </c>
      <c r="L745" s="330">
        <v>0</v>
      </c>
      <c r="M745" s="330">
        <v>960</v>
      </c>
      <c r="N745" s="330"/>
      <c r="O745" s="330">
        <v>960</v>
      </c>
      <c r="P745" s="330"/>
      <c r="Q745" s="330">
        <v>0</v>
      </c>
    </row>
    <row r="746" spans="1:17">
      <c r="A746" s="328">
        <v>737</v>
      </c>
      <c r="B746" s="331" t="s">
        <v>329</v>
      </c>
      <c r="C746" s="331"/>
      <c r="D746" s="331"/>
      <c r="E746" s="333" t="s">
        <v>330</v>
      </c>
      <c r="F746" s="328" t="s">
        <v>331</v>
      </c>
      <c r="G746" s="328" t="s">
        <v>324</v>
      </c>
      <c r="H746" s="328" t="s">
        <v>262</v>
      </c>
      <c r="I746" s="328" t="s">
        <v>10</v>
      </c>
      <c r="J746" s="328" t="s">
        <v>647</v>
      </c>
      <c r="K746" s="330">
        <v>400</v>
      </c>
      <c r="L746" s="330">
        <v>0</v>
      </c>
      <c r="M746" s="330">
        <v>9000</v>
      </c>
      <c r="N746" s="330"/>
      <c r="O746" s="330">
        <v>9000</v>
      </c>
      <c r="P746" s="330"/>
      <c r="Q746" s="330">
        <v>0</v>
      </c>
    </row>
    <row r="747" spans="1:17">
      <c r="A747" s="328">
        <v>738</v>
      </c>
      <c r="B747" s="336" t="s">
        <v>2014</v>
      </c>
      <c r="C747" s="329"/>
      <c r="D747" s="329"/>
      <c r="E747" s="636" t="s">
        <v>2015</v>
      </c>
      <c r="F747" s="337" t="s">
        <v>2018</v>
      </c>
      <c r="G747" s="337" t="s">
        <v>2013</v>
      </c>
      <c r="H747" s="337" t="s">
        <v>2016</v>
      </c>
      <c r="I747" s="337" t="s">
        <v>18</v>
      </c>
      <c r="J747" s="337" t="s">
        <v>2017</v>
      </c>
      <c r="K747" s="330">
        <v>138000</v>
      </c>
      <c r="L747" s="330">
        <v>3</v>
      </c>
      <c r="M747" s="330">
        <v>0</v>
      </c>
      <c r="N747" s="330"/>
      <c r="O747" s="330">
        <v>0</v>
      </c>
      <c r="P747" s="330"/>
      <c r="Q747" s="330">
        <v>3</v>
      </c>
    </row>
    <row r="748" spans="1:17">
      <c r="A748" s="325">
        <v>739</v>
      </c>
      <c r="B748" s="342" t="s">
        <v>3322</v>
      </c>
      <c r="C748" s="329"/>
      <c r="D748" s="329"/>
      <c r="E748" s="333" t="s">
        <v>3323</v>
      </c>
      <c r="F748" s="328" t="s">
        <v>3324</v>
      </c>
      <c r="G748" s="328" t="s">
        <v>3325</v>
      </c>
      <c r="H748" s="328" t="s">
        <v>238</v>
      </c>
      <c r="I748" s="328" t="s">
        <v>11</v>
      </c>
      <c r="J748" s="328" t="s">
        <v>642</v>
      </c>
      <c r="K748" s="330">
        <v>2150</v>
      </c>
      <c r="L748" s="330">
        <v>6366</v>
      </c>
      <c r="M748" s="330">
        <v>0</v>
      </c>
      <c r="N748" s="330"/>
      <c r="O748" s="330">
        <v>6363</v>
      </c>
      <c r="P748" s="330"/>
      <c r="Q748" s="330">
        <v>3</v>
      </c>
    </row>
    <row r="749" spans="1:17">
      <c r="A749" s="328">
        <v>740</v>
      </c>
      <c r="B749" s="329" t="s">
        <v>323</v>
      </c>
      <c r="C749" s="333"/>
      <c r="D749" s="333"/>
      <c r="E749" s="333" t="s">
        <v>2549</v>
      </c>
      <c r="F749" s="328" t="s">
        <v>3326</v>
      </c>
      <c r="G749" s="328" t="s">
        <v>458</v>
      </c>
      <c r="H749" s="328" t="s">
        <v>272</v>
      </c>
      <c r="I749" s="328" t="s">
        <v>11</v>
      </c>
      <c r="J749" s="328" t="s">
        <v>647</v>
      </c>
      <c r="K749" s="330">
        <v>10800</v>
      </c>
      <c r="L749" s="330">
        <v>8198</v>
      </c>
      <c r="M749" s="330">
        <v>0</v>
      </c>
      <c r="N749" s="330"/>
      <c r="O749" s="330">
        <v>8197</v>
      </c>
      <c r="P749" s="330"/>
      <c r="Q749" s="330">
        <v>1</v>
      </c>
    </row>
    <row r="750" spans="1:17">
      <c r="A750" s="328">
        <v>741</v>
      </c>
      <c r="B750" s="329" t="s">
        <v>323</v>
      </c>
      <c r="C750" s="333"/>
      <c r="D750" s="333"/>
      <c r="E750" s="333" t="s">
        <v>2550</v>
      </c>
      <c r="F750" s="328" t="s">
        <v>3327</v>
      </c>
      <c r="G750" s="328" t="s">
        <v>458</v>
      </c>
      <c r="H750" s="328" t="s">
        <v>225</v>
      </c>
      <c r="I750" s="328" t="s">
        <v>11</v>
      </c>
      <c r="J750" s="328" t="s">
        <v>647</v>
      </c>
      <c r="K750" s="330">
        <v>16860</v>
      </c>
      <c r="L750" s="330">
        <v>4889</v>
      </c>
      <c r="M750" s="330">
        <v>0</v>
      </c>
      <c r="N750" s="330"/>
      <c r="O750" s="330">
        <v>3853</v>
      </c>
      <c r="P750" s="330"/>
      <c r="Q750" s="330">
        <v>1036</v>
      </c>
    </row>
    <row r="751" spans="1:17">
      <c r="A751" s="328">
        <v>742</v>
      </c>
      <c r="B751" s="331" t="s">
        <v>347</v>
      </c>
      <c r="C751" s="331"/>
      <c r="D751" s="331"/>
      <c r="E751" s="333" t="s">
        <v>459</v>
      </c>
      <c r="F751" s="328" t="s">
        <v>460</v>
      </c>
      <c r="G751" s="328" t="s">
        <v>458</v>
      </c>
      <c r="H751" s="328" t="s">
        <v>327</v>
      </c>
      <c r="I751" s="328" t="s">
        <v>10</v>
      </c>
      <c r="J751" s="328" t="s">
        <v>642</v>
      </c>
      <c r="K751" s="330">
        <v>596</v>
      </c>
      <c r="L751" s="330">
        <v>0</v>
      </c>
      <c r="M751" s="330">
        <v>129990</v>
      </c>
      <c r="N751" s="330"/>
      <c r="O751" s="330">
        <v>97753</v>
      </c>
      <c r="P751" s="330"/>
      <c r="Q751" s="330">
        <v>32237</v>
      </c>
    </row>
    <row r="752" spans="1:17">
      <c r="A752" s="328">
        <v>743</v>
      </c>
      <c r="B752" s="331" t="s">
        <v>236</v>
      </c>
      <c r="C752" s="331"/>
      <c r="D752" s="331"/>
      <c r="E752" s="333" t="s">
        <v>408</v>
      </c>
      <c r="F752" s="328" t="s">
        <v>409</v>
      </c>
      <c r="G752" s="328" t="s">
        <v>407</v>
      </c>
      <c r="H752" s="328" t="s">
        <v>238</v>
      </c>
      <c r="I752" s="328" t="s">
        <v>10</v>
      </c>
      <c r="J752" s="328" t="s">
        <v>642</v>
      </c>
      <c r="K752" s="330">
        <v>530</v>
      </c>
      <c r="L752" s="330">
        <v>0</v>
      </c>
      <c r="M752" s="330">
        <v>28000</v>
      </c>
      <c r="N752" s="330"/>
      <c r="O752" s="330">
        <v>11444</v>
      </c>
      <c r="P752" s="330"/>
      <c r="Q752" s="330">
        <v>16556</v>
      </c>
    </row>
    <row r="753" spans="1:27">
      <c r="A753" s="328">
        <v>744</v>
      </c>
      <c r="B753" s="331" t="s">
        <v>236</v>
      </c>
      <c r="C753" s="331"/>
      <c r="D753" s="331"/>
      <c r="E753" s="333" t="s">
        <v>405</v>
      </c>
      <c r="F753" s="328" t="s">
        <v>406</v>
      </c>
      <c r="G753" s="328" t="s">
        <v>407</v>
      </c>
      <c r="H753" s="328" t="s">
        <v>327</v>
      </c>
      <c r="I753" s="328" t="s">
        <v>10</v>
      </c>
      <c r="J753" s="328" t="s">
        <v>642</v>
      </c>
      <c r="K753" s="330">
        <v>428</v>
      </c>
      <c r="L753" s="330">
        <v>732</v>
      </c>
      <c r="M753" s="330">
        <v>69440</v>
      </c>
      <c r="N753" s="330"/>
      <c r="O753" s="330">
        <v>42956</v>
      </c>
      <c r="P753" s="330"/>
      <c r="Q753" s="330">
        <v>27216</v>
      </c>
    </row>
    <row r="754" spans="1:27">
      <c r="A754" s="325">
        <v>745</v>
      </c>
      <c r="B754" s="331" t="s">
        <v>353</v>
      </c>
      <c r="C754" s="331"/>
      <c r="D754" s="331"/>
      <c r="E754" s="333" t="s">
        <v>354</v>
      </c>
      <c r="F754" s="328" t="s">
        <v>356</v>
      </c>
      <c r="G754" s="328" t="s">
        <v>357</v>
      </c>
      <c r="H754" s="328" t="s">
        <v>355</v>
      </c>
      <c r="I754" s="328" t="s">
        <v>520</v>
      </c>
      <c r="J754" s="328" t="s">
        <v>241</v>
      </c>
      <c r="K754" s="330">
        <v>20400</v>
      </c>
      <c r="L754" s="330">
        <v>0</v>
      </c>
      <c r="M754" s="330">
        <v>100</v>
      </c>
      <c r="N754" s="330"/>
      <c r="O754" s="330">
        <v>11</v>
      </c>
      <c r="P754" s="330"/>
      <c r="Q754" s="330">
        <v>89</v>
      </c>
    </row>
    <row r="755" spans="1:27" ht="25.5">
      <c r="A755" s="328">
        <v>746</v>
      </c>
      <c r="B755" s="336" t="s">
        <v>2298</v>
      </c>
      <c r="C755" s="329"/>
      <c r="D755" s="329"/>
      <c r="E755" s="333" t="s">
        <v>163</v>
      </c>
      <c r="F755" s="328" t="s">
        <v>2299</v>
      </c>
      <c r="G755" s="328" t="s">
        <v>2253</v>
      </c>
      <c r="H755" s="328" t="s">
        <v>165</v>
      </c>
      <c r="I755" s="328" t="s">
        <v>16</v>
      </c>
      <c r="J755" s="328" t="s">
        <v>2250</v>
      </c>
      <c r="K755" s="330">
        <v>850</v>
      </c>
      <c r="L755" s="330">
        <v>0</v>
      </c>
      <c r="M755" s="330">
        <v>120000</v>
      </c>
      <c r="N755" s="330"/>
      <c r="O755" s="330">
        <v>97380</v>
      </c>
      <c r="P755" s="330"/>
      <c r="Q755" s="330">
        <v>22620</v>
      </c>
    </row>
    <row r="756" spans="1:27">
      <c r="A756" s="328">
        <v>747</v>
      </c>
      <c r="B756" s="347" t="s">
        <v>876</v>
      </c>
      <c r="C756" s="329"/>
      <c r="D756" s="329"/>
      <c r="E756" s="640" t="s">
        <v>3328</v>
      </c>
      <c r="F756" s="348" t="s">
        <v>3329</v>
      </c>
      <c r="G756" s="348" t="s">
        <v>881</v>
      </c>
      <c r="H756" s="348" t="s">
        <v>3330</v>
      </c>
      <c r="I756" s="348" t="s">
        <v>18</v>
      </c>
      <c r="J756" s="348" t="s">
        <v>3331</v>
      </c>
      <c r="K756" s="330">
        <v>203522</v>
      </c>
      <c r="L756" s="330">
        <v>26</v>
      </c>
      <c r="M756" s="330"/>
      <c r="N756" s="330"/>
      <c r="O756" s="330">
        <v>26</v>
      </c>
      <c r="P756" s="330"/>
      <c r="Q756" s="330"/>
      <c r="R756" s="37"/>
      <c r="T756" s="37"/>
      <c r="U756" s="37"/>
      <c r="V756" s="37"/>
      <c r="W756" s="37"/>
      <c r="X756" s="37"/>
      <c r="Y756" s="37"/>
      <c r="Z756" s="37"/>
      <c r="AA756" s="37"/>
    </row>
    <row r="757" spans="1:27">
      <c r="A757" s="328">
        <v>748</v>
      </c>
      <c r="B757" s="329" t="s">
        <v>758</v>
      </c>
      <c r="C757" s="333"/>
      <c r="D757" s="333"/>
      <c r="E757" s="333" t="s">
        <v>2569</v>
      </c>
      <c r="F757" s="328" t="s">
        <v>3332</v>
      </c>
      <c r="G757" s="328" t="s">
        <v>3333</v>
      </c>
      <c r="H757" s="328" t="s">
        <v>3334</v>
      </c>
      <c r="I757" s="334" t="s">
        <v>15</v>
      </c>
      <c r="J757" s="328" t="s">
        <v>277</v>
      </c>
      <c r="K757" s="330">
        <v>6930</v>
      </c>
      <c r="L757" s="330">
        <v>1000</v>
      </c>
      <c r="M757" s="330">
        <v>0</v>
      </c>
      <c r="N757" s="330"/>
      <c r="O757" s="330">
        <v>0</v>
      </c>
      <c r="P757" s="330"/>
      <c r="Q757" s="330">
        <v>1000</v>
      </c>
    </row>
    <row r="758" spans="1:27">
      <c r="A758" s="328">
        <v>749</v>
      </c>
      <c r="B758" s="329" t="s">
        <v>758</v>
      </c>
      <c r="C758" s="333"/>
      <c r="D758" s="333"/>
      <c r="E758" s="333" t="s">
        <v>2570</v>
      </c>
      <c r="F758" s="328" t="s">
        <v>3335</v>
      </c>
      <c r="G758" s="328" t="s">
        <v>2927</v>
      </c>
      <c r="H758" s="328" t="s">
        <v>759</v>
      </c>
      <c r="I758" s="328" t="s">
        <v>15</v>
      </c>
      <c r="J758" s="328" t="s">
        <v>3104</v>
      </c>
      <c r="K758" s="330">
        <v>11025</v>
      </c>
      <c r="L758" s="330">
        <v>879</v>
      </c>
      <c r="M758" s="330">
        <v>45</v>
      </c>
      <c r="N758" s="330"/>
      <c r="O758" s="330">
        <v>862</v>
      </c>
      <c r="P758" s="330"/>
      <c r="Q758" s="330">
        <v>62</v>
      </c>
    </row>
    <row r="759" spans="1:27">
      <c r="A759" s="328">
        <v>750</v>
      </c>
      <c r="B759" s="329" t="s">
        <v>708</v>
      </c>
      <c r="C759" s="329"/>
      <c r="D759" s="329"/>
      <c r="E759" s="333" t="s">
        <v>709</v>
      </c>
      <c r="F759" s="328" t="s">
        <v>711</v>
      </c>
      <c r="G759" s="328" t="s">
        <v>712</v>
      </c>
      <c r="H759" s="328" t="s">
        <v>272</v>
      </c>
      <c r="I759" s="328" t="s">
        <v>12</v>
      </c>
      <c r="J759" s="328" t="s">
        <v>710</v>
      </c>
      <c r="K759" s="330">
        <v>3150</v>
      </c>
      <c r="L759" s="330">
        <v>5176</v>
      </c>
      <c r="M759" s="330">
        <v>16600</v>
      </c>
      <c r="N759" s="330"/>
      <c r="O759" s="330">
        <v>17861</v>
      </c>
      <c r="P759" s="330"/>
      <c r="Q759" s="330">
        <v>3915</v>
      </c>
    </row>
    <row r="760" spans="1:27">
      <c r="A760" s="325">
        <v>751</v>
      </c>
      <c r="B760" s="347" t="s">
        <v>2470</v>
      </c>
      <c r="C760" s="329"/>
      <c r="D760" s="329"/>
      <c r="E760" s="640" t="s">
        <v>3336</v>
      </c>
      <c r="F760" s="348" t="s">
        <v>3337</v>
      </c>
      <c r="G760" s="348" t="s">
        <v>3338</v>
      </c>
      <c r="H760" s="348" t="s">
        <v>384</v>
      </c>
      <c r="I760" s="348" t="s">
        <v>10</v>
      </c>
      <c r="J760" s="348" t="s">
        <v>2394</v>
      </c>
      <c r="K760" s="330">
        <v>150</v>
      </c>
      <c r="L760" s="330">
        <f>210</f>
        <v>210</v>
      </c>
      <c r="M760" s="330"/>
      <c r="N760" s="330"/>
      <c r="O760" s="330">
        <v>210</v>
      </c>
      <c r="P760" s="330"/>
      <c r="Q760" s="330"/>
      <c r="R760" s="37"/>
      <c r="T760" s="37"/>
      <c r="U760" s="37"/>
      <c r="V760" s="37"/>
      <c r="W760" s="37"/>
      <c r="X760" s="37"/>
      <c r="Y760" s="37"/>
      <c r="Z760" s="37"/>
      <c r="AA760" s="37"/>
    </row>
    <row r="761" spans="1:27">
      <c r="A761" s="328">
        <v>752</v>
      </c>
      <c r="B761" s="331" t="s">
        <v>433</v>
      </c>
      <c r="C761" s="331"/>
      <c r="D761" s="331"/>
      <c r="E761" s="333" t="s">
        <v>481</v>
      </c>
      <c r="F761" s="328" t="s">
        <v>484</v>
      </c>
      <c r="G761" s="328" t="s">
        <v>485</v>
      </c>
      <c r="H761" s="328" t="s">
        <v>482</v>
      </c>
      <c r="I761" s="328" t="s">
        <v>14</v>
      </c>
      <c r="J761" s="328" t="s">
        <v>483</v>
      </c>
      <c r="K761" s="330">
        <v>14910</v>
      </c>
      <c r="L761" s="330">
        <v>0</v>
      </c>
      <c r="M761" s="330">
        <v>100</v>
      </c>
      <c r="N761" s="330"/>
      <c r="O761" s="330">
        <v>58</v>
      </c>
      <c r="P761" s="330"/>
      <c r="Q761" s="330">
        <v>42</v>
      </c>
    </row>
    <row r="762" spans="1:27">
      <c r="A762" s="328">
        <v>753</v>
      </c>
      <c r="B762" s="336" t="s">
        <v>1302</v>
      </c>
      <c r="C762" s="329"/>
      <c r="D762" s="329"/>
      <c r="E762" s="333" t="s">
        <v>1994</v>
      </c>
      <c r="F762" s="328" t="s">
        <v>1996</v>
      </c>
      <c r="G762" s="328" t="s">
        <v>1946</v>
      </c>
      <c r="H762" s="328" t="s">
        <v>1995</v>
      </c>
      <c r="I762" s="328" t="s">
        <v>11</v>
      </c>
      <c r="J762" s="328" t="s">
        <v>842</v>
      </c>
      <c r="K762" s="330">
        <v>2583</v>
      </c>
      <c r="L762" s="330">
        <v>4</v>
      </c>
      <c r="M762" s="330">
        <v>14980</v>
      </c>
      <c r="N762" s="330"/>
      <c r="O762" s="330">
        <v>3869</v>
      </c>
      <c r="P762" s="330"/>
      <c r="Q762" s="330">
        <v>11115</v>
      </c>
    </row>
    <row r="763" spans="1:27">
      <c r="A763" s="328">
        <v>754</v>
      </c>
      <c r="B763" s="329" t="s">
        <v>1380</v>
      </c>
      <c r="C763" s="329"/>
      <c r="D763" s="329"/>
      <c r="E763" s="333" t="s">
        <v>1381</v>
      </c>
      <c r="F763" s="328" t="s">
        <v>1382</v>
      </c>
      <c r="G763" s="328" t="s">
        <v>360</v>
      </c>
      <c r="H763" s="328" t="s">
        <v>310</v>
      </c>
      <c r="I763" s="328" t="s">
        <v>11</v>
      </c>
      <c r="J763" s="328" t="s">
        <v>642</v>
      </c>
      <c r="K763" s="330">
        <v>268</v>
      </c>
      <c r="L763" s="330">
        <v>0</v>
      </c>
      <c r="M763" s="330">
        <v>23900</v>
      </c>
      <c r="N763" s="330"/>
      <c r="O763" s="330">
        <v>14426</v>
      </c>
      <c r="P763" s="330"/>
      <c r="Q763" s="330">
        <v>9474</v>
      </c>
    </row>
    <row r="764" spans="1:27">
      <c r="A764" s="328">
        <v>755</v>
      </c>
      <c r="B764" s="329" t="s">
        <v>1380</v>
      </c>
      <c r="C764" s="333"/>
      <c r="D764" s="333"/>
      <c r="E764" s="333" t="s">
        <v>1381</v>
      </c>
      <c r="F764" s="328" t="s">
        <v>1382</v>
      </c>
      <c r="G764" s="328" t="s">
        <v>861</v>
      </c>
      <c r="H764" s="328" t="s">
        <v>310</v>
      </c>
      <c r="I764" s="328" t="s">
        <v>11</v>
      </c>
      <c r="J764" s="328" t="s">
        <v>642</v>
      </c>
      <c r="K764" s="330">
        <v>290</v>
      </c>
      <c r="L764" s="330">
        <v>692</v>
      </c>
      <c r="M764" s="330">
        <v>0</v>
      </c>
      <c r="N764" s="330"/>
      <c r="O764" s="330">
        <v>692</v>
      </c>
      <c r="P764" s="330"/>
      <c r="Q764" s="330">
        <v>0</v>
      </c>
    </row>
    <row r="765" spans="1:27">
      <c r="A765" s="328">
        <v>756</v>
      </c>
      <c r="B765" s="329" t="s">
        <v>1380</v>
      </c>
      <c r="C765" s="329"/>
      <c r="D765" s="329"/>
      <c r="E765" s="333" t="s">
        <v>1383</v>
      </c>
      <c r="F765" s="328" t="s">
        <v>1384</v>
      </c>
      <c r="G765" s="328" t="s">
        <v>360</v>
      </c>
      <c r="H765" s="328" t="s">
        <v>869</v>
      </c>
      <c r="I765" s="328" t="s">
        <v>11</v>
      </c>
      <c r="J765" s="328" t="s">
        <v>642</v>
      </c>
      <c r="K765" s="330">
        <v>532</v>
      </c>
      <c r="L765" s="330">
        <v>0</v>
      </c>
      <c r="M765" s="330">
        <v>7200</v>
      </c>
      <c r="N765" s="330"/>
      <c r="O765" s="330">
        <v>6760</v>
      </c>
      <c r="P765" s="330"/>
      <c r="Q765" s="330">
        <v>440</v>
      </c>
    </row>
    <row r="766" spans="1:27">
      <c r="A766" s="325">
        <v>757</v>
      </c>
      <c r="B766" s="329" t="s">
        <v>3339</v>
      </c>
      <c r="C766" s="329"/>
      <c r="D766" s="329"/>
      <c r="E766" s="333" t="s">
        <v>3340</v>
      </c>
      <c r="F766" s="328" t="s">
        <v>3341</v>
      </c>
      <c r="G766" s="328" t="s">
        <v>2945</v>
      </c>
      <c r="H766" s="328" t="s">
        <v>3342</v>
      </c>
      <c r="I766" s="328" t="s">
        <v>13</v>
      </c>
      <c r="J766" s="328" t="s">
        <v>562</v>
      </c>
      <c r="K766" s="330">
        <v>1150</v>
      </c>
      <c r="L766" s="330">
        <v>40</v>
      </c>
      <c r="M766" s="330">
        <v>0</v>
      </c>
      <c r="N766" s="330"/>
      <c r="O766" s="330">
        <v>40</v>
      </c>
      <c r="P766" s="330"/>
      <c r="Q766" s="330">
        <v>0</v>
      </c>
    </row>
    <row r="767" spans="1:27">
      <c r="A767" s="328">
        <v>758</v>
      </c>
      <c r="B767" s="336" t="s">
        <v>1029</v>
      </c>
      <c r="C767" s="329"/>
      <c r="D767" s="329"/>
      <c r="E767" s="636" t="s">
        <v>1030</v>
      </c>
      <c r="F767" s="337" t="s">
        <v>1032</v>
      </c>
      <c r="G767" s="337" t="s">
        <v>1033</v>
      </c>
      <c r="H767" s="337" t="s">
        <v>1031</v>
      </c>
      <c r="I767" s="337" t="s">
        <v>10</v>
      </c>
      <c r="J767" s="337" t="s">
        <v>884</v>
      </c>
      <c r="K767" s="330">
        <v>4397</v>
      </c>
      <c r="L767" s="330">
        <v>4000</v>
      </c>
      <c r="M767" s="330">
        <v>0</v>
      </c>
      <c r="N767" s="330"/>
      <c r="O767" s="330">
        <v>3836</v>
      </c>
      <c r="P767" s="330"/>
      <c r="Q767" s="330">
        <v>164</v>
      </c>
    </row>
    <row r="768" spans="1:27">
      <c r="A768" s="328">
        <v>759</v>
      </c>
      <c r="B768" s="333" t="s">
        <v>1235</v>
      </c>
      <c r="C768" s="329"/>
      <c r="D768" s="329"/>
      <c r="E768" s="333" t="s">
        <v>1877</v>
      </c>
      <c r="F768" s="340" t="s">
        <v>1879</v>
      </c>
      <c r="G768" s="340" t="s">
        <v>1880</v>
      </c>
      <c r="H768" s="340" t="s">
        <v>272</v>
      </c>
      <c r="I768" s="337" t="s">
        <v>12</v>
      </c>
      <c r="J768" s="340" t="s">
        <v>1878</v>
      </c>
      <c r="K768" s="330">
        <v>9030</v>
      </c>
      <c r="L768" s="330">
        <v>0</v>
      </c>
      <c r="M768" s="330">
        <v>2000</v>
      </c>
      <c r="N768" s="330"/>
      <c r="O768" s="330">
        <v>174</v>
      </c>
      <c r="P768" s="330"/>
      <c r="Q768" s="330">
        <v>1826</v>
      </c>
    </row>
    <row r="769" spans="1:27">
      <c r="A769" s="328">
        <v>760</v>
      </c>
      <c r="B769" s="336" t="s">
        <v>1029</v>
      </c>
      <c r="C769" s="329"/>
      <c r="D769" s="329"/>
      <c r="E769" s="333" t="s">
        <v>1228</v>
      </c>
      <c r="F769" s="328" t="s">
        <v>1230</v>
      </c>
      <c r="G769" s="328" t="s">
        <v>352</v>
      </c>
      <c r="H769" s="328" t="s">
        <v>1229</v>
      </c>
      <c r="I769" s="328" t="s">
        <v>13</v>
      </c>
      <c r="J769" s="328" t="s">
        <v>1208</v>
      </c>
      <c r="K769" s="330">
        <v>1155</v>
      </c>
      <c r="L769" s="330">
        <v>0</v>
      </c>
      <c r="M769" s="330">
        <v>3168</v>
      </c>
      <c r="N769" s="330"/>
      <c r="O769" s="330">
        <v>2900</v>
      </c>
      <c r="P769" s="330"/>
      <c r="Q769" s="330">
        <v>268</v>
      </c>
    </row>
    <row r="770" spans="1:27">
      <c r="A770" s="328">
        <v>761</v>
      </c>
      <c r="B770" s="329" t="s">
        <v>1029</v>
      </c>
      <c r="C770" s="333"/>
      <c r="D770" s="333"/>
      <c r="E770" s="333" t="s">
        <v>2551</v>
      </c>
      <c r="F770" s="328" t="s">
        <v>3343</v>
      </c>
      <c r="G770" s="328" t="s">
        <v>3344</v>
      </c>
      <c r="H770" s="328" t="s">
        <v>2552</v>
      </c>
      <c r="I770" s="328" t="s">
        <v>11</v>
      </c>
      <c r="J770" s="328" t="s">
        <v>647</v>
      </c>
      <c r="K770" s="330">
        <v>1285</v>
      </c>
      <c r="L770" s="330">
        <v>7274</v>
      </c>
      <c r="M770" s="330">
        <v>0</v>
      </c>
      <c r="N770" s="330"/>
      <c r="O770" s="330">
        <v>5867</v>
      </c>
      <c r="P770" s="330"/>
      <c r="Q770" s="330">
        <v>1407</v>
      </c>
    </row>
    <row r="771" spans="1:27">
      <c r="A771" s="328">
        <v>762</v>
      </c>
      <c r="B771" s="336" t="s">
        <v>1424</v>
      </c>
      <c r="C771" s="329"/>
      <c r="D771" s="329"/>
      <c r="E771" s="333" t="s">
        <v>1425</v>
      </c>
      <c r="F771" s="328" t="s">
        <v>1428</v>
      </c>
      <c r="G771" s="328" t="s">
        <v>1429</v>
      </c>
      <c r="H771" s="328" t="s">
        <v>1426</v>
      </c>
      <c r="I771" s="328" t="s">
        <v>10</v>
      </c>
      <c r="J771" s="328" t="s">
        <v>1427</v>
      </c>
      <c r="K771" s="330">
        <v>220</v>
      </c>
      <c r="L771" s="330">
        <v>0</v>
      </c>
      <c r="M771" s="330">
        <v>42000</v>
      </c>
      <c r="N771" s="330"/>
      <c r="O771" s="330">
        <v>41928</v>
      </c>
      <c r="P771" s="330"/>
      <c r="Q771" s="330">
        <v>72</v>
      </c>
    </row>
    <row r="772" spans="1:27">
      <c r="A772" s="325">
        <v>763</v>
      </c>
      <c r="B772" s="336" t="s">
        <v>1167</v>
      </c>
      <c r="C772" s="329"/>
      <c r="D772" s="329"/>
      <c r="E772" s="636" t="s">
        <v>1168</v>
      </c>
      <c r="F772" s="337" t="s">
        <v>1169</v>
      </c>
      <c r="G772" s="337" t="s">
        <v>1159</v>
      </c>
      <c r="H772" s="337" t="s">
        <v>258</v>
      </c>
      <c r="I772" s="337" t="s">
        <v>11</v>
      </c>
      <c r="J772" s="337" t="s">
        <v>620</v>
      </c>
      <c r="K772" s="330">
        <v>4500</v>
      </c>
      <c r="L772" s="330">
        <v>19478</v>
      </c>
      <c r="M772" s="330">
        <v>0</v>
      </c>
      <c r="N772" s="330"/>
      <c r="O772" s="330">
        <v>5672</v>
      </c>
      <c r="P772" s="330"/>
      <c r="Q772" s="330">
        <v>13806</v>
      </c>
    </row>
    <row r="773" spans="1:27">
      <c r="A773" s="328">
        <v>764</v>
      </c>
      <c r="B773" s="329" t="s">
        <v>750</v>
      </c>
      <c r="C773" s="333"/>
      <c r="D773" s="333"/>
      <c r="E773" s="333" t="s">
        <v>3345</v>
      </c>
      <c r="F773" s="328" t="s">
        <v>3346</v>
      </c>
      <c r="G773" s="328" t="s">
        <v>1867</v>
      </c>
      <c r="H773" s="328" t="s">
        <v>3347</v>
      </c>
      <c r="I773" s="328" t="s">
        <v>13</v>
      </c>
      <c r="J773" s="328" t="s">
        <v>2386</v>
      </c>
      <c r="K773" s="330">
        <v>382</v>
      </c>
      <c r="L773" s="330">
        <v>1989</v>
      </c>
      <c r="M773" s="330">
        <v>0</v>
      </c>
      <c r="N773" s="330"/>
      <c r="O773" s="330">
        <v>1989</v>
      </c>
      <c r="P773" s="330"/>
      <c r="Q773" s="330">
        <v>0</v>
      </c>
    </row>
    <row r="774" spans="1:27">
      <c r="A774" s="328">
        <v>765</v>
      </c>
      <c r="B774" s="329" t="s">
        <v>359</v>
      </c>
      <c r="C774" s="329"/>
      <c r="D774" s="329"/>
      <c r="E774" s="333" t="s">
        <v>1532</v>
      </c>
      <c r="F774" s="328" t="s">
        <v>1533</v>
      </c>
      <c r="G774" s="328" t="s">
        <v>458</v>
      </c>
      <c r="H774" s="328" t="s">
        <v>258</v>
      </c>
      <c r="I774" s="328" t="s">
        <v>10</v>
      </c>
      <c r="J774" s="328" t="s">
        <v>1239</v>
      </c>
      <c r="K774" s="330">
        <v>1750</v>
      </c>
      <c r="L774" s="330">
        <v>0</v>
      </c>
      <c r="M774" s="330">
        <v>1500</v>
      </c>
      <c r="N774" s="330"/>
      <c r="O774" s="330">
        <v>1500</v>
      </c>
      <c r="P774" s="330"/>
      <c r="Q774" s="330">
        <v>0</v>
      </c>
    </row>
    <row r="775" spans="1:27">
      <c r="A775" s="328">
        <v>766</v>
      </c>
      <c r="B775" s="331" t="s">
        <v>359</v>
      </c>
      <c r="C775" s="331"/>
      <c r="D775" s="331"/>
      <c r="E775" s="333" t="s">
        <v>456</v>
      </c>
      <c r="F775" s="328" t="s">
        <v>457</v>
      </c>
      <c r="G775" s="328" t="s">
        <v>458</v>
      </c>
      <c r="H775" s="328" t="s">
        <v>262</v>
      </c>
      <c r="I775" s="328" t="s">
        <v>10</v>
      </c>
      <c r="J775" s="328" t="s">
        <v>642</v>
      </c>
      <c r="K775" s="330">
        <v>1780</v>
      </c>
      <c r="L775" s="330">
        <v>0</v>
      </c>
      <c r="M775" s="330">
        <v>1710</v>
      </c>
      <c r="N775" s="330"/>
      <c r="O775" s="330">
        <v>220</v>
      </c>
      <c r="P775" s="330"/>
      <c r="Q775" s="330">
        <v>1490</v>
      </c>
    </row>
    <row r="776" spans="1:27">
      <c r="A776" s="328">
        <v>767</v>
      </c>
      <c r="B776" s="329" t="s">
        <v>359</v>
      </c>
      <c r="C776" s="333"/>
      <c r="D776" s="333"/>
      <c r="E776" s="333" t="s">
        <v>456</v>
      </c>
      <c r="F776" s="328" t="s">
        <v>3348</v>
      </c>
      <c r="G776" s="328" t="s">
        <v>458</v>
      </c>
      <c r="H776" s="328" t="s">
        <v>262</v>
      </c>
      <c r="I776" s="328" t="s">
        <v>11</v>
      </c>
      <c r="J776" s="328" t="s">
        <v>642</v>
      </c>
      <c r="K776" s="330">
        <v>1900</v>
      </c>
      <c r="L776" s="330">
        <v>2959</v>
      </c>
      <c r="M776" s="330">
        <v>0</v>
      </c>
      <c r="N776" s="330"/>
      <c r="O776" s="330">
        <v>2826</v>
      </c>
      <c r="P776" s="330"/>
      <c r="Q776" s="330">
        <v>133</v>
      </c>
    </row>
    <row r="777" spans="1:27">
      <c r="A777" s="328">
        <v>768</v>
      </c>
      <c r="B777" s="336" t="s">
        <v>1510</v>
      </c>
      <c r="C777" s="329"/>
      <c r="D777" s="329"/>
      <c r="E777" s="333" t="s">
        <v>1511</v>
      </c>
      <c r="F777" s="328" t="s">
        <v>1513</v>
      </c>
      <c r="G777" s="328" t="s">
        <v>1509</v>
      </c>
      <c r="H777" s="328" t="s">
        <v>1512</v>
      </c>
      <c r="I777" s="328" t="s">
        <v>14</v>
      </c>
      <c r="J777" s="328" t="s">
        <v>306</v>
      </c>
      <c r="K777" s="330">
        <v>30870</v>
      </c>
      <c r="L777" s="330">
        <v>0</v>
      </c>
      <c r="M777" s="330">
        <v>440</v>
      </c>
      <c r="N777" s="330"/>
      <c r="O777" s="330">
        <v>406</v>
      </c>
      <c r="P777" s="330"/>
      <c r="Q777" s="330">
        <v>34</v>
      </c>
    </row>
    <row r="778" spans="1:27">
      <c r="A778" s="325">
        <v>769</v>
      </c>
      <c r="B778" s="329" t="s">
        <v>683</v>
      </c>
      <c r="C778" s="333"/>
      <c r="D778" s="333"/>
      <c r="E778" s="333" t="s">
        <v>2553</v>
      </c>
      <c r="F778" s="328" t="s">
        <v>3349</v>
      </c>
      <c r="G778" s="328" t="s">
        <v>3350</v>
      </c>
      <c r="H778" s="328" t="s">
        <v>2554</v>
      </c>
      <c r="I778" s="328" t="s">
        <v>14</v>
      </c>
      <c r="J778" s="328" t="s">
        <v>483</v>
      </c>
      <c r="K778" s="330">
        <v>33600</v>
      </c>
      <c r="L778" s="330">
        <v>297</v>
      </c>
      <c r="M778" s="330">
        <v>0</v>
      </c>
      <c r="N778" s="330"/>
      <c r="O778" s="330">
        <v>293</v>
      </c>
      <c r="P778" s="330"/>
      <c r="Q778" s="330">
        <v>4</v>
      </c>
    </row>
    <row r="779" spans="1:27">
      <c r="A779" s="328">
        <v>770</v>
      </c>
      <c r="B779" s="336" t="s">
        <v>913</v>
      </c>
      <c r="C779" s="333"/>
      <c r="D779" s="333"/>
      <c r="E779" s="636" t="s">
        <v>914</v>
      </c>
      <c r="F779" s="337" t="s">
        <v>917</v>
      </c>
      <c r="G779" s="337" t="s">
        <v>918</v>
      </c>
      <c r="H779" s="337" t="s">
        <v>915</v>
      </c>
      <c r="I779" s="337" t="s">
        <v>628</v>
      </c>
      <c r="J779" s="337" t="s">
        <v>916</v>
      </c>
      <c r="K779" s="330">
        <v>241525</v>
      </c>
      <c r="L779" s="330">
        <v>67</v>
      </c>
      <c r="M779" s="330">
        <v>0</v>
      </c>
      <c r="N779" s="330"/>
      <c r="O779" s="330">
        <v>7</v>
      </c>
      <c r="P779" s="330"/>
      <c r="Q779" s="330">
        <v>60</v>
      </c>
    </row>
    <row r="780" spans="1:27" ht="25.5">
      <c r="A780" s="328">
        <v>771</v>
      </c>
      <c r="B780" s="329" t="s">
        <v>3351</v>
      </c>
      <c r="C780" s="333"/>
      <c r="D780" s="333"/>
      <c r="E780" s="333" t="s">
        <v>3352</v>
      </c>
      <c r="F780" s="328" t="s">
        <v>3353</v>
      </c>
      <c r="G780" s="328" t="s">
        <v>3354</v>
      </c>
      <c r="H780" s="328" t="s">
        <v>3355</v>
      </c>
      <c r="I780" s="328" t="s">
        <v>11</v>
      </c>
      <c r="J780" s="328" t="s">
        <v>541</v>
      </c>
      <c r="K780" s="330">
        <v>1050</v>
      </c>
      <c r="L780" s="330">
        <v>75</v>
      </c>
      <c r="M780" s="330">
        <v>0</v>
      </c>
      <c r="N780" s="330"/>
      <c r="O780" s="330">
        <v>75</v>
      </c>
      <c r="P780" s="330"/>
      <c r="Q780" s="330">
        <v>0</v>
      </c>
    </row>
    <row r="781" spans="1:27">
      <c r="A781" s="328">
        <v>772</v>
      </c>
      <c r="B781" s="347" t="s">
        <v>3356</v>
      </c>
      <c r="C781" s="329"/>
      <c r="D781" s="329"/>
      <c r="E781" s="640" t="s">
        <v>3357</v>
      </c>
      <c r="F781" s="348" t="s">
        <v>3358</v>
      </c>
      <c r="G781" s="348" t="s">
        <v>3359</v>
      </c>
      <c r="H781" s="348" t="s">
        <v>2522</v>
      </c>
      <c r="I781" s="348" t="s">
        <v>14</v>
      </c>
      <c r="J781" s="348" t="s">
        <v>3360</v>
      </c>
      <c r="K781" s="330">
        <v>62158</v>
      </c>
      <c r="L781" s="330">
        <f>485+28</f>
        <v>513</v>
      </c>
      <c r="M781" s="330"/>
      <c r="N781" s="330"/>
      <c r="O781" s="330">
        <v>513</v>
      </c>
      <c r="P781" s="330"/>
      <c r="Q781" s="330"/>
      <c r="R781" s="37"/>
      <c r="T781" s="37"/>
      <c r="U781" s="37"/>
      <c r="V781" s="37"/>
      <c r="W781" s="37"/>
      <c r="X781" s="37"/>
      <c r="Y781" s="37"/>
      <c r="Z781" s="37"/>
      <c r="AA781" s="37"/>
    </row>
    <row r="782" spans="1:27">
      <c r="A782" s="328">
        <v>773</v>
      </c>
      <c r="B782" s="329" t="s">
        <v>1127</v>
      </c>
      <c r="C782" s="329"/>
      <c r="D782" s="329"/>
      <c r="E782" s="333" t="s">
        <v>1128</v>
      </c>
      <c r="F782" s="328" t="s">
        <v>1130</v>
      </c>
      <c r="G782" s="328" t="s">
        <v>1093</v>
      </c>
      <c r="H782" s="328" t="s">
        <v>1129</v>
      </c>
      <c r="I782" s="328" t="s">
        <v>11</v>
      </c>
      <c r="J782" s="328" t="s">
        <v>815</v>
      </c>
      <c r="K782" s="330">
        <v>1495</v>
      </c>
      <c r="L782" s="330">
        <v>0</v>
      </c>
      <c r="M782" s="330">
        <v>150000</v>
      </c>
      <c r="N782" s="330"/>
      <c r="O782" s="330">
        <v>119743</v>
      </c>
      <c r="P782" s="330"/>
      <c r="Q782" s="330">
        <v>30257</v>
      </c>
    </row>
    <row r="783" spans="1:27">
      <c r="A783" s="328">
        <v>774</v>
      </c>
      <c r="B783" s="342" t="s">
        <v>3361</v>
      </c>
      <c r="C783" s="329"/>
      <c r="D783" s="329"/>
      <c r="E783" s="333" t="s">
        <v>2590</v>
      </c>
      <c r="F783" s="328" t="s">
        <v>3362</v>
      </c>
      <c r="G783" s="328" t="s">
        <v>1644</v>
      </c>
      <c r="H783" s="328" t="s">
        <v>225</v>
      </c>
      <c r="I783" s="328" t="s">
        <v>11</v>
      </c>
      <c r="J783" s="351" t="s">
        <v>1659</v>
      </c>
      <c r="K783" s="330">
        <v>6250</v>
      </c>
      <c r="L783" s="330">
        <v>17</v>
      </c>
      <c r="M783" s="330">
        <v>0</v>
      </c>
      <c r="N783" s="330"/>
      <c r="O783" s="330">
        <v>4</v>
      </c>
      <c r="P783" s="330"/>
      <c r="Q783" s="330">
        <v>13</v>
      </c>
    </row>
    <row r="784" spans="1:27">
      <c r="A784" s="325">
        <v>775</v>
      </c>
      <c r="B784" s="373" t="s">
        <v>555</v>
      </c>
      <c r="C784" s="329"/>
      <c r="D784" s="329"/>
      <c r="E784" s="646" t="s">
        <v>1658</v>
      </c>
      <c r="F784" s="328" t="s">
        <v>1660</v>
      </c>
      <c r="G784" s="361" t="s">
        <v>479</v>
      </c>
      <c r="H784" s="374" t="s">
        <v>232</v>
      </c>
      <c r="I784" s="361" t="s">
        <v>10</v>
      </c>
      <c r="J784" s="351" t="s">
        <v>1659</v>
      </c>
      <c r="K784" s="330">
        <v>1500</v>
      </c>
      <c r="L784" s="330">
        <v>0</v>
      </c>
      <c r="M784" s="330">
        <v>39990</v>
      </c>
      <c r="N784" s="330"/>
      <c r="O784" s="330">
        <v>27555</v>
      </c>
      <c r="P784" s="330"/>
      <c r="Q784" s="330">
        <v>12435</v>
      </c>
    </row>
    <row r="785" spans="1:27">
      <c r="A785" s="328">
        <v>776</v>
      </c>
      <c r="B785" s="329" t="s">
        <v>555</v>
      </c>
      <c r="C785" s="333"/>
      <c r="D785" s="333"/>
      <c r="E785" s="333" t="s">
        <v>1658</v>
      </c>
      <c r="F785" s="328" t="s">
        <v>3363</v>
      </c>
      <c r="G785" s="328" t="s">
        <v>862</v>
      </c>
      <c r="H785" s="328" t="s">
        <v>232</v>
      </c>
      <c r="I785" s="328" t="s">
        <v>11</v>
      </c>
      <c r="J785" s="351" t="s">
        <v>1659</v>
      </c>
      <c r="K785" s="330">
        <v>1690</v>
      </c>
      <c r="L785" s="330">
        <v>14471</v>
      </c>
      <c r="M785" s="330">
        <v>0</v>
      </c>
      <c r="N785" s="330"/>
      <c r="O785" s="330">
        <v>14470</v>
      </c>
      <c r="P785" s="330"/>
      <c r="Q785" s="330">
        <v>1</v>
      </c>
    </row>
    <row r="786" spans="1:27">
      <c r="A786" s="328">
        <v>777</v>
      </c>
      <c r="B786" s="347" t="s">
        <v>1488</v>
      </c>
      <c r="C786" s="329"/>
      <c r="D786" s="329"/>
      <c r="E786" s="640" t="s">
        <v>3364</v>
      </c>
      <c r="F786" s="348" t="s">
        <v>3365</v>
      </c>
      <c r="G786" s="348" t="s">
        <v>2907</v>
      </c>
      <c r="H786" s="348" t="s">
        <v>1173</v>
      </c>
      <c r="I786" s="348" t="s">
        <v>10</v>
      </c>
      <c r="J786" s="348" t="s">
        <v>647</v>
      </c>
      <c r="K786" s="330">
        <v>2150</v>
      </c>
      <c r="L786" s="330">
        <v>4257</v>
      </c>
      <c r="M786" s="330"/>
      <c r="N786" s="330"/>
      <c r="O786" s="330">
        <v>4257</v>
      </c>
      <c r="P786" s="330"/>
      <c r="Q786" s="330"/>
      <c r="R786" s="37"/>
      <c r="T786" s="37"/>
      <c r="U786" s="37"/>
      <c r="V786" s="37"/>
      <c r="W786" s="37"/>
      <c r="X786" s="37"/>
      <c r="Y786" s="37"/>
      <c r="Z786" s="37"/>
      <c r="AA786" s="37"/>
    </row>
    <row r="787" spans="1:27">
      <c r="A787" s="328">
        <v>778</v>
      </c>
      <c r="B787" s="356" t="s">
        <v>1640</v>
      </c>
      <c r="C787" s="329"/>
      <c r="D787" s="329"/>
      <c r="E787" s="333" t="s">
        <v>1645</v>
      </c>
      <c r="F787" s="328" t="s">
        <v>1646</v>
      </c>
      <c r="G787" s="361" t="s">
        <v>479</v>
      </c>
      <c r="H787" s="351" t="s">
        <v>327</v>
      </c>
      <c r="I787" s="361" t="s">
        <v>10</v>
      </c>
      <c r="J787" s="351" t="s">
        <v>1642</v>
      </c>
      <c r="K787" s="330">
        <v>680</v>
      </c>
      <c r="L787" s="330">
        <v>13949</v>
      </c>
      <c r="M787" s="330">
        <v>0</v>
      </c>
      <c r="N787" s="330"/>
      <c r="O787" s="330">
        <v>13929</v>
      </c>
      <c r="P787" s="330"/>
      <c r="Q787" s="330">
        <v>20</v>
      </c>
    </row>
    <row r="788" spans="1:27">
      <c r="A788" s="328">
        <v>779</v>
      </c>
      <c r="B788" s="331" t="s">
        <v>329</v>
      </c>
      <c r="C788" s="331"/>
      <c r="D788" s="331"/>
      <c r="E788" s="333" t="s">
        <v>480</v>
      </c>
      <c r="F788" s="328" t="s">
        <v>3366</v>
      </c>
      <c r="G788" s="328" t="s">
        <v>479</v>
      </c>
      <c r="H788" s="328" t="s">
        <v>262</v>
      </c>
      <c r="I788" s="328" t="s">
        <v>10</v>
      </c>
      <c r="J788" s="328" t="s">
        <v>647</v>
      </c>
      <c r="K788" s="330">
        <v>750</v>
      </c>
      <c r="L788" s="330">
        <v>0</v>
      </c>
      <c r="M788" s="330">
        <v>12000</v>
      </c>
      <c r="N788" s="330"/>
      <c r="O788" s="330">
        <v>3000</v>
      </c>
      <c r="P788" s="330"/>
      <c r="Q788" s="330">
        <v>9000</v>
      </c>
    </row>
    <row r="789" spans="1:27">
      <c r="A789" s="328">
        <v>780</v>
      </c>
      <c r="B789" s="356" t="s">
        <v>592</v>
      </c>
      <c r="C789" s="329"/>
      <c r="D789" s="329"/>
      <c r="E789" s="333" t="s">
        <v>1665</v>
      </c>
      <c r="F789" s="375" t="s">
        <v>1666</v>
      </c>
      <c r="G789" s="361" t="s">
        <v>479</v>
      </c>
      <c r="H789" s="351" t="s">
        <v>235</v>
      </c>
      <c r="I789" s="361" t="s">
        <v>10</v>
      </c>
      <c r="J789" s="351" t="s">
        <v>1642</v>
      </c>
      <c r="K789" s="330">
        <v>499</v>
      </c>
      <c r="L789" s="330">
        <v>0</v>
      </c>
      <c r="M789" s="330">
        <v>30000</v>
      </c>
      <c r="N789" s="330"/>
      <c r="O789" s="330">
        <v>30000</v>
      </c>
      <c r="P789" s="330"/>
      <c r="Q789" s="330">
        <v>0</v>
      </c>
    </row>
    <row r="790" spans="1:27">
      <c r="A790" s="325">
        <v>781</v>
      </c>
      <c r="B790" s="347" t="s">
        <v>3367</v>
      </c>
      <c r="C790" s="329"/>
      <c r="D790" s="329"/>
      <c r="E790" s="640" t="s">
        <v>3368</v>
      </c>
      <c r="F790" s="348" t="s">
        <v>3369</v>
      </c>
      <c r="G790" s="348" t="s">
        <v>2907</v>
      </c>
      <c r="H790" s="348" t="s">
        <v>594</v>
      </c>
      <c r="I790" s="348" t="s">
        <v>10</v>
      </c>
      <c r="J790" s="348" t="s">
        <v>3370</v>
      </c>
      <c r="K790" s="330">
        <v>790</v>
      </c>
      <c r="L790" s="330">
        <f>7380+3</f>
        <v>7383</v>
      </c>
      <c r="M790" s="330"/>
      <c r="N790" s="330"/>
      <c r="O790" s="330">
        <v>7383</v>
      </c>
      <c r="P790" s="330"/>
      <c r="Q790" s="330"/>
      <c r="R790" s="37"/>
      <c r="T790" s="37"/>
      <c r="U790" s="37"/>
      <c r="V790" s="37"/>
      <c r="W790" s="37"/>
      <c r="X790" s="37"/>
      <c r="Y790" s="37"/>
      <c r="Z790" s="37"/>
      <c r="AA790" s="37"/>
    </row>
    <row r="791" spans="1:27">
      <c r="A791" s="328">
        <v>782</v>
      </c>
      <c r="B791" s="329" t="s">
        <v>771</v>
      </c>
      <c r="C791" s="333"/>
      <c r="D791" s="333"/>
      <c r="E791" s="333" t="s">
        <v>2555</v>
      </c>
      <c r="F791" s="328" t="s">
        <v>3371</v>
      </c>
      <c r="G791" s="328" t="s">
        <v>1890</v>
      </c>
      <c r="H791" s="328" t="s">
        <v>262</v>
      </c>
      <c r="I791" s="328" t="s">
        <v>10</v>
      </c>
      <c r="J791" s="351" t="s">
        <v>1642</v>
      </c>
      <c r="K791" s="330">
        <v>8350</v>
      </c>
      <c r="L791" s="330">
        <v>990</v>
      </c>
      <c r="M791" s="330">
        <v>0</v>
      </c>
      <c r="N791" s="330"/>
      <c r="O791" s="330">
        <v>428</v>
      </c>
      <c r="P791" s="330"/>
      <c r="Q791" s="330">
        <v>562</v>
      </c>
    </row>
    <row r="792" spans="1:27">
      <c r="A792" s="328">
        <v>783</v>
      </c>
      <c r="B792" s="356" t="s">
        <v>1647</v>
      </c>
      <c r="C792" s="329"/>
      <c r="D792" s="329"/>
      <c r="E792" s="333" t="s">
        <v>1648</v>
      </c>
      <c r="F792" s="328" t="s">
        <v>1649</v>
      </c>
      <c r="G792" s="361" t="s">
        <v>479</v>
      </c>
      <c r="H792" s="351" t="s">
        <v>327</v>
      </c>
      <c r="I792" s="361" t="s">
        <v>10</v>
      </c>
      <c r="J792" s="351" t="s">
        <v>1642</v>
      </c>
      <c r="K792" s="330">
        <v>1530</v>
      </c>
      <c r="L792" s="330">
        <v>0</v>
      </c>
      <c r="M792" s="330">
        <v>9990</v>
      </c>
      <c r="N792" s="330"/>
      <c r="O792" s="330">
        <v>2069</v>
      </c>
      <c r="P792" s="330"/>
      <c r="Q792" s="330">
        <v>7921</v>
      </c>
    </row>
    <row r="793" spans="1:27">
      <c r="A793" s="328">
        <v>784</v>
      </c>
      <c r="B793" s="333" t="s">
        <v>1650</v>
      </c>
      <c r="C793" s="329"/>
      <c r="D793" s="329"/>
      <c r="E793" s="333" t="s">
        <v>1651</v>
      </c>
      <c r="F793" s="328" t="s">
        <v>1653</v>
      </c>
      <c r="G793" s="361" t="s">
        <v>479</v>
      </c>
      <c r="H793" s="340" t="s">
        <v>869</v>
      </c>
      <c r="I793" s="361" t="s">
        <v>10</v>
      </c>
      <c r="J793" s="351" t="s">
        <v>1652</v>
      </c>
      <c r="K793" s="330">
        <v>1090</v>
      </c>
      <c r="L793" s="330">
        <v>0</v>
      </c>
      <c r="M793" s="330">
        <v>10000</v>
      </c>
      <c r="N793" s="330"/>
      <c r="O793" s="330">
        <v>0</v>
      </c>
      <c r="P793" s="330"/>
      <c r="Q793" s="330">
        <v>10000</v>
      </c>
    </row>
    <row r="794" spans="1:27">
      <c r="A794" s="328">
        <v>785</v>
      </c>
      <c r="B794" s="331" t="s">
        <v>227</v>
      </c>
      <c r="C794" s="331"/>
      <c r="D794" s="331"/>
      <c r="E794" s="333" t="s">
        <v>344</v>
      </c>
      <c r="F794" s="328" t="s">
        <v>345</v>
      </c>
      <c r="G794" s="328" t="s">
        <v>346</v>
      </c>
      <c r="H794" s="328" t="s">
        <v>225</v>
      </c>
      <c r="I794" s="328" t="s">
        <v>10</v>
      </c>
      <c r="J794" s="328" t="s">
        <v>647</v>
      </c>
      <c r="K794" s="330">
        <v>420</v>
      </c>
      <c r="L794" s="330">
        <v>0</v>
      </c>
      <c r="M794" s="330">
        <v>51000</v>
      </c>
      <c r="N794" s="330"/>
      <c r="O794" s="330">
        <v>51000</v>
      </c>
      <c r="P794" s="330"/>
      <c r="Q794" s="330">
        <v>0</v>
      </c>
    </row>
    <row r="795" spans="1:27">
      <c r="A795" s="328">
        <v>786</v>
      </c>
      <c r="B795" s="356" t="s">
        <v>1640</v>
      </c>
      <c r="C795" s="329"/>
      <c r="D795" s="329"/>
      <c r="E795" s="333" t="s">
        <v>1641</v>
      </c>
      <c r="F795" s="328" t="s">
        <v>1643</v>
      </c>
      <c r="G795" s="361" t="s">
        <v>479</v>
      </c>
      <c r="H795" s="351" t="s">
        <v>625</v>
      </c>
      <c r="I795" s="361" t="s">
        <v>10</v>
      </c>
      <c r="J795" s="351" t="s">
        <v>1642</v>
      </c>
      <c r="K795" s="330">
        <v>519</v>
      </c>
      <c r="L795" s="330">
        <v>0</v>
      </c>
      <c r="M795" s="330">
        <v>15000</v>
      </c>
      <c r="N795" s="330"/>
      <c r="O795" s="330">
        <v>6614</v>
      </c>
      <c r="P795" s="330"/>
      <c r="Q795" s="330">
        <v>8386</v>
      </c>
    </row>
    <row r="796" spans="1:27">
      <c r="A796" s="325">
        <v>787</v>
      </c>
      <c r="B796" s="347" t="s">
        <v>3198</v>
      </c>
      <c r="C796" s="329"/>
      <c r="D796" s="329"/>
      <c r="E796" s="640" t="s">
        <v>3372</v>
      </c>
      <c r="F796" s="348" t="s">
        <v>3373</v>
      </c>
      <c r="G796" s="348" t="s">
        <v>3374</v>
      </c>
      <c r="H796" s="348" t="s">
        <v>3375</v>
      </c>
      <c r="I796" s="348" t="s">
        <v>14</v>
      </c>
      <c r="J796" s="348" t="s">
        <v>3202</v>
      </c>
      <c r="K796" s="330">
        <v>98000</v>
      </c>
      <c r="L796" s="330">
        <v>293</v>
      </c>
      <c r="M796" s="330"/>
      <c r="N796" s="330"/>
      <c r="O796" s="330">
        <f>124+169</f>
        <v>293</v>
      </c>
      <c r="P796" s="330"/>
      <c r="Q796" s="330"/>
      <c r="R796" s="37"/>
      <c r="T796" s="37"/>
      <c r="U796" s="37"/>
      <c r="V796" s="37"/>
      <c r="W796" s="37"/>
      <c r="X796" s="37"/>
      <c r="Y796" s="37"/>
      <c r="Z796" s="37"/>
      <c r="AA796" s="37"/>
    </row>
    <row r="797" spans="1:27">
      <c r="A797" s="328">
        <v>788</v>
      </c>
      <c r="B797" s="329" t="s">
        <v>1109</v>
      </c>
      <c r="C797" s="329"/>
      <c r="D797" s="329"/>
      <c r="E797" s="333" t="s">
        <v>1110</v>
      </c>
      <c r="F797" s="328" t="s">
        <v>1112</v>
      </c>
      <c r="G797" s="328" t="s">
        <v>1113</v>
      </c>
      <c r="H797" s="328" t="s">
        <v>384</v>
      </c>
      <c r="I797" s="328" t="s">
        <v>11</v>
      </c>
      <c r="J797" s="328" t="s">
        <v>1111</v>
      </c>
      <c r="K797" s="330">
        <v>4990</v>
      </c>
      <c r="L797" s="330">
        <v>7889</v>
      </c>
      <c r="M797" s="330">
        <v>0</v>
      </c>
      <c r="N797" s="330"/>
      <c r="O797" s="330">
        <v>7889</v>
      </c>
      <c r="P797" s="330"/>
      <c r="Q797" s="330">
        <v>0</v>
      </c>
    </row>
    <row r="798" spans="1:27" ht="25.5">
      <c r="A798" s="328">
        <v>789</v>
      </c>
      <c r="B798" s="336" t="s">
        <v>930</v>
      </c>
      <c r="C798" s="333"/>
      <c r="D798" s="333"/>
      <c r="E798" s="636" t="s">
        <v>936</v>
      </c>
      <c r="F798" s="337" t="s">
        <v>938</v>
      </c>
      <c r="G798" s="337" t="s">
        <v>935</v>
      </c>
      <c r="H798" s="337" t="s">
        <v>937</v>
      </c>
      <c r="I798" s="337" t="s">
        <v>892</v>
      </c>
      <c r="J798" s="337" t="s">
        <v>933</v>
      </c>
      <c r="K798" s="330">
        <v>278090</v>
      </c>
      <c r="L798" s="330">
        <v>37</v>
      </c>
      <c r="M798" s="330">
        <v>350</v>
      </c>
      <c r="N798" s="330"/>
      <c r="O798" s="330">
        <v>261</v>
      </c>
      <c r="P798" s="330"/>
      <c r="Q798" s="330">
        <v>126</v>
      </c>
    </row>
    <row r="799" spans="1:27" ht="25.5">
      <c r="A799" s="328">
        <v>790</v>
      </c>
      <c r="B799" s="336" t="s">
        <v>930</v>
      </c>
      <c r="C799" s="333"/>
      <c r="D799" s="333"/>
      <c r="E799" s="636" t="s">
        <v>931</v>
      </c>
      <c r="F799" s="337" t="s">
        <v>934</v>
      </c>
      <c r="G799" s="337" t="s">
        <v>935</v>
      </c>
      <c r="H799" s="337" t="s">
        <v>932</v>
      </c>
      <c r="I799" s="337" t="s">
        <v>892</v>
      </c>
      <c r="J799" s="337" t="s">
        <v>933</v>
      </c>
      <c r="K799" s="330">
        <v>225996</v>
      </c>
      <c r="L799" s="330">
        <v>0</v>
      </c>
      <c r="M799" s="330">
        <v>10</v>
      </c>
      <c r="N799" s="330"/>
      <c r="O799" s="330">
        <v>5</v>
      </c>
      <c r="P799" s="330"/>
      <c r="Q799" s="330">
        <v>5</v>
      </c>
    </row>
    <row r="800" spans="1:27">
      <c r="A800" s="328">
        <v>791</v>
      </c>
      <c r="B800" s="347" t="s">
        <v>2445</v>
      </c>
      <c r="C800" s="329"/>
      <c r="D800" s="329"/>
      <c r="E800" s="640" t="s">
        <v>3376</v>
      </c>
      <c r="F800" s="348" t="s">
        <v>3377</v>
      </c>
      <c r="G800" s="348" t="s">
        <v>322</v>
      </c>
      <c r="H800" s="348" t="s">
        <v>3378</v>
      </c>
      <c r="I800" s="348" t="s">
        <v>10</v>
      </c>
      <c r="J800" s="348" t="s">
        <v>1872</v>
      </c>
      <c r="K800" s="330">
        <v>845</v>
      </c>
      <c r="L800" s="330">
        <v>561</v>
      </c>
      <c r="M800" s="330"/>
      <c r="N800" s="330"/>
      <c r="O800" s="330">
        <f>412+149</f>
        <v>561</v>
      </c>
      <c r="P800" s="330"/>
      <c r="Q800" s="330"/>
      <c r="R800" s="37"/>
      <c r="T800" s="37"/>
      <c r="U800" s="37"/>
      <c r="V800" s="37"/>
      <c r="W800" s="37"/>
      <c r="X800" s="37"/>
      <c r="Y800" s="37"/>
      <c r="Z800" s="37"/>
      <c r="AA800" s="37"/>
    </row>
    <row r="801" spans="1:27">
      <c r="A801" s="328">
        <v>792</v>
      </c>
      <c r="B801" s="329" t="s">
        <v>1780</v>
      </c>
      <c r="C801" s="329"/>
      <c r="D801" s="329"/>
      <c r="E801" s="333" t="s">
        <v>1781</v>
      </c>
      <c r="F801" s="328" t="s">
        <v>1784</v>
      </c>
      <c r="G801" s="328" t="s">
        <v>1170</v>
      </c>
      <c r="H801" s="328" t="s">
        <v>1782</v>
      </c>
      <c r="I801" s="328" t="s">
        <v>15</v>
      </c>
      <c r="J801" s="328" t="s">
        <v>1783</v>
      </c>
      <c r="K801" s="330">
        <v>16000</v>
      </c>
      <c r="L801" s="330">
        <v>0</v>
      </c>
      <c r="M801" s="330">
        <v>260</v>
      </c>
      <c r="N801" s="330"/>
      <c r="O801" s="330">
        <v>225</v>
      </c>
      <c r="P801" s="330"/>
      <c r="Q801" s="330">
        <v>35</v>
      </c>
    </row>
    <row r="802" spans="1:27">
      <c r="A802" s="325">
        <v>793</v>
      </c>
      <c r="B802" s="329" t="s">
        <v>234</v>
      </c>
      <c r="C802" s="333"/>
      <c r="D802" s="333"/>
      <c r="E802" s="333" t="s">
        <v>3379</v>
      </c>
      <c r="F802" s="328" t="s">
        <v>3380</v>
      </c>
      <c r="G802" s="328" t="s">
        <v>2424</v>
      </c>
      <c r="H802" s="328" t="s">
        <v>235</v>
      </c>
      <c r="I802" s="328" t="s">
        <v>11</v>
      </c>
      <c r="J802" s="328" t="s">
        <v>647</v>
      </c>
      <c r="K802" s="330">
        <v>586</v>
      </c>
      <c r="L802" s="330">
        <v>35</v>
      </c>
      <c r="M802" s="330">
        <v>0</v>
      </c>
      <c r="N802" s="330"/>
      <c r="O802" s="330">
        <v>35</v>
      </c>
      <c r="P802" s="330"/>
      <c r="Q802" s="330">
        <v>0</v>
      </c>
    </row>
    <row r="803" spans="1:27">
      <c r="A803" s="328">
        <v>794</v>
      </c>
      <c r="B803" s="336" t="s">
        <v>1618</v>
      </c>
      <c r="C803" s="329"/>
      <c r="D803" s="329"/>
      <c r="E803" s="636" t="s">
        <v>2019</v>
      </c>
      <c r="F803" s="337" t="s">
        <v>2020</v>
      </c>
      <c r="G803" s="337" t="s">
        <v>2021</v>
      </c>
      <c r="H803" s="337" t="s">
        <v>225</v>
      </c>
      <c r="I803" s="337" t="s">
        <v>10</v>
      </c>
      <c r="J803" s="337" t="s">
        <v>623</v>
      </c>
      <c r="K803" s="330">
        <v>900</v>
      </c>
      <c r="L803" s="330">
        <v>5</v>
      </c>
      <c r="M803" s="330">
        <v>51281</v>
      </c>
      <c r="N803" s="330"/>
      <c r="O803" s="330">
        <v>51194</v>
      </c>
      <c r="P803" s="330"/>
      <c r="Q803" s="330">
        <v>92</v>
      </c>
    </row>
    <row r="804" spans="1:27" ht="25.5" customHeight="1">
      <c r="A804" s="328">
        <v>795</v>
      </c>
      <c r="B804" s="329" t="s">
        <v>1618</v>
      </c>
      <c r="C804" s="329"/>
      <c r="D804" s="376"/>
      <c r="E804" s="333" t="s">
        <v>3381</v>
      </c>
      <c r="F804" s="328" t="s">
        <v>3382</v>
      </c>
      <c r="G804" s="328" t="s">
        <v>3383</v>
      </c>
      <c r="H804" s="328" t="s">
        <v>994</v>
      </c>
      <c r="I804" s="328" t="s">
        <v>11</v>
      </c>
      <c r="J804" s="328" t="s">
        <v>842</v>
      </c>
      <c r="K804" s="330">
        <v>1025</v>
      </c>
      <c r="L804" s="330">
        <v>30560</v>
      </c>
      <c r="M804" s="330">
        <v>3191</v>
      </c>
      <c r="N804" s="330"/>
      <c r="O804" s="330">
        <v>33751</v>
      </c>
      <c r="P804" s="330"/>
      <c r="Q804" s="330"/>
      <c r="R804" s="37"/>
      <c r="T804" s="37"/>
      <c r="U804" s="37"/>
      <c r="V804" s="37"/>
      <c r="W804" s="37"/>
      <c r="X804" s="37"/>
      <c r="Y804" s="37"/>
      <c r="Z804" s="37"/>
      <c r="AA804" s="37"/>
    </row>
    <row r="805" spans="1:27" ht="25.5">
      <c r="A805" s="328">
        <v>796</v>
      </c>
      <c r="B805" s="329" t="s">
        <v>3384</v>
      </c>
      <c r="C805" s="333"/>
      <c r="D805" s="333"/>
      <c r="E805" s="333" t="s">
        <v>3385</v>
      </c>
      <c r="F805" s="328" t="s">
        <v>3386</v>
      </c>
      <c r="G805" s="328" t="s">
        <v>3053</v>
      </c>
      <c r="H805" s="328" t="s">
        <v>3387</v>
      </c>
      <c r="I805" s="328" t="s">
        <v>15</v>
      </c>
      <c r="J805" s="328" t="s">
        <v>3388</v>
      </c>
      <c r="K805" s="330">
        <v>23100</v>
      </c>
      <c r="L805" s="330">
        <v>437</v>
      </c>
      <c r="M805" s="330">
        <v>0</v>
      </c>
      <c r="N805" s="330"/>
      <c r="O805" s="330">
        <v>437</v>
      </c>
      <c r="P805" s="330"/>
      <c r="Q805" s="330">
        <v>0</v>
      </c>
    </row>
    <row r="806" spans="1:27" ht="25.5">
      <c r="A806" s="328">
        <v>797</v>
      </c>
      <c r="B806" s="336" t="s">
        <v>1434</v>
      </c>
      <c r="C806" s="329"/>
      <c r="D806" s="329"/>
      <c r="E806" s="333" t="s">
        <v>1435</v>
      </c>
      <c r="F806" s="328" t="s">
        <v>1438</v>
      </c>
      <c r="G806" s="328" t="s">
        <v>1429</v>
      </c>
      <c r="H806" s="328" t="s">
        <v>1436</v>
      </c>
      <c r="I806" s="328" t="s">
        <v>18</v>
      </c>
      <c r="J806" s="328" t="s">
        <v>1437</v>
      </c>
      <c r="K806" s="330">
        <v>12000</v>
      </c>
      <c r="L806" s="330">
        <v>15</v>
      </c>
      <c r="M806" s="330">
        <v>940</v>
      </c>
      <c r="N806" s="330"/>
      <c r="O806" s="330">
        <v>855</v>
      </c>
      <c r="P806" s="330"/>
      <c r="Q806" s="330">
        <v>100</v>
      </c>
    </row>
    <row r="807" spans="1:27">
      <c r="A807" s="328">
        <v>798</v>
      </c>
      <c r="B807" s="329" t="s">
        <v>1562</v>
      </c>
      <c r="C807" s="329"/>
      <c r="D807" s="329"/>
      <c r="E807" s="333" t="s">
        <v>1563</v>
      </c>
      <c r="F807" s="328" t="s">
        <v>1565</v>
      </c>
      <c r="G807" s="328" t="s">
        <v>1566</v>
      </c>
      <c r="H807" s="328" t="s">
        <v>1564</v>
      </c>
      <c r="I807" s="328" t="s">
        <v>12</v>
      </c>
      <c r="J807" s="328" t="s">
        <v>1560</v>
      </c>
      <c r="K807" s="330">
        <v>1470</v>
      </c>
      <c r="L807" s="330">
        <v>0</v>
      </c>
      <c r="M807" s="330">
        <v>25000</v>
      </c>
      <c r="N807" s="330"/>
      <c r="O807" s="330">
        <v>22450</v>
      </c>
      <c r="P807" s="330"/>
      <c r="Q807" s="330">
        <v>2550</v>
      </c>
    </row>
    <row r="808" spans="1:27">
      <c r="A808" s="325">
        <v>799</v>
      </c>
      <c r="B808" s="336" t="s">
        <v>967</v>
      </c>
      <c r="C808" s="329"/>
      <c r="D808" s="329"/>
      <c r="E808" s="636" t="s">
        <v>968</v>
      </c>
      <c r="F808" s="337" t="s">
        <v>970</v>
      </c>
      <c r="G808" s="337" t="s">
        <v>971</v>
      </c>
      <c r="H808" s="337" t="s">
        <v>945</v>
      </c>
      <c r="I808" s="337" t="s">
        <v>12</v>
      </c>
      <c r="J808" s="337" t="s">
        <v>969</v>
      </c>
      <c r="K808" s="330">
        <v>3475</v>
      </c>
      <c r="L808" s="330">
        <v>2663</v>
      </c>
      <c r="M808" s="330">
        <v>3000</v>
      </c>
      <c r="N808" s="330"/>
      <c r="O808" s="330">
        <v>4009</v>
      </c>
      <c r="P808" s="330"/>
      <c r="Q808" s="330">
        <v>1654</v>
      </c>
    </row>
    <row r="809" spans="1:27">
      <c r="A809" s="328">
        <v>800</v>
      </c>
      <c r="B809" s="329" t="s">
        <v>1235</v>
      </c>
      <c r="C809" s="329"/>
      <c r="D809" s="329"/>
      <c r="E809" s="333" t="s">
        <v>1731</v>
      </c>
      <c r="F809" s="328" t="s">
        <v>1733</v>
      </c>
      <c r="G809" s="328" t="s">
        <v>1734</v>
      </c>
      <c r="H809" s="328" t="s">
        <v>1200</v>
      </c>
      <c r="I809" s="328" t="s">
        <v>13</v>
      </c>
      <c r="J809" s="328" t="s">
        <v>1732</v>
      </c>
      <c r="K809" s="330">
        <v>1850</v>
      </c>
      <c r="L809" s="330">
        <v>0</v>
      </c>
      <c r="M809" s="330">
        <v>7740</v>
      </c>
      <c r="N809" s="330"/>
      <c r="O809" s="330">
        <v>4956</v>
      </c>
      <c r="P809" s="330"/>
      <c r="Q809" s="330">
        <v>2784</v>
      </c>
    </row>
    <row r="810" spans="1:27">
      <c r="A810" s="328">
        <v>801</v>
      </c>
      <c r="B810" s="331" t="s">
        <v>265</v>
      </c>
      <c r="C810" s="331"/>
      <c r="D810" s="331"/>
      <c r="E810" s="333" t="s">
        <v>266</v>
      </c>
      <c r="F810" s="328" t="s">
        <v>269</v>
      </c>
      <c r="G810" s="328" t="s">
        <v>255</v>
      </c>
      <c r="H810" s="328" t="s">
        <v>267</v>
      </c>
      <c r="I810" s="328" t="s">
        <v>14</v>
      </c>
      <c r="J810" s="328" t="s">
        <v>268</v>
      </c>
      <c r="K810" s="330">
        <v>8988</v>
      </c>
      <c r="L810" s="330">
        <v>0</v>
      </c>
      <c r="M810" s="330">
        <v>800</v>
      </c>
      <c r="N810" s="330"/>
      <c r="O810" s="330">
        <v>518</v>
      </c>
      <c r="P810" s="330"/>
      <c r="Q810" s="330">
        <v>282</v>
      </c>
    </row>
    <row r="811" spans="1:27" ht="38.25">
      <c r="A811" s="328">
        <v>802</v>
      </c>
      <c r="B811" s="336" t="s">
        <v>2300</v>
      </c>
      <c r="C811" s="329"/>
      <c r="D811" s="329"/>
      <c r="E811" s="333" t="s">
        <v>166</v>
      </c>
      <c r="F811" s="328" t="s">
        <v>2301</v>
      </c>
      <c r="G811" s="328" t="s">
        <v>2253</v>
      </c>
      <c r="H811" s="328" t="s">
        <v>168</v>
      </c>
      <c r="I811" s="328" t="s">
        <v>16</v>
      </c>
      <c r="J811" s="328" t="s">
        <v>2250</v>
      </c>
      <c r="K811" s="330">
        <v>1300</v>
      </c>
      <c r="L811" s="330">
        <v>0</v>
      </c>
      <c r="M811" s="330">
        <v>44000</v>
      </c>
      <c r="N811" s="330"/>
      <c r="O811" s="330">
        <v>37990</v>
      </c>
      <c r="P811" s="330"/>
      <c r="Q811" s="330">
        <v>6010</v>
      </c>
    </row>
    <row r="812" spans="1:27">
      <c r="A812" s="328">
        <v>803</v>
      </c>
      <c r="B812" s="329" t="s">
        <v>1631</v>
      </c>
      <c r="C812" s="329"/>
      <c r="D812" s="329"/>
      <c r="E812" s="333" t="s">
        <v>1631</v>
      </c>
      <c r="F812" s="328" t="s">
        <v>1634</v>
      </c>
      <c r="G812" s="328" t="s">
        <v>473</v>
      </c>
      <c r="H812" s="328" t="s">
        <v>1632</v>
      </c>
      <c r="I812" s="328" t="s">
        <v>1635</v>
      </c>
      <c r="J812" s="328" t="s">
        <v>1633</v>
      </c>
      <c r="K812" s="330">
        <v>385</v>
      </c>
      <c r="L812" s="330">
        <v>0</v>
      </c>
      <c r="M812" s="330">
        <v>7500</v>
      </c>
      <c r="N812" s="330"/>
      <c r="O812" s="330">
        <v>7500</v>
      </c>
      <c r="P812" s="330"/>
      <c r="Q812" s="330">
        <v>0</v>
      </c>
    </row>
    <row r="813" spans="1:27">
      <c r="A813" s="328">
        <v>804</v>
      </c>
      <c r="B813" s="329" t="s">
        <v>1631</v>
      </c>
      <c r="C813" s="333"/>
      <c r="D813" s="333"/>
      <c r="E813" s="333" t="s">
        <v>1631</v>
      </c>
      <c r="F813" s="328" t="s">
        <v>3389</v>
      </c>
      <c r="G813" s="328" t="s">
        <v>3390</v>
      </c>
      <c r="H813" s="328" t="s">
        <v>1632</v>
      </c>
      <c r="I813" s="328" t="s">
        <v>12</v>
      </c>
      <c r="J813" s="328" t="s">
        <v>2660</v>
      </c>
      <c r="K813" s="330">
        <v>399</v>
      </c>
      <c r="L813" s="330">
        <v>12722</v>
      </c>
      <c r="M813" s="330">
        <v>0</v>
      </c>
      <c r="N813" s="330"/>
      <c r="O813" s="330">
        <v>8957</v>
      </c>
      <c r="P813" s="330"/>
      <c r="Q813" s="330">
        <v>3765</v>
      </c>
    </row>
    <row r="814" spans="1:27">
      <c r="A814" s="325">
        <v>805</v>
      </c>
      <c r="B814" s="329" t="s">
        <v>1631</v>
      </c>
      <c r="C814" s="333"/>
      <c r="D814" s="333"/>
      <c r="E814" s="333" t="s">
        <v>1631</v>
      </c>
      <c r="F814" s="328" t="s">
        <v>3391</v>
      </c>
      <c r="G814" s="328" t="s">
        <v>3392</v>
      </c>
      <c r="H814" s="328" t="s">
        <v>1632</v>
      </c>
      <c r="I814" s="328" t="s">
        <v>12</v>
      </c>
      <c r="J814" s="328" t="s">
        <v>2660</v>
      </c>
      <c r="K814" s="330">
        <v>473</v>
      </c>
      <c r="L814" s="330">
        <v>7975</v>
      </c>
      <c r="M814" s="330">
        <v>0</v>
      </c>
      <c r="N814" s="330"/>
      <c r="O814" s="330">
        <v>7956</v>
      </c>
      <c r="P814" s="330"/>
      <c r="Q814" s="330">
        <v>19</v>
      </c>
    </row>
    <row r="815" spans="1:27" ht="25.5">
      <c r="A815" s="328">
        <v>806</v>
      </c>
      <c r="B815" s="329" t="s">
        <v>750</v>
      </c>
      <c r="C815" s="329"/>
      <c r="D815" s="329"/>
      <c r="E815" s="333" t="s">
        <v>1625</v>
      </c>
      <c r="F815" s="328" t="s">
        <v>1627</v>
      </c>
      <c r="G815" s="328" t="s">
        <v>473</v>
      </c>
      <c r="H815" s="328" t="s">
        <v>1370</v>
      </c>
      <c r="I815" s="328" t="s">
        <v>11</v>
      </c>
      <c r="J815" s="328" t="s">
        <v>1626</v>
      </c>
      <c r="K815" s="330">
        <v>59</v>
      </c>
      <c r="L815" s="330">
        <v>0</v>
      </c>
      <c r="M815" s="330">
        <v>30000</v>
      </c>
      <c r="N815" s="330"/>
      <c r="O815" s="330">
        <v>29500</v>
      </c>
      <c r="P815" s="330"/>
      <c r="Q815" s="330">
        <v>500</v>
      </c>
    </row>
    <row r="816" spans="1:27">
      <c r="A816" s="328">
        <v>807</v>
      </c>
      <c r="B816" s="347" t="s">
        <v>395</v>
      </c>
      <c r="C816" s="329"/>
      <c r="D816" s="329"/>
      <c r="E816" s="640" t="s">
        <v>3393</v>
      </c>
      <c r="F816" s="348" t="s">
        <v>3394</v>
      </c>
      <c r="G816" s="348" t="s">
        <v>3395</v>
      </c>
      <c r="H816" s="348" t="s">
        <v>267</v>
      </c>
      <c r="I816" s="348" t="s">
        <v>10</v>
      </c>
      <c r="J816" s="348" t="s">
        <v>642</v>
      </c>
      <c r="K816" s="330">
        <v>4360</v>
      </c>
      <c r="L816" s="330">
        <f>41+17768+2040+74</f>
        <v>19923</v>
      </c>
      <c r="M816" s="330"/>
      <c r="N816" s="330"/>
      <c r="O816" s="330">
        <v>19923</v>
      </c>
      <c r="P816" s="330"/>
      <c r="Q816" s="330"/>
      <c r="R816" s="37"/>
      <c r="T816" s="37"/>
      <c r="U816" s="37"/>
      <c r="V816" s="37"/>
      <c r="W816" s="37"/>
      <c r="X816" s="37"/>
      <c r="Y816" s="37"/>
      <c r="Z816" s="37"/>
      <c r="AA816" s="37"/>
    </row>
    <row r="817" spans="1:27" ht="25.5">
      <c r="A817" s="328">
        <v>808</v>
      </c>
      <c r="B817" s="347" t="s">
        <v>3396</v>
      </c>
      <c r="C817" s="329"/>
      <c r="D817" s="329"/>
      <c r="E817" s="640" t="s">
        <v>3397</v>
      </c>
      <c r="F817" s="348" t="s">
        <v>2431</v>
      </c>
      <c r="G817" s="328" t="s">
        <v>3398</v>
      </c>
      <c r="H817" s="348" t="s">
        <v>3399</v>
      </c>
      <c r="I817" s="351" t="s">
        <v>18</v>
      </c>
      <c r="J817" s="348" t="s">
        <v>3400</v>
      </c>
      <c r="K817" s="330">
        <v>21000</v>
      </c>
      <c r="L817" s="330">
        <f>72+339+2</f>
        <v>413</v>
      </c>
      <c r="M817" s="330"/>
      <c r="N817" s="330"/>
      <c r="O817" s="330">
        <f>72+339</f>
        <v>411</v>
      </c>
      <c r="P817" s="330"/>
      <c r="Q817" s="330">
        <v>2</v>
      </c>
      <c r="R817" s="37"/>
      <c r="T817" s="37"/>
      <c r="U817" s="37"/>
      <c r="V817" s="37"/>
      <c r="W817" s="37"/>
      <c r="X817" s="37"/>
      <c r="Y817" s="37"/>
      <c r="Z817" s="37"/>
      <c r="AA817" s="37"/>
    </row>
    <row r="818" spans="1:27">
      <c r="A818" s="328">
        <v>809</v>
      </c>
      <c r="B818" s="329" t="s">
        <v>1029</v>
      </c>
      <c r="C818" s="333"/>
      <c r="D818" s="333"/>
      <c r="E818" s="333" t="s">
        <v>1385</v>
      </c>
      <c r="F818" s="328" t="s">
        <v>3401</v>
      </c>
      <c r="G818" s="328" t="s">
        <v>3402</v>
      </c>
      <c r="H818" s="328" t="s">
        <v>1386</v>
      </c>
      <c r="I818" s="328" t="s">
        <v>10</v>
      </c>
      <c r="J818" s="328" t="s">
        <v>647</v>
      </c>
      <c r="K818" s="330">
        <v>1344</v>
      </c>
      <c r="L818" s="330">
        <v>618</v>
      </c>
      <c r="M818" s="330">
        <v>12400</v>
      </c>
      <c r="N818" s="330"/>
      <c r="O818" s="330">
        <v>13016</v>
      </c>
      <c r="P818" s="330"/>
      <c r="Q818" s="330">
        <v>2</v>
      </c>
    </row>
    <row r="819" spans="1:27">
      <c r="A819" s="328">
        <v>810</v>
      </c>
      <c r="B819" s="329" t="s">
        <v>1029</v>
      </c>
      <c r="C819" s="329"/>
      <c r="D819" s="329"/>
      <c r="E819" s="333" t="s">
        <v>1387</v>
      </c>
      <c r="F819" s="328" t="s">
        <v>1389</v>
      </c>
      <c r="G819" s="328" t="s">
        <v>360</v>
      </c>
      <c r="H819" s="328" t="s">
        <v>1388</v>
      </c>
      <c r="I819" s="328" t="s">
        <v>11</v>
      </c>
      <c r="J819" s="328" t="s">
        <v>1336</v>
      </c>
      <c r="K819" s="330">
        <v>2370</v>
      </c>
      <c r="L819" s="330">
        <v>0</v>
      </c>
      <c r="M819" s="330">
        <v>28800</v>
      </c>
      <c r="N819" s="330"/>
      <c r="O819" s="330">
        <v>26648</v>
      </c>
      <c r="P819" s="330"/>
      <c r="Q819" s="330">
        <v>2152</v>
      </c>
    </row>
    <row r="820" spans="1:27">
      <c r="A820" s="325">
        <v>811</v>
      </c>
      <c r="B820" s="342" t="s">
        <v>3339</v>
      </c>
      <c r="C820" s="329"/>
      <c r="D820" s="329"/>
      <c r="E820" s="333" t="s">
        <v>1387</v>
      </c>
      <c r="F820" s="328" t="s">
        <v>3403</v>
      </c>
      <c r="G820" s="328" t="s">
        <v>3402</v>
      </c>
      <c r="H820" s="328" t="s">
        <v>1388</v>
      </c>
      <c r="I820" s="328" t="s">
        <v>11</v>
      </c>
      <c r="J820" s="328" t="s">
        <v>647</v>
      </c>
      <c r="K820" s="330">
        <v>2568</v>
      </c>
      <c r="L820" s="330">
        <v>794</v>
      </c>
      <c r="M820" s="330">
        <v>0</v>
      </c>
      <c r="N820" s="330"/>
      <c r="O820" s="330">
        <v>780</v>
      </c>
      <c r="P820" s="330"/>
      <c r="Q820" s="330">
        <v>14</v>
      </c>
    </row>
    <row r="821" spans="1:27">
      <c r="A821" s="328">
        <v>812</v>
      </c>
      <c r="B821" s="347" t="s">
        <v>3404</v>
      </c>
      <c r="C821" s="329"/>
      <c r="D821" s="329"/>
      <c r="E821" s="640" t="s">
        <v>3405</v>
      </c>
      <c r="F821" s="348" t="s">
        <v>3406</v>
      </c>
      <c r="G821" s="348" t="s">
        <v>3407</v>
      </c>
      <c r="H821" s="348" t="s">
        <v>1173</v>
      </c>
      <c r="I821" s="348" t="s">
        <v>10</v>
      </c>
      <c r="J821" s="348" t="s">
        <v>647</v>
      </c>
      <c r="K821" s="330">
        <v>1050</v>
      </c>
      <c r="L821" s="330">
        <f>2743+465+13</f>
        <v>3221</v>
      </c>
      <c r="M821" s="330"/>
      <c r="N821" s="330"/>
      <c r="O821" s="330">
        <v>3221</v>
      </c>
      <c r="P821" s="330"/>
      <c r="Q821" s="330"/>
      <c r="R821" s="37"/>
      <c r="T821" s="37"/>
      <c r="U821" s="37"/>
      <c r="V821" s="37"/>
      <c r="W821" s="37"/>
      <c r="X821" s="37"/>
      <c r="Y821" s="37"/>
      <c r="Z821" s="37"/>
      <c r="AA821" s="37"/>
    </row>
    <row r="822" spans="1:27">
      <c r="A822" s="328">
        <v>813</v>
      </c>
      <c r="B822" s="331" t="s">
        <v>428</v>
      </c>
      <c r="C822" s="331"/>
      <c r="D822" s="331"/>
      <c r="E822" s="333" t="s">
        <v>3408</v>
      </c>
      <c r="F822" s="328" t="s">
        <v>431</v>
      </c>
      <c r="G822" s="328" t="s">
        <v>432</v>
      </c>
      <c r="H822" s="328" t="s">
        <v>429</v>
      </c>
      <c r="I822" s="328" t="s">
        <v>14</v>
      </c>
      <c r="J822" s="328" t="s">
        <v>430</v>
      </c>
      <c r="K822" s="330">
        <v>6845</v>
      </c>
      <c r="L822" s="330">
        <v>0</v>
      </c>
      <c r="M822" s="330">
        <v>300</v>
      </c>
      <c r="N822" s="330"/>
      <c r="O822" s="330">
        <v>110</v>
      </c>
      <c r="P822" s="330"/>
      <c r="Q822" s="330">
        <v>190</v>
      </c>
    </row>
    <row r="823" spans="1:27">
      <c r="A823" s="328">
        <v>814</v>
      </c>
      <c r="B823" s="329" t="s">
        <v>855</v>
      </c>
      <c r="C823" s="329"/>
      <c r="D823" s="329"/>
      <c r="E823" s="637" t="s">
        <v>856</v>
      </c>
      <c r="F823" s="328" t="s">
        <v>857</v>
      </c>
      <c r="G823" s="328" t="s">
        <v>2785</v>
      </c>
      <c r="H823" s="328" t="s">
        <v>641</v>
      </c>
      <c r="I823" s="328" t="s">
        <v>11</v>
      </c>
      <c r="J823" s="328" t="s">
        <v>647</v>
      </c>
      <c r="K823" s="330">
        <v>2450</v>
      </c>
      <c r="L823" s="330">
        <v>0</v>
      </c>
      <c r="M823" s="330">
        <v>16000</v>
      </c>
      <c r="N823" s="330"/>
      <c r="O823" s="330">
        <v>15998</v>
      </c>
      <c r="P823" s="330"/>
      <c r="Q823" s="330">
        <v>2</v>
      </c>
    </row>
    <row r="824" spans="1:27">
      <c r="A824" s="328">
        <v>815</v>
      </c>
      <c r="B824" s="329" t="s">
        <v>1311</v>
      </c>
      <c r="C824" s="329"/>
      <c r="D824" s="329"/>
      <c r="E824" s="333" t="s">
        <v>1720</v>
      </c>
      <c r="F824" s="328" t="s">
        <v>1721</v>
      </c>
      <c r="G824" s="328" t="s">
        <v>1170</v>
      </c>
      <c r="H824" s="328" t="s">
        <v>1313</v>
      </c>
      <c r="I824" s="328" t="s">
        <v>11</v>
      </c>
      <c r="J824" s="328" t="s">
        <v>1718</v>
      </c>
      <c r="K824" s="330">
        <v>1400</v>
      </c>
      <c r="L824" s="330">
        <v>0</v>
      </c>
      <c r="M824" s="330">
        <v>50000</v>
      </c>
      <c r="N824" s="330"/>
      <c r="O824" s="330">
        <v>30044</v>
      </c>
      <c r="P824" s="330"/>
      <c r="Q824" s="330">
        <v>19956</v>
      </c>
    </row>
    <row r="825" spans="1:27">
      <c r="A825" s="328">
        <v>816</v>
      </c>
      <c r="B825" s="336" t="s">
        <v>788</v>
      </c>
      <c r="C825" s="329"/>
      <c r="D825" s="329"/>
      <c r="E825" s="333" t="s">
        <v>789</v>
      </c>
      <c r="F825" s="328" t="s">
        <v>790</v>
      </c>
      <c r="G825" s="328" t="s">
        <v>791</v>
      </c>
      <c r="H825" s="328" t="s">
        <v>369</v>
      </c>
      <c r="I825" s="328" t="s">
        <v>11</v>
      </c>
      <c r="J825" s="328" t="s">
        <v>778</v>
      </c>
      <c r="K825" s="330">
        <v>5670</v>
      </c>
      <c r="L825" s="330">
        <v>37904</v>
      </c>
      <c r="M825" s="330">
        <v>0</v>
      </c>
      <c r="N825" s="330"/>
      <c r="O825" s="330">
        <v>37777</v>
      </c>
      <c r="P825" s="330"/>
      <c r="Q825" s="330">
        <v>127</v>
      </c>
    </row>
    <row r="826" spans="1:27">
      <c r="A826" s="325">
        <v>817</v>
      </c>
      <c r="B826" s="336" t="s">
        <v>638</v>
      </c>
      <c r="C826" s="329"/>
      <c r="D826" s="329"/>
      <c r="E826" s="333" t="s">
        <v>1997</v>
      </c>
      <c r="F826" s="328" t="s">
        <v>1998</v>
      </c>
      <c r="G826" s="328" t="s">
        <v>1946</v>
      </c>
      <c r="H826" s="328" t="s">
        <v>429</v>
      </c>
      <c r="I826" s="328" t="s">
        <v>1258</v>
      </c>
      <c r="J826" s="328" t="s">
        <v>1948</v>
      </c>
      <c r="K826" s="330">
        <v>1550</v>
      </c>
      <c r="L826" s="330">
        <v>7337</v>
      </c>
      <c r="M826" s="330">
        <v>15000</v>
      </c>
      <c r="N826" s="330"/>
      <c r="O826" s="330">
        <v>14448</v>
      </c>
      <c r="P826" s="330"/>
      <c r="Q826" s="330">
        <v>7889</v>
      </c>
    </row>
    <row r="827" spans="1:27">
      <c r="A827" s="328">
        <v>818</v>
      </c>
      <c r="B827" s="329" t="s">
        <v>3409</v>
      </c>
      <c r="C827" s="333"/>
      <c r="D827" s="333"/>
      <c r="E827" s="333" t="s">
        <v>3410</v>
      </c>
      <c r="F827" s="328" t="s">
        <v>3411</v>
      </c>
      <c r="G827" s="328" t="s">
        <v>3412</v>
      </c>
      <c r="H827" s="328" t="s">
        <v>225</v>
      </c>
      <c r="I827" s="328" t="s">
        <v>10</v>
      </c>
      <c r="J827" s="328" t="s">
        <v>642</v>
      </c>
      <c r="K827" s="330">
        <v>186</v>
      </c>
      <c r="L827" s="330">
        <v>75</v>
      </c>
      <c r="M827" s="330">
        <v>0</v>
      </c>
      <c r="N827" s="330"/>
      <c r="O827" s="330">
        <v>75</v>
      </c>
      <c r="P827" s="330"/>
      <c r="Q827" s="330">
        <v>0</v>
      </c>
    </row>
    <row r="828" spans="1:27">
      <c r="A828" s="328">
        <v>819</v>
      </c>
      <c r="B828" s="329" t="s">
        <v>841</v>
      </c>
      <c r="C828" s="333"/>
      <c r="D828" s="333"/>
      <c r="E828" s="333" t="s">
        <v>3413</v>
      </c>
      <c r="F828" s="328" t="s">
        <v>3414</v>
      </c>
      <c r="G828" s="328" t="s">
        <v>3412</v>
      </c>
      <c r="H828" s="328" t="s">
        <v>3415</v>
      </c>
      <c r="I828" s="328" t="s">
        <v>10</v>
      </c>
      <c r="J828" s="328" t="s">
        <v>642</v>
      </c>
      <c r="K828" s="330">
        <v>264</v>
      </c>
      <c r="L828" s="330">
        <v>970</v>
      </c>
      <c r="M828" s="330">
        <v>0</v>
      </c>
      <c r="N828" s="330"/>
      <c r="O828" s="330">
        <v>970</v>
      </c>
      <c r="P828" s="330"/>
      <c r="Q828" s="330">
        <v>0</v>
      </c>
    </row>
    <row r="829" spans="1:27">
      <c r="A829" s="328">
        <v>820</v>
      </c>
      <c r="B829" s="329" t="s">
        <v>689</v>
      </c>
      <c r="C829" s="329"/>
      <c r="D829" s="329"/>
      <c r="E829" s="333" t="s">
        <v>690</v>
      </c>
      <c r="F829" s="328" t="s">
        <v>693</v>
      </c>
      <c r="G829" s="328" t="s">
        <v>694</v>
      </c>
      <c r="H829" s="328" t="s">
        <v>691</v>
      </c>
      <c r="I829" s="328" t="s">
        <v>12</v>
      </c>
      <c r="J829" s="328" t="s">
        <v>692</v>
      </c>
      <c r="K829" s="330">
        <v>8190</v>
      </c>
      <c r="L829" s="330">
        <v>0</v>
      </c>
      <c r="M829" s="330">
        <v>9996</v>
      </c>
      <c r="N829" s="330"/>
      <c r="O829" s="330">
        <v>947</v>
      </c>
      <c r="P829" s="330"/>
      <c r="Q829" s="330">
        <v>9049</v>
      </c>
    </row>
    <row r="830" spans="1:27">
      <c r="A830" s="328">
        <v>821</v>
      </c>
      <c r="B830" s="336" t="s">
        <v>689</v>
      </c>
      <c r="C830" s="329"/>
      <c r="D830" s="329"/>
      <c r="E830" s="333" t="s">
        <v>1259</v>
      </c>
      <c r="F830" s="328" t="s">
        <v>1262</v>
      </c>
      <c r="G830" s="328" t="s">
        <v>1263</v>
      </c>
      <c r="H830" s="328" t="s">
        <v>1260</v>
      </c>
      <c r="I830" s="328" t="s">
        <v>10</v>
      </c>
      <c r="J830" s="328" t="s">
        <v>1261</v>
      </c>
      <c r="K830" s="330">
        <v>4980</v>
      </c>
      <c r="L830" s="330">
        <v>0</v>
      </c>
      <c r="M830" s="330">
        <v>10500</v>
      </c>
      <c r="N830" s="330"/>
      <c r="O830" s="330">
        <v>4994</v>
      </c>
      <c r="P830" s="330"/>
      <c r="Q830" s="330">
        <v>5506</v>
      </c>
    </row>
    <row r="831" spans="1:27">
      <c r="A831" s="328">
        <v>822</v>
      </c>
      <c r="B831" s="329" t="s">
        <v>3217</v>
      </c>
      <c r="C831" s="333"/>
      <c r="D831" s="333"/>
      <c r="E831" s="333" t="s">
        <v>3416</v>
      </c>
      <c r="F831" s="328" t="s">
        <v>3417</v>
      </c>
      <c r="G831" s="328" t="s">
        <v>3418</v>
      </c>
      <c r="H831" s="328" t="s">
        <v>2556</v>
      </c>
      <c r="I831" s="328" t="s">
        <v>10</v>
      </c>
      <c r="J831" s="328" t="s">
        <v>778</v>
      </c>
      <c r="K831" s="330">
        <v>3800</v>
      </c>
      <c r="L831" s="330">
        <v>65</v>
      </c>
      <c r="M831" s="330">
        <v>0</v>
      </c>
      <c r="N831" s="330"/>
      <c r="O831" s="330">
        <v>27</v>
      </c>
      <c r="P831" s="330"/>
      <c r="Q831" s="330">
        <v>38</v>
      </c>
    </row>
    <row r="832" spans="1:27">
      <c r="A832" s="325">
        <v>823</v>
      </c>
      <c r="B832" s="331" t="s">
        <v>531</v>
      </c>
      <c r="C832" s="331"/>
      <c r="D832" s="331"/>
      <c r="E832" s="333" t="s">
        <v>535</v>
      </c>
      <c r="F832" s="328" t="s">
        <v>536</v>
      </c>
      <c r="G832" s="328" t="s">
        <v>537</v>
      </c>
      <c r="H832" s="328" t="s">
        <v>533</v>
      </c>
      <c r="I832" s="328" t="s">
        <v>520</v>
      </c>
      <c r="J832" s="328" t="s">
        <v>2654</v>
      </c>
      <c r="K832" s="330">
        <v>4500</v>
      </c>
      <c r="L832" s="330">
        <v>0</v>
      </c>
      <c r="M832" s="330">
        <v>500</v>
      </c>
      <c r="N832" s="330"/>
      <c r="O832" s="330">
        <v>329</v>
      </c>
      <c r="P832" s="330"/>
      <c r="Q832" s="330">
        <v>171</v>
      </c>
    </row>
    <row r="833" spans="1:17">
      <c r="A833" s="328">
        <v>824</v>
      </c>
      <c r="B833" s="329" t="s">
        <v>813</v>
      </c>
      <c r="C833" s="333"/>
      <c r="D833" s="333"/>
      <c r="E833" s="333" t="s">
        <v>2557</v>
      </c>
      <c r="F833" s="328" t="s">
        <v>3419</v>
      </c>
      <c r="G833" s="328" t="s">
        <v>2965</v>
      </c>
      <c r="H833" s="328" t="s">
        <v>299</v>
      </c>
      <c r="I833" s="328" t="s">
        <v>10</v>
      </c>
      <c r="J833" s="328" t="s">
        <v>541</v>
      </c>
      <c r="K833" s="330">
        <v>2000</v>
      </c>
      <c r="L833" s="330">
        <v>19885</v>
      </c>
      <c r="M833" s="330">
        <v>0</v>
      </c>
      <c r="N833" s="330"/>
      <c r="O833" s="330">
        <v>18311</v>
      </c>
      <c r="P833" s="330"/>
      <c r="Q833" s="330">
        <v>1574</v>
      </c>
    </row>
    <row r="834" spans="1:17">
      <c r="A834" s="328">
        <v>825</v>
      </c>
      <c r="B834" s="336" t="s">
        <v>797</v>
      </c>
      <c r="C834" s="329"/>
      <c r="D834" s="329"/>
      <c r="E834" s="333" t="s">
        <v>798</v>
      </c>
      <c r="F834" s="328" t="s">
        <v>800</v>
      </c>
      <c r="G834" s="328" t="s">
        <v>801</v>
      </c>
      <c r="H834" s="328" t="s">
        <v>799</v>
      </c>
      <c r="I834" s="328" t="s">
        <v>520</v>
      </c>
      <c r="J834" s="328" t="s">
        <v>241</v>
      </c>
      <c r="K834" s="330">
        <v>16300</v>
      </c>
      <c r="L834" s="330">
        <v>10</v>
      </c>
      <c r="M834" s="330">
        <v>20</v>
      </c>
      <c r="N834" s="330"/>
      <c r="O834" s="330">
        <v>0</v>
      </c>
      <c r="P834" s="330"/>
      <c r="Q834" s="330">
        <v>30</v>
      </c>
    </row>
    <row r="835" spans="1:17">
      <c r="A835" s="328">
        <v>826</v>
      </c>
      <c r="B835" s="329" t="s">
        <v>3420</v>
      </c>
      <c r="C835" s="329"/>
      <c r="D835" s="329"/>
      <c r="E835" s="333" t="s">
        <v>1080</v>
      </c>
      <c r="F835" s="328" t="s">
        <v>1083</v>
      </c>
      <c r="G835" s="328" t="s">
        <v>336</v>
      </c>
      <c r="H835" s="328" t="s">
        <v>1081</v>
      </c>
      <c r="I835" s="328" t="s">
        <v>10</v>
      </c>
      <c r="J835" s="328" t="s">
        <v>1082</v>
      </c>
      <c r="K835" s="330">
        <v>420</v>
      </c>
      <c r="L835" s="330">
        <v>0</v>
      </c>
      <c r="M835" s="330">
        <v>30000</v>
      </c>
      <c r="N835" s="330"/>
      <c r="O835" s="330">
        <v>29992</v>
      </c>
      <c r="P835" s="330"/>
      <c r="Q835" s="330">
        <v>8</v>
      </c>
    </row>
    <row r="836" spans="1:17" ht="25.5">
      <c r="A836" s="328">
        <v>827</v>
      </c>
      <c r="B836" s="336" t="s">
        <v>2323</v>
      </c>
      <c r="C836" s="329"/>
      <c r="D836" s="329"/>
      <c r="E836" s="333" t="s">
        <v>169</v>
      </c>
      <c r="F836" s="328" t="s">
        <v>2324</v>
      </c>
      <c r="G836" s="328" t="s">
        <v>2325</v>
      </c>
      <c r="H836" s="328" t="s">
        <v>171</v>
      </c>
      <c r="I836" s="328" t="s">
        <v>10</v>
      </c>
      <c r="J836" s="328" t="s">
        <v>884</v>
      </c>
      <c r="K836" s="330">
        <v>3450</v>
      </c>
      <c r="L836" s="330">
        <v>0</v>
      </c>
      <c r="M836" s="330">
        <v>40698</v>
      </c>
      <c r="N836" s="330"/>
      <c r="O836" s="330">
        <v>29350</v>
      </c>
      <c r="P836" s="330"/>
      <c r="Q836" s="330">
        <v>11348</v>
      </c>
    </row>
    <row r="837" spans="1:17">
      <c r="A837" s="328">
        <v>828</v>
      </c>
      <c r="B837" s="331" t="s">
        <v>371</v>
      </c>
      <c r="C837" s="331"/>
      <c r="D837" s="331"/>
      <c r="E837" s="333" t="s">
        <v>486</v>
      </c>
      <c r="F837" s="328" t="s">
        <v>487</v>
      </c>
      <c r="G837" s="328" t="s">
        <v>488</v>
      </c>
      <c r="H837" s="328" t="s">
        <v>248</v>
      </c>
      <c r="I837" s="328" t="s">
        <v>10</v>
      </c>
      <c r="J837" s="328" t="s">
        <v>647</v>
      </c>
      <c r="K837" s="330">
        <v>399</v>
      </c>
      <c r="L837" s="330">
        <v>0</v>
      </c>
      <c r="M837" s="330">
        <v>46000</v>
      </c>
      <c r="N837" s="330"/>
      <c r="O837" s="330">
        <v>36996</v>
      </c>
      <c r="P837" s="330"/>
      <c r="Q837" s="330">
        <v>9004</v>
      </c>
    </row>
    <row r="838" spans="1:17">
      <c r="A838" s="325">
        <v>829</v>
      </c>
      <c r="B838" s="329" t="s">
        <v>371</v>
      </c>
      <c r="C838" s="333"/>
      <c r="D838" s="333"/>
      <c r="E838" s="333" t="s">
        <v>486</v>
      </c>
      <c r="F838" s="328" t="s">
        <v>3421</v>
      </c>
      <c r="G838" s="328" t="s">
        <v>3422</v>
      </c>
      <c r="H838" s="328" t="s">
        <v>248</v>
      </c>
      <c r="I838" s="328" t="s">
        <v>11</v>
      </c>
      <c r="J838" s="328" t="s">
        <v>642</v>
      </c>
      <c r="K838" s="330">
        <v>483</v>
      </c>
      <c r="L838" s="330">
        <v>6649</v>
      </c>
      <c r="M838" s="330">
        <v>0</v>
      </c>
      <c r="N838" s="330"/>
      <c r="O838" s="330">
        <v>6647</v>
      </c>
      <c r="P838" s="330"/>
      <c r="Q838" s="330">
        <v>2</v>
      </c>
    </row>
    <row r="839" spans="1:17" ht="25.5">
      <c r="A839" s="328">
        <v>830</v>
      </c>
      <c r="B839" s="329" t="s">
        <v>2360</v>
      </c>
      <c r="C839" s="329"/>
      <c r="D839" s="329"/>
      <c r="E839" s="333" t="s">
        <v>172</v>
      </c>
      <c r="F839" s="349" t="s">
        <v>2361</v>
      </c>
      <c r="G839" s="349" t="s">
        <v>1567</v>
      </c>
      <c r="H839" s="328" t="s">
        <v>17</v>
      </c>
      <c r="I839" s="328" t="s">
        <v>10</v>
      </c>
      <c r="J839" s="328" t="s">
        <v>1026</v>
      </c>
      <c r="K839" s="330">
        <v>6300</v>
      </c>
      <c r="L839" s="330">
        <v>0</v>
      </c>
      <c r="M839" s="330">
        <v>10000</v>
      </c>
      <c r="N839" s="330"/>
      <c r="O839" s="330">
        <v>5693</v>
      </c>
      <c r="P839" s="330"/>
      <c r="Q839" s="330">
        <v>4307</v>
      </c>
    </row>
    <row r="840" spans="1:17">
      <c r="A840" s="328">
        <v>831</v>
      </c>
      <c r="B840" s="329" t="s">
        <v>1838</v>
      </c>
      <c r="C840" s="329"/>
      <c r="D840" s="329"/>
      <c r="E840" s="639" t="s">
        <v>1839</v>
      </c>
      <c r="F840" s="341" t="s">
        <v>1840</v>
      </c>
      <c r="G840" s="328" t="s">
        <v>1841</v>
      </c>
      <c r="H840" s="341" t="s">
        <v>334</v>
      </c>
      <c r="I840" s="328" t="s">
        <v>10</v>
      </c>
      <c r="J840" s="341" t="s">
        <v>1153</v>
      </c>
      <c r="K840" s="330">
        <v>1350</v>
      </c>
      <c r="L840" s="330">
        <v>9960</v>
      </c>
      <c r="M840" s="330">
        <v>0</v>
      </c>
      <c r="N840" s="330"/>
      <c r="O840" s="330">
        <v>3260</v>
      </c>
      <c r="P840" s="330"/>
      <c r="Q840" s="330">
        <v>6700</v>
      </c>
    </row>
    <row r="841" spans="1:17" ht="25.5">
      <c r="A841" s="328">
        <v>832</v>
      </c>
      <c r="B841" s="338" t="s">
        <v>2058</v>
      </c>
      <c r="C841" s="329"/>
      <c r="D841" s="329"/>
      <c r="E841" s="333" t="s">
        <v>2060</v>
      </c>
      <c r="F841" s="328" t="s">
        <v>2061</v>
      </c>
      <c r="G841" s="328" t="s">
        <v>2059</v>
      </c>
      <c r="H841" s="328" t="s">
        <v>327</v>
      </c>
      <c r="I841" s="328" t="s">
        <v>10</v>
      </c>
      <c r="J841" s="328" t="s">
        <v>626</v>
      </c>
      <c r="K841" s="330">
        <v>4414</v>
      </c>
      <c r="L841" s="330">
        <v>0</v>
      </c>
      <c r="M841" s="330">
        <v>1500</v>
      </c>
      <c r="N841" s="330"/>
      <c r="O841" s="330">
        <v>0</v>
      </c>
      <c r="P841" s="330"/>
      <c r="Q841" s="330">
        <v>1500</v>
      </c>
    </row>
    <row r="842" spans="1:17">
      <c r="A842" s="328">
        <v>833</v>
      </c>
      <c r="B842" s="338" t="s">
        <v>2043</v>
      </c>
      <c r="C842" s="329"/>
      <c r="D842" s="329"/>
      <c r="E842" s="333" t="s">
        <v>2044</v>
      </c>
      <c r="F842" s="328" t="s">
        <v>2045</v>
      </c>
      <c r="G842" s="328" t="s">
        <v>2046</v>
      </c>
      <c r="H842" s="328" t="s">
        <v>225</v>
      </c>
      <c r="I842" s="328" t="s">
        <v>10</v>
      </c>
      <c r="J842" s="328" t="s">
        <v>626</v>
      </c>
      <c r="K842" s="330">
        <v>4612</v>
      </c>
      <c r="L842" s="330">
        <v>0</v>
      </c>
      <c r="M842" s="330">
        <v>4230</v>
      </c>
      <c r="N842" s="330"/>
      <c r="O842" s="330">
        <v>2766</v>
      </c>
      <c r="P842" s="330"/>
      <c r="Q842" s="330">
        <v>1464</v>
      </c>
    </row>
    <row r="843" spans="1:17">
      <c r="A843" s="328">
        <v>834</v>
      </c>
      <c r="B843" s="338" t="s">
        <v>2038</v>
      </c>
      <c r="C843" s="329"/>
      <c r="D843" s="329"/>
      <c r="E843" s="333" t="s">
        <v>2039</v>
      </c>
      <c r="F843" s="328" t="s">
        <v>2041</v>
      </c>
      <c r="G843" s="328" t="s">
        <v>2042</v>
      </c>
      <c r="H843" s="328" t="s">
        <v>770</v>
      </c>
      <c r="I843" s="328" t="s">
        <v>628</v>
      </c>
      <c r="J843" s="328" t="s">
        <v>2040</v>
      </c>
      <c r="K843" s="330">
        <v>13698</v>
      </c>
      <c r="L843" s="330">
        <v>4</v>
      </c>
      <c r="M843" s="330">
        <v>1300</v>
      </c>
      <c r="N843" s="330"/>
      <c r="O843" s="330">
        <v>1041</v>
      </c>
      <c r="P843" s="330"/>
      <c r="Q843" s="330">
        <v>263</v>
      </c>
    </row>
    <row r="844" spans="1:17">
      <c r="A844" s="325">
        <v>835</v>
      </c>
      <c r="B844" s="331" t="s">
        <v>227</v>
      </c>
      <c r="C844" s="331"/>
      <c r="D844" s="331"/>
      <c r="E844" s="333" t="s">
        <v>471</v>
      </c>
      <c r="F844" s="328" t="s">
        <v>472</v>
      </c>
      <c r="G844" s="328" t="s">
        <v>463</v>
      </c>
      <c r="H844" s="328" t="s">
        <v>225</v>
      </c>
      <c r="I844" s="328" t="s">
        <v>10</v>
      </c>
      <c r="J844" s="328" t="s">
        <v>647</v>
      </c>
      <c r="K844" s="330">
        <v>420</v>
      </c>
      <c r="L844" s="330">
        <v>0</v>
      </c>
      <c r="M844" s="330">
        <v>153400</v>
      </c>
      <c r="N844" s="330"/>
      <c r="O844" s="330">
        <v>109937</v>
      </c>
      <c r="P844" s="330"/>
      <c r="Q844" s="330">
        <v>43463</v>
      </c>
    </row>
    <row r="845" spans="1:17">
      <c r="A845" s="328">
        <v>836</v>
      </c>
      <c r="B845" s="329" t="s">
        <v>706</v>
      </c>
      <c r="C845" s="333"/>
      <c r="D845" s="333"/>
      <c r="E845" s="333" t="s">
        <v>1520</v>
      </c>
      <c r="F845" s="328" t="s">
        <v>1521</v>
      </c>
      <c r="G845" s="328" t="s">
        <v>3423</v>
      </c>
      <c r="H845" s="328" t="s">
        <v>390</v>
      </c>
      <c r="I845" s="328" t="s">
        <v>11</v>
      </c>
      <c r="J845" s="328" t="s">
        <v>547</v>
      </c>
      <c r="K845" s="330">
        <v>2160</v>
      </c>
      <c r="L845" s="330">
        <v>5371</v>
      </c>
      <c r="M845" s="330">
        <v>0</v>
      </c>
      <c r="N845" s="330"/>
      <c r="O845" s="330">
        <v>3121</v>
      </c>
      <c r="P845" s="330"/>
      <c r="Q845" s="330">
        <v>2250</v>
      </c>
    </row>
    <row r="846" spans="1:17">
      <c r="A846" s="328">
        <v>837</v>
      </c>
      <c r="B846" s="329" t="s">
        <v>1902</v>
      </c>
      <c r="C846" s="329"/>
      <c r="D846" s="329"/>
      <c r="E846" s="333" t="s">
        <v>1903</v>
      </c>
      <c r="F846" s="328" t="s">
        <v>1905</v>
      </c>
      <c r="G846" s="328" t="s">
        <v>1867</v>
      </c>
      <c r="H846" s="328" t="s">
        <v>1904</v>
      </c>
      <c r="I846" s="328" t="s">
        <v>10</v>
      </c>
      <c r="J846" s="328" t="s">
        <v>647</v>
      </c>
      <c r="K846" s="330">
        <v>229</v>
      </c>
      <c r="L846" s="330">
        <v>3</v>
      </c>
      <c r="M846" s="330">
        <v>112500</v>
      </c>
      <c r="N846" s="330"/>
      <c r="O846" s="330">
        <v>86436</v>
      </c>
      <c r="P846" s="330"/>
      <c r="Q846" s="330">
        <v>26067</v>
      </c>
    </row>
    <row r="847" spans="1:17">
      <c r="A847" s="328">
        <v>838</v>
      </c>
      <c r="B847" s="329" t="s">
        <v>1938</v>
      </c>
      <c r="C847" s="333"/>
      <c r="D847" s="333"/>
      <c r="E847" s="333" t="s">
        <v>1939</v>
      </c>
      <c r="F847" s="328" t="s">
        <v>3424</v>
      </c>
      <c r="G847" s="328" t="s">
        <v>3032</v>
      </c>
      <c r="H847" s="328" t="s">
        <v>2591</v>
      </c>
      <c r="I847" s="328" t="s">
        <v>11</v>
      </c>
      <c r="J847" s="328" t="s">
        <v>3425</v>
      </c>
      <c r="K847" s="330">
        <v>3570</v>
      </c>
      <c r="L847" s="330">
        <v>53</v>
      </c>
      <c r="M847" s="330">
        <v>0</v>
      </c>
      <c r="N847" s="330"/>
      <c r="O847" s="330">
        <v>20</v>
      </c>
      <c r="P847" s="330"/>
      <c r="Q847" s="330">
        <v>33</v>
      </c>
    </row>
    <row r="848" spans="1:17">
      <c r="A848" s="328">
        <v>839</v>
      </c>
      <c r="B848" s="342" t="s">
        <v>2592</v>
      </c>
      <c r="C848" s="329"/>
      <c r="D848" s="329"/>
      <c r="E848" s="638" t="s">
        <v>3426</v>
      </c>
      <c r="F848" s="328" t="s">
        <v>1940</v>
      </c>
      <c r="G848" s="328" t="s">
        <v>1916</v>
      </c>
      <c r="H848" s="328" t="s">
        <v>225</v>
      </c>
      <c r="I848" s="328" t="s">
        <v>11</v>
      </c>
      <c r="J848" s="328" t="s">
        <v>585</v>
      </c>
      <c r="K848" s="330">
        <v>504</v>
      </c>
      <c r="L848" s="330">
        <v>1073</v>
      </c>
      <c r="M848" s="330">
        <v>0</v>
      </c>
      <c r="N848" s="330"/>
      <c r="O848" s="330">
        <v>1064</v>
      </c>
      <c r="P848" s="330"/>
      <c r="Q848" s="330">
        <v>9</v>
      </c>
    </row>
    <row r="849" spans="1:27" ht="25.5">
      <c r="A849" s="328">
        <v>840</v>
      </c>
      <c r="B849" s="329" t="s">
        <v>3427</v>
      </c>
      <c r="C849" s="333"/>
      <c r="D849" s="333"/>
      <c r="E849" s="333" t="s">
        <v>3428</v>
      </c>
      <c r="F849" s="328" t="s">
        <v>2302</v>
      </c>
      <c r="G849" s="328" t="s">
        <v>2253</v>
      </c>
      <c r="H849" s="328" t="s">
        <v>3429</v>
      </c>
      <c r="I849" s="328" t="s">
        <v>11</v>
      </c>
      <c r="J849" s="328" t="s">
        <v>1350</v>
      </c>
      <c r="K849" s="330">
        <v>780</v>
      </c>
      <c r="L849" s="330">
        <v>483</v>
      </c>
      <c r="M849" s="330">
        <v>0</v>
      </c>
      <c r="N849" s="330"/>
      <c r="O849" s="330">
        <v>483</v>
      </c>
      <c r="P849" s="330"/>
      <c r="Q849" s="330">
        <v>0</v>
      </c>
    </row>
    <row r="850" spans="1:27" ht="25.5">
      <c r="A850" s="325">
        <v>841</v>
      </c>
      <c r="B850" s="329" t="s">
        <v>3430</v>
      </c>
      <c r="C850" s="333"/>
      <c r="D850" s="333"/>
      <c r="E850" s="333" t="s">
        <v>3431</v>
      </c>
      <c r="F850" s="328" t="s">
        <v>3432</v>
      </c>
      <c r="G850" s="328" t="s">
        <v>3433</v>
      </c>
      <c r="H850" s="328" t="s">
        <v>174</v>
      </c>
      <c r="I850" s="328" t="s">
        <v>11</v>
      </c>
      <c r="J850" s="328" t="s">
        <v>1350</v>
      </c>
      <c r="K850" s="330">
        <v>2000</v>
      </c>
      <c r="L850" s="330">
        <v>32943</v>
      </c>
      <c r="M850" s="330">
        <v>0</v>
      </c>
      <c r="N850" s="330"/>
      <c r="O850" s="330">
        <v>32943</v>
      </c>
      <c r="P850" s="330"/>
      <c r="Q850" s="330">
        <v>0</v>
      </c>
    </row>
    <row r="851" spans="1:27" ht="25.5">
      <c r="A851" s="328">
        <v>842</v>
      </c>
      <c r="B851" s="336" t="s">
        <v>2231</v>
      </c>
      <c r="C851" s="329"/>
      <c r="D851" s="329"/>
      <c r="E851" s="636" t="s">
        <v>173</v>
      </c>
      <c r="F851" s="337" t="s">
        <v>2232</v>
      </c>
      <c r="G851" s="337" t="s">
        <v>2206</v>
      </c>
      <c r="H851" s="337" t="s">
        <v>174</v>
      </c>
      <c r="I851" s="328" t="s">
        <v>11</v>
      </c>
      <c r="J851" s="337" t="s">
        <v>2204</v>
      </c>
      <c r="K851" s="330">
        <v>2190</v>
      </c>
      <c r="L851" s="330">
        <v>0</v>
      </c>
      <c r="M851" s="330">
        <v>80000</v>
      </c>
      <c r="N851" s="330"/>
      <c r="O851" s="330">
        <v>79960</v>
      </c>
      <c r="P851" s="330"/>
      <c r="Q851" s="330">
        <v>40</v>
      </c>
    </row>
    <row r="852" spans="1:27">
      <c r="A852" s="328">
        <v>843</v>
      </c>
      <c r="B852" s="329" t="s">
        <v>1307</v>
      </c>
      <c r="C852" s="333"/>
      <c r="D852" s="333"/>
      <c r="E852" s="333" t="s">
        <v>1308</v>
      </c>
      <c r="F852" s="328" t="s">
        <v>3434</v>
      </c>
      <c r="G852" s="328" t="s">
        <v>360</v>
      </c>
      <c r="H852" s="328" t="s">
        <v>327</v>
      </c>
      <c r="I852" s="328" t="s">
        <v>11</v>
      </c>
      <c r="J852" s="328" t="s">
        <v>647</v>
      </c>
      <c r="K852" s="330">
        <v>62</v>
      </c>
      <c r="L852" s="330">
        <v>4367</v>
      </c>
      <c r="M852" s="330">
        <v>0</v>
      </c>
      <c r="N852" s="330"/>
      <c r="O852" s="330">
        <v>4367</v>
      </c>
      <c r="P852" s="330"/>
      <c r="Q852" s="330">
        <v>0</v>
      </c>
    </row>
    <row r="853" spans="1:27">
      <c r="A853" s="328">
        <v>844</v>
      </c>
      <c r="B853" s="329" t="s">
        <v>1307</v>
      </c>
      <c r="C853" s="329"/>
      <c r="D853" s="329"/>
      <c r="E853" s="333" t="s">
        <v>1308</v>
      </c>
      <c r="F853" s="328" t="s">
        <v>1309</v>
      </c>
      <c r="G853" s="328" t="s">
        <v>360</v>
      </c>
      <c r="H853" s="328" t="s">
        <v>327</v>
      </c>
      <c r="I853" s="328" t="s">
        <v>11</v>
      </c>
      <c r="J853" s="328" t="s">
        <v>647</v>
      </c>
      <c r="K853" s="330">
        <v>72</v>
      </c>
      <c r="L853" s="330">
        <v>0</v>
      </c>
      <c r="M853" s="330">
        <v>45500</v>
      </c>
      <c r="N853" s="330"/>
      <c r="O853" s="330">
        <v>42532</v>
      </c>
      <c r="P853" s="330"/>
      <c r="Q853" s="330">
        <v>2968</v>
      </c>
    </row>
    <row r="854" spans="1:27" ht="25.5">
      <c r="A854" s="328">
        <v>845</v>
      </c>
      <c r="B854" s="338" t="s">
        <v>2119</v>
      </c>
      <c r="C854" s="329"/>
      <c r="D854" s="329"/>
      <c r="E854" s="333" t="s">
        <v>2120</v>
      </c>
      <c r="F854" s="328" t="s">
        <v>2121</v>
      </c>
      <c r="G854" s="328" t="s">
        <v>2042</v>
      </c>
      <c r="H854" s="328" t="s">
        <v>258</v>
      </c>
      <c r="I854" s="328" t="s">
        <v>10</v>
      </c>
      <c r="J854" s="328" t="s">
        <v>966</v>
      </c>
      <c r="K854" s="330">
        <v>1636</v>
      </c>
      <c r="L854" s="330">
        <v>318</v>
      </c>
      <c r="M854" s="330">
        <v>6000</v>
      </c>
      <c r="N854" s="330"/>
      <c r="O854" s="330">
        <v>6009</v>
      </c>
      <c r="P854" s="330"/>
      <c r="Q854" s="330">
        <v>309</v>
      </c>
    </row>
    <row r="855" spans="1:27">
      <c r="A855" s="328">
        <v>846</v>
      </c>
      <c r="B855" s="336" t="s">
        <v>1137</v>
      </c>
      <c r="C855" s="329"/>
      <c r="D855" s="329"/>
      <c r="E855" s="333" t="s">
        <v>1138</v>
      </c>
      <c r="F855" s="328" t="s">
        <v>1139</v>
      </c>
      <c r="G855" s="328" t="s">
        <v>1136</v>
      </c>
      <c r="H855" s="328" t="s">
        <v>248</v>
      </c>
      <c r="I855" s="328" t="s">
        <v>10</v>
      </c>
      <c r="J855" s="328" t="s">
        <v>547</v>
      </c>
      <c r="K855" s="330">
        <v>157</v>
      </c>
      <c r="L855" s="330">
        <v>475</v>
      </c>
      <c r="M855" s="330">
        <v>1000</v>
      </c>
      <c r="N855" s="330"/>
      <c r="O855" s="330">
        <v>776</v>
      </c>
      <c r="P855" s="330"/>
      <c r="Q855" s="330">
        <v>699</v>
      </c>
    </row>
    <row r="856" spans="1:27">
      <c r="A856" s="325">
        <v>847</v>
      </c>
      <c r="B856" s="336" t="s">
        <v>178</v>
      </c>
      <c r="C856" s="329"/>
      <c r="D856" s="329"/>
      <c r="E856" s="333" t="s">
        <v>177</v>
      </c>
      <c r="F856" s="328" t="s">
        <v>2202</v>
      </c>
      <c r="G856" s="328" t="s">
        <v>2189</v>
      </c>
      <c r="H856" s="328" t="s">
        <v>179</v>
      </c>
      <c r="I856" s="328" t="s">
        <v>10</v>
      </c>
      <c r="J856" s="328" t="s">
        <v>2201</v>
      </c>
      <c r="K856" s="330">
        <v>490</v>
      </c>
      <c r="L856" s="330">
        <v>0</v>
      </c>
      <c r="M856" s="330">
        <v>60000</v>
      </c>
      <c r="N856" s="330"/>
      <c r="O856" s="330">
        <v>23900</v>
      </c>
      <c r="P856" s="330"/>
      <c r="Q856" s="330">
        <v>36100</v>
      </c>
    </row>
    <row r="857" spans="1:27" ht="25.5">
      <c r="A857" s="328">
        <v>848</v>
      </c>
      <c r="B857" s="329" t="s">
        <v>181</v>
      </c>
      <c r="C857" s="329"/>
      <c r="D857" s="329"/>
      <c r="E857" s="333" t="s">
        <v>180</v>
      </c>
      <c r="F857" s="328" t="s">
        <v>2419</v>
      </c>
      <c r="G857" s="345" t="s">
        <v>2420</v>
      </c>
      <c r="H857" s="328" t="s">
        <v>182</v>
      </c>
      <c r="I857" s="328" t="s">
        <v>10</v>
      </c>
      <c r="J857" s="346" t="s">
        <v>541</v>
      </c>
      <c r="K857" s="330">
        <v>2850</v>
      </c>
      <c r="L857" s="330">
        <v>0</v>
      </c>
      <c r="M857" s="330">
        <v>5000</v>
      </c>
      <c r="N857" s="330"/>
      <c r="O857" s="330">
        <v>2419</v>
      </c>
      <c r="P857" s="330"/>
      <c r="Q857" s="330">
        <v>2581</v>
      </c>
    </row>
    <row r="858" spans="1:27" ht="25.5">
      <c r="A858" s="328">
        <v>849</v>
      </c>
      <c r="B858" s="332" t="s">
        <v>3435</v>
      </c>
      <c r="C858" s="333"/>
      <c r="D858" s="333"/>
      <c r="E858" s="332" t="s">
        <v>3436</v>
      </c>
      <c r="F858" s="328" t="s">
        <v>3437</v>
      </c>
      <c r="G858" s="328" t="s">
        <v>2253</v>
      </c>
      <c r="H858" s="334" t="s">
        <v>3438</v>
      </c>
      <c r="I858" s="328" t="s">
        <v>15</v>
      </c>
      <c r="J858" s="328" t="s">
        <v>3400</v>
      </c>
      <c r="K858" s="330">
        <v>28500</v>
      </c>
      <c r="L858" s="330">
        <v>101</v>
      </c>
      <c r="M858" s="330">
        <v>0</v>
      </c>
      <c r="N858" s="330"/>
      <c r="O858" s="330">
        <v>101</v>
      </c>
      <c r="P858" s="330"/>
      <c r="Q858" s="330">
        <v>0</v>
      </c>
    </row>
    <row r="859" spans="1:27" ht="38.25">
      <c r="A859" s="328">
        <v>850</v>
      </c>
      <c r="B859" s="336" t="s">
        <v>2245</v>
      </c>
      <c r="C859" s="329"/>
      <c r="D859" s="329"/>
      <c r="E859" s="333" t="s">
        <v>183</v>
      </c>
      <c r="F859" s="328" t="s">
        <v>2246</v>
      </c>
      <c r="G859" s="328" t="s">
        <v>2244</v>
      </c>
      <c r="H859" s="328" t="s">
        <v>184</v>
      </c>
      <c r="I859" s="328" t="s">
        <v>18</v>
      </c>
      <c r="J859" s="328" t="s">
        <v>2239</v>
      </c>
      <c r="K859" s="330">
        <v>17000</v>
      </c>
      <c r="L859" s="330">
        <v>0</v>
      </c>
      <c r="M859" s="330">
        <v>1170</v>
      </c>
      <c r="N859" s="330"/>
      <c r="O859" s="330">
        <v>997</v>
      </c>
      <c r="P859" s="330"/>
      <c r="Q859" s="330">
        <v>173</v>
      </c>
    </row>
    <row r="860" spans="1:27" ht="25.5">
      <c r="A860" s="328">
        <v>851</v>
      </c>
      <c r="B860" s="347" t="s">
        <v>3396</v>
      </c>
      <c r="C860" s="329"/>
      <c r="D860" s="329"/>
      <c r="E860" s="640" t="s">
        <v>3439</v>
      </c>
      <c r="F860" s="348" t="s">
        <v>3440</v>
      </c>
      <c r="G860" s="348" t="s">
        <v>3441</v>
      </c>
      <c r="H860" s="348" t="s">
        <v>3399</v>
      </c>
      <c r="I860" s="348" t="s">
        <v>15</v>
      </c>
      <c r="J860" s="348" t="s">
        <v>3400</v>
      </c>
      <c r="K860" s="330">
        <v>22900</v>
      </c>
      <c r="L860" s="330">
        <f>782+8+51+5+1666</f>
        <v>2512</v>
      </c>
      <c r="M860" s="330"/>
      <c r="N860" s="330"/>
      <c r="O860" s="330">
        <v>2512</v>
      </c>
      <c r="P860" s="330"/>
      <c r="Q860" s="330"/>
      <c r="R860" s="37"/>
      <c r="T860" s="37"/>
      <c r="U860" s="37"/>
      <c r="V860" s="37"/>
      <c r="W860" s="37"/>
      <c r="X860" s="37"/>
      <c r="Y860" s="37"/>
      <c r="Z860" s="37"/>
      <c r="AA860" s="37"/>
    </row>
    <row r="861" spans="1:27" ht="25.5">
      <c r="A861" s="328">
        <v>852</v>
      </c>
      <c r="B861" s="336" t="s">
        <v>2162</v>
      </c>
      <c r="C861" s="329"/>
      <c r="D861" s="329"/>
      <c r="E861" s="333" t="s">
        <v>185</v>
      </c>
      <c r="F861" s="328" t="s">
        <v>2164</v>
      </c>
      <c r="G861" s="328" t="s">
        <v>2161</v>
      </c>
      <c r="H861" s="328" t="s">
        <v>186</v>
      </c>
      <c r="I861" s="328" t="s">
        <v>3442</v>
      </c>
      <c r="J861" s="328" t="s">
        <v>2163</v>
      </c>
      <c r="K861" s="330">
        <v>28980</v>
      </c>
      <c r="L861" s="330">
        <v>0</v>
      </c>
      <c r="M861" s="330">
        <v>2000</v>
      </c>
      <c r="N861" s="330"/>
      <c r="O861" s="330">
        <v>1706</v>
      </c>
      <c r="P861" s="330"/>
      <c r="Q861" s="330">
        <v>294</v>
      </c>
    </row>
    <row r="862" spans="1:27" ht="25.5">
      <c r="A862" s="325">
        <v>853</v>
      </c>
      <c r="B862" s="336" t="s">
        <v>2303</v>
      </c>
      <c r="C862" s="329"/>
      <c r="D862" s="329"/>
      <c r="E862" s="333" t="s">
        <v>188</v>
      </c>
      <c r="F862" s="328" t="s">
        <v>2305</v>
      </c>
      <c r="G862" s="328" t="s">
        <v>2253</v>
      </c>
      <c r="H862" s="328" t="s">
        <v>2304</v>
      </c>
      <c r="I862" s="328" t="s">
        <v>16</v>
      </c>
      <c r="J862" s="328" t="s">
        <v>2250</v>
      </c>
      <c r="K862" s="330">
        <v>1200</v>
      </c>
      <c r="L862" s="330">
        <v>0</v>
      </c>
      <c r="M862" s="330">
        <v>29100</v>
      </c>
      <c r="N862" s="330"/>
      <c r="O862" s="330">
        <v>14730</v>
      </c>
      <c r="P862" s="330"/>
      <c r="Q862" s="330">
        <v>14370</v>
      </c>
    </row>
    <row r="863" spans="1:27" ht="38.25">
      <c r="A863" s="328">
        <v>854</v>
      </c>
      <c r="B863" s="329" t="s">
        <v>2421</v>
      </c>
      <c r="C863" s="329"/>
      <c r="D863" s="329"/>
      <c r="E863" s="644" t="s">
        <v>189</v>
      </c>
      <c r="F863" s="328" t="s">
        <v>2422</v>
      </c>
      <c r="G863" s="345" t="s">
        <v>2413</v>
      </c>
      <c r="H863" s="328" t="s">
        <v>190</v>
      </c>
      <c r="I863" s="328" t="s">
        <v>10</v>
      </c>
      <c r="J863" s="346" t="s">
        <v>541</v>
      </c>
      <c r="K863" s="330">
        <v>3124</v>
      </c>
      <c r="L863" s="330">
        <v>0</v>
      </c>
      <c r="M863" s="330">
        <v>40000</v>
      </c>
      <c r="N863" s="330"/>
      <c r="O863" s="330">
        <v>18584</v>
      </c>
      <c r="P863" s="330"/>
      <c r="Q863" s="330">
        <v>21416</v>
      </c>
    </row>
    <row r="864" spans="1:27" ht="25.5">
      <c r="A864" s="328">
        <v>855</v>
      </c>
      <c r="B864" s="336" t="s">
        <v>2313</v>
      </c>
      <c r="C864" s="329"/>
      <c r="D864" s="329"/>
      <c r="E864" s="636" t="s">
        <v>191</v>
      </c>
      <c r="F864" s="337" t="s">
        <v>3443</v>
      </c>
      <c r="G864" s="337" t="s">
        <v>2310</v>
      </c>
      <c r="H864" s="337" t="s">
        <v>193</v>
      </c>
      <c r="I864" s="337" t="s">
        <v>10</v>
      </c>
      <c r="J864" s="337" t="s">
        <v>2306</v>
      </c>
      <c r="K864" s="330">
        <v>2400</v>
      </c>
      <c r="L864" s="330">
        <v>0</v>
      </c>
      <c r="M864" s="330">
        <v>30000</v>
      </c>
      <c r="N864" s="330"/>
      <c r="O864" s="330">
        <v>17300</v>
      </c>
      <c r="P864" s="330"/>
      <c r="Q864" s="330">
        <v>12700</v>
      </c>
    </row>
    <row r="865" spans="1:27">
      <c r="A865" s="328">
        <v>856</v>
      </c>
      <c r="B865" s="377" t="s">
        <v>3444</v>
      </c>
      <c r="C865" s="329"/>
      <c r="D865" s="329"/>
      <c r="E865" s="640" t="s">
        <v>3445</v>
      </c>
      <c r="F865" s="348" t="s">
        <v>3446</v>
      </c>
      <c r="G865" s="328" t="s">
        <v>3447</v>
      </c>
      <c r="H865" s="348" t="s">
        <v>3448</v>
      </c>
      <c r="I865" s="351" t="s">
        <v>14</v>
      </c>
      <c r="J865" s="328" t="s">
        <v>3449</v>
      </c>
      <c r="K865" s="330">
        <v>45099</v>
      </c>
      <c r="L865" s="330">
        <f>19+67</f>
        <v>86</v>
      </c>
      <c r="M865" s="330"/>
      <c r="N865" s="330"/>
      <c r="O865" s="330">
        <v>86</v>
      </c>
      <c r="P865" s="330"/>
      <c r="Q865" s="330"/>
      <c r="R865" s="37"/>
      <c r="T865" s="37"/>
      <c r="U865" s="37"/>
      <c r="V865" s="37"/>
      <c r="W865" s="37"/>
      <c r="X865" s="37"/>
      <c r="Y865" s="37"/>
      <c r="Z865" s="37"/>
      <c r="AA865" s="37"/>
    </row>
    <row r="866" spans="1:27">
      <c r="A866" s="328">
        <v>857</v>
      </c>
      <c r="B866" s="347" t="s">
        <v>1510</v>
      </c>
      <c r="C866" s="329"/>
      <c r="D866" s="329"/>
      <c r="E866" s="640" t="s">
        <v>3450</v>
      </c>
      <c r="F866" s="348" t="s">
        <v>3451</v>
      </c>
      <c r="G866" s="348" t="s">
        <v>3447</v>
      </c>
      <c r="H866" s="348" t="s">
        <v>3452</v>
      </c>
      <c r="I866" s="348" t="s">
        <v>14</v>
      </c>
      <c r="J866" s="348" t="s">
        <v>3453</v>
      </c>
      <c r="K866" s="330">
        <v>40000</v>
      </c>
      <c r="L866" s="330">
        <v>10</v>
      </c>
      <c r="M866" s="330"/>
      <c r="N866" s="330"/>
      <c r="O866" s="330">
        <v>10</v>
      </c>
      <c r="P866" s="330"/>
      <c r="Q866" s="330"/>
      <c r="R866" s="37"/>
      <c r="T866" s="37"/>
      <c r="U866" s="37"/>
      <c r="V866" s="37"/>
      <c r="W866" s="37"/>
      <c r="X866" s="37"/>
      <c r="Y866" s="37"/>
      <c r="Z866" s="37"/>
      <c r="AA866" s="37"/>
    </row>
    <row r="867" spans="1:27">
      <c r="A867" s="328">
        <v>858</v>
      </c>
      <c r="B867" s="338" t="s">
        <v>2127</v>
      </c>
      <c r="C867" s="329"/>
      <c r="D867" s="329"/>
      <c r="E867" s="333" t="s">
        <v>2128</v>
      </c>
      <c r="F867" s="328" t="s">
        <v>2131</v>
      </c>
      <c r="G867" s="328" t="s">
        <v>2126</v>
      </c>
      <c r="H867" s="328" t="s">
        <v>2129</v>
      </c>
      <c r="I867" s="328" t="s">
        <v>14</v>
      </c>
      <c r="J867" s="328" t="s">
        <v>2130</v>
      </c>
      <c r="K867" s="330">
        <v>39000</v>
      </c>
      <c r="L867" s="330">
        <v>0</v>
      </c>
      <c r="M867" s="330">
        <v>100</v>
      </c>
      <c r="N867" s="330"/>
      <c r="O867" s="330">
        <v>30</v>
      </c>
      <c r="P867" s="330"/>
      <c r="Q867" s="330">
        <v>70</v>
      </c>
    </row>
    <row r="868" spans="1:27">
      <c r="A868" s="325">
        <v>859</v>
      </c>
      <c r="B868" s="336" t="s">
        <v>1247</v>
      </c>
      <c r="C868" s="329"/>
      <c r="D868" s="329"/>
      <c r="E868" s="636" t="s">
        <v>1248</v>
      </c>
      <c r="F868" s="337" t="s">
        <v>1251</v>
      </c>
      <c r="G868" s="337" t="s">
        <v>1252</v>
      </c>
      <c r="H868" s="337" t="s">
        <v>1249</v>
      </c>
      <c r="I868" s="337" t="s">
        <v>11</v>
      </c>
      <c r="J868" s="337" t="s">
        <v>1250</v>
      </c>
      <c r="K868" s="330">
        <v>4800</v>
      </c>
      <c r="L868" s="330">
        <v>0</v>
      </c>
      <c r="M868" s="330">
        <v>5220</v>
      </c>
      <c r="N868" s="330"/>
      <c r="O868" s="330">
        <v>5220</v>
      </c>
      <c r="P868" s="330"/>
      <c r="Q868" s="330">
        <v>0</v>
      </c>
    </row>
    <row r="869" spans="1:27">
      <c r="A869" s="328">
        <v>860</v>
      </c>
      <c r="B869" s="336" t="s">
        <v>3454</v>
      </c>
      <c r="C869" s="329"/>
      <c r="D869" s="329"/>
      <c r="E869" s="333" t="s">
        <v>827</v>
      </c>
      <c r="F869" s="328" t="s">
        <v>828</v>
      </c>
      <c r="G869" s="328" t="s">
        <v>806</v>
      </c>
      <c r="H869" s="328" t="s">
        <v>3455</v>
      </c>
      <c r="I869" s="328" t="s">
        <v>11</v>
      </c>
      <c r="J869" s="328" t="s">
        <v>804</v>
      </c>
      <c r="K869" s="330">
        <v>181</v>
      </c>
      <c r="L869" s="330">
        <v>28185</v>
      </c>
      <c r="M869" s="330">
        <v>92784</v>
      </c>
      <c r="N869" s="330"/>
      <c r="O869" s="330">
        <v>106714</v>
      </c>
      <c r="P869" s="330"/>
      <c r="Q869" s="330">
        <v>14255</v>
      </c>
    </row>
    <row r="870" spans="1:27" ht="25.5">
      <c r="A870" s="328">
        <v>861</v>
      </c>
      <c r="B870" s="329" t="s">
        <v>3456</v>
      </c>
      <c r="C870" s="333"/>
      <c r="D870" s="333"/>
      <c r="E870" s="333" t="s">
        <v>3457</v>
      </c>
      <c r="F870" s="328" t="s">
        <v>3458</v>
      </c>
      <c r="G870" s="328" t="s">
        <v>3459</v>
      </c>
      <c r="H870" s="328" t="s">
        <v>2558</v>
      </c>
      <c r="I870" s="328" t="s">
        <v>12</v>
      </c>
      <c r="J870" s="328" t="s">
        <v>2660</v>
      </c>
      <c r="K870" s="330">
        <v>784</v>
      </c>
      <c r="L870" s="330">
        <v>5406</v>
      </c>
      <c r="M870" s="330">
        <v>0</v>
      </c>
      <c r="N870" s="330"/>
      <c r="O870" s="330">
        <v>5403</v>
      </c>
      <c r="P870" s="330"/>
      <c r="Q870" s="330">
        <v>3</v>
      </c>
    </row>
    <row r="871" spans="1:27">
      <c r="A871" s="328">
        <v>862</v>
      </c>
      <c r="B871" s="331" t="s">
        <v>433</v>
      </c>
      <c r="C871" s="331"/>
      <c r="D871" s="331"/>
      <c r="E871" s="333" t="s">
        <v>496</v>
      </c>
      <c r="F871" s="328" t="s">
        <v>497</v>
      </c>
      <c r="G871" s="328" t="s">
        <v>492</v>
      </c>
      <c r="H871" s="328" t="s">
        <v>272</v>
      </c>
      <c r="I871" s="328" t="s">
        <v>10</v>
      </c>
      <c r="J871" s="328" t="s">
        <v>647</v>
      </c>
      <c r="K871" s="330">
        <v>1193</v>
      </c>
      <c r="L871" s="330">
        <v>54</v>
      </c>
      <c r="M871" s="330">
        <v>0</v>
      </c>
      <c r="N871" s="330"/>
      <c r="O871" s="330">
        <v>54</v>
      </c>
      <c r="P871" s="330"/>
      <c r="Q871" s="330">
        <v>0</v>
      </c>
    </row>
    <row r="872" spans="1:27">
      <c r="A872" s="328">
        <v>863</v>
      </c>
      <c r="B872" s="331" t="s">
        <v>433</v>
      </c>
      <c r="C872" s="331"/>
      <c r="D872" s="331"/>
      <c r="E872" s="333" t="s">
        <v>498</v>
      </c>
      <c r="F872" s="328" t="s">
        <v>499</v>
      </c>
      <c r="G872" s="328" t="s">
        <v>492</v>
      </c>
      <c r="H872" s="328" t="s">
        <v>225</v>
      </c>
      <c r="I872" s="328" t="s">
        <v>10</v>
      </c>
      <c r="J872" s="328" t="s">
        <v>845</v>
      </c>
      <c r="K872" s="330">
        <v>2038</v>
      </c>
      <c r="L872" s="330">
        <v>0</v>
      </c>
      <c r="M872" s="330">
        <v>24800</v>
      </c>
      <c r="N872" s="330"/>
      <c r="O872" s="330">
        <v>24800</v>
      </c>
      <c r="P872" s="330"/>
      <c r="Q872" s="330">
        <v>0</v>
      </c>
    </row>
    <row r="873" spans="1:27" ht="25.5">
      <c r="A873" s="328">
        <v>864</v>
      </c>
      <c r="B873" s="336" t="s">
        <v>1590</v>
      </c>
      <c r="C873" s="329"/>
      <c r="D873" s="329"/>
      <c r="E873" s="333" t="s">
        <v>1591</v>
      </c>
      <c r="F873" s="328" t="s">
        <v>1593</v>
      </c>
      <c r="G873" s="328" t="s">
        <v>772</v>
      </c>
      <c r="H873" s="328" t="s">
        <v>1592</v>
      </c>
      <c r="I873" s="328" t="s">
        <v>13</v>
      </c>
      <c r="J873" s="328" t="s">
        <v>1588</v>
      </c>
      <c r="K873" s="330">
        <v>3950</v>
      </c>
      <c r="L873" s="330">
        <v>0</v>
      </c>
      <c r="M873" s="330">
        <v>10000</v>
      </c>
      <c r="N873" s="330"/>
      <c r="O873" s="330">
        <v>8327</v>
      </c>
      <c r="P873" s="330"/>
      <c r="Q873" s="330">
        <v>1673</v>
      </c>
    </row>
    <row r="874" spans="1:27">
      <c r="A874" s="325">
        <v>865</v>
      </c>
      <c r="B874" s="347" t="s">
        <v>689</v>
      </c>
      <c r="C874" s="329"/>
      <c r="D874" s="329"/>
      <c r="E874" s="640" t="s">
        <v>3460</v>
      </c>
      <c r="F874" s="348" t="s">
        <v>3461</v>
      </c>
      <c r="G874" s="348" t="s">
        <v>3462</v>
      </c>
      <c r="H874" s="348" t="s">
        <v>1090</v>
      </c>
      <c r="I874" s="348" t="s">
        <v>12</v>
      </c>
      <c r="J874" s="348" t="s">
        <v>2386</v>
      </c>
      <c r="K874" s="330">
        <v>7780</v>
      </c>
      <c r="L874" s="330">
        <f>499+1221+1806</f>
        <v>3526</v>
      </c>
      <c r="M874" s="330"/>
      <c r="N874" s="330"/>
      <c r="O874" s="330">
        <v>3526</v>
      </c>
      <c r="P874" s="330"/>
      <c r="Q874" s="330"/>
      <c r="R874" s="37"/>
      <c r="T874" s="37"/>
      <c r="U874" s="37"/>
      <c r="V874" s="37"/>
      <c r="W874" s="37"/>
      <c r="X874" s="37"/>
      <c r="Y874" s="37"/>
      <c r="Z874" s="37"/>
      <c r="AA874" s="37"/>
    </row>
    <row r="875" spans="1:27">
      <c r="A875" s="328">
        <v>866</v>
      </c>
      <c r="B875" s="329" t="s">
        <v>592</v>
      </c>
      <c r="C875" s="329"/>
      <c r="D875" s="329"/>
      <c r="E875" s="333" t="s">
        <v>1415</v>
      </c>
      <c r="F875" s="328" t="s">
        <v>1417</v>
      </c>
      <c r="G875" s="328" t="s">
        <v>1418</v>
      </c>
      <c r="H875" s="328" t="s">
        <v>594</v>
      </c>
      <c r="I875" s="328" t="s">
        <v>11</v>
      </c>
      <c r="J875" s="328" t="s">
        <v>1416</v>
      </c>
      <c r="K875" s="330">
        <v>2590</v>
      </c>
      <c r="L875" s="330">
        <v>0</v>
      </c>
      <c r="M875" s="330">
        <v>99960</v>
      </c>
      <c r="N875" s="330"/>
      <c r="O875" s="330">
        <v>71728</v>
      </c>
      <c r="P875" s="330"/>
      <c r="Q875" s="330">
        <v>28232</v>
      </c>
    </row>
    <row r="876" spans="1:27">
      <c r="A876" s="328">
        <v>867</v>
      </c>
      <c r="B876" s="347" t="s">
        <v>3463</v>
      </c>
      <c r="C876" s="329"/>
      <c r="D876" s="329"/>
      <c r="E876" s="640" t="s">
        <v>3464</v>
      </c>
      <c r="F876" s="348" t="s">
        <v>3465</v>
      </c>
      <c r="G876" s="348" t="s">
        <v>3466</v>
      </c>
      <c r="H876" s="348" t="s">
        <v>3467</v>
      </c>
      <c r="I876" s="348" t="s">
        <v>10</v>
      </c>
      <c r="J876" s="348" t="s">
        <v>1350</v>
      </c>
      <c r="K876" s="330">
        <v>2100</v>
      </c>
      <c r="L876" s="330">
        <v>49980</v>
      </c>
      <c r="M876" s="330"/>
      <c r="N876" s="330"/>
      <c r="O876" s="330">
        <v>49980</v>
      </c>
      <c r="P876" s="330"/>
      <c r="Q876" s="330"/>
      <c r="R876" s="37"/>
      <c r="T876" s="37"/>
      <c r="U876" s="37"/>
      <c r="V876" s="37"/>
      <c r="W876" s="37"/>
      <c r="X876" s="37"/>
      <c r="Y876" s="37"/>
      <c r="Z876" s="37"/>
      <c r="AA876" s="37"/>
    </row>
    <row r="877" spans="1:27">
      <c r="A877" s="328">
        <v>868</v>
      </c>
      <c r="B877" s="356" t="s">
        <v>2407</v>
      </c>
      <c r="C877" s="329"/>
      <c r="D877" s="329"/>
      <c r="E877" s="647" t="s">
        <v>194</v>
      </c>
      <c r="F877" s="367" t="s">
        <v>2409</v>
      </c>
      <c r="G877" s="367" t="s">
        <v>2410</v>
      </c>
      <c r="H877" s="328" t="s">
        <v>195</v>
      </c>
      <c r="I877" s="328" t="s">
        <v>11</v>
      </c>
      <c r="J877" s="328" t="s">
        <v>2408</v>
      </c>
      <c r="K877" s="330">
        <v>2916</v>
      </c>
      <c r="L877" s="330">
        <v>0</v>
      </c>
      <c r="M877" s="330">
        <v>43200</v>
      </c>
      <c r="N877" s="330"/>
      <c r="O877" s="330">
        <v>42574</v>
      </c>
      <c r="P877" s="330"/>
      <c r="Q877" s="330">
        <v>626</v>
      </c>
    </row>
    <row r="878" spans="1:27">
      <c r="A878" s="328">
        <v>869</v>
      </c>
      <c r="B878" s="329" t="s">
        <v>1881</v>
      </c>
      <c r="C878" s="329"/>
      <c r="D878" s="329"/>
      <c r="E878" s="333" t="s">
        <v>1882</v>
      </c>
      <c r="F878" s="328" t="s">
        <v>1883</v>
      </c>
      <c r="G878" s="328" t="s">
        <v>1867</v>
      </c>
      <c r="H878" s="328" t="s">
        <v>291</v>
      </c>
      <c r="I878" s="328" t="s">
        <v>10</v>
      </c>
      <c r="J878" s="328" t="s">
        <v>642</v>
      </c>
      <c r="K878" s="330">
        <v>276</v>
      </c>
      <c r="L878" s="330">
        <v>0</v>
      </c>
      <c r="M878" s="330">
        <v>1000</v>
      </c>
      <c r="N878" s="330"/>
      <c r="O878" s="330">
        <v>1000</v>
      </c>
      <c r="P878" s="330"/>
      <c r="Q878" s="330">
        <v>0</v>
      </c>
    </row>
    <row r="879" spans="1:27" ht="25.5">
      <c r="A879" s="328">
        <v>870</v>
      </c>
      <c r="B879" s="329" t="s">
        <v>2175</v>
      </c>
      <c r="C879" s="329"/>
      <c r="D879" s="329"/>
      <c r="E879" s="333" t="s">
        <v>196</v>
      </c>
      <c r="F879" s="328" t="s">
        <v>2177</v>
      </c>
      <c r="G879" s="328" t="s">
        <v>2178</v>
      </c>
      <c r="H879" s="328" t="s">
        <v>198</v>
      </c>
      <c r="I879" s="328" t="s">
        <v>10</v>
      </c>
      <c r="J879" s="328" t="s">
        <v>2176</v>
      </c>
      <c r="K879" s="330">
        <v>378</v>
      </c>
      <c r="L879" s="330">
        <v>0</v>
      </c>
      <c r="M879" s="330">
        <v>10000</v>
      </c>
      <c r="N879" s="330"/>
      <c r="O879" s="330">
        <v>3461</v>
      </c>
      <c r="P879" s="330"/>
      <c r="Q879" s="330">
        <v>6539</v>
      </c>
    </row>
    <row r="880" spans="1:27" ht="25.5">
      <c r="A880" s="325">
        <v>871</v>
      </c>
      <c r="B880" s="338" t="s">
        <v>2110</v>
      </c>
      <c r="C880" s="329"/>
      <c r="D880" s="329"/>
      <c r="E880" s="333" t="s">
        <v>2111</v>
      </c>
      <c r="F880" s="328" t="s">
        <v>2113</v>
      </c>
      <c r="G880" s="328" t="s">
        <v>2114</v>
      </c>
      <c r="H880" s="328" t="s">
        <v>2112</v>
      </c>
      <c r="I880" s="328" t="s">
        <v>10</v>
      </c>
      <c r="J880" s="328" t="s">
        <v>626</v>
      </c>
      <c r="K880" s="330">
        <v>12482</v>
      </c>
      <c r="L880" s="330">
        <v>0</v>
      </c>
      <c r="M880" s="330">
        <v>4998</v>
      </c>
      <c r="N880" s="330"/>
      <c r="O880" s="330">
        <v>127</v>
      </c>
      <c r="P880" s="330"/>
      <c r="Q880" s="330">
        <v>4871</v>
      </c>
    </row>
    <row r="881" spans="1:27">
      <c r="A881" s="328">
        <v>872</v>
      </c>
      <c r="B881" s="329" t="s">
        <v>760</v>
      </c>
      <c r="C881" s="329"/>
      <c r="D881" s="329"/>
      <c r="E881" s="333" t="s">
        <v>761</v>
      </c>
      <c r="F881" s="328" t="s">
        <v>764</v>
      </c>
      <c r="G881" s="328" t="s">
        <v>707</v>
      </c>
      <c r="H881" s="328" t="s">
        <v>762</v>
      </c>
      <c r="I881" s="328" t="s">
        <v>10</v>
      </c>
      <c r="J881" s="328" t="s">
        <v>763</v>
      </c>
      <c r="K881" s="330">
        <v>1890</v>
      </c>
      <c r="L881" s="330">
        <v>0</v>
      </c>
      <c r="M881" s="330">
        <v>20000</v>
      </c>
      <c r="N881" s="330"/>
      <c r="O881" s="330">
        <v>14707</v>
      </c>
      <c r="P881" s="330"/>
      <c r="Q881" s="330">
        <v>5293</v>
      </c>
    </row>
    <row r="882" spans="1:27">
      <c r="A882" s="328">
        <v>873</v>
      </c>
      <c r="B882" s="329" t="s">
        <v>689</v>
      </c>
      <c r="C882" s="329"/>
      <c r="D882" s="329"/>
      <c r="E882" s="333" t="s">
        <v>1264</v>
      </c>
      <c r="F882" s="328" t="s">
        <v>1266</v>
      </c>
      <c r="G882" s="328" t="s">
        <v>1263</v>
      </c>
      <c r="H882" s="328" t="s">
        <v>1265</v>
      </c>
      <c r="I882" s="328" t="s">
        <v>10</v>
      </c>
      <c r="J882" s="328" t="s">
        <v>1261</v>
      </c>
      <c r="K882" s="330">
        <v>7090</v>
      </c>
      <c r="L882" s="330">
        <v>0</v>
      </c>
      <c r="M882" s="330">
        <v>4995</v>
      </c>
      <c r="N882" s="330"/>
      <c r="O882" s="330">
        <v>1644</v>
      </c>
      <c r="P882" s="330"/>
      <c r="Q882" s="330">
        <v>3351</v>
      </c>
    </row>
    <row r="883" spans="1:27" ht="38.25">
      <c r="A883" s="328">
        <v>874</v>
      </c>
      <c r="B883" s="329" t="s">
        <v>3468</v>
      </c>
      <c r="C883" s="329"/>
      <c r="D883" s="329"/>
      <c r="E883" s="333" t="s">
        <v>199</v>
      </c>
      <c r="F883" s="366" t="s">
        <v>2402</v>
      </c>
      <c r="G883" s="328" t="s">
        <v>2397</v>
      </c>
      <c r="H883" s="328" t="s">
        <v>3469</v>
      </c>
      <c r="I883" s="328" t="s">
        <v>10</v>
      </c>
      <c r="J883" s="328" t="s">
        <v>2401</v>
      </c>
      <c r="K883" s="330">
        <v>830</v>
      </c>
      <c r="L883" s="330">
        <v>0</v>
      </c>
      <c r="M883" s="330">
        <v>73000</v>
      </c>
      <c r="N883" s="330"/>
      <c r="O883" s="330">
        <v>73000</v>
      </c>
      <c r="P883" s="330"/>
      <c r="Q883" s="330">
        <v>0</v>
      </c>
    </row>
    <row r="884" spans="1:27">
      <c r="A884" s="328">
        <v>875</v>
      </c>
      <c r="B884" s="329" t="s">
        <v>939</v>
      </c>
      <c r="C884" s="329"/>
      <c r="D884" s="329"/>
      <c r="E884" s="333" t="s">
        <v>1864</v>
      </c>
      <c r="F884" s="328" t="s">
        <v>1866</v>
      </c>
      <c r="G884" s="328" t="s">
        <v>1867</v>
      </c>
      <c r="H884" s="328" t="s">
        <v>258</v>
      </c>
      <c r="I884" s="328" t="s">
        <v>12</v>
      </c>
      <c r="J884" s="328" t="s">
        <v>1865</v>
      </c>
      <c r="K884" s="330">
        <v>433</v>
      </c>
      <c r="L884" s="330">
        <v>0</v>
      </c>
      <c r="M884" s="330">
        <v>4600</v>
      </c>
      <c r="N884" s="330"/>
      <c r="O884" s="330">
        <v>4512</v>
      </c>
      <c r="P884" s="330"/>
      <c r="Q884" s="330">
        <v>88</v>
      </c>
    </row>
    <row r="885" spans="1:27">
      <c r="A885" s="328">
        <v>876</v>
      </c>
      <c r="B885" s="329" t="s">
        <v>560</v>
      </c>
      <c r="C885" s="333"/>
      <c r="D885" s="333"/>
      <c r="E885" s="333" t="s">
        <v>1864</v>
      </c>
      <c r="F885" s="328" t="s">
        <v>1866</v>
      </c>
      <c r="G885" s="328" t="s">
        <v>1868</v>
      </c>
      <c r="H885" s="328" t="s">
        <v>258</v>
      </c>
      <c r="I885" s="328" t="s">
        <v>13</v>
      </c>
      <c r="J885" s="328" t="s">
        <v>1865</v>
      </c>
      <c r="K885" s="330">
        <v>402</v>
      </c>
      <c r="L885" s="330">
        <v>37030</v>
      </c>
      <c r="M885" s="330">
        <v>0</v>
      </c>
      <c r="N885" s="330"/>
      <c r="O885" s="330">
        <v>36646</v>
      </c>
      <c r="P885" s="330"/>
      <c r="Q885" s="330">
        <v>384</v>
      </c>
    </row>
    <row r="886" spans="1:27">
      <c r="A886" s="325">
        <v>877</v>
      </c>
      <c r="B886" s="329" t="s">
        <v>560</v>
      </c>
      <c r="C886" s="333"/>
      <c r="D886" s="333"/>
      <c r="E886" s="333" t="s">
        <v>3470</v>
      </c>
      <c r="F886" s="328" t="s">
        <v>3471</v>
      </c>
      <c r="G886" s="328" t="s">
        <v>1868</v>
      </c>
      <c r="H886" s="328" t="s">
        <v>299</v>
      </c>
      <c r="I886" s="328" t="s">
        <v>13</v>
      </c>
      <c r="J886" s="328" t="s">
        <v>1865</v>
      </c>
      <c r="K886" s="330">
        <v>392</v>
      </c>
      <c r="L886" s="330">
        <v>4994</v>
      </c>
      <c r="M886" s="330">
        <v>0</v>
      </c>
      <c r="N886" s="330"/>
      <c r="O886" s="330">
        <v>4794</v>
      </c>
      <c r="P886" s="330"/>
      <c r="Q886" s="330">
        <v>200</v>
      </c>
    </row>
    <row r="887" spans="1:27">
      <c r="A887" s="328">
        <v>878</v>
      </c>
      <c r="B887" s="347" t="s">
        <v>392</v>
      </c>
      <c r="C887" s="329"/>
      <c r="D887" s="329"/>
      <c r="E887" s="640" t="s">
        <v>3472</v>
      </c>
      <c r="F887" s="348" t="s">
        <v>3473</v>
      </c>
      <c r="G887" s="348" t="s">
        <v>2884</v>
      </c>
      <c r="H887" s="348" t="s">
        <v>267</v>
      </c>
      <c r="I887" s="348" t="s">
        <v>10</v>
      </c>
      <c r="J887" s="348" t="s">
        <v>1350</v>
      </c>
      <c r="K887" s="330">
        <v>353</v>
      </c>
      <c r="L887" s="330">
        <v>1199</v>
      </c>
      <c r="M887" s="330"/>
      <c r="N887" s="330"/>
      <c r="O887" s="330">
        <v>1199</v>
      </c>
      <c r="P887" s="330"/>
      <c r="Q887" s="330"/>
      <c r="R887" s="37"/>
      <c r="T887" s="37"/>
      <c r="U887" s="37"/>
      <c r="V887" s="37"/>
      <c r="W887" s="37"/>
      <c r="X887" s="37"/>
      <c r="Y887" s="37"/>
      <c r="Z887" s="37"/>
      <c r="AA887" s="37"/>
    </row>
    <row r="888" spans="1:27">
      <c r="A888" s="328">
        <v>879</v>
      </c>
      <c r="B888" s="329" t="s">
        <v>634</v>
      </c>
      <c r="C888" s="329"/>
      <c r="D888" s="329"/>
      <c r="E888" s="333" t="s">
        <v>1888</v>
      </c>
      <c r="F888" s="328" t="s">
        <v>1889</v>
      </c>
      <c r="G888" s="328" t="s">
        <v>1867</v>
      </c>
      <c r="H888" s="328" t="s">
        <v>235</v>
      </c>
      <c r="I888" s="328" t="s">
        <v>10</v>
      </c>
      <c r="J888" s="328" t="s">
        <v>1329</v>
      </c>
      <c r="K888" s="330">
        <v>434</v>
      </c>
      <c r="L888" s="330">
        <v>0</v>
      </c>
      <c r="M888" s="330">
        <v>28200</v>
      </c>
      <c r="N888" s="330"/>
      <c r="O888" s="330">
        <v>28200</v>
      </c>
      <c r="P888" s="330"/>
      <c r="Q888" s="330">
        <v>0</v>
      </c>
    </row>
    <row r="889" spans="1:27">
      <c r="A889" s="328">
        <v>880</v>
      </c>
      <c r="B889" s="347" t="s">
        <v>3474</v>
      </c>
      <c r="C889" s="329"/>
      <c r="D889" s="329"/>
      <c r="E889" s="640" t="s">
        <v>3475</v>
      </c>
      <c r="F889" s="348" t="s">
        <v>3476</v>
      </c>
      <c r="G889" s="348" t="s">
        <v>3477</v>
      </c>
      <c r="H889" s="348" t="s">
        <v>3478</v>
      </c>
      <c r="I889" s="348" t="s">
        <v>10</v>
      </c>
      <c r="J889" s="348" t="s">
        <v>3479</v>
      </c>
      <c r="K889" s="330">
        <v>3750</v>
      </c>
      <c r="L889" s="330">
        <f>454+78+126</f>
        <v>658</v>
      </c>
      <c r="M889" s="330"/>
      <c r="N889" s="330"/>
      <c r="O889" s="330">
        <v>658</v>
      </c>
      <c r="P889" s="330"/>
      <c r="Q889" s="330"/>
      <c r="R889" s="37"/>
      <c r="T889" s="37"/>
      <c r="U889" s="37"/>
      <c r="V889" s="37"/>
      <c r="W889" s="37"/>
      <c r="X889" s="37"/>
      <c r="Y889" s="37"/>
      <c r="Z889" s="37"/>
      <c r="AA889" s="37"/>
    </row>
    <row r="890" spans="1:27">
      <c r="A890" s="328">
        <v>881</v>
      </c>
      <c r="B890" s="329" t="s">
        <v>1247</v>
      </c>
      <c r="C890" s="329"/>
      <c r="D890" s="329"/>
      <c r="E890" s="636" t="s">
        <v>1303</v>
      </c>
      <c r="F890" s="328" t="s">
        <v>1305</v>
      </c>
      <c r="G890" s="328" t="s">
        <v>1306</v>
      </c>
      <c r="H890" s="328" t="s">
        <v>1304</v>
      </c>
      <c r="I890" s="328" t="s">
        <v>10</v>
      </c>
      <c r="J890" s="328" t="s">
        <v>647</v>
      </c>
      <c r="K890" s="330">
        <v>6250</v>
      </c>
      <c r="L890" s="330">
        <v>0</v>
      </c>
      <c r="M890" s="330">
        <v>6000</v>
      </c>
      <c r="N890" s="330"/>
      <c r="O890" s="330">
        <v>5984</v>
      </c>
      <c r="P890" s="330"/>
      <c r="Q890" s="330">
        <v>16</v>
      </c>
    </row>
    <row r="891" spans="1:27">
      <c r="A891" s="328">
        <v>882</v>
      </c>
      <c r="B891" s="329" t="s">
        <v>1800</v>
      </c>
      <c r="C891" s="329"/>
      <c r="D891" s="329"/>
      <c r="E891" s="333" t="s">
        <v>1801</v>
      </c>
      <c r="F891" s="328" t="s">
        <v>1802</v>
      </c>
      <c r="G891" s="328" t="s">
        <v>1797</v>
      </c>
      <c r="H891" s="328" t="s">
        <v>550</v>
      </c>
      <c r="I891" s="328" t="s">
        <v>11</v>
      </c>
      <c r="J891" s="328" t="s">
        <v>647</v>
      </c>
      <c r="K891" s="330">
        <v>8778</v>
      </c>
      <c r="L891" s="330">
        <v>0</v>
      </c>
      <c r="M891" s="330">
        <v>5796</v>
      </c>
      <c r="N891" s="330"/>
      <c r="O891" s="330">
        <v>1188</v>
      </c>
      <c r="P891" s="330"/>
      <c r="Q891" s="330">
        <v>4608</v>
      </c>
    </row>
    <row r="892" spans="1:27">
      <c r="A892" s="325">
        <v>883</v>
      </c>
      <c r="B892" s="329" t="s">
        <v>1800</v>
      </c>
      <c r="C892" s="329"/>
      <c r="D892" s="329"/>
      <c r="E892" s="333" t="s">
        <v>1803</v>
      </c>
      <c r="F892" s="328" t="s">
        <v>1804</v>
      </c>
      <c r="G892" s="328" t="s">
        <v>1797</v>
      </c>
      <c r="H892" s="328" t="s">
        <v>229</v>
      </c>
      <c r="I892" s="328" t="s">
        <v>11</v>
      </c>
      <c r="J892" s="328" t="s">
        <v>647</v>
      </c>
      <c r="K892" s="330">
        <v>5334</v>
      </c>
      <c r="L892" s="330">
        <v>0</v>
      </c>
      <c r="M892" s="330">
        <v>11872</v>
      </c>
      <c r="N892" s="330"/>
      <c r="O892" s="330">
        <v>11861</v>
      </c>
      <c r="P892" s="330"/>
      <c r="Q892" s="330">
        <v>11</v>
      </c>
    </row>
    <row r="893" spans="1:27">
      <c r="A893" s="328">
        <v>884</v>
      </c>
      <c r="B893" s="360" t="s">
        <v>3480</v>
      </c>
      <c r="C893" s="329"/>
      <c r="D893" s="329"/>
      <c r="E893" s="640" t="s">
        <v>3481</v>
      </c>
      <c r="F893" s="348" t="s">
        <v>3482</v>
      </c>
      <c r="G893" s="328" t="s">
        <v>3483</v>
      </c>
      <c r="H893" s="348" t="s">
        <v>3415</v>
      </c>
      <c r="I893" s="351" t="s">
        <v>10</v>
      </c>
      <c r="J893" s="328" t="s">
        <v>642</v>
      </c>
      <c r="K893" s="330">
        <v>250</v>
      </c>
      <c r="L893" s="330">
        <v>188</v>
      </c>
      <c r="M893" s="330"/>
      <c r="N893" s="330"/>
      <c r="O893" s="330">
        <v>188</v>
      </c>
      <c r="P893" s="330"/>
      <c r="Q893" s="330"/>
      <c r="R893" s="37"/>
      <c r="T893" s="37"/>
      <c r="U893" s="37"/>
      <c r="V893" s="37"/>
      <c r="W893" s="37"/>
      <c r="X893" s="37"/>
      <c r="Y893" s="37"/>
      <c r="Z893" s="37"/>
      <c r="AA893" s="37"/>
    </row>
    <row r="894" spans="1:27">
      <c r="A894" s="328">
        <v>885</v>
      </c>
      <c r="B894" s="336" t="s">
        <v>1184</v>
      </c>
      <c r="C894" s="329"/>
      <c r="D894" s="329"/>
      <c r="E894" s="636" t="s">
        <v>1185</v>
      </c>
      <c r="F894" s="337" t="s">
        <v>1187</v>
      </c>
      <c r="G894" s="337" t="s">
        <v>1188</v>
      </c>
      <c r="H894" s="337" t="s">
        <v>1186</v>
      </c>
      <c r="I894" s="337" t="s">
        <v>11</v>
      </c>
      <c r="J894" s="337" t="s">
        <v>623</v>
      </c>
      <c r="K894" s="330">
        <v>2650</v>
      </c>
      <c r="L894" s="330">
        <v>22986</v>
      </c>
      <c r="M894" s="330">
        <v>22380</v>
      </c>
      <c r="N894" s="330"/>
      <c r="O894" s="330">
        <v>40242</v>
      </c>
      <c r="P894" s="330"/>
      <c r="Q894" s="330">
        <v>5124</v>
      </c>
    </row>
    <row r="895" spans="1:27">
      <c r="A895" s="328">
        <v>886</v>
      </c>
      <c r="B895" s="329" t="s">
        <v>638</v>
      </c>
      <c r="C895" s="329"/>
      <c r="D895" s="329"/>
      <c r="E895" s="333" t="s">
        <v>1491</v>
      </c>
      <c r="F895" s="328" t="s">
        <v>1493</v>
      </c>
      <c r="G895" s="328" t="s">
        <v>1485</v>
      </c>
      <c r="H895" s="328" t="s">
        <v>429</v>
      </c>
      <c r="I895" s="328" t="s">
        <v>12</v>
      </c>
      <c r="J895" s="328" t="s">
        <v>1492</v>
      </c>
      <c r="K895" s="330">
        <v>4800</v>
      </c>
      <c r="L895" s="330">
        <v>199</v>
      </c>
      <c r="M895" s="330">
        <v>7000</v>
      </c>
      <c r="N895" s="330"/>
      <c r="O895" s="330">
        <v>3770</v>
      </c>
      <c r="P895" s="330"/>
      <c r="Q895" s="330">
        <v>3429</v>
      </c>
    </row>
    <row r="896" spans="1:27" ht="25.5">
      <c r="A896" s="328">
        <v>887</v>
      </c>
      <c r="B896" s="336" t="s">
        <v>919</v>
      </c>
      <c r="C896" s="333"/>
      <c r="D896" s="333"/>
      <c r="E896" s="636" t="s">
        <v>920</v>
      </c>
      <c r="F896" s="337" t="s">
        <v>923</v>
      </c>
      <c r="G896" s="337" t="s">
        <v>924</v>
      </c>
      <c r="H896" s="337" t="s">
        <v>921</v>
      </c>
      <c r="I896" s="337" t="s">
        <v>892</v>
      </c>
      <c r="J896" s="337" t="s">
        <v>922</v>
      </c>
      <c r="K896" s="330">
        <v>76379</v>
      </c>
      <c r="L896" s="330">
        <v>139</v>
      </c>
      <c r="M896" s="330">
        <v>100</v>
      </c>
      <c r="N896" s="330"/>
      <c r="O896" s="330">
        <v>226</v>
      </c>
      <c r="P896" s="330"/>
      <c r="Q896" s="330">
        <v>13</v>
      </c>
    </row>
    <row r="897" spans="1:27" ht="25.5">
      <c r="A897" s="328">
        <v>888</v>
      </c>
      <c r="B897" s="336" t="s">
        <v>919</v>
      </c>
      <c r="C897" s="329"/>
      <c r="D897" s="329"/>
      <c r="E897" s="636" t="s">
        <v>925</v>
      </c>
      <c r="F897" s="337" t="s">
        <v>1018</v>
      </c>
      <c r="G897" s="337" t="s">
        <v>929</v>
      </c>
      <c r="H897" s="337" t="s">
        <v>1017</v>
      </c>
      <c r="I897" s="337" t="s">
        <v>628</v>
      </c>
      <c r="J897" s="337" t="s">
        <v>927</v>
      </c>
      <c r="K897" s="330">
        <v>4575</v>
      </c>
      <c r="L897" s="330">
        <v>855</v>
      </c>
      <c r="M897" s="330">
        <v>600</v>
      </c>
      <c r="N897" s="330"/>
      <c r="O897" s="330">
        <v>1201</v>
      </c>
      <c r="P897" s="330"/>
      <c r="Q897" s="330">
        <v>254</v>
      </c>
    </row>
    <row r="898" spans="1:27" ht="25.5">
      <c r="A898" s="325">
        <v>889</v>
      </c>
      <c r="B898" s="336" t="s">
        <v>919</v>
      </c>
      <c r="C898" s="333"/>
      <c r="D898" s="333"/>
      <c r="E898" s="636" t="s">
        <v>925</v>
      </c>
      <c r="F898" s="337" t="s">
        <v>928</v>
      </c>
      <c r="G898" s="337" t="s">
        <v>929</v>
      </c>
      <c r="H898" s="337" t="s">
        <v>926</v>
      </c>
      <c r="I898" s="337" t="s">
        <v>628</v>
      </c>
      <c r="J898" s="337" t="s">
        <v>927</v>
      </c>
      <c r="K898" s="330">
        <v>8513</v>
      </c>
      <c r="L898" s="330">
        <v>0</v>
      </c>
      <c r="M898" s="330">
        <v>1980</v>
      </c>
      <c r="N898" s="330"/>
      <c r="O898" s="330">
        <v>1711</v>
      </c>
      <c r="P898" s="330"/>
      <c r="Q898" s="330">
        <v>269</v>
      </c>
    </row>
    <row r="899" spans="1:27">
      <c r="A899" s="328">
        <v>890</v>
      </c>
      <c r="B899" s="336" t="s">
        <v>246</v>
      </c>
      <c r="C899" s="329"/>
      <c r="D899" s="329"/>
      <c r="E899" s="333" t="s">
        <v>665</v>
      </c>
      <c r="F899" s="328" t="s">
        <v>666</v>
      </c>
      <c r="G899" s="328" t="s">
        <v>245</v>
      </c>
      <c r="H899" s="328" t="s">
        <v>291</v>
      </c>
      <c r="I899" s="328" t="s">
        <v>11</v>
      </c>
      <c r="J899" s="328" t="s">
        <v>553</v>
      </c>
      <c r="K899" s="330">
        <v>3990</v>
      </c>
      <c r="L899" s="330">
        <v>903</v>
      </c>
      <c r="M899" s="330">
        <v>3480</v>
      </c>
      <c r="N899" s="330"/>
      <c r="O899" s="330">
        <v>2248</v>
      </c>
      <c r="P899" s="330"/>
      <c r="Q899" s="330">
        <v>2135</v>
      </c>
    </row>
    <row r="900" spans="1:27">
      <c r="A900" s="328">
        <v>891</v>
      </c>
      <c r="B900" s="331" t="s">
        <v>246</v>
      </c>
      <c r="C900" s="331"/>
      <c r="D900" s="331"/>
      <c r="E900" s="333" t="s">
        <v>247</v>
      </c>
      <c r="F900" s="328" t="s">
        <v>249</v>
      </c>
      <c r="G900" s="328" t="s">
        <v>245</v>
      </c>
      <c r="H900" s="328" t="s">
        <v>248</v>
      </c>
      <c r="I900" s="328" t="s">
        <v>10</v>
      </c>
      <c r="J900" s="328" t="s">
        <v>642</v>
      </c>
      <c r="K900" s="330">
        <v>1785</v>
      </c>
      <c r="L900" s="330">
        <v>999</v>
      </c>
      <c r="M900" s="330">
        <v>5000</v>
      </c>
      <c r="N900" s="330"/>
      <c r="O900" s="330">
        <v>3563</v>
      </c>
      <c r="P900" s="330"/>
      <c r="Q900" s="330">
        <v>2436</v>
      </c>
    </row>
    <row r="901" spans="1:27" ht="25.5">
      <c r="A901" s="328">
        <v>892</v>
      </c>
      <c r="B901" s="336" t="s">
        <v>202</v>
      </c>
      <c r="C901" s="329"/>
      <c r="D901" s="329"/>
      <c r="E901" s="333" t="s">
        <v>201</v>
      </c>
      <c r="F901" s="328" t="s">
        <v>2328</v>
      </c>
      <c r="G901" s="328" t="s">
        <v>2325</v>
      </c>
      <c r="H901" s="328" t="s">
        <v>203</v>
      </c>
      <c r="I901" s="328" t="s">
        <v>10</v>
      </c>
      <c r="J901" s="328" t="s">
        <v>2327</v>
      </c>
      <c r="K901" s="330">
        <v>968</v>
      </c>
      <c r="L901" s="330">
        <v>7398</v>
      </c>
      <c r="M901" s="330">
        <v>20600</v>
      </c>
      <c r="N901" s="330"/>
      <c r="O901" s="330">
        <v>20918</v>
      </c>
      <c r="P901" s="330"/>
      <c r="Q901" s="330">
        <v>7080</v>
      </c>
    </row>
    <row r="902" spans="1:27">
      <c r="A902" s="328">
        <v>893</v>
      </c>
      <c r="B902" s="347" t="s">
        <v>1235</v>
      </c>
      <c r="C902" s="329"/>
      <c r="D902" s="329"/>
      <c r="E902" s="640" t="s">
        <v>3484</v>
      </c>
      <c r="F902" s="348" t="s">
        <v>3485</v>
      </c>
      <c r="G902" s="348" t="s">
        <v>2682</v>
      </c>
      <c r="H902" s="348" t="s">
        <v>262</v>
      </c>
      <c r="I902" s="348" t="s">
        <v>10</v>
      </c>
      <c r="J902" s="348" t="s">
        <v>1350</v>
      </c>
      <c r="K902" s="330">
        <v>2993</v>
      </c>
      <c r="L902" s="330">
        <f>110+7680+10</f>
        <v>7800</v>
      </c>
      <c r="M902" s="330"/>
      <c r="N902" s="330"/>
      <c r="O902" s="330">
        <v>7800</v>
      </c>
      <c r="P902" s="330"/>
      <c r="Q902" s="330"/>
      <c r="R902" s="37"/>
      <c r="T902" s="37"/>
      <c r="U902" s="37"/>
      <c r="V902" s="37"/>
      <c r="W902" s="37"/>
      <c r="X902" s="37"/>
      <c r="Y902" s="37"/>
      <c r="Z902" s="37"/>
      <c r="AA902" s="37"/>
    </row>
    <row r="903" spans="1:27">
      <c r="A903" s="328">
        <v>894</v>
      </c>
      <c r="B903" s="329" t="s">
        <v>816</v>
      </c>
      <c r="C903" s="333"/>
      <c r="D903" s="333"/>
      <c r="E903" s="333" t="s">
        <v>817</v>
      </c>
      <c r="F903" s="328" t="s">
        <v>818</v>
      </c>
      <c r="G903" s="328" t="s">
        <v>806</v>
      </c>
      <c r="H903" s="328" t="s">
        <v>258</v>
      </c>
      <c r="I903" s="328" t="s">
        <v>11</v>
      </c>
      <c r="J903" s="328" t="s">
        <v>1329</v>
      </c>
      <c r="K903" s="330">
        <v>280</v>
      </c>
      <c r="L903" s="330">
        <v>13039</v>
      </c>
      <c r="M903" s="330">
        <v>0</v>
      </c>
      <c r="N903" s="330"/>
      <c r="O903" s="330">
        <v>13039</v>
      </c>
      <c r="P903" s="330"/>
      <c r="Q903" s="330">
        <v>0</v>
      </c>
    </row>
    <row r="904" spans="1:27">
      <c r="A904" s="325">
        <v>895</v>
      </c>
      <c r="B904" s="342" t="s">
        <v>3486</v>
      </c>
      <c r="C904" s="329"/>
      <c r="D904" s="329"/>
      <c r="E904" s="333" t="s">
        <v>817</v>
      </c>
      <c r="F904" s="328" t="s">
        <v>818</v>
      </c>
      <c r="G904" s="328" t="s">
        <v>2922</v>
      </c>
      <c r="H904" s="328" t="s">
        <v>258</v>
      </c>
      <c r="I904" s="328" t="s">
        <v>11</v>
      </c>
      <c r="J904" s="328" t="s">
        <v>1329</v>
      </c>
      <c r="K904" s="330">
        <v>355</v>
      </c>
      <c r="L904" s="330">
        <v>51</v>
      </c>
      <c r="M904" s="330">
        <v>0</v>
      </c>
      <c r="N904" s="330"/>
      <c r="O904" s="330">
        <v>51</v>
      </c>
      <c r="P904" s="330"/>
      <c r="Q904" s="330">
        <v>0</v>
      </c>
    </row>
    <row r="905" spans="1:27">
      <c r="A905" s="328">
        <v>896</v>
      </c>
      <c r="B905" s="336" t="s">
        <v>816</v>
      </c>
      <c r="C905" s="329"/>
      <c r="D905" s="329"/>
      <c r="E905" s="333" t="s">
        <v>819</v>
      </c>
      <c r="F905" s="328" t="s">
        <v>820</v>
      </c>
      <c r="G905" s="328" t="s">
        <v>806</v>
      </c>
      <c r="H905" s="328" t="s">
        <v>299</v>
      </c>
      <c r="I905" s="328" t="s">
        <v>11</v>
      </c>
      <c r="J905" s="328" t="s">
        <v>804</v>
      </c>
      <c r="K905" s="330">
        <v>357</v>
      </c>
      <c r="L905" s="330">
        <v>11444</v>
      </c>
      <c r="M905" s="330">
        <v>12000</v>
      </c>
      <c r="N905" s="330"/>
      <c r="O905" s="330">
        <v>23444</v>
      </c>
      <c r="P905" s="330"/>
      <c r="Q905" s="330">
        <v>0</v>
      </c>
    </row>
    <row r="906" spans="1:27" ht="25.5">
      <c r="A906" s="328">
        <v>897</v>
      </c>
      <c r="B906" s="329" t="s">
        <v>2319</v>
      </c>
      <c r="C906" s="329"/>
      <c r="D906" s="329"/>
      <c r="E906" s="333" t="s">
        <v>2320</v>
      </c>
      <c r="F906" s="328" t="s">
        <v>2322</v>
      </c>
      <c r="G906" s="328" t="s">
        <v>2318</v>
      </c>
      <c r="H906" s="328" t="s">
        <v>2321</v>
      </c>
      <c r="I906" s="328" t="s">
        <v>11</v>
      </c>
      <c r="J906" s="328" t="s">
        <v>1237</v>
      </c>
      <c r="K906" s="330">
        <v>935</v>
      </c>
      <c r="L906" s="330">
        <v>0</v>
      </c>
      <c r="M906" s="330">
        <v>30000</v>
      </c>
      <c r="N906" s="330"/>
      <c r="O906" s="330">
        <v>30000</v>
      </c>
      <c r="P906" s="330"/>
      <c r="Q906" s="330">
        <v>0</v>
      </c>
    </row>
    <row r="907" spans="1:27" ht="25.5">
      <c r="A907" s="328">
        <v>898</v>
      </c>
      <c r="B907" s="329" t="s">
        <v>2362</v>
      </c>
      <c r="C907" s="329"/>
      <c r="D907" s="329"/>
      <c r="E907" s="333" t="s">
        <v>204</v>
      </c>
      <c r="F907" s="349" t="s">
        <v>2363</v>
      </c>
      <c r="G907" s="349" t="s">
        <v>1567</v>
      </c>
      <c r="H907" s="328" t="s">
        <v>205</v>
      </c>
      <c r="I907" s="328" t="s">
        <v>10</v>
      </c>
      <c r="J907" s="328" t="s">
        <v>884</v>
      </c>
      <c r="K907" s="330">
        <v>1260</v>
      </c>
      <c r="L907" s="330">
        <v>0</v>
      </c>
      <c r="M907" s="330">
        <v>15000</v>
      </c>
      <c r="N907" s="330"/>
      <c r="O907" s="330">
        <v>1150</v>
      </c>
      <c r="P907" s="330"/>
      <c r="Q907" s="330">
        <v>13850</v>
      </c>
    </row>
    <row r="908" spans="1:27" ht="38.25">
      <c r="A908" s="328">
        <v>899</v>
      </c>
      <c r="B908" s="336" t="s">
        <v>2314</v>
      </c>
      <c r="C908" s="329"/>
      <c r="D908" s="329"/>
      <c r="E908" s="636" t="s">
        <v>206</v>
      </c>
      <c r="F908" s="337" t="s">
        <v>3487</v>
      </c>
      <c r="G908" s="337" t="s">
        <v>2310</v>
      </c>
      <c r="H908" s="337" t="s">
        <v>3488</v>
      </c>
      <c r="I908" s="337" t="s">
        <v>10</v>
      </c>
      <c r="J908" s="337" t="s">
        <v>2306</v>
      </c>
      <c r="K908" s="330">
        <v>5500</v>
      </c>
      <c r="L908" s="330">
        <v>234</v>
      </c>
      <c r="M908" s="330">
        <v>5000</v>
      </c>
      <c r="N908" s="330"/>
      <c r="O908" s="330">
        <v>2926</v>
      </c>
      <c r="P908" s="330"/>
      <c r="Q908" s="330">
        <v>2308</v>
      </c>
    </row>
    <row r="909" spans="1:27">
      <c r="A909" s="328">
        <v>900</v>
      </c>
      <c r="B909" s="329" t="s">
        <v>2427</v>
      </c>
      <c r="C909" s="333"/>
      <c r="D909" s="333"/>
      <c r="E909" s="333" t="s">
        <v>207</v>
      </c>
      <c r="F909" s="328" t="s">
        <v>2429</v>
      </c>
      <c r="G909" s="328" t="s">
        <v>2430</v>
      </c>
      <c r="H909" s="328" t="s">
        <v>2428</v>
      </c>
      <c r="I909" s="328" t="s">
        <v>10</v>
      </c>
      <c r="J909" s="328" t="s">
        <v>1350</v>
      </c>
      <c r="K909" s="330">
        <v>420</v>
      </c>
      <c r="L909" s="330">
        <v>3930</v>
      </c>
      <c r="M909" s="330">
        <v>0</v>
      </c>
      <c r="N909" s="330"/>
      <c r="O909" s="330">
        <v>3920</v>
      </c>
      <c r="P909" s="330"/>
      <c r="Q909" s="330">
        <v>10</v>
      </c>
    </row>
    <row r="910" spans="1:27">
      <c r="A910" s="325">
        <v>901</v>
      </c>
      <c r="B910" s="329" t="s">
        <v>1368</v>
      </c>
      <c r="C910" s="329"/>
      <c r="D910" s="329"/>
      <c r="E910" s="333" t="s">
        <v>3489</v>
      </c>
      <c r="F910" s="328" t="s">
        <v>1943</v>
      </c>
      <c r="G910" s="328" t="s">
        <v>1913</v>
      </c>
      <c r="H910" s="328" t="s">
        <v>1941</v>
      </c>
      <c r="I910" s="328" t="s">
        <v>658</v>
      </c>
      <c r="J910" s="328" t="s">
        <v>1942</v>
      </c>
      <c r="K910" s="330">
        <v>3780</v>
      </c>
      <c r="L910" s="330">
        <v>0</v>
      </c>
      <c r="M910" s="330">
        <v>20</v>
      </c>
      <c r="N910" s="330"/>
      <c r="O910" s="330">
        <v>20</v>
      </c>
      <c r="P910" s="330"/>
      <c r="Q910" s="330">
        <v>0</v>
      </c>
    </row>
    <row r="911" spans="1:27">
      <c r="A911" s="328">
        <v>902</v>
      </c>
      <c r="B911" s="336" t="s">
        <v>611</v>
      </c>
      <c r="C911" s="329"/>
      <c r="D911" s="329"/>
      <c r="E911" s="333" t="s">
        <v>612</v>
      </c>
      <c r="F911" s="328" t="s">
        <v>613</v>
      </c>
      <c r="G911" s="328" t="s">
        <v>614</v>
      </c>
      <c r="H911" s="328" t="s">
        <v>291</v>
      </c>
      <c r="I911" s="328" t="s">
        <v>10</v>
      </c>
      <c r="J911" s="328" t="s">
        <v>547</v>
      </c>
      <c r="K911" s="330">
        <v>7600</v>
      </c>
      <c r="L911" s="330">
        <v>0</v>
      </c>
      <c r="M911" s="330">
        <v>4980</v>
      </c>
      <c r="N911" s="330"/>
      <c r="O911" s="330">
        <v>2650</v>
      </c>
      <c r="P911" s="330"/>
      <c r="Q911" s="330">
        <v>2330</v>
      </c>
    </row>
    <row r="912" spans="1:27">
      <c r="A912" s="328">
        <v>903</v>
      </c>
      <c r="B912" s="331" t="s">
        <v>531</v>
      </c>
      <c r="C912" s="331"/>
      <c r="D912" s="331"/>
      <c r="E912" s="333" t="s">
        <v>532</v>
      </c>
      <c r="F912" s="328" t="s">
        <v>3490</v>
      </c>
      <c r="G912" s="328" t="s">
        <v>530</v>
      </c>
      <c r="H912" s="328" t="s">
        <v>534</v>
      </c>
      <c r="I912" s="328" t="s">
        <v>10</v>
      </c>
      <c r="J912" s="328" t="s">
        <v>642</v>
      </c>
      <c r="K912" s="330">
        <v>115</v>
      </c>
      <c r="L912" s="330">
        <v>0</v>
      </c>
      <c r="M912" s="330">
        <v>5000</v>
      </c>
      <c r="N912" s="330"/>
      <c r="O912" s="330">
        <v>872</v>
      </c>
      <c r="P912" s="330"/>
      <c r="Q912" s="330">
        <v>4128</v>
      </c>
    </row>
    <row r="913" spans="1:27">
      <c r="A913" s="328">
        <v>904</v>
      </c>
      <c r="B913" s="347" t="s">
        <v>274</v>
      </c>
      <c r="C913" s="329"/>
      <c r="D913" s="329"/>
      <c r="E913" s="640" t="s">
        <v>3491</v>
      </c>
      <c r="F913" s="348" t="s">
        <v>3492</v>
      </c>
      <c r="G913" s="348" t="s">
        <v>3493</v>
      </c>
      <c r="H913" s="348" t="s">
        <v>225</v>
      </c>
      <c r="I913" s="348" t="s">
        <v>10</v>
      </c>
      <c r="J913" s="348" t="s">
        <v>2841</v>
      </c>
      <c r="K913" s="330">
        <v>4623</v>
      </c>
      <c r="L913" s="330">
        <v>2500</v>
      </c>
      <c r="M913" s="330"/>
      <c r="N913" s="330"/>
      <c r="O913" s="330">
        <v>2500</v>
      </c>
      <c r="P913" s="330"/>
      <c r="Q913" s="330"/>
      <c r="R913" s="37"/>
      <c r="T913" s="37"/>
      <c r="U913" s="37"/>
      <c r="V913" s="37"/>
      <c r="W913" s="37"/>
      <c r="X913" s="37"/>
      <c r="Y913" s="37"/>
      <c r="Z913" s="37"/>
      <c r="AA913" s="37"/>
    </row>
    <row r="914" spans="1:27">
      <c r="A914" s="328">
        <v>905</v>
      </c>
      <c r="B914" s="336" t="s">
        <v>788</v>
      </c>
      <c r="C914" s="329"/>
      <c r="D914" s="329"/>
      <c r="E914" s="333" t="s">
        <v>1990</v>
      </c>
      <c r="F914" s="328" t="s">
        <v>1991</v>
      </c>
      <c r="G914" s="328" t="s">
        <v>1946</v>
      </c>
      <c r="H914" s="328" t="s">
        <v>390</v>
      </c>
      <c r="I914" s="328" t="s">
        <v>11</v>
      </c>
      <c r="J914" s="328" t="s">
        <v>842</v>
      </c>
      <c r="K914" s="330">
        <v>441</v>
      </c>
      <c r="L914" s="330">
        <v>0</v>
      </c>
      <c r="M914" s="330">
        <v>6000</v>
      </c>
      <c r="N914" s="330"/>
      <c r="O914" s="330">
        <v>1207</v>
      </c>
      <c r="P914" s="330"/>
      <c r="Q914" s="330">
        <v>4793</v>
      </c>
    </row>
    <row r="915" spans="1:27">
      <c r="A915" s="328">
        <v>906</v>
      </c>
      <c r="B915" s="336" t="s">
        <v>1245</v>
      </c>
      <c r="C915" s="329"/>
      <c r="D915" s="329"/>
      <c r="E915" s="333" t="s">
        <v>1992</v>
      </c>
      <c r="F915" s="328" t="s">
        <v>1993</v>
      </c>
      <c r="G915" s="328" t="s">
        <v>1946</v>
      </c>
      <c r="H915" s="328" t="s">
        <v>1246</v>
      </c>
      <c r="I915" s="328" t="s">
        <v>11</v>
      </c>
      <c r="J915" s="328" t="s">
        <v>842</v>
      </c>
      <c r="K915" s="330">
        <v>2184</v>
      </c>
      <c r="L915" s="330">
        <v>0</v>
      </c>
      <c r="M915" s="330">
        <v>19950</v>
      </c>
      <c r="N915" s="330"/>
      <c r="O915" s="330">
        <v>15905</v>
      </c>
      <c r="P915" s="330"/>
      <c r="Q915" s="330">
        <v>4045</v>
      </c>
    </row>
    <row r="916" spans="1:27">
      <c r="A916" s="325">
        <v>907</v>
      </c>
      <c r="B916" s="336" t="s">
        <v>1834</v>
      </c>
      <c r="C916" s="329"/>
      <c r="D916" s="329"/>
      <c r="E916" s="333" t="s">
        <v>1835</v>
      </c>
      <c r="F916" s="328" t="s">
        <v>1837</v>
      </c>
      <c r="G916" s="328" t="s">
        <v>492</v>
      </c>
      <c r="H916" s="328" t="s">
        <v>1836</v>
      </c>
      <c r="I916" s="328" t="s">
        <v>10</v>
      </c>
      <c r="J916" s="328" t="s">
        <v>1153</v>
      </c>
      <c r="K916" s="330">
        <v>179</v>
      </c>
      <c r="L916" s="330">
        <v>0</v>
      </c>
      <c r="M916" s="330">
        <v>19500</v>
      </c>
      <c r="N916" s="330"/>
      <c r="O916" s="330">
        <v>16217</v>
      </c>
      <c r="P916" s="330"/>
      <c r="Q916" s="330">
        <v>3283</v>
      </c>
    </row>
    <row r="917" spans="1:27">
      <c r="A917" s="328">
        <v>908</v>
      </c>
      <c r="B917" s="336" t="s">
        <v>1443</v>
      </c>
      <c r="C917" s="329"/>
      <c r="D917" s="329"/>
      <c r="E917" s="333" t="s">
        <v>1444</v>
      </c>
      <c r="F917" s="328" t="s">
        <v>1445</v>
      </c>
      <c r="G917" s="328" t="s">
        <v>1429</v>
      </c>
      <c r="H917" s="328" t="s">
        <v>272</v>
      </c>
      <c r="I917" s="328" t="s">
        <v>10</v>
      </c>
      <c r="J917" s="328" t="s">
        <v>1427</v>
      </c>
      <c r="K917" s="330">
        <v>478</v>
      </c>
      <c r="L917" s="330">
        <v>0</v>
      </c>
      <c r="M917" s="330">
        <v>22500</v>
      </c>
      <c r="N917" s="330"/>
      <c r="O917" s="330">
        <v>18988</v>
      </c>
      <c r="P917" s="330"/>
      <c r="Q917" s="330">
        <v>3512</v>
      </c>
    </row>
    <row r="918" spans="1:27">
      <c r="A918" s="328">
        <v>909</v>
      </c>
      <c r="B918" s="336" t="s">
        <v>843</v>
      </c>
      <c r="C918" s="329"/>
      <c r="D918" s="329"/>
      <c r="E918" s="333" t="s">
        <v>844</v>
      </c>
      <c r="F918" s="328" t="s">
        <v>846</v>
      </c>
      <c r="G918" s="328" t="s">
        <v>806</v>
      </c>
      <c r="H918" s="328" t="s">
        <v>272</v>
      </c>
      <c r="I918" s="328" t="s">
        <v>11</v>
      </c>
      <c r="J918" s="328" t="s">
        <v>845</v>
      </c>
      <c r="K918" s="330">
        <v>155</v>
      </c>
      <c r="L918" s="330">
        <v>0</v>
      </c>
      <c r="M918" s="330">
        <v>81500</v>
      </c>
      <c r="N918" s="330"/>
      <c r="O918" s="330">
        <v>68796</v>
      </c>
      <c r="P918" s="330"/>
      <c r="Q918" s="330">
        <v>12704</v>
      </c>
    </row>
    <row r="919" spans="1:27">
      <c r="A919" s="328">
        <v>910</v>
      </c>
      <c r="B919" s="329" t="s">
        <v>843</v>
      </c>
      <c r="C919" s="333"/>
      <c r="D919" s="333"/>
      <c r="E919" s="333" t="s">
        <v>3494</v>
      </c>
      <c r="F919" s="328" t="s">
        <v>3495</v>
      </c>
      <c r="G919" s="328" t="s">
        <v>806</v>
      </c>
      <c r="H919" s="328" t="s">
        <v>272</v>
      </c>
      <c r="I919" s="328" t="s">
        <v>11</v>
      </c>
      <c r="J919" s="328" t="s">
        <v>642</v>
      </c>
      <c r="K919" s="330">
        <v>117</v>
      </c>
      <c r="L919" s="330">
        <v>30317</v>
      </c>
      <c r="M919" s="330">
        <v>0</v>
      </c>
      <c r="N919" s="330"/>
      <c r="O919" s="330">
        <v>30317</v>
      </c>
      <c r="P919" s="330"/>
      <c r="Q919" s="330">
        <v>0</v>
      </c>
    </row>
    <row r="920" spans="1:27" ht="25.5">
      <c r="A920" s="328">
        <v>911</v>
      </c>
      <c r="B920" s="329" t="s">
        <v>3496</v>
      </c>
      <c r="C920" s="329"/>
      <c r="D920" s="329"/>
      <c r="E920" s="333" t="s">
        <v>1477</v>
      </c>
      <c r="F920" s="328" t="s">
        <v>1478</v>
      </c>
      <c r="G920" s="328" t="s">
        <v>1479</v>
      </c>
      <c r="H920" s="328" t="s">
        <v>739</v>
      </c>
      <c r="I920" s="328" t="s">
        <v>1476</v>
      </c>
      <c r="J920" s="328" t="s">
        <v>1473</v>
      </c>
      <c r="K920" s="330">
        <v>11000</v>
      </c>
      <c r="L920" s="330">
        <v>0</v>
      </c>
      <c r="M920" s="330">
        <v>100</v>
      </c>
      <c r="N920" s="330"/>
      <c r="O920" s="330">
        <v>47</v>
      </c>
      <c r="P920" s="330"/>
      <c r="Q920" s="330">
        <v>53</v>
      </c>
    </row>
    <row r="921" spans="1:27">
      <c r="A921" s="328">
        <v>912</v>
      </c>
      <c r="B921" s="329" t="s">
        <v>1402</v>
      </c>
      <c r="C921" s="329"/>
      <c r="D921" s="329"/>
      <c r="E921" s="333" t="s">
        <v>1402</v>
      </c>
      <c r="F921" s="328" t="s">
        <v>1403</v>
      </c>
      <c r="G921" s="328" t="s">
        <v>360</v>
      </c>
      <c r="H921" s="328" t="s">
        <v>225</v>
      </c>
      <c r="I921" s="328" t="s">
        <v>11</v>
      </c>
      <c r="J921" s="328" t="s">
        <v>647</v>
      </c>
      <c r="K921" s="330">
        <v>165</v>
      </c>
      <c r="L921" s="330">
        <v>1532</v>
      </c>
      <c r="M921" s="330">
        <v>35300</v>
      </c>
      <c r="N921" s="330"/>
      <c r="O921" s="330">
        <v>31770</v>
      </c>
      <c r="P921" s="330"/>
      <c r="Q921" s="330">
        <v>5062</v>
      </c>
    </row>
    <row r="922" spans="1:27">
      <c r="A922" s="325">
        <v>913</v>
      </c>
      <c r="B922" s="336" t="s">
        <v>337</v>
      </c>
      <c r="C922" s="329"/>
      <c r="D922" s="329"/>
      <c r="E922" s="333" t="s">
        <v>1947</v>
      </c>
      <c r="F922" s="328" t="s">
        <v>1949</v>
      </c>
      <c r="G922" s="328" t="s">
        <v>1946</v>
      </c>
      <c r="H922" s="328" t="s">
        <v>1200</v>
      </c>
      <c r="I922" s="328" t="s">
        <v>13</v>
      </c>
      <c r="J922" s="328" t="s">
        <v>1948</v>
      </c>
      <c r="K922" s="330">
        <v>2499</v>
      </c>
      <c r="L922" s="330">
        <v>1318</v>
      </c>
      <c r="M922" s="330">
        <v>0</v>
      </c>
      <c r="N922" s="330"/>
      <c r="O922" s="330">
        <v>1090</v>
      </c>
      <c r="P922" s="330"/>
      <c r="Q922" s="330">
        <v>228</v>
      </c>
    </row>
    <row r="923" spans="1:27">
      <c r="A923" s="328">
        <v>914</v>
      </c>
      <c r="B923" s="329" t="s">
        <v>1330</v>
      </c>
      <c r="C923" s="329"/>
      <c r="D923" s="329"/>
      <c r="E923" s="333" t="s">
        <v>1742</v>
      </c>
      <c r="F923" s="328" t="s">
        <v>1744</v>
      </c>
      <c r="G923" s="328" t="s">
        <v>1745</v>
      </c>
      <c r="H923" s="328" t="s">
        <v>1580</v>
      </c>
      <c r="I923" s="328" t="s">
        <v>520</v>
      </c>
      <c r="J923" s="328" t="s">
        <v>1743</v>
      </c>
      <c r="K923" s="330">
        <v>7920</v>
      </c>
      <c r="L923" s="330">
        <v>0</v>
      </c>
      <c r="M923" s="330">
        <v>1000</v>
      </c>
      <c r="N923" s="330"/>
      <c r="O923" s="330">
        <v>229</v>
      </c>
      <c r="P923" s="330"/>
      <c r="Q923" s="330">
        <v>771</v>
      </c>
    </row>
    <row r="924" spans="1:27">
      <c r="A924" s="328">
        <v>915</v>
      </c>
      <c r="B924" s="329" t="s">
        <v>1330</v>
      </c>
      <c r="C924" s="333"/>
      <c r="D924" s="333"/>
      <c r="E924" s="333" t="s">
        <v>2559</v>
      </c>
      <c r="F924" s="328" t="s">
        <v>3497</v>
      </c>
      <c r="G924" s="328" t="s">
        <v>3498</v>
      </c>
      <c r="H924" s="328" t="s">
        <v>291</v>
      </c>
      <c r="I924" s="328" t="s">
        <v>10</v>
      </c>
      <c r="J924" s="328" t="s">
        <v>3499</v>
      </c>
      <c r="K924" s="330">
        <v>3477</v>
      </c>
      <c r="L924" s="330">
        <v>344</v>
      </c>
      <c r="M924" s="330">
        <v>0</v>
      </c>
      <c r="N924" s="330"/>
      <c r="O924" s="330">
        <v>334</v>
      </c>
      <c r="P924" s="330"/>
      <c r="Q924" s="330">
        <v>10</v>
      </c>
    </row>
    <row r="925" spans="1:27">
      <c r="A925" s="328">
        <v>916</v>
      </c>
      <c r="B925" s="329" t="s">
        <v>729</v>
      </c>
      <c r="C925" s="333"/>
      <c r="D925" s="333"/>
      <c r="E925" s="333" t="s">
        <v>2560</v>
      </c>
      <c r="F925" s="328" t="s">
        <v>3500</v>
      </c>
      <c r="G925" s="328" t="s">
        <v>3501</v>
      </c>
      <c r="H925" s="328" t="s">
        <v>730</v>
      </c>
      <c r="I925" s="328" t="s">
        <v>11</v>
      </c>
      <c r="J925" s="328" t="s">
        <v>647</v>
      </c>
      <c r="K925" s="330">
        <v>1500</v>
      </c>
      <c r="L925" s="330">
        <v>14626</v>
      </c>
      <c r="M925" s="330">
        <v>0</v>
      </c>
      <c r="N925" s="330"/>
      <c r="O925" s="330">
        <v>14599</v>
      </c>
      <c r="P925" s="330"/>
      <c r="Q925" s="330">
        <v>27</v>
      </c>
    </row>
    <row r="926" spans="1:27" ht="25.5">
      <c r="A926" s="328">
        <v>917</v>
      </c>
      <c r="B926" s="329" t="s">
        <v>2403</v>
      </c>
      <c r="C926" s="329"/>
      <c r="D926" s="329"/>
      <c r="E926" s="333" t="s">
        <v>2404</v>
      </c>
      <c r="F926" s="366" t="s">
        <v>2406</v>
      </c>
      <c r="G926" s="328" t="s">
        <v>2397</v>
      </c>
      <c r="H926" s="371" t="s">
        <v>2405</v>
      </c>
      <c r="I926" s="328" t="s">
        <v>10</v>
      </c>
      <c r="J926" s="328" t="s">
        <v>620</v>
      </c>
      <c r="K926" s="330">
        <v>830</v>
      </c>
      <c r="L926" s="330">
        <v>0</v>
      </c>
      <c r="M926" s="330">
        <v>30000</v>
      </c>
      <c r="N926" s="330"/>
      <c r="O926" s="330">
        <v>30000</v>
      </c>
      <c r="P926" s="330"/>
      <c r="Q926" s="330">
        <v>0</v>
      </c>
    </row>
    <row r="927" spans="1:27" ht="38.25">
      <c r="A927" s="328">
        <v>918</v>
      </c>
      <c r="B927" s="347" t="s">
        <v>3502</v>
      </c>
      <c r="C927" s="329"/>
      <c r="D927" s="329"/>
      <c r="E927" s="640" t="s">
        <v>3503</v>
      </c>
      <c r="F927" s="348" t="s">
        <v>3504</v>
      </c>
      <c r="G927" s="348" t="s">
        <v>2752</v>
      </c>
      <c r="H927" s="348" t="s">
        <v>3505</v>
      </c>
      <c r="I927" s="348" t="s">
        <v>10</v>
      </c>
      <c r="J927" s="348" t="s">
        <v>351</v>
      </c>
      <c r="K927" s="330">
        <v>4700</v>
      </c>
      <c r="L927" s="330">
        <v>380</v>
      </c>
      <c r="M927" s="330"/>
      <c r="N927" s="330"/>
      <c r="O927" s="330">
        <v>380</v>
      </c>
      <c r="P927" s="330"/>
      <c r="Q927" s="330"/>
      <c r="R927" s="37"/>
      <c r="T927" s="37"/>
      <c r="U927" s="37"/>
      <c r="V927" s="37"/>
      <c r="W927" s="37"/>
      <c r="X927" s="37"/>
      <c r="Y927" s="37"/>
      <c r="Z927" s="37"/>
      <c r="AA927" s="37"/>
    </row>
    <row r="928" spans="1:27" ht="25.5">
      <c r="A928" s="325">
        <v>919</v>
      </c>
      <c r="B928" s="336" t="s">
        <v>907</v>
      </c>
      <c r="C928" s="333"/>
      <c r="D928" s="333"/>
      <c r="E928" s="636" t="s">
        <v>908</v>
      </c>
      <c r="F928" s="337" t="s">
        <v>911</v>
      </c>
      <c r="G928" s="337" t="s">
        <v>912</v>
      </c>
      <c r="H928" s="337" t="s">
        <v>909</v>
      </c>
      <c r="I928" s="337" t="s">
        <v>682</v>
      </c>
      <c r="J928" s="337" t="s">
        <v>910</v>
      </c>
      <c r="K928" s="330">
        <v>55600</v>
      </c>
      <c r="L928" s="330">
        <v>3</v>
      </c>
      <c r="M928" s="330">
        <v>0</v>
      </c>
      <c r="N928" s="330"/>
      <c r="O928" s="330">
        <v>3</v>
      </c>
      <c r="P928" s="330"/>
      <c r="Q928" s="330">
        <v>0</v>
      </c>
    </row>
    <row r="929" spans="1:27">
      <c r="A929" s="328">
        <v>920</v>
      </c>
      <c r="B929" s="336" t="s">
        <v>1829</v>
      </c>
      <c r="C929" s="329"/>
      <c r="D929" s="329"/>
      <c r="E929" s="333" t="s">
        <v>1830</v>
      </c>
      <c r="F929" s="328" t="s">
        <v>1833</v>
      </c>
      <c r="G929" s="328" t="s">
        <v>492</v>
      </c>
      <c r="H929" s="328" t="s">
        <v>1831</v>
      </c>
      <c r="I929" s="328" t="s">
        <v>10</v>
      </c>
      <c r="J929" s="328" t="s">
        <v>1832</v>
      </c>
      <c r="K929" s="330">
        <v>325</v>
      </c>
      <c r="L929" s="330">
        <v>0</v>
      </c>
      <c r="M929" s="330">
        <v>64000</v>
      </c>
      <c r="N929" s="330"/>
      <c r="O929" s="330">
        <v>31895</v>
      </c>
      <c r="P929" s="330"/>
      <c r="Q929" s="330">
        <v>32105</v>
      </c>
    </row>
    <row r="930" spans="1:27">
      <c r="A930" s="328">
        <v>921</v>
      </c>
      <c r="B930" s="329" t="s">
        <v>1526</v>
      </c>
      <c r="C930" s="329"/>
      <c r="D930" s="329"/>
      <c r="E930" s="333" t="s">
        <v>3506</v>
      </c>
      <c r="F930" s="328" t="s">
        <v>3507</v>
      </c>
      <c r="G930" s="328" t="s">
        <v>3508</v>
      </c>
      <c r="H930" s="328" t="s">
        <v>1045</v>
      </c>
      <c r="I930" s="328" t="s">
        <v>1476</v>
      </c>
      <c r="J930" s="328" t="s">
        <v>3509</v>
      </c>
      <c r="K930" s="330">
        <v>4200</v>
      </c>
      <c r="L930" s="330">
        <v>373</v>
      </c>
      <c r="M930" s="330"/>
      <c r="N930" s="330"/>
      <c r="O930" s="330">
        <v>373</v>
      </c>
      <c r="P930" s="330">
        <f>SUM(P130:P929)</f>
        <v>0</v>
      </c>
      <c r="Q930" s="330"/>
      <c r="R930" s="37"/>
      <c r="S930" s="37"/>
      <c r="T930" s="37"/>
      <c r="U930" s="37"/>
      <c r="V930" s="37"/>
      <c r="W930" s="37"/>
      <c r="X930" s="37"/>
      <c r="Y930" s="37"/>
      <c r="Z930" s="37"/>
      <c r="AA930" s="37"/>
    </row>
    <row r="931" spans="1:27">
      <c r="A931" s="328">
        <v>922</v>
      </c>
      <c r="B931" s="347" t="s">
        <v>556</v>
      </c>
      <c r="C931" s="329"/>
      <c r="D931" s="329"/>
      <c r="E931" s="640" t="s">
        <v>3510</v>
      </c>
      <c r="F931" s="348" t="s">
        <v>3511</v>
      </c>
      <c r="G931" s="348" t="s">
        <v>3512</v>
      </c>
      <c r="H931" s="348" t="s">
        <v>238</v>
      </c>
      <c r="I931" s="348" t="s">
        <v>10</v>
      </c>
      <c r="J931" s="348" t="s">
        <v>642</v>
      </c>
      <c r="K931" s="330">
        <v>6097</v>
      </c>
      <c r="L931" s="330">
        <f>6059+646</f>
        <v>6705</v>
      </c>
      <c r="M931" s="330"/>
      <c r="N931" s="330"/>
      <c r="O931" s="330">
        <v>6705</v>
      </c>
      <c r="P931" s="330"/>
      <c r="Q931" s="330"/>
      <c r="R931" s="37"/>
      <c r="T931" s="37"/>
      <c r="U931" s="37"/>
      <c r="V931" s="37"/>
      <c r="W931" s="37"/>
      <c r="X931" s="37"/>
      <c r="Y931" s="37"/>
      <c r="Z931" s="37"/>
      <c r="AA931" s="37"/>
    </row>
    <row r="932" spans="1:27">
      <c r="A932" s="328">
        <v>923</v>
      </c>
      <c r="B932" s="336" t="s">
        <v>984</v>
      </c>
      <c r="C932" s="329"/>
      <c r="D932" s="329"/>
      <c r="E932" s="636" t="s">
        <v>985</v>
      </c>
      <c r="F932" s="337" t="s">
        <v>986</v>
      </c>
      <c r="G932" s="337" t="s">
        <v>987</v>
      </c>
      <c r="H932" s="337" t="s">
        <v>327</v>
      </c>
      <c r="I932" s="337" t="s">
        <v>10</v>
      </c>
      <c r="J932" s="337" t="s">
        <v>626</v>
      </c>
      <c r="K932" s="330">
        <v>4534</v>
      </c>
      <c r="L932" s="330">
        <v>0</v>
      </c>
      <c r="M932" s="330">
        <v>5600</v>
      </c>
      <c r="N932" s="330"/>
      <c r="O932" s="330">
        <v>2558</v>
      </c>
      <c r="P932" s="330"/>
      <c r="Q932" s="330">
        <v>3042</v>
      </c>
    </row>
    <row r="933" spans="1:27">
      <c r="A933" s="328">
        <v>924</v>
      </c>
      <c r="B933" s="347" t="s">
        <v>3513</v>
      </c>
      <c r="C933" s="329"/>
      <c r="D933" s="329"/>
      <c r="E933" s="640" t="s">
        <v>3514</v>
      </c>
      <c r="F933" s="348" t="s">
        <v>3515</v>
      </c>
      <c r="G933" s="348" t="s">
        <v>2978</v>
      </c>
      <c r="H933" s="348" t="s">
        <v>3516</v>
      </c>
      <c r="I933" s="348" t="s">
        <v>18</v>
      </c>
      <c r="J933" s="348" t="s">
        <v>1271</v>
      </c>
      <c r="K933" s="330">
        <v>23990</v>
      </c>
      <c r="L933" s="330">
        <f>106+44</f>
        <v>150</v>
      </c>
      <c r="M933" s="330"/>
      <c r="N933" s="330"/>
      <c r="O933" s="330">
        <v>150</v>
      </c>
      <c r="P933" s="330"/>
      <c r="Q933" s="330"/>
      <c r="R933" s="37"/>
      <c r="T933" s="37"/>
      <c r="U933" s="37"/>
      <c r="V933" s="37"/>
      <c r="W933" s="37"/>
      <c r="X933" s="37"/>
      <c r="Y933" s="37"/>
      <c r="Z933" s="37"/>
      <c r="AA933" s="37"/>
    </row>
    <row r="934" spans="1:27">
      <c r="A934" s="325">
        <v>925</v>
      </c>
      <c r="B934" s="329" t="s">
        <v>779</v>
      </c>
      <c r="C934" s="333"/>
      <c r="D934" s="333"/>
      <c r="E934" s="333" t="s">
        <v>2561</v>
      </c>
      <c r="F934" s="328" t="s">
        <v>3517</v>
      </c>
      <c r="G934" s="328" t="s">
        <v>3518</v>
      </c>
      <c r="H934" s="328" t="s">
        <v>2562</v>
      </c>
      <c r="I934" s="328" t="s">
        <v>15</v>
      </c>
      <c r="J934" s="328" t="s">
        <v>3519</v>
      </c>
      <c r="K934" s="330">
        <v>25150</v>
      </c>
      <c r="L934" s="330">
        <v>324</v>
      </c>
      <c r="M934" s="330">
        <v>0</v>
      </c>
      <c r="N934" s="330"/>
      <c r="O934" s="330">
        <v>314</v>
      </c>
      <c r="P934" s="330"/>
      <c r="Q934" s="330">
        <v>10</v>
      </c>
    </row>
    <row r="935" spans="1:27" s="37" customFormat="1">
      <c r="A935" s="378"/>
      <c r="B935" s="379"/>
      <c r="C935" s="378"/>
      <c r="D935" s="378"/>
      <c r="E935" s="648"/>
      <c r="F935" s="378"/>
      <c r="G935" s="378"/>
      <c r="H935" s="378"/>
      <c r="I935" s="378"/>
      <c r="J935" s="378"/>
      <c r="K935" s="380"/>
      <c r="L935" s="380"/>
      <c r="M935" s="381"/>
      <c r="N935" s="381"/>
      <c r="O935" s="381"/>
      <c r="P935" s="381"/>
      <c r="Q935" s="380"/>
      <c r="R935" s="18"/>
      <c r="S935" s="18"/>
      <c r="T935" s="18"/>
      <c r="U935" s="18"/>
      <c r="V935" s="18"/>
      <c r="W935" s="18"/>
      <c r="X935" s="18"/>
      <c r="Y935" s="18"/>
      <c r="Z935" s="18"/>
      <c r="AA935" s="18"/>
    </row>
    <row r="936" spans="1:27" s="37" customFormat="1" ht="18.75">
      <c r="A936" s="38"/>
      <c r="C936" s="38"/>
      <c r="D936" s="39"/>
      <c r="E936" s="59"/>
      <c r="F936" s="38"/>
      <c r="G936" s="38"/>
      <c r="H936" s="38"/>
      <c r="I936" s="38"/>
      <c r="J936" s="38"/>
      <c r="K936" s="382"/>
      <c r="L936" s="383"/>
      <c r="M936" s="384"/>
      <c r="N936" s="384"/>
      <c r="O936" s="384"/>
      <c r="P936" s="385"/>
      <c r="Q936" s="386"/>
    </row>
    <row r="937" spans="1:27">
      <c r="K937" s="387"/>
      <c r="M937" s="388"/>
      <c r="N937" s="388"/>
      <c r="O937" s="388"/>
      <c r="P937" s="388"/>
      <c r="R937" s="40"/>
      <c r="S937" s="40"/>
    </row>
    <row r="938" spans="1:27">
      <c r="K938" s="387"/>
    </row>
    <row r="939" spans="1:27" s="41" customFormat="1" ht="18.75">
      <c r="A939" s="24"/>
      <c r="D939" s="39"/>
      <c r="E939" s="62" t="s">
        <v>9</v>
      </c>
      <c r="F939" s="1"/>
      <c r="G939" s="24"/>
      <c r="H939" s="24"/>
      <c r="I939" s="24"/>
      <c r="J939" s="24"/>
      <c r="K939" s="387"/>
      <c r="L939" s="388"/>
      <c r="M939" s="389"/>
      <c r="N939" s="389"/>
      <c r="O939" s="389"/>
      <c r="P939" s="384"/>
      <c r="Q939" s="383"/>
    </row>
    <row r="940" spans="1:27" ht="18.75">
      <c r="D940" s="41"/>
      <c r="K940" s="387"/>
    </row>
    <row r="941" spans="1:27">
      <c r="K941" s="387"/>
    </row>
    <row r="942" spans="1:27" ht="18.75">
      <c r="K942" s="382"/>
      <c r="L942" s="383"/>
      <c r="M942" s="384"/>
      <c r="N942" s="384"/>
      <c r="O942" s="384"/>
    </row>
    <row r="945" spans="1:27" s="41" customFormat="1" ht="18.75">
      <c r="A945" s="24"/>
      <c r="D945" s="39"/>
      <c r="E945" s="61" t="s">
        <v>3520</v>
      </c>
      <c r="F945" s="24"/>
      <c r="G945" s="24"/>
      <c r="H945" s="24"/>
      <c r="I945" s="24"/>
      <c r="J945" s="24"/>
      <c r="K945" s="390"/>
      <c r="L945" s="388"/>
      <c r="M945" s="389"/>
      <c r="N945" s="389"/>
      <c r="O945" s="389"/>
      <c r="P945" s="384"/>
      <c r="Q945" s="383"/>
    </row>
    <row r="947" spans="1:27">
      <c r="D947" s="18"/>
    </row>
    <row r="948" spans="1:27">
      <c r="D948" s="18"/>
    </row>
    <row r="949" spans="1:27">
      <c r="D949" s="18"/>
      <c r="K949" s="389"/>
    </row>
    <row r="950" spans="1:27">
      <c r="D950" s="18"/>
      <c r="K950" s="389"/>
    </row>
    <row r="951" spans="1:27">
      <c r="D951" s="18"/>
      <c r="K951" s="389"/>
    </row>
    <row r="952" spans="1:27">
      <c r="C952" s="18"/>
      <c r="D952" s="18"/>
      <c r="K952" s="389"/>
    </row>
    <row r="953" spans="1:27">
      <c r="C953" s="18"/>
      <c r="D953" s="18"/>
      <c r="K953" s="389"/>
    </row>
    <row r="954" spans="1:27" s="42" customFormat="1">
      <c r="A954" s="39"/>
      <c r="B954" s="18"/>
      <c r="C954" s="18"/>
      <c r="D954" s="18"/>
      <c r="E954" s="60"/>
      <c r="F954" s="39"/>
      <c r="G954" s="39"/>
      <c r="H954" s="39"/>
      <c r="I954" s="39"/>
      <c r="J954" s="39"/>
      <c r="K954" s="389"/>
      <c r="L954" s="388"/>
      <c r="M954" s="389"/>
      <c r="N954" s="389"/>
      <c r="O954" s="389"/>
      <c r="P954" s="389"/>
      <c r="Q954" s="388"/>
      <c r="R954" s="18"/>
      <c r="S954" s="18"/>
      <c r="T954" s="18"/>
      <c r="U954" s="18"/>
      <c r="V954" s="18"/>
      <c r="W954" s="18"/>
      <c r="X954" s="18"/>
      <c r="Y954" s="18"/>
      <c r="Z954" s="18"/>
      <c r="AA954" s="18"/>
    </row>
    <row r="955" spans="1:27" s="42" customFormat="1">
      <c r="A955" s="39"/>
      <c r="B955" s="18"/>
      <c r="C955" s="18"/>
      <c r="D955" s="18"/>
      <c r="E955" s="60"/>
      <c r="F955" s="39"/>
      <c r="G955" s="39"/>
      <c r="H955" s="39"/>
      <c r="I955" s="39"/>
      <c r="J955" s="39"/>
      <c r="K955" s="389"/>
      <c r="L955" s="388"/>
      <c r="M955" s="389"/>
      <c r="N955" s="389"/>
      <c r="O955" s="389"/>
      <c r="P955" s="389"/>
      <c r="Q955" s="388"/>
      <c r="R955" s="18"/>
      <c r="S955" s="18"/>
      <c r="T955" s="18"/>
      <c r="U955" s="18"/>
      <c r="V955" s="18"/>
      <c r="W955" s="18"/>
      <c r="X955" s="18"/>
      <c r="Y955" s="18"/>
      <c r="Z955" s="18"/>
      <c r="AA955" s="18"/>
    </row>
    <row r="956" spans="1:27" s="42" customFormat="1">
      <c r="A956" s="39"/>
      <c r="B956" s="18"/>
      <c r="C956" s="18"/>
      <c r="D956" s="18"/>
      <c r="E956" s="60"/>
      <c r="F956" s="39"/>
      <c r="G956" s="39"/>
      <c r="H956" s="39"/>
      <c r="I956" s="39"/>
      <c r="J956" s="39"/>
      <c r="K956" s="389"/>
      <c r="L956" s="388"/>
      <c r="M956" s="389"/>
      <c r="N956" s="389"/>
      <c r="O956" s="389"/>
      <c r="P956" s="389"/>
      <c r="Q956" s="388"/>
      <c r="R956" s="18"/>
      <c r="S956" s="18"/>
      <c r="T956" s="18"/>
      <c r="U956" s="18"/>
      <c r="V956" s="18"/>
      <c r="W956" s="18"/>
      <c r="X956" s="18"/>
      <c r="Y956" s="18"/>
      <c r="Z956" s="18"/>
      <c r="AA956" s="18"/>
    </row>
    <row r="957" spans="1:27" s="42" customFormat="1">
      <c r="A957" s="39"/>
      <c r="B957" s="18"/>
      <c r="C957" s="18"/>
      <c r="D957" s="18"/>
      <c r="E957" s="60"/>
      <c r="F957" s="39"/>
      <c r="G957" s="39"/>
      <c r="H957" s="39"/>
      <c r="I957" s="39"/>
      <c r="J957" s="39"/>
      <c r="K957" s="389"/>
      <c r="L957" s="388"/>
      <c r="M957" s="389"/>
      <c r="N957" s="389"/>
      <c r="O957" s="389"/>
      <c r="P957" s="389"/>
      <c r="Q957" s="388"/>
      <c r="R957" s="18"/>
      <c r="S957" s="18"/>
      <c r="T957" s="18"/>
      <c r="U957" s="18"/>
      <c r="V957" s="18"/>
      <c r="W957" s="18"/>
      <c r="X957" s="18"/>
      <c r="Y957" s="18"/>
      <c r="Z957" s="18"/>
      <c r="AA957" s="18"/>
    </row>
    <row r="958" spans="1:27" s="42" customFormat="1">
      <c r="A958" s="39"/>
      <c r="B958" s="18"/>
      <c r="C958" s="18"/>
      <c r="D958" s="18"/>
      <c r="E958" s="60"/>
      <c r="F958" s="39"/>
      <c r="G958" s="39"/>
      <c r="H958" s="39"/>
      <c r="I958" s="39"/>
      <c r="J958" s="39"/>
      <c r="K958" s="389"/>
      <c r="L958" s="388"/>
      <c r="M958" s="389"/>
      <c r="N958" s="389"/>
      <c r="O958" s="389"/>
      <c r="P958" s="389"/>
      <c r="Q958" s="388"/>
      <c r="R958" s="18"/>
      <c r="S958" s="18"/>
      <c r="T958" s="18"/>
      <c r="U958" s="18"/>
      <c r="V958" s="18"/>
      <c r="W958" s="18"/>
      <c r="X958" s="18"/>
      <c r="Y958" s="18"/>
      <c r="Z958" s="18"/>
      <c r="AA958" s="18"/>
    </row>
    <row r="959" spans="1:27" s="42" customFormat="1">
      <c r="A959" s="39"/>
      <c r="B959" s="18"/>
      <c r="C959" s="18"/>
      <c r="D959" s="18"/>
      <c r="E959" s="60"/>
      <c r="F959" s="39"/>
      <c r="G959" s="39"/>
      <c r="H959" s="39"/>
      <c r="I959" s="39"/>
      <c r="J959" s="39"/>
      <c r="K959" s="389"/>
      <c r="L959" s="388"/>
      <c r="M959" s="389"/>
      <c r="N959" s="389"/>
      <c r="O959" s="389"/>
      <c r="P959" s="389"/>
      <c r="Q959" s="388"/>
      <c r="R959" s="18"/>
      <c r="S959" s="18"/>
      <c r="T959" s="18"/>
      <c r="U959" s="18"/>
      <c r="V959" s="18"/>
      <c r="W959" s="18"/>
      <c r="X959" s="18"/>
      <c r="Y959" s="18"/>
      <c r="Z959" s="18"/>
      <c r="AA959" s="18"/>
    </row>
    <row r="960" spans="1:27" s="42" customFormat="1">
      <c r="A960" s="39"/>
      <c r="B960" s="18"/>
      <c r="C960" s="18"/>
      <c r="D960" s="18"/>
      <c r="E960" s="60"/>
      <c r="F960" s="39"/>
      <c r="G960" s="39"/>
      <c r="H960" s="39"/>
      <c r="I960" s="39"/>
      <c r="J960" s="39"/>
      <c r="K960" s="389"/>
      <c r="L960" s="388"/>
      <c r="M960" s="389"/>
      <c r="N960" s="389"/>
      <c r="O960" s="389"/>
      <c r="P960" s="389"/>
      <c r="Q960" s="388"/>
      <c r="R960" s="18"/>
      <c r="S960" s="18"/>
      <c r="T960" s="18"/>
      <c r="U960" s="18"/>
      <c r="V960" s="18"/>
      <c r="W960" s="18"/>
      <c r="X960" s="18"/>
      <c r="Y960" s="18"/>
      <c r="Z960" s="18"/>
      <c r="AA960" s="18"/>
    </row>
    <row r="961" spans="1:27" s="42" customFormat="1">
      <c r="A961" s="39"/>
      <c r="B961" s="18"/>
      <c r="C961" s="18"/>
      <c r="D961" s="18"/>
      <c r="E961" s="60"/>
      <c r="F961" s="39"/>
      <c r="G961" s="39"/>
      <c r="H961" s="39"/>
      <c r="I961" s="39"/>
      <c r="J961" s="39"/>
      <c r="K961" s="389"/>
      <c r="L961" s="388"/>
      <c r="M961" s="389"/>
      <c r="N961" s="389"/>
      <c r="O961" s="389"/>
      <c r="P961" s="389"/>
      <c r="Q961" s="388"/>
      <c r="R961" s="18"/>
      <c r="S961" s="18"/>
      <c r="T961" s="18"/>
      <c r="U961" s="18"/>
      <c r="V961" s="18"/>
      <c r="W961" s="18"/>
      <c r="X961" s="18"/>
      <c r="Y961" s="18"/>
      <c r="Z961" s="18"/>
      <c r="AA961" s="18"/>
    </row>
    <row r="962" spans="1:27" s="42" customFormat="1">
      <c r="A962" s="39"/>
      <c r="B962" s="18"/>
      <c r="C962" s="18"/>
      <c r="D962" s="18"/>
      <c r="E962" s="60"/>
      <c r="F962" s="39"/>
      <c r="G962" s="39"/>
      <c r="H962" s="39"/>
      <c r="I962" s="39"/>
      <c r="J962" s="39"/>
      <c r="K962" s="389"/>
      <c r="L962" s="388"/>
      <c r="M962" s="389"/>
      <c r="N962" s="389"/>
      <c r="O962" s="389"/>
      <c r="P962" s="389"/>
      <c r="Q962" s="388"/>
      <c r="R962" s="18"/>
      <c r="S962" s="18"/>
      <c r="T962" s="18"/>
      <c r="U962" s="18"/>
      <c r="V962" s="18"/>
      <c r="W962" s="18"/>
      <c r="X962" s="18"/>
      <c r="Y962" s="18"/>
      <c r="Z962" s="18"/>
      <c r="AA962" s="18"/>
    </row>
    <row r="963" spans="1:27" s="42" customFormat="1">
      <c r="A963" s="39"/>
      <c r="B963" s="18"/>
      <c r="C963" s="18"/>
      <c r="D963" s="18"/>
      <c r="E963" s="60"/>
      <c r="F963" s="39"/>
      <c r="G963" s="39"/>
      <c r="H963" s="39"/>
      <c r="I963" s="39"/>
      <c r="J963" s="39"/>
      <c r="K963" s="389"/>
      <c r="L963" s="388"/>
      <c r="M963" s="389"/>
      <c r="N963" s="389"/>
      <c r="O963" s="389"/>
      <c r="P963" s="389"/>
      <c r="Q963" s="388"/>
      <c r="R963" s="18"/>
      <c r="S963" s="18"/>
      <c r="T963" s="18"/>
      <c r="U963" s="18"/>
      <c r="V963" s="18"/>
      <c r="W963" s="18"/>
      <c r="X963" s="18"/>
      <c r="Y963" s="18"/>
      <c r="Z963" s="18"/>
      <c r="AA963" s="18"/>
    </row>
    <row r="964" spans="1:27" s="42" customFormat="1">
      <c r="A964" s="39"/>
      <c r="B964" s="18"/>
      <c r="C964" s="18"/>
      <c r="D964" s="18"/>
      <c r="E964" s="60"/>
      <c r="F964" s="39"/>
      <c r="G964" s="39"/>
      <c r="H964" s="39"/>
      <c r="I964" s="39"/>
      <c r="J964" s="39"/>
      <c r="K964" s="389"/>
      <c r="L964" s="388"/>
      <c r="M964" s="389"/>
      <c r="N964" s="389"/>
      <c r="O964" s="389"/>
      <c r="P964" s="389"/>
      <c r="Q964" s="388"/>
      <c r="R964" s="18"/>
      <c r="S964" s="18"/>
      <c r="T964" s="18"/>
      <c r="U964" s="18"/>
      <c r="V964" s="18"/>
      <c r="W964" s="18"/>
      <c r="X964" s="18"/>
      <c r="Y964" s="18"/>
      <c r="Z964" s="18"/>
      <c r="AA964" s="18"/>
    </row>
    <row r="965" spans="1:27" s="42" customFormat="1">
      <c r="A965" s="39"/>
      <c r="B965" s="18"/>
      <c r="C965" s="18"/>
      <c r="D965" s="18"/>
      <c r="E965" s="60"/>
      <c r="F965" s="39"/>
      <c r="G965" s="39"/>
      <c r="H965" s="39"/>
      <c r="I965" s="39"/>
      <c r="J965" s="39"/>
      <c r="K965" s="389"/>
      <c r="L965" s="388"/>
      <c r="M965" s="389"/>
      <c r="N965" s="389"/>
      <c r="O965" s="389"/>
      <c r="P965" s="389"/>
      <c r="Q965" s="388"/>
      <c r="R965" s="18"/>
      <c r="S965" s="18"/>
      <c r="T965" s="18"/>
      <c r="U965" s="18"/>
      <c r="V965" s="18"/>
      <c r="W965" s="18"/>
      <c r="X965" s="18"/>
      <c r="Y965" s="18"/>
      <c r="Z965" s="18"/>
      <c r="AA965" s="18"/>
    </row>
    <row r="966" spans="1:27" s="42" customFormat="1">
      <c r="A966" s="39"/>
      <c r="B966" s="18"/>
      <c r="C966" s="18"/>
      <c r="D966" s="18"/>
      <c r="E966" s="60"/>
      <c r="F966" s="39"/>
      <c r="G966" s="39"/>
      <c r="H966" s="39"/>
      <c r="I966" s="39"/>
      <c r="J966" s="39"/>
      <c r="K966" s="389"/>
      <c r="L966" s="388"/>
      <c r="M966" s="389"/>
      <c r="N966" s="389"/>
      <c r="O966" s="389"/>
      <c r="P966" s="389"/>
      <c r="Q966" s="388"/>
      <c r="R966" s="18"/>
      <c r="S966" s="18"/>
      <c r="T966" s="18"/>
      <c r="U966" s="18"/>
      <c r="V966" s="18"/>
      <c r="W966" s="18"/>
      <c r="X966" s="18"/>
      <c r="Y966" s="18"/>
      <c r="Z966" s="18"/>
      <c r="AA966" s="18"/>
    </row>
    <row r="967" spans="1:27" s="42" customFormat="1">
      <c r="A967" s="39"/>
      <c r="B967" s="18"/>
      <c r="C967" s="18"/>
      <c r="D967" s="18"/>
      <c r="E967" s="60"/>
      <c r="F967" s="39"/>
      <c r="G967" s="39"/>
      <c r="H967" s="39"/>
      <c r="I967" s="39"/>
      <c r="J967" s="39"/>
      <c r="K967" s="389"/>
      <c r="L967" s="388"/>
      <c r="M967" s="389"/>
      <c r="N967" s="389"/>
      <c r="O967" s="389"/>
      <c r="P967" s="389"/>
      <c r="Q967" s="388"/>
      <c r="R967" s="18"/>
      <c r="S967" s="18"/>
      <c r="T967" s="18"/>
      <c r="U967" s="18"/>
      <c r="V967" s="18"/>
      <c r="W967" s="18"/>
      <c r="X967" s="18"/>
      <c r="Y967" s="18"/>
      <c r="Z967" s="18"/>
      <c r="AA967" s="18"/>
    </row>
    <row r="968" spans="1:27" s="42" customFormat="1">
      <c r="A968" s="39"/>
      <c r="B968" s="18"/>
      <c r="C968" s="18"/>
      <c r="D968" s="18"/>
      <c r="E968" s="60"/>
      <c r="F968" s="39"/>
      <c r="G968" s="39"/>
      <c r="H968" s="39"/>
      <c r="I968" s="39"/>
      <c r="J968" s="39"/>
      <c r="K968" s="389"/>
      <c r="L968" s="388"/>
      <c r="M968" s="389"/>
      <c r="N968" s="389"/>
      <c r="O968" s="389"/>
      <c r="P968" s="389"/>
      <c r="Q968" s="388"/>
      <c r="R968" s="18"/>
      <c r="S968" s="18"/>
      <c r="T968" s="18"/>
      <c r="U968" s="18"/>
      <c r="V968" s="18"/>
      <c r="W968" s="18"/>
      <c r="X968" s="18"/>
      <c r="Y968" s="18"/>
      <c r="Z968" s="18"/>
      <c r="AA968" s="18"/>
    </row>
    <row r="969" spans="1:27" s="42" customFormat="1">
      <c r="A969" s="39"/>
      <c r="B969" s="18"/>
      <c r="C969" s="18"/>
      <c r="D969" s="18"/>
      <c r="E969" s="60"/>
      <c r="F969" s="39"/>
      <c r="G969" s="39"/>
      <c r="H969" s="39"/>
      <c r="I969" s="39"/>
      <c r="J969" s="39"/>
      <c r="K969" s="389"/>
      <c r="L969" s="388"/>
      <c r="M969" s="389"/>
      <c r="N969" s="389"/>
      <c r="O969" s="389"/>
      <c r="P969" s="389"/>
      <c r="Q969" s="388"/>
      <c r="R969" s="18"/>
      <c r="S969" s="18"/>
      <c r="T969" s="18"/>
      <c r="U969" s="18"/>
      <c r="V969" s="18"/>
      <c r="W969" s="18"/>
      <c r="X969" s="18"/>
      <c r="Y969" s="18"/>
      <c r="Z969" s="18"/>
      <c r="AA969" s="18"/>
    </row>
    <row r="970" spans="1:27" s="42" customFormat="1">
      <c r="A970" s="39"/>
      <c r="B970" s="18"/>
      <c r="C970" s="18"/>
      <c r="D970" s="39"/>
      <c r="E970" s="60"/>
      <c r="F970" s="39"/>
      <c r="G970" s="39"/>
      <c r="H970" s="39"/>
      <c r="I970" s="39"/>
      <c r="J970" s="39"/>
      <c r="K970" s="389"/>
      <c r="L970" s="388"/>
      <c r="M970" s="389"/>
      <c r="N970" s="389"/>
      <c r="O970" s="389"/>
      <c r="P970" s="389"/>
      <c r="Q970" s="388"/>
      <c r="R970" s="18"/>
      <c r="S970" s="18"/>
      <c r="T970" s="18"/>
      <c r="U970" s="18"/>
      <c r="V970" s="18"/>
      <c r="W970" s="18"/>
      <c r="X970" s="18"/>
      <c r="Y970" s="18"/>
      <c r="Z970" s="18"/>
      <c r="AA970" s="18"/>
    </row>
    <row r="971" spans="1:27" s="42" customFormat="1">
      <c r="A971" s="39"/>
      <c r="B971" s="18"/>
      <c r="C971" s="18"/>
      <c r="D971" s="39"/>
      <c r="E971" s="60"/>
      <c r="F971" s="39"/>
      <c r="G971" s="39"/>
      <c r="H971" s="39"/>
      <c r="I971" s="39"/>
      <c r="J971" s="39"/>
      <c r="K971" s="389"/>
      <c r="L971" s="388"/>
      <c r="M971" s="389"/>
      <c r="N971" s="389"/>
      <c r="O971" s="389"/>
      <c r="P971" s="389"/>
      <c r="Q971" s="388"/>
      <c r="R971" s="18"/>
      <c r="S971" s="18"/>
      <c r="T971" s="18"/>
      <c r="U971" s="18"/>
      <c r="V971" s="18"/>
      <c r="W971" s="18"/>
      <c r="X971" s="18"/>
      <c r="Y971" s="18"/>
      <c r="Z971" s="18"/>
      <c r="AA971" s="18"/>
    </row>
    <row r="972" spans="1:27" s="42" customFormat="1">
      <c r="A972" s="39"/>
      <c r="B972" s="18"/>
      <c r="C972" s="18"/>
      <c r="D972" s="39"/>
      <c r="E972" s="60"/>
      <c r="F972" s="39"/>
      <c r="G972" s="39"/>
      <c r="H972" s="39"/>
      <c r="I972" s="39"/>
      <c r="J972" s="39"/>
      <c r="K972" s="390"/>
      <c r="L972" s="388"/>
      <c r="M972" s="389"/>
      <c r="N972" s="389"/>
      <c r="O972" s="389"/>
      <c r="P972" s="389"/>
      <c r="Q972" s="388"/>
      <c r="R972" s="18"/>
      <c r="S972" s="18"/>
      <c r="T972" s="18"/>
      <c r="U972" s="18"/>
      <c r="V972" s="18"/>
      <c r="W972" s="18"/>
      <c r="X972" s="18"/>
      <c r="Y972" s="18"/>
      <c r="Z972" s="18"/>
      <c r="AA972" s="18"/>
    </row>
    <row r="973" spans="1:27" s="42" customFormat="1">
      <c r="A973" s="39"/>
      <c r="B973" s="18"/>
      <c r="C973" s="18"/>
      <c r="D973" s="39"/>
      <c r="E973" s="60"/>
      <c r="F973" s="39"/>
      <c r="G973" s="39"/>
      <c r="H973" s="39"/>
      <c r="I973" s="39"/>
      <c r="J973" s="39"/>
      <c r="K973" s="390"/>
      <c r="L973" s="388"/>
      <c r="M973" s="389"/>
      <c r="N973" s="389"/>
      <c r="O973" s="389"/>
      <c r="P973" s="389"/>
      <c r="Q973" s="388"/>
      <c r="R973" s="18"/>
      <c r="S973" s="18"/>
      <c r="T973" s="18"/>
      <c r="U973" s="18"/>
      <c r="V973" s="18"/>
      <c r="W973" s="18"/>
      <c r="X973" s="18"/>
      <c r="Y973" s="18"/>
      <c r="Z973" s="18"/>
      <c r="AA973" s="18"/>
    </row>
    <row r="974" spans="1:27" s="42" customFormat="1">
      <c r="A974" s="39"/>
      <c r="B974" s="18"/>
      <c r="C974" s="18"/>
      <c r="D974" s="39"/>
      <c r="E974" s="60"/>
      <c r="F974" s="39"/>
      <c r="G974" s="39"/>
      <c r="H974" s="39"/>
      <c r="I974" s="39"/>
      <c r="J974" s="39"/>
      <c r="K974" s="390"/>
      <c r="L974" s="388"/>
      <c r="M974" s="389"/>
      <c r="N974" s="389"/>
      <c r="O974" s="389"/>
      <c r="P974" s="389"/>
      <c r="Q974" s="388"/>
      <c r="R974" s="18"/>
      <c r="S974" s="18"/>
      <c r="T974" s="18"/>
      <c r="U974" s="18"/>
      <c r="V974" s="18"/>
      <c r="W974" s="18"/>
      <c r="X974" s="18"/>
      <c r="Y974" s="18"/>
      <c r="Z974" s="18"/>
      <c r="AA974" s="1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Q1520"/>
  <sheetViews>
    <sheetView workbookViewId="0">
      <selection activeCell="G9" sqref="G9"/>
    </sheetView>
  </sheetViews>
  <sheetFormatPr defaultRowHeight="15"/>
  <cols>
    <col min="1" max="1" width="6.375" style="457" customWidth="1"/>
    <col min="2" max="2" width="24.75" style="456" customWidth="1"/>
    <col min="3" max="3" width="8" style="456" customWidth="1"/>
    <col min="4" max="4" width="10.5" style="456" customWidth="1"/>
    <col min="5" max="5" width="30.5" style="456" customWidth="1"/>
    <col min="6" max="6" width="17.375" style="457" customWidth="1"/>
    <col min="7" max="7" width="14" style="457" customWidth="1"/>
    <col min="8" max="8" width="32.375" style="457" customWidth="1"/>
    <col min="9" max="9" width="8" style="457" customWidth="1"/>
    <col min="10" max="10" width="25.25" style="457" customWidth="1"/>
    <col min="11" max="11" width="12.625" style="458" customWidth="1"/>
    <col min="12" max="12" width="12.625" style="459" customWidth="1"/>
    <col min="13" max="13" width="12.375" style="458" customWidth="1"/>
    <col min="14" max="14" width="9.875" style="458" customWidth="1"/>
    <col min="15" max="15" width="11.625" style="458" customWidth="1"/>
    <col min="16" max="17" width="9.375" style="458" customWidth="1"/>
    <col min="18" max="18" width="8" style="456" customWidth="1"/>
    <col min="19" max="16384" width="9" style="456"/>
  </cols>
  <sheetData>
    <row r="1" spans="1:17" s="32" customFormat="1" ht="15.75">
      <c r="A1" s="712" t="s">
        <v>0</v>
      </c>
      <c r="B1" s="712"/>
      <c r="C1" s="712"/>
      <c r="D1" s="712"/>
      <c r="F1" s="112"/>
      <c r="G1" s="391" t="s">
        <v>2</v>
      </c>
      <c r="H1" s="391"/>
      <c r="I1" s="391"/>
      <c r="J1" s="534"/>
      <c r="K1" s="392"/>
      <c r="L1" s="393"/>
      <c r="M1" s="392"/>
      <c r="N1" s="394"/>
      <c r="O1" s="394"/>
      <c r="P1" s="394"/>
      <c r="Q1" s="394"/>
    </row>
    <row r="2" spans="1:17" s="32" customFormat="1" ht="15.75">
      <c r="A2" s="713" t="s">
        <v>1</v>
      </c>
      <c r="B2" s="713"/>
      <c r="C2" s="713"/>
      <c r="D2" s="713"/>
      <c r="F2" s="112"/>
      <c r="G2" s="391" t="s">
        <v>9040</v>
      </c>
      <c r="H2" s="391"/>
      <c r="I2" s="391"/>
      <c r="J2" s="534"/>
      <c r="K2" s="392"/>
      <c r="L2" s="393"/>
      <c r="M2" s="392"/>
      <c r="N2" s="394"/>
      <c r="O2" s="394"/>
      <c r="P2" s="394"/>
      <c r="Q2" s="394"/>
    </row>
    <row r="3" spans="1:17" s="32" customFormat="1" ht="15.75">
      <c r="A3" s="395"/>
      <c r="B3" s="395"/>
      <c r="C3" s="395"/>
      <c r="D3" s="395"/>
      <c r="F3" s="112"/>
      <c r="G3" s="391"/>
      <c r="H3" s="391"/>
      <c r="I3" s="391"/>
      <c r="J3" s="534"/>
      <c r="K3" s="392"/>
      <c r="L3" s="393"/>
      <c r="M3" s="392"/>
      <c r="N3" s="394"/>
      <c r="O3" s="394"/>
      <c r="P3" s="394"/>
      <c r="Q3" s="394"/>
    </row>
    <row r="4" spans="1:17" s="32" customFormat="1" ht="15.75">
      <c r="A4" s="120"/>
      <c r="B4" s="120"/>
      <c r="C4" s="396"/>
      <c r="E4" s="396"/>
      <c r="F4" s="112"/>
      <c r="G4" s="534"/>
      <c r="H4" s="534"/>
      <c r="I4" s="534"/>
      <c r="J4" s="397" t="s">
        <v>9041</v>
      </c>
      <c r="K4" s="392"/>
      <c r="L4" s="393"/>
      <c r="M4" s="392"/>
      <c r="N4" s="394"/>
      <c r="O4" s="394"/>
      <c r="P4" s="394"/>
      <c r="Q4" s="394"/>
    </row>
    <row r="5" spans="1:17" s="32" customFormat="1" ht="18.75">
      <c r="A5" s="398" t="s">
        <v>9042</v>
      </c>
      <c r="B5" s="28"/>
      <c r="C5" s="28"/>
      <c r="D5" s="28"/>
      <c r="E5" s="28"/>
      <c r="F5" s="31"/>
      <c r="G5" s="29"/>
      <c r="H5" s="29"/>
      <c r="I5" s="29"/>
      <c r="J5" s="29"/>
      <c r="K5" s="399"/>
      <c r="L5" s="400"/>
      <c r="M5" s="399"/>
      <c r="N5" s="401"/>
      <c r="O5" s="394"/>
      <c r="P5" s="394"/>
      <c r="Q5" s="394"/>
    </row>
    <row r="6" spans="1:17" s="32" customFormat="1" ht="15.75">
      <c r="A6" s="534"/>
      <c r="F6" s="534"/>
      <c r="G6" s="534"/>
      <c r="H6" s="534"/>
      <c r="I6" s="534"/>
      <c r="J6" s="534"/>
      <c r="K6" s="394"/>
      <c r="L6" s="402"/>
      <c r="M6" s="394"/>
      <c r="N6" s="394"/>
      <c r="O6" s="394"/>
      <c r="P6" s="394"/>
      <c r="Q6" s="394"/>
    </row>
    <row r="7" spans="1:17" s="535" customFormat="1" ht="67.5" customHeight="1">
      <c r="A7" s="403" t="s">
        <v>2628</v>
      </c>
      <c r="B7" s="403" t="s">
        <v>214</v>
      </c>
      <c r="C7" s="403" t="s">
        <v>2629</v>
      </c>
      <c r="D7" s="403" t="s">
        <v>2630</v>
      </c>
      <c r="E7" s="403" t="s">
        <v>2631</v>
      </c>
      <c r="F7" s="403" t="s">
        <v>2632</v>
      </c>
      <c r="G7" s="403" t="s">
        <v>2633</v>
      </c>
      <c r="H7" s="403" t="s">
        <v>2634</v>
      </c>
      <c r="I7" s="403" t="s">
        <v>2635</v>
      </c>
      <c r="J7" s="403" t="s">
        <v>2636</v>
      </c>
      <c r="K7" s="404" t="s">
        <v>2637</v>
      </c>
      <c r="L7" s="405" t="s">
        <v>2638</v>
      </c>
      <c r="M7" s="404" t="s">
        <v>2639</v>
      </c>
      <c r="N7" s="404" t="s">
        <v>2640</v>
      </c>
      <c r="O7" s="404" t="s">
        <v>2641</v>
      </c>
      <c r="P7" s="404" t="s">
        <v>2642</v>
      </c>
      <c r="Q7" s="404" t="s">
        <v>2643</v>
      </c>
    </row>
    <row r="8" spans="1:17" s="32" customFormat="1" ht="19.5" customHeight="1">
      <c r="A8" s="406">
        <v>1</v>
      </c>
      <c r="B8" s="407" t="s">
        <v>9043</v>
      </c>
      <c r="C8" s="408"/>
      <c r="D8" s="408"/>
      <c r="E8" s="408" t="s">
        <v>9044</v>
      </c>
      <c r="F8" s="406" t="s">
        <v>9045</v>
      </c>
      <c r="G8" s="406" t="s">
        <v>6694</v>
      </c>
      <c r="H8" s="406" t="s">
        <v>9046</v>
      </c>
      <c r="I8" s="406" t="s">
        <v>11</v>
      </c>
      <c r="J8" s="406" t="s">
        <v>842</v>
      </c>
      <c r="K8" s="409">
        <v>567</v>
      </c>
      <c r="L8" s="410">
        <v>702</v>
      </c>
      <c r="M8" s="409"/>
      <c r="N8" s="409"/>
      <c r="O8" s="409"/>
      <c r="P8" s="409"/>
      <c r="Q8" s="409"/>
    </row>
    <row r="9" spans="1:17" s="32" customFormat="1" ht="19.5" customHeight="1">
      <c r="A9" s="411">
        <v>2</v>
      </c>
      <c r="B9" s="412" t="s">
        <v>9047</v>
      </c>
      <c r="C9" s="413"/>
      <c r="D9" s="413"/>
      <c r="E9" s="413" t="s">
        <v>9048</v>
      </c>
      <c r="F9" s="411" t="s">
        <v>9049</v>
      </c>
      <c r="G9" s="411" t="s">
        <v>213</v>
      </c>
      <c r="H9" s="411" t="s">
        <v>299</v>
      </c>
      <c r="I9" s="411" t="s">
        <v>13</v>
      </c>
      <c r="J9" s="411" t="s">
        <v>2919</v>
      </c>
      <c r="K9" s="414">
        <v>777</v>
      </c>
      <c r="L9" s="415">
        <v>0</v>
      </c>
      <c r="M9" s="414"/>
      <c r="N9" s="414"/>
      <c r="O9" s="414"/>
      <c r="P9" s="414"/>
      <c r="Q9" s="414"/>
    </row>
    <row r="10" spans="1:17" s="32" customFormat="1" ht="19.5" customHeight="1">
      <c r="A10" s="411">
        <v>3</v>
      </c>
      <c r="B10" s="412" t="s">
        <v>9050</v>
      </c>
      <c r="C10" s="413"/>
      <c r="D10" s="413"/>
      <c r="E10" s="413" t="s">
        <v>9051</v>
      </c>
      <c r="F10" s="411" t="s">
        <v>9052</v>
      </c>
      <c r="G10" s="411" t="s">
        <v>213</v>
      </c>
      <c r="H10" s="411" t="s">
        <v>899</v>
      </c>
      <c r="I10" s="411" t="s">
        <v>12</v>
      </c>
      <c r="J10" s="411" t="s">
        <v>9053</v>
      </c>
      <c r="K10" s="414">
        <v>882</v>
      </c>
      <c r="L10" s="415">
        <v>0</v>
      </c>
      <c r="M10" s="414"/>
      <c r="N10" s="414"/>
      <c r="O10" s="414"/>
      <c r="P10" s="414"/>
      <c r="Q10" s="414"/>
    </row>
    <row r="11" spans="1:17" s="32" customFormat="1" ht="19.5" customHeight="1">
      <c r="A11" s="411">
        <v>4</v>
      </c>
      <c r="B11" s="412" t="s">
        <v>9050</v>
      </c>
      <c r="C11" s="413"/>
      <c r="D11" s="413"/>
      <c r="E11" s="413" t="s">
        <v>9054</v>
      </c>
      <c r="F11" s="411" t="s">
        <v>9055</v>
      </c>
      <c r="G11" s="411" t="s">
        <v>213</v>
      </c>
      <c r="H11" s="411" t="s">
        <v>1583</v>
      </c>
      <c r="I11" s="411" t="s">
        <v>12</v>
      </c>
      <c r="J11" s="411" t="s">
        <v>9053</v>
      </c>
      <c r="K11" s="414">
        <v>840</v>
      </c>
      <c r="L11" s="415">
        <v>0</v>
      </c>
      <c r="M11" s="414"/>
      <c r="N11" s="414"/>
      <c r="O11" s="414"/>
      <c r="P11" s="414"/>
      <c r="Q11" s="414"/>
    </row>
    <row r="12" spans="1:17" s="32" customFormat="1" ht="19.5" customHeight="1">
      <c r="A12" s="411">
        <v>5</v>
      </c>
      <c r="B12" s="412" t="s">
        <v>9047</v>
      </c>
      <c r="C12" s="413"/>
      <c r="D12" s="413"/>
      <c r="E12" s="413" t="s">
        <v>9056</v>
      </c>
      <c r="F12" s="411" t="s">
        <v>9057</v>
      </c>
      <c r="G12" s="411" t="s">
        <v>213</v>
      </c>
      <c r="H12" s="411" t="s">
        <v>258</v>
      </c>
      <c r="I12" s="411" t="s">
        <v>13</v>
      </c>
      <c r="J12" s="411" t="s">
        <v>2919</v>
      </c>
      <c r="K12" s="414">
        <v>840</v>
      </c>
      <c r="L12" s="415">
        <v>0</v>
      </c>
      <c r="M12" s="414"/>
      <c r="N12" s="414"/>
      <c r="O12" s="414"/>
      <c r="P12" s="414"/>
      <c r="Q12" s="414"/>
    </row>
    <row r="13" spans="1:17" s="32" customFormat="1" ht="19.5" customHeight="1">
      <c r="A13" s="411">
        <v>6</v>
      </c>
      <c r="B13" s="412" t="s">
        <v>9058</v>
      </c>
      <c r="C13" s="416"/>
      <c r="D13" s="416"/>
      <c r="E13" s="412" t="s">
        <v>9059</v>
      </c>
      <c r="F13" s="417" t="s">
        <v>835</v>
      </c>
      <c r="G13" s="417" t="s">
        <v>6694</v>
      </c>
      <c r="H13" s="417" t="s">
        <v>833</v>
      </c>
      <c r="I13" s="417" t="s">
        <v>13</v>
      </c>
      <c r="J13" s="417" t="s">
        <v>9060</v>
      </c>
      <c r="K13" s="418">
        <v>580</v>
      </c>
      <c r="L13" s="419">
        <v>3252</v>
      </c>
      <c r="M13" s="418"/>
      <c r="N13" s="414"/>
      <c r="O13" s="414"/>
      <c r="P13" s="418"/>
      <c r="Q13" s="418"/>
    </row>
    <row r="14" spans="1:17" s="32" customFormat="1" ht="19.5" customHeight="1">
      <c r="A14" s="411">
        <v>7</v>
      </c>
      <c r="B14" s="412" t="s">
        <v>9058</v>
      </c>
      <c r="C14" s="413"/>
      <c r="D14" s="413"/>
      <c r="E14" s="413" t="s">
        <v>9061</v>
      </c>
      <c r="F14" s="411" t="s">
        <v>9062</v>
      </c>
      <c r="G14" s="411" t="s">
        <v>213</v>
      </c>
      <c r="H14" s="411" t="s">
        <v>398</v>
      </c>
      <c r="I14" s="411" t="s">
        <v>16</v>
      </c>
      <c r="J14" s="411" t="s">
        <v>9063</v>
      </c>
      <c r="K14" s="414">
        <v>170</v>
      </c>
      <c r="L14" s="415">
        <v>0</v>
      </c>
      <c r="M14" s="414"/>
      <c r="N14" s="414"/>
      <c r="O14" s="414"/>
      <c r="P14" s="414"/>
      <c r="Q14" s="414"/>
    </row>
    <row r="15" spans="1:17" s="32" customFormat="1" ht="19.5" customHeight="1">
      <c r="A15" s="411">
        <v>8</v>
      </c>
      <c r="B15" s="412" t="s">
        <v>9047</v>
      </c>
      <c r="C15" s="413"/>
      <c r="D15" s="413"/>
      <c r="E15" s="413" t="s">
        <v>9064</v>
      </c>
      <c r="F15" s="411" t="s">
        <v>9065</v>
      </c>
      <c r="G15" s="411" t="s">
        <v>213</v>
      </c>
      <c r="H15" s="411" t="s">
        <v>299</v>
      </c>
      <c r="I15" s="411" t="s">
        <v>11</v>
      </c>
      <c r="J15" s="411" t="s">
        <v>9063</v>
      </c>
      <c r="K15" s="414">
        <v>290</v>
      </c>
      <c r="L15" s="415">
        <v>0</v>
      </c>
      <c r="M15" s="414"/>
      <c r="N15" s="414"/>
      <c r="O15" s="414"/>
      <c r="P15" s="414"/>
      <c r="Q15" s="414"/>
    </row>
    <row r="16" spans="1:17" s="32" customFormat="1" ht="19.5" customHeight="1">
      <c r="A16" s="411">
        <v>9</v>
      </c>
      <c r="B16" s="412" t="s">
        <v>1307</v>
      </c>
      <c r="C16" s="413"/>
      <c r="D16" s="413"/>
      <c r="E16" s="413" t="s">
        <v>9066</v>
      </c>
      <c r="F16" s="411" t="s">
        <v>9067</v>
      </c>
      <c r="G16" s="411" t="s">
        <v>213</v>
      </c>
      <c r="H16" s="411" t="s">
        <v>327</v>
      </c>
      <c r="I16" s="411" t="s">
        <v>11</v>
      </c>
      <c r="J16" s="411" t="s">
        <v>9063</v>
      </c>
      <c r="K16" s="414">
        <v>120</v>
      </c>
      <c r="L16" s="415">
        <v>0</v>
      </c>
      <c r="M16" s="414"/>
      <c r="N16" s="414"/>
      <c r="O16" s="414"/>
      <c r="P16" s="414"/>
      <c r="Q16" s="414"/>
    </row>
    <row r="17" spans="1:17" s="32" customFormat="1" ht="19.5" customHeight="1">
      <c r="A17" s="411">
        <v>10</v>
      </c>
      <c r="B17" s="413" t="s">
        <v>639</v>
      </c>
      <c r="C17" s="413"/>
      <c r="D17" s="413"/>
      <c r="E17" s="413" t="s">
        <v>1446</v>
      </c>
      <c r="F17" s="411" t="s">
        <v>2648</v>
      </c>
      <c r="G17" s="411" t="s">
        <v>213</v>
      </c>
      <c r="H17" s="411" t="s">
        <v>299</v>
      </c>
      <c r="I17" s="411" t="s">
        <v>11</v>
      </c>
      <c r="J17" s="411" t="s">
        <v>842</v>
      </c>
      <c r="K17" s="414">
        <v>374</v>
      </c>
      <c r="L17" s="415">
        <v>0</v>
      </c>
      <c r="M17" s="414"/>
      <c r="N17" s="414"/>
      <c r="O17" s="414"/>
      <c r="P17" s="414"/>
      <c r="Q17" s="414"/>
    </row>
    <row r="18" spans="1:17" s="32" customFormat="1" ht="19.5" customHeight="1">
      <c r="A18" s="411">
        <v>11</v>
      </c>
      <c r="B18" s="413" t="s">
        <v>639</v>
      </c>
      <c r="C18" s="413"/>
      <c r="D18" s="413"/>
      <c r="E18" s="413" t="s">
        <v>3530</v>
      </c>
      <c r="F18" s="411" t="s">
        <v>643</v>
      </c>
      <c r="G18" s="411" t="s">
        <v>213</v>
      </c>
      <c r="H18" s="411" t="s">
        <v>641</v>
      </c>
      <c r="I18" s="411" t="s">
        <v>11</v>
      </c>
      <c r="J18" s="411" t="s">
        <v>842</v>
      </c>
      <c r="K18" s="414">
        <v>1099</v>
      </c>
      <c r="L18" s="415">
        <v>0</v>
      </c>
      <c r="M18" s="414"/>
      <c r="N18" s="414"/>
      <c r="O18" s="414"/>
      <c r="P18" s="414"/>
      <c r="Q18" s="414"/>
    </row>
    <row r="19" spans="1:17" s="32" customFormat="1" ht="19.5" customHeight="1">
      <c r="A19" s="411">
        <v>12</v>
      </c>
      <c r="B19" s="412" t="s">
        <v>9068</v>
      </c>
      <c r="C19" s="413"/>
      <c r="D19" s="413"/>
      <c r="E19" s="413" t="s">
        <v>2434</v>
      </c>
      <c r="F19" s="411" t="s">
        <v>2649</v>
      </c>
      <c r="G19" s="411" t="s">
        <v>6694</v>
      </c>
      <c r="H19" s="411" t="s">
        <v>9069</v>
      </c>
      <c r="I19" s="411" t="s">
        <v>9070</v>
      </c>
      <c r="J19" s="411" t="s">
        <v>9071</v>
      </c>
      <c r="K19" s="414">
        <v>6460</v>
      </c>
      <c r="L19" s="415">
        <v>17</v>
      </c>
      <c r="M19" s="414"/>
      <c r="N19" s="414"/>
      <c r="O19" s="414"/>
      <c r="P19" s="414"/>
      <c r="Q19" s="414"/>
    </row>
    <row r="20" spans="1:17" s="32" customFormat="1" ht="19.5" customHeight="1">
      <c r="A20" s="411">
        <v>13</v>
      </c>
      <c r="B20" s="413" t="s">
        <v>639</v>
      </c>
      <c r="C20" s="413"/>
      <c r="D20" s="413"/>
      <c r="E20" s="413" t="s">
        <v>9072</v>
      </c>
      <c r="F20" s="411" t="s">
        <v>2649</v>
      </c>
      <c r="G20" s="411" t="s">
        <v>213</v>
      </c>
      <c r="H20" s="411" t="s">
        <v>2435</v>
      </c>
      <c r="I20" s="411" t="s">
        <v>9070</v>
      </c>
      <c r="J20" s="411" t="s">
        <v>9071</v>
      </c>
      <c r="K20" s="414">
        <v>5789</v>
      </c>
      <c r="L20" s="415">
        <v>0</v>
      </c>
      <c r="M20" s="414"/>
      <c r="N20" s="414"/>
      <c r="O20" s="414"/>
      <c r="P20" s="414"/>
      <c r="Q20" s="414"/>
    </row>
    <row r="21" spans="1:17" s="32" customFormat="1" ht="19.5" customHeight="1">
      <c r="A21" s="411">
        <v>14</v>
      </c>
      <c r="B21" s="412" t="s">
        <v>9073</v>
      </c>
      <c r="C21" s="413"/>
      <c r="D21" s="413"/>
      <c r="E21" s="413" t="s">
        <v>1410</v>
      </c>
      <c r="F21" s="411" t="s">
        <v>9074</v>
      </c>
      <c r="G21" s="411" t="s">
        <v>9075</v>
      </c>
      <c r="H21" s="411" t="s">
        <v>267</v>
      </c>
      <c r="I21" s="411" t="s">
        <v>11</v>
      </c>
      <c r="J21" s="411" t="s">
        <v>842</v>
      </c>
      <c r="K21" s="414">
        <v>8180</v>
      </c>
      <c r="L21" s="415">
        <v>0</v>
      </c>
      <c r="M21" s="414"/>
      <c r="N21" s="414"/>
      <c r="O21" s="414"/>
      <c r="P21" s="414"/>
      <c r="Q21" s="414"/>
    </row>
    <row r="22" spans="1:17" s="32" customFormat="1" ht="19.5" customHeight="1">
      <c r="A22" s="411">
        <v>15</v>
      </c>
      <c r="B22" s="420" t="s">
        <v>9073</v>
      </c>
      <c r="C22" s="421"/>
      <c r="D22" s="421"/>
      <c r="E22" s="412" t="s">
        <v>1413</v>
      </c>
      <c r="F22" s="417" t="s">
        <v>9076</v>
      </c>
      <c r="G22" s="417" t="s">
        <v>9075</v>
      </c>
      <c r="H22" s="417" t="s">
        <v>229</v>
      </c>
      <c r="I22" s="417" t="s">
        <v>11</v>
      </c>
      <c r="J22" s="417" t="s">
        <v>842</v>
      </c>
      <c r="K22" s="418">
        <v>11280</v>
      </c>
      <c r="L22" s="419">
        <v>0</v>
      </c>
      <c r="M22" s="418"/>
      <c r="N22" s="414"/>
      <c r="O22" s="414"/>
      <c r="P22" s="418"/>
      <c r="Q22" s="418"/>
    </row>
    <row r="23" spans="1:17" s="32" customFormat="1" ht="19.5" customHeight="1">
      <c r="A23" s="411">
        <v>16</v>
      </c>
      <c r="B23" s="412" t="s">
        <v>9077</v>
      </c>
      <c r="C23" s="413"/>
      <c r="D23" s="413"/>
      <c r="E23" s="413" t="s">
        <v>9078</v>
      </c>
      <c r="F23" s="411" t="s">
        <v>9079</v>
      </c>
      <c r="G23" s="411" t="s">
        <v>5116</v>
      </c>
      <c r="H23" s="411" t="s">
        <v>533</v>
      </c>
      <c r="I23" s="411" t="s">
        <v>520</v>
      </c>
      <c r="J23" s="411" t="s">
        <v>241</v>
      </c>
      <c r="K23" s="414">
        <v>33000</v>
      </c>
      <c r="L23" s="415">
        <v>15</v>
      </c>
      <c r="M23" s="414"/>
      <c r="N23" s="414"/>
      <c r="O23" s="414"/>
      <c r="P23" s="414"/>
      <c r="Q23" s="414"/>
    </row>
    <row r="24" spans="1:17" s="32" customFormat="1" ht="19.5" customHeight="1">
      <c r="A24" s="411">
        <v>17</v>
      </c>
      <c r="B24" s="412" t="s">
        <v>9068</v>
      </c>
      <c r="C24" s="413"/>
      <c r="D24" s="413"/>
      <c r="E24" s="413" t="s">
        <v>9080</v>
      </c>
      <c r="F24" s="411" t="s">
        <v>9081</v>
      </c>
      <c r="G24" s="411" t="s">
        <v>213</v>
      </c>
      <c r="H24" s="411" t="s">
        <v>299</v>
      </c>
      <c r="I24" s="411" t="s">
        <v>11</v>
      </c>
      <c r="J24" s="411" t="s">
        <v>9063</v>
      </c>
      <c r="K24" s="414">
        <v>799</v>
      </c>
      <c r="L24" s="415">
        <v>0</v>
      </c>
      <c r="M24" s="414"/>
      <c r="N24" s="414"/>
      <c r="O24" s="414"/>
      <c r="P24" s="414"/>
      <c r="Q24" s="414"/>
    </row>
    <row r="25" spans="1:17" s="32" customFormat="1" ht="19.5" customHeight="1">
      <c r="A25" s="411"/>
      <c r="B25" s="412"/>
      <c r="C25" s="413"/>
      <c r="D25" s="413"/>
      <c r="E25" s="413" t="s">
        <v>9082</v>
      </c>
      <c r="F25" s="422" t="s">
        <v>9083</v>
      </c>
      <c r="G25" s="411" t="s">
        <v>213</v>
      </c>
      <c r="H25" s="411" t="s">
        <v>641</v>
      </c>
      <c r="I25" s="411" t="s">
        <v>10</v>
      </c>
      <c r="J25" s="411" t="s">
        <v>9063</v>
      </c>
      <c r="K25" s="414">
        <v>1080</v>
      </c>
      <c r="L25" s="415">
        <v>105</v>
      </c>
      <c r="M25" s="414"/>
      <c r="N25" s="414"/>
      <c r="O25" s="414"/>
      <c r="P25" s="414"/>
      <c r="Q25" s="414"/>
    </row>
    <row r="26" spans="1:17" s="32" customFormat="1" ht="19.5" customHeight="1">
      <c r="A26" s="411">
        <v>18</v>
      </c>
      <c r="B26" s="412" t="s">
        <v>9084</v>
      </c>
      <c r="C26" s="416"/>
      <c r="D26" s="416"/>
      <c r="E26" s="412" t="s">
        <v>9085</v>
      </c>
      <c r="F26" s="417" t="s">
        <v>9086</v>
      </c>
      <c r="G26" s="417" t="s">
        <v>6694</v>
      </c>
      <c r="H26" s="417" t="s">
        <v>299</v>
      </c>
      <c r="I26" s="417" t="s">
        <v>11</v>
      </c>
      <c r="J26" s="417" t="s">
        <v>842</v>
      </c>
      <c r="K26" s="418">
        <v>435</v>
      </c>
      <c r="L26" s="419">
        <v>0</v>
      </c>
      <c r="M26" s="418"/>
      <c r="N26" s="414"/>
      <c r="O26" s="414"/>
      <c r="P26" s="418"/>
      <c r="Q26" s="418"/>
    </row>
    <row r="27" spans="1:17" s="32" customFormat="1" ht="19.5" customHeight="1">
      <c r="A27" s="411">
        <v>19</v>
      </c>
      <c r="B27" s="412" t="s">
        <v>9087</v>
      </c>
      <c r="C27" s="416"/>
      <c r="D27" s="416"/>
      <c r="E27" s="412" t="s">
        <v>9088</v>
      </c>
      <c r="F27" s="417" t="s">
        <v>319</v>
      </c>
      <c r="G27" s="417" t="s">
        <v>5105</v>
      </c>
      <c r="H27" s="417" t="s">
        <v>238</v>
      </c>
      <c r="I27" s="417" t="s">
        <v>10</v>
      </c>
      <c r="J27" s="417" t="s">
        <v>1675</v>
      </c>
      <c r="K27" s="418">
        <v>2253</v>
      </c>
      <c r="L27" s="419">
        <v>984</v>
      </c>
      <c r="M27" s="418"/>
      <c r="N27" s="414"/>
      <c r="O27" s="414"/>
      <c r="P27" s="418"/>
      <c r="Q27" s="418"/>
    </row>
    <row r="28" spans="1:17" s="32" customFormat="1" ht="19.5" customHeight="1">
      <c r="A28" s="411">
        <v>20</v>
      </c>
      <c r="B28" s="412" t="s">
        <v>9089</v>
      </c>
      <c r="C28" s="413"/>
      <c r="D28" s="413"/>
      <c r="E28" s="413" t="s">
        <v>9090</v>
      </c>
      <c r="F28" s="411" t="s">
        <v>317</v>
      </c>
      <c r="G28" s="411" t="s">
        <v>5105</v>
      </c>
      <c r="H28" s="411" t="s">
        <v>235</v>
      </c>
      <c r="I28" s="411" t="s">
        <v>10</v>
      </c>
      <c r="J28" s="411" t="s">
        <v>9091</v>
      </c>
      <c r="K28" s="414">
        <v>5950</v>
      </c>
      <c r="L28" s="415">
        <v>1500</v>
      </c>
      <c r="M28" s="414"/>
      <c r="N28" s="414"/>
      <c r="O28" s="414"/>
      <c r="P28" s="414"/>
      <c r="Q28" s="414"/>
    </row>
    <row r="29" spans="1:17" s="32" customFormat="1" ht="19.5" customHeight="1">
      <c r="A29" s="411">
        <v>21</v>
      </c>
      <c r="B29" s="412" t="s">
        <v>9089</v>
      </c>
      <c r="C29" s="416"/>
      <c r="D29" s="416"/>
      <c r="E29" s="412" t="s">
        <v>9092</v>
      </c>
      <c r="F29" s="417" t="s">
        <v>9093</v>
      </c>
      <c r="G29" s="417" t="s">
        <v>5105</v>
      </c>
      <c r="H29" s="417" t="s">
        <v>310</v>
      </c>
      <c r="I29" s="417" t="s">
        <v>10</v>
      </c>
      <c r="J29" s="411" t="s">
        <v>9091</v>
      </c>
      <c r="K29" s="418">
        <v>9454</v>
      </c>
      <c r="L29" s="419">
        <v>1206</v>
      </c>
      <c r="M29" s="418"/>
      <c r="N29" s="414"/>
      <c r="O29" s="414"/>
      <c r="P29" s="418"/>
      <c r="Q29" s="418"/>
    </row>
    <row r="30" spans="1:17" s="32" customFormat="1" ht="19.5" customHeight="1">
      <c r="A30" s="411">
        <v>22</v>
      </c>
      <c r="B30" s="413" t="s">
        <v>332</v>
      </c>
      <c r="C30" s="413"/>
      <c r="D30" s="413"/>
      <c r="E30" s="413" t="s">
        <v>3531</v>
      </c>
      <c r="F30" s="411" t="s">
        <v>335</v>
      </c>
      <c r="G30" s="411" t="s">
        <v>213</v>
      </c>
      <c r="H30" s="411" t="s">
        <v>334</v>
      </c>
      <c r="I30" s="411" t="s">
        <v>11</v>
      </c>
      <c r="J30" s="411" t="s">
        <v>815</v>
      </c>
      <c r="K30" s="414">
        <v>1575</v>
      </c>
      <c r="L30" s="415">
        <v>0</v>
      </c>
      <c r="M30" s="414"/>
      <c r="N30" s="414"/>
      <c r="O30" s="414"/>
      <c r="P30" s="414"/>
      <c r="Q30" s="414"/>
    </row>
    <row r="31" spans="1:17" s="32" customFormat="1" ht="19.5" customHeight="1">
      <c r="A31" s="411">
        <v>23</v>
      </c>
      <c r="B31" s="412" t="s">
        <v>9094</v>
      </c>
      <c r="C31" s="413"/>
      <c r="D31" s="413"/>
      <c r="E31" s="413" t="s">
        <v>2593</v>
      </c>
      <c r="F31" s="411" t="s">
        <v>9095</v>
      </c>
      <c r="G31" s="411" t="s">
        <v>6694</v>
      </c>
      <c r="H31" s="411" t="s">
        <v>733</v>
      </c>
      <c r="I31" s="411" t="s">
        <v>628</v>
      </c>
      <c r="J31" s="411" t="s">
        <v>2654</v>
      </c>
      <c r="K31" s="414">
        <v>2450</v>
      </c>
      <c r="L31" s="415">
        <v>0</v>
      </c>
      <c r="M31" s="414"/>
      <c r="N31" s="414"/>
      <c r="O31" s="414"/>
      <c r="P31" s="414"/>
      <c r="Q31" s="414"/>
    </row>
    <row r="32" spans="1:17" s="32" customFormat="1" ht="19.5" customHeight="1">
      <c r="A32" s="411">
        <v>24</v>
      </c>
      <c r="B32" s="412" t="s">
        <v>9096</v>
      </c>
      <c r="C32" s="413"/>
      <c r="D32" s="413"/>
      <c r="E32" s="413" t="s">
        <v>2593</v>
      </c>
      <c r="F32" s="411" t="s">
        <v>9097</v>
      </c>
      <c r="G32" s="411" t="s">
        <v>213</v>
      </c>
      <c r="H32" s="411" t="s">
        <v>733</v>
      </c>
      <c r="I32" s="411" t="s">
        <v>520</v>
      </c>
      <c r="J32" s="411" t="s">
        <v>2654</v>
      </c>
      <c r="K32" s="414">
        <v>5880</v>
      </c>
      <c r="L32" s="415">
        <v>0</v>
      </c>
      <c r="M32" s="414"/>
      <c r="N32" s="414"/>
      <c r="O32" s="414"/>
      <c r="P32" s="414"/>
      <c r="Q32" s="414"/>
    </row>
    <row r="33" spans="1:17" s="32" customFormat="1" ht="19.5" customHeight="1">
      <c r="A33" s="411">
        <v>25</v>
      </c>
      <c r="B33" s="412" t="s">
        <v>1727</v>
      </c>
      <c r="C33" s="413"/>
      <c r="D33" s="413"/>
      <c r="E33" s="413" t="s">
        <v>1728</v>
      </c>
      <c r="F33" s="411" t="s">
        <v>9098</v>
      </c>
      <c r="G33" s="411" t="s">
        <v>213</v>
      </c>
      <c r="H33" s="411" t="s">
        <v>238</v>
      </c>
      <c r="I33" s="411" t="s">
        <v>10</v>
      </c>
      <c r="J33" s="411" t="s">
        <v>9063</v>
      </c>
      <c r="K33" s="414">
        <v>1250</v>
      </c>
      <c r="L33" s="415">
        <v>320</v>
      </c>
      <c r="M33" s="414"/>
      <c r="N33" s="414"/>
      <c r="O33" s="414"/>
      <c r="P33" s="414"/>
      <c r="Q33" s="414"/>
    </row>
    <row r="34" spans="1:17" s="32" customFormat="1" ht="19.5" customHeight="1">
      <c r="A34" s="411">
        <v>26</v>
      </c>
      <c r="B34" s="412" t="s">
        <v>9099</v>
      </c>
      <c r="C34" s="413"/>
      <c r="D34" s="413"/>
      <c r="E34" s="413" t="s">
        <v>1728</v>
      </c>
      <c r="F34" s="411" t="s">
        <v>9100</v>
      </c>
      <c r="G34" s="411" t="s">
        <v>6694</v>
      </c>
      <c r="H34" s="411" t="s">
        <v>238</v>
      </c>
      <c r="I34" s="411" t="s">
        <v>10</v>
      </c>
      <c r="J34" s="411" t="s">
        <v>3179</v>
      </c>
      <c r="K34" s="414">
        <v>1250</v>
      </c>
      <c r="L34" s="415">
        <v>0</v>
      </c>
      <c r="M34" s="414"/>
      <c r="N34" s="414"/>
      <c r="O34" s="414"/>
      <c r="P34" s="414"/>
      <c r="Q34" s="414"/>
    </row>
    <row r="35" spans="1:17" s="32" customFormat="1" ht="19.5" customHeight="1">
      <c r="A35" s="411">
        <v>27</v>
      </c>
      <c r="B35" s="412" t="s">
        <v>9047</v>
      </c>
      <c r="C35" s="413"/>
      <c r="D35" s="413"/>
      <c r="E35" s="413" t="s">
        <v>9101</v>
      </c>
      <c r="F35" s="411" t="s">
        <v>9102</v>
      </c>
      <c r="G35" s="411" t="s">
        <v>6694</v>
      </c>
      <c r="H35" s="411" t="s">
        <v>299</v>
      </c>
      <c r="I35" s="411" t="s">
        <v>11</v>
      </c>
      <c r="J35" s="411" t="s">
        <v>2204</v>
      </c>
      <c r="K35" s="414">
        <v>219</v>
      </c>
      <c r="L35" s="415">
        <v>22193</v>
      </c>
      <c r="M35" s="414"/>
      <c r="N35" s="414"/>
      <c r="O35" s="414"/>
      <c r="P35" s="414"/>
      <c r="Q35" s="414"/>
    </row>
    <row r="36" spans="1:17" s="32" customFormat="1" ht="19.5" customHeight="1">
      <c r="A36" s="411">
        <v>28</v>
      </c>
      <c r="B36" s="413" t="s">
        <v>3739</v>
      </c>
      <c r="C36" s="413"/>
      <c r="D36" s="413"/>
      <c r="E36" s="413" t="s">
        <v>1885</v>
      </c>
      <c r="F36" s="411" t="s">
        <v>9103</v>
      </c>
      <c r="G36" s="411" t="s">
        <v>6058</v>
      </c>
      <c r="H36" s="411" t="s">
        <v>235</v>
      </c>
      <c r="I36" s="411" t="s">
        <v>11</v>
      </c>
      <c r="J36" s="411" t="s">
        <v>3179</v>
      </c>
      <c r="K36" s="414">
        <v>3400</v>
      </c>
      <c r="L36" s="415">
        <v>17056</v>
      </c>
      <c r="M36" s="414"/>
      <c r="N36" s="414"/>
      <c r="O36" s="414"/>
      <c r="P36" s="414"/>
      <c r="Q36" s="414"/>
    </row>
    <row r="37" spans="1:17" s="32" customFormat="1" ht="19.5" customHeight="1">
      <c r="A37" s="411">
        <v>29</v>
      </c>
      <c r="B37" s="413" t="s">
        <v>695</v>
      </c>
      <c r="C37" s="413"/>
      <c r="D37" s="413"/>
      <c r="E37" s="413" t="s">
        <v>9104</v>
      </c>
      <c r="F37" s="411" t="s">
        <v>2656</v>
      </c>
      <c r="G37" s="411" t="s">
        <v>213</v>
      </c>
      <c r="H37" s="411" t="s">
        <v>2658</v>
      </c>
      <c r="I37" s="411" t="s">
        <v>15</v>
      </c>
      <c r="J37" s="411" t="s">
        <v>9105</v>
      </c>
      <c r="K37" s="414">
        <v>15900</v>
      </c>
      <c r="L37" s="415">
        <v>0</v>
      </c>
      <c r="M37" s="414"/>
      <c r="N37" s="414"/>
      <c r="O37" s="414"/>
      <c r="P37" s="414"/>
      <c r="Q37" s="414"/>
    </row>
    <row r="38" spans="1:17" s="32" customFormat="1" ht="19.5" customHeight="1">
      <c r="A38" s="411">
        <v>30</v>
      </c>
      <c r="B38" s="412" t="s">
        <v>9106</v>
      </c>
      <c r="C38" s="413"/>
      <c r="D38" s="413"/>
      <c r="E38" s="413" t="s">
        <v>9107</v>
      </c>
      <c r="F38" s="411" t="s">
        <v>2656</v>
      </c>
      <c r="G38" s="411" t="s">
        <v>6694</v>
      </c>
      <c r="H38" s="411" t="s">
        <v>2474</v>
      </c>
      <c r="I38" s="411" t="s">
        <v>15</v>
      </c>
      <c r="J38" s="411" t="s">
        <v>9105</v>
      </c>
      <c r="K38" s="414">
        <v>18390</v>
      </c>
      <c r="L38" s="415">
        <v>77</v>
      </c>
      <c r="M38" s="414"/>
      <c r="N38" s="414"/>
      <c r="O38" s="414"/>
      <c r="P38" s="414"/>
      <c r="Q38" s="414"/>
    </row>
    <row r="39" spans="1:17" s="32" customFormat="1" ht="19.5" customHeight="1">
      <c r="A39" s="411">
        <v>31</v>
      </c>
      <c r="B39" s="412" t="s">
        <v>3486</v>
      </c>
      <c r="C39" s="413"/>
      <c r="D39" s="413"/>
      <c r="E39" s="413" t="s">
        <v>9108</v>
      </c>
      <c r="F39" s="411" t="s">
        <v>9109</v>
      </c>
      <c r="G39" s="411" t="s">
        <v>213</v>
      </c>
      <c r="H39" s="411" t="s">
        <v>258</v>
      </c>
      <c r="I39" s="411" t="s">
        <v>11</v>
      </c>
      <c r="J39" s="411" t="s">
        <v>9110</v>
      </c>
      <c r="K39" s="414">
        <v>449</v>
      </c>
      <c r="L39" s="415">
        <v>908</v>
      </c>
      <c r="M39" s="414"/>
      <c r="N39" s="414"/>
      <c r="O39" s="414"/>
      <c r="P39" s="414"/>
      <c r="Q39" s="414"/>
    </row>
    <row r="40" spans="1:17" s="32" customFormat="1" ht="19.5" customHeight="1">
      <c r="A40" s="411">
        <v>32</v>
      </c>
      <c r="B40" s="412" t="s">
        <v>9111</v>
      </c>
      <c r="C40" s="413"/>
      <c r="D40" s="413"/>
      <c r="E40" s="413" t="s">
        <v>9112</v>
      </c>
      <c r="F40" s="411" t="s">
        <v>9113</v>
      </c>
      <c r="G40" s="411" t="s">
        <v>213</v>
      </c>
      <c r="H40" s="411" t="s">
        <v>9114</v>
      </c>
      <c r="I40" s="411" t="s">
        <v>9115</v>
      </c>
      <c r="J40" s="411" t="s">
        <v>9063</v>
      </c>
      <c r="K40" s="414">
        <v>165</v>
      </c>
      <c r="L40" s="415">
        <v>0</v>
      </c>
      <c r="M40" s="414"/>
      <c r="N40" s="414"/>
      <c r="O40" s="414"/>
      <c r="P40" s="414"/>
      <c r="Q40" s="414"/>
    </row>
    <row r="41" spans="1:17" s="32" customFormat="1" ht="19.5" customHeight="1">
      <c r="A41" s="411">
        <v>33</v>
      </c>
      <c r="B41" s="412" t="s">
        <v>9116</v>
      </c>
      <c r="C41" s="413"/>
      <c r="D41" s="413"/>
      <c r="E41" s="413" t="s">
        <v>9117</v>
      </c>
      <c r="F41" s="411" t="s">
        <v>2662</v>
      </c>
      <c r="G41" s="411" t="s">
        <v>6618</v>
      </c>
      <c r="H41" s="411" t="s">
        <v>267</v>
      </c>
      <c r="I41" s="411" t="s">
        <v>10</v>
      </c>
      <c r="J41" s="411" t="s">
        <v>9118</v>
      </c>
      <c r="K41" s="414">
        <v>798</v>
      </c>
      <c r="L41" s="415">
        <v>0</v>
      </c>
      <c r="M41" s="414"/>
      <c r="N41" s="414"/>
      <c r="O41" s="414"/>
      <c r="P41" s="414"/>
      <c r="Q41" s="414"/>
    </row>
    <row r="42" spans="1:17" s="32" customFormat="1" ht="19.5" customHeight="1">
      <c r="A42" s="411">
        <v>34</v>
      </c>
      <c r="B42" s="412" t="s">
        <v>9116</v>
      </c>
      <c r="C42" s="413"/>
      <c r="D42" s="413"/>
      <c r="E42" s="413" t="s">
        <v>9119</v>
      </c>
      <c r="F42" s="411" t="s">
        <v>2662</v>
      </c>
      <c r="G42" s="411" t="s">
        <v>6618</v>
      </c>
      <c r="H42" s="411" t="s">
        <v>229</v>
      </c>
      <c r="I42" s="411" t="s">
        <v>10</v>
      </c>
      <c r="J42" s="411" t="s">
        <v>9118</v>
      </c>
      <c r="K42" s="414">
        <v>720</v>
      </c>
      <c r="L42" s="415">
        <v>21068</v>
      </c>
      <c r="M42" s="414"/>
      <c r="N42" s="414"/>
      <c r="O42" s="414"/>
      <c r="P42" s="414"/>
      <c r="Q42" s="414"/>
    </row>
    <row r="43" spans="1:17" s="32" customFormat="1" ht="19.5" customHeight="1">
      <c r="A43" s="411">
        <v>35</v>
      </c>
      <c r="B43" s="413" t="s">
        <v>9120</v>
      </c>
      <c r="C43" s="413"/>
      <c r="D43" s="413"/>
      <c r="E43" s="413" t="s">
        <v>9121</v>
      </c>
      <c r="F43" s="411" t="s">
        <v>9122</v>
      </c>
      <c r="G43" s="411" t="s">
        <v>5551</v>
      </c>
      <c r="H43" s="411" t="s">
        <v>9123</v>
      </c>
      <c r="I43" s="411" t="s">
        <v>11</v>
      </c>
      <c r="J43" s="411" t="s">
        <v>9118</v>
      </c>
      <c r="K43" s="414">
        <v>8500</v>
      </c>
      <c r="L43" s="415">
        <v>2821</v>
      </c>
      <c r="M43" s="414"/>
      <c r="N43" s="414"/>
      <c r="O43" s="414"/>
      <c r="P43" s="414"/>
      <c r="Q43" s="414"/>
    </row>
    <row r="44" spans="1:17" s="32" customFormat="1" ht="19.5" customHeight="1">
      <c r="A44" s="411"/>
      <c r="B44" s="412"/>
      <c r="C44" s="413"/>
      <c r="D44" s="413"/>
      <c r="E44" s="413" t="s">
        <v>9124</v>
      </c>
      <c r="F44" s="423" t="s">
        <v>9125</v>
      </c>
      <c r="G44" s="411" t="s">
        <v>5605</v>
      </c>
      <c r="H44" s="411" t="s">
        <v>299</v>
      </c>
      <c r="I44" s="411" t="s">
        <v>10</v>
      </c>
      <c r="J44" s="411" t="s">
        <v>9063</v>
      </c>
      <c r="K44" s="414">
        <v>2600</v>
      </c>
      <c r="L44" s="415">
        <v>1247</v>
      </c>
      <c r="M44" s="414"/>
      <c r="N44" s="414"/>
      <c r="O44" s="414"/>
      <c r="P44" s="414"/>
      <c r="Q44" s="414"/>
    </row>
    <row r="45" spans="1:17" s="32" customFormat="1" ht="19.5" customHeight="1">
      <c r="A45" s="411"/>
      <c r="B45" s="412"/>
      <c r="C45" s="413"/>
      <c r="D45" s="413"/>
      <c r="E45" s="413" t="s">
        <v>9126</v>
      </c>
      <c r="F45" s="423" t="s">
        <v>9127</v>
      </c>
      <c r="G45" s="411" t="s">
        <v>6694</v>
      </c>
      <c r="H45" s="411" t="s">
        <v>238</v>
      </c>
      <c r="I45" s="411" t="s">
        <v>10</v>
      </c>
      <c r="J45" s="411" t="s">
        <v>9063</v>
      </c>
      <c r="K45" s="414">
        <v>630</v>
      </c>
      <c r="L45" s="415">
        <v>294</v>
      </c>
      <c r="M45" s="414"/>
      <c r="N45" s="414"/>
      <c r="O45" s="414"/>
      <c r="P45" s="414"/>
      <c r="Q45" s="414"/>
    </row>
    <row r="46" spans="1:17" s="32" customFormat="1" ht="19.5" customHeight="1">
      <c r="A46" s="411">
        <v>36</v>
      </c>
      <c r="B46" s="412" t="s">
        <v>9128</v>
      </c>
      <c r="C46" s="413"/>
      <c r="D46" s="413"/>
      <c r="E46" s="413" t="s">
        <v>3532</v>
      </c>
      <c r="F46" s="411" t="s">
        <v>9129</v>
      </c>
      <c r="G46" s="411" t="s">
        <v>6694</v>
      </c>
      <c r="H46" s="411" t="s">
        <v>262</v>
      </c>
      <c r="I46" s="411" t="s">
        <v>11</v>
      </c>
      <c r="J46" s="411" t="s">
        <v>842</v>
      </c>
      <c r="K46" s="414">
        <v>357</v>
      </c>
      <c r="L46" s="415">
        <v>491</v>
      </c>
      <c r="M46" s="414"/>
      <c r="N46" s="414"/>
      <c r="O46" s="414"/>
      <c r="P46" s="414"/>
      <c r="Q46" s="414"/>
    </row>
    <row r="47" spans="1:17" s="32" customFormat="1" ht="19.5" customHeight="1">
      <c r="A47" s="411">
        <v>37</v>
      </c>
      <c r="B47" s="420" t="s">
        <v>9128</v>
      </c>
      <c r="C47" s="421"/>
      <c r="D47" s="421"/>
      <c r="E47" s="412" t="s">
        <v>3532</v>
      </c>
      <c r="F47" s="417" t="s">
        <v>9129</v>
      </c>
      <c r="G47" s="417" t="s">
        <v>6694</v>
      </c>
      <c r="H47" s="417" t="s">
        <v>262</v>
      </c>
      <c r="I47" s="417" t="s">
        <v>11</v>
      </c>
      <c r="J47" s="417" t="s">
        <v>842</v>
      </c>
      <c r="K47" s="418">
        <v>525</v>
      </c>
      <c r="L47" s="419">
        <v>1900</v>
      </c>
      <c r="M47" s="418"/>
      <c r="N47" s="414"/>
      <c r="O47" s="414"/>
      <c r="P47" s="418"/>
      <c r="Q47" s="418"/>
    </row>
    <row r="48" spans="1:17" s="32" customFormat="1" ht="19.5" customHeight="1">
      <c r="A48" s="411">
        <v>38</v>
      </c>
      <c r="B48" s="413" t="s">
        <v>1311</v>
      </c>
      <c r="C48" s="413"/>
      <c r="D48" s="413"/>
      <c r="E48" s="413" t="s">
        <v>9130</v>
      </c>
      <c r="F48" s="411" t="s">
        <v>9131</v>
      </c>
      <c r="G48" s="411" t="s">
        <v>213</v>
      </c>
      <c r="H48" s="411" t="s">
        <v>3761</v>
      </c>
      <c r="I48" s="411" t="s">
        <v>658</v>
      </c>
      <c r="J48" s="411" t="s">
        <v>9132</v>
      </c>
      <c r="K48" s="414">
        <v>5166</v>
      </c>
      <c r="L48" s="415">
        <v>57</v>
      </c>
      <c r="M48" s="414"/>
      <c r="N48" s="414"/>
      <c r="O48" s="414"/>
      <c r="P48" s="414"/>
      <c r="Q48" s="414"/>
    </row>
    <row r="49" spans="1:17" s="32" customFormat="1" ht="19.5" customHeight="1">
      <c r="A49" s="411">
        <v>40</v>
      </c>
      <c r="B49" s="413" t="s">
        <v>1315</v>
      </c>
      <c r="C49" s="413"/>
      <c r="D49" s="413"/>
      <c r="E49" s="413" t="s">
        <v>3533</v>
      </c>
      <c r="F49" s="411" t="s">
        <v>2666</v>
      </c>
      <c r="G49" s="411" t="s">
        <v>213</v>
      </c>
      <c r="H49" s="411" t="s">
        <v>267</v>
      </c>
      <c r="I49" s="411" t="s">
        <v>11</v>
      </c>
      <c r="J49" s="411" t="s">
        <v>842</v>
      </c>
      <c r="K49" s="414">
        <v>128</v>
      </c>
      <c r="L49" s="415">
        <v>0</v>
      </c>
      <c r="M49" s="414"/>
      <c r="N49" s="414"/>
      <c r="O49" s="414"/>
      <c r="P49" s="414"/>
      <c r="Q49" s="414"/>
    </row>
    <row r="50" spans="1:17" s="32" customFormat="1" ht="19.5" customHeight="1">
      <c r="A50" s="411">
        <v>39</v>
      </c>
      <c r="B50" s="412" t="s">
        <v>4345</v>
      </c>
      <c r="C50" s="413"/>
      <c r="D50" s="413"/>
      <c r="E50" s="413" t="s">
        <v>3533</v>
      </c>
      <c r="F50" s="411" t="s">
        <v>2666</v>
      </c>
      <c r="G50" s="411" t="s">
        <v>6694</v>
      </c>
      <c r="H50" s="411" t="s">
        <v>267</v>
      </c>
      <c r="I50" s="411" t="s">
        <v>11</v>
      </c>
      <c r="J50" s="411" t="s">
        <v>842</v>
      </c>
      <c r="K50" s="414">
        <v>120</v>
      </c>
      <c r="L50" s="415">
        <v>4172</v>
      </c>
      <c r="M50" s="414"/>
      <c r="N50" s="414"/>
      <c r="O50" s="414"/>
      <c r="P50" s="414"/>
      <c r="Q50" s="414"/>
    </row>
    <row r="51" spans="1:17" s="32" customFormat="1" ht="19.5" customHeight="1">
      <c r="A51" s="411">
        <v>41</v>
      </c>
      <c r="B51" s="412" t="s">
        <v>2439</v>
      </c>
      <c r="C51" s="416"/>
      <c r="D51" s="416"/>
      <c r="E51" s="412" t="s">
        <v>9133</v>
      </c>
      <c r="F51" s="417" t="s">
        <v>9134</v>
      </c>
      <c r="G51" s="417" t="s">
        <v>5105</v>
      </c>
      <c r="H51" s="417" t="s">
        <v>2440</v>
      </c>
      <c r="I51" s="417" t="s">
        <v>18</v>
      </c>
      <c r="J51" s="411" t="s">
        <v>9135</v>
      </c>
      <c r="K51" s="418">
        <v>67000</v>
      </c>
      <c r="L51" s="419">
        <v>11</v>
      </c>
      <c r="M51" s="418"/>
      <c r="N51" s="414"/>
      <c r="O51" s="414"/>
      <c r="P51" s="418"/>
      <c r="Q51" s="418"/>
    </row>
    <row r="52" spans="1:17" s="32" customFormat="1" ht="19.5" customHeight="1">
      <c r="A52" s="411">
        <v>42</v>
      </c>
      <c r="B52" s="412" t="s">
        <v>9136</v>
      </c>
      <c r="C52" s="413"/>
      <c r="D52" s="413"/>
      <c r="E52" s="413" t="s">
        <v>9137</v>
      </c>
      <c r="F52" s="411" t="s">
        <v>9138</v>
      </c>
      <c r="G52" s="411" t="s">
        <v>6694</v>
      </c>
      <c r="H52" s="411" t="s">
        <v>334</v>
      </c>
      <c r="I52" s="411" t="s">
        <v>10</v>
      </c>
      <c r="J52" s="411" t="s">
        <v>538</v>
      </c>
      <c r="K52" s="414">
        <v>3150</v>
      </c>
      <c r="L52" s="415">
        <v>103</v>
      </c>
      <c r="M52" s="414"/>
      <c r="N52" s="414"/>
      <c r="O52" s="414"/>
      <c r="P52" s="414"/>
      <c r="Q52" s="414"/>
    </row>
    <row r="53" spans="1:17" s="32" customFormat="1" ht="19.5" customHeight="1">
      <c r="A53" s="411">
        <v>43</v>
      </c>
      <c r="B53" s="412" t="s">
        <v>9139</v>
      </c>
      <c r="C53" s="416"/>
      <c r="D53" s="416"/>
      <c r="E53" s="412" t="s">
        <v>9140</v>
      </c>
      <c r="F53" s="417" t="s">
        <v>9141</v>
      </c>
      <c r="G53" s="417" t="s">
        <v>6694</v>
      </c>
      <c r="H53" s="417" t="s">
        <v>222</v>
      </c>
      <c r="I53" s="417" t="s">
        <v>11</v>
      </c>
      <c r="J53" s="417" t="s">
        <v>842</v>
      </c>
      <c r="K53" s="418">
        <v>380</v>
      </c>
      <c r="L53" s="419">
        <v>0</v>
      </c>
      <c r="M53" s="418"/>
      <c r="N53" s="414"/>
      <c r="O53" s="414"/>
      <c r="P53" s="418"/>
      <c r="Q53" s="418"/>
    </row>
    <row r="54" spans="1:17" s="32" customFormat="1" ht="19.5" customHeight="1">
      <c r="A54" s="411">
        <v>45</v>
      </c>
      <c r="B54" s="413" t="s">
        <v>583</v>
      </c>
      <c r="C54" s="413"/>
      <c r="D54" s="413"/>
      <c r="E54" s="413" t="s">
        <v>2437</v>
      </c>
      <c r="F54" s="411" t="s">
        <v>2667</v>
      </c>
      <c r="G54" s="411" t="s">
        <v>213</v>
      </c>
      <c r="H54" s="411" t="s">
        <v>390</v>
      </c>
      <c r="I54" s="411" t="s">
        <v>11</v>
      </c>
      <c r="J54" s="417" t="s">
        <v>842</v>
      </c>
      <c r="K54" s="414">
        <v>408</v>
      </c>
      <c r="L54" s="415">
        <v>488</v>
      </c>
      <c r="M54" s="414"/>
      <c r="N54" s="414"/>
      <c r="O54" s="414"/>
      <c r="P54" s="414"/>
      <c r="Q54" s="414"/>
    </row>
    <row r="55" spans="1:17" s="32" customFormat="1" ht="19.5" customHeight="1">
      <c r="A55" s="411">
        <v>44</v>
      </c>
      <c r="B55" s="412" t="s">
        <v>9139</v>
      </c>
      <c r="C55" s="416"/>
      <c r="D55" s="416"/>
      <c r="E55" s="412" t="s">
        <v>2437</v>
      </c>
      <c r="F55" s="417" t="s">
        <v>2667</v>
      </c>
      <c r="G55" s="417" t="s">
        <v>6694</v>
      </c>
      <c r="H55" s="417" t="s">
        <v>390</v>
      </c>
      <c r="I55" s="417" t="s">
        <v>11</v>
      </c>
      <c r="J55" s="417" t="s">
        <v>842</v>
      </c>
      <c r="K55" s="418">
        <v>570</v>
      </c>
      <c r="L55" s="419">
        <v>0</v>
      </c>
      <c r="M55" s="418"/>
      <c r="N55" s="414"/>
      <c r="O55" s="414"/>
      <c r="P55" s="418"/>
      <c r="Q55" s="418"/>
    </row>
    <row r="56" spans="1:17" s="32" customFormat="1" ht="19.5" customHeight="1">
      <c r="A56" s="411">
        <v>46</v>
      </c>
      <c r="B56" s="412" t="s">
        <v>9142</v>
      </c>
      <c r="C56" s="421"/>
      <c r="D56" s="421"/>
      <c r="E56" s="420" t="s">
        <v>9143</v>
      </c>
      <c r="F56" s="417" t="s">
        <v>9144</v>
      </c>
      <c r="G56" s="417" t="s">
        <v>6330</v>
      </c>
      <c r="H56" s="417" t="s">
        <v>222</v>
      </c>
      <c r="I56" s="417" t="s">
        <v>10</v>
      </c>
      <c r="J56" s="417" t="s">
        <v>547</v>
      </c>
      <c r="K56" s="418">
        <v>4305</v>
      </c>
      <c r="L56" s="419">
        <v>0</v>
      </c>
      <c r="M56" s="418"/>
      <c r="N56" s="414"/>
      <c r="O56" s="414"/>
      <c r="P56" s="418"/>
      <c r="Q56" s="418"/>
    </row>
    <row r="57" spans="1:17" s="32" customFormat="1" ht="19.5" customHeight="1">
      <c r="A57" s="411">
        <v>47</v>
      </c>
      <c r="B57" s="412" t="s">
        <v>9142</v>
      </c>
      <c r="C57" s="413"/>
      <c r="D57" s="413"/>
      <c r="E57" s="413" t="s">
        <v>9145</v>
      </c>
      <c r="F57" s="411" t="s">
        <v>9146</v>
      </c>
      <c r="G57" s="411" t="s">
        <v>6330</v>
      </c>
      <c r="H57" s="411" t="s">
        <v>390</v>
      </c>
      <c r="I57" s="411" t="s">
        <v>10</v>
      </c>
      <c r="J57" s="411" t="s">
        <v>547</v>
      </c>
      <c r="K57" s="414">
        <v>5942</v>
      </c>
      <c r="L57" s="415">
        <v>0</v>
      </c>
      <c r="M57" s="414"/>
      <c r="N57" s="414"/>
      <c r="O57" s="414"/>
      <c r="P57" s="414"/>
      <c r="Q57" s="414"/>
    </row>
    <row r="58" spans="1:17" s="32" customFormat="1" ht="19.5" customHeight="1">
      <c r="A58" s="411">
        <v>48</v>
      </c>
      <c r="B58" s="420" t="s">
        <v>9147</v>
      </c>
      <c r="C58" s="421"/>
      <c r="D58" s="421"/>
      <c r="E58" s="412" t="s">
        <v>9148</v>
      </c>
      <c r="F58" s="417" t="s">
        <v>9149</v>
      </c>
      <c r="G58" s="417" t="s">
        <v>6694</v>
      </c>
      <c r="H58" s="417" t="s">
        <v>238</v>
      </c>
      <c r="I58" s="417" t="s">
        <v>11</v>
      </c>
      <c r="J58" s="417" t="s">
        <v>842</v>
      </c>
      <c r="K58" s="418">
        <v>1134</v>
      </c>
      <c r="L58" s="419">
        <v>101</v>
      </c>
      <c r="M58" s="418"/>
      <c r="N58" s="414"/>
      <c r="O58" s="414"/>
      <c r="P58" s="418"/>
      <c r="Q58" s="418"/>
    </row>
    <row r="59" spans="1:17" s="32" customFormat="1" ht="19.5" customHeight="1">
      <c r="A59" s="411">
        <v>49</v>
      </c>
      <c r="B59" s="413" t="s">
        <v>347</v>
      </c>
      <c r="C59" s="413"/>
      <c r="D59" s="413"/>
      <c r="E59" s="413" t="s">
        <v>9150</v>
      </c>
      <c r="F59" s="411" t="s">
        <v>9151</v>
      </c>
      <c r="G59" s="411" t="s">
        <v>213</v>
      </c>
      <c r="H59" s="411" t="s">
        <v>327</v>
      </c>
      <c r="I59" s="411" t="s">
        <v>11</v>
      </c>
      <c r="J59" s="417" t="s">
        <v>842</v>
      </c>
      <c r="K59" s="414">
        <v>268</v>
      </c>
      <c r="L59" s="415">
        <v>8137</v>
      </c>
      <c r="M59" s="414"/>
      <c r="N59" s="414"/>
      <c r="O59" s="414"/>
      <c r="P59" s="414"/>
      <c r="Q59" s="414"/>
    </row>
    <row r="60" spans="1:17" s="32" customFormat="1" ht="19.5" customHeight="1">
      <c r="A60" s="411">
        <v>51</v>
      </c>
      <c r="B60" s="412" t="s">
        <v>1480</v>
      </c>
      <c r="C60" s="416"/>
      <c r="D60" s="416"/>
      <c r="E60" s="412" t="s">
        <v>2669</v>
      </c>
      <c r="F60" s="417" t="s">
        <v>9152</v>
      </c>
      <c r="G60" s="417" t="s">
        <v>6694</v>
      </c>
      <c r="H60" s="417" t="s">
        <v>310</v>
      </c>
      <c r="I60" s="417" t="s">
        <v>10</v>
      </c>
      <c r="J60" s="417" t="s">
        <v>9153</v>
      </c>
      <c r="K60" s="418">
        <v>146</v>
      </c>
      <c r="L60" s="419">
        <v>1076</v>
      </c>
      <c r="M60" s="418"/>
      <c r="N60" s="414"/>
      <c r="O60" s="414"/>
      <c r="P60" s="418"/>
      <c r="Q60" s="418"/>
    </row>
    <row r="61" spans="1:17" s="32" customFormat="1" ht="19.5" customHeight="1">
      <c r="A61" s="411">
        <v>50</v>
      </c>
      <c r="B61" s="412" t="s">
        <v>1480</v>
      </c>
      <c r="C61" s="413"/>
      <c r="D61" s="413"/>
      <c r="E61" s="413" t="s">
        <v>2669</v>
      </c>
      <c r="F61" s="411" t="s">
        <v>9152</v>
      </c>
      <c r="G61" s="411" t="s">
        <v>6694</v>
      </c>
      <c r="H61" s="411" t="s">
        <v>310</v>
      </c>
      <c r="I61" s="411" t="s">
        <v>10</v>
      </c>
      <c r="J61" s="411" t="s">
        <v>9153</v>
      </c>
      <c r="K61" s="414">
        <v>354</v>
      </c>
      <c r="L61" s="415">
        <v>47</v>
      </c>
      <c r="M61" s="414"/>
      <c r="N61" s="414"/>
      <c r="O61" s="414"/>
      <c r="P61" s="414"/>
      <c r="Q61" s="414"/>
    </row>
    <row r="62" spans="1:17" s="32" customFormat="1" ht="19.5" customHeight="1">
      <c r="A62" s="411">
        <v>52</v>
      </c>
      <c r="B62" s="420" t="s">
        <v>9147</v>
      </c>
      <c r="C62" s="421"/>
      <c r="D62" s="421"/>
      <c r="E62" s="412" t="s">
        <v>9154</v>
      </c>
      <c r="F62" s="417" t="s">
        <v>9155</v>
      </c>
      <c r="G62" s="417" t="s">
        <v>5273</v>
      </c>
      <c r="H62" s="417" t="s">
        <v>327</v>
      </c>
      <c r="I62" s="417" t="s">
        <v>10</v>
      </c>
      <c r="J62" s="417" t="s">
        <v>9156</v>
      </c>
      <c r="K62" s="418">
        <v>294</v>
      </c>
      <c r="L62" s="419">
        <v>178</v>
      </c>
      <c r="M62" s="418"/>
      <c r="N62" s="414"/>
      <c r="O62" s="414"/>
      <c r="P62" s="418"/>
      <c r="Q62" s="418"/>
    </row>
    <row r="63" spans="1:17" s="32" customFormat="1" ht="19.5" customHeight="1">
      <c r="A63" s="411">
        <v>53</v>
      </c>
      <c r="B63" s="412" t="s">
        <v>9139</v>
      </c>
      <c r="C63" s="413"/>
      <c r="D63" s="413"/>
      <c r="E63" s="413" t="s">
        <v>9157</v>
      </c>
      <c r="F63" s="411" t="s">
        <v>9158</v>
      </c>
      <c r="G63" s="411" t="s">
        <v>213</v>
      </c>
      <c r="H63" s="411" t="s">
        <v>222</v>
      </c>
      <c r="I63" s="411" t="s">
        <v>10</v>
      </c>
      <c r="J63" s="411" t="s">
        <v>538</v>
      </c>
      <c r="K63" s="414">
        <v>558</v>
      </c>
      <c r="L63" s="415">
        <v>0</v>
      </c>
      <c r="M63" s="414"/>
      <c r="N63" s="414"/>
      <c r="O63" s="414"/>
      <c r="P63" s="414"/>
      <c r="Q63" s="414"/>
    </row>
    <row r="64" spans="1:17" s="32" customFormat="1" ht="19.5" customHeight="1">
      <c r="A64" s="411">
        <v>54</v>
      </c>
      <c r="B64" s="412" t="s">
        <v>9139</v>
      </c>
      <c r="C64" s="413"/>
      <c r="D64" s="413"/>
      <c r="E64" s="413" t="s">
        <v>3534</v>
      </c>
      <c r="F64" s="411" t="s">
        <v>9159</v>
      </c>
      <c r="G64" s="411" t="s">
        <v>213</v>
      </c>
      <c r="H64" s="411" t="s">
        <v>9160</v>
      </c>
      <c r="I64" s="411" t="s">
        <v>10</v>
      </c>
      <c r="J64" s="411" t="s">
        <v>538</v>
      </c>
      <c r="K64" s="414">
        <v>748</v>
      </c>
      <c r="L64" s="415">
        <v>0</v>
      </c>
      <c r="M64" s="414"/>
      <c r="N64" s="414"/>
      <c r="O64" s="414"/>
      <c r="P64" s="414"/>
      <c r="Q64" s="414"/>
    </row>
    <row r="65" spans="1:17" s="32" customFormat="1" ht="19.5" customHeight="1">
      <c r="A65" s="411">
        <v>55</v>
      </c>
      <c r="B65" s="413" t="s">
        <v>197</v>
      </c>
      <c r="C65" s="413"/>
      <c r="D65" s="413"/>
      <c r="E65" s="413" t="s">
        <v>9161</v>
      </c>
      <c r="F65" s="411" t="s">
        <v>9162</v>
      </c>
      <c r="G65" s="411" t="s">
        <v>213</v>
      </c>
      <c r="H65" s="411" t="s">
        <v>9163</v>
      </c>
      <c r="I65" s="411" t="s">
        <v>10</v>
      </c>
      <c r="J65" s="411" t="s">
        <v>1872</v>
      </c>
      <c r="K65" s="414">
        <v>399</v>
      </c>
      <c r="L65" s="415">
        <v>9739</v>
      </c>
      <c r="M65" s="414"/>
      <c r="N65" s="414"/>
      <c r="O65" s="414"/>
      <c r="P65" s="414"/>
      <c r="Q65" s="414"/>
    </row>
    <row r="66" spans="1:17" s="32" customFormat="1" ht="19.5" customHeight="1">
      <c r="A66" s="411">
        <v>56</v>
      </c>
      <c r="B66" s="412" t="s">
        <v>2983</v>
      </c>
      <c r="C66" s="413"/>
      <c r="D66" s="413"/>
      <c r="E66" s="413" t="s">
        <v>9164</v>
      </c>
      <c r="F66" s="411" t="s">
        <v>9165</v>
      </c>
      <c r="G66" s="411" t="s">
        <v>213</v>
      </c>
      <c r="H66" s="411" t="s">
        <v>1340</v>
      </c>
      <c r="I66" s="411" t="s">
        <v>10</v>
      </c>
      <c r="J66" s="411" t="s">
        <v>538</v>
      </c>
      <c r="K66" s="414">
        <v>935</v>
      </c>
      <c r="L66" s="415">
        <v>0</v>
      </c>
      <c r="M66" s="414"/>
      <c r="N66" s="414"/>
      <c r="O66" s="414"/>
      <c r="P66" s="414"/>
      <c r="Q66" s="414"/>
    </row>
    <row r="67" spans="1:17" s="32" customFormat="1" ht="19.5" customHeight="1">
      <c r="A67" s="411">
        <v>57</v>
      </c>
      <c r="B67" s="412" t="s">
        <v>2983</v>
      </c>
      <c r="C67" s="413"/>
      <c r="D67" s="413"/>
      <c r="E67" s="413" t="s">
        <v>9166</v>
      </c>
      <c r="F67" s="411" t="s">
        <v>9167</v>
      </c>
      <c r="G67" s="411" t="s">
        <v>213</v>
      </c>
      <c r="H67" s="411" t="s">
        <v>9168</v>
      </c>
      <c r="I67" s="411" t="s">
        <v>10</v>
      </c>
      <c r="J67" s="411" t="s">
        <v>538</v>
      </c>
      <c r="K67" s="414">
        <v>573</v>
      </c>
      <c r="L67" s="415">
        <v>0</v>
      </c>
      <c r="M67" s="414"/>
      <c r="N67" s="414"/>
      <c r="O67" s="414"/>
      <c r="P67" s="414"/>
      <c r="Q67" s="414"/>
    </row>
    <row r="68" spans="1:17" s="32" customFormat="1" ht="19.5" customHeight="1">
      <c r="A68" s="411">
        <v>58</v>
      </c>
      <c r="B68" s="412" t="s">
        <v>9147</v>
      </c>
      <c r="C68" s="416"/>
      <c r="D68" s="416"/>
      <c r="E68" s="412" t="s">
        <v>2674</v>
      </c>
      <c r="F68" s="417" t="s">
        <v>2675</v>
      </c>
      <c r="G68" s="417" t="s">
        <v>9075</v>
      </c>
      <c r="H68" s="417" t="s">
        <v>238</v>
      </c>
      <c r="I68" s="417" t="s">
        <v>10</v>
      </c>
      <c r="J68" s="417" t="s">
        <v>9169</v>
      </c>
      <c r="K68" s="418">
        <v>1900</v>
      </c>
      <c r="L68" s="419">
        <v>5510</v>
      </c>
      <c r="M68" s="418"/>
      <c r="N68" s="414"/>
      <c r="O68" s="414"/>
      <c r="P68" s="418"/>
      <c r="Q68" s="418"/>
    </row>
    <row r="69" spans="1:17" s="32" customFormat="1" ht="19.5" customHeight="1">
      <c r="A69" s="411">
        <v>59</v>
      </c>
      <c r="B69" s="412" t="s">
        <v>9147</v>
      </c>
      <c r="C69" s="413"/>
      <c r="D69" s="413"/>
      <c r="E69" s="413" t="s">
        <v>9170</v>
      </c>
      <c r="F69" s="411" t="s">
        <v>9171</v>
      </c>
      <c r="G69" s="411" t="s">
        <v>213</v>
      </c>
      <c r="H69" s="411" t="s">
        <v>327</v>
      </c>
      <c r="I69" s="411" t="s">
        <v>11</v>
      </c>
      <c r="J69" s="411" t="s">
        <v>9063</v>
      </c>
      <c r="K69" s="414">
        <v>525</v>
      </c>
      <c r="L69" s="415">
        <v>0</v>
      </c>
      <c r="M69" s="414"/>
      <c r="N69" s="414"/>
      <c r="O69" s="414"/>
      <c r="P69" s="414"/>
      <c r="Q69" s="414"/>
    </row>
    <row r="70" spans="1:17" s="32" customFormat="1" ht="19.5" customHeight="1">
      <c r="A70" s="411">
        <v>60</v>
      </c>
      <c r="B70" s="412" t="s">
        <v>9172</v>
      </c>
      <c r="C70" s="413"/>
      <c r="D70" s="413"/>
      <c r="E70" s="413" t="s">
        <v>9173</v>
      </c>
      <c r="F70" s="411" t="s">
        <v>9174</v>
      </c>
      <c r="G70" s="411" t="s">
        <v>213</v>
      </c>
      <c r="H70" s="411" t="s">
        <v>225</v>
      </c>
      <c r="I70" s="411" t="s">
        <v>13</v>
      </c>
      <c r="J70" s="411" t="s">
        <v>9175</v>
      </c>
      <c r="K70" s="414">
        <v>756</v>
      </c>
      <c r="L70" s="415">
        <v>0</v>
      </c>
      <c r="M70" s="414"/>
      <c r="N70" s="414"/>
      <c r="O70" s="414"/>
      <c r="P70" s="414"/>
      <c r="Q70" s="414"/>
    </row>
    <row r="71" spans="1:17" s="32" customFormat="1" ht="19.5" customHeight="1">
      <c r="A71" s="411">
        <v>61</v>
      </c>
      <c r="B71" s="424" t="s">
        <v>9176</v>
      </c>
      <c r="C71" s="425"/>
      <c r="D71" s="426"/>
      <c r="E71" s="427" t="s">
        <v>9177</v>
      </c>
      <c r="F71" s="425" t="s">
        <v>9178</v>
      </c>
      <c r="G71" s="428" t="s">
        <v>213</v>
      </c>
      <c r="H71" s="425" t="s">
        <v>9179</v>
      </c>
      <c r="I71" s="425" t="s">
        <v>658</v>
      </c>
      <c r="J71" s="428" t="s">
        <v>9180</v>
      </c>
      <c r="K71" s="429">
        <v>17500</v>
      </c>
      <c r="L71" s="430">
        <v>0</v>
      </c>
      <c r="M71" s="429"/>
      <c r="N71" s="414"/>
      <c r="O71" s="414"/>
      <c r="P71" s="431"/>
      <c r="Q71" s="431"/>
    </row>
    <row r="72" spans="1:17" s="32" customFormat="1" ht="19.5" customHeight="1">
      <c r="A72" s="411">
        <v>62</v>
      </c>
      <c r="B72" s="412" t="s">
        <v>3526</v>
      </c>
      <c r="C72" s="413"/>
      <c r="D72" s="413"/>
      <c r="E72" s="413" t="s">
        <v>9181</v>
      </c>
      <c r="F72" s="411" t="s">
        <v>9182</v>
      </c>
      <c r="G72" s="411" t="s">
        <v>213</v>
      </c>
      <c r="H72" s="411" t="s">
        <v>225</v>
      </c>
      <c r="I72" s="411" t="s">
        <v>11</v>
      </c>
      <c r="J72" s="411" t="s">
        <v>9063</v>
      </c>
      <c r="K72" s="414">
        <v>630</v>
      </c>
      <c r="L72" s="415">
        <v>116</v>
      </c>
      <c r="M72" s="414"/>
      <c r="N72" s="414"/>
      <c r="O72" s="414"/>
      <c r="P72" s="414"/>
      <c r="Q72" s="414"/>
    </row>
    <row r="73" spans="1:17" s="32" customFormat="1" ht="19.5" customHeight="1">
      <c r="A73" s="411">
        <v>64</v>
      </c>
      <c r="B73" s="413" t="s">
        <v>411</v>
      </c>
      <c r="C73" s="413"/>
      <c r="D73" s="413"/>
      <c r="E73" s="413" t="s">
        <v>415</v>
      </c>
      <c r="F73" s="411" t="s">
        <v>416</v>
      </c>
      <c r="G73" s="411" t="s">
        <v>213</v>
      </c>
      <c r="H73" s="411" t="s">
        <v>272</v>
      </c>
      <c r="I73" s="411" t="s">
        <v>11</v>
      </c>
      <c r="J73" s="411" t="s">
        <v>9183</v>
      </c>
      <c r="K73" s="414">
        <v>336</v>
      </c>
      <c r="L73" s="415">
        <v>0</v>
      </c>
      <c r="M73" s="414"/>
      <c r="N73" s="414"/>
      <c r="O73" s="414"/>
      <c r="P73" s="414"/>
      <c r="Q73" s="414"/>
    </row>
    <row r="74" spans="1:17" s="32" customFormat="1" ht="19.5" customHeight="1">
      <c r="A74" s="411">
        <v>63</v>
      </c>
      <c r="B74" s="412" t="s">
        <v>411</v>
      </c>
      <c r="C74" s="413"/>
      <c r="D74" s="413"/>
      <c r="E74" s="413" t="s">
        <v>415</v>
      </c>
      <c r="F74" s="411" t="s">
        <v>9184</v>
      </c>
      <c r="G74" s="411" t="s">
        <v>213</v>
      </c>
      <c r="H74" s="411" t="s">
        <v>272</v>
      </c>
      <c r="I74" s="411" t="s">
        <v>10</v>
      </c>
      <c r="J74" s="411" t="s">
        <v>9183</v>
      </c>
      <c r="K74" s="414">
        <v>360</v>
      </c>
      <c r="L74" s="415">
        <v>0</v>
      </c>
      <c r="M74" s="414"/>
      <c r="N74" s="414"/>
      <c r="O74" s="414"/>
      <c r="P74" s="414"/>
      <c r="Q74" s="414"/>
    </row>
    <row r="75" spans="1:17" s="32" customFormat="1" ht="19.5" customHeight="1">
      <c r="A75" s="411">
        <v>65</v>
      </c>
      <c r="B75" s="420" t="s">
        <v>3525</v>
      </c>
      <c r="C75" s="421"/>
      <c r="D75" s="421"/>
      <c r="E75" s="412" t="s">
        <v>9185</v>
      </c>
      <c r="F75" s="417" t="s">
        <v>9186</v>
      </c>
      <c r="G75" s="417" t="s">
        <v>6694</v>
      </c>
      <c r="H75" s="417" t="s">
        <v>1583</v>
      </c>
      <c r="I75" s="417" t="s">
        <v>12</v>
      </c>
      <c r="J75" s="411" t="s">
        <v>9187</v>
      </c>
      <c r="K75" s="418">
        <v>720</v>
      </c>
      <c r="L75" s="419">
        <v>0</v>
      </c>
      <c r="M75" s="418"/>
      <c r="N75" s="414"/>
      <c r="O75" s="414"/>
      <c r="P75" s="418"/>
      <c r="Q75" s="418"/>
    </row>
    <row r="76" spans="1:17" s="32" customFormat="1" ht="19.5" customHeight="1">
      <c r="A76" s="411">
        <v>66</v>
      </c>
      <c r="B76" s="413" t="s">
        <v>411</v>
      </c>
      <c r="C76" s="413"/>
      <c r="D76" s="413"/>
      <c r="E76" s="413" t="s">
        <v>412</v>
      </c>
      <c r="F76" s="411" t="s">
        <v>413</v>
      </c>
      <c r="G76" s="411" t="s">
        <v>213</v>
      </c>
      <c r="H76" s="411" t="s">
        <v>225</v>
      </c>
      <c r="I76" s="411" t="s">
        <v>11</v>
      </c>
      <c r="J76" s="411" t="s">
        <v>9063</v>
      </c>
      <c r="K76" s="414">
        <v>504</v>
      </c>
      <c r="L76" s="415">
        <v>3182</v>
      </c>
      <c r="M76" s="414"/>
      <c r="N76" s="414"/>
      <c r="O76" s="414"/>
      <c r="P76" s="414"/>
      <c r="Q76" s="414"/>
    </row>
    <row r="77" spans="1:17" s="32" customFormat="1" ht="19.5" customHeight="1">
      <c r="A77" s="411">
        <v>67</v>
      </c>
      <c r="B77" s="412" t="s">
        <v>9172</v>
      </c>
      <c r="C77" s="413"/>
      <c r="D77" s="413"/>
      <c r="E77" s="413" t="s">
        <v>9188</v>
      </c>
      <c r="F77" s="411" t="s">
        <v>9189</v>
      </c>
      <c r="G77" s="411" t="s">
        <v>213</v>
      </c>
      <c r="H77" s="411" t="s">
        <v>272</v>
      </c>
      <c r="I77" s="411" t="s">
        <v>11</v>
      </c>
      <c r="J77" s="411" t="s">
        <v>9063</v>
      </c>
      <c r="K77" s="414">
        <v>378</v>
      </c>
      <c r="L77" s="415">
        <v>0</v>
      </c>
      <c r="M77" s="414"/>
      <c r="N77" s="414"/>
      <c r="O77" s="414"/>
      <c r="P77" s="414"/>
      <c r="Q77" s="414"/>
    </row>
    <row r="78" spans="1:17" s="32" customFormat="1" ht="19.5" customHeight="1">
      <c r="A78" s="411">
        <v>68</v>
      </c>
      <c r="B78" s="420" t="s">
        <v>9172</v>
      </c>
      <c r="C78" s="421"/>
      <c r="D78" s="421"/>
      <c r="E78" s="412" t="s">
        <v>9190</v>
      </c>
      <c r="F78" s="417" t="s">
        <v>9191</v>
      </c>
      <c r="G78" s="417" t="s">
        <v>6694</v>
      </c>
      <c r="H78" s="417" t="s">
        <v>272</v>
      </c>
      <c r="I78" s="417" t="s">
        <v>11</v>
      </c>
      <c r="J78" s="417" t="s">
        <v>9063</v>
      </c>
      <c r="K78" s="418">
        <v>357</v>
      </c>
      <c r="L78" s="419">
        <v>0</v>
      </c>
      <c r="M78" s="418"/>
      <c r="N78" s="414"/>
      <c r="O78" s="414"/>
      <c r="P78" s="418"/>
      <c r="Q78" s="418"/>
    </row>
    <row r="79" spans="1:17" s="32" customFormat="1" ht="19.5" customHeight="1">
      <c r="A79" s="411">
        <v>69</v>
      </c>
      <c r="B79" s="412" t="s">
        <v>9192</v>
      </c>
      <c r="C79" s="413"/>
      <c r="D79" s="413"/>
      <c r="E79" s="413" t="s">
        <v>9193</v>
      </c>
      <c r="F79" s="411" t="s">
        <v>9194</v>
      </c>
      <c r="G79" s="411" t="s">
        <v>6694</v>
      </c>
      <c r="H79" s="411" t="s">
        <v>225</v>
      </c>
      <c r="I79" s="411" t="s">
        <v>11</v>
      </c>
      <c r="J79" s="411" t="s">
        <v>9063</v>
      </c>
      <c r="K79" s="414">
        <v>535</v>
      </c>
      <c r="L79" s="415">
        <v>0</v>
      </c>
      <c r="M79" s="414"/>
      <c r="N79" s="414"/>
      <c r="O79" s="414"/>
      <c r="P79" s="414"/>
      <c r="Q79" s="414"/>
    </row>
    <row r="80" spans="1:17" s="32" customFormat="1" ht="19.5" customHeight="1">
      <c r="A80" s="411">
        <v>70</v>
      </c>
      <c r="B80" s="412" t="s">
        <v>1860</v>
      </c>
      <c r="C80" s="413"/>
      <c r="D80" s="413"/>
      <c r="E80" s="413" t="s">
        <v>9195</v>
      </c>
      <c r="F80" s="411" t="s">
        <v>9196</v>
      </c>
      <c r="G80" s="411" t="s">
        <v>213</v>
      </c>
      <c r="H80" s="411" t="s">
        <v>1862</v>
      </c>
      <c r="I80" s="411" t="s">
        <v>11</v>
      </c>
      <c r="J80" s="411" t="s">
        <v>9063</v>
      </c>
      <c r="K80" s="414">
        <v>665</v>
      </c>
      <c r="L80" s="415">
        <v>460</v>
      </c>
      <c r="M80" s="414"/>
      <c r="N80" s="414"/>
      <c r="O80" s="414"/>
      <c r="P80" s="414"/>
      <c r="Q80" s="414"/>
    </row>
    <row r="81" spans="1:17" s="32" customFormat="1" ht="19.5" customHeight="1">
      <c r="A81" s="411">
        <v>71</v>
      </c>
      <c r="B81" s="412" t="s">
        <v>9197</v>
      </c>
      <c r="C81" s="416"/>
      <c r="D81" s="416"/>
      <c r="E81" s="412" t="s">
        <v>9198</v>
      </c>
      <c r="F81" s="417" t="s">
        <v>9196</v>
      </c>
      <c r="G81" s="417" t="s">
        <v>6694</v>
      </c>
      <c r="H81" s="417" t="s">
        <v>1862</v>
      </c>
      <c r="I81" s="417" t="s">
        <v>10</v>
      </c>
      <c r="J81" s="417" t="s">
        <v>1872</v>
      </c>
      <c r="K81" s="418">
        <v>630</v>
      </c>
      <c r="L81" s="419">
        <v>4892</v>
      </c>
      <c r="M81" s="418"/>
      <c r="N81" s="414"/>
      <c r="O81" s="414"/>
      <c r="P81" s="418"/>
      <c r="Q81" s="418"/>
    </row>
    <row r="82" spans="1:17" s="32" customFormat="1" ht="19.5" customHeight="1">
      <c r="A82" s="411">
        <v>72</v>
      </c>
      <c r="B82" s="413" t="s">
        <v>9199</v>
      </c>
      <c r="C82" s="413"/>
      <c r="D82" s="413"/>
      <c r="E82" s="413" t="s">
        <v>2248</v>
      </c>
      <c r="F82" s="411" t="s">
        <v>2252</v>
      </c>
      <c r="G82" s="411" t="s">
        <v>213</v>
      </c>
      <c r="H82" s="411" t="s">
        <v>9200</v>
      </c>
      <c r="I82" s="411" t="s">
        <v>11</v>
      </c>
      <c r="J82" s="417" t="s">
        <v>9063</v>
      </c>
      <c r="K82" s="414">
        <v>780</v>
      </c>
      <c r="L82" s="415">
        <v>1850</v>
      </c>
      <c r="M82" s="414"/>
      <c r="N82" s="414"/>
      <c r="O82" s="414"/>
      <c r="P82" s="414"/>
      <c r="Q82" s="414"/>
    </row>
    <row r="83" spans="1:17" s="32" customFormat="1" ht="19.5" customHeight="1">
      <c r="A83" s="411">
        <v>73</v>
      </c>
      <c r="B83" s="412" t="s">
        <v>9201</v>
      </c>
      <c r="C83" s="416"/>
      <c r="D83" s="416"/>
      <c r="E83" s="412" t="s">
        <v>9202</v>
      </c>
      <c r="F83" s="417" t="s">
        <v>9203</v>
      </c>
      <c r="G83" s="417" t="s">
        <v>6694</v>
      </c>
      <c r="H83" s="417" t="s">
        <v>9204</v>
      </c>
      <c r="I83" s="417" t="s">
        <v>10</v>
      </c>
      <c r="J83" s="417" t="s">
        <v>9063</v>
      </c>
      <c r="K83" s="418">
        <v>990</v>
      </c>
      <c r="L83" s="419">
        <v>3</v>
      </c>
      <c r="M83" s="418"/>
      <c r="N83" s="414"/>
      <c r="O83" s="414"/>
      <c r="P83" s="418"/>
      <c r="Q83" s="418"/>
    </row>
    <row r="84" spans="1:17" s="32" customFormat="1" ht="19.5" customHeight="1">
      <c r="A84" s="411">
        <v>74</v>
      </c>
      <c r="B84" s="420" t="s">
        <v>3322</v>
      </c>
      <c r="C84" s="421"/>
      <c r="D84" s="421"/>
      <c r="E84" s="412" t="s">
        <v>3535</v>
      </c>
      <c r="F84" s="417" t="s">
        <v>1708</v>
      </c>
      <c r="G84" s="417" t="s">
        <v>6694</v>
      </c>
      <c r="H84" s="417" t="s">
        <v>327</v>
      </c>
      <c r="I84" s="417" t="s">
        <v>10</v>
      </c>
      <c r="J84" s="417" t="s">
        <v>804</v>
      </c>
      <c r="K84" s="418">
        <v>336</v>
      </c>
      <c r="L84" s="419">
        <v>21800</v>
      </c>
      <c r="M84" s="418"/>
      <c r="N84" s="414"/>
      <c r="O84" s="414"/>
      <c r="P84" s="418"/>
      <c r="Q84" s="418"/>
    </row>
    <row r="85" spans="1:17" s="32" customFormat="1" ht="19.5" customHeight="1">
      <c r="A85" s="411">
        <v>75</v>
      </c>
      <c r="B85" s="412" t="s">
        <v>555</v>
      </c>
      <c r="C85" s="421"/>
      <c r="D85" s="421"/>
      <c r="E85" s="420" t="s">
        <v>3536</v>
      </c>
      <c r="F85" s="417" t="s">
        <v>9205</v>
      </c>
      <c r="G85" s="417" t="s">
        <v>5116</v>
      </c>
      <c r="H85" s="417" t="s">
        <v>9206</v>
      </c>
      <c r="I85" s="417" t="s">
        <v>10</v>
      </c>
      <c r="J85" s="411" t="s">
        <v>538</v>
      </c>
      <c r="K85" s="418">
        <v>9561</v>
      </c>
      <c r="L85" s="419">
        <v>2084</v>
      </c>
      <c r="M85" s="418"/>
      <c r="N85" s="414"/>
      <c r="O85" s="414"/>
      <c r="P85" s="418"/>
      <c r="Q85" s="418"/>
    </row>
    <row r="86" spans="1:17" s="32" customFormat="1" ht="19.5" customHeight="1">
      <c r="A86" s="411">
        <v>76</v>
      </c>
      <c r="B86" s="412" t="s">
        <v>555</v>
      </c>
      <c r="C86" s="413"/>
      <c r="D86" s="413"/>
      <c r="E86" s="413" t="s">
        <v>9207</v>
      </c>
      <c r="F86" s="411" t="s">
        <v>9205</v>
      </c>
      <c r="G86" s="411" t="s">
        <v>5116</v>
      </c>
      <c r="H86" s="411" t="s">
        <v>9206</v>
      </c>
      <c r="I86" s="411" t="s">
        <v>10</v>
      </c>
      <c r="J86" s="411" t="s">
        <v>538</v>
      </c>
      <c r="K86" s="414">
        <v>14341</v>
      </c>
      <c r="L86" s="415">
        <v>37</v>
      </c>
      <c r="M86" s="414"/>
      <c r="N86" s="414"/>
      <c r="O86" s="414"/>
      <c r="P86" s="414"/>
      <c r="Q86" s="414"/>
    </row>
    <row r="87" spans="1:17" s="32" customFormat="1" ht="19.5" customHeight="1">
      <c r="A87" s="411">
        <v>77</v>
      </c>
      <c r="B87" s="412" t="s">
        <v>9208</v>
      </c>
      <c r="C87" s="416"/>
      <c r="D87" s="416"/>
      <c r="E87" s="412" t="s">
        <v>2680</v>
      </c>
      <c r="F87" s="417" t="s">
        <v>2681</v>
      </c>
      <c r="G87" s="417" t="s">
        <v>6694</v>
      </c>
      <c r="H87" s="417" t="s">
        <v>225</v>
      </c>
      <c r="I87" s="417" t="s">
        <v>11</v>
      </c>
      <c r="J87" s="417" t="s">
        <v>842</v>
      </c>
      <c r="K87" s="418">
        <v>155</v>
      </c>
      <c r="L87" s="419">
        <v>8894</v>
      </c>
      <c r="M87" s="418"/>
      <c r="N87" s="414"/>
      <c r="O87" s="414"/>
      <c r="P87" s="418"/>
      <c r="Q87" s="418"/>
    </row>
    <row r="88" spans="1:17" s="32" customFormat="1" ht="19.5" customHeight="1">
      <c r="A88" s="411">
        <v>78</v>
      </c>
      <c r="B88" s="413" t="s">
        <v>634</v>
      </c>
      <c r="C88" s="413"/>
      <c r="D88" s="413"/>
      <c r="E88" s="413" t="s">
        <v>9209</v>
      </c>
      <c r="F88" s="411" t="s">
        <v>6253</v>
      </c>
      <c r="G88" s="411" t="s">
        <v>5943</v>
      </c>
      <c r="H88" s="411" t="s">
        <v>267</v>
      </c>
      <c r="I88" s="411" t="s">
        <v>658</v>
      </c>
      <c r="J88" s="411" t="s">
        <v>9063</v>
      </c>
      <c r="K88" s="414">
        <v>86500</v>
      </c>
      <c r="L88" s="415">
        <v>100</v>
      </c>
      <c r="M88" s="414"/>
      <c r="N88" s="414"/>
      <c r="O88" s="414"/>
      <c r="P88" s="414"/>
      <c r="Q88" s="414"/>
    </row>
    <row r="89" spans="1:17" s="32" customFormat="1" ht="19.5" customHeight="1">
      <c r="A89" s="411">
        <v>79</v>
      </c>
      <c r="B89" s="412" t="s">
        <v>9210</v>
      </c>
      <c r="C89" s="413"/>
      <c r="D89" s="413"/>
      <c r="E89" s="413" t="s">
        <v>3537</v>
      </c>
      <c r="F89" s="411" t="s">
        <v>9211</v>
      </c>
      <c r="G89" s="411" t="s">
        <v>213</v>
      </c>
      <c r="H89" s="411" t="s">
        <v>1915</v>
      </c>
      <c r="I89" s="411" t="s">
        <v>11</v>
      </c>
      <c r="J89" s="411" t="s">
        <v>9063</v>
      </c>
      <c r="K89" s="414">
        <v>105</v>
      </c>
      <c r="L89" s="415">
        <v>55</v>
      </c>
      <c r="M89" s="414"/>
      <c r="N89" s="414"/>
      <c r="O89" s="414"/>
      <c r="P89" s="414"/>
      <c r="Q89" s="414"/>
    </row>
    <row r="90" spans="1:17" s="32" customFormat="1" ht="19.5" customHeight="1">
      <c r="A90" s="411">
        <v>80</v>
      </c>
      <c r="B90" s="412" t="s">
        <v>9212</v>
      </c>
      <c r="C90" s="416"/>
      <c r="D90" s="416"/>
      <c r="E90" s="412" t="s">
        <v>9213</v>
      </c>
      <c r="F90" s="417" t="s">
        <v>9211</v>
      </c>
      <c r="G90" s="417" t="s">
        <v>6694</v>
      </c>
      <c r="H90" s="417" t="s">
        <v>9214</v>
      </c>
      <c r="I90" s="417" t="s">
        <v>11</v>
      </c>
      <c r="J90" s="417" t="s">
        <v>9063</v>
      </c>
      <c r="K90" s="418">
        <v>99</v>
      </c>
      <c r="L90" s="419">
        <v>15</v>
      </c>
      <c r="M90" s="418"/>
      <c r="N90" s="414"/>
      <c r="O90" s="414"/>
      <c r="P90" s="418"/>
      <c r="Q90" s="418"/>
    </row>
    <row r="91" spans="1:17" s="32" customFormat="1" ht="19.5" customHeight="1">
      <c r="A91" s="411">
        <v>81</v>
      </c>
      <c r="B91" s="413" t="s">
        <v>1914</v>
      </c>
      <c r="C91" s="413"/>
      <c r="D91" s="413"/>
      <c r="E91" s="413" t="s">
        <v>3538</v>
      </c>
      <c r="F91" s="411" t="s">
        <v>2683</v>
      </c>
      <c r="G91" s="411" t="s">
        <v>213</v>
      </c>
      <c r="H91" s="411" t="s">
        <v>1915</v>
      </c>
      <c r="I91" s="411" t="s">
        <v>11</v>
      </c>
      <c r="J91" s="417" t="s">
        <v>9063</v>
      </c>
      <c r="K91" s="414">
        <v>155</v>
      </c>
      <c r="L91" s="415">
        <v>8679</v>
      </c>
      <c r="M91" s="414"/>
      <c r="N91" s="414"/>
      <c r="O91" s="414"/>
      <c r="P91" s="414"/>
      <c r="Q91" s="414"/>
    </row>
    <row r="92" spans="1:17" s="32" customFormat="1" ht="19.5" customHeight="1">
      <c r="A92" s="411">
        <v>82</v>
      </c>
      <c r="B92" s="420" t="s">
        <v>2687</v>
      </c>
      <c r="C92" s="421"/>
      <c r="D92" s="421"/>
      <c r="E92" s="412" t="s">
        <v>9215</v>
      </c>
      <c r="F92" s="417" t="s">
        <v>364</v>
      </c>
      <c r="G92" s="417" t="s">
        <v>6694</v>
      </c>
      <c r="H92" s="417" t="s">
        <v>291</v>
      </c>
      <c r="I92" s="417" t="s">
        <v>11</v>
      </c>
      <c r="J92" s="417" t="s">
        <v>842</v>
      </c>
      <c r="K92" s="418">
        <v>266</v>
      </c>
      <c r="L92" s="419">
        <v>0</v>
      </c>
      <c r="M92" s="418"/>
      <c r="N92" s="414"/>
      <c r="O92" s="414"/>
      <c r="P92" s="418"/>
      <c r="Q92" s="418"/>
    </row>
    <row r="93" spans="1:17" s="32" customFormat="1" ht="19.5" customHeight="1">
      <c r="A93" s="411">
        <v>84</v>
      </c>
      <c r="B93" s="412" t="s">
        <v>2687</v>
      </c>
      <c r="C93" s="416"/>
      <c r="D93" s="416"/>
      <c r="E93" s="412" t="s">
        <v>425</v>
      </c>
      <c r="F93" s="417" t="s">
        <v>2688</v>
      </c>
      <c r="G93" s="417" t="s">
        <v>6694</v>
      </c>
      <c r="H93" s="417" t="s">
        <v>291</v>
      </c>
      <c r="I93" s="417" t="s">
        <v>11</v>
      </c>
      <c r="J93" s="417" t="s">
        <v>842</v>
      </c>
      <c r="K93" s="418">
        <v>690</v>
      </c>
      <c r="L93" s="419">
        <v>3213</v>
      </c>
      <c r="M93" s="418"/>
      <c r="N93" s="414"/>
      <c r="O93" s="414"/>
      <c r="P93" s="418"/>
      <c r="Q93" s="418"/>
    </row>
    <row r="94" spans="1:17" s="32" customFormat="1" ht="19.5" customHeight="1">
      <c r="A94" s="411">
        <v>83</v>
      </c>
      <c r="B94" s="412" t="s">
        <v>2687</v>
      </c>
      <c r="C94" s="413"/>
      <c r="D94" s="413"/>
      <c r="E94" s="413" t="s">
        <v>425</v>
      </c>
      <c r="F94" s="411" t="s">
        <v>9216</v>
      </c>
      <c r="G94" s="411" t="s">
        <v>213</v>
      </c>
      <c r="H94" s="411" t="s">
        <v>291</v>
      </c>
      <c r="I94" s="411" t="s">
        <v>11</v>
      </c>
      <c r="J94" s="411" t="s">
        <v>9063</v>
      </c>
      <c r="K94" s="414">
        <v>750</v>
      </c>
      <c r="L94" s="415">
        <v>171</v>
      </c>
      <c r="M94" s="414"/>
      <c r="N94" s="414"/>
      <c r="O94" s="414"/>
      <c r="P94" s="414"/>
      <c r="Q94" s="414"/>
    </row>
    <row r="95" spans="1:17" s="32" customFormat="1" ht="19.5" customHeight="1">
      <c r="A95" s="411">
        <v>85</v>
      </c>
      <c r="B95" s="412" t="s">
        <v>847</v>
      </c>
      <c r="C95" s="413"/>
      <c r="D95" s="413"/>
      <c r="E95" s="413" t="s">
        <v>9217</v>
      </c>
      <c r="F95" s="411" t="s">
        <v>9218</v>
      </c>
      <c r="G95" s="411" t="s">
        <v>213</v>
      </c>
      <c r="H95" s="411" t="s">
        <v>225</v>
      </c>
      <c r="I95" s="411" t="s">
        <v>11</v>
      </c>
      <c r="J95" s="411" t="s">
        <v>9063</v>
      </c>
      <c r="K95" s="414">
        <v>2195</v>
      </c>
      <c r="L95" s="415">
        <v>0</v>
      </c>
      <c r="M95" s="414"/>
      <c r="N95" s="414"/>
      <c r="O95" s="414"/>
      <c r="P95" s="414"/>
      <c r="Q95" s="414"/>
    </row>
    <row r="96" spans="1:17" s="32" customFormat="1" ht="19.5" customHeight="1">
      <c r="A96" s="411">
        <v>86</v>
      </c>
      <c r="B96" s="432" t="s">
        <v>9219</v>
      </c>
      <c r="C96" s="421"/>
      <c r="D96" s="421"/>
      <c r="E96" s="412" t="s">
        <v>9220</v>
      </c>
      <c r="F96" s="417" t="s">
        <v>9221</v>
      </c>
      <c r="G96" s="417" t="s">
        <v>6694</v>
      </c>
      <c r="H96" s="417" t="s">
        <v>9222</v>
      </c>
      <c r="I96" s="417" t="s">
        <v>11</v>
      </c>
      <c r="J96" s="417" t="s">
        <v>842</v>
      </c>
      <c r="K96" s="418">
        <v>370</v>
      </c>
      <c r="L96" s="419">
        <v>10888</v>
      </c>
      <c r="M96" s="418"/>
      <c r="N96" s="414"/>
      <c r="O96" s="414"/>
      <c r="P96" s="418"/>
      <c r="Q96" s="418"/>
    </row>
    <row r="97" spans="1:17" s="32" customFormat="1" ht="19.5" customHeight="1">
      <c r="A97" s="411">
        <v>87</v>
      </c>
      <c r="B97" s="420" t="s">
        <v>9223</v>
      </c>
      <c r="C97" s="421"/>
      <c r="D97" s="421"/>
      <c r="E97" s="412" t="s">
        <v>3540</v>
      </c>
      <c r="F97" s="417" t="s">
        <v>9224</v>
      </c>
      <c r="G97" s="417" t="s">
        <v>6694</v>
      </c>
      <c r="H97" s="417" t="s">
        <v>238</v>
      </c>
      <c r="I97" s="417" t="s">
        <v>11</v>
      </c>
      <c r="J97" s="417" t="s">
        <v>842</v>
      </c>
      <c r="K97" s="418">
        <v>295</v>
      </c>
      <c r="L97" s="419">
        <v>1419</v>
      </c>
      <c r="M97" s="418"/>
      <c r="N97" s="414"/>
      <c r="O97" s="414"/>
      <c r="P97" s="418"/>
      <c r="Q97" s="418"/>
    </row>
    <row r="98" spans="1:17" s="32" customFormat="1" ht="19.5" customHeight="1">
      <c r="A98" s="411">
        <v>89</v>
      </c>
      <c r="B98" s="413" t="s">
        <v>365</v>
      </c>
      <c r="C98" s="413"/>
      <c r="D98" s="413"/>
      <c r="E98" s="413" t="s">
        <v>3541</v>
      </c>
      <c r="F98" s="411" t="s">
        <v>367</v>
      </c>
      <c r="G98" s="411" t="s">
        <v>213</v>
      </c>
      <c r="H98" s="411" t="s">
        <v>235</v>
      </c>
      <c r="I98" s="411" t="s">
        <v>11</v>
      </c>
      <c r="J98" s="417" t="s">
        <v>842</v>
      </c>
      <c r="K98" s="414">
        <v>268</v>
      </c>
      <c r="L98" s="415">
        <v>0</v>
      </c>
      <c r="M98" s="414"/>
      <c r="N98" s="414"/>
      <c r="O98" s="414"/>
      <c r="P98" s="414"/>
      <c r="Q98" s="414"/>
    </row>
    <row r="99" spans="1:17" s="32" customFormat="1" ht="19.5" customHeight="1">
      <c r="A99" s="411">
        <v>88</v>
      </c>
      <c r="B99" s="420" t="s">
        <v>9223</v>
      </c>
      <c r="C99" s="421"/>
      <c r="D99" s="421"/>
      <c r="E99" s="412" t="s">
        <v>3541</v>
      </c>
      <c r="F99" s="417" t="s">
        <v>367</v>
      </c>
      <c r="G99" s="417" t="s">
        <v>6694</v>
      </c>
      <c r="H99" s="417" t="s">
        <v>235</v>
      </c>
      <c r="I99" s="417" t="s">
        <v>11</v>
      </c>
      <c r="J99" s="417" t="s">
        <v>842</v>
      </c>
      <c r="K99" s="418">
        <v>390</v>
      </c>
      <c r="L99" s="419">
        <v>11266</v>
      </c>
      <c r="M99" s="418"/>
      <c r="N99" s="414"/>
      <c r="O99" s="414"/>
      <c r="P99" s="418"/>
      <c r="Q99" s="418"/>
    </row>
    <row r="100" spans="1:17" s="32" customFormat="1" ht="19.5" customHeight="1">
      <c r="A100" s="411">
        <v>90</v>
      </c>
      <c r="B100" s="412" t="s">
        <v>2693</v>
      </c>
      <c r="C100" s="416"/>
      <c r="D100" s="416"/>
      <c r="E100" s="412" t="s">
        <v>2595</v>
      </c>
      <c r="F100" s="417" t="s">
        <v>2694</v>
      </c>
      <c r="G100" s="417" t="s">
        <v>6694</v>
      </c>
      <c r="H100" s="417" t="s">
        <v>2596</v>
      </c>
      <c r="I100" s="417" t="s">
        <v>520</v>
      </c>
      <c r="J100" s="417" t="s">
        <v>3019</v>
      </c>
      <c r="K100" s="418">
        <v>560</v>
      </c>
      <c r="L100" s="419">
        <v>10</v>
      </c>
      <c r="M100" s="418"/>
      <c r="N100" s="414"/>
      <c r="O100" s="414"/>
      <c r="P100" s="418"/>
      <c r="Q100" s="418"/>
    </row>
    <row r="101" spans="1:17" s="32" customFormat="1" ht="19.5" customHeight="1">
      <c r="A101" s="411">
        <v>91</v>
      </c>
      <c r="B101" s="412" t="s">
        <v>1722</v>
      </c>
      <c r="C101" s="413"/>
      <c r="D101" s="413"/>
      <c r="E101" s="413" t="s">
        <v>9225</v>
      </c>
      <c r="F101" s="411" t="s">
        <v>9226</v>
      </c>
      <c r="G101" s="411" t="s">
        <v>213</v>
      </c>
      <c r="H101" s="411" t="s">
        <v>2596</v>
      </c>
      <c r="I101" s="411" t="s">
        <v>628</v>
      </c>
      <c r="J101" s="411" t="s">
        <v>2654</v>
      </c>
      <c r="K101" s="414">
        <v>590</v>
      </c>
      <c r="L101" s="415">
        <v>0</v>
      </c>
      <c r="M101" s="414"/>
      <c r="N101" s="414"/>
      <c r="O101" s="414"/>
      <c r="P101" s="414"/>
      <c r="Q101" s="414"/>
    </row>
    <row r="102" spans="1:17" s="32" customFormat="1" ht="19.5" customHeight="1">
      <c r="A102" s="411">
        <v>92</v>
      </c>
      <c r="B102" s="413" t="s">
        <v>683</v>
      </c>
      <c r="C102" s="413"/>
      <c r="D102" s="413"/>
      <c r="E102" s="413" t="s">
        <v>9227</v>
      </c>
      <c r="F102" s="411" t="s">
        <v>9228</v>
      </c>
      <c r="G102" s="411" t="s">
        <v>213</v>
      </c>
      <c r="H102" s="411" t="s">
        <v>219</v>
      </c>
      <c r="I102" s="411" t="s">
        <v>11</v>
      </c>
      <c r="J102" s="411" t="s">
        <v>814</v>
      </c>
      <c r="K102" s="414">
        <v>6890</v>
      </c>
      <c r="L102" s="415">
        <v>1914</v>
      </c>
      <c r="M102" s="414"/>
      <c r="N102" s="414"/>
      <c r="O102" s="414"/>
      <c r="P102" s="414"/>
      <c r="Q102" s="414"/>
    </row>
    <row r="103" spans="1:17" s="32" customFormat="1" ht="19.5" customHeight="1">
      <c r="A103" s="411">
        <v>93</v>
      </c>
      <c r="B103" s="412" t="s">
        <v>9229</v>
      </c>
      <c r="C103" s="413"/>
      <c r="D103" s="413"/>
      <c r="E103" s="413" t="s">
        <v>9230</v>
      </c>
      <c r="F103" s="411" t="s">
        <v>9231</v>
      </c>
      <c r="G103" s="411" t="s">
        <v>6694</v>
      </c>
      <c r="H103" s="411" t="s">
        <v>9232</v>
      </c>
      <c r="I103" s="411" t="s">
        <v>10</v>
      </c>
      <c r="J103" s="411" t="s">
        <v>814</v>
      </c>
      <c r="K103" s="414">
        <v>2788</v>
      </c>
      <c r="L103" s="415">
        <v>223</v>
      </c>
      <c r="M103" s="414"/>
      <c r="N103" s="414"/>
      <c r="O103" s="414"/>
      <c r="P103" s="414"/>
      <c r="Q103" s="414"/>
    </row>
    <row r="104" spans="1:17" s="32" customFormat="1" ht="19.5" customHeight="1">
      <c r="A104" s="411">
        <v>94</v>
      </c>
      <c r="B104" s="412" t="s">
        <v>9229</v>
      </c>
      <c r="C104" s="413"/>
      <c r="D104" s="413"/>
      <c r="E104" s="413" t="s">
        <v>9233</v>
      </c>
      <c r="F104" s="411" t="s">
        <v>9234</v>
      </c>
      <c r="G104" s="411" t="s">
        <v>213</v>
      </c>
      <c r="H104" s="411" t="s">
        <v>2585</v>
      </c>
      <c r="I104" s="411" t="s">
        <v>11</v>
      </c>
      <c r="J104" s="411" t="s">
        <v>814</v>
      </c>
      <c r="K104" s="414">
        <v>4108</v>
      </c>
      <c r="L104" s="415">
        <v>0</v>
      </c>
      <c r="M104" s="414"/>
      <c r="N104" s="414"/>
      <c r="O104" s="414"/>
      <c r="P104" s="414"/>
      <c r="Q104" s="414"/>
    </row>
    <row r="105" spans="1:17" s="32" customFormat="1" ht="19.5" customHeight="1">
      <c r="A105" s="411">
        <v>95</v>
      </c>
      <c r="B105" s="420" t="s">
        <v>9229</v>
      </c>
      <c r="C105" s="421"/>
      <c r="D105" s="421"/>
      <c r="E105" s="412" t="s">
        <v>9235</v>
      </c>
      <c r="F105" s="417" t="s">
        <v>9236</v>
      </c>
      <c r="G105" s="417" t="s">
        <v>6694</v>
      </c>
      <c r="H105" s="417" t="s">
        <v>9237</v>
      </c>
      <c r="I105" s="417" t="s">
        <v>13</v>
      </c>
      <c r="J105" s="417" t="s">
        <v>1106</v>
      </c>
      <c r="K105" s="418">
        <v>2295</v>
      </c>
      <c r="L105" s="419">
        <v>0</v>
      </c>
      <c r="M105" s="418"/>
      <c r="N105" s="414"/>
      <c r="O105" s="414"/>
      <c r="P105" s="418"/>
      <c r="Q105" s="418"/>
    </row>
    <row r="106" spans="1:17" s="32" customFormat="1" ht="19.5" customHeight="1">
      <c r="A106" s="411">
        <v>96</v>
      </c>
      <c r="B106" s="412" t="s">
        <v>9229</v>
      </c>
      <c r="C106" s="413"/>
      <c r="D106" s="413"/>
      <c r="E106" s="413" t="s">
        <v>9238</v>
      </c>
      <c r="F106" s="411" t="s">
        <v>9239</v>
      </c>
      <c r="G106" s="411" t="s">
        <v>213</v>
      </c>
      <c r="H106" s="411" t="s">
        <v>9240</v>
      </c>
      <c r="I106" s="411" t="s">
        <v>13</v>
      </c>
      <c r="J106" s="417" t="s">
        <v>1106</v>
      </c>
      <c r="K106" s="414">
        <v>2450</v>
      </c>
      <c r="L106" s="415">
        <v>26</v>
      </c>
      <c r="M106" s="414"/>
      <c r="N106" s="414"/>
      <c r="O106" s="414"/>
      <c r="P106" s="414"/>
      <c r="Q106" s="414"/>
    </row>
    <row r="107" spans="1:17" s="32" customFormat="1" ht="19.5" customHeight="1">
      <c r="A107" s="411">
        <v>97</v>
      </c>
      <c r="B107" s="412" t="s">
        <v>9229</v>
      </c>
      <c r="C107" s="416"/>
      <c r="D107" s="416"/>
      <c r="E107" s="412" t="s">
        <v>9241</v>
      </c>
      <c r="F107" s="417" t="s">
        <v>9242</v>
      </c>
      <c r="G107" s="417" t="s">
        <v>6694</v>
      </c>
      <c r="H107" s="417" t="s">
        <v>9243</v>
      </c>
      <c r="I107" s="417" t="s">
        <v>13</v>
      </c>
      <c r="J107" s="417" t="s">
        <v>9244</v>
      </c>
      <c r="K107" s="418">
        <v>1753</v>
      </c>
      <c r="L107" s="419">
        <v>0</v>
      </c>
      <c r="M107" s="418"/>
      <c r="N107" s="414"/>
      <c r="O107" s="414"/>
      <c r="P107" s="418"/>
      <c r="Q107" s="418"/>
    </row>
    <row r="108" spans="1:17" s="32" customFormat="1" ht="19.5" customHeight="1">
      <c r="A108" s="411">
        <v>98</v>
      </c>
      <c r="B108" s="413" t="s">
        <v>813</v>
      </c>
      <c r="C108" s="413"/>
      <c r="D108" s="413"/>
      <c r="E108" s="413" t="s">
        <v>3543</v>
      </c>
      <c r="F108" s="411" t="s">
        <v>9245</v>
      </c>
      <c r="G108" s="411" t="s">
        <v>5605</v>
      </c>
      <c r="H108" s="411" t="s">
        <v>299</v>
      </c>
      <c r="I108" s="411" t="s">
        <v>11</v>
      </c>
      <c r="J108" s="411" t="s">
        <v>9063</v>
      </c>
      <c r="K108" s="414">
        <v>5292</v>
      </c>
      <c r="L108" s="415">
        <v>9384</v>
      </c>
      <c r="M108" s="414"/>
      <c r="N108" s="414"/>
      <c r="O108" s="414"/>
      <c r="P108" s="414"/>
      <c r="Q108" s="414"/>
    </row>
    <row r="109" spans="1:17" s="32" customFormat="1" ht="19.5" customHeight="1">
      <c r="A109" s="411">
        <v>99</v>
      </c>
      <c r="B109" s="413" t="s">
        <v>3790</v>
      </c>
      <c r="C109" s="413"/>
      <c r="D109" s="413"/>
      <c r="E109" s="413" t="s">
        <v>3544</v>
      </c>
      <c r="F109" s="411" t="s">
        <v>9246</v>
      </c>
      <c r="G109" s="411" t="s">
        <v>213</v>
      </c>
      <c r="H109" s="411" t="s">
        <v>272</v>
      </c>
      <c r="I109" s="411" t="s">
        <v>11</v>
      </c>
      <c r="J109" s="411" t="s">
        <v>9063</v>
      </c>
      <c r="K109" s="414">
        <v>2500</v>
      </c>
      <c r="L109" s="415">
        <v>0</v>
      </c>
      <c r="M109" s="414"/>
      <c r="N109" s="414"/>
      <c r="O109" s="414"/>
      <c r="P109" s="414"/>
      <c r="Q109" s="414"/>
    </row>
    <row r="110" spans="1:17" s="32" customFormat="1" ht="19.5" customHeight="1">
      <c r="A110" s="411">
        <v>100</v>
      </c>
      <c r="B110" s="413" t="s">
        <v>5050</v>
      </c>
      <c r="C110" s="413"/>
      <c r="D110" s="413"/>
      <c r="E110" s="413" t="s">
        <v>3545</v>
      </c>
      <c r="F110" s="411" t="s">
        <v>1863</v>
      </c>
      <c r="G110" s="411" t="s">
        <v>213</v>
      </c>
      <c r="H110" s="411" t="s">
        <v>1862</v>
      </c>
      <c r="I110" s="411" t="s">
        <v>11</v>
      </c>
      <c r="J110" s="411" t="s">
        <v>9063</v>
      </c>
      <c r="K110" s="414">
        <v>530</v>
      </c>
      <c r="L110" s="415">
        <v>0</v>
      </c>
      <c r="M110" s="414"/>
      <c r="N110" s="414"/>
      <c r="O110" s="414"/>
      <c r="P110" s="414"/>
      <c r="Q110" s="414"/>
    </row>
    <row r="111" spans="1:17" s="32" customFormat="1" ht="19.5" customHeight="1">
      <c r="A111" s="411">
        <v>101</v>
      </c>
      <c r="B111" s="412" t="s">
        <v>4989</v>
      </c>
      <c r="C111" s="413"/>
      <c r="D111" s="413"/>
      <c r="E111" s="413" t="s">
        <v>9247</v>
      </c>
      <c r="F111" s="411" t="s">
        <v>9248</v>
      </c>
      <c r="G111" s="411" t="s">
        <v>213</v>
      </c>
      <c r="H111" s="411" t="s">
        <v>4990</v>
      </c>
      <c r="I111" s="411" t="s">
        <v>10</v>
      </c>
      <c r="J111" s="411" t="s">
        <v>9249</v>
      </c>
      <c r="K111" s="414">
        <v>680</v>
      </c>
      <c r="L111" s="415">
        <v>0</v>
      </c>
      <c r="M111" s="414"/>
      <c r="N111" s="414"/>
      <c r="O111" s="414"/>
      <c r="P111" s="414"/>
      <c r="Q111" s="414"/>
    </row>
    <row r="112" spans="1:17" s="32" customFormat="1" ht="19.5" customHeight="1">
      <c r="A112" s="411">
        <v>102</v>
      </c>
      <c r="B112" s="412" t="s">
        <v>9223</v>
      </c>
      <c r="C112" s="413"/>
      <c r="D112" s="413"/>
      <c r="E112" s="413" t="s">
        <v>9250</v>
      </c>
      <c r="F112" s="411" t="s">
        <v>9251</v>
      </c>
      <c r="G112" s="411" t="s">
        <v>5273</v>
      </c>
      <c r="H112" s="411" t="s">
        <v>235</v>
      </c>
      <c r="I112" s="411" t="s">
        <v>10</v>
      </c>
      <c r="J112" s="411" t="s">
        <v>9252</v>
      </c>
      <c r="K112" s="414">
        <v>1260</v>
      </c>
      <c r="L112" s="415">
        <v>55</v>
      </c>
      <c r="M112" s="414"/>
      <c r="N112" s="414"/>
      <c r="O112" s="414"/>
      <c r="P112" s="414"/>
      <c r="Q112" s="414"/>
    </row>
    <row r="113" spans="1:17" s="32" customFormat="1" ht="19.5" customHeight="1">
      <c r="A113" s="411">
        <v>103</v>
      </c>
      <c r="B113" s="412" t="s">
        <v>337</v>
      </c>
      <c r="C113" s="413"/>
      <c r="D113" s="413"/>
      <c r="E113" s="413" t="s">
        <v>9253</v>
      </c>
      <c r="F113" s="411" t="s">
        <v>339</v>
      </c>
      <c r="G113" s="411" t="s">
        <v>213</v>
      </c>
      <c r="H113" s="411" t="s">
        <v>225</v>
      </c>
      <c r="I113" s="411" t="s">
        <v>11</v>
      </c>
      <c r="J113" s="411" t="s">
        <v>9063</v>
      </c>
      <c r="K113" s="414">
        <v>4725</v>
      </c>
      <c r="L113" s="415">
        <v>0</v>
      </c>
      <c r="M113" s="414"/>
      <c r="N113" s="414"/>
      <c r="O113" s="414"/>
      <c r="P113" s="414"/>
      <c r="Q113" s="414"/>
    </row>
    <row r="114" spans="1:17" s="32" customFormat="1" ht="19.5" customHeight="1">
      <c r="A114" s="411">
        <v>104</v>
      </c>
      <c r="B114" s="412" t="s">
        <v>3361</v>
      </c>
      <c r="C114" s="413"/>
      <c r="D114" s="413"/>
      <c r="E114" s="413" t="s">
        <v>3546</v>
      </c>
      <c r="F114" s="411" t="s">
        <v>2698</v>
      </c>
      <c r="G114" s="411" t="s">
        <v>6694</v>
      </c>
      <c r="H114" s="411" t="s">
        <v>272</v>
      </c>
      <c r="I114" s="411" t="s">
        <v>11</v>
      </c>
      <c r="J114" s="411" t="s">
        <v>2204</v>
      </c>
      <c r="K114" s="414">
        <v>3600</v>
      </c>
      <c r="L114" s="415">
        <v>654</v>
      </c>
      <c r="M114" s="414"/>
      <c r="N114" s="414"/>
      <c r="O114" s="414"/>
      <c r="P114" s="414"/>
      <c r="Q114" s="414"/>
    </row>
    <row r="115" spans="1:17" s="32" customFormat="1" ht="19.5" customHeight="1">
      <c r="A115" s="411">
        <v>105</v>
      </c>
      <c r="B115" s="420" t="s">
        <v>3361</v>
      </c>
      <c r="C115" s="421"/>
      <c r="D115" s="421"/>
      <c r="E115" s="412" t="s">
        <v>2447</v>
      </c>
      <c r="F115" s="417" t="s">
        <v>2701</v>
      </c>
      <c r="G115" s="417" t="s">
        <v>6694</v>
      </c>
      <c r="H115" s="417" t="s">
        <v>1200</v>
      </c>
      <c r="I115" s="417" t="s">
        <v>13</v>
      </c>
      <c r="J115" s="417" t="s">
        <v>9254</v>
      </c>
      <c r="K115" s="418">
        <v>2499</v>
      </c>
      <c r="L115" s="419">
        <v>3000</v>
      </c>
      <c r="M115" s="418"/>
      <c r="N115" s="414"/>
      <c r="O115" s="414"/>
      <c r="P115" s="418"/>
      <c r="Q115" s="418"/>
    </row>
    <row r="116" spans="1:17" s="32" customFormat="1" ht="19.5" customHeight="1">
      <c r="A116" s="411">
        <v>106</v>
      </c>
      <c r="B116" s="412" t="s">
        <v>337</v>
      </c>
      <c r="C116" s="413"/>
      <c r="D116" s="413"/>
      <c r="E116" s="413" t="s">
        <v>9255</v>
      </c>
      <c r="F116" s="411" t="s">
        <v>9256</v>
      </c>
      <c r="G116" s="411" t="s">
        <v>213</v>
      </c>
      <c r="H116" s="411" t="s">
        <v>272</v>
      </c>
      <c r="I116" s="411" t="s">
        <v>11</v>
      </c>
      <c r="J116" s="411" t="s">
        <v>9063</v>
      </c>
      <c r="K116" s="414">
        <v>2205</v>
      </c>
      <c r="L116" s="415">
        <v>0</v>
      </c>
      <c r="M116" s="414"/>
      <c r="N116" s="414"/>
      <c r="O116" s="414"/>
      <c r="P116" s="414"/>
      <c r="Q116" s="414"/>
    </row>
    <row r="117" spans="1:17" s="32" customFormat="1" ht="19.5" customHeight="1">
      <c r="A117" s="411">
        <v>107</v>
      </c>
      <c r="B117" s="412" t="s">
        <v>813</v>
      </c>
      <c r="C117" s="413"/>
      <c r="D117" s="413"/>
      <c r="E117" s="413" t="s">
        <v>9257</v>
      </c>
      <c r="F117" s="411" t="s">
        <v>9258</v>
      </c>
      <c r="G117" s="411" t="s">
        <v>213</v>
      </c>
      <c r="H117" s="411" t="s">
        <v>258</v>
      </c>
      <c r="I117" s="411" t="s">
        <v>11</v>
      </c>
      <c r="J117" s="411" t="s">
        <v>9063</v>
      </c>
      <c r="K117" s="414">
        <v>3980</v>
      </c>
      <c r="L117" s="415">
        <v>0</v>
      </c>
      <c r="M117" s="414"/>
      <c r="N117" s="414"/>
      <c r="O117" s="414"/>
      <c r="P117" s="414"/>
      <c r="Q117" s="414"/>
    </row>
    <row r="118" spans="1:17" s="32" customFormat="1" ht="19.5" customHeight="1">
      <c r="A118" s="411">
        <v>108</v>
      </c>
      <c r="B118" s="433" t="s">
        <v>9259</v>
      </c>
      <c r="C118" s="416"/>
      <c r="D118" s="416"/>
      <c r="E118" s="412" t="s">
        <v>9260</v>
      </c>
      <c r="F118" s="417" t="s">
        <v>9261</v>
      </c>
      <c r="G118" s="417" t="s">
        <v>6694</v>
      </c>
      <c r="H118" s="411" t="s">
        <v>9262</v>
      </c>
      <c r="I118" s="417" t="s">
        <v>15</v>
      </c>
      <c r="J118" s="417" t="s">
        <v>9263</v>
      </c>
      <c r="K118" s="434">
        <v>54000</v>
      </c>
      <c r="L118" s="435">
        <v>220</v>
      </c>
      <c r="M118" s="434"/>
      <c r="N118" s="414"/>
      <c r="O118" s="414"/>
      <c r="P118" s="418"/>
      <c r="Q118" s="418"/>
    </row>
    <row r="119" spans="1:17" s="32" customFormat="1" ht="19.5" customHeight="1">
      <c r="A119" s="411">
        <v>109</v>
      </c>
      <c r="B119" s="412" t="s">
        <v>9264</v>
      </c>
      <c r="C119" s="421"/>
      <c r="D119" s="421"/>
      <c r="E119" s="420" t="s">
        <v>21</v>
      </c>
      <c r="F119" s="417" t="s">
        <v>2181</v>
      </c>
      <c r="G119" s="417" t="s">
        <v>6694</v>
      </c>
      <c r="H119" s="411" t="s">
        <v>9265</v>
      </c>
      <c r="I119" s="417" t="s">
        <v>11</v>
      </c>
      <c r="J119" s="417" t="s">
        <v>2917</v>
      </c>
      <c r="K119" s="434">
        <v>1470</v>
      </c>
      <c r="L119" s="435">
        <v>0</v>
      </c>
      <c r="M119" s="434"/>
      <c r="N119" s="414"/>
      <c r="O119" s="414"/>
      <c r="P119" s="418"/>
      <c r="Q119" s="418"/>
    </row>
    <row r="120" spans="1:17" s="32" customFormat="1" ht="19.5" customHeight="1">
      <c r="A120" s="411">
        <v>110</v>
      </c>
      <c r="B120" s="413" t="s">
        <v>9266</v>
      </c>
      <c r="C120" s="413"/>
      <c r="D120" s="413"/>
      <c r="E120" s="413" t="s">
        <v>21</v>
      </c>
      <c r="F120" s="411" t="s">
        <v>2181</v>
      </c>
      <c r="G120" s="411" t="s">
        <v>213</v>
      </c>
      <c r="H120" s="411" t="s">
        <v>9265</v>
      </c>
      <c r="I120" s="411" t="s">
        <v>10</v>
      </c>
      <c r="J120" s="417" t="s">
        <v>2917</v>
      </c>
      <c r="K120" s="414">
        <v>1260</v>
      </c>
      <c r="L120" s="415">
        <v>21350</v>
      </c>
      <c r="M120" s="414"/>
      <c r="N120" s="414"/>
      <c r="O120" s="414"/>
      <c r="P120" s="414"/>
      <c r="Q120" s="414"/>
    </row>
    <row r="121" spans="1:17" s="32" customFormat="1" ht="19.5" customHeight="1">
      <c r="A121" s="411">
        <v>111</v>
      </c>
      <c r="B121" s="412" t="s">
        <v>9267</v>
      </c>
      <c r="C121" s="413"/>
      <c r="D121" s="413"/>
      <c r="E121" s="413" t="s">
        <v>9268</v>
      </c>
      <c r="F121" s="411" t="s">
        <v>9269</v>
      </c>
      <c r="G121" s="411" t="s">
        <v>6694</v>
      </c>
      <c r="H121" s="411" t="s">
        <v>9270</v>
      </c>
      <c r="I121" s="411" t="s">
        <v>13</v>
      </c>
      <c r="J121" s="411" t="s">
        <v>1106</v>
      </c>
      <c r="K121" s="414">
        <v>1995</v>
      </c>
      <c r="L121" s="415">
        <v>0</v>
      </c>
      <c r="M121" s="414"/>
      <c r="N121" s="414"/>
      <c r="O121" s="414"/>
      <c r="P121" s="414"/>
      <c r="Q121" s="414"/>
    </row>
    <row r="122" spans="1:17" s="32" customFormat="1" ht="19.5" customHeight="1">
      <c r="A122" s="411">
        <v>112</v>
      </c>
      <c r="B122" s="413" t="s">
        <v>9271</v>
      </c>
      <c r="C122" s="413"/>
      <c r="D122" s="413"/>
      <c r="E122" s="413" t="s">
        <v>9272</v>
      </c>
      <c r="F122" s="411" t="s">
        <v>9273</v>
      </c>
      <c r="G122" s="411" t="s">
        <v>213</v>
      </c>
      <c r="H122" s="411" t="s">
        <v>2256</v>
      </c>
      <c r="I122" s="411" t="s">
        <v>11</v>
      </c>
      <c r="J122" s="411" t="s">
        <v>9063</v>
      </c>
      <c r="K122" s="414">
        <v>980</v>
      </c>
      <c r="L122" s="415">
        <v>0</v>
      </c>
      <c r="M122" s="414"/>
      <c r="N122" s="414"/>
      <c r="O122" s="414"/>
      <c r="P122" s="414"/>
      <c r="Q122" s="414"/>
    </row>
    <row r="123" spans="1:17" s="32" customFormat="1" ht="19.5" customHeight="1">
      <c r="A123" s="411">
        <v>113</v>
      </c>
      <c r="B123" s="413" t="s">
        <v>9274</v>
      </c>
      <c r="C123" s="413"/>
      <c r="D123" s="413"/>
      <c r="E123" s="413" t="s">
        <v>9275</v>
      </c>
      <c r="F123" s="411" t="s">
        <v>9276</v>
      </c>
      <c r="G123" s="411" t="s">
        <v>213</v>
      </c>
      <c r="H123" s="411" t="s">
        <v>9277</v>
      </c>
      <c r="I123" s="411" t="s">
        <v>11</v>
      </c>
      <c r="J123" s="411" t="s">
        <v>9063</v>
      </c>
      <c r="K123" s="414">
        <v>800</v>
      </c>
      <c r="L123" s="415">
        <v>0</v>
      </c>
      <c r="M123" s="414"/>
      <c r="N123" s="414"/>
      <c r="O123" s="414"/>
      <c r="P123" s="414"/>
      <c r="Q123" s="414"/>
    </row>
    <row r="124" spans="1:17" s="32" customFormat="1" ht="19.5" customHeight="1">
      <c r="A124" s="411">
        <v>114</v>
      </c>
      <c r="B124" s="412" t="s">
        <v>9278</v>
      </c>
      <c r="C124" s="413"/>
      <c r="D124" s="413"/>
      <c r="E124" s="413" t="s">
        <v>9278</v>
      </c>
      <c r="F124" s="411" t="s">
        <v>9279</v>
      </c>
      <c r="G124" s="411" t="s">
        <v>213</v>
      </c>
      <c r="H124" s="436" t="s">
        <v>9277</v>
      </c>
      <c r="I124" s="411" t="s">
        <v>11</v>
      </c>
      <c r="J124" s="411" t="s">
        <v>553</v>
      </c>
      <c r="K124" s="414">
        <v>975</v>
      </c>
      <c r="L124" s="415">
        <v>0</v>
      </c>
      <c r="M124" s="414"/>
      <c r="N124" s="414"/>
      <c r="O124" s="414"/>
      <c r="P124" s="414"/>
      <c r="Q124" s="414"/>
    </row>
    <row r="125" spans="1:17" s="32" customFormat="1" ht="19.5" customHeight="1">
      <c r="A125" s="411">
        <v>116</v>
      </c>
      <c r="B125" s="413" t="s">
        <v>325</v>
      </c>
      <c r="C125" s="413"/>
      <c r="D125" s="413"/>
      <c r="E125" s="413" t="s">
        <v>3547</v>
      </c>
      <c r="F125" s="411" t="s">
        <v>2705</v>
      </c>
      <c r="G125" s="411" t="s">
        <v>213</v>
      </c>
      <c r="H125" s="411" t="s">
        <v>1004</v>
      </c>
      <c r="I125" s="411" t="s">
        <v>11</v>
      </c>
      <c r="J125" s="411" t="s">
        <v>842</v>
      </c>
      <c r="K125" s="414">
        <v>252</v>
      </c>
      <c r="L125" s="415">
        <v>413</v>
      </c>
      <c r="M125" s="414"/>
      <c r="N125" s="414"/>
      <c r="O125" s="414"/>
      <c r="P125" s="414"/>
      <c r="Q125" s="414"/>
    </row>
    <row r="126" spans="1:17" s="32" customFormat="1" ht="19.5" customHeight="1">
      <c r="A126" s="411">
        <v>115</v>
      </c>
      <c r="B126" s="412" t="s">
        <v>9280</v>
      </c>
      <c r="C126" s="413"/>
      <c r="D126" s="413"/>
      <c r="E126" s="413" t="s">
        <v>3547</v>
      </c>
      <c r="F126" s="411" t="s">
        <v>9281</v>
      </c>
      <c r="G126" s="411" t="s">
        <v>213</v>
      </c>
      <c r="H126" s="411" t="s">
        <v>327</v>
      </c>
      <c r="I126" s="411" t="s">
        <v>11</v>
      </c>
      <c r="J126" s="411" t="s">
        <v>9063</v>
      </c>
      <c r="K126" s="414">
        <v>273</v>
      </c>
      <c r="L126" s="415">
        <v>0</v>
      </c>
      <c r="M126" s="414"/>
      <c r="N126" s="414"/>
      <c r="O126" s="414"/>
      <c r="P126" s="414"/>
      <c r="Q126" s="414"/>
    </row>
    <row r="127" spans="1:17" s="32" customFormat="1" ht="19.5" customHeight="1">
      <c r="A127" s="411">
        <v>117</v>
      </c>
      <c r="B127" s="412" t="s">
        <v>9282</v>
      </c>
      <c r="C127" s="413"/>
      <c r="D127" s="413"/>
      <c r="E127" s="413" t="s">
        <v>9283</v>
      </c>
      <c r="F127" s="411" t="s">
        <v>9284</v>
      </c>
      <c r="G127" s="411" t="s">
        <v>213</v>
      </c>
      <c r="H127" s="411" t="s">
        <v>1580</v>
      </c>
      <c r="I127" s="411" t="s">
        <v>11</v>
      </c>
      <c r="J127" s="411" t="s">
        <v>9285</v>
      </c>
      <c r="K127" s="414">
        <v>2900</v>
      </c>
      <c r="L127" s="415">
        <v>0</v>
      </c>
      <c r="M127" s="414"/>
      <c r="N127" s="414"/>
      <c r="O127" s="414"/>
      <c r="P127" s="414"/>
      <c r="Q127" s="414"/>
    </row>
    <row r="128" spans="1:17" s="32" customFormat="1" ht="19.5" customHeight="1">
      <c r="A128" s="411">
        <v>118</v>
      </c>
      <c r="B128" s="420" t="s">
        <v>376</v>
      </c>
      <c r="C128" s="421"/>
      <c r="D128" s="421"/>
      <c r="E128" s="412" t="s">
        <v>9286</v>
      </c>
      <c r="F128" s="417" t="s">
        <v>9287</v>
      </c>
      <c r="G128" s="417" t="s">
        <v>6694</v>
      </c>
      <c r="H128" s="417" t="s">
        <v>550</v>
      </c>
      <c r="I128" s="417" t="s">
        <v>11</v>
      </c>
      <c r="J128" s="417" t="s">
        <v>9288</v>
      </c>
      <c r="K128" s="418">
        <v>640</v>
      </c>
      <c r="L128" s="419">
        <v>5688</v>
      </c>
      <c r="M128" s="418"/>
      <c r="N128" s="414"/>
      <c r="O128" s="414"/>
      <c r="P128" s="418"/>
      <c r="Q128" s="418"/>
    </row>
    <row r="129" spans="1:17" s="32" customFormat="1" ht="19.5" customHeight="1">
      <c r="A129" s="411">
        <v>119</v>
      </c>
      <c r="B129" s="412" t="s">
        <v>1333</v>
      </c>
      <c r="C129" s="416"/>
      <c r="D129" s="416"/>
      <c r="E129" s="412" t="s">
        <v>9289</v>
      </c>
      <c r="F129" s="417" t="s">
        <v>2707</v>
      </c>
      <c r="G129" s="417" t="s">
        <v>6694</v>
      </c>
      <c r="H129" s="417" t="s">
        <v>3716</v>
      </c>
      <c r="I129" s="417" t="s">
        <v>15</v>
      </c>
      <c r="J129" s="417" t="s">
        <v>3049</v>
      </c>
      <c r="K129" s="418">
        <v>8190</v>
      </c>
      <c r="L129" s="419">
        <v>33</v>
      </c>
      <c r="M129" s="418"/>
      <c r="N129" s="414"/>
      <c r="O129" s="414"/>
      <c r="P129" s="418"/>
      <c r="Q129" s="418"/>
    </row>
    <row r="130" spans="1:17" s="32" customFormat="1" ht="19.5" customHeight="1">
      <c r="A130" s="411">
        <v>120</v>
      </c>
      <c r="B130" s="412" t="s">
        <v>9290</v>
      </c>
      <c r="C130" s="413"/>
      <c r="D130" s="413"/>
      <c r="E130" s="413" t="s">
        <v>9291</v>
      </c>
      <c r="F130" s="411" t="s">
        <v>9292</v>
      </c>
      <c r="G130" s="411" t="s">
        <v>213</v>
      </c>
      <c r="H130" s="411" t="s">
        <v>262</v>
      </c>
      <c r="I130" s="411" t="s">
        <v>11</v>
      </c>
      <c r="J130" s="411" t="s">
        <v>9063</v>
      </c>
      <c r="K130" s="414">
        <v>3500</v>
      </c>
      <c r="L130" s="415">
        <v>0</v>
      </c>
      <c r="M130" s="414"/>
      <c r="N130" s="414"/>
      <c r="O130" s="414"/>
      <c r="P130" s="414"/>
      <c r="Q130" s="414"/>
    </row>
    <row r="131" spans="1:17" s="32" customFormat="1" ht="19.5" customHeight="1">
      <c r="A131" s="411">
        <v>121</v>
      </c>
      <c r="B131" s="413" t="s">
        <v>2452</v>
      </c>
      <c r="C131" s="413"/>
      <c r="D131" s="413"/>
      <c r="E131" s="413" t="s">
        <v>3548</v>
      </c>
      <c r="F131" s="411" t="s">
        <v>2710</v>
      </c>
      <c r="G131" s="411" t="s">
        <v>213</v>
      </c>
      <c r="H131" s="411" t="s">
        <v>1764</v>
      </c>
      <c r="I131" s="411" t="s">
        <v>11</v>
      </c>
      <c r="J131" s="411" t="s">
        <v>804</v>
      </c>
      <c r="K131" s="414">
        <v>399</v>
      </c>
      <c r="L131" s="415">
        <v>0</v>
      </c>
      <c r="M131" s="414"/>
      <c r="N131" s="414"/>
      <c r="O131" s="414"/>
      <c r="P131" s="414"/>
      <c r="Q131" s="414"/>
    </row>
    <row r="132" spans="1:17" s="32" customFormat="1" ht="19.5" customHeight="1">
      <c r="A132" s="411">
        <v>122</v>
      </c>
      <c r="B132" s="437" t="s">
        <v>9293</v>
      </c>
      <c r="C132" s="416"/>
      <c r="D132" s="416"/>
      <c r="E132" s="412" t="s">
        <v>9294</v>
      </c>
      <c r="F132" s="417" t="s">
        <v>2035</v>
      </c>
      <c r="G132" s="417" t="s">
        <v>5105</v>
      </c>
      <c r="H132" s="417" t="s">
        <v>9295</v>
      </c>
      <c r="I132" s="417" t="s">
        <v>2037</v>
      </c>
      <c r="J132" s="417" t="s">
        <v>9296</v>
      </c>
      <c r="K132" s="418">
        <v>132323</v>
      </c>
      <c r="L132" s="419">
        <v>33</v>
      </c>
      <c r="M132" s="418"/>
      <c r="N132" s="414"/>
      <c r="O132" s="414"/>
      <c r="P132" s="418"/>
      <c r="Q132" s="418"/>
    </row>
    <row r="133" spans="1:17" s="32" customFormat="1" ht="19.5" customHeight="1">
      <c r="A133" s="411">
        <v>123</v>
      </c>
      <c r="B133" s="420" t="s">
        <v>9297</v>
      </c>
      <c r="C133" s="421"/>
      <c r="D133" s="421"/>
      <c r="E133" s="412" t="s">
        <v>9298</v>
      </c>
      <c r="F133" s="417" t="s">
        <v>9299</v>
      </c>
      <c r="G133" s="417" t="s">
        <v>6694</v>
      </c>
      <c r="H133" s="417" t="s">
        <v>272</v>
      </c>
      <c r="I133" s="417" t="s">
        <v>11</v>
      </c>
      <c r="J133" s="417" t="s">
        <v>1329</v>
      </c>
      <c r="K133" s="418">
        <v>1680</v>
      </c>
      <c r="L133" s="419">
        <v>0</v>
      </c>
      <c r="M133" s="418"/>
      <c r="N133" s="414"/>
      <c r="O133" s="414"/>
      <c r="P133" s="418"/>
      <c r="Q133" s="418"/>
    </row>
    <row r="134" spans="1:17" s="32" customFormat="1" ht="19.5" customHeight="1">
      <c r="A134" s="411">
        <v>124</v>
      </c>
      <c r="B134" s="412" t="s">
        <v>9297</v>
      </c>
      <c r="C134" s="413"/>
      <c r="D134" s="413"/>
      <c r="E134" s="413" t="s">
        <v>9300</v>
      </c>
      <c r="F134" s="411" t="s">
        <v>9301</v>
      </c>
      <c r="G134" s="411" t="s">
        <v>213</v>
      </c>
      <c r="H134" s="411" t="s">
        <v>272</v>
      </c>
      <c r="I134" s="411" t="s">
        <v>11</v>
      </c>
      <c r="J134" s="411" t="s">
        <v>647</v>
      </c>
      <c r="K134" s="414">
        <v>2785</v>
      </c>
      <c r="L134" s="415">
        <v>145</v>
      </c>
      <c r="M134" s="414"/>
      <c r="N134" s="414"/>
      <c r="O134" s="414"/>
      <c r="P134" s="414"/>
      <c r="Q134" s="414"/>
    </row>
    <row r="135" spans="1:17" s="32" customFormat="1" ht="19.5" customHeight="1">
      <c r="A135" s="411">
        <v>125</v>
      </c>
      <c r="B135" s="412" t="s">
        <v>2597</v>
      </c>
      <c r="C135" s="413"/>
      <c r="D135" s="413"/>
      <c r="E135" s="413" t="s">
        <v>9302</v>
      </c>
      <c r="F135" s="411" t="s">
        <v>5683</v>
      </c>
      <c r="G135" s="411" t="s">
        <v>5661</v>
      </c>
      <c r="H135" s="411" t="s">
        <v>248</v>
      </c>
      <c r="I135" s="411" t="s">
        <v>10</v>
      </c>
      <c r="J135" s="411" t="s">
        <v>2720</v>
      </c>
      <c r="K135" s="414">
        <v>4620</v>
      </c>
      <c r="L135" s="415">
        <v>0</v>
      </c>
      <c r="M135" s="414"/>
      <c r="N135" s="414"/>
      <c r="O135" s="414"/>
      <c r="P135" s="414"/>
      <c r="Q135" s="414"/>
    </row>
    <row r="136" spans="1:17" s="32" customFormat="1" ht="19.5" customHeight="1">
      <c r="A136" s="411">
        <v>126</v>
      </c>
      <c r="B136" s="412" t="s">
        <v>2597</v>
      </c>
      <c r="C136" s="413"/>
      <c r="D136" s="413"/>
      <c r="E136" s="413" t="s">
        <v>4780</v>
      </c>
      <c r="F136" s="411" t="s">
        <v>2719</v>
      </c>
      <c r="G136" s="411" t="s">
        <v>5661</v>
      </c>
      <c r="H136" s="411" t="s">
        <v>291</v>
      </c>
      <c r="I136" s="411" t="s">
        <v>10</v>
      </c>
      <c r="J136" s="411" t="s">
        <v>2720</v>
      </c>
      <c r="K136" s="414">
        <v>5779</v>
      </c>
      <c r="L136" s="415">
        <v>42</v>
      </c>
      <c r="M136" s="414"/>
      <c r="N136" s="414"/>
      <c r="O136" s="414"/>
      <c r="P136" s="414"/>
      <c r="Q136" s="414"/>
    </row>
    <row r="137" spans="1:17" s="32" customFormat="1" ht="19.5" customHeight="1">
      <c r="A137" s="411">
        <v>127</v>
      </c>
      <c r="B137" s="413" t="s">
        <v>9303</v>
      </c>
      <c r="C137" s="413"/>
      <c r="D137" s="413"/>
      <c r="E137" s="413" t="s">
        <v>9304</v>
      </c>
      <c r="F137" s="411" t="s">
        <v>9305</v>
      </c>
      <c r="G137" s="411" t="s">
        <v>213</v>
      </c>
      <c r="H137" s="411" t="s">
        <v>26</v>
      </c>
      <c r="I137" s="411" t="s">
        <v>10</v>
      </c>
      <c r="J137" s="411" t="s">
        <v>2204</v>
      </c>
      <c r="K137" s="414">
        <v>2850</v>
      </c>
      <c r="L137" s="415">
        <v>3000</v>
      </c>
      <c r="M137" s="414"/>
      <c r="N137" s="414"/>
      <c r="O137" s="414"/>
      <c r="P137" s="414"/>
      <c r="Q137" s="414"/>
    </row>
    <row r="138" spans="1:17" s="32" customFormat="1" ht="19.5" customHeight="1">
      <c r="A138" s="411">
        <v>128</v>
      </c>
      <c r="B138" s="412" t="s">
        <v>9297</v>
      </c>
      <c r="C138" s="413"/>
      <c r="D138" s="413"/>
      <c r="E138" s="413" t="s">
        <v>9306</v>
      </c>
      <c r="F138" s="411" t="s">
        <v>9307</v>
      </c>
      <c r="G138" s="411" t="s">
        <v>213</v>
      </c>
      <c r="H138" s="411" t="s">
        <v>1200</v>
      </c>
      <c r="I138" s="411" t="s">
        <v>12</v>
      </c>
      <c r="J138" s="411" t="s">
        <v>9308</v>
      </c>
      <c r="K138" s="414">
        <v>1596</v>
      </c>
      <c r="L138" s="415">
        <v>0</v>
      </c>
      <c r="M138" s="414"/>
      <c r="N138" s="414"/>
      <c r="O138" s="414"/>
      <c r="P138" s="414"/>
      <c r="Q138" s="414"/>
    </row>
    <row r="139" spans="1:17" s="32" customFormat="1" ht="19.5" customHeight="1">
      <c r="A139" s="411">
        <v>129</v>
      </c>
      <c r="B139" s="412" t="s">
        <v>9297</v>
      </c>
      <c r="C139" s="413"/>
      <c r="D139" s="413"/>
      <c r="E139" s="413" t="s">
        <v>9309</v>
      </c>
      <c r="F139" s="411" t="s">
        <v>9310</v>
      </c>
      <c r="G139" s="411" t="s">
        <v>213</v>
      </c>
      <c r="H139" s="411" t="s">
        <v>225</v>
      </c>
      <c r="I139" s="411" t="s">
        <v>11</v>
      </c>
      <c r="J139" s="411" t="s">
        <v>2204</v>
      </c>
      <c r="K139" s="414">
        <v>3990</v>
      </c>
      <c r="L139" s="415">
        <v>0</v>
      </c>
      <c r="M139" s="414"/>
      <c r="N139" s="414"/>
      <c r="O139" s="414"/>
      <c r="P139" s="414"/>
      <c r="Q139" s="414"/>
    </row>
    <row r="140" spans="1:17" s="32" customFormat="1" ht="19.5" customHeight="1">
      <c r="A140" s="411">
        <v>130</v>
      </c>
      <c r="B140" s="412" t="s">
        <v>9311</v>
      </c>
      <c r="C140" s="413"/>
      <c r="D140" s="413"/>
      <c r="E140" s="413" t="s">
        <v>9312</v>
      </c>
      <c r="F140" s="411" t="s">
        <v>9313</v>
      </c>
      <c r="G140" s="411" t="s">
        <v>213</v>
      </c>
      <c r="H140" s="411" t="s">
        <v>9314</v>
      </c>
      <c r="I140" s="411" t="s">
        <v>9115</v>
      </c>
      <c r="J140" s="411" t="s">
        <v>9063</v>
      </c>
      <c r="K140" s="414">
        <v>252</v>
      </c>
      <c r="L140" s="415">
        <v>464</v>
      </c>
      <c r="M140" s="414"/>
      <c r="N140" s="414"/>
      <c r="O140" s="414"/>
      <c r="P140" s="414"/>
      <c r="Q140" s="414"/>
    </row>
    <row r="141" spans="1:17" s="32" customFormat="1" ht="19.5" customHeight="1">
      <c r="A141" s="411">
        <v>131</v>
      </c>
      <c r="B141" s="412" t="s">
        <v>9311</v>
      </c>
      <c r="C141" s="413"/>
      <c r="D141" s="413"/>
      <c r="E141" s="413" t="s">
        <v>9315</v>
      </c>
      <c r="F141" s="411" t="s">
        <v>9316</v>
      </c>
      <c r="G141" s="411" t="s">
        <v>6694</v>
      </c>
      <c r="H141" s="411" t="s">
        <v>9317</v>
      </c>
      <c r="I141" s="411" t="s">
        <v>10</v>
      </c>
      <c r="J141" s="411" t="s">
        <v>9318</v>
      </c>
      <c r="K141" s="414">
        <v>209</v>
      </c>
      <c r="L141" s="415">
        <v>5436</v>
      </c>
      <c r="M141" s="414"/>
      <c r="N141" s="414"/>
      <c r="O141" s="414"/>
      <c r="P141" s="414"/>
      <c r="Q141" s="414"/>
    </row>
    <row r="142" spans="1:17" s="32" customFormat="1" ht="19.5" customHeight="1">
      <c r="A142" s="411">
        <v>132</v>
      </c>
      <c r="B142" s="412" t="s">
        <v>9319</v>
      </c>
      <c r="C142" s="413"/>
      <c r="D142" s="413"/>
      <c r="E142" s="413" t="s">
        <v>2620</v>
      </c>
      <c r="F142" s="411" t="s">
        <v>2722</v>
      </c>
      <c r="G142" s="411" t="s">
        <v>6694</v>
      </c>
      <c r="H142" s="411" t="s">
        <v>9320</v>
      </c>
      <c r="I142" s="411" t="s">
        <v>10</v>
      </c>
      <c r="J142" s="411" t="s">
        <v>9318</v>
      </c>
      <c r="K142" s="414">
        <v>357</v>
      </c>
      <c r="L142" s="415">
        <v>21293</v>
      </c>
      <c r="M142" s="414"/>
      <c r="N142" s="414"/>
      <c r="O142" s="414"/>
      <c r="P142" s="414"/>
      <c r="Q142" s="414"/>
    </row>
    <row r="143" spans="1:17" s="32" customFormat="1" ht="19.5" customHeight="1">
      <c r="A143" s="411">
        <v>133</v>
      </c>
      <c r="B143" s="412" t="s">
        <v>9321</v>
      </c>
      <c r="C143" s="413"/>
      <c r="D143" s="413"/>
      <c r="E143" s="413" t="s">
        <v>9322</v>
      </c>
      <c r="F143" s="411" t="s">
        <v>9323</v>
      </c>
      <c r="G143" s="411" t="s">
        <v>213</v>
      </c>
      <c r="H143" s="411" t="s">
        <v>1200</v>
      </c>
      <c r="I143" s="411" t="s">
        <v>12</v>
      </c>
      <c r="J143" s="411" t="s">
        <v>2660</v>
      </c>
      <c r="K143" s="414">
        <v>2499</v>
      </c>
      <c r="L143" s="415">
        <v>19</v>
      </c>
      <c r="M143" s="414"/>
      <c r="N143" s="414"/>
      <c r="O143" s="414"/>
      <c r="P143" s="414"/>
      <c r="Q143" s="414"/>
    </row>
    <row r="144" spans="1:17" s="32" customFormat="1" ht="19.5" customHeight="1">
      <c r="A144" s="411">
        <v>134</v>
      </c>
      <c r="B144" s="412" t="s">
        <v>1640</v>
      </c>
      <c r="C144" s="413"/>
      <c r="D144" s="413"/>
      <c r="E144" s="413" t="s">
        <v>9324</v>
      </c>
      <c r="F144" s="411" t="s">
        <v>9325</v>
      </c>
      <c r="G144" s="411" t="s">
        <v>6694</v>
      </c>
      <c r="H144" s="411" t="s">
        <v>625</v>
      </c>
      <c r="I144" s="411" t="s">
        <v>11</v>
      </c>
      <c r="J144" s="411" t="s">
        <v>815</v>
      </c>
      <c r="K144" s="414">
        <v>504</v>
      </c>
      <c r="L144" s="415">
        <v>0</v>
      </c>
      <c r="M144" s="414"/>
      <c r="N144" s="414"/>
      <c r="O144" s="414"/>
      <c r="P144" s="414"/>
      <c r="Q144" s="414"/>
    </row>
    <row r="145" spans="1:17" s="32" customFormat="1" ht="19.5" customHeight="1">
      <c r="A145" s="411">
        <v>135</v>
      </c>
      <c r="B145" s="413" t="s">
        <v>624</v>
      </c>
      <c r="C145" s="413"/>
      <c r="D145" s="413"/>
      <c r="E145" s="413" t="s">
        <v>3550</v>
      </c>
      <c r="F145" s="411" t="s">
        <v>2724</v>
      </c>
      <c r="G145" s="411" t="s">
        <v>213</v>
      </c>
      <c r="H145" s="411" t="s">
        <v>327</v>
      </c>
      <c r="I145" s="411" t="s">
        <v>11</v>
      </c>
      <c r="J145" s="411" t="s">
        <v>815</v>
      </c>
      <c r="K145" s="414">
        <v>914</v>
      </c>
      <c r="L145" s="415">
        <v>8972</v>
      </c>
      <c r="M145" s="414"/>
      <c r="N145" s="414"/>
      <c r="O145" s="414"/>
      <c r="P145" s="414"/>
      <c r="Q145" s="414"/>
    </row>
    <row r="146" spans="1:17" s="32" customFormat="1" ht="19.5" customHeight="1">
      <c r="A146" s="411">
        <v>136</v>
      </c>
      <c r="B146" s="420" t="s">
        <v>9326</v>
      </c>
      <c r="C146" s="421"/>
      <c r="D146" s="421"/>
      <c r="E146" s="412" t="s">
        <v>3551</v>
      </c>
      <c r="F146" s="417" t="s">
        <v>2726</v>
      </c>
      <c r="G146" s="417" t="s">
        <v>6694</v>
      </c>
      <c r="H146" s="417" t="s">
        <v>2727</v>
      </c>
      <c r="I146" s="417" t="s">
        <v>14</v>
      </c>
      <c r="J146" s="417" t="s">
        <v>9327</v>
      </c>
      <c r="K146" s="418">
        <v>4893</v>
      </c>
      <c r="L146" s="419">
        <v>20</v>
      </c>
      <c r="M146" s="418"/>
      <c r="N146" s="414"/>
      <c r="O146" s="414"/>
      <c r="P146" s="418"/>
      <c r="Q146" s="418"/>
    </row>
    <row r="147" spans="1:17" s="32" customFormat="1" ht="19.5" customHeight="1">
      <c r="A147" s="411">
        <v>137</v>
      </c>
      <c r="B147" s="413" t="s">
        <v>1368</v>
      </c>
      <c r="C147" s="413"/>
      <c r="D147" s="413"/>
      <c r="E147" s="413" t="s">
        <v>9328</v>
      </c>
      <c r="F147" s="411" t="s">
        <v>2726</v>
      </c>
      <c r="G147" s="411" t="s">
        <v>213</v>
      </c>
      <c r="H147" s="411" t="s">
        <v>2727</v>
      </c>
      <c r="I147" s="411" t="s">
        <v>658</v>
      </c>
      <c r="J147" s="411" t="s">
        <v>9329</v>
      </c>
      <c r="K147" s="414">
        <v>4179</v>
      </c>
      <c r="L147" s="415">
        <v>0</v>
      </c>
      <c r="M147" s="414"/>
      <c r="N147" s="414"/>
      <c r="O147" s="414"/>
      <c r="P147" s="414"/>
      <c r="Q147" s="414"/>
    </row>
    <row r="148" spans="1:17" s="32" customFormat="1" ht="19.5" customHeight="1">
      <c r="A148" s="411">
        <v>138</v>
      </c>
      <c r="B148" s="413" t="s">
        <v>788</v>
      </c>
      <c r="C148" s="413"/>
      <c r="D148" s="413"/>
      <c r="E148" s="413" t="s">
        <v>9330</v>
      </c>
      <c r="F148" s="411" t="s">
        <v>9331</v>
      </c>
      <c r="G148" s="411" t="s">
        <v>5605</v>
      </c>
      <c r="H148" s="411" t="s">
        <v>9160</v>
      </c>
      <c r="I148" s="411" t="s">
        <v>11</v>
      </c>
      <c r="J148" s="411" t="s">
        <v>1134</v>
      </c>
      <c r="K148" s="414">
        <v>899</v>
      </c>
      <c r="L148" s="415">
        <v>4808</v>
      </c>
      <c r="M148" s="414"/>
      <c r="N148" s="414"/>
      <c r="O148" s="414"/>
      <c r="P148" s="414"/>
      <c r="Q148" s="414"/>
    </row>
    <row r="149" spans="1:17" s="32" customFormat="1" ht="19.5" customHeight="1">
      <c r="A149" s="411">
        <v>139</v>
      </c>
      <c r="B149" s="413" t="s">
        <v>9332</v>
      </c>
      <c r="C149" s="413"/>
      <c r="D149" s="413"/>
      <c r="E149" s="413" t="s">
        <v>9333</v>
      </c>
      <c r="F149" s="411" t="s">
        <v>2735</v>
      </c>
      <c r="G149" s="411" t="s">
        <v>213</v>
      </c>
      <c r="H149" s="411" t="s">
        <v>2737</v>
      </c>
      <c r="I149" s="411" t="s">
        <v>11</v>
      </c>
      <c r="J149" s="411" t="s">
        <v>1134</v>
      </c>
      <c r="K149" s="414">
        <v>5400</v>
      </c>
      <c r="L149" s="415">
        <v>8070</v>
      </c>
      <c r="M149" s="414"/>
      <c r="N149" s="414"/>
      <c r="O149" s="414"/>
      <c r="P149" s="414"/>
      <c r="Q149" s="414"/>
    </row>
    <row r="150" spans="1:17" s="32" customFormat="1" ht="19.5" customHeight="1">
      <c r="A150" s="411">
        <v>140</v>
      </c>
      <c r="B150" s="412" t="s">
        <v>9334</v>
      </c>
      <c r="C150" s="413"/>
      <c r="D150" s="413"/>
      <c r="E150" s="413" t="s">
        <v>9335</v>
      </c>
      <c r="F150" s="411" t="s">
        <v>9336</v>
      </c>
      <c r="G150" s="411" t="s">
        <v>213</v>
      </c>
      <c r="H150" s="411" t="s">
        <v>327</v>
      </c>
      <c r="I150" s="411" t="s">
        <v>10</v>
      </c>
      <c r="J150" s="411" t="s">
        <v>1134</v>
      </c>
      <c r="K150" s="414">
        <v>1155</v>
      </c>
      <c r="L150" s="415">
        <v>21</v>
      </c>
      <c r="M150" s="414"/>
      <c r="N150" s="414"/>
      <c r="O150" s="414"/>
      <c r="P150" s="414"/>
      <c r="Q150" s="414"/>
    </row>
    <row r="151" spans="1:17" s="32" customFormat="1" ht="19.5" customHeight="1">
      <c r="A151" s="411">
        <v>141</v>
      </c>
      <c r="B151" s="412" t="s">
        <v>9337</v>
      </c>
      <c r="C151" s="413"/>
      <c r="D151" s="413"/>
      <c r="E151" s="413" t="s">
        <v>2740</v>
      </c>
      <c r="F151" s="411" t="s">
        <v>9338</v>
      </c>
      <c r="G151" s="411" t="s">
        <v>213</v>
      </c>
      <c r="H151" s="411" t="s">
        <v>238</v>
      </c>
      <c r="I151" s="411" t="s">
        <v>11</v>
      </c>
      <c r="J151" s="417" t="s">
        <v>1371</v>
      </c>
      <c r="K151" s="414">
        <v>567</v>
      </c>
      <c r="L151" s="415">
        <v>20</v>
      </c>
      <c r="M151" s="414"/>
      <c r="N151" s="414"/>
      <c r="O151" s="414"/>
      <c r="P151" s="414"/>
      <c r="Q151" s="414"/>
    </row>
    <row r="152" spans="1:17" s="32" customFormat="1" ht="19.5" customHeight="1">
      <c r="A152" s="411">
        <v>142</v>
      </c>
      <c r="B152" s="420" t="s">
        <v>9337</v>
      </c>
      <c r="C152" s="421"/>
      <c r="D152" s="421"/>
      <c r="E152" s="412" t="s">
        <v>2740</v>
      </c>
      <c r="F152" s="417" t="s">
        <v>2741</v>
      </c>
      <c r="G152" s="417" t="s">
        <v>6694</v>
      </c>
      <c r="H152" s="417" t="s">
        <v>1995</v>
      </c>
      <c r="I152" s="417" t="s">
        <v>10</v>
      </c>
      <c r="J152" s="417" t="s">
        <v>1371</v>
      </c>
      <c r="K152" s="418">
        <v>588</v>
      </c>
      <c r="L152" s="419">
        <v>776</v>
      </c>
      <c r="M152" s="418"/>
      <c r="N152" s="414"/>
      <c r="O152" s="414"/>
      <c r="P152" s="418"/>
      <c r="Q152" s="418"/>
    </row>
    <row r="153" spans="1:17" s="32" customFormat="1" ht="19.5" customHeight="1">
      <c r="A153" s="411">
        <v>143</v>
      </c>
      <c r="B153" s="420" t="s">
        <v>9339</v>
      </c>
      <c r="C153" s="421"/>
      <c r="D153" s="421"/>
      <c r="E153" s="412" t="s">
        <v>9340</v>
      </c>
      <c r="F153" s="417" t="s">
        <v>9341</v>
      </c>
      <c r="G153" s="417" t="s">
        <v>6694</v>
      </c>
      <c r="H153" s="417" t="s">
        <v>1004</v>
      </c>
      <c r="I153" s="417" t="s">
        <v>10</v>
      </c>
      <c r="J153" s="417" t="s">
        <v>1371</v>
      </c>
      <c r="K153" s="418">
        <v>357</v>
      </c>
      <c r="L153" s="419">
        <v>0</v>
      </c>
      <c r="M153" s="418"/>
      <c r="N153" s="414"/>
      <c r="O153" s="414"/>
      <c r="P153" s="418"/>
      <c r="Q153" s="418"/>
    </row>
    <row r="154" spans="1:17" s="32" customFormat="1" ht="19.5" customHeight="1">
      <c r="A154" s="411">
        <v>144</v>
      </c>
      <c r="B154" s="413" t="s">
        <v>1195</v>
      </c>
      <c r="C154" s="413"/>
      <c r="D154" s="413"/>
      <c r="E154" s="413" t="s">
        <v>9342</v>
      </c>
      <c r="F154" s="411" t="s">
        <v>1198</v>
      </c>
      <c r="G154" s="411" t="s">
        <v>213</v>
      </c>
      <c r="H154" s="411" t="s">
        <v>327</v>
      </c>
      <c r="I154" s="411" t="s">
        <v>11</v>
      </c>
      <c r="J154" s="411" t="s">
        <v>9343</v>
      </c>
      <c r="K154" s="414">
        <v>250</v>
      </c>
      <c r="L154" s="415">
        <v>924</v>
      </c>
      <c r="M154" s="414"/>
      <c r="N154" s="414"/>
      <c r="O154" s="414"/>
      <c r="P154" s="414"/>
      <c r="Q154" s="414"/>
    </row>
    <row r="155" spans="1:17" s="32" customFormat="1" ht="19.5" customHeight="1">
      <c r="A155" s="411">
        <v>145</v>
      </c>
      <c r="B155" s="412" t="s">
        <v>9344</v>
      </c>
      <c r="C155" s="413"/>
      <c r="D155" s="413"/>
      <c r="E155" s="413" t="s">
        <v>9345</v>
      </c>
      <c r="F155" s="411" t="s">
        <v>9346</v>
      </c>
      <c r="G155" s="411" t="s">
        <v>213</v>
      </c>
      <c r="H155" s="411" t="s">
        <v>327</v>
      </c>
      <c r="I155" s="411" t="s">
        <v>11</v>
      </c>
      <c r="J155" s="411" t="s">
        <v>9343</v>
      </c>
      <c r="K155" s="414">
        <v>284</v>
      </c>
      <c r="L155" s="415">
        <v>0</v>
      </c>
      <c r="M155" s="414"/>
      <c r="N155" s="414"/>
      <c r="O155" s="414"/>
      <c r="P155" s="414"/>
      <c r="Q155" s="414"/>
    </row>
    <row r="156" spans="1:17" s="32" customFormat="1" ht="19.5" customHeight="1">
      <c r="A156" s="411">
        <v>146</v>
      </c>
      <c r="B156" s="412" t="s">
        <v>1640</v>
      </c>
      <c r="C156" s="413"/>
      <c r="D156" s="413"/>
      <c r="E156" s="413" t="s">
        <v>9347</v>
      </c>
      <c r="F156" s="411" t="s">
        <v>1405</v>
      </c>
      <c r="G156" s="411" t="s">
        <v>9348</v>
      </c>
      <c r="H156" s="411" t="s">
        <v>625</v>
      </c>
      <c r="I156" s="411" t="s">
        <v>11</v>
      </c>
      <c r="J156" s="411" t="s">
        <v>842</v>
      </c>
      <c r="K156" s="414">
        <v>1890</v>
      </c>
      <c r="L156" s="415">
        <v>74</v>
      </c>
      <c r="M156" s="414"/>
      <c r="N156" s="414"/>
      <c r="O156" s="414"/>
      <c r="P156" s="414"/>
      <c r="Q156" s="414"/>
    </row>
    <row r="157" spans="1:17" s="32" customFormat="1" ht="19.5" customHeight="1">
      <c r="A157" s="411">
        <v>147</v>
      </c>
      <c r="B157" s="413" t="s">
        <v>9349</v>
      </c>
      <c r="C157" s="413"/>
      <c r="D157" s="413"/>
      <c r="E157" s="413" t="s">
        <v>9350</v>
      </c>
      <c r="F157" s="411" t="s">
        <v>1099</v>
      </c>
      <c r="G157" s="411" t="s">
        <v>213</v>
      </c>
      <c r="H157" s="411" t="s">
        <v>1098</v>
      </c>
      <c r="I157" s="411" t="s">
        <v>11</v>
      </c>
      <c r="J157" s="411" t="s">
        <v>842</v>
      </c>
      <c r="K157" s="414">
        <v>2200</v>
      </c>
      <c r="L157" s="415">
        <v>2752</v>
      </c>
      <c r="M157" s="414"/>
      <c r="N157" s="414"/>
      <c r="O157" s="414"/>
      <c r="P157" s="414"/>
      <c r="Q157" s="414"/>
    </row>
    <row r="158" spans="1:17" s="32" customFormat="1" ht="19.5" customHeight="1">
      <c r="A158" s="411">
        <v>148</v>
      </c>
      <c r="B158" s="412" t="s">
        <v>9351</v>
      </c>
      <c r="C158" s="413"/>
      <c r="D158" s="413"/>
      <c r="E158" s="413" t="s">
        <v>9352</v>
      </c>
      <c r="F158" s="411" t="s">
        <v>2749</v>
      </c>
      <c r="G158" s="411" t="s">
        <v>213</v>
      </c>
      <c r="H158" s="411" t="s">
        <v>2751</v>
      </c>
      <c r="I158" s="411" t="s">
        <v>11</v>
      </c>
      <c r="J158" s="411" t="s">
        <v>1291</v>
      </c>
      <c r="K158" s="414">
        <v>445</v>
      </c>
      <c r="L158" s="415">
        <v>6100</v>
      </c>
      <c r="M158" s="414"/>
      <c r="N158" s="414"/>
      <c r="O158" s="414"/>
      <c r="P158" s="414"/>
      <c r="Q158" s="414"/>
    </row>
    <row r="159" spans="1:17" s="32" customFormat="1" ht="19.5" customHeight="1">
      <c r="A159" s="411">
        <v>149</v>
      </c>
      <c r="B159" s="413" t="s">
        <v>28</v>
      </c>
      <c r="C159" s="413"/>
      <c r="D159" s="413"/>
      <c r="E159" s="413" t="s">
        <v>27</v>
      </c>
      <c r="F159" s="411" t="s">
        <v>2423</v>
      </c>
      <c r="G159" s="411" t="s">
        <v>213</v>
      </c>
      <c r="H159" s="411" t="s">
        <v>29</v>
      </c>
      <c r="I159" s="411" t="s">
        <v>10</v>
      </c>
      <c r="J159" s="411" t="s">
        <v>9063</v>
      </c>
      <c r="K159" s="414">
        <v>4300</v>
      </c>
      <c r="L159" s="415">
        <v>20870</v>
      </c>
      <c r="M159" s="414"/>
      <c r="N159" s="414"/>
      <c r="O159" s="414"/>
      <c r="P159" s="414"/>
      <c r="Q159" s="414"/>
    </row>
    <row r="160" spans="1:17" s="32" customFormat="1" ht="19.5" customHeight="1">
      <c r="A160" s="411">
        <v>150</v>
      </c>
      <c r="B160" s="413" t="s">
        <v>2203</v>
      </c>
      <c r="C160" s="413"/>
      <c r="D160" s="413"/>
      <c r="E160" s="413" t="s">
        <v>30</v>
      </c>
      <c r="F160" s="411" t="s">
        <v>9353</v>
      </c>
      <c r="G160" s="411" t="s">
        <v>213</v>
      </c>
      <c r="H160" s="411" t="s">
        <v>9354</v>
      </c>
      <c r="I160" s="411" t="s">
        <v>11</v>
      </c>
      <c r="J160" s="411" t="s">
        <v>9063</v>
      </c>
      <c r="K160" s="414">
        <v>1350</v>
      </c>
      <c r="L160" s="415">
        <v>0</v>
      </c>
      <c r="M160" s="414"/>
      <c r="N160" s="414"/>
      <c r="O160" s="414"/>
      <c r="P160" s="414"/>
      <c r="Q160" s="414"/>
    </row>
    <row r="161" spans="1:17" s="32" customFormat="1" ht="19.5" customHeight="1">
      <c r="A161" s="411">
        <v>151</v>
      </c>
      <c r="B161" s="412" t="s">
        <v>9355</v>
      </c>
      <c r="C161" s="413"/>
      <c r="D161" s="413"/>
      <c r="E161" s="413" t="s">
        <v>9356</v>
      </c>
      <c r="F161" s="411" t="s">
        <v>9357</v>
      </c>
      <c r="G161" s="411" t="s">
        <v>6694</v>
      </c>
      <c r="H161" s="417" t="s">
        <v>9358</v>
      </c>
      <c r="I161" s="411" t="s">
        <v>50</v>
      </c>
      <c r="J161" s="411" t="s">
        <v>3388</v>
      </c>
      <c r="K161" s="414">
        <v>26500</v>
      </c>
      <c r="L161" s="415">
        <v>474</v>
      </c>
      <c r="M161" s="414"/>
      <c r="N161" s="414"/>
      <c r="O161" s="414"/>
      <c r="P161" s="414"/>
      <c r="Q161" s="414"/>
    </row>
    <row r="162" spans="1:17" s="32" customFormat="1" ht="19.5" customHeight="1">
      <c r="A162" s="411">
        <v>152</v>
      </c>
      <c r="B162" s="412" t="s">
        <v>9359</v>
      </c>
      <c r="C162" s="413"/>
      <c r="D162" s="413"/>
      <c r="E162" s="413" t="s">
        <v>9360</v>
      </c>
      <c r="F162" s="411" t="s">
        <v>9361</v>
      </c>
      <c r="G162" s="411" t="s">
        <v>213</v>
      </c>
      <c r="H162" s="436" t="s">
        <v>3054</v>
      </c>
      <c r="I162" s="411" t="s">
        <v>13</v>
      </c>
      <c r="J162" s="411" t="s">
        <v>2392</v>
      </c>
      <c r="K162" s="414">
        <v>3150</v>
      </c>
      <c r="L162" s="415">
        <v>0</v>
      </c>
      <c r="M162" s="414"/>
      <c r="N162" s="414"/>
      <c r="O162" s="414"/>
      <c r="P162" s="414"/>
      <c r="Q162" s="414"/>
    </row>
    <row r="163" spans="1:17" s="32" customFormat="1" ht="19.5" customHeight="1">
      <c r="A163" s="411">
        <v>153</v>
      </c>
      <c r="B163" s="413" t="s">
        <v>9362</v>
      </c>
      <c r="C163" s="413"/>
      <c r="D163" s="413"/>
      <c r="E163" s="413" t="s">
        <v>9363</v>
      </c>
      <c r="F163" s="411" t="s">
        <v>2263</v>
      </c>
      <c r="G163" s="411" t="s">
        <v>213</v>
      </c>
      <c r="H163" s="411" t="s">
        <v>9364</v>
      </c>
      <c r="I163" s="411" t="s">
        <v>11</v>
      </c>
      <c r="J163" s="411" t="s">
        <v>9063</v>
      </c>
      <c r="K163" s="414">
        <v>1000</v>
      </c>
      <c r="L163" s="415">
        <v>0</v>
      </c>
      <c r="M163" s="414"/>
      <c r="N163" s="414"/>
      <c r="O163" s="414"/>
      <c r="P163" s="414"/>
      <c r="Q163" s="414"/>
    </row>
    <row r="164" spans="1:17" s="32" customFormat="1" ht="19.5" customHeight="1">
      <c r="A164" s="411">
        <v>154</v>
      </c>
      <c r="B164" s="412" t="s">
        <v>9365</v>
      </c>
      <c r="C164" s="413"/>
      <c r="D164" s="413"/>
      <c r="E164" s="413" t="s">
        <v>9366</v>
      </c>
      <c r="F164" s="411" t="s">
        <v>9367</v>
      </c>
      <c r="G164" s="411" t="s">
        <v>6694</v>
      </c>
      <c r="H164" s="436" t="s">
        <v>9364</v>
      </c>
      <c r="I164" s="411" t="s">
        <v>10</v>
      </c>
      <c r="J164" s="411" t="s">
        <v>541</v>
      </c>
      <c r="K164" s="414">
        <v>1150</v>
      </c>
      <c r="L164" s="415">
        <v>11380</v>
      </c>
      <c r="M164" s="414"/>
      <c r="N164" s="414"/>
      <c r="O164" s="414"/>
      <c r="P164" s="414"/>
      <c r="Q164" s="414"/>
    </row>
    <row r="165" spans="1:17" s="32" customFormat="1" ht="19.5" customHeight="1">
      <c r="A165" s="411">
        <v>155</v>
      </c>
      <c r="B165" s="412" t="s">
        <v>9368</v>
      </c>
      <c r="C165" s="413"/>
      <c r="D165" s="413"/>
      <c r="E165" s="413" t="s">
        <v>9369</v>
      </c>
      <c r="F165" s="411" t="s">
        <v>9370</v>
      </c>
      <c r="G165" s="411" t="s">
        <v>6694</v>
      </c>
      <c r="H165" s="436" t="s">
        <v>3387</v>
      </c>
      <c r="I165" s="411" t="s">
        <v>15</v>
      </c>
      <c r="J165" s="411" t="s">
        <v>3388</v>
      </c>
      <c r="K165" s="414">
        <v>27500</v>
      </c>
      <c r="L165" s="415">
        <v>0</v>
      </c>
      <c r="M165" s="414"/>
      <c r="N165" s="414"/>
      <c r="O165" s="414"/>
      <c r="P165" s="414"/>
      <c r="Q165" s="414"/>
    </row>
    <row r="166" spans="1:17" s="32" customFormat="1" ht="19.5" customHeight="1">
      <c r="A166" s="411">
        <v>156</v>
      </c>
      <c r="B166" s="412" t="s">
        <v>9106</v>
      </c>
      <c r="C166" s="413"/>
      <c r="D166" s="413"/>
      <c r="E166" s="413" t="s">
        <v>3552</v>
      </c>
      <c r="F166" s="411" t="s">
        <v>1063</v>
      </c>
      <c r="G166" s="411" t="s">
        <v>6694</v>
      </c>
      <c r="H166" s="411" t="s">
        <v>390</v>
      </c>
      <c r="I166" s="411" t="s">
        <v>11</v>
      </c>
      <c r="J166" s="411" t="s">
        <v>842</v>
      </c>
      <c r="K166" s="414">
        <v>54</v>
      </c>
      <c r="L166" s="415">
        <v>8375</v>
      </c>
      <c r="M166" s="414"/>
      <c r="N166" s="414"/>
      <c r="O166" s="414"/>
      <c r="P166" s="414"/>
      <c r="Q166" s="414"/>
    </row>
    <row r="167" spans="1:17" s="32" customFormat="1" ht="19.5" customHeight="1">
      <c r="A167" s="411">
        <v>157</v>
      </c>
      <c r="B167" s="413" t="s">
        <v>695</v>
      </c>
      <c r="C167" s="413"/>
      <c r="D167" s="413"/>
      <c r="E167" s="413" t="s">
        <v>3552</v>
      </c>
      <c r="F167" s="411" t="s">
        <v>1063</v>
      </c>
      <c r="G167" s="411" t="s">
        <v>213</v>
      </c>
      <c r="H167" s="411" t="s">
        <v>390</v>
      </c>
      <c r="I167" s="411" t="s">
        <v>11</v>
      </c>
      <c r="J167" s="411" t="s">
        <v>842</v>
      </c>
      <c r="K167" s="414">
        <v>50</v>
      </c>
      <c r="L167" s="415">
        <v>87</v>
      </c>
      <c r="M167" s="414"/>
      <c r="N167" s="414"/>
      <c r="O167" s="414"/>
      <c r="P167" s="414"/>
      <c r="Q167" s="414"/>
    </row>
    <row r="168" spans="1:17" s="32" customFormat="1" ht="19.5" customHeight="1">
      <c r="A168" s="411">
        <v>159</v>
      </c>
      <c r="B168" s="412" t="s">
        <v>368</v>
      </c>
      <c r="C168" s="413"/>
      <c r="D168" s="413"/>
      <c r="E168" s="413" t="s">
        <v>3553</v>
      </c>
      <c r="F168" s="411" t="s">
        <v>9371</v>
      </c>
      <c r="G168" s="411" t="s">
        <v>213</v>
      </c>
      <c r="H168" s="411" t="s">
        <v>369</v>
      </c>
      <c r="I168" s="411" t="s">
        <v>10</v>
      </c>
      <c r="J168" s="411" t="s">
        <v>547</v>
      </c>
      <c r="K168" s="414">
        <v>42</v>
      </c>
      <c r="L168" s="415">
        <v>0</v>
      </c>
      <c r="M168" s="414"/>
      <c r="N168" s="414"/>
      <c r="O168" s="414"/>
      <c r="P168" s="414"/>
      <c r="Q168" s="414"/>
    </row>
    <row r="169" spans="1:17" s="32" customFormat="1" ht="19.5" customHeight="1">
      <c r="A169" s="411">
        <v>158</v>
      </c>
      <c r="B169" s="412" t="s">
        <v>9106</v>
      </c>
      <c r="C169" s="413"/>
      <c r="D169" s="413"/>
      <c r="E169" s="413" t="s">
        <v>3553</v>
      </c>
      <c r="F169" s="411" t="s">
        <v>370</v>
      </c>
      <c r="G169" s="411" t="s">
        <v>6694</v>
      </c>
      <c r="H169" s="411" t="s">
        <v>369</v>
      </c>
      <c r="I169" s="411" t="s">
        <v>11</v>
      </c>
      <c r="J169" s="411" t="s">
        <v>842</v>
      </c>
      <c r="K169" s="414">
        <v>37</v>
      </c>
      <c r="L169" s="415">
        <v>12</v>
      </c>
      <c r="M169" s="414"/>
      <c r="N169" s="414"/>
      <c r="O169" s="414"/>
      <c r="P169" s="414"/>
      <c r="Q169" s="414"/>
    </row>
    <row r="170" spans="1:17" s="32" customFormat="1" ht="19.5" customHeight="1">
      <c r="A170" s="411">
        <v>160</v>
      </c>
      <c r="B170" s="412" t="s">
        <v>9106</v>
      </c>
      <c r="C170" s="416"/>
      <c r="D170" s="416"/>
      <c r="E170" s="412" t="s">
        <v>3553</v>
      </c>
      <c r="F170" s="417" t="s">
        <v>9372</v>
      </c>
      <c r="G170" s="417" t="s">
        <v>9075</v>
      </c>
      <c r="H170" s="417" t="s">
        <v>369</v>
      </c>
      <c r="I170" s="417" t="s">
        <v>10</v>
      </c>
      <c r="J170" s="411" t="s">
        <v>842</v>
      </c>
      <c r="K170" s="418">
        <v>840</v>
      </c>
      <c r="L170" s="419">
        <v>11102</v>
      </c>
      <c r="M170" s="418"/>
      <c r="N170" s="414"/>
      <c r="O170" s="414"/>
      <c r="P170" s="418"/>
      <c r="Q170" s="418"/>
    </row>
    <row r="171" spans="1:17" s="32" customFormat="1" ht="19.5" customHeight="1">
      <c r="A171" s="411">
        <v>161</v>
      </c>
      <c r="B171" s="413" t="s">
        <v>695</v>
      </c>
      <c r="C171" s="413"/>
      <c r="D171" s="413"/>
      <c r="E171" s="413" t="s">
        <v>3553</v>
      </c>
      <c r="F171" s="411" t="s">
        <v>370</v>
      </c>
      <c r="G171" s="411" t="s">
        <v>213</v>
      </c>
      <c r="H171" s="411" t="s">
        <v>369</v>
      </c>
      <c r="I171" s="411" t="s">
        <v>11</v>
      </c>
      <c r="J171" s="411" t="s">
        <v>842</v>
      </c>
      <c r="K171" s="414">
        <v>33</v>
      </c>
      <c r="L171" s="415">
        <v>0</v>
      </c>
      <c r="M171" s="414"/>
      <c r="N171" s="414"/>
      <c r="O171" s="414"/>
      <c r="P171" s="414"/>
      <c r="Q171" s="414"/>
    </row>
    <row r="172" spans="1:17" s="32" customFormat="1" ht="19.5" customHeight="1">
      <c r="A172" s="411">
        <v>162</v>
      </c>
      <c r="B172" s="412" t="s">
        <v>9373</v>
      </c>
      <c r="C172" s="413"/>
      <c r="D172" s="413"/>
      <c r="E172" s="413" t="s">
        <v>9374</v>
      </c>
      <c r="F172" s="411" t="s">
        <v>9375</v>
      </c>
      <c r="G172" s="411" t="s">
        <v>5116</v>
      </c>
      <c r="H172" s="411" t="s">
        <v>238</v>
      </c>
      <c r="I172" s="411" t="s">
        <v>10</v>
      </c>
      <c r="J172" s="411" t="s">
        <v>9376</v>
      </c>
      <c r="K172" s="414">
        <v>1120</v>
      </c>
      <c r="L172" s="415">
        <v>4692</v>
      </c>
      <c r="M172" s="414"/>
      <c r="N172" s="414"/>
      <c r="O172" s="414"/>
      <c r="P172" s="414"/>
      <c r="Q172" s="414"/>
    </row>
    <row r="173" spans="1:17" s="32" customFormat="1" ht="19.5" customHeight="1">
      <c r="A173" s="411">
        <v>163</v>
      </c>
      <c r="B173" s="412" t="s">
        <v>9377</v>
      </c>
      <c r="C173" s="413"/>
      <c r="D173" s="413"/>
      <c r="E173" s="413" t="s">
        <v>9378</v>
      </c>
      <c r="F173" s="411" t="s">
        <v>9379</v>
      </c>
      <c r="G173" s="411" t="s">
        <v>5121</v>
      </c>
      <c r="H173" s="411" t="s">
        <v>517</v>
      </c>
      <c r="I173" s="411" t="s">
        <v>628</v>
      </c>
      <c r="J173" s="411" t="s">
        <v>3203</v>
      </c>
      <c r="K173" s="414">
        <v>8376</v>
      </c>
      <c r="L173" s="415">
        <v>372</v>
      </c>
      <c r="M173" s="414"/>
      <c r="N173" s="414"/>
      <c r="O173" s="414"/>
      <c r="P173" s="414"/>
      <c r="Q173" s="414"/>
    </row>
    <row r="174" spans="1:17" s="32" customFormat="1" ht="19.5" customHeight="1">
      <c r="A174" s="411">
        <v>164</v>
      </c>
      <c r="B174" s="433" t="s">
        <v>5135</v>
      </c>
      <c r="C174" s="438"/>
      <c r="D174" s="438"/>
      <c r="E174" s="433" t="s">
        <v>9380</v>
      </c>
      <c r="F174" s="417" t="s">
        <v>1530</v>
      </c>
      <c r="G174" s="417" t="s">
        <v>9075</v>
      </c>
      <c r="H174" s="411" t="s">
        <v>1528</v>
      </c>
      <c r="I174" s="417" t="s">
        <v>14</v>
      </c>
      <c r="J174" s="417" t="s">
        <v>9381</v>
      </c>
      <c r="K174" s="418">
        <v>60900</v>
      </c>
      <c r="L174" s="419">
        <v>43</v>
      </c>
      <c r="M174" s="418"/>
      <c r="N174" s="414"/>
      <c r="O174" s="414"/>
      <c r="P174" s="418"/>
      <c r="Q174" s="418"/>
    </row>
    <row r="175" spans="1:17" s="32" customFormat="1" ht="19.5" customHeight="1">
      <c r="A175" s="411">
        <v>165</v>
      </c>
      <c r="B175" s="433" t="s">
        <v>1526</v>
      </c>
      <c r="C175" s="433"/>
      <c r="D175" s="433"/>
      <c r="E175" s="433" t="s">
        <v>9382</v>
      </c>
      <c r="F175" s="411" t="s">
        <v>1530</v>
      </c>
      <c r="G175" s="411" t="s">
        <v>5121</v>
      </c>
      <c r="H175" s="411" t="s">
        <v>9383</v>
      </c>
      <c r="I175" s="411" t="s">
        <v>658</v>
      </c>
      <c r="J175" s="417" t="s">
        <v>9381</v>
      </c>
      <c r="K175" s="414">
        <v>59400</v>
      </c>
      <c r="L175" s="415">
        <v>0</v>
      </c>
      <c r="M175" s="414"/>
      <c r="N175" s="414"/>
      <c r="O175" s="414"/>
      <c r="P175" s="414"/>
      <c r="Q175" s="414"/>
    </row>
    <row r="176" spans="1:17" s="32" customFormat="1" ht="19.5" customHeight="1">
      <c r="A176" s="411">
        <v>166</v>
      </c>
      <c r="B176" s="433" t="s">
        <v>9384</v>
      </c>
      <c r="C176" s="433"/>
      <c r="D176" s="433"/>
      <c r="E176" s="433" t="s">
        <v>7112</v>
      </c>
      <c r="F176" s="411" t="s">
        <v>9385</v>
      </c>
      <c r="G176" s="411" t="s">
        <v>213</v>
      </c>
      <c r="H176" s="411" t="s">
        <v>225</v>
      </c>
      <c r="I176" s="411" t="s">
        <v>520</v>
      </c>
      <c r="J176" s="411" t="s">
        <v>2654</v>
      </c>
      <c r="K176" s="414">
        <v>4830</v>
      </c>
      <c r="L176" s="415">
        <v>2</v>
      </c>
      <c r="M176" s="414"/>
      <c r="N176" s="414"/>
      <c r="O176" s="414"/>
      <c r="P176" s="414"/>
      <c r="Q176" s="414"/>
    </row>
    <row r="177" spans="1:17" s="32" customFormat="1" ht="19.5" customHeight="1">
      <c r="A177" s="411">
        <v>167</v>
      </c>
      <c r="B177" s="412" t="s">
        <v>4989</v>
      </c>
      <c r="C177" s="413"/>
      <c r="D177" s="413"/>
      <c r="E177" s="413" t="s">
        <v>9386</v>
      </c>
      <c r="F177" s="411" t="s">
        <v>9387</v>
      </c>
      <c r="G177" s="411" t="s">
        <v>6694</v>
      </c>
      <c r="H177" s="411" t="s">
        <v>2518</v>
      </c>
      <c r="I177" s="411" t="s">
        <v>10</v>
      </c>
      <c r="J177" s="411" t="s">
        <v>3137</v>
      </c>
      <c r="K177" s="414">
        <v>504</v>
      </c>
      <c r="L177" s="415">
        <v>0</v>
      </c>
      <c r="M177" s="414"/>
      <c r="N177" s="414"/>
      <c r="O177" s="414"/>
      <c r="P177" s="414"/>
      <c r="Q177" s="414"/>
    </row>
    <row r="178" spans="1:17" s="32" customFormat="1" ht="19.5" customHeight="1">
      <c r="A178" s="411">
        <v>169</v>
      </c>
      <c r="B178" s="412" t="s">
        <v>9388</v>
      </c>
      <c r="C178" s="413"/>
      <c r="D178" s="413"/>
      <c r="E178" s="413" t="s">
        <v>9389</v>
      </c>
      <c r="F178" s="411" t="s">
        <v>9390</v>
      </c>
      <c r="G178" s="411" t="s">
        <v>213</v>
      </c>
      <c r="H178" s="411" t="s">
        <v>9391</v>
      </c>
      <c r="I178" s="411" t="s">
        <v>520</v>
      </c>
      <c r="J178" s="411" t="s">
        <v>8987</v>
      </c>
      <c r="K178" s="414">
        <v>2247</v>
      </c>
      <c r="L178" s="415">
        <v>0</v>
      </c>
      <c r="M178" s="414"/>
      <c r="N178" s="414"/>
      <c r="O178" s="414"/>
      <c r="P178" s="414"/>
      <c r="Q178" s="414"/>
    </row>
    <row r="179" spans="1:17" s="32" customFormat="1" ht="19.5" customHeight="1">
      <c r="A179" s="411">
        <v>170</v>
      </c>
      <c r="B179" s="413" t="s">
        <v>4993</v>
      </c>
      <c r="C179" s="413"/>
      <c r="D179" s="413"/>
      <c r="E179" s="413" t="s">
        <v>9392</v>
      </c>
      <c r="F179" s="411" t="s">
        <v>9393</v>
      </c>
      <c r="G179" s="411" t="s">
        <v>5116</v>
      </c>
      <c r="H179" s="411" t="s">
        <v>9394</v>
      </c>
      <c r="I179" s="411" t="s">
        <v>520</v>
      </c>
      <c r="J179" s="411" t="s">
        <v>2874</v>
      </c>
      <c r="K179" s="414">
        <v>13860</v>
      </c>
      <c r="L179" s="415">
        <v>29</v>
      </c>
      <c r="M179" s="414"/>
      <c r="N179" s="414"/>
      <c r="O179" s="414"/>
      <c r="P179" s="414"/>
      <c r="Q179" s="414"/>
    </row>
    <row r="180" spans="1:17" s="32" customFormat="1" ht="19.5" customHeight="1">
      <c r="A180" s="411">
        <v>173</v>
      </c>
      <c r="B180" s="412" t="s">
        <v>1514</v>
      </c>
      <c r="C180" s="413"/>
      <c r="D180" s="413"/>
      <c r="E180" s="413" t="s">
        <v>1958</v>
      </c>
      <c r="F180" s="411" t="s">
        <v>9395</v>
      </c>
      <c r="G180" s="411" t="s">
        <v>213</v>
      </c>
      <c r="H180" s="411" t="s">
        <v>225</v>
      </c>
      <c r="I180" s="411" t="s">
        <v>11</v>
      </c>
      <c r="J180" s="411" t="s">
        <v>9063</v>
      </c>
      <c r="K180" s="414">
        <v>1780</v>
      </c>
      <c r="L180" s="415">
        <v>0</v>
      </c>
      <c r="M180" s="414"/>
      <c r="N180" s="414"/>
      <c r="O180" s="414"/>
      <c r="P180" s="414"/>
      <c r="Q180" s="414"/>
    </row>
    <row r="181" spans="1:17" s="32" customFormat="1" ht="19.5" customHeight="1">
      <c r="A181" s="411">
        <v>171</v>
      </c>
      <c r="B181" s="412" t="s">
        <v>9396</v>
      </c>
      <c r="C181" s="413"/>
      <c r="D181" s="413"/>
      <c r="E181" s="413" t="s">
        <v>1958</v>
      </c>
      <c r="F181" s="411" t="s">
        <v>1960</v>
      </c>
      <c r="G181" s="411" t="s">
        <v>6694</v>
      </c>
      <c r="H181" s="411" t="s">
        <v>1959</v>
      </c>
      <c r="I181" s="411" t="s">
        <v>11</v>
      </c>
      <c r="J181" s="411" t="s">
        <v>839</v>
      </c>
      <c r="K181" s="414">
        <v>1286</v>
      </c>
      <c r="L181" s="415">
        <v>21242</v>
      </c>
      <c r="M181" s="414"/>
      <c r="N181" s="414"/>
      <c r="O181" s="414"/>
      <c r="P181" s="414"/>
      <c r="Q181" s="414"/>
    </row>
    <row r="182" spans="1:17" s="32" customFormat="1" ht="19.5" customHeight="1">
      <c r="A182" s="411">
        <v>172</v>
      </c>
      <c r="B182" s="412" t="s">
        <v>9396</v>
      </c>
      <c r="C182" s="413"/>
      <c r="D182" s="413"/>
      <c r="E182" s="413" t="s">
        <v>1958</v>
      </c>
      <c r="F182" s="411" t="s">
        <v>9397</v>
      </c>
      <c r="G182" s="411" t="s">
        <v>213</v>
      </c>
      <c r="H182" s="411" t="s">
        <v>1959</v>
      </c>
      <c r="I182" s="411" t="s">
        <v>11</v>
      </c>
      <c r="J182" s="411" t="s">
        <v>9398</v>
      </c>
      <c r="K182" s="414">
        <v>1575</v>
      </c>
      <c r="L182" s="415">
        <v>61</v>
      </c>
      <c r="M182" s="414"/>
      <c r="N182" s="414"/>
      <c r="O182" s="414"/>
      <c r="P182" s="414"/>
      <c r="Q182" s="414"/>
    </row>
    <row r="183" spans="1:17" s="32" customFormat="1" ht="19.5" customHeight="1">
      <c r="A183" s="411">
        <v>174</v>
      </c>
      <c r="B183" s="412" t="s">
        <v>1961</v>
      </c>
      <c r="C183" s="416"/>
      <c r="D183" s="416"/>
      <c r="E183" s="412" t="s">
        <v>9399</v>
      </c>
      <c r="F183" s="417" t="s">
        <v>9400</v>
      </c>
      <c r="G183" s="417" t="s">
        <v>6694</v>
      </c>
      <c r="H183" s="417" t="s">
        <v>9401</v>
      </c>
      <c r="I183" s="417" t="s">
        <v>11</v>
      </c>
      <c r="J183" s="417" t="s">
        <v>842</v>
      </c>
      <c r="K183" s="418">
        <v>840</v>
      </c>
      <c r="L183" s="419">
        <v>14518</v>
      </c>
      <c r="M183" s="418"/>
      <c r="N183" s="414"/>
      <c r="O183" s="414"/>
      <c r="P183" s="418"/>
      <c r="Q183" s="418"/>
    </row>
    <row r="184" spans="1:17" s="32" customFormat="1" ht="19.5" customHeight="1">
      <c r="A184" s="411">
        <v>175</v>
      </c>
      <c r="B184" s="413" t="s">
        <v>9402</v>
      </c>
      <c r="C184" s="413"/>
      <c r="D184" s="413"/>
      <c r="E184" s="413" t="s">
        <v>9403</v>
      </c>
      <c r="F184" s="411" t="s">
        <v>9404</v>
      </c>
      <c r="G184" s="411" t="s">
        <v>213</v>
      </c>
      <c r="H184" s="411" t="s">
        <v>9405</v>
      </c>
      <c r="I184" s="411" t="s">
        <v>11</v>
      </c>
      <c r="J184" s="411" t="s">
        <v>9063</v>
      </c>
      <c r="K184" s="414">
        <v>1150</v>
      </c>
      <c r="L184" s="415">
        <v>4100</v>
      </c>
      <c r="M184" s="414"/>
      <c r="N184" s="414"/>
      <c r="O184" s="414"/>
      <c r="P184" s="414"/>
      <c r="Q184" s="414"/>
    </row>
    <row r="185" spans="1:17" s="32" customFormat="1" ht="19.5" customHeight="1">
      <c r="A185" s="411">
        <v>176</v>
      </c>
      <c r="B185" s="413" t="s">
        <v>2761</v>
      </c>
      <c r="C185" s="413"/>
      <c r="D185" s="413"/>
      <c r="E185" s="413" t="s">
        <v>2762</v>
      </c>
      <c r="F185" s="411" t="s">
        <v>2763</v>
      </c>
      <c r="G185" s="411" t="s">
        <v>213</v>
      </c>
      <c r="H185" s="411" t="s">
        <v>2765</v>
      </c>
      <c r="I185" s="411" t="s">
        <v>10</v>
      </c>
      <c r="J185" s="411" t="s">
        <v>9063</v>
      </c>
      <c r="K185" s="414">
        <v>1250</v>
      </c>
      <c r="L185" s="415">
        <v>0</v>
      </c>
      <c r="M185" s="414"/>
      <c r="N185" s="414"/>
      <c r="O185" s="414"/>
      <c r="P185" s="414"/>
      <c r="Q185" s="414"/>
    </row>
    <row r="186" spans="1:17" s="32" customFormat="1" ht="19.5" customHeight="1">
      <c r="A186" s="411">
        <v>177</v>
      </c>
      <c r="B186" s="412" t="s">
        <v>9406</v>
      </c>
      <c r="C186" s="413"/>
      <c r="D186" s="413"/>
      <c r="E186" s="413" t="s">
        <v>9407</v>
      </c>
      <c r="F186" s="411" t="s">
        <v>9408</v>
      </c>
      <c r="G186" s="411" t="s">
        <v>6694</v>
      </c>
      <c r="H186" s="411" t="s">
        <v>369</v>
      </c>
      <c r="I186" s="411" t="s">
        <v>10</v>
      </c>
      <c r="J186" s="411" t="s">
        <v>547</v>
      </c>
      <c r="K186" s="414">
        <v>2000</v>
      </c>
      <c r="L186" s="415">
        <v>0</v>
      </c>
      <c r="M186" s="414"/>
      <c r="N186" s="414"/>
      <c r="O186" s="414"/>
      <c r="P186" s="414"/>
      <c r="Q186" s="414"/>
    </row>
    <row r="187" spans="1:17" s="32" customFormat="1" ht="19.5" customHeight="1">
      <c r="A187" s="411">
        <v>178</v>
      </c>
      <c r="B187" s="412" t="s">
        <v>9406</v>
      </c>
      <c r="C187" s="413"/>
      <c r="D187" s="413"/>
      <c r="E187" s="413" t="s">
        <v>9409</v>
      </c>
      <c r="F187" s="411" t="s">
        <v>9410</v>
      </c>
      <c r="G187" s="411" t="s">
        <v>5273</v>
      </c>
      <c r="H187" s="411" t="s">
        <v>390</v>
      </c>
      <c r="I187" s="411" t="s">
        <v>11</v>
      </c>
      <c r="J187" s="411" t="s">
        <v>842</v>
      </c>
      <c r="K187" s="414">
        <v>2350</v>
      </c>
      <c r="L187" s="415">
        <v>8</v>
      </c>
      <c r="M187" s="414"/>
      <c r="N187" s="414"/>
      <c r="O187" s="414"/>
      <c r="P187" s="414"/>
      <c r="Q187" s="414"/>
    </row>
    <row r="188" spans="1:17" s="32" customFormat="1" ht="19.5" customHeight="1">
      <c r="A188" s="411">
        <v>179</v>
      </c>
      <c r="B188" s="412" t="s">
        <v>9411</v>
      </c>
      <c r="C188" s="413"/>
      <c r="D188" s="413"/>
      <c r="E188" s="413" t="s">
        <v>3554</v>
      </c>
      <c r="F188" s="411" t="s">
        <v>2766</v>
      </c>
      <c r="G188" s="411" t="s">
        <v>5105</v>
      </c>
      <c r="H188" s="411" t="s">
        <v>2459</v>
      </c>
      <c r="I188" s="411" t="s">
        <v>10</v>
      </c>
      <c r="J188" s="411" t="s">
        <v>9412</v>
      </c>
      <c r="K188" s="414">
        <v>9650</v>
      </c>
      <c r="L188" s="415">
        <v>660</v>
      </c>
      <c r="M188" s="414"/>
      <c r="N188" s="414"/>
      <c r="O188" s="414"/>
      <c r="P188" s="414"/>
      <c r="Q188" s="414"/>
    </row>
    <row r="189" spans="1:17" s="32" customFormat="1" ht="19.5" customHeight="1">
      <c r="A189" s="411">
        <v>180</v>
      </c>
      <c r="B189" s="420" t="s">
        <v>9411</v>
      </c>
      <c r="C189" s="421"/>
      <c r="D189" s="421"/>
      <c r="E189" s="412" t="s">
        <v>3555</v>
      </c>
      <c r="F189" s="417" t="s">
        <v>2769</v>
      </c>
      <c r="G189" s="417" t="s">
        <v>5105</v>
      </c>
      <c r="H189" s="417" t="s">
        <v>2770</v>
      </c>
      <c r="I189" s="417" t="s">
        <v>10</v>
      </c>
      <c r="J189" s="417" t="s">
        <v>9412</v>
      </c>
      <c r="K189" s="418">
        <v>67900</v>
      </c>
      <c r="L189" s="419">
        <v>0</v>
      </c>
      <c r="M189" s="418"/>
      <c r="N189" s="414"/>
      <c r="O189" s="414"/>
      <c r="P189" s="418"/>
      <c r="Q189" s="418"/>
    </row>
    <row r="190" spans="1:17" s="32" customFormat="1" ht="19.5" customHeight="1">
      <c r="A190" s="411">
        <v>181</v>
      </c>
      <c r="B190" s="413" t="s">
        <v>583</v>
      </c>
      <c r="C190" s="413"/>
      <c r="D190" s="413"/>
      <c r="E190" s="413" t="s">
        <v>9413</v>
      </c>
      <c r="F190" s="411" t="s">
        <v>9414</v>
      </c>
      <c r="G190" s="411" t="s">
        <v>6058</v>
      </c>
      <c r="H190" s="411" t="s">
        <v>222</v>
      </c>
      <c r="I190" s="411" t="s">
        <v>11</v>
      </c>
      <c r="J190" s="411" t="s">
        <v>9063</v>
      </c>
      <c r="K190" s="414">
        <v>1425</v>
      </c>
      <c r="L190" s="415">
        <v>8486</v>
      </c>
      <c r="M190" s="414"/>
      <c r="N190" s="414"/>
      <c r="O190" s="414"/>
      <c r="P190" s="414"/>
      <c r="Q190" s="414"/>
    </row>
    <row r="191" spans="1:17" s="32" customFormat="1" ht="19.5" customHeight="1">
      <c r="A191" s="411">
        <v>182</v>
      </c>
      <c r="B191" s="413" t="s">
        <v>583</v>
      </c>
      <c r="C191" s="413"/>
      <c r="D191" s="413"/>
      <c r="E191" s="413" t="s">
        <v>980</v>
      </c>
      <c r="F191" s="411" t="s">
        <v>9415</v>
      </c>
      <c r="G191" s="411" t="s">
        <v>6058</v>
      </c>
      <c r="H191" s="411" t="s">
        <v>390</v>
      </c>
      <c r="I191" s="411" t="s">
        <v>11</v>
      </c>
      <c r="J191" s="411" t="s">
        <v>9063</v>
      </c>
      <c r="K191" s="414">
        <v>2341</v>
      </c>
      <c r="L191" s="415">
        <v>9990</v>
      </c>
      <c r="M191" s="414"/>
      <c r="N191" s="414"/>
      <c r="O191" s="414"/>
      <c r="P191" s="414"/>
      <c r="Q191" s="414"/>
    </row>
    <row r="192" spans="1:17" s="32" customFormat="1" ht="19.5" customHeight="1">
      <c r="A192" s="411">
        <v>183</v>
      </c>
      <c r="B192" s="412" t="s">
        <v>9416</v>
      </c>
      <c r="C192" s="421"/>
      <c r="D192" s="421"/>
      <c r="E192" s="420" t="s">
        <v>43</v>
      </c>
      <c r="F192" s="417" t="s">
        <v>9361</v>
      </c>
      <c r="G192" s="417" t="s">
        <v>6694</v>
      </c>
      <c r="H192" s="411" t="s">
        <v>2773</v>
      </c>
      <c r="I192" s="417" t="s">
        <v>18</v>
      </c>
      <c r="J192" s="417" t="s">
        <v>9417</v>
      </c>
      <c r="K192" s="434">
        <v>22050</v>
      </c>
      <c r="L192" s="435">
        <v>489</v>
      </c>
      <c r="M192" s="434"/>
      <c r="N192" s="414"/>
      <c r="O192" s="414"/>
      <c r="P192" s="418"/>
      <c r="Q192" s="418"/>
    </row>
    <row r="193" spans="1:17" s="32" customFormat="1" ht="19.5" customHeight="1">
      <c r="A193" s="411">
        <v>184</v>
      </c>
      <c r="B193" s="413" t="s">
        <v>2427</v>
      </c>
      <c r="C193" s="413"/>
      <c r="D193" s="413"/>
      <c r="E193" s="413" t="s">
        <v>43</v>
      </c>
      <c r="F193" s="411" t="s">
        <v>2771</v>
      </c>
      <c r="G193" s="411" t="s">
        <v>213</v>
      </c>
      <c r="H193" s="411" t="s">
        <v>2773</v>
      </c>
      <c r="I193" s="411" t="s">
        <v>15</v>
      </c>
      <c r="J193" s="417" t="s">
        <v>9417</v>
      </c>
      <c r="K193" s="414">
        <v>22050</v>
      </c>
      <c r="L193" s="415">
        <v>0</v>
      </c>
      <c r="M193" s="414"/>
      <c r="N193" s="414"/>
      <c r="O193" s="414"/>
      <c r="P193" s="414"/>
      <c r="Q193" s="414"/>
    </row>
    <row r="194" spans="1:17" s="32" customFormat="1" ht="19.5" customHeight="1">
      <c r="A194" s="411">
        <v>186</v>
      </c>
      <c r="B194" s="413" t="s">
        <v>9418</v>
      </c>
      <c r="C194" s="413"/>
      <c r="D194" s="413"/>
      <c r="E194" s="413" t="s">
        <v>45</v>
      </c>
      <c r="F194" s="411" t="s">
        <v>2270</v>
      </c>
      <c r="G194" s="411" t="s">
        <v>213</v>
      </c>
      <c r="H194" s="411" t="s">
        <v>47</v>
      </c>
      <c r="I194" s="411" t="s">
        <v>15</v>
      </c>
      <c r="J194" s="411" t="s">
        <v>9419</v>
      </c>
      <c r="K194" s="414">
        <v>30500</v>
      </c>
      <c r="L194" s="415">
        <v>24</v>
      </c>
      <c r="M194" s="414"/>
      <c r="N194" s="414"/>
      <c r="O194" s="414"/>
      <c r="P194" s="414"/>
      <c r="Q194" s="414"/>
    </row>
    <row r="195" spans="1:17" s="32" customFormat="1" ht="19.5" customHeight="1">
      <c r="A195" s="411">
        <v>185</v>
      </c>
      <c r="B195" s="412" t="s">
        <v>46</v>
      </c>
      <c r="C195" s="413"/>
      <c r="D195" s="413"/>
      <c r="E195" s="413" t="s">
        <v>9420</v>
      </c>
      <c r="F195" s="411" t="s">
        <v>9421</v>
      </c>
      <c r="G195" s="411" t="s">
        <v>6694</v>
      </c>
      <c r="H195" s="411" t="s">
        <v>47</v>
      </c>
      <c r="I195" s="411" t="s">
        <v>15</v>
      </c>
      <c r="J195" s="411" t="s">
        <v>9419</v>
      </c>
      <c r="K195" s="414">
        <v>30500</v>
      </c>
      <c r="L195" s="415">
        <v>57</v>
      </c>
      <c r="M195" s="414"/>
      <c r="N195" s="414"/>
      <c r="O195" s="414"/>
      <c r="P195" s="414"/>
      <c r="Q195" s="414"/>
    </row>
    <row r="196" spans="1:17" s="32" customFormat="1" ht="19.5" customHeight="1">
      <c r="A196" s="411">
        <v>188</v>
      </c>
      <c r="B196" s="413" t="s">
        <v>9422</v>
      </c>
      <c r="C196" s="413"/>
      <c r="D196" s="413"/>
      <c r="E196" s="413" t="s">
        <v>9423</v>
      </c>
      <c r="F196" s="411" t="s">
        <v>2271</v>
      </c>
      <c r="G196" s="411" t="s">
        <v>213</v>
      </c>
      <c r="H196" s="411" t="s">
        <v>56</v>
      </c>
      <c r="I196" s="411" t="s">
        <v>15</v>
      </c>
      <c r="J196" s="417" t="s">
        <v>9419</v>
      </c>
      <c r="K196" s="414">
        <v>30000</v>
      </c>
      <c r="L196" s="415">
        <v>150</v>
      </c>
      <c r="M196" s="414"/>
      <c r="N196" s="414"/>
      <c r="O196" s="414"/>
      <c r="P196" s="414"/>
      <c r="Q196" s="414"/>
    </row>
    <row r="197" spans="1:17" s="32" customFormat="1" ht="19.5" customHeight="1">
      <c r="A197" s="411">
        <v>187</v>
      </c>
      <c r="B197" s="412" t="s">
        <v>9424</v>
      </c>
      <c r="C197" s="416"/>
      <c r="D197" s="416"/>
      <c r="E197" s="412" t="s">
        <v>9425</v>
      </c>
      <c r="F197" s="417" t="s">
        <v>9426</v>
      </c>
      <c r="G197" s="417" t="s">
        <v>6694</v>
      </c>
      <c r="H197" s="411" t="s">
        <v>56</v>
      </c>
      <c r="I197" s="417" t="s">
        <v>50</v>
      </c>
      <c r="J197" s="417" t="s">
        <v>9419</v>
      </c>
      <c r="K197" s="434">
        <v>73500</v>
      </c>
      <c r="L197" s="435">
        <v>0</v>
      </c>
      <c r="M197" s="434"/>
      <c r="N197" s="414"/>
      <c r="O197" s="414"/>
      <c r="P197" s="418"/>
      <c r="Q197" s="418"/>
    </row>
    <row r="198" spans="1:17" s="32" customFormat="1" ht="19.5" customHeight="1">
      <c r="A198" s="411">
        <v>189</v>
      </c>
      <c r="B198" s="413" t="s">
        <v>9427</v>
      </c>
      <c r="C198" s="413"/>
      <c r="D198" s="413"/>
      <c r="E198" s="413" t="s">
        <v>2777</v>
      </c>
      <c r="F198" s="411" t="s">
        <v>2778</v>
      </c>
      <c r="G198" s="411" t="s">
        <v>213</v>
      </c>
      <c r="H198" s="411" t="s">
        <v>2779</v>
      </c>
      <c r="I198" s="411" t="s">
        <v>2780</v>
      </c>
      <c r="J198" s="411" t="s">
        <v>9428</v>
      </c>
      <c r="K198" s="414">
        <v>9450</v>
      </c>
      <c r="L198" s="415">
        <v>126</v>
      </c>
      <c r="M198" s="414"/>
      <c r="N198" s="414"/>
      <c r="O198" s="414"/>
      <c r="P198" s="414"/>
      <c r="Q198" s="414"/>
    </row>
    <row r="199" spans="1:17" s="32" customFormat="1" ht="19.5" customHeight="1">
      <c r="A199" s="411">
        <v>190</v>
      </c>
      <c r="B199" s="412" t="s">
        <v>9429</v>
      </c>
      <c r="C199" s="413"/>
      <c r="D199" s="413"/>
      <c r="E199" s="413" t="s">
        <v>9430</v>
      </c>
      <c r="F199" s="411" t="s">
        <v>9431</v>
      </c>
      <c r="G199" s="411" t="s">
        <v>6694</v>
      </c>
      <c r="H199" s="411" t="s">
        <v>9432</v>
      </c>
      <c r="I199" s="411" t="s">
        <v>11</v>
      </c>
      <c r="J199" s="411" t="s">
        <v>1968</v>
      </c>
      <c r="K199" s="414">
        <v>550</v>
      </c>
      <c r="L199" s="415">
        <v>8015</v>
      </c>
      <c r="M199" s="414"/>
      <c r="N199" s="414"/>
      <c r="O199" s="414"/>
      <c r="P199" s="414"/>
      <c r="Q199" s="414"/>
    </row>
    <row r="200" spans="1:17" s="32" customFormat="1" ht="19.5" customHeight="1">
      <c r="A200" s="411">
        <v>191</v>
      </c>
      <c r="B200" s="412" t="s">
        <v>371</v>
      </c>
      <c r="C200" s="413"/>
      <c r="D200" s="413"/>
      <c r="E200" s="413" t="s">
        <v>3557</v>
      </c>
      <c r="F200" s="411" t="s">
        <v>372</v>
      </c>
      <c r="G200" s="411" t="s">
        <v>213</v>
      </c>
      <c r="H200" s="411" t="s">
        <v>248</v>
      </c>
      <c r="I200" s="411" t="s">
        <v>11</v>
      </c>
      <c r="J200" s="411" t="s">
        <v>842</v>
      </c>
      <c r="K200" s="414">
        <v>125</v>
      </c>
      <c r="L200" s="415">
        <v>0</v>
      </c>
      <c r="M200" s="414"/>
      <c r="N200" s="414"/>
      <c r="O200" s="414"/>
      <c r="P200" s="414"/>
      <c r="Q200" s="414"/>
    </row>
    <row r="201" spans="1:17" s="32" customFormat="1" ht="19.5" customHeight="1">
      <c r="A201" s="411">
        <v>192</v>
      </c>
      <c r="B201" s="412" t="s">
        <v>9433</v>
      </c>
      <c r="C201" s="416"/>
      <c r="D201" s="416"/>
      <c r="E201" s="412" t="s">
        <v>3557</v>
      </c>
      <c r="F201" s="417" t="s">
        <v>372</v>
      </c>
      <c r="G201" s="417" t="s">
        <v>6694</v>
      </c>
      <c r="H201" s="417" t="s">
        <v>248</v>
      </c>
      <c r="I201" s="417" t="s">
        <v>11</v>
      </c>
      <c r="J201" s="417" t="s">
        <v>842</v>
      </c>
      <c r="K201" s="418">
        <v>98</v>
      </c>
      <c r="L201" s="419">
        <v>0</v>
      </c>
      <c r="M201" s="418"/>
      <c r="N201" s="414"/>
      <c r="O201" s="414"/>
      <c r="P201" s="418"/>
      <c r="Q201" s="418"/>
    </row>
    <row r="202" spans="1:17" s="32" customFormat="1" ht="19.5" customHeight="1">
      <c r="A202" s="411">
        <v>193</v>
      </c>
      <c r="B202" s="412" t="s">
        <v>9434</v>
      </c>
      <c r="C202" s="416"/>
      <c r="D202" s="416"/>
      <c r="E202" s="412" t="s">
        <v>9435</v>
      </c>
      <c r="F202" s="417" t="s">
        <v>9436</v>
      </c>
      <c r="G202" s="417" t="s">
        <v>6694</v>
      </c>
      <c r="H202" s="417" t="s">
        <v>299</v>
      </c>
      <c r="I202" s="417" t="s">
        <v>13</v>
      </c>
      <c r="J202" s="417" t="s">
        <v>2919</v>
      </c>
      <c r="K202" s="418">
        <v>1134</v>
      </c>
      <c r="L202" s="419">
        <v>5925</v>
      </c>
      <c r="M202" s="418"/>
      <c r="N202" s="414"/>
      <c r="O202" s="414"/>
      <c r="P202" s="418"/>
      <c r="Q202" s="418"/>
    </row>
    <row r="203" spans="1:17" s="32" customFormat="1" ht="19.5" customHeight="1">
      <c r="A203" s="411">
        <v>194</v>
      </c>
      <c r="B203" s="412" t="s">
        <v>9321</v>
      </c>
      <c r="C203" s="413"/>
      <c r="D203" s="413"/>
      <c r="E203" s="413" t="s">
        <v>9437</v>
      </c>
      <c r="F203" s="411" t="s">
        <v>9438</v>
      </c>
      <c r="G203" s="411" t="s">
        <v>213</v>
      </c>
      <c r="H203" s="411" t="s">
        <v>1200</v>
      </c>
      <c r="I203" s="411" t="s">
        <v>13</v>
      </c>
      <c r="J203" s="411" t="s">
        <v>2919</v>
      </c>
      <c r="K203" s="414">
        <v>2420</v>
      </c>
      <c r="L203" s="415">
        <v>0</v>
      </c>
      <c r="M203" s="414"/>
      <c r="N203" s="414"/>
      <c r="O203" s="414"/>
      <c r="P203" s="414"/>
      <c r="Q203" s="414"/>
    </row>
    <row r="204" spans="1:17" s="32" customFormat="1" ht="19.5" customHeight="1">
      <c r="A204" s="411">
        <v>195</v>
      </c>
      <c r="B204" s="412" t="s">
        <v>9439</v>
      </c>
      <c r="C204" s="413"/>
      <c r="D204" s="413"/>
      <c r="E204" s="413" t="s">
        <v>671</v>
      </c>
      <c r="F204" s="411" t="s">
        <v>9440</v>
      </c>
      <c r="G204" s="411" t="s">
        <v>5156</v>
      </c>
      <c r="H204" s="411" t="s">
        <v>327</v>
      </c>
      <c r="I204" s="411" t="s">
        <v>11</v>
      </c>
      <c r="J204" s="411" t="s">
        <v>9288</v>
      </c>
      <c r="K204" s="414">
        <v>2730</v>
      </c>
      <c r="L204" s="415">
        <v>1713</v>
      </c>
      <c r="M204" s="414"/>
      <c r="N204" s="414"/>
      <c r="O204" s="414"/>
      <c r="P204" s="414"/>
      <c r="Q204" s="414"/>
    </row>
    <row r="205" spans="1:17" s="32" customFormat="1" ht="19.5" customHeight="1">
      <c r="A205" s="411">
        <v>196</v>
      </c>
      <c r="B205" s="413" t="s">
        <v>9441</v>
      </c>
      <c r="C205" s="413"/>
      <c r="D205" s="413"/>
      <c r="E205" s="413" t="s">
        <v>9442</v>
      </c>
      <c r="F205" s="411" t="s">
        <v>9443</v>
      </c>
      <c r="G205" s="411" t="s">
        <v>213</v>
      </c>
      <c r="H205" s="411" t="s">
        <v>8734</v>
      </c>
      <c r="I205" s="411" t="s">
        <v>10</v>
      </c>
      <c r="J205" s="411" t="s">
        <v>3137</v>
      </c>
      <c r="K205" s="414">
        <v>1575</v>
      </c>
      <c r="L205" s="415">
        <v>0</v>
      </c>
      <c r="M205" s="414"/>
      <c r="N205" s="414"/>
      <c r="O205" s="414"/>
      <c r="P205" s="414"/>
      <c r="Q205" s="414"/>
    </row>
    <row r="206" spans="1:17" s="32" customFormat="1" ht="19.5" customHeight="1">
      <c r="A206" s="411">
        <v>197</v>
      </c>
      <c r="B206" s="412" t="s">
        <v>1818</v>
      </c>
      <c r="C206" s="413"/>
      <c r="D206" s="413"/>
      <c r="E206" s="413" t="s">
        <v>9444</v>
      </c>
      <c r="F206" s="411" t="s">
        <v>9445</v>
      </c>
      <c r="G206" s="411" t="s">
        <v>6694</v>
      </c>
      <c r="H206" s="411" t="s">
        <v>272</v>
      </c>
      <c r="I206" s="411" t="s">
        <v>13</v>
      </c>
      <c r="J206" s="411" t="s">
        <v>9446</v>
      </c>
      <c r="K206" s="414">
        <v>1134</v>
      </c>
      <c r="L206" s="415">
        <v>0</v>
      </c>
      <c r="M206" s="414"/>
      <c r="N206" s="414"/>
      <c r="O206" s="414"/>
      <c r="P206" s="414"/>
      <c r="Q206" s="414"/>
    </row>
    <row r="207" spans="1:17" s="32" customFormat="1" ht="19.5" customHeight="1">
      <c r="A207" s="411">
        <v>198</v>
      </c>
      <c r="B207" s="412" t="s">
        <v>9297</v>
      </c>
      <c r="C207" s="413"/>
      <c r="D207" s="413"/>
      <c r="E207" s="413" t="s">
        <v>1455</v>
      </c>
      <c r="F207" s="411" t="s">
        <v>9447</v>
      </c>
      <c r="G207" s="411" t="s">
        <v>213</v>
      </c>
      <c r="H207" s="411" t="s">
        <v>1200</v>
      </c>
      <c r="I207" s="411" t="s">
        <v>13</v>
      </c>
      <c r="J207" s="411" t="s">
        <v>2919</v>
      </c>
      <c r="K207" s="414">
        <v>1701</v>
      </c>
      <c r="L207" s="415">
        <v>0</v>
      </c>
      <c r="M207" s="414"/>
      <c r="N207" s="414"/>
      <c r="O207" s="414"/>
      <c r="P207" s="414"/>
      <c r="Q207" s="414"/>
    </row>
    <row r="208" spans="1:17" s="32" customFormat="1" ht="19.5" customHeight="1">
      <c r="A208" s="411">
        <v>199</v>
      </c>
      <c r="B208" s="413" t="s">
        <v>809</v>
      </c>
      <c r="C208" s="413"/>
      <c r="D208" s="413"/>
      <c r="E208" s="413" t="s">
        <v>810</v>
      </c>
      <c r="F208" s="411" t="s">
        <v>811</v>
      </c>
      <c r="G208" s="411" t="s">
        <v>213</v>
      </c>
      <c r="H208" s="411" t="s">
        <v>225</v>
      </c>
      <c r="I208" s="411" t="s">
        <v>11</v>
      </c>
      <c r="J208" s="411" t="s">
        <v>2204</v>
      </c>
      <c r="K208" s="414">
        <v>700</v>
      </c>
      <c r="L208" s="415">
        <v>0</v>
      </c>
      <c r="M208" s="414"/>
      <c r="N208" s="414"/>
      <c r="O208" s="414"/>
      <c r="P208" s="414"/>
      <c r="Q208" s="414"/>
    </row>
    <row r="209" spans="1:17" s="32" customFormat="1" ht="19.5" customHeight="1">
      <c r="A209" s="411">
        <v>200</v>
      </c>
      <c r="B209" s="413" t="s">
        <v>847</v>
      </c>
      <c r="C209" s="413"/>
      <c r="D209" s="413"/>
      <c r="E209" s="413" t="s">
        <v>1819</v>
      </c>
      <c r="F209" s="411" t="s">
        <v>2786</v>
      </c>
      <c r="G209" s="411" t="s">
        <v>213</v>
      </c>
      <c r="H209" s="411" t="s">
        <v>225</v>
      </c>
      <c r="I209" s="411" t="s">
        <v>11</v>
      </c>
      <c r="J209" s="417" t="s">
        <v>9448</v>
      </c>
      <c r="K209" s="414">
        <v>2100</v>
      </c>
      <c r="L209" s="415">
        <v>8829</v>
      </c>
      <c r="M209" s="414"/>
      <c r="N209" s="414"/>
      <c r="O209" s="414"/>
      <c r="P209" s="414"/>
      <c r="Q209" s="414"/>
    </row>
    <row r="210" spans="1:17" s="32" customFormat="1" ht="19.5" customHeight="1">
      <c r="A210" s="411">
        <v>201</v>
      </c>
      <c r="B210" s="413" t="s">
        <v>1235</v>
      </c>
      <c r="C210" s="413"/>
      <c r="D210" s="413"/>
      <c r="E210" s="413" t="s">
        <v>2787</v>
      </c>
      <c r="F210" s="411" t="s">
        <v>2788</v>
      </c>
      <c r="G210" s="411" t="s">
        <v>213</v>
      </c>
      <c r="H210" s="411" t="s">
        <v>1200</v>
      </c>
      <c r="I210" s="411" t="s">
        <v>13</v>
      </c>
      <c r="J210" s="411" t="s">
        <v>1106</v>
      </c>
      <c r="K210" s="414">
        <v>2195</v>
      </c>
      <c r="L210" s="415">
        <v>3183</v>
      </c>
      <c r="M210" s="414"/>
      <c r="N210" s="414"/>
      <c r="O210" s="414"/>
      <c r="P210" s="414"/>
      <c r="Q210" s="414"/>
    </row>
    <row r="211" spans="1:17" s="32" customFormat="1" ht="19.5" customHeight="1">
      <c r="A211" s="411">
        <v>202</v>
      </c>
      <c r="B211" s="413" t="s">
        <v>256</v>
      </c>
      <c r="C211" s="413"/>
      <c r="D211" s="413"/>
      <c r="E211" s="413" t="s">
        <v>2791</v>
      </c>
      <c r="F211" s="411" t="s">
        <v>2792</v>
      </c>
      <c r="G211" s="411" t="s">
        <v>213</v>
      </c>
      <c r="H211" s="411" t="s">
        <v>299</v>
      </c>
      <c r="I211" s="411" t="s">
        <v>11</v>
      </c>
      <c r="J211" s="411" t="s">
        <v>2204</v>
      </c>
      <c r="K211" s="414">
        <v>1212</v>
      </c>
      <c r="L211" s="415">
        <v>9363</v>
      </c>
      <c r="M211" s="414"/>
      <c r="N211" s="414"/>
      <c r="O211" s="414"/>
      <c r="P211" s="414"/>
      <c r="Q211" s="414"/>
    </row>
    <row r="212" spans="1:17" s="32" customFormat="1" ht="19.5" customHeight="1">
      <c r="A212" s="411">
        <v>203</v>
      </c>
      <c r="B212" s="412" t="s">
        <v>9449</v>
      </c>
      <c r="C212" s="413"/>
      <c r="D212" s="413"/>
      <c r="E212" s="413" t="s">
        <v>9450</v>
      </c>
      <c r="F212" s="411" t="s">
        <v>2792</v>
      </c>
      <c r="G212" s="411" t="s">
        <v>6694</v>
      </c>
      <c r="H212" s="411" t="s">
        <v>299</v>
      </c>
      <c r="I212" s="411" t="s">
        <v>11</v>
      </c>
      <c r="J212" s="411" t="s">
        <v>2204</v>
      </c>
      <c r="K212" s="414">
        <v>1300</v>
      </c>
      <c r="L212" s="415">
        <v>69</v>
      </c>
      <c r="M212" s="414"/>
      <c r="N212" s="414"/>
      <c r="O212" s="414"/>
      <c r="P212" s="414"/>
      <c r="Q212" s="414"/>
    </row>
    <row r="213" spans="1:17" s="32" customFormat="1" ht="19.5" customHeight="1">
      <c r="A213" s="411">
        <v>206</v>
      </c>
      <c r="B213" s="413" t="s">
        <v>256</v>
      </c>
      <c r="C213" s="413"/>
      <c r="D213" s="413"/>
      <c r="E213" s="413" t="s">
        <v>9451</v>
      </c>
      <c r="F213" s="411" t="s">
        <v>9452</v>
      </c>
      <c r="G213" s="411" t="s">
        <v>213</v>
      </c>
      <c r="H213" s="411" t="s">
        <v>258</v>
      </c>
      <c r="I213" s="411" t="s">
        <v>11</v>
      </c>
      <c r="J213" s="411" t="s">
        <v>1329</v>
      </c>
      <c r="K213" s="414">
        <v>845</v>
      </c>
      <c r="L213" s="415">
        <v>0</v>
      </c>
      <c r="M213" s="414"/>
      <c r="N213" s="414"/>
      <c r="O213" s="414"/>
      <c r="P213" s="414"/>
      <c r="Q213" s="414"/>
    </row>
    <row r="214" spans="1:17" s="32" customFormat="1" ht="19.5" customHeight="1">
      <c r="A214" s="411">
        <v>204</v>
      </c>
      <c r="B214" s="412" t="s">
        <v>9449</v>
      </c>
      <c r="C214" s="413"/>
      <c r="D214" s="413"/>
      <c r="E214" s="413" t="s">
        <v>9451</v>
      </c>
      <c r="F214" s="411" t="s">
        <v>9453</v>
      </c>
      <c r="G214" s="411" t="s">
        <v>213</v>
      </c>
      <c r="H214" s="411" t="s">
        <v>299</v>
      </c>
      <c r="I214" s="411" t="s">
        <v>11</v>
      </c>
      <c r="J214" s="411" t="s">
        <v>1329</v>
      </c>
      <c r="K214" s="414">
        <v>912</v>
      </c>
      <c r="L214" s="415">
        <v>769</v>
      </c>
      <c r="M214" s="414"/>
      <c r="N214" s="414"/>
      <c r="O214" s="414"/>
      <c r="P214" s="414"/>
      <c r="Q214" s="414"/>
    </row>
    <row r="215" spans="1:17" s="32" customFormat="1" ht="19.5" customHeight="1">
      <c r="A215" s="411">
        <v>205</v>
      </c>
      <c r="B215" s="412" t="s">
        <v>9449</v>
      </c>
      <c r="C215" s="413"/>
      <c r="D215" s="413"/>
      <c r="E215" s="413" t="s">
        <v>9451</v>
      </c>
      <c r="F215" s="411" t="s">
        <v>2794</v>
      </c>
      <c r="G215" s="411" t="s">
        <v>6694</v>
      </c>
      <c r="H215" s="411" t="s">
        <v>258</v>
      </c>
      <c r="I215" s="411" t="s">
        <v>12</v>
      </c>
      <c r="J215" s="411" t="s">
        <v>9454</v>
      </c>
      <c r="K215" s="414">
        <v>1300</v>
      </c>
      <c r="L215" s="415">
        <v>68</v>
      </c>
      <c r="M215" s="414"/>
      <c r="N215" s="414"/>
      <c r="O215" s="414"/>
      <c r="P215" s="414"/>
      <c r="Q215" s="414"/>
    </row>
    <row r="216" spans="1:17" s="32" customFormat="1" ht="19.5" customHeight="1">
      <c r="A216" s="411">
        <v>207</v>
      </c>
      <c r="B216" s="412" t="s">
        <v>9449</v>
      </c>
      <c r="C216" s="413"/>
      <c r="D216" s="413"/>
      <c r="E216" s="413" t="s">
        <v>9455</v>
      </c>
      <c r="F216" s="411" t="s">
        <v>9456</v>
      </c>
      <c r="G216" s="411" t="s">
        <v>213</v>
      </c>
      <c r="H216" s="411" t="s">
        <v>334</v>
      </c>
      <c r="I216" s="411" t="s">
        <v>11</v>
      </c>
      <c r="J216" s="411" t="s">
        <v>9063</v>
      </c>
      <c r="K216" s="414">
        <v>13000</v>
      </c>
      <c r="L216" s="415">
        <v>0</v>
      </c>
      <c r="M216" s="414"/>
      <c r="N216" s="414"/>
      <c r="O216" s="414"/>
      <c r="P216" s="414"/>
      <c r="Q216" s="414"/>
    </row>
    <row r="217" spans="1:17" s="32" customFormat="1" ht="19.5" customHeight="1">
      <c r="A217" s="411">
        <v>208</v>
      </c>
      <c r="B217" s="420" t="s">
        <v>9449</v>
      </c>
      <c r="C217" s="421"/>
      <c r="D217" s="421"/>
      <c r="E217" s="412" t="s">
        <v>9457</v>
      </c>
      <c r="F217" s="417" t="s">
        <v>9458</v>
      </c>
      <c r="G217" s="417" t="s">
        <v>6694</v>
      </c>
      <c r="H217" s="417" t="s">
        <v>334</v>
      </c>
      <c r="I217" s="417" t="s">
        <v>10</v>
      </c>
      <c r="J217" s="417" t="s">
        <v>2212</v>
      </c>
      <c r="K217" s="418">
        <v>6300</v>
      </c>
      <c r="L217" s="419">
        <v>110</v>
      </c>
      <c r="M217" s="418"/>
      <c r="N217" s="414"/>
      <c r="O217" s="414"/>
      <c r="P217" s="418"/>
      <c r="Q217" s="418"/>
    </row>
    <row r="218" spans="1:17" s="32" customFormat="1" ht="19.5" customHeight="1">
      <c r="A218" s="411">
        <v>209</v>
      </c>
      <c r="B218" s="412" t="s">
        <v>256</v>
      </c>
      <c r="C218" s="413"/>
      <c r="D218" s="413"/>
      <c r="E218" s="413" t="s">
        <v>9459</v>
      </c>
      <c r="F218" s="411" t="s">
        <v>9458</v>
      </c>
      <c r="G218" s="411" t="s">
        <v>213</v>
      </c>
      <c r="H218" s="411" t="s">
        <v>334</v>
      </c>
      <c r="I218" s="411" t="s">
        <v>10</v>
      </c>
      <c r="J218" s="411" t="s">
        <v>1134</v>
      </c>
      <c r="K218" s="414">
        <v>6490</v>
      </c>
      <c r="L218" s="415">
        <v>21</v>
      </c>
      <c r="M218" s="414"/>
      <c r="N218" s="414"/>
      <c r="O218" s="414"/>
      <c r="P218" s="414"/>
      <c r="Q218" s="414"/>
    </row>
    <row r="219" spans="1:17" s="32" customFormat="1" ht="19.5" customHeight="1">
      <c r="A219" s="411">
        <v>210</v>
      </c>
      <c r="B219" s="412" t="s">
        <v>9449</v>
      </c>
      <c r="C219" s="413"/>
      <c r="D219" s="413"/>
      <c r="E219" s="413" t="s">
        <v>9460</v>
      </c>
      <c r="F219" s="411" t="s">
        <v>9461</v>
      </c>
      <c r="G219" s="411" t="s">
        <v>213</v>
      </c>
      <c r="H219" s="411" t="s">
        <v>258</v>
      </c>
      <c r="I219" s="411" t="s">
        <v>13</v>
      </c>
      <c r="J219" s="411" t="s">
        <v>2919</v>
      </c>
      <c r="K219" s="414">
        <v>2050</v>
      </c>
      <c r="L219" s="415">
        <v>0</v>
      </c>
      <c r="M219" s="414"/>
      <c r="N219" s="414"/>
      <c r="O219" s="414"/>
      <c r="P219" s="414"/>
      <c r="Q219" s="414"/>
    </row>
    <row r="220" spans="1:17" s="32" customFormat="1" ht="19.5" customHeight="1">
      <c r="A220" s="411">
        <v>211</v>
      </c>
      <c r="B220" s="413" t="s">
        <v>256</v>
      </c>
      <c r="C220" s="413"/>
      <c r="D220" s="413"/>
      <c r="E220" s="413" t="s">
        <v>1160</v>
      </c>
      <c r="F220" s="411" t="s">
        <v>1162</v>
      </c>
      <c r="G220" s="411" t="s">
        <v>213</v>
      </c>
      <c r="H220" s="411" t="s">
        <v>291</v>
      </c>
      <c r="I220" s="411" t="s">
        <v>13</v>
      </c>
      <c r="J220" s="411" t="s">
        <v>2919</v>
      </c>
      <c r="K220" s="414">
        <v>3990</v>
      </c>
      <c r="L220" s="415">
        <v>0</v>
      </c>
      <c r="M220" s="414"/>
      <c r="N220" s="414"/>
      <c r="O220" s="414"/>
      <c r="P220" s="414"/>
      <c r="Q220" s="414"/>
    </row>
    <row r="221" spans="1:17" s="32" customFormat="1" ht="19.5" customHeight="1">
      <c r="A221" s="411">
        <v>212</v>
      </c>
      <c r="B221" s="412" t="s">
        <v>9449</v>
      </c>
      <c r="C221" s="416"/>
      <c r="D221" s="416"/>
      <c r="E221" s="412" t="s">
        <v>3558</v>
      </c>
      <c r="F221" s="417" t="s">
        <v>1162</v>
      </c>
      <c r="G221" s="417" t="s">
        <v>6694</v>
      </c>
      <c r="H221" s="417" t="s">
        <v>291</v>
      </c>
      <c r="I221" s="417" t="s">
        <v>13</v>
      </c>
      <c r="J221" s="417" t="s">
        <v>1106</v>
      </c>
      <c r="K221" s="418">
        <v>3900</v>
      </c>
      <c r="L221" s="419">
        <v>0</v>
      </c>
      <c r="M221" s="418"/>
      <c r="N221" s="414"/>
      <c r="O221" s="414"/>
      <c r="P221" s="418"/>
      <c r="Q221" s="418"/>
    </row>
    <row r="222" spans="1:17" s="32" customFormat="1" ht="19.5" customHeight="1">
      <c r="A222" s="411">
        <v>213</v>
      </c>
      <c r="B222" s="412" t="s">
        <v>813</v>
      </c>
      <c r="C222" s="413"/>
      <c r="D222" s="413"/>
      <c r="E222" s="413" t="s">
        <v>9462</v>
      </c>
      <c r="F222" s="411" t="s">
        <v>9463</v>
      </c>
      <c r="G222" s="411" t="s">
        <v>213</v>
      </c>
      <c r="H222" s="411" t="s">
        <v>299</v>
      </c>
      <c r="I222" s="411" t="s">
        <v>11</v>
      </c>
      <c r="J222" s="411" t="s">
        <v>9063</v>
      </c>
      <c r="K222" s="414">
        <v>4578</v>
      </c>
      <c r="L222" s="415">
        <v>0</v>
      </c>
      <c r="M222" s="414"/>
      <c r="N222" s="414"/>
      <c r="O222" s="414"/>
      <c r="P222" s="414"/>
      <c r="Q222" s="414"/>
    </row>
    <row r="223" spans="1:17" s="32" customFormat="1" ht="19.5" customHeight="1">
      <c r="A223" s="411">
        <v>214</v>
      </c>
      <c r="B223" s="412" t="s">
        <v>9464</v>
      </c>
      <c r="C223" s="413"/>
      <c r="D223" s="413"/>
      <c r="E223" s="413" t="s">
        <v>3559</v>
      </c>
      <c r="F223" s="411" t="s">
        <v>9465</v>
      </c>
      <c r="G223" s="411" t="s">
        <v>6694</v>
      </c>
      <c r="H223" s="411" t="s">
        <v>900</v>
      </c>
      <c r="I223" s="411" t="s">
        <v>11</v>
      </c>
      <c r="J223" s="411" t="s">
        <v>9466</v>
      </c>
      <c r="K223" s="414">
        <v>8000</v>
      </c>
      <c r="L223" s="415">
        <v>6794</v>
      </c>
      <c r="M223" s="414"/>
      <c r="N223" s="414"/>
      <c r="O223" s="414"/>
      <c r="P223" s="414"/>
      <c r="Q223" s="414"/>
    </row>
    <row r="224" spans="1:17" s="32" customFormat="1" ht="19.5" customHeight="1">
      <c r="A224" s="411">
        <v>215</v>
      </c>
      <c r="B224" s="412" t="s">
        <v>428</v>
      </c>
      <c r="C224" s="413"/>
      <c r="D224" s="413"/>
      <c r="E224" s="413" t="s">
        <v>9467</v>
      </c>
      <c r="F224" s="411" t="s">
        <v>2796</v>
      </c>
      <c r="G224" s="411" t="s">
        <v>5116</v>
      </c>
      <c r="H224" s="411" t="s">
        <v>2798</v>
      </c>
      <c r="I224" s="411" t="s">
        <v>658</v>
      </c>
      <c r="J224" s="411" t="s">
        <v>9180</v>
      </c>
      <c r="K224" s="414">
        <v>24000</v>
      </c>
      <c r="L224" s="415">
        <v>16</v>
      </c>
      <c r="M224" s="414"/>
      <c r="N224" s="414"/>
      <c r="O224" s="414"/>
      <c r="P224" s="414"/>
      <c r="Q224" s="414"/>
    </row>
    <row r="225" spans="1:17" s="32" customFormat="1" ht="19.5" customHeight="1">
      <c r="A225" s="411">
        <v>216</v>
      </c>
      <c r="B225" s="413" t="s">
        <v>4938</v>
      </c>
      <c r="C225" s="413"/>
      <c r="D225" s="413"/>
      <c r="E225" s="413" t="s">
        <v>9468</v>
      </c>
      <c r="F225" s="411" t="s">
        <v>2796</v>
      </c>
      <c r="G225" s="411" t="s">
        <v>5116</v>
      </c>
      <c r="H225" s="411" t="s">
        <v>429</v>
      </c>
      <c r="I225" s="411" t="s">
        <v>658</v>
      </c>
      <c r="J225" s="411" t="s">
        <v>9180</v>
      </c>
      <c r="K225" s="414">
        <v>20000</v>
      </c>
      <c r="L225" s="415">
        <v>100</v>
      </c>
      <c r="M225" s="414"/>
      <c r="N225" s="414"/>
      <c r="O225" s="414"/>
      <c r="P225" s="414"/>
      <c r="Q225" s="414"/>
    </row>
    <row r="226" spans="1:17" s="32" customFormat="1" ht="19.5" customHeight="1">
      <c r="A226" s="411">
        <v>217</v>
      </c>
      <c r="B226" s="412" t="s">
        <v>9321</v>
      </c>
      <c r="C226" s="413"/>
      <c r="D226" s="413"/>
      <c r="E226" s="413" t="s">
        <v>9469</v>
      </c>
      <c r="F226" s="411" t="s">
        <v>9470</v>
      </c>
      <c r="G226" s="411" t="s">
        <v>213</v>
      </c>
      <c r="H226" s="411" t="s">
        <v>272</v>
      </c>
      <c r="I226" s="411" t="s">
        <v>11</v>
      </c>
      <c r="J226" s="411" t="s">
        <v>9063</v>
      </c>
      <c r="K226" s="414">
        <v>3392</v>
      </c>
      <c r="L226" s="415">
        <v>6</v>
      </c>
      <c r="M226" s="414"/>
      <c r="N226" s="414"/>
      <c r="O226" s="414"/>
      <c r="P226" s="414"/>
      <c r="Q226" s="414"/>
    </row>
    <row r="227" spans="1:17" s="32" customFormat="1" ht="19.5" customHeight="1">
      <c r="A227" s="411">
        <v>218</v>
      </c>
      <c r="B227" s="412" t="s">
        <v>9471</v>
      </c>
      <c r="C227" s="413"/>
      <c r="D227" s="413"/>
      <c r="E227" s="413" t="s">
        <v>9472</v>
      </c>
      <c r="F227" s="411" t="s">
        <v>9473</v>
      </c>
      <c r="G227" s="411" t="s">
        <v>213</v>
      </c>
      <c r="H227" s="411" t="s">
        <v>225</v>
      </c>
      <c r="I227" s="411" t="s">
        <v>11</v>
      </c>
      <c r="J227" s="411" t="s">
        <v>9063</v>
      </c>
      <c r="K227" s="414">
        <v>8400</v>
      </c>
      <c r="L227" s="415">
        <v>0</v>
      </c>
      <c r="M227" s="414"/>
      <c r="N227" s="414"/>
      <c r="O227" s="414"/>
      <c r="P227" s="414"/>
      <c r="Q227" s="414"/>
    </row>
    <row r="228" spans="1:17" s="32" customFormat="1" ht="19.5" customHeight="1">
      <c r="A228" s="411">
        <v>220</v>
      </c>
      <c r="B228" s="413" t="s">
        <v>433</v>
      </c>
      <c r="C228" s="413"/>
      <c r="D228" s="413"/>
      <c r="E228" s="413" t="s">
        <v>9474</v>
      </c>
      <c r="F228" s="411" t="s">
        <v>2800</v>
      </c>
      <c r="G228" s="411" t="s">
        <v>213</v>
      </c>
      <c r="H228" s="411" t="s">
        <v>225</v>
      </c>
      <c r="I228" s="411" t="s">
        <v>11</v>
      </c>
      <c r="J228" s="417" t="s">
        <v>9063</v>
      </c>
      <c r="K228" s="414">
        <v>2415</v>
      </c>
      <c r="L228" s="415">
        <v>0</v>
      </c>
      <c r="M228" s="414"/>
      <c r="N228" s="414"/>
      <c r="O228" s="414"/>
      <c r="P228" s="414"/>
      <c r="Q228" s="414"/>
    </row>
    <row r="229" spans="1:17" s="32" customFormat="1" ht="19.5" customHeight="1">
      <c r="A229" s="411">
        <v>219</v>
      </c>
      <c r="B229" s="420" t="s">
        <v>9321</v>
      </c>
      <c r="C229" s="421"/>
      <c r="D229" s="421"/>
      <c r="E229" s="412" t="s">
        <v>9474</v>
      </c>
      <c r="F229" s="417" t="s">
        <v>2800</v>
      </c>
      <c r="G229" s="417" t="s">
        <v>6694</v>
      </c>
      <c r="H229" s="417" t="s">
        <v>225</v>
      </c>
      <c r="I229" s="417" t="s">
        <v>16</v>
      </c>
      <c r="J229" s="417" t="s">
        <v>815</v>
      </c>
      <c r="K229" s="418">
        <v>2929</v>
      </c>
      <c r="L229" s="419">
        <v>0</v>
      </c>
      <c r="M229" s="418"/>
      <c r="N229" s="414"/>
      <c r="O229" s="414"/>
      <c r="P229" s="418"/>
      <c r="Q229" s="418"/>
    </row>
    <row r="230" spans="1:17" s="32" customFormat="1" ht="19.5" customHeight="1">
      <c r="A230" s="411">
        <v>221</v>
      </c>
      <c r="B230" s="420" t="s">
        <v>9321</v>
      </c>
      <c r="C230" s="421"/>
      <c r="D230" s="421"/>
      <c r="E230" s="412" t="s">
        <v>9475</v>
      </c>
      <c r="F230" s="417" t="s">
        <v>9476</v>
      </c>
      <c r="G230" s="417" t="s">
        <v>6694</v>
      </c>
      <c r="H230" s="417" t="s">
        <v>272</v>
      </c>
      <c r="I230" s="417" t="s">
        <v>10</v>
      </c>
      <c r="J230" s="411" t="s">
        <v>1261</v>
      </c>
      <c r="K230" s="418">
        <v>1630</v>
      </c>
      <c r="L230" s="419">
        <v>4</v>
      </c>
      <c r="M230" s="418"/>
      <c r="N230" s="414"/>
      <c r="O230" s="414"/>
      <c r="P230" s="418"/>
      <c r="Q230" s="418"/>
    </row>
    <row r="231" spans="1:17" s="32" customFormat="1" ht="19.5" customHeight="1">
      <c r="A231" s="411">
        <v>222</v>
      </c>
      <c r="B231" s="412" t="s">
        <v>9321</v>
      </c>
      <c r="C231" s="413"/>
      <c r="D231" s="413"/>
      <c r="E231" s="413" t="s">
        <v>9477</v>
      </c>
      <c r="F231" s="411" t="s">
        <v>9478</v>
      </c>
      <c r="G231" s="411" t="s">
        <v>6694</v>
      </c>
      <c r="H231" s="411" t="s">
        <v>225</v>
      </c>
      <c r="I231" s="411" t="s">
        <v>10</v>
      </c>
      <c r="J231" s="411" t="s">
        <v>1261</v>
      </c>
      <c r="K231" s="414">
        <v>2830</v>
      </c>
      <c r="L231" s="415">
        <v>1097</v>
      </c>
      <c r="M231" s="414"/>
      <c r="N231" s="414"/>
      <c r="O231" s="414"/>
      <c r="P231" s="414"/>
      <c r="Q231" s="414"/>
    </row>
    <row r="232" spans="1:17" s="32" customFormat="1" ht="19.5" customHeight="1">
      <c r="A232" s="411">
        <v>223</v>
      </c>
      <c r="B232" s="412" t="s">
        <v>2329</v>
      </c>
      <c r="C232" s="413"/>
      <c r="D232" s="413"/>
      <c r="E232" s="413" t="s">
        <v>9479</v>
      </c>
      <c r="F232" s="411" t="s">
        <v>9480</v>
      </c>
      <c r="G232" s="411" t="s">
        <v>213</v>
      </c>
      <c r="H232" s="436" t="s">
        <v>8734</v>
      </c>
      <c r="I232" s="411" t="s">
        <v>11</v>
      </c>
      <c r="J232" s="411" t="s">
        <v>8969</v>
      </c>
      <c r="K232" s="414">
        <v>1575</v>
      </c>
      <c r="L232" s="415">
        <v>8945</v>
      </c>
      <c r="M232" s="414"/>
      <c r="N232" s="414"/>
      <c r="O232" s="414"/>
      <c r="P232" s="414"/>
      <c r="Q232" s="414"/>
    </row>
    <row r="233" spans="1:17" s="32" customFormat="1" ht="19.5" customHeight="1">
      <c r="A233" s="411">
        <v>224</v>
      </c>
      <c r="B233" s="412" t="s">
        <v>9058</v>
      </c>
      <c r="C233" s="413"/>
      <c r="D233" s="413"/>
      <c r="E233" s="413" t="s">
        <v>9481</v>
      </c>
      <c r="F233" s="411" t="s">
        <v>9482</v>
      </c>
      <c r="G233" s="411" t="s">
        <v>6694</v>
      </c>
      <c r="H233" s="411" t="s">
        <v>899</v>
      </c>
      <c r="I233" s="411" t="s">
        <v>13</v>
      </c>
      <c r="J233" s="411" t="s">
        <v>562</v>
      </c>
      <c r="K233" s="414">
        <v>479</v>
      </c>
      <c r="L233" s="415">
        <v>10982</v>
      </c>
      <c r="M233" s="414"/>
      <c r="N233" s="414"/>
      <c r="O233" s="414"/>
      <c r="P233" s="414"/>
      <c r="Q233" s="414"/>
    </row>
    <row r="234" spans="1:17" s="32" customFormat="1" ht="19.5" customHeight="1">
      <c r="A234" s="411">
        <v>225</v>
      </c>
      <c r="B234" s="412" t="s">
        <v>9058</v>
      </c>
      <c r="C234" s="413"/>
      <c r="D234" s="413"/>
      <c r="E234" s="413" t="s">
        <v>9483</v>
      </c>
      <c r="F234" s="411" t="s">
        <v>2802</v>
      </c>
      <c r="G234" s="411" t="s">
        <v>6694</v>
      </c>
      <c r="H234" s="411" t="s">
        <v>1583</v>
      </c>
      <c r="I234" s="411" t="s">
        <v>13</v>
      </c>
      <c r="J234" s="411" t="s">
        <v>562</v>
      </c>
      <c r="K234" s="414">
        <v>490</v>
      </c>
      <c r="L234" s="415">
        <v>6293</v>
      </c>
      <c r="M234" s="414"/>
      <c r="N234" s="414"/>
      <c r="O234" s="414"/>
      <c r="P234" s="414"/>
      <c r="Q234" s="414"/>
    </row>
    <row r="235" spans="1:17" s="32" customFormat="1" ht="19.5" customHeight="1">
      <c r="A235" s="411">
        <v>226</v>
      </c>
      <c r="B235" s="412" t="s">
        <v>9484</v>
      </c>
      <c r="C235" s="413"/>
      <c r="D235" s="413"/>
      <c r="E235" s="413" t="s">
        <v>9485</v>
      </c>
      <c r="F235" s="411" t="s">
        <v>9486</v>
      </c>
      <c r="G235" s="411" t="s">
        <v>213</v>
      </c>
      <c r="H235" s="411" t="s">
        <v>291</v>
      </c>
      <c r="I235" s="411" t="s">
        <v>11</v>
      </c>
      <c r="J235" s="411" t="s">
        <v>9063</v>
      </c>
      <c r="K235" s="414">
        <v>889</v>
      </c>
      <c r="L235" s="415">
        <v>0</v>
      </c>
      <c r="M235" s="414"/>
      <c r="N235" s="414"/>
      <c r="O235" s="414"/>
      <c r="P235" s="414"/>
      <c r="Q235" s="414"/>
    </row>
    <row r="236" spans="1:17" s="32" customFormat="1" ht="19.5" customHeight="1">
      <c r="A236" s="411">
        <v>227</v>
      </c>
      <c r="B236" s="412" t="s">
        <v>9487</v>
      </c>
      <c r="C236" s="413"/>
      <c r="D236" s="413"/>
      <c r="E236" s="413" t="s">
        <v>9488</v>
      </c>
      <c r="F236" s="411" t="s">
        <v>9489</v>
      </c>
      <c r="G236" s="411" t="s">
        <v>213</v>
      </c>
      <c r="H236" s="411" t="s">
        <v>258</v>
      </c>
      <c r="I236" s="411" t="s">
        <v>11</v>
      </c>
      <c r="J236" s="411" t="s">
        <v>2180</v>
      </c>
      <c r="K236" s="414">
        <v>1995</v>
      </c>
      <c r="L236" s="415">
        <v>1914</v>
      </c>
      <c r="M236" s="414"/>
      <c r="N236" s="414"/>
      <c r="O236" s="414"/>
      <c r="P236" s="414"/>
      <c r="Q236" s="414"/>
    </row>
    <row r="237" spans="1:17" s="32" customFormat="1" ht="19.5" customHeight="1">
      <c r="A237" s="411">
        <v>228</v>
      </c>
      <c r="B237" s="412" t="s">
        <v>9490</v>
      </c>
      <c r="C237" s="413"/>
      <c r="D237" s="413"/>
      <c r="E237" s="413" t="s">
        <v>1458</v>
      </c>
      <c r="F237" s="411" t="s">
        <v>9491</v>
      </c>
      <c r="G237" s="411" t="s">
        <v>6694</v>
      </c>
      <c r="H237" s="411" t="s">
        <v>272</v>
      </c>
      <c r="I237" s="411" t="s">
        <v>11</v>
      </c>
      <c r="J237" s="411" t="s">
        <v>9492</v>
      </c>
      <c r="K237" s="414">
        <v>430</v>
      </c>
      <c r="L237" s="415">
        <v>400</v>
      </c>
      <c r="M237" s="414"/>
      <c r="N237" s="414"/>
      <c r="O237" s="414"/>
      <c r="P237" s="414"/>
      <c r="Q237" s="414"/>
    </row>
    <row r="238" spans="1:17" s="32" customFormat="1" ht="19.5" customHeight="1">
      <c r="A238" s="411">
        <v>229</v>
      </c>
      <c r="B238" s="412" t="s">
        <v>9490</v>
      </c>
      <c r="C238" s="413"/>
      <c r="D238" s="413"/>
      <c r="E238" s="413" t="s">
        <v>1458</v>
      </c>
      <c r="F238" s="411" t="s">
        <v>9493</v>
      </c>
      <c r="G238" s="411" t="s">
        <v>213</v>
      </c>
      <c r="H238" s="411" t="s">
        <v>272</v>
      </c>
      <c r="I238" s="411" t="s">
        <v>11</v>
      </c>
      <c r="J238" s="411" t="s">
        <v>9063</v>
      </c>
      <c r="K238" s="414">
        <v>496</v>
      </c>
      <c r="L238" s="415">
        <v>0</v>
      </c>
      <c r="M238" s="414"/>
      <c r="N238" s="414"/>
      <c r="O238" s="414"/>
      <c r="P238" s="414"/>
      <c r="Q238" s="414"/>
    </row>
    <row r="239" spans="1:17" s="32" customFormat="1" ht="19.5" customHeight="1">
      <c r="A239" s="411">
        <v>231</v>
      </c>
      <c r="B239" s="420" t="s">
        <v>9490</v>
      </c>
      <c r="C239" s="421"/>
      <c r="D239" s="421"/>
      <c r="E239" s="412" t="s">
        <v>9494</v>
      </c>
      <c r="F239" s="417" t="s">
        <v>9495</v>
      </c>
      <c r="G239" s="417" t="s">
        <v>6694</v>
      </c>
      <c r="H239" s="417" t="s">
        <v>225</v>
      </c>
      <c r="I239" s="417" t="s">
        <v>11</v>
      </c>
      <c r="J239" s="417" t="s">
        <v>9496</v>
      </c>
      <c r="K239" s="418">
        <v>1300</v>
      </c>
      <c r="L239" s="419">
        <v>0</v>
      </c>
      <c r="M239" s="418"/>
      <c r="N239" s="414"/>
      <c r="O239" s="414"/>
      <c r="P239" s="418"/>
      <c r="Q239" s="418"/>
    </row>
    <row r="240" spans="1:17" s="32" customFormat="1" ht="19.5" customHeight="1">
      <c r="A240" s="411">
        <v>234</v>
      </c>
      <c r="B240" s="420" t="s">
        <v>9490</v>
      </c>
      <c r="C240" s="421"/>
      <c r="D240" s="421"/>
      <c r="E240" s="412" t="s">
        <v>1461</v>
      </c>
      <c r="F240" s="417" t="s">
        <v>9497</v>
      </c>
      <c r="G240" s="417" t="s">
        <v>6694</v>
      </c>
      <c r="H240" s="417" t="s">
        <v>225</v>
      </c>
      <c r="I240" s="417" t="s">
        <v>11</v>
      </c>
      <c r="J240" s="417" t="s">
        <v>2204</v>
      </c>
      <c r="K240" s="418">
        <v>725</v>
      </c>
      <c r="L240" s="419">
        <v>0</v>
      </c>
      <c r="M240" s="418"/>
      <c r="N240" s="414"/>
      <c r="O240" s="414"/>
      <c r="P240" s="418"/>
      <c r="Q240" s="418"/>
    </row>
    <row r="241" spans="1:17" s="32" customFormat="1" ht="19.5" customHeight="1">
      <c r="A241" s="411">
        <v>232</v>
      </c>
      <c r="B241" s="412" t="s">
        <v>9490</v>
      </c>
      <c r="C241" s="413"/>
      <c r="D241" s="413"/>
      <c r="E241" s="413" t="s">
        <v>1461</v>
      </c>
      <c r="F241" s="411" t="s">
        <v>9498</v>
      </c>
      <c r="G241" s="411" t="s">
        <v>213</v>
      </c>
      <c r="H241" s="411" t="s">
        <v>225</v>
      </c>
      <c r="I241" s="411" t="s">
        <v>11</v>
      </c>
      <c r="J241" s="411" t="s">
        <v>9499</v>
      </c>
      <c r="K241" s="414">
        <v>735</v>
      </c>
      <c r="L241" s="415">
        <v>0</v>
      </c>
      <c r="M241" s="414"/>
      <c r="N241" s="414"/>
      <c r="O241" s="414"/>
      <c r="P241" s="414"/>
      <c r="Q241" s="414"/>
    </row>
    <row r="242" spans="1:17" s="32" customFormat="1" ht="19.5" customHeight="1">
      <c r="A242" s="411">
        <v>233</v>
      </c>
      <c r="B242" s="412" t="s">
        <v>9490</v>
      </c>
      <c r="C242" s="413"/>
      <c r="D242" s="413"/>
      <c r="E242" s="413" t="s">
        <v>1461</v>
      </c>
      <c r="F242" s="411" t="s">
        <v>9500</v>
      </c>
      <c r="G242" s="411" t="s">
        <v>213</v>
      </c>
      <c r="H242" s="411" t="s">
        <v>225</v>
      </c>
      <c r="I242" s="411" t="s">
        <v>11</v>
      </c>
      <c r="J242" s="411" t="s">
        <v>9063</v>
      </c>
      <c r="K242" s="414">
        <v>798</v>
      </c>
      <c r="L242" s="415">
        <v>80</v>
      </c>
      <c r="M242" s="414"/>
      <c r="N242" s="414"/>
      <c r="O242" s="414"/>
      <c r="P242" s="414"/>
      <c r="Q242" s="414"/>
    </row>
    <row r="243" spans="1:17" s="32" customFormat="1" ht="19.5" customHeight="1">
      <c r="A243" s="411">
        <v>235</v>
      </c>
      <c r="B243" s="413" t="s">
        <v>809</v>
      </c>
      <c r="C243" s="413"/>
      <c r="D243" s="413"/>
      <c r="E243" s="413" t="s">
        <v>3560</v>
      </c>
      <c r="F243" s="411" t="s">
        <v>2804</v>
      </c>
      <c r="G243" s="411" t="s">
        <v>213</v>
      </c>
      <c r="H243" s="411" t="s">
        <v>272</v>
      </c>
      <c r="I243" s="411" t="s">
        <v>11</v>
      </c>
      <c r="J243" s="411" t="s">
        <v>9063</v>
      </c>
      <c r="K243" s="414">
        <v>945</v>
      </c>
      <c r="L243" s="415">
        <v>0</v>
      </c>
      <c r="M243" s="414"/>
      <c r="N243" s="414"/>
      <c r="O243" s="414"/>
      <c r="P243" s="414"/>
      <c r="Q243" s="414"/>
    </row>
    <row r="244" spans="1:17" s="32" customFormat="1" ht="19.5" customHeight="1">
      <c r="A244" s="411">
        <v>236</v>
      </c>
      <c r="B244" s="420" t="s">
        <v>9297</v>
      </c>
      <c r="C244" s="421"/>
      <c r="D244" s="421"/>
      <c r="E244" s="412" t="s">
        <v>9501</v>
      </c>
      <c r="F244" s="417" t="s">
        <v>9502</v>
      </c>
      <c r="G244" s="417" t="s">
        <v>6694</v>
      </c>
      <c r="H244" s="417" t="s">
        <v>1200</v>
      </c>
      <c r="I244" s="417" t="s">
        <v>13</v>
      </c>
      <c r="J244" s="417" t="s">
        <v>1106</v>
      </c>
      <c r="K244" s="418">
        <v>1290</v>
      </c>
      <c r="L244" s="419">
        <v>18</v>
      </c>
      <c r="M244" s="418"/>
      <c r="N244" s="414"/>
      <c r="O244" s="414"/>
      <c r="P244" s="418"/>
      <c r="Q244" s="418"/>
    </row>
    <row r="245" spans="1:17" s="32" customFormat="1" ht="19.5" customHeight="1">
      <c r="A245" s="411">
        <v>237</v>
      </c>
      <c r="B245" s="413" t="s">
        <v>802</v>
      </c>
      <c r="C245" s="413"/>
      <c r="D245" s="413"/>
      <c r="E245" s="413" t="s">
        <v>2460</v>
      </c>
      <c r="F245" s="411" t="s">
        <v>2807</v>
      </c>
      <c r="G245" s="411" t="s">
        <v>213</v>
      </c>
      <c r="H245" s="411" t="s">
        <v>965</v>
      </c>
      <c r="I245" s="411" t="s">
        <v>11</v>
      </c>
      <c r="J245" s="411" t="s">
        <v>842</v>
      </c>
      <c r="K245" s="414">
        <v>2477</v>
      </c>
      <c r="L245" s="415">
        <v>0</v>
      </c>
      <c r="M245" s="414"/>
      <c r="N245" s="414"/>
      <c r="O245" s="414"/>
      <c r="P245" s="414"/>
      <c r="Q245" s="414"/>
    </row>
    <row r="246" spans="1:17" s="32" customFormat="1" ht="19.5" customHeight="1">
      <c r="A246" s="411">
        <v>238</v>
      </c>
      <c r="B246" s="420" t="s">
        <v>9297</v>
      </c>
      <c r="C246" s="421"/>
      <c r="D246" s="421"/>
      <c r="E246" s="412" t="s">
        <v>3561</v>
      </c>
      <c r="F246" s="417" t="s">
        <v>2807</v>
      </c>
      <c r="G246" s="417" t="s">
        <v>6694</v>
      </c>
      <c r="H246" s="417" t="s">
        <v>965</v>
      </c>
      <c r="I246" s="417" t="s">
        <v>11</v>
      </c>
      <c r="J246" s="417" t="s">
        <v>842</v>
      </c>
      <c r="K246" s="418">
        <v>2492</v>
      </c>
      <c r="L246" s="419">
        <v>0</v>
      </c>
      <c r="M246" s="418"/>
      <c r="N246" s="414"/>
      <c r="O246" s="414"/>
      <c r="P246" s="418"/>
      <c r="Q246" s="418"/>
    </row>
    <row r="247" spans="1:17" s="32" customFormat="1" ht="19.5" customHeight="1">
      <c r="A247" s="411">
        <v>239</v>
      </c>
      <c r="B247" s="420" t="s">
        <v>9297</v>
      </c>
      <c r="C247" s="421"/>
      <c r="D247" s="421"/>
      <c r="E247" s="412" t="s">
        <v>9503</v>
      </c>
      <c r="F247" s="417" t="s">
        <v>9504</v>
      </c>
      <c r="G247" s="417" t="s">
        <v>6694</v>
      </c>
      <c r="H247" s="417" t="s">
        <v>225</v>
      </c>
      <c r="I247" s="417" t="s">
        <v>11</v>
      </c>
      <c r="J247" s="417" t="s">
        <v>1111</v>
      </c>
      <c r="K247" s="418">
        <v>3150</v>
      </c>
      <c r="L247" s="419">
        <v>0</v>
      </c>
      <c r="M247" s="418"/>
      <c r="N247" s="414"/>
      <c r="O247" s="414"/>
      <c r="P247" s="418"/>
      <c r="Q247" s="418"/>
    </row>
    <row r="248" spans="1:17" s="32" customFormat="1" ht="19.5" customHeight="1">
      <c r="A248" s="411">
        <v>240</v>
      </c>
      <c r="B248" s="412" t="s">
        <v>9505</v>
      </c>
      <c r="C248" s="413"/>
      <c r="D248" s="413"/>
      <c r="E248" s="413" t="s">
        <v>3562</v>
      </c>
      <c r="F248" s="411" t="s">
        <v>9506</v>
      </c>
      <c r="G248" s="411" t="s">
        <v>6299</v>
      </c>
      <c r="H248" s="411" t="s">
        <v>422</v>
      </c>
      <c r="I248" s="411" t="s">
        <v>520</v>
      </c>
      <c r="J248" s="411" t="s">
        <v>3019</v>
      </c>
      <c r="K248" s="414">
        <v>101430</v>
      </c>
      <c r="L248" s="415">
        <v>122</v>
      </c>
      <c r="M248" s="414"/>
      <c r="N248" s="414"/>
      <c r="O248" s="414"/>
      <c r="P248" s="414"/>
      <c r="Q248" s="414"/>
    </row>
    <row r="249" spans="1:17" s="32" customFormat="1" ht="19.5" customHeight="1">
      <c r="A249" s="411">
        <v>245</v>
      </c>
      <c r="B249" s="413" t="s">
        <v>1318</v>
      </c>
      <c r="C249" s="413"/>
      <c r="D249" s="413"/>
      <c r="E249" s="413" t="s">
        <v>9507</v>
      </c>
      <c r="F249" s="411" t="s">
        <v>2810</v>
      </c>
      <c r="G249" s="411" t="s">
        <v>213</v>
      </c>
      <c r="H249" s="411" t="s">
        <v>238</v>
      </c>
      <c r="I249" s="411" t="s">
        <v>11</v>
      </c>
      <c r="J249" s="411" t="s">
        <v>2917</v>
      </c>
      <c r="K249" s="414">
        <v>53</v>
      </c>
      <c r="L249" s="415">
        <v>9500</v>
      </c>
      <c r="M249" s="414"/>
      <c r="N249" s="414"/>
      <c r="O249" s="414"/>
      <c r="P249" s="414"/>
      <c r="Q249" s="414"/>
    </row>
    <row r="250" spans="1:17" s="32" customFormat="1" ht="19.5" customHeight="1">
      <c r="A250" s="411">
        <v>242</v>
      </c>
      <c r="B250" s="412" t="s">
        <v>9508</v>
      </c>
      <c r="C250" s="413"/>
      <c r="D250" s="413"/>
      <c r="E250" s="413" t="s">
        <v>9507</v>
      </c>
      <c r="F250" s="411" t="s">
        <v>2810</v>
      </c>
      <c r="G250" s="411" t="s">
        <v>6694</v>
      </c>
      <c r="H250" s="411" t="s">
        <v>238</v>
      </c>
      <c r="I250" s="411" t="s">
        <v>10</v>
      </c>
      <c r="J250" s="411" t="s">
        <v>2917</v>
      </c>
      <c r="K250" s="414">
        <v>61</v>
      </c>
      <c r="L250" s="415">
        <v>430</v>
      </c>
      <c r="M250" s="414"/>
      <c r="N250" s="414"/>
      <c r="O250" s="414"/>
      <c r="P250" s="414"/>
      <c r="Q250" s="414"/>
    </row>
    <row r="251" spans="1:17" s="32" customFormat="1" ht="19.5" customHeight="1">
      <c r="A251" s="411">
        <v>243</v>
      </c>
      <c r="B251" s="412" t="s">
        <v>9508</v>
      </c>
      <c r="C251" s="413"/>
      <c r="D251" s="413"/>
      <c r="E251" s="413" t="s">
        <v>9507</v>
      </c>
      <c r="F251" s="411" t="s">
        <v>2810</v>
      </c>
      <c r="G251" s="411" t="s">
        <v>213</v>
      </c>
      <c r="H251" s="411" t="s">
        <v>238</v>
      </c>
      <c r="I251" s="411" t="s">
        <v>11</v>
      </c>
      <c r="J251" s="411" t="s">
        <v>2841</v>
      </c>
      <c r="K251" s="414">
        <v>72</v>
      </c>
      <c r="L251" s="415">
        <v>39</v>
      </c>
      <c r="M251" s="414"/>
      <c r="N251" s="414"/>
      <c r="O251" s="414"/>
      <c r="P251" s="414"/>
      <c r="Q251" s="414"/>
    </row>
    <row r="252" spans="1:17" s="32" customFormat="1" ht="19.5" customHeight="1">
      <c r="A252" s="411">
        <v>246</v>
      </c>
      <c r="B252" s="412" t="s">
        <v>9509</v>
      </c>
      <c r="C252" s="416"/>
      <c r="D252" s="416"/>
      <c r="E252" s="412" t="s">
        <v>9510</v>
      </c>
      <c r="F252" s="417" t="s">
        <v>9511</v>
      </c>
      <c r="G252" s="417" t="s">
        <v>6694</v>
      </c>
      <c r="H252" s="417" t="s">
        <v>9512</v>
      </c>
      <c r="I252" s="417" t="s">
        <v>10</v>
      </c>
      <c r="J252" s="417" t="s">
        <v>9513</v>
      </c>
      <c r="K252" s="418">
        <v>790</v>
      </c>
      <c r="L252" s="419">
        <v>5207</v>
      </c>
      <c r="M252" s="418"/>
      <c r="N252" s="414"/>
      <c r="O252" s="414"/>
      <c r="P252" s="418"/>
      <c r="Q252" s="418"/>
    </row>
    <row r="253" spans="1:17" s="32" customFormat="1" ht="19.5" customHeight="1">
      <c r="A253" s="411">
        <v>247</v>
      </c>
      <c r="B253" s="412" t="s">
        <v>9514</v>
      </c>
      <c r="C253" s="413"/>
      <c r="D253" s="413"/>
      <c r="E253" s="413" t="s">
        <v>9515</v>
      </c>
      <c r="F253" s="411" t="s">
        <v>9516</v>
      </c>
      <c r="G253" s="411" t="s">
        <v>213</v>
      </c>
      <c r="H253" s="411" t="s">
        <v>9512</v>
      </c>
      <c r="I253" s="411" t="s">
        <v>10</v>
      </c>
      <c r="J253" s="411" t="s">
        <v>845</v>
      </c>
      <c r="K253" s="414">
        <v>790</v>
      </c>
      <c r="L253" s="415">
        <v>0</v>
      </c>
      <c r="M253" s="414"/>
      <c r="N253" s="414"/>
      <c r="O253" s="414"/>
      <c r="P253" s="414"/>
      <c r="Q253" s="414"/>
    </row>
    <row r="254" spans="1:17" s="32" customFormat="1" ht="19.5" customHeight="1">
      <c r="A254" s="411">
        <v>248</v>
      </c>
      <c r="B254" s="413" t="s">
        <v>9517</v>
      </c>
      <c r="C254" s="413"/>
      <c r="D254" s="413"/>
      <c r="E254" s="413" t="s">
        <v>9518</v>
      </c>
      <c r="F254" s="411" t="s">
        <v>2275</v>
      </c>
      <c r="G254" s="411" t="s">
        <v>213</v>
      </c>
      <c r="H254" s="411" t="s">
        <v>9519</v>
      </c>
      <c r="I254" s="411" t="s">
        <v>11</v>
      </c>
      <c r="J254" s="411" t="s">
        <v>9063</v>
      </c>
      <c r="K254" s="414">
        <v>1200</v>
      </c>
      <c r="L254" s="415">
        <v>0</v>
      </c>
      <c r="M254" s="414"/>
      <c r="N254" s="414"/>
      <c r="O254" s="414"/>
      <c r="P254" s="414"/>
      <c r="Q254" s="414"/>
    </row>
    <row r="255" spans="1:17" s="32" customFormat="1" ht="19.5" customHeight="1">
      <c r="A255" s="411">
        <v>249</v>
      </c>
      <c r="B255" s="412" t="s">
        <v>9520</v>
      </c>
      <c r="C255" s="413"/>
      <c r="D255" s="413"/>
      <c r="E255" s="413" t="s">
        <v>9521</v>
      </c>
      <c r="F255" s="411" t="s">
        <v>9522</v>
      </c>
      <c r="G255" s="411" t="s">
        <v>213</v>
      </c>
      <c r="H255" s="411" t="s">
        <v>390</v>
      </c>
      <c r="I255" s="411" t="s">
        <v>11</v>
      </c>
      <c r="J255" s="411" t="s">
        <v>842</v>
      </c>
      <c r="K255" s="414">
        <v>42</v>
      </c>
      <c r="L255" s="415">
        <v>0</v>
      </c>
      <c r="M255" s="414"/>
      <c r="N255" s="414"/>
      <c r="O255" s="414"/>
      <c r="P255" s="414"/>
      <c r="Q255" s="414"/>
    </row>
    <row r="256" spans="1:17" s="32" customFormat="1" ht="19.5" customHeight="1">
      <c r="A256" s="411">
        <v>250</v>
      </c>
      <c r="B256" s="412" t="s">
        <v>9523</v>
      </c>
      <c r="C256" s="416"/>
      <c r="D256" s="416"/>
      <c r="E256" s="412" t="s">
        <v>2814</v>
      </c>
      <c r="F256" s="417" t="s">
        <v>2815</v>
      </c>
      <c r="G256" s="417" t="s">
        <v>6694</v>
      </c>
      <c r="H256" s="436" t="s">
        <v>9524</v>
      </c>
      <c r="I256" s="417" t="s">
        <v>1011</v>
      </c>
      <c r="J256" s="417" t="s">
        <v>2204</v>
      </c>
      <c r="K256" s="434">
        <v>2499</v>
      </c>
      <c r="L256" s="435">
        <v>3970</v>
      </c>
      <c r="M256" s="434"/>
      <c r="N256" s="414"/>
      <c r="O256" s="414"/>
      <c r="P256" s="418"/>
      <c r="Q256" s="418"/>
    </row>
    <row r="257" spans="1:17" s="32" customFormat="1" ht="19.5" customHeight="1">
      <c r="A257" s="411">
        <v>251</v>
      </c>
      <c r="B257" s="412" t="s">
        <v>9523</v>
      </c>
      <c r="C257" s="413"/>
      <c r="D257" s="413"/>
      <c r="E257" s="413" t="s">
        <v>9525</v>
      </c>
      <c r="F257" s="411" t="s">
        <v>9367</v>
      </c>
      <c r="G257" s="411" t="s">
        <v>213</v>
      </c>
      <c r="H257" s="436" t="s">
        <v>9526</v>
      </c>
      <c r="I257" s="411" t="s">
        <v>11</v>
      </c>
      <c r="J257" s="411" t="s">
        <v>1329</v>
      </c>
      <c r="K257" s="414">
        <v>2500</v>
      </c>
      <c r="L257" s="415">
        <v>0</v>
      </c>
      <c r="M257" s="414"/>
      <c r="N257" s="414"/>
      <c r="O257" s="414"/>
      <c r="P257" s="414"/>
      <c r="Q257" s="414"/>
    </row>
    <row r="258" spans="1:17" s="32" customFormat="1" ht="19.5" customHeight="1">
      <c r="A258" s="411">
        <v>252</v>
      </c>
      <c r="B258" s="413" t="s">
        <v>417</v>
      </c>
      <c r="C258" s="413"/>
      <c r="D258" s="413"/>
      <c r="E258" s="413" t="s">
        <v>3563</v>
      </c>
      <c r="F258" s="411" t="s">
        <v>2819</v>
      </c>
      <c r="G258" s="411" t="s">
        <v>213</v>
      </c>
      <c r="H258" s="411" t="s">
        <v>262</v>
      </c>
      <c r="I258" s="411" t="s">
        <v>11</v>
      </c>
      <c r="J258" s="411" t="s">
        <v>842</v>
      </c>
      <c r="K258" s="414">
        <v>273</v>
      </c>
      <c r="L258" s="415">
        <v>1000</v>
      </c>
      <c r="M258" s="414"/>
      <c r="N258" s="414"/>
      <c r="O258" s="414"/>
      <c r="P258" s="414"/>
      <c r="Q258" s="414"/>
    </row>
    <row r="259" spans="1:17" s="32" customFormat="1" ht="19.5" customHeight="1">
      <c r="A259" s="411">
        <v>254</v>
      </c>
      <c r="B259" s="412" t="s">
        <v>9527</v>
      </c>
      <c r="C259" s="413"/>
      <c r="D259" s="413"/>
      <c r="E259" s="413" t="s">
        <v>9528</v>
      </c>
      <c r="F259" s="411" t="s">
        <v>2819</v>
      </c>
      <c r="G259" s="411" t="s">
        <v>6694</v>
      </c>
      <c r="H259" s="411" t="s">
        <v>262</v>
      </c>
      <c r="I259" s="411" t="s">
        <v>11</v>
      </c>
      <c r="J259" s="411" t="s">
        <v>1066</v>
      </c>
      <c r="K259" s="414">
        <v>210</v>
      </c>
      <c r="L259" s="415">
        <v>0</v>
      </c>
      <c r="M259" s="414"/>
      <c r="N259" s="414"/>
      <c r="O259" s="414"/>
      <c r="P259" s="414"/>
      <c r="Q259" s="414"/>
    </row>
    <row r="260" spans="1:17" s="32" customFormat="1" ht="19.5" customHeight="1">
      <c r="A260" s="411">
        <v>255</v>
      </c>
      <c r="B260" s="439" t="s">
        <v>9527</v>
      </c>
      <c r="C260" s="440"/>
      <c r="D260" s="413"/>
      <c r="E260" s="439" t="s">
        <v>9528</v>
      </c>
      <c r="F260" s="436" t="s">
        <v>2819</v>
      </c>
      <c r="G260" s="436" t="s">
        <v>213</v>
      </c>
      <c r="H260" s="436" t="s">
        <v>262</v>
      </c>
      <c r="I260" s="436" t="s">
        <v>11</v>
      </c>
      <c r="J260" s="436" t="s">
        <v>842</v>
      </c>
      <c r="K260" s="429">
        <v>252</v>
      </c>
      <c r="L260" s="430">
        <v>0</v>
      </c>
      <c r="M260" s="429"/>
      <c r="N260" s="414"/>
      <c r="O260" s="414"/>
      <c r="P260" s="441"/>
      <c r="Q260" s="441"/>
    </row>
    <row r="261" spans="1:17" s="32" customFormat="1" ht="19.5" customHeight="1">
      <c r="A261" s="411">
        <v>258</v>
      </c>
      <c r="B261" s="413" t="s">
        <v>1321</v>
      </c>
      <c r="C261" s="413"/>
      <c r="D261" s="413"/>
      <c r="E261" s="413" t="s">
        <v>3565</v>
      </c>
      <c r="F261" s="411" t="s">
        <v>2821</v>
      </c>
      <c r="G261" s="411" t="s">
        <v>213</v>
      </c>
      <c r="H261" s="411" t="s">
        <v>248</v>
      </c>
      <c r="I261" s="411" t="s">
        <v>11</v>
      </c>
      <c r="J261" s="411" t="s">
        <v>842</v>
      </c>
      <c r="K261" s="414">
        <v>46</v>
      </c>
      <c r="L261" s="415">
        <v>9689</v>
      </c>
      <c r="M261" s="414"/>
      <c r="N261" s="414"/>
      <c r="O261" s="414"/>
      <c r="P261" s="414"/>
      <c r="Q261" s="414"/>
    </row>
    <row r="262" spans="1:17" s="32" customFormat="1" ht="19.5" customHeight="1">
      <c r="A262" s="411">
        <v>256</v>
      </c>
      <c r="B262" s="412" t="s">
        <v>9529</v>
      </c>
      <c r="C262" s="413"/>
      <c r="D262" s="413"/>
      <c r="E262" s="413" t="s">
        <v>3565</v>
      </c>
      <c r="F262" s="411" t="s">
        <v>2821</v>
      </c>
      <c r="G262" s="411" t="s">
        <v>6694</v>
      </c>
      <c r="H262" s="411" t="s">
        <v>248</v>
      </c>
      <c r="I262" s="411" t="s">
        <v>11</v>
      </c>
      <c r="J262" s="411" t="s">
        <v>842</v>
      </c>
      <c r="K262" s="414">
        <v>48</v>
      </c>
      <c r="L262" s="415">
        <v>0</v>
      </c>
      <c r="M262" s="414"/>
      <c r="N262" s="414"/>
      <c r="O262" s="414"/>
      <c r="P262" s="414"/>
      <c r="Q262" s="414"/>
    </row>
    <row r="263" spans="1:17" s="32" customFormat="1" ht="19.5" customHeight="1">
      <c r="A263" s="411">
        <v>259</v>
      </c>
      <c r="B263" s="412" t="s">
        <v>274</v>
      </c>
      <c r="C263" s="416"/>
      <c r="D263" s="416"/>
      <c r="E263" s="412" t="s">
        <v>9530</v>
      </c>
      <c r="F263" s="417" t="s">
        <v>301</v>
      </c>
      <c r="G263" s="417" t="s">
        <v>5105</v>
      </c>
      <c r="H263" s="417" t="s">
        <v>6584</v>
      </c>
      <c r="I263" s="417" t="s">
        <v>10</v>
      </c>
      <c r="J263" s="417" t="s">
        <v>538</v>
      </c>
      <c r="K263" s="418">
        <v>13913</v>
      </c>
      <c r="L263" s="419">
        <v>762</v>
      </c>
      <c r="M263" s="418"/>
      <c r="N263" s="414"/>
      <c r="O263" s="414"/>
      <c r="P263" s="418"/>
      <c r="Q263" s="418"/>
    </row>
    <row r="264" spans="1:17" s="32" customFormat="1" ht="19.5" customHeight="1">
      <c r="A264" s="411">
        <v>260</v>
      </c>
      <c r="B264" s="412" t="s">
        <v>274</v>
      </c>
      <c r="C264" s="413"/>
      <c r="D264" s="413"/>
      <c r="E264" s="413" t="s">
        <v>9531</v>
      </c>
      <c r="F264" s="411" t="s">
        <v>303</v>
      </c>
      <c r="G264" s="411" t="s">
        <v>5105</v>
      </c>
      <c r="H264" s="411" t="s">
        <v>9532</v>
      </c>
      <c r="I264" s="411" t="s">
        <v>14</v>
      </c>
      <c r="J264" s="411" t="s">
        <v>9533</v>
      </c>
      <c r="K264" s="414">
        <v>246960</v>
      </c>
      <c r="L264" s="415">
        <v>15</v>
      </c>
      <c r="M264" s="414"/>
      <c r="N264" s="414"/>
      <c r="O264" s="414"/>
      <c r="P264" s="414"/>
      <c r="Q264" s="414"/>
    </row>
    <row r="265" spans="1:17" s="32" customFormat="1" ht="19.5" customHeight="1">
      <c r="A265" s="411">
        <v>262</v>
      </c>
      <c r="B265" s="412" t="s">
        <v>9534</v>
      </c>
      <c r="C265" s="413"/>
      <c r="D265" s="413"/>
      <c r="E265" s="413" t="s">
        <v>9535</v>
      </c>
      <c r="F265" s="411" t="s">
        <v>278</v>
      </c>
      <c r="G265" s="411" t="s">
        <v>5185</v>
      </c>
      <c r="H265" s="411" t="s">
        <v>276</v>
      </c>
      <c r="I265" s="411" t="s">
        <v>15</v>
      </c>
      <c r="J265" s="411" t="s">
        <v>9536</v>
      </c>
      <c r="K265" s="414">
        <v>58500</v>
      </c>
      <c r="L265" s="415">
        <v>95</v>
      </c>
      <c r="M265" s="414"/>
      <c r="N265" s="414"/>
      <c r="O265" s="414"/>
      <c r="P265" s="414"/>
      <c r="Q265" s="414"/>
    </row>
    <row r="266" spans="1:17" s="32" customFormat="1" ht="19.5" customHeight="1">
      <c r="A266" s="411">
        <v>264</v>
      </c>
      <c r="B266" s="420" t="s">
        <v>9537</v>
      </c>
      <c r="C266" s="421"/>
      <c r="D266" s="421"/>
      <c r="E266" s="412" t="s">
        <v>9538</v>
      </c>
      <c r="F266" s="417" t="s">
        <v>9539</v>
      </c>
      <c r="G266" s="417" t="s">
        <v>6694</v>
      </c>
      <c r="H266" s="417" t="s">
        <v>9540</v>
      </c>
      <c r="I266" s="417" t="s">
        <v>14</v>
      </c>
      <c r="J266" s="417" t="s">
        <v>9541</v>
      </c>
      <c r="K266" s="418">
        <v>2898</v>
      </c>
      <c r="L266" s="419">
        <v>40</v>
      </c>
      <c r="M266" s="418"/>
      <c r="N266" s="414"/>
      <c r="O266" s="414"/>
      <c r="P266" s="418"/>
      <c r="Q266" s="418"/>
    </row>
    <row r="267" spans="1:17" s="32" customFormat="1" ht="19.5" customHeight="1">
      <c r="A267" s="411">
        <v>265</v>
      </c>
      <c r="B267" s="413" t="s">
        <v>274</v>
      </c>
      <c r="C267" s="413"/>
      <c r="D267" s="413"/>
      <c r="E267" s="413" t="s">
        <v>9542</v>
      </c>
      <c r="F267" s="411" t="s">
        <v>419</v>
      </c>
      <c r="G267" s="411" t="s">
        <v>213</v>
      </c>
      <c r="H267" s="411" t="s">
        <v>2825</v>
      </c>
      <c r="I267" s="411" t="s">
        <v>658</v>
      </c>
      <c r="J267" s="417" t="s">
        <v>9541</v>
      </c>
      <c r="K267" s="414">
        <v>2646</v>
      </c>
      <c r="L267" s="415">
        <v>0</v>
      </c>
      <c r="M267" s="414"/>
      <c r="N267" s="414"/>
      <c r="O267" s="414"/>
      <c r="P267" s="414"/>
      <c r="Q267" s="414"/>
    </row>
    <row r="268" spans="1:17" s="32" customFormat="1" ht="19.5" customHeight="1">
      <c r="A268" s="411">
        <v>266</v>
      </c>
      <c r="B268" s="412" t="s">
        <v>274</v>
      </c>
      <c r="C268" s="413"/>
      <c r="D268" s="413"/>
      <c r="E268" s="413" t="s">
        <v>9543</v>
      </c>
      <c r="F268" s="411" t="s">
        <v>9544</v>
      </c>
      <c r="G268" s="411" t="s">
        <v>213</v>
      </c>
      <c r="H268" s="411" t="s">
        <v>435</v>
      </c>
      <c r="I268" s="411" t="s">
        <v>18</v>
      </c>
      <c r="J268" s="411" t="s">
        <v>2824</v>
      </c>
      <c r="K268" s="414">
        <v>16800</v>
      </c>
      <c r="L268" s="415">
        <v>0</v>
      </c>
      <c r="M268" s="414"/>
      <c r="N268" s="414"/>
      <c r="O268" s="414"/>
      <c r="P268" s="414"/>
      <c r="Q268" s="414"/>
    </row>
    <row r="269" spans="1:17" s="32" customFormat="1" ht="19.5" customHeight="1">
      <c r="A269" s="411">
        <v>269</v>
      </c>
      <c r="B269" s="413" t="s">
        <v>274</v>
      </c>
      <c r="C269" s="413"/>
      <c r="D269" s="413"/>
      <c r="E269" s="413" t="s">
        <v>3566</v>
      </c>
      <c r="F269" s="411" t="s">
        <v>373</v>
      </c>
      <c r="G269" s="411" t="s">
        <v>213</v>
      </c>
      <c r="H269" s="411" t="s">
        <v>225</v>
      </c>
      <c r="I269" s="411" t="s">
        <v>11</v>
      </c>
      <c r="J269" s="417" t="s">
        <v>9545</v>
      </c>
      <c r="K269" s="414">
        <v>477</v>
      </c>
      <c r="L269" s="415">
        <v>4820</v>
      </c>
      <c r="M269" s="414"/>
      <c r="N269" s="414"/>
      <c r="O269" s="414"/>
      <c r="P269" s="414"/>
      <c r="Q269" s="414"/>
    </row>
    <row r="270" spans="1:17" s="32" customFormat="1" ht="19.5" customHeight="1">
      <c r="A270" s="411">
        <v>268</v>
      </c>
      <c r="B270" s="420" t="s">
        <v>9546</v>
      </c>
      <c r="C270" s="421"/>
      <c r="D270" s="421"/>
      <c r="E270" s="412" t="s">
        <v>3566</v>
      </c>
      <c r="F270" s="417" t="s">
        <v>9547</v>
      </c>
      <c r="G270" s="417" t="s">
        <v>6694</v>
      </c>
      <c r="H270" s="417" t="s">
        <v>225</v>
      </c>
      <c r="I270" s="417" t="s">
        <v>11</v>
      </c>
      <c r="J270" s="417" t="s">
        <v>9545</v>
      </c>
      <c r="K270" s="418">
        <v>516</v>
      </c>
      <c r="L270" s="419">
        <v>177</v>
      </c>
      <c r="M270" s="418"/>
      <c r="N270" s="414"/>
      <c r="O270" s="414"/>
      <c r="P270" s="418"/>
      <c r="Q270" s="418"/>
    </row>
    <row r="271" spans="1:17" s="32" customFormat="1" ht="19.5" customHeight="1">
      <c r="A271" s="411">
        <v>267</v>
      </c>
      <c r="B271" s="412" t="s">
        <v>9546</v>
      </c>
      <c r="C271" s="413"/>
      <c r="D271" s="413"/>
      <c r="E271" s="413" t="s">
        <v>3566</v>
      </c>
      <c r="F271" s="411" t="s">
        <v>9547</v>
      </c>
      <c r="G271" s="411" t="s">
        <v>6694</v>
      </c>
      <c r="H271" s="411" t="s">
        <v>225</v>
      </c>
      <c r="I271" s="411" t="s">
        <v>11</v>
      </c>
      <c r="J271" s="411" t="s">
        <v>9545</v>
      </c>
      <c r="K271" s="414">
        <v>1260</v>
      </c>
      <c r="L271" s="415">
        <v>72</v>
      </c>
      <c r="M271" s="414"/>
      <c r="N271" s="414"/>
      <c r="O271" s="414"/>
      <c r="P271" s="414"/>
      <c r="Q271" s="414"/>
    </row>
    <row r="272" spans="1:17" s="32" customFormat="1" ht="19.5" customHeight="1">
      <c r="A272" s="411">
        <v>270</v>
      </c>
      <c r="B272" s="413" t="s">
        <v>274</v>
      </c>
      <c r="C272" s="413"/>
      <c r="D272" s="413"/>
      <c r="E272" s="413" t="s">
        <v>9548</v>
      </c>
      <c r="F272" s="411" t="s">
        <v>278</v>
      </c>
      <c r="G272" s="411" t="s">
        <v>5105</v>
      </c>
      <c r="H272" s="411" t="s">
        <v>9549</v>
      </c>
      <c r="I272" s="411" t="s">
        <v>15</v>
      </c>
      <c r="J272" s="411" t="s">
        <v>9550</v>
      </c>
      <c r="K272" s="414">
        <v>58500</v>
      </c>
      <c r="L272" s="415">
        <v>0</v>
      </c>
      <c r="M272" s="414"/>
      <c r="N272" s="414"/>
      <c r="O272" s="414"/>
      <c r="P272" s="414"/>
      <c r="Q272" s="414"/>
    </row>
    <row r="273" spans="1:17" s="32" customFormat="1" ht="19.5" customHeight="1">
      <c r="A273" s="411">
        <v>271</v>
      </c>
      <c r="B273" s="412" t="s">
        <v>9551</v>
      </c>
      <c r="C273" s="413"/>
      <c r="D273" s="413"/>
      <c r="E273" s="413" t="s">
        <v>3567</v>
      </c>
      <c r="F273" s="411" t="s">
        <v>9552</v>
      </c>
      <c r="G273" s="411" t="s">
        <v>6694</v>
      </c>
      <c r="H273" s="411" t="s">
        <v>327</v>
      </c>
      <c r="I273" s="411" t="s">
        <v>11</v>
      </c>
      <c r="J273" s="411" t="s">
        <v>842</v>
      </c>
      <c r="K273" s="414">
        <v>506</v>
      </c>
      <c r="L273" s="415">
        <v>6773</v>
      </c>
      <c r="M273" s="414"/>
      <c r="N273" s="414"/>
      <c r="O273" s="414"/>
      <c r="P273" s="414"/>
      <c r="Q273" s="414"/>
    </row>
    <row r="274" spans="1:17" s="32" customFormat="1" ht="19.5" customHeight="1">
      <c r="A274" s="411">
        <v>273</v>
      </c>
      <c r="B274" s="412" t="s">
        <v>9553</v>
      </c>
      <c r="C274" s="416"/>
      <c r="D274" s="416"/>
      <c r="E274" s="412" t="s">
        <v>9554</v>
      </c>
      <c r="F274" s="417" t="s">
        <v>9555</v>
      </c>
      <c r="G274" s="417" t="s">
        <v>6694</v>
      </c>
      <c r="H274" s="417" t="s">
        <v>225</v>
      </c>
      <c r="I274" s="417" t="s">
        <v>11</v>
      </c>
      <c r="J274" s="417" t="s">
        <v>815</v>
      </c>
      <c r="K274" s="418">
        <v>5060</v>
      </c>
      <c r="L274" s="419">
        <v>4456</v>
      </c>
      <c r="M274" s="418"/>
      <c r="N274" s="414"/>
      <c r="O274" s="414"/>
      <c r="P274" s="418"/>
      <c r="Q274" s="418"/>
    </row>
    <row r="275" spans="1:17" s="32" customFormat="1" ht="19.5" customHeight="1">
      <c r="A275" s="411">
        <v>274</v>
      </c>
      <c r="B275" s="412" t="s">
        <v>9229</v>
      </c>
      <c r="C275" s="413"/>
      <c r="D275" s="413"/>
      <c r="E275" s="413" t="s">
        <v>9556</v>
      </c>
      <c r="F275" s="411" t="s">
        <v>9234</v>
      </c>
      <c r="G275" s="411" t="s">
        <v>5273</v>
      </c>
      <c r="H275" s="411" t="s">
        <v>2585</v>
      </c>
      <c r="I275" s="411" t="s">
        <v>11</v>
      </c>
      <c r="J275" s="411" t="s">
        <v>815</v>
      </c>
      <c r="K275" s="414">
        <v>6867</v>
      </c>
      <c r="L275" s="415">
        <v>51</v>
      </c>
      <c r="M275" s="414"/>
      <c r="N275" s="414"/>
      <c r="O275" s="414"/>
      <c r="P275" s="414"/>
      <c r="Q275" s="414"/>
    </row>
    <row r="276" spans="1:17" s="32" customFormat="1" ht="19.5" customHeight="1">
      <c r="A276" s="411">
        <v>276</v>
      </c>
      <c r="B276" s="413" t="s">
        <v>2826</v>
      </c>
      <c r="C276" s="413"/>
      <c r="D276" s="413"/>
      <c r="E276" s="413" t="s">
        <v>9557</v>
      </c>
      <c r="F276" s="411" t="s">
        <v>2827</v>
      </c>
      <c r="G276" s="411" t="s">
        <v>5605</v>
      </c>
      <c r="H276" s="411" t="s">
        <v>1792</v>
      </c>
      <c r="I276" s="411" t="s">
        <v>11</v>
      </c>
      <c r="J276" s="411" t="s">
        <v>815</v>
      </c>
      <c r="K276" s="414">
        <v>4032</v>
      </c>
      <c r="L276" s="415">
        <v>1791</v>
      </c>
      <c r="M276" s="414"/>
      <c r="N276" s="414"/>
      <c r="O276" s="414"/>
      <c r="P276" s="414"/>
      <c r="Q276" s="414"/>
    </row>
    <row r="277" spans="1:17" s="32" customFormat="1" ht="19.5" customHeight="1">
      <c r="A277" s="411">
        <v>277</v>
      </c>
      <c r="B277" s="413" t="s">
        <v>683</v>
      </c>
      <c r="C277" s="413"/>
      <c r="D277" s="413"/>
      <c r="E277" s="413" t="s">
        <v>9558</v>
      </c>
      <c r="F277" s="411" t="s">
        <v>9559</v>
      </c>
      <c r="G277" s="411" t="s">
        <v>5605</v>
      </c>
      <c r="H277" s="411" t="s">
        <v>691</v>
      </c>
      <c r="I277" s="411" t="s">
        <v>11</v>
      </c>
      <c r="J277" s="411" t="s">
        <v>815</v>
      </c>
      <c r="K277" s="414">
        <v>4137</v>
      </c>
      <c r="L277" s="415">
        <v>9387</v>
      </c>
      <c r="M277" s="414"/>
      <c r="N277" s="414"/>
      <c r="O277" s="414"/>
      <c r="P277" s="414"/>
      <c r="Q277" s="414"/>
    </row>
    <row r="278" spans="1:17" s="32" customFormat="1" ht="19.5" customHeight="1">
      <c r="A278" s="411">
        <v>278</v>
      </c>
      <c r="B278" s="412" t="s">
        <v>9560</v>
      </c>
      <c r="C278" s="413"/>
      <c r="D278" s="413"/>
      <c r="E278" s="413" t="s">
        <v>5402</v>
      </c>
      <c r="F278" s="411" t="s">
        <v>9561</v>
      </c>
      <c r="G278" s="411" t="s">
        <v>213</v>
      </c>
      <c r="H278" s="411" t="s">
        <v>232</v>
      </c>
      <c r="I278" s="411" t="s">
        <v>10</v>
      </c>
      <c r="J278" s="411" t="s">
        <v>553</v>
      </c>
      <c r="K278" s="414">
        <v>630</v>
      </c>
      <c r="L278" s="415">
        <v>0</v>
      </c>
      <c r="M278" s="414"/>
      <c r="N278" s="414"/>
      <c r="O278" s="414"/>
      <c r="P278" s="414"/>
      <c r="Q278" s="414"/>
    </row>
    <row r="279" spans="1:17" s="32" customFormat="1" ht="19.5" customHeight="1">
      <c r="A279" s="411">
        <v>279</v>
      </c>
      <c r="B279" s="412" t="s">
        <v>9560</v>
      </c>
      <c r="C279" s="413"/>
      <c r="D279" s="413"/>
      <c r="E279" s="413" t="s">
        <v>5402</v>
      </c>
      <c r="F279" s="411" t="s">
        <v>9562</v>
      </c>
      <c r="G279" s="411" t="s">
        <v>213</v>
      </c>
      <c r="H279" s="411" t="s">
        <v>232</v>
      </c>
      <c r="I279" s="411" t="s">
        <v>11</v>
      </c>
      <c r="J279" s="411" t="s">
        <v>9063</v>
      </c>
      <c r="K279" s="414">
        <v>630</v>
      </c>
      <c r="L279" s="415">
        <v>1533</v>
      </c>
      <c r="M279" s="414"/>
      <c r="N279" s="414"/>
      <c r="O279" s="414"/>
      <c r="P279" s="414"/>
      <c r="Q279" s="414"/>
    </row>
    <row r="280" spans="1:17" s="32" customFormat="1" ht="19.5" customHeight="1">
      <c r="A280" s="411">
        <v>280</v>
      </c>
      <c r="B280" s="412" t="s">
        <v>9282</v>
      </c>
      <c r="C280" s="416"/>
      <c r="D280" s="416"/>
      <c r="E280" s="412" t="s">
        <v>9563</v>
      </c>
      <c r="F280" s="417" t="s">
        <v>9564</v>
      </c>
      <c r="G280" s="417" t="s">
        <v>6694</v>
      </c>
      <c r="H280" s="417" t="s">
        <v>1580</v>
      </c>
      <c r="I280" s="417" t="s">
        <v>10</v>
      </c>
      <c r="J280" s="417" t="s">
        <v>2917</v>
      </c>
      <c r="K280" s="418">
        <v>889</v>
      </c>
      <c r="L280" s="419">
        <v>6653</v>
      </c>
      <c r="M280" s="418"/>
      <c r="N280" s="414"/>
      <c r="O280" s="414"/>
      <c r="P280" s="418"/>
      <c r="Q280" s="418"/>
    </row>
    <row r="281" spans="1:17" s="32" customFormat="1" ht="19.5" customHeight="1">
      <c r="A281" s="411">
        <v>282</v>
      </c>
      <c r="B281" s="413" t="s">
        <v>2466</v>
      </c>
      <c r="C281" s="413"/>
      <c r="D281" s="413"/>
      <c r="E281" s="413" t="s">
        <v>3568</v>
      </c>
      <c r="F281" s="411" t="s">
        <v>2828</v>
      </c>
      <c r="G281" s="411" t="s">
        <v>213</v>
      </c>
      <c r="H281" s="411" t="s">
        <v>390</v>
      </c>
      <c r="I281" s="411" t="s">
        <v>11</v>
      </c>
      <c r="J281" s="411" t="s">
        <v>842</v>
      </c>
      <c r="K281" s="414">
        <v>31</v>
      </c>
      <c r="L281" s="415">
        <v>0</v>
      </c>
      <c r="M281" s="414"/>
      <c r="N281" s="414"/>
      <c r="O281" s="414"/>
      <c r="P281" s="414"/>
      <c r="Q281" s="414"/>
    </row>
    <row r="282" spans="1:17" s="32" customFormat="1" ht="19.5" customHeight="1">
      <c r="A282" s="411">
        <v>281</v>
      </c>
      <c r="B282" s="412" t="s">
        <v>9565</v>
      </c>
      <c r="C282" s="416"/>
      <c r="D282" s="416"/>
      <c r="E282" s="412" t="s">
        <v>3568</v>
      </c>
      <c r="F282" s="417" t="s">
        <v>2828</v>
      </c>
      <c r="G282" s="417" t="s">
        <v>6694</v>
      </c>
      <c r="H282" s="417" t="s">
        <v>390</v>
      </c>
      <c r="I282" s="417" t="s">
        <v>11</v>
      </c>
      <c r="J282" s="417" t="s">
        <v>842</v>
      </c>
      <c r="K282" s="418">
        <v>33</v>
      </c>
      <c r="L282" s="419">
        <v>7192</v>
      </c>
      <c r="M282" s="418"/>
      <c r="N282" s="414"/>
      <c r="O282" s="414"/>
      <c r="P282" s="418"/>
      <c r="Q282" s="418"/>
    </row>
    <row r="283" spans="1:17" s="32" customFormat="1" ht="19.5" customHeight="1">
      <c r="A283" s="411">
        <v>283</v>
      </c>
      <c r="B283" s="412" t="s">
        <v>1466</v>
      </c>
      <c r="C283" s="413"/>
      <c r="D283" s="413"/>
      <c r="E283" s="413" t="s">
        <v>9566</v>
      </c>
      <c r="F283" s="411" t="s">
        <v>9567</v>
      </c>
      <c r="G283" s="411" t="s">
        <v>5222</v>
      </c>
      <c r="H283" s="411" t="s">
        <v>225</v>
      </c>
      <c r="I283" s="411" t="s">
        <v>11</v>
      </c>
      <c r="J283" s="411" t="s">
        <v>9492</v>
      </c>
      <c r="K283" s="414">
        <v>5500</v>
      </c>
      <c r="L283" s="415">
        <v>1084</v>
      </c>
      <c r="M283" s="414"/>
      <c r="N283" s="414"/>
      <c r="O283" s="414"/>
      <c r="P283" s="414"/>
      <c r="Q283" s="414"/>
    </row>
    <row r="284" spans="1:17" s="32" customFormat="1" ht="19.5" customHeight="1">
      <c r="A284" s="411"/>
      <c r="B284" s="412"/>
      <c r="C284" s="413"/>
      <c r="D284" s="413"/>
      <c r="E284" s="413" t="s">
        <v>9568</v>
      </c>
      <c r="F284" s="422" t="s">
        <v>9569</v>
      </c>
      <c r="G284" s="411" t="s">
        <v>5605</v>
      </c>
      <c r="H284" s="411" t="s">
        <v>258</v>
      </c>
      <c r="I284" s="411" t="s">
        <v>12</v>
      </c>
      <c r="J284" s="411" t="s">
        <v>2386</v>
      </c>
      <c r="K284" s="414">
        <v>3600</v>
      </c>
      <c r="L284" s="415">
        <v>37</v>
      </c>
      <c r="M284" s="414"/>
      <c r="N284" s="414"/>
      <c r="O284" s="414"/>
      <c r="P284" s="414"/>
      <c r="Q284" s="414"/>
    </row>
    <row r="285" spans="1:17" s="32" customFormat="1" ht="19.5" customHeight="1">
      <c r="A285" s="411"/>
      <c r="B285" s="412"/>
      <c r="C285" s="413"/>
      <c r="D285" s="413"/>
      <c r="E285" s="413" t="s">
        <v>9570</v>
      </c>
      <c r="F285" s="422" t="s">
        <v>8114</v>
      </c>
      <c r="G285" s="411" t="s">
        <v>6694</v>
      </c>
      <c r="H285" s="411" t="s">
        <v>9571</v>
      </c>
      <c r="I285" s="411" t="s">
        <v>10</v>
      </c>
      <c r="J285" s="411" t="s">
        <v>9063</v>
      </c>
      <c r="K285" s="414">
        <v>2500</v>
      </c>
      <c r="L285" s="415">
        <v>21</v>
      </c>
      <c r="M285" s="414"/>
      <c r="N285" s="414"/>
      <c r="O285" s="414"/>
      <c r="P285" s="414"/>
      <c r="Q285" s="414"/>
    </row>
    <row r="286" spans="1:17" s="32" customFormat="1" ht="19.5" customHeight="1">
      <c r="A286" s="411">
        <v>286</v>
      </c>
      <c r="B286" s="420" t="s">
        <v>1818</v>
      </c>
      <c r="C286" s="421"/>
      <c r="D286" s="421"/>
      <c r="E286" s="412" t="s">
        <v>9572</v>
      </c>
      <c r="F286" s="417" t="s">
        <v>9573</v>
      </c>
      <c r="G286" s="417" t="s">
        <v>6694</v>
      </c>
      <c r="H286" s="417" t="s">
        <v>225</v>
      </c>
      <c r="I286" s="417" t="s">
        <v>11</v>
      </c>
      <c r="J286" s="417" t="s">
        <v>1329</v>
      </c>
      <c r="K286" s="418">
        <v>840</v>
      </c>
      <c r="L286" s="419">
        <v>0</v>
      </c>
      <c r="M286" s="418"/>
      <c r="N286" s="414"/>
      <c r="O286" s="414"/>
      <c r="P286" s="418"/>
      <c r="Q286" s="418"/>
    </row>
    <row r="287" spans="1:17" s="32" customFormat="1" ht="19.5" customHeight="1">
      <c r="A287" s="411">
        <v>287</v>
      </c>
      <c r="B287" s="412" t="s">
        <v>2830</v>
      </c>
      <c r="C287" s="416"/>
      <c r="D287" s="416"/>
      <c r="E287" s="412" t="s">
        <v>3569</v>
      </c>
      <c r="F287" s="417" t="s">
        <v>2831</v>
      </c>
      <c r="G287" s="417" t="s">
        <v>6694</v>
      </c>
      <c r="H287" s="417" t="s">
        <v>272</v>
      </c>
      <c r="I287" s="417" t="s">
        <v>11</v>
      </c>
      <c r="J287" s="417" t="s">
        <v>1291</v>
      </c>
      <c r="K287" s="418">
        <v>231</v>
      </c>
      <c r="L287" s="419">
        <v>230</v>
      </c>
      <c r="M287" s="418"/>
      <c r="N287" s="414"/>
      <c r="O287" s="414"/>
      <c r="P287" s="418"/>
      <c r="Q287" s="418"/>
    </row>
    <row r="288" spans="1:17" s="32" customFormat="1" ht="19.5" customHeight="1">
      <c r="A288" s="411">
        <v>288</v>
      </c>
      <c r="B288" s="420" t="s">
        <v>3486</v>
      </c>
      <c r="C288" s="421"/>
      <c r="D288" s="421"/>
      <c r="E288" s="412" t="s">
        <v>1236</v>
      </c>
      <c r="F288" s="417" t="s">
        <v>1238</v>
      </c>
      <c r="G288" s="417" t="s">
        <v>6012</v>
      </c>
      <c r="H288" s="417" t="s">
        <v>299</v>
      </c>
      <c r="I288" s="417" t="s">
        <v>10</v>
      </c>
      <c r="J288" s="417" t="s">
        <v>804</v>
      </c>
      <c r="K288" s="418">
        <v>9100</v>
      </c>
      <c r="L288" s="419">
        <v>8333</v>
      </c>
      <c r="M288" s="418"/>
      <c r="N288" s="414"/>
      <c r="O288" s="414"/>
      <c r="P288" s="418"/>
      <c r="Q288" s="418"/>
    </row>
    <row r="289" spans="1:17" s="32" customFormat="1" ht="19.5" customHeight="1">
      <c r="A289" s="411">
        <v>289</v>
      </c>
      <c r="B289" s="412" t="s">
        <v>9574</v>
      </c>
      <c r="C289" s="413"/>
      <c r="D289" s="413"/>
      <c r="E289" s="413" t="s">
        <v>9575</v>
      </c>
      <c r="F289" s="411" t="s">
        <v>9576</v>
      </c>
      <c r="G289" s="411" t="s">
        <v>213</v>
      </c>
      <c r="H289" s="411" t="s">
        <v>9577</v>
      </c>
      <c r="I289" s="411" t="s">
        <v>11</v>
      </c>
      <c r="J289" s="411" t="s">
        <v>815</v>
      </c>
      <c r="K289" s="414">
        <v>4200</v>
      </c>
      <c r="L289" s="415">
        <v>0</v>
      </c>
      <c r="M289" s="414"/>
      <c r="N289" s="414"/>
      <c r="O289" s="414"/>
      <c r="P289" s="414"/>
      <c r="Q289" s="414"/>
    </row>
    <row r="290" spans="1:17" s="32" customFormat="1" ht="19.5" customHeight="1">
      <c r="A290" s="411">
        <v>290</v>
      </c>
      <c r="B290" s="442" t="s">
        <v>9578</v>
      </c>
      <c r="C290" s="443"/>
      <c r="D290" s="426"/>
      <c r="E290" s="427" t="s">
        <v>9579</v>
      </c>
      <c r="F290" s="425" t="s">
        <v>7813</v>
      </c>
      <c r="G290" s="428" t="s">
        <v>213</v>
      </c>
      <c r="H290" s="425" t="s">
        <v>546</v>
      </c>
      <c r="I290" s="425" t="s">
        <v>11</v>
      </c>
      <c r="J290" s="428" t="s">
        <v>842</v>
      </c>
      <c r="K290" s="429">
        <v>370</v>
      </c>
      <c r="L290" s="430">
        <v>859</v>
      </c>
      <c r="M290" s="429"/>
      <c r="N290" s="414"/>
      <c r="O290" s="414"/>
      <c r="P290" s="431"/>
      <c r="Q290" s="431"/>
    </row>
    <row r="291" spans="1:17" s="32" customFormat="1" ht="19.5" customHeight="1">
      <c r="A291" s="411">
        <v>291</v>
      </c>
      <c r="B291" s="412" t="s">
        <v>9580</v>
      </c>
      <c r="C291" s="413"/>
      <c r="D291" s="413"/>
      <c r="E291" s="413" t="s">
        <v>9580</v>
      </c>
      <c r="F291" s="411" t="s">
        <v>9581</v>
      </c>
      <c r="G291" s="411" t="s">
        <v>213</v>
      </c>
      <c r="H291" s="411" t="s">
        <v>9582</v>
      </c>
      <c r="I291" s="411" t="s">
        <v>10</v>
      </c>
      <c r="J291" s="428" t="s">
        <v>842</v>
      </c>
      <c r="K291" s="414">
        <v>483</v>
      </c>
      <c r="L291" s="415">
        <v>0</v>
      </c>
      <c r="M291" s="414"/>
      <c r="N291" s="414"/>
      <c r="O291" s="414"/>
      <c r="P291" s="414"/>
      <c r="Q291" s="414"/>
    </row>
    <row r="292" spans="1:17" s="32" customFormat="1" ht="19.5" customHeight="1">
      <c r="A292" s="411">
        <v>292</v>
      </c>
      <c r="B292" s="412" t="s">
        <v>9326</v>
      </c>
      <c r="C292" s="413"/>
      <c r="D292" s="413"/>
      <c r="E292" s="413" t="s">
        <v>9583</v>
      </c>
      <c r="F292" s="411" t="s">
        <v>9584</v>
      </c>
      <c r="G292" s="411" t="s">
        <v>213</v>
      </c>
      <c r="H292" s="411" t="s">
        <v>305</v>
      </c>
      <c r="I292" s="411" t="s">
        <v>658</v>
      </c>
      <c r="J292" s="411" t="s">
        <v>9585</v>
      </c>
      <c r="K292" s="414">
        <v>7350</v>
      </c>
      <c r="L292" s="415">
        <v>0</v>
      </c>
      <c r="M292" s="414"/>
      <c r="N292" s="414"/>
      <c r="O292" s="414"/>
      <c r="P292" s="414"/>
      <c r="Q292" s="414"/>
    </row>
    <row r="293" spans="1:17" s="32" customFormat="1" ht="19.5" customHeight="1">
      <c r="A293" s="411">
        <v>293</v>
      </c>
      <c r="B293" s="412" t="s">
        <v>274</v>
      </c>
      <c r="C293" s="413"/>
      <c r="D293" s="413"/>
      <c r="E293" s="413" t="s">
        <v>9586</v>
      </c>
      <c r="F293" s="411" t="s">
        <v>9587</v>
      </c>
      <c r="G293" s="411" t="s">
        <v>213</v>
      </c>
      <c r="H293" s="411" t="s">
        <v>435</v>
      </c>
      <c r="I293" s="411" t="s">
        <v>14</v>
      </c>
      <c r="J293" s="411" t="s">
        <v>9541</v>
      </c>
      <c r="K293" s="414">
        <v>3297</v>
      </c>
      <c r="L293" s="415">
        <v>0</v>
      </c>
      <c r="M293" s="414"/>
      <c r="N293" s="414"/>
      <c r="O293" s="414"/>
      <c r="P293" s="414"/>
      <c r="Q293" s="414"/>
    </row>
    <row r="294" spans="1:17" s="32" customFormat="1" ht="19.5" customHeight="1">
      <c r="A294" s="411">
        <v>294</v>
      </c>
      <c r="B294" s="412" t="s">
        <v>9588</v>
      </c>
      <c r="C294" s="413"/>
      <c r="D294" s="413"/>
      <c r="E294" s="413" t="s">
        <v>9589</v>
      </c>
      <c r="F294" s="411" t="s">
        <v>9590</v>
      </c>
      <c r="G294" s="411" t="s">
        <v>6795</v>
      </c>
      <c r="H294" s="411" t="s">
        <v>9591</v>
      </c>
      <c r="I294" s="411" t="s">
        <v>14</v>
      </c>
      <c r="J294" s="411" t="s">
        <v>9592</v>
      </c>
      <c r="K294" s="414">
        <v>50024</v>
      </c>
      <c r="L294" s="415">
        <v>0</v>
      </c>
      <c r="M294" s="414"/>
      <c r="N294" s="414"/>
      <c r="O294" s="414"/>
      <c r="P294" s="414"/>
      <c r="Q294" s="414"/>
    </row>
    <row r="295" spans="1:17" s="32" customFormat="1" ht="19.5" customHeight="1">
      <c r="A295" s="411">
        <v>295</v>
      </c>
      <c r="B295" s="412" t="s">
        <v>9593</v>
      </c>
      <c r="C295" s="413"/>
      <c r="D295" s="413"/>
      <c r="E295" s="413" t="s">
        <v>9594</v>
      </c>
      <c r="F295" s="411" t="s">
        <v>9595</v>
      </c>
      <c r="G295" s="411" t="s">
        <v>213</v>
      </c>
      <c r="H295" s="411" t="s">
        <v>310</v>
      </c>
      <c r="I295" s="411" t="s">
        <v>14</v>
      </c>
      <c r="J295" s="411" t="s">
        <v>9008</v>
      </c>
      <c r="K295" s="414">
        <v>2289</v>
      </c>
      <c r="L295" s="415">
        <v>0</v>
      </c>
      <c r="M295" s="414"/>
      <c r="N295" s="414"/>
      <c r="O295" s="414"/>
      <c r="P295" s="414"/>
      <c r="Q295" s="414"/>
    </row>
    <row r="296" spans="1:17" s="32" customFormat="1" ht="19.5" customHeight="1">
      <c r="A296" s="411">
        <v>296</v>
      </c>
      <c r="B296" s="412" t="s">
        <v>3018</v>
      </c>
      <c r="C296" s="413"/>
      <c r="D296" s="413"/>
      <c r="E296" s="413" t="s">
        <v>9596</v>
      </c>
      <c r="F296" s="411" t="s">
        <v>9597</v>
      </c>
      <c r="G296" s="411" t="s">
        <v>213</v>
      </c>
      <c r="H296" s="411">
        <v>3.0000000000000001E-3</v>
      </c>
      <c r="I296" s="411" t="s">
        <v>658</v>
      </c>
      <c r="J296" s="411" t="s">
        <v>9585</v>
      </c>
      <c r="K296" s="414">
        <v>1890</v>
      </c>
      <c r="L296" s="415">
        <v>0</v>
      </c>
      <c r="M296" s="414"/>
      <c r="N296" s="414"/>
      <c r="O296" s="414"/>
      <c r="P296" s="414"/>
      <c r="Q296" s="414"/>
    </row>
    <row r="297" spans="1:17" s="32" customFormat="1" ht="19.5" customHeight="1">
      <c r="A297" s="411">
        <v>297</v>
      </c>
      <c r="B297" s="412" t="s">
        <v>9598</v>
      </c>
      <c r="C297" s="413"/>
      <c r="D297" s="413"/>
      <c r="E297" s="413" t="s">
        <v>9599</v>
      </c>
      <c r="F297" s="411" t="s">
        <v>9600</v>
      </c>
      <c r="G297" s="411" t="s">
        <v>9601</v>
      </c>
      <c r="H297" s="411" t="s">
        <v>2129</v>
      </c>
      <c r="I297" s="411" t="s">
        <v>18</v>
      </c>
      <c r="J297" s="411" t="s">
        <v>9008</v>
      </c>
      <c r="K297" s="414">
        <v>8358</v>
      </c>
      <c r="L297" s="415">
        <v>0</v>
      </c>
      <c r="M297" s="414"/>
      <c r="N297" s="414"/>
      <c r="O297" s="414"/>
      <c r="P297" s="414"/>
      <c r="Q297" s="414"/>
    </row>
    <row r="298" spans="1:17" s="32" customFormat="1" ht="19.5" customHeight="1">
      <c r="A298" s="411">
        <v>298</v>
      </c>
      <c r="B298" s="412" t="s">
        <v>9602</v>
      </c>
      <c r="C298" s="413"/>
      <c r="D298" s="413"/>
      <c r="E298" s="413" t="s">
        <v>1977</v>
      </c>
      <c r="F298" s="411" t="s">
        <v>8114</v>
      </c>
      <c r="G298" s="411" t="s">
        <v>6694</v>
      </c>
      <c r="H298" s="411" t="s">
        <v>1978</v>
      </c>
      <c r="I298" s="411" t="s">
        <v>11</v>
      </c>
      <c r="J298" s="411" t="s">
        <v>814</v>
      </c>
      <c r="K298" s="414">
        <v>2499</v>
      </c>
      <c r="L298" s="415">
        <v>0</v>
      </c>
      <c r="M298" s="414"/>
      <c r="N298" s="414"/>
      <c r="O298" s="414"/>
      <c r="P298" s="414"/>
      <c r="Q298" s="414"/>
    </row>
    <row r="299" spans="1:17" s="32" customFormat="1" ht="19.5" customHeight="1">
      <c r="A299" s="411">
        <v>300</v>
      </c>
      <c r="B299" s="412" t="s">
        <v>9603</v>
      </c>
      <c r="C299" s="413"/>
      <c r="D299" s="413"/>
      <c r="E299" s="413" t="s">
        <v>3570</v>
      </c>
      <c r="F299" s="411" t="s">
        <v>9604</v>
      </c>
      <c r="G299" s="411" t="s">
        <v>6694</v>
      </c>
      <c r="H299" s="411" t="s">
        <v>7809</v>
      </c>
      <c r="I299" s="411" t="s">
        <v>15</v>
      </c>
      <c r="J299" s="411" t="s">
        <v>9605</v>
      </c>
      <c r="K299" s="414">
        <v>6300</v>
      </c>
      <c r="L299" s="415">
        <v>52</v>
      </c>
      <c r="M299" s="414"/>
      <c r="N299" s="414"/>
      <c r="O299" s="414"/>
      <c r="P299" s="414"/>
      <c r="Q299" s="414"/>
    </row>
    <row r="300" spans="1:17" s="32" customFormat="1" ht="19.5" customHeight="1">
      <c r="A300" s="411">
        <v>301</v>
      </c>
      <c r="B300" s="413" t="s">
        <v>9606</v>
      </c>
      <c r="C300" s="413"/>
      <c r="D300" s="413"/>
      <c r="E300" s="413" t="s">
        <v>3571</v>
      </c>
      <c r="F300" s="411" t="s">
        <v>2372</v>
      </c>
      <c r="G300" s="411" t="s">
        <v>213</v>
      </c>
      <c r="H300" s="411" t="s">
        <v>9607</v>
      </c>
      <c r="I300" s="411" t="s">
        <v>18</v>
      </c>
      <c r="J300" s="411" t="s">
        <v>9608</v>
      </c>
      <c r="K300" s="414">
        <v>18000</v>
      </c>
      <c r="L300" s="415">
        <v>0</v>
      </c>
      <c r="M300" s="414"/>
      <c r="N300" s="414"/>
      <c r="O300" s="414"/>
      <c r="P300" s="414"/>
      <c r="Q300" s="414"/>
    </row>
    <row r="301" spans="1:17" s="32" customFormat="1" ht="19.5" customHeight="1">
      <c r="A301" s="411">
        <v>302</v>
      </c>
      <c r="B301" s="412" t="s">
        <v>9609</v>
      </c>
      <c r="C301" s="413"/>
      <c r="D301" s="413"/>
      <c r="E301" s="413" t="s">
        <v>9610</v>
      </c>
      <c r="F301" s="411" t="s">
        <v>9611</v>
      </c>
      <c r="G301" s="411" t="s">
        <v>213</v>
      </c>
      <c r="H301" s="411" t="s">
        <v>291</v>
      </c>
      <c r="I301" s="411" t="s">
        <v>10</v>
      </c>
      <c r="J301" s="411" t="s">
        <v>9063</v>
      </c>
      <c r="K301" s="414">
        <v>7890</v>
      </c>
      <c r="L301" s="415">
        <v>0</v>
      </c>
      <c r="M301" s="414"/>
      <c r="N301" s="414"/>
      <c r="O301" s="414"/>
      <c r="P301" s="414"/>
      <c r="Q301" s="414"/>
    </row>
    <row r="302" spans="1:17" s="32" customFormat="1" ht="19.5" customHeight="1">
      <c r="A302" s="411">
        <v>303</v>
      </c>
      <c r="B302" s="412" t="s">
        <v>294</v>
      </c>
      <c r="C302" s="413"/>
      <c r="D302" s="413"/>
      <c r="E302" s="413" t="s">
        <v>949</v>
      </c>
      <c r="F302" s="411" t="s">
        <v>9612</v>
      </c>
      <c r="G302" s="411" t="s">
        <v>5116</v>
      </c>
      <c r="H302" s="411" t="s">
        <v>3892</v>
      </c>
      <c r="I302" s="411" t="s">
        <v>628</v>
      </c>
      <c r="J302" s="411" t="s">
        <v>9613</v>
      </c>
      <c r="K302" s="414">
        <v>30048</v>
      </c>
      <c r="L302" s="415">
        <v>22</v>
      </c>
      <c r="M302" s="414"/>
      <c r="N302" s="414"/>
      <c r="O302" s="414"/>
      <c r="P302" s="414"/>
      <c r="Q302" s="414"/>
    </row>
    <row r="303" spans="1:17" s="32" customFormat="1" ht="19.5" customHeight="1">
      <c r="A303" s="411">
        <v>305</v>
      </c>
      <c r="B303" s="412" t="s">
        <v>9614</v>
      </c>
      <c r="C303" s="413"/>
      <c r="D303" s="413"/>
      <c r="E303" s="413" t="s">
        <v>9615</v>
      </c>
      <c r="F303" s="411" t="s">
        <v>297</v>
      </c>
      <c r="G303" s="411" t="s">
        <v>5116</v>
      </c>
      <c r="H303" s="411" t="s">
        <v>299</v>
      </c>
      <c r="I303" s="411" t="s">
        <v>10</v>
      </c>
      <c r="J303" s="411" t="s">
        <v>9616</v>
      </c>
      <c r="K303" s="414">
        <v>6750</v>
      </c>
      <c r="L303" s="415">
        <v>0</v>
      </c>
      <c r="M303" s="414"/>
      <c r="N303" s="414"/>
      <c r="O303" s="414"/>
      <c r="P303" s="414"/>
      <c r="Q303" s="414"/>
    </row>
    <row r="304" spans="1:17" s="32" customFormat="1" ht="19.5" customHeight="1">
      <c r="A304" s="411">
        <v>306</v>
      </c>
      <c r="B304" s="412" t="s">
        <v>1640</v>
      </c>
      <c r="C304" s="413"/>
      <c r="D304" s="413"/>
      <c r="E304" s="413" t="s">
        <v>9617</v>
      </c>
      <c r="F304" s="411" t="s">
        <v>9618</v>
      </c>
      <c r="G304" s="411" t="s">
        <v>6694</v>
      </c>
      <c r="H304" s="411" t="s">
        <v>327</v>
      </c>
      <c r="I304" s="411" t="s">
        <v>11</v>
      </c>
      <c r="J304" s="411" t="s">
        <v>647</v>
      </c>
      <c r="K304" s="414">
        <v>483</v>
      </c>
      <c r="L304" s="415">
        <v>0</v>
      </c>
      <c r="M304" s="414"/>
      <c r="N304" s="414"/>
      <c r="O304" s="414"/>
      <c r="P304" s="414"/>
      <c r="Q304" s="414"/>
    </row>
    <row r="305" spans="1:17" s="32" customFormat="1" ht="19.5" customHeight="1">
      <c r="A305" s="411">
        <v>307</v>
      </c>
      <c r="B305" s="413" t="s">
        <v>1481</v>
      </c>
      <c r="C305" s="413"/>
      <c r="D305" s="413"/>
      <c r="E305" s="413" t="s">
        <v>9619</v>
      </c>
      <c r="F305" s="411" t="s">
        <v>1484</v>
      </c>
      <c r="G305" s="411" t="s">
        <v>6012</v>
      </c>
      <c r="H305" s="411" t="s">
        <v>9620</v>
      </c>
      <c r="I305" s="411" t="s">
        <v>11</v>
      </c>
      <c r="J305" s="411" t="s">
        <v>9063</v>
      </c>
      <c r="K305" s="414">
        <v>4790</v>
      </c>
      <c r="L305" s="415">
        <v>2800</v>
      </c>
      <c r="M305" s="414"/>
      <c r="N305" s="414"/>
      <c r="O305" s="414"/>
      <c r="P305" s="414"/>
      <c r="Q305" s="414"/>
    </row>
    <row r="306" spans="1:17" s="32" customFormat="1" ht="19.5" customHeight="1">
      <c r="A306" s="411">
        <v>308</v>
      </c>
      <c r="B306" s="413" t="s">
        <v>9621</v>
      </c>
      <c r="C306" s="413"/>
      <c r="D306" s="413"/>
      <c r="E306" s="413" t="s">
        <v>1007</v>
      </c>
      <c r="F306" s="411" t="s">
        <v>1009</v>
      </c>
      <c r="G306" s="411" t="s">
        <v>6147</v>
      </c>
      <c r="H306" s="411" t="s">
        <v>1008</v>
      </c>
      <c r="I306" s="411" t="s">
        <v>11</v>
      </c>
      <c r="J306" s="411" t="s">
        <v>9063</v>
      </c>
      <c r="K306" s="414">
        <v>6589</v>
      </c>
      <c r="L306" s="415">
        <v>5328</v>
      </c>
      <c r="M306" s="414"/>
      <c r="N306" s="414"/>
      <c r="O306" s="414"/>
      <c r="P306" s="414"/>
      <c r="Q306" s="414"/>
    </row>
    <row r="307" spans="1:17" s="32" customFormat="1" ht="19.5" customHeight="1">
      <c r="A307" s="411">
        <v>309</v>
      </c>
      <c r="B307" s="413" t="s">
        <v>2848</v>
      </c>
      <c r="C307" s="413"/>
      <c r="D307" s="413"/>
      <c r="E307" s="413" t="s">
        <v>9622</v>
      </c>
      <c r="F307" s="411" t="s">
        <v>2850</v>
      </c>
      <c r="G307" s="411" t="s">
        <v>5116</v>
      </c>
      <c r="H307" s="411" t="s">
        <v>2852</v>
      </c>
      <c r="I307" s="411" t="s">
        <v>11</v>
      </c>
      <c r="J307" s="411" t="s">
        <v>9063</v>
      </c>
      <c r="K307" s="414">
        <v>6500</v>
      </c>
      <c r="L307" s="415">
        <v>2412</v>
      </c>
      <c r="M307" s="414"/>
      <c r="N307" s="414"/>
      <c r="O307" s="414"/>
      <c r="P307" s="414"/>
      <c r="Q307" s="414"/>
    </row>
    <row r="308" spans="1:17" s="32" customFormat="1" ht="19.5" customHeight="1">
      <c r="A308" s="411"/>
      <c r="B308" s="412"/>
      <c r="C308" s="413"/>
      <c r="D308" s="413"/>
      <c r="E308" s="413" t="s">
        <v>9623</v>
      </c>
      <c r="F308" s="411" t="s">
        <v>2850</v>
      </c>
      <c r="G308" s="411" t="s">
        <v>5116</v>
      </c>
      <c r="H308" s="411" t="s">
        <v>327</v>
      </c>
      <c r="I308" s="411" t="s">
        <v>10</v>
      </c>
      <c r="J308" s="411" t="s">
        <v>1131</v>
      </c>
      <c r="K308" s="414">
        <v>5182</v>
      </c>
      <c r="L308" s="415">
        <v>10</v>
      </c>
      <c r="M308" s="414"/>
      <c r="N308" s="414"/>
      <c r="O308" s="414"/>
      <c r="P308" s="414"/>
      <c r="Q308" s="414"/>
    </row>
    <row r="309" spans="1:17" s="32" customFormat="1" ht="19.5" customHeight="1">
      <c r="A309" s="411">
        <v>310</v>
      </c>
      <c r="B309" s="412" t="s">
        <v>9624</v>
      </c>
      <c r="C309" s="413"/>
      <c r="D309" s="413"/>
      <c r="E309" s="413" t="s">
        <v>9625</v>
      </c>
      <c r="F309" s="411" t="s">
        <v>9626</v>
      </c>
      <c r="G309" s="411" t="s">
        <v>6694</v>
      </c>
      <c r="H309" s="436" t="s">
        <v>272</v>
      </c>
      <c r="I309" s="411" t="s">
        <v>11</v>
      </c>
      <c r="J309" s="411" t="s">
        <v>2204</v>
      </c>
      <c r="K309" s="414">
        <v>1595</v>
      </c>
      <c r="L309" s="415">
        <v>0</v>
      </c>
      <c r="M309" s="414"/>
      <c r="N309" s="414"/>
      <c r="O309" s="414"/>
      <c r="P309" s="414"/>
      <c r="Q309" s="414"/>
    </row>
    <row r="310" spans="1:17" s="32" customFormat="1" ht="19.5" customHeight="1">
      <c r="A310" s="411">
        <v>311</v>
      </c>
      <c r="B310" s="413" t="s">
        <v>1481</v>
      </c>
      <c r="C310" s="413"/>
      <c r="D310" s="413"/>
      <c r="E310" s="413" t="s">
        <v>9627</v>
      </c>
      <c r="F310" s="411" t="s">
        <v>1691</v>
      </c>
      <c r="G310" s="411" t="s">
        <v>5222</v>
      </c>
      <c r="H310" s="411" t="s">
        <v>1690</v>
      </c>
      <c r="I310" s="411" t="s">
        <v>11</v>
      </c>
      <c r="J310" s="411" t="s">
        <v>2204</v>
      </c>
      <c r="K310" s="414">
        <v>3450</v>
      </c>
      <c r="L310" s="415">
        <v>8888</v>
      </c>
      <c r="M310" s="414"/>
      <c r="N310" s="414"/>
      <c r="O310" s="414"/>
      <c r="P310" s="414"/>
      <c r="Q310" s="414"/>
    </row>
    <row r="311" spans="1:17" s="32" customFormat="1" ht="19.5" customHeight="1">
      <c r="A311" s="411">
        <v>313</v>
      </c>
      <c r="B311" s="413" t="s">
        <v>1167</v>
      </c>
      <c r="C311" s="413"/>
      <c r="D311" s="413"/>
      <c r="E311" s="413" t="s">
        <v>9628</v>
      </c>
      <c r="F311" s="411" t="s">
        <v>2854</v>
      </c>
      <c r="G311" s="411" t="s">
        <v>213</v>
      </c>
      <c r="H311" s="411" t="s">
        <v>291</v>
      </c>
      <c r="I311" s="411" t="s">
        <v>11</v>
      </c>
      <c r="J311" s="411" t="s">
        <v>2204</v>
      </c>
      <c r="K311" s="414">
        <v>614</v>
      </c>
      <c r="L311" s="415">
        <v>5000</v>
      </c>
      <c r="M311" s="414"/>
      <c r="N311" s="414"/>
      <c r="O311" s="414"/>
      <c r="P311" s="414"/>
      <c r="Q311" s="414"/>
    </row>
    <row r="312" spans="1:17" s="32" customFormat="1" ht="19.5" customHeight="1">
      <c r="A312" s="411">
        <v>312</v>
      </c>
      <c r="B312" s="412" t="s">
        <v>9629</v>
      </c>
      <c r="C312" s="413"/>
      <c r="D312" s="413"/>
      <c r="E312" s="413" t="s">
        <v>9628</v>
      </c>
      <c r="F312" s="411" t="s">
        <v>2854</v>
      </c>
      <c r="G312" s="411" t="s">
        <v>6694</v>
      </c>
      <c r="H312" s="411" t="s">
        <v>291</v>
      </c>
      <c r="I312" s="411" t="s">
        <v>11</v>
      </c>
      <c r="J312" s="411" t="s">
        <v>2204</v>
      </c>
      <c r="K312" s="414">
        <v>832</v>
      </c>
      <c r="L312" s="415">
        <v>0</v>
      </c>
      <c r="M312" s="414"/>
      <c r="N312" s="414"/>
      <c r="O312" s="414"/>
      <c r="P312" s="414"/>
      <c r="Q312" s="414"/>
    </row>
    <row r="313" spans="1:17" s="32" customFormat="1" ht="19.5" customHeight="1">
      <c r="A313" s="411">
        <v>314</v>
      </c>
      <c r="B313" s="412" t="s">
        <v>9630</v>
      </c>
      <c r="C313" s="413"/>
      <c r="D313" s="413"/>
      <c r="E313" s="413" t="s">
        <v>9631</v>
      </c>
      <c r="F313" s="411" t="s">
        <v>9632</v>
      </c>
      <c r="G313" s="411" t="s">
        <v>6694</v>
      </c>
      <c r="H313" s="411" t="s">
        <v>9633</v>
      </c>
      <c r="I313" s="411" t="s">
        <v>658</v>
      </c>
      <c r="J313" s="411" t="s">
        <v>9634</v>
      </c>
      <c r="K313" s="414">
        <v>5102</v>
      </c>
      <c r="L313" s="415">
        <v>9</v>
      </c>
      <c r="M313" s="414"/>
      <c r="N313" s="414"/>
      <c r="O313" s="414"/>
      <c r="P313" s="414"/>
      <c r="Q313" s="414"/>
    </row>
    <row r="314" spans="1:17" s="32" customFormat="1" ht="19.5" customHeight="1">
      <c r="A314" s="411">
        <v>315</v>
      </c>
      <c r="B314" s="413" t="s">
        <v>9635</v>
      </c>
      <c r="C314" s="413"/>
      <c r="D314" s="413"/>
      <c r="E314" s="413" t="s">
        <v>4634</v>
      </c>
      <c r="F314" s="411" t="s">
        <v>9636</v>
      </c>
      <c r="G314" s="411" t="s">
        <v>213</v>
      </c>
      <c r="H314" s="411" t="s">
        <v>9637</v>
      </c>
      <c r="I314" s="411" t="s">
        <v>11</v>
      </c>
      <c r="J314" s="411" t="s">
        <v>9063</v>
      </c>
      <c r="K314" s="414">
        <v>1180</v>
      </c>
      <c r="L314" s="415">
        <v>3900</v>
      </c>
      <c r="M314" s="414"/>
      <c r="N314" s="414"/>
      <c r="O314" s="414"/>
      <c r="P314" s="414"/>
      <c r="Q314" s="414"/>
    </row>
    <row r="315" spans="1:17" s="32" customFormat="1" ht="19.5" customHeight="1">
      <c r="A315" s="411">
        <v>318</v>
      </c>
      <c r="B315" s="413" t="s">
        <v>1215</v>
      </c>
      <c r="C315" s="413"/>
      <c r="D315" s="413"/>
      <c r="E315" s="413" t="s">
        <v>9638</v>
      </c>
      <c r="F315" s="411" t="s">
        <v>2856</v>
      </c>
      <c r="G315" s="411" t="s">
        <v>213</v>
      </c>
      <c r="H315" s="411" t="s">
        <v>1217</v>
      </c>
      <c r="I315" s="411" t="s">
        <v>11</v>
      </c>
      <c r="J315" s="411" t="s">
        <v>2917</v>
      </c>
      <c r="K315" s="414">
        <v>753</v>
      </c>
      <c r="L315" s="415">
        <v>0</v>
      </c>
      <c r="M315" s="414"/>
      <c r="N315" s="414"/>
      <c r="O315" s="414"/>
      <c r="P315" s="414"/>
      <c r="Q315" s="414"/>
    </row>
    <row r="316" spans="1:17" s="32" customFormat="1" ht="19.5" customHeight="1">
      <c r="A316" s="411">
        <v>316</v>
      </c>
      <c r="B316" s="412" t="s">
        <v>9639</v>
      </c>
      <c r="C316" s="413"/>
      <c r="D316" s="413"/>
      <c r="E316" s="413" t="s">
        <v>9638</v>
      </c>
      <c r="F316" s="411" t="s">
        <v>2856</v>
      </c>
      <c r="G316" s="411" t="s">
        <v>6694</v>
      </c>
      <c r="H316" s="411" t="s">
        <v>1217</v>
      </c>
      <c r="I316" s="411" t="s">
        <v>11</v>
      </c>
      <c r="J316" s="411" t="s">
        <v>2917</v>
      </c>
      <c r="K316" s="414">
        <v>845</v>
      </c>
      <c r="L316" s="415">
        <v>34</v>
      </c>
      <c r="M316" s="414"/>
      <c r="N316" s="414"/>
      <c r="O316" s="414"/>
      <c r="P316" s="414"/>
      <c r="Q316" s="414"/>
    </row>
    <row r="317" spans="1:17" s="32" customFormat="1" ht="19.5" customHeight="1">
      <c r="A317" s="411">
        <v>319</v>
      </c>
      <c r="B317" s="412" t="s">
        <v>9640</v>
      </c>
      <c r="C317" s="413"/>
      <c r="D317" s="413"/>
      <c r="E317" s="413" t="s">
        <v>9641</v>
      </c>
      <c r="F317" s="411" t="s">
        <v>9642</v>
      </c>
      <c r="G317" s="411" t="s">
        <v>213</v>
      </c>
      <c r="H317" s="411" t="s">
        <v>225</v>
      </c>
      <c r="I317" s="411" t="s">
        <v>11</v>
      </c>
      <c r="J317" s="411" t="s">
        <v>9063</v>
      </c>
      <c r="K317" s="414">
        <v>1840</v>
      </c>
      <c r="L317" s="415">
        <v>0</v>
      </c>
      <c r="M317" s="414"/>
      <c r="N317" s="414"/>
      <c r="O317" s="414"/>
      <c r="P317" s="414"/>
      <c r="Q317" s="414"/>
    </row>
    <row r="318" spans="1:17" s="32" customFormat="1" ht="19.5" customHeight="1">
      <c r="A318" s="411">
        <v>320</v>
      </c>
      <c r="B318" s="413" t="s">
        <v>1215</v>
      </c>
      <c r="C318" s="413"/>
      <c r="D318" s="413"/>
      <c r="E318" s="413" t="s">
        <v>9643</v>
      </c>
      <c r="F318" s="411" t="s">
        <v>9644</v>
      </c>
      <c r="G318" s="411" t="s">
        <v>5116</v>
      </c>
      <c r="H318" s="411" t="s">
        <v>1014</v>
      </c>
      <c r="I318" s="411" t="s">
        <v>11</v>
      </c>
      <c r="J318" s="411" t="s">
        <v>647</v>
      </c>
      <c r="K318" s="414">
        <v>3258</v>
      </c>
      <c r="L318" s="415">
        <v>4573</v>
      </c>
      <c r="M318" s="414"/>
      <c r="N318" s="414"/>
      <c r="O318" s="414"/>
      <c r="P318" s="414"/>
      <c r="Q318" s="414"/>
    </row>
    <row r="319" spans="1:17" s="32" customFormat="1" ht="19.5" customHeight="1">
      <c r="A319" s="411">
        <v>321</v>
      </c>
      <c r="B319" s="412" t="s">
        <v>9639</v>
      </c>
      <c r="C319" s="413"/>
      <c r="D319" s="413"/>
      <c r="E319" s="413" t="s">
        <v>9645</v>
      </c>
      <c r="F319" s="411" t="s">
        <v>9646</v>
      </c>
      <c r="G319" s="411" t="s">
        <v>5116</v>
      </c>
      <c r="H319" s="411" t="s">
        <v>1014</v>
      </c>
      <c r="I319" s="411" t="s">
        <v>10</v>
      </c>
      <c r="J319" s="411" t="s">
        <v>647</v>
      </c>
      <c r="K319" s="414">
        <v>2989</v>
      </c>
      <c r="L319" s="415">
        <v>99</v>
      </c>
      <c r="M319" s="414"/>
      <c r="N319" s="414"/>
      <c r="O319" s="414"/>
      <c r="P319" s="414"/>
      <c r="Q319" s="414"/>
    </row>
    <row r="320" spans="1:17" s="32" customFormat="1" ht="19.5" customHeight="1">
      <c r="A320" s="411">
        <v>322</v>
      </c>
      <c r="B320" s="412" t="s">
        <v>9647</v>
      </c>
      <c r="C320" s="413"/>
      <c r="D320" s="413"/>
      <c r="E320" s="413" t="s">
        <v>9648</v>
      </c>
      <c r="F320" s="411" t="s">
        <v>9649</v>
      </c>
      <c r="G320" s="411" t="s">
        <v>6694</v>
      </c>
      <c r="H320" s="436" t="s">
        <v>9650</v>
      </c>
      <c r="I320" s="411" t="s">
        <v>11</v>
      </c>
      <c r="J320" s="411" t="s">
        <v>541</v>
      </c>
      <c r="K320" s="414">
        <v>2000</v>
      </c>
      <c r="L320" s="415">
        <v>0</v>
      </c>
      <c r="M320" s="414"/>
      <c r="N320" s="414"/>
      <c r="O320" s="414"/>
      <c r="P320" s="414"/>
      <c r="Q320" s="414"/>
    </row>
    <row r="321" spans="1:17" s="32" customFormat="1" ht="19.5" customHeight="1">
      <c r="A321" s="411">
        <v>323</v>
      </c>
      <c r="B321" s="412" t="s">
        <v>9651</v>
      </c>
      <c r="C321" s="413"/>
      <c r="D321" s="413"/>
      <c r="E321" s="413" t="s">
        <v>9652</v>
      </c>
      <c r="F321" s="411" t="s">
        <v>9653</v>
      </c>
      <c r="G321" s="411" t="s">
        <v>6694</v>
      </c>
      <c r="H321" s="436" t="s">
        <v>9654</v>
      </c>
      <c r="I321" s="411" t="s">
        <v>9655</v>
      </c>
      <c r="J321" s="411" t="s">
        <v>9656</v>
      </c>
      <c r="K321" s="414">
        <v>3250</v>
      </c>
      <c r="L321" s="415">
        <v>0</v>
      </c>
      <c r="M321" s="414"/>
      <c r="N321" s="414"/>
      <c r="O321" s="414"/>
      <c r="P321" s="414"/>
      <c r="Q321" s="414"/>
    </row>
    <row r="322" spans="1:17" s="32" customFormat="1" ht="19.5" customHeight="1">
      <c r="A322" s="411">
        <v>324</v>
      </c>
      <c r="B322" s="412" t="s">
        <v>1235</v>
      </c>
      <c r="C322" s="413"/>
      <c r="D322" s="413"/>
      <c r="E322" s="413" t="s">
        <v>9657</v>
      </c>
      <c r="F322" s="411" t="s">
        <v>9658</v>
      </c>
      <c r="G322" s="411" t="s">
        <v>6694</v>
      </c>
      <c r="H322" s="411" t="s">
        <v>1200</v>
      </c>
      <c r="I322" s="411" t="s">
        <v>13</v>
      </c>
      <c r="J322" s="411" t="s">
        <v>9659</v>
      </c>
      <c r="K322" s="414">
        <v>3000</v>
      </c>
      <c r="L322" s="415">
        <v>50</v>
      </c>
      <c r="M322" s="414"/>
      <c r="N322" s="414"/>
      <c r="O322" s="414"/>
      <c r="P322" s="414"/>
      <c r="Q322" s="414"/>
    </row>
    <row r="323" spans="1:17" s="32" customFormat="1" ht="19.5" customHeight="1">
      <c r="A323" s="411">
        <v>326</v>
      </c>
      <c r="B323" s="412" t="s">
        <v>9128</v>
      </c>
      <c r="C323" s="413"/>
      <c r="D323" s="413"/>
      <c r="E323" s="413" t="s">
        <v>9660</v>
      </c>
      <c r="F323" s="411" t="s">
        <v>9661</v>
      </c>
      <c r="G323" s="411" t="s">
        <v>213</v>
      </c>
      <c r="H323" s="411" t="s">
        <v>262</v>
      </c>
      <c r="I323" s="411" t="s">
        <v>11</v>
      </c>
      <c r="J323" s="411" t="s">
        <v>9063</v>
      </c>
      <c r="K323" s="414">
        <v>525</v>
      </c>
      <c r="L323" s="415">
        <v>0</v>
      </c>
      <c r="M323" s="414"/>
      <c r="N323" s="414"/>
      <c r="O323" s="414"/>
      <c r="P323" s="414"/>
      <c r="Q323" s="414"/>
    </row>
    <row r="324" spans="1:17" s="32" customFormat="1" ht="19.5" customHeight="1">
      <c r="A324" s="411">
        <v>327</v>
      </c>
      <c r="B324" s="412" t="s">
        <v>9662</v>
      </c>
      <c r="C324" s="413"/>
      <c r="D324" s="413"/>
      <c r="E324" s="413" t="s">
        <v>9663</v>
      </c>
      <c r="F324" s="411" t="s">
        <v>9664</v>
      </c>
      <c r="G324" s="411" t="s">
        <v>6299</v>
      </c>
      <c r="H324" s="411" t="s">
        <v>715</v>
      </c>
      <c r="I324" s="411" t="s">
        <v>658</v>
      </c>
      <c r="J324" s="411" t="s">
        <v>9665</v>
      </c>
      <c r="K324" s="414">
        <v>63000</v>
      </c>
      <c r="L324" s="415">
        <v>0</v>
      </c>
      <c r="M324" s="414"/>
      <c r="N324" s="414"/>
      <c r="O324" s="414"/>
      <c r="P324" s="414"/>
      <c r="Q324" s="414"/>
    </row>
    <row r="325" spans="1:17" s="32" customFormat="1" ht="19.5" customHeight="1">
      <c r="A325" s="411">
        <v>328</v>
      </c>
      <c r="B325" s="413" t="s">
        <v>9666</v>
      </c>
      <c r="C325" s="413"/>
      <c r="D325" s="413"/>
      <c r="E325" s="413" t="s">
        <v>9667</v>
      </c>
      <c r="F325" s="411" t="s">
        <v>1898</v>
      </c>
      <c r="G325" s="411" t="s">
        <v>213</v>
      </c>
      <c r="H325" s="411" t="s">
        <v>9668</v>
      </c>
      <c r="I325" s="411" t="s">
        <v>11</v>
      </c>
      <c r="J325" s="411" t="s">
        <v>647</v>
      </c>
      <c r="K325" s="414">
        <v>2600</v>
      </c>
      <c r="L325" s="415">
        <v>0</v>
      </c>
      <c r="M325" s="414"/>
      <c r="N325" s="414"/>
      <c r="O325" s="414"/>
      <c r="P325" s="414"/>
      <c r="Q325" s="414"/>
    </row>
    <row r="326" spans="1:17" s="32" customFormat="1" ht="19.5" customHeight="1">
      <c r="A326" s="411">
        <v>329</v>
      </c>
      <c r="B326" s="412" t="s">
        <v>2859</v>
      </c>
      <c r="C326" s="416"/>
      <c r="D326" s="416"/>
      <c r="E326" s="412" t="s">
        <v>3572</v>
      </c>
      <c r="F326" s="417" t="s">
        <v>2860</v>
      </c>
      <c r="G326" s="417" t="s">
        <v>6694</v>
      </c>
      <c r="H326" s="417" t="s">
        <v>299</v>
      </c>
      <c r="I326" s="417" t="s">
        <v>10</v>
      </c>
      <c r="J326" s="417" t="s">
        <v>2204</v>
      </c>
      <c r="K326" s="418">
        <v>1150</v>
      </c>
      <c r="L326" s="419">
        <v>2000</v>
      </c>
      <c r="M326" s="418"/>
      <c r="N326" s="414"/>
      <c r="O326" s="414"/>
      <c r="P326" s="418"/>
      <c r="Q326" s="418"/>
    </row>
    <row r="327" spans="1:17" s="32" customFormat="1" ht="19.5" customHeight="1">
      <c r="A327" s="411">
        <v>330</v>
      </c>
      <c r="B327" s="413" t="s">
        <v>3463</v>
      </c>
      <c r="C327" s="413"/>
      <c r="D327" s="413"/>
      <c r="E327" s="413" t="s">
        <v>9669</v>
      </c>
      <c r="F327" s="411" t="s">
        <v>9670</v>
      </c>
      <c r="G327" s="411" t="s">
        <v>213</v>
      </c>
      <c r="H327" s="411" t="s">
        <v>9671</v>
      </c>
      <c r="I327" s="411" t="s">
        <v>11</v>
      </c>
      <c r="J327" s="411" t="s">
        <v>647</v>
      </c>
      <c r="K327" s="414">
        <v>4900</v>
      </c>
      <c r="L327" s="415">
        <v>11765</v>
      </c>
      <c r="M327" s="414"/>
      <c r="N327" s="414"/>
      <c r="O327" s="414"/>
      <c r="P327" s="414"/>
      <c r="Q327" s="414"/>
    </row>
    <row r="328" spans="1:17" s="32" customFormat="1" ht="19.5" customHeight="1">
      <c r="A328" s="411">
        <v>331</v>
      </c>
      <c r="B328" s="412" t="s">
        <v>9672</v>
      </c>
      <c r="C328" s="413"/>
      <c r="D328" s="413"/>
      <c r="E328" s="413" t="s">
        <v>9673</v>
      </c>
      <c r="F328" s="411" t="s">
        <v>9674</v>
      </c>
      <c r="G328" s="411" t="s">
        <v>6694</v>
      </c>
      <c r="H328" s="411" t="s">
        <v>2524</v>
      </c>
      <c r="I328" s="411" t="s">
        <v>10</v>
      </c>
      <c r="J328" s="411" t="s">
        <v>2204</v>
      </c>
      <c r="K328" s="414">
        <v>728</v>
      </c>
      <c r="L328" s="415">
        <v>0</v>
      </c>
      <c r="M328" s="414"/>
      <c r="N328" s="414"/>
      <c r="O328" s="414"/>
      <c r="P328" s="414"/>
      <c r="Q328" s="414"/>
    </row>
    <row r="329" spans="1:17" s="32" customFormat="1" ht="19.5" customHeight="1">
      <c r="A329" s="411">
        <v>333</v>
      </c>
      <c r="B329" s="412" t="s">
        <v>2862</v>
      </c>
      <c r="C329" s="413"/>
      <c r="D329" s="413"/>
      <c r="E329" s="413" t="s">
        <v>3573</v>
      </c>
      <c r="F329" s="411" t="s">
        <v>2863</v>
      </c>
      <c r="G329" s="411" t="s">
        <v>5222</v>
      </c>
      <c r="H329" s="411" t="s">
        <v>869</v>
      </c>
      <c r="I329" s="411" t="s">
        <v>10</v>
      </c>
      <c r="J329" s="411" t="s">
        <v>9675</v>
      </c>
      <c r="K329" s="414">
        <v>1780</v>
      </c>
      <c r="L329" s="415">
        <v>1724</v>
      </c>
      <c r="M329" s="414"/>
      <c r="N329" s="414"/>
      <c r="O329" s="414"/>
      <c r="P329" s="414"/>
      <c r="Q329" s="414"/>
    </row>
    <row r="330" spans="1:17" s="32" customFormat="1" ht="19.5" customHeight="1">
      <c r="A330" s="411">
        <v>334</v>
      </c>
      <c r="B330" s="412" t="s">
        <v>9676</v>
      </c>
      <c r="C330" s="413"/>
      <c r="D330" s="413"/>
      <c r="E330" s="413" t="s">
        <v>9677</v>
      </c>
      <c r="F330" s="411" t="s">
        <v>9678</v>
      </c>
      <c r="G330" s="411" t="s">
        <v>5188</v>
      </c>
      <c r="H330" s="411" t="s">
        <v>1021</v>
      </c>
      <c r="I330" s="411" t="s">
        <v>14</v>
      </c>
      <c r="J330" s="411" t="s">
        <v>9679</v>
      </c>
      <c r="K330" s="414">
        <v>34670</v>
      </c>
      <c r="L330" s="415">
        <v>9</v>
      </c>
      <c r="M330" s="414"/>
      <c r="N330" s="414"/>
      <c r="O330" s="414"/>
      <c r="P330" s="414"/>
      <c r="Q330" s="414"/>
    </row>
    <row r="331" spans="1:17" s="32" customFormat="1" ht="19.5" customHeight="1">
      <c r="A331" s="411">
        <v>335</v>
      </c>
      <c r="B331" s="413" t="s">
        <v>557</v>
      </c>
      <c r="C331" s="413"/>
      <c r="D331" s="413"/>
      <c r="E331" s="413" t="s">
        <v>824</v>
      </c>
      <c r="F331" s="411" t="s">
        <v>826</v>
      </c>
      <c r="G331" s="411" t="s">
        <v>213</v>
      </c>
      <c r="H331" s="411" t="s">
        <v>272</v>
      </c>
      <c r="I331" s="411" t="s">
        <v>11</v>
      </c>
      <c r="J331" s="411" t="s">
        <v>842</v>
      </c>
      <c r="K331" s="414">
        <v>134</v>
      </c>
      <c r="L331" s="415">
        <v>6414</v>
      </c>
      <c r="M331" s="414"/>
      <c r="N331" s="414"/>
      <c r="O331" s="414"/>
      <c r="P331" s="414"/>
      <c r="Q331" s="414"/>
    </row>
    <row r="332" spans="1:17" s="32" customFormat="1" ht="19.5" customHeight="1">
      <c r="A332" s="411">
        <v>336</v>
      </c>
      <c r="B332" s="413" t="s">
        <v>2469</v>
      </c>
      <c r="C332" s="413"/>
      <c r="D332" s="413"/>
      <c r="E332" s="413" t="s">
        <v>1432</v>
      </c>
      <c r="F332" s="411" t="s">
        <v>9680</v>
      </c>
      <c r="G332" s="411" t="s">
        <v>213</v>
      </c>
      <c r="H332" s="411" t="s">
        <v>1433</v>
      </c>
      <c r="I332" s="411" t="s">
        <v>11</v>
      </c>
      <c r="J332" s="411" t="s">
        <v>842</v>
      </c>
      <c r="K332" s="414">
        <v>73</v>
      </c>
      <c r="L332" s="415">
        <v>0</v>
      </c>
      <c r="M332" s="414"/>
      <c r="N332" s="414"/>
      <c r="O332" s="414"/>
      <c r="P332" s="414"/>
      <c r="Q332" s="414"/>
    </row>
    <row r="333" spans="1:17" s="32" customFormat="1" ht="19.5" customHeight="1">
      <c r="A333" s="411">
        <v>337</v>
      </c>
      <c r="B333" s="412" t="s">
        <v>9681</v>
      </c>
      <c r="C333" s="413"/>
      <c r="D333" s="413"/>
      <c r="E333" s="413" t="s">
        <v>9682</v>
      </c>
      <c r="F333" s="411" t="s">
        <v>9683</v>
      </c>
      <c r="G333" s="411" t="s">
        <v>449</v>
      </c>
      <c r="H333" s="411" t="s">
        <v>9684</v>
      </c>
      <c r="I333" s="411" t="s">
        <v>15</v>
      </c>
      <c r="J333" s="411" t="s">
        <v>3104</v>
      </c>
      <c r="K333" s="414">
        <v>11886</v>
      </c>
      <c r="L333" s="415">
        <v>21</v>
      </c>
      <c r="M333" s="414"/>
      <c r="N333" s="414"/>
      <c r="O333" s="414"/>
      <c r="P333" s="414"/>
      <c r="Q333" s="414"/>
    </row>
    <row r="334" spans="1:17" s="32" customFormat="1" ht="19.5" customHeight="1">
      <c r="A334" s="411">
        <v>338</v>
      </c>
      <c r="B334" s="412" t="s">
        <v>9681</v>
      </c>
      <c r="C334" s="416"/>
      <c r="D334" s="416"/>
      <c r="E334" s="412" t="s">
        <v>9685</v>
      </c>
      <c r="F334" s="417" t="s">
        <v>2870</v>
      </c>
      <c r="G334" s="417" t="s">
        <v>9686</v>
      </c>
      <c r="H334" s="417" t="s">
        <v>2564</v>
      </c>
      <c r="I334" s="417" t="s">
        <v>15</v>
      </c>
      <c r="J334" s="417" t="s">
        <v>3104</v>
      </c>
      <c r="K334" s="418">
        <v>10500</v>
      </c>
      <c r="L334" s="419">
        <v>300</v>
      </c>
      <c r="M334" s="418"/>
      <c r="N334" s="414"/>
      <c r="O334" s="414"/>
      <c r="P334" s="418"/>
      <c r="Q334" s="418"/>
    </row>
    <row r="335" spans="1:17" s="32" customFormat="1" ht="19.5" customHeight="1">
      <c r="A335" s="411">
        <v>339</v>
      </c>
      <c r="B335" s="412" t="s">
        <v>9280</v>
      </c>
      <c r="C335" s="413"/>
      <c r="D335" s="413"/>
      <c r="E335" s="413" t="s">
        <v>9687</v>
      </c>
      <c r="F335" s="411" t="s">
        <v>9688</v>
      </c>
      <c r="G335" s="411" t="s">
        <v>6694</v>
      </c>
      <c r="H335" s="411" t="s">
        <v>327</v>
      </c>
      <c r="I335" s="411" t="s">
        <v>10</v>
      </c>
      <c r="J335" s="411" t="s">
        <v>547</v>
      </c>
      <c r="K335" s="414">
        <v>252</v>
      </c>
      <c r="L335" s="415">
        <v>0</v>
      </c>
      <c r="M335" s="414"/>
      <c r="N335" s="414"/>
      <c r="O335" s="414"/>
      <c r="P335" s="414"/>
      <c r="Q335" s="414"/>
    </row>
    <row r="336" spans="1:17" s="32" customFormat="1" ht="19.5" customHeight="1">
      <c r="A336" s="411">
        <v>341</v>
      </c>
      <c r="B336" s="413" t="s">
        <v>309</v>
      </c>
      <c r="C336" s="413"/>
      <c r="D336" s="413"/>
      <c r="E336" s="413" t="s">
        <v>3918</v>
      </c>
      <c r="F336" s="411" t="s">
        <v>9689</v>
      </c>
      <c r="G336" s="411" t="s">
        <v>5116</v>
      </c>
      <c r="H336" s="411" t="s">
        <v>869</v>
      </c>
      <c r="I336" s="411" t="s">
        <v>10</v>
      </c>
      <c r="J336" s="411" t="s">
        <v>547</v>
      </c>
      <c r="K336" s="414">
        <v>5460</v>
      </c>
      <c r="L336" s="415">
        <v>1451</v>
      </c>
      <c r="M336" s="414"/>
      <c r="N336" s="414"/>
      <c r="O336" s="414"/>
      <c r="P336" s="414"/>
      <c r="Q336" s="414"/>
    </row>
    <row r="337" spans="1:17" s="32" customFormat="1" ht="19.5" customHeight="1">
      <c r="A337" s="411">
        <v>343</v>
      </c>
      <c r="B337" s="412" t="s">
        <v>2871</v>
      </c>
      <c r="C337" s="416"/>
      <c r="D337" s="416"/>
      <c r="E337" s="412" t="s">
        <v>2616</v>
      </c>
      <c r="F337" s="417" t="s">
        <v>2872</v>
      </c>
      <c r="G337" s="417" t="s">
        <v>6694</v>
      </c>
      <c r="H337" s="417" t="s">
        <v>238</v>
      </c>
      <c r="I337" s="417" t="s">
        <v>520</v>
      </c>
      <c r="J337" s="417" t="s">
        <v>2874</v>
      </c>
      <c r="K337" s="418">
        <v>4200</v>
      </c>
      <c r="L337" s="419">
        <v>0</v>
      </c>
      <c r="M337" s="418"/>
      <c r="N337" s="414"/>
      <c r="O337" s="414"/>
      <c r="P337" s="418"/>
      <c r="Q337" s="418"/>
    </row>
    <row r="338" spans="1:17" s="32" customFormat="1" ht="19.5" customHeight="1">
      <c r="A338" s="411">
        <v>342</v>
      </c>
      <c r="B338" s="412" t="s">
        <v>2871</v>
      </c>
      <c r="C338" s="413"/>
      <c r="D338" s="413"/>
      <c r="E338" s="413" t="s">
        <v>2616</v>
      </c>
      <c r="F338" s="411" t="s">
        <v>2872</v>
      </c>
      <c r="G338" s="411" t="s">
        <v>6694</v>
      </c>
      <c r="H338" s="411" t="s">
        <v>238</v>
      </c>
      <c r="I338" s="411" t="s">
        <v>520</v>
      </c>
      <c r="J338" s="411" t="s">
        <v>2874</v>
      </c>
      <c r="K338" s="414">
        <v>7500</v>
      </c>
      <c r="L338" s="415">
        <v>14</v>
      </c>
      <c r="M338" s="414"/>
      <c r="N338" s="414"/>
      <c r="O338" s="414"/>
      <c r="P338" s="414"/>
      <c r="Q338" s="414"/>
    </row>
    <row r="339" spans="1:17" s="32" customFormat="1" ht="19.5" customHeight="1">
      <c r="A339" s="411">
        <v>344</v>
      </c>
      <c r="B339" s="424" t="s">
        <v>2871</v>
      </c>
      <c r="C339" s="425"/>
      <c r="D339" s="426"/>
      <c r="E339" s="427" t="s">
        <v>2875</v>
      </c>
      <c r="F339" s="425" t="s">
        <v>9690</v>
      </c>
      <c r="G339" s="428" t="s">
        <v>213</v>
      </c>
      <c r="H339" s="425" t="s">
        <v>327</v>
      </c>
      <c r="I339" s="425" t="s">
        <v>11</v>
      </c>
      <c r="J339" s="428" t="s">
        <v>642</v>
      </c>
      <c r="K339" s="429">
        <v>189</v>
      </c>
      <c r="L339" s="430">
        <v>714</v>
      </c>
      <c r="M339" s="429"/>
      <c r="N339" s="414"/>
      <c r="O339" s="414"/>
      <c r="P339" s="431"/>
      <c r="Q339" s="431"/>
    </row>
    <row r="340" spans="1:17" s="32" customFormat="1" ht="19.5" customHeight="1">
      <c r="A340" s="411">
        <v>346</v>
      </c>
      <c r="B340" s="412" t="s">
        <v>9691</v>
      </c>
      <c r="C340" s="413"/>
      <c r="D340" s="413"/>
      <c r="E340" s="413" t="s">
        <v>9692</v>
      </c>
      <c r="F340" s="411" t="s">
        <v>2877</v>
      </c>
      <c r="G340" s="411" t="s">
        <v>6694</v>
      </c>
      <c r="H340" s="411" t="s">
        <v>2602</v>
      </c>
      <c r="I340" s="411" t="s">
        <v>11</v>
      </c>
      <c r="J340" s="411" t="s">
        <v>842</v>
      </c>
      <c r="K340" s="414">
        <v>154</v>
      </c>
      <c r="L340" s="415">
        <v>3810</v>
      </c>
      <c r="M340" s="414"/>
      <c r="N340" s="414"/>
      <c r="O340" s="414"/>
      <c r="P340" s="414"/>
      <c r="Q340" s="414"/>
    </row>
    <row r="341" spans="1:17" s="32" customFormat="1" ht="19.5" customHeight="1">
      <c r="A341" s="411">
        <v>348</v>
      </c>
      <c r="B341" s="413" t="s">
        <v>568</v>
      </c>
      <c r="C341" s="413"/>
      <c r="D341" s="413"/>
      <c r="E341" s="413" t="s">
        <v>9693</v>
      </c>
      <c r="F341" s="411" t="s">
        <v>2877</v>
      </c>
      <c r="G341" s="411" t="s">
        <v>213</v>
      </c>
      <c r="H341" s="411" t="s">
        <v>9694</v>
      </c>
      <c r="I341" s="411" t="s">
        <v>11</v>
      </c>
      <c r="J341" s="411" t="s">
        <v>842</v>
      </c>
      <c r="K341" s="414">
        <v>142</v>
      </c>
      <c r="L341" s="415">
        <v>0</v>
      </c>
      <c r="M341" s="414"/>
      <c r="N341" s="414"/>
      <c r="O341" s="414"/>
      <c r="P341" s="414"/>
      <c r="Q341" s="414"/>
    </row>
    <row r="342" spans="1:17" s="32" customFormat="1" ht="19.5" customHeight="1">
      <c r="A342" s="411">
        <v>352</v>
      </c>
      <c r="B342" s="413" t="s">
        <v>1330</v>
      </c>
      <c r="C342" s="413"/>
      <c r="D342" s="413"/>
      <c r="E342" s="413" t="s">
        <v>3574</v>
      </c>
      <c r="F342" s="411" t="s">
        <v>2883</v>
      </c>
      <c r="G342" s="411" t="s">
        <v>213</v>
      </c>
      <c r="H342" s="411" t="s">
        <v>291</v>
      </c>
      <c r="I342" s="411" t="s">
        <v>11</v>
      </c>
      <c r="J342" s="411" t="s">
        <v>9695</v>
      </c>
      <c r="K342" s="414">
        <v>89</v>
      </c>
      <c r="L342" s="415">
        <v>0</v>
      </c>
      <c r="M342" s="414"/>
      <c r="N342" s="414"/>
      <c r="O342" s="414"/>
      <c r="P342" s="414"/>
      <c r="Q342" s="414"/>
    </row>
    <row r="343" spans="1:17" s="32" customFormat="1" ht="19.5" customHeight="1">
      <c r="A343" s="411">
        <v>349</v>
      </c>
      <c r="B343" s="412" t="s">
        <v>9696</v>
      </c>
      <c r="C343" s="413"/>
      <c r="D343" s="413"/>
      <c r="E343" s="413" t="s">
        <v>3574</v>
      </c>
      <c r="F343" s="411" t="s">
        <v>2883</v>
      </c>
      <c r="G343" s="411" t="s">
        <v>6694</v>
      </c>
      <c r="H343" s="411" t="s">
        <v>291</v>
      </c>
      <c r="I343" s="411" t="s">
        <v>10</v>
      </c>
      <c r="J343" s="411" t="s">
        <v>9695</v>
      </c>
      <c r="K343" s="414">
        <v>83</v>
      </c>
      <c r="L343" s="415">
        <v>7616</v>
      </c>
      <c r="M343" s="414"/>
      <c r="N343" s="414"/>
      <c r="O343" s="414"/>
      <c r="P343" s="414"/>
      <c r="Q343" s="414"/>
    </row>
    <row r="344" spans="1:17" s="32" customFormat="1" ht="19.5" customHeight="1">
      <c r="A344" s="411">
        <v>350</v>
      </c>
      <c r="B344" s="412" t="s">
        <v>9696</v>
      </c>
      <c r="C344" s="413"/>
      <c r="D344" s="413"/>
      <c r="E344" s="413" t="s">
        <v>3574</v>
      </c>
      <c r="F344" s="411" t="s">
        <v>9697</v>
      </c>
      <c r="G344" s="411" t="s">
        <v>213</v>
      </c>
      <c r="H344" s="411" t="s">
        <v>291</v>
      </c>
      <c r="I344" s="411" t="s">
        <v>11</v>
      </c>
      <c r="J344" s="411" t="s">
        <v>9063</v>
      </c>
      <c r="K344" s="414">
        <v>131</v>
      </c>
      <c r="L344" s="415">
        <v>14</v>
      </c>
      <c r="M344" s="414"/>
      <c r="N344" s="414"/>
      <c r="O344" s="414"/>
      <c r="P344" s="414"/>
      <c r="Q344" s="414"/>
    </row>
    <row r="345" spans="1:17" s="32" customFormat="1" ht="19.5" customHeight="1">
      <c r="A345" s="411">
        <v>354</v>
      </c>
      <c r="B345" s="413" t="s">
        <v>68</v>
      </c>
      <c r="C345" s="413"/>
      <c r="D345" s="413"/>
      <c r="E345" s="413" t="s">
        <v>68</v>
      </c>
      <c r="F345" s="411" t="s">
        <v>2886</v>
      </c>
      <c r="G345" s="411" t="s">
        <v>213</v>
      </c>
      <c r="H345" s="411" t="s">
        <v>272</v>
      </c>
      <c r="I345" s="411" t="s">
        <v>10</v>
      </c>
      <c r="J345" s="411" t="s">
        <v>2394</v>
      </c>
      <c r="K345" s="414">
        <v>298</v>
      </c>
      <c r="L345" s="415">
        <v>9460</v>
      </c>
      <c r="M345" s="414"/>
      <c r="N345" s="414"/>
      <c r="O345" s="414"/>
      <c r="P345" s="414"/>
      <c r="Q345" s="414"/>
    </row>
    <row r="346" spans="1:17" s="32" customFormat="1" ht="19.5" customHeight="1">
      <c r="A346" s="411">
        <v>353</v>
      </c>
      <c r="B346" s="412" t="s">
        <v>68</v>
      </c>
      <c r="C346" s="413"/>
      <c r="D346" s="413"/>
      <c r="E346" s="413" t="s">
        <v>9698</v>
      </c>
      <c r="F346" s="411" t="s">
        <v>9699</v>
      </c>
      <c r="G346" s="411" t="s">
        <v>213</v>
      </c>
      <c r="H346" s="411" t="s">
        <v>272</v>
      </c>
      <c r="I346" s="411" t="s">
        <v>11</v>
      </c>
      <c r="J346" s="411" t="s">
        <v>2394</v>
      </c>
      <c r="K346" s="414">
        <v>700</v>
      </c>
      <c r="L346" s="415">
        <v>0</v>
      </c>
      <c r="M346" s="414"/>
      <c r="N346" s="414"/>
      <c r="O346" s="414"/>
      <c r="P346" s="414"/>
      <c r="Q346" s="414"/>
    </row>
    <row r="347" spans="1:17" s="32" customFormat="1" ht="19.5" customHeight="1">
      <c r="A347" s="411">
        <v>355</v>
      </c>
      <c r="B347" s="412" t="s">
        <v>68</v>
      </c>
      <c r="C347" s="413"/>
      <c r="D347" s="413"/>
      <c r="E347" s="413" t="s">
        <v>9700</v>
      </c>
      <c r="F347" s="411" t="s">
        <v>9701</v>
      </c>
      <c r="G347" s="411" t="s">
        <v>6694</v>
      </c>
      <c r="H347" s="411" t="s">
        <v>299</v>
      </c>
      <c r="I347" s="411" t="s">
        <v>11</v>
      </c>
      <c r="J347" s="411" t="s">
        <v>9702</v>
      </c>
      <c r="K347" s="414">
        <v>505</v>
      </c>
      <c r="L347" s="415">
        <v>0</v>
      </c>
      <c r="M347" s="414"/>
      <c r="N347" s="414"/>
      <c r="O347" s="414"/>
      <c r="P347" s="414"/>
      <c r="Q347" s="414"/>
    </row>
    <row r="348" spans="1:17" s="32" customFormat="1" ht="19.5" customHeight="1">
      <c r="A348" s="411">
        <v>357</v>
      </c>
      <c r="B348" s="412" t="s">
        <v>9703</v>
      </c>
      <c r="C348" s="413"/>
      <c r="D348" s="413"/>
      <c r="E348" s="413" t="s">
        <v>9704</v>
      </c>
      <c r="F348" s="411" t="s">
        <v>9705</v>
      </c>
      <c r="G348" s="411" t="s">
        <v>6058</v>
      </c>
      <c r="H348" s="411" t="s">
        <v>9706</v>
      </c>
      <c r="I348" s="411" t="s">
        <v>520</v>
      </c>
      <c r="J348" s="411" t="s">
        <v>8998</v>
      </c>
      <c r="K348" s="414">
        <v>21000</v>
      </c>
      <c r="L348" s="415">
        <v>19</v>
      </c>
      <c r="M348" s="414"/>
      <c r="N348" s="414"/>
      <c r="O348" s="414"/>
      <c r="P348" s="414"/>
      <c r="Q348" s="414"/>
    </row>
    <row r="349" spans="1:17" s="32" customFormat="1" ht="19.5" customHeight="1">
      <c r="A349" s="411">
        <v>358</v>
      </c>
      <c r="B349" s="412" t="s">
        <v>9703</v>
      </c>
      <c r="C349" s="413"/>
      <c r="D349" s="413"/>
      <c r="E349" s="413" t="s">
        <v>3575</v>
      </c>
      <c r="F349" s="411" t="s">
        <v>2887</v>
      </c>
      <c r="G349" s="411" t="s">
        <v>6694</v>
      </c>
      <c r="H349" s="411" t="s">
        <v>655</v>
      </c>
      <c r="I349" s="411" t="s">
        <v>11</v>
      </c>
      <c r="J349" s="411" t="s">
        <v>9707</v>
      </c>
      <c r="K349" s="414">
        <v>735</v>
      </c>
      <c r="L349" s="415">
        <v>998</v>
      </c>
      <c r="M349" s="414"/>
      <c r="N349" s="414"/>
      <c r="O349" s="414"/>
      <c r="P349" s="414"/>
      <c r="Q349" s="414"/>
    </row>
    <row r="350" spans="1:17" s="32" customFormat="1" ht="19.5" customHeight="1">
      <c r="A350" s="411">
        <v>359</v>
      </c>
      <c r="B350" s="412" t="s">
        <v>9708</v>
      </c>
      <c r="C350" s="413"/>
      <c r="D350" s="413"/>
      <c r="E350" s="413" t="s">
        <v>9709</v>
      </c>
      <c r="F350" s="411" t="s">
        <v>831</v>
      </c>
      <c r="G350" s="411" t="s">
        <v>213</v>
      </c>
      <c r="H350" s="411" t="s">
        <v>2524</v>
      </c>
      <c r="I350" s="411" t="s">
        <v>10</v>
      </c>
      <c r="J350" s="411" t="s">
        <v>1329</v>
      </c>
      <c r="K350" s="414">
        <v>1149</v>
      </c>
      <c r="L350" s="415">
        <v>0</v>
      </c>
      <c r="M350" s="414"/>
      <c r="N350" s="414"/>
      <c r="O350" s="414"/>
      <c r="P350" s="414"/>
      <c r="Q350" s="414"/>
    </row>
    <row r="351" spans="1:17" s="32" customFormat="1" ht="19.5" customHeight="1">
      <c r="A351" s="411">
        <v>360</v>
      </c>
      <c r="B351" s="413" t="s">
        <v>2215</v>
      </c>
      <c r="C351" s="413"/>
      <c r="D351" s="413"/>
      <c r="E351" s="413" t="s">
        <v>70</v>
      </c>
      <c r="F351" s="411" t="s">
        <v>2890</v>
      </c>
      <c r="G351" s="411" t="s">
        <v>213</v>
      </c>
      <c r="H351" s="411" t="s">
        <v>9710</v>
      </c>
      <c r="I351" s="411" t="s">
        <v>10</v>
      </c>
      <c r="J351" s="411" t="s">
        <v>9711</v>
      </c>
      <c r="K351" s="414">
        <v>1500</v>
      </c>
      <c r="L351" s="415">
        <v>0</v>
      </c>
      <c r="M351" s="414"/>
      <c r="N351" s="414"/>
      <c r="O351" s="414"/>
      <c r="P351" s="414"/>
      <c r="Q351" s="414"/>
    </row>
    <row r="352" spans="1:17" s="32" customFormat="1" ht="19.5" customHeight="1">
      <c r="A352" s="411">
        <v>361</v>
      </c>
      <c r="B352" s="412" t="s">
        <v>9712</v>
      </c>
      <c r="C352" s="413"/>
      <c r="D352" s="413"/>
      <c r="E352" s="413" t="s">
        <v>9713</v>
      </c>
      <c r="F352" s="411" t="s">
        <v>9714</v>
      </c>
      <c r="G352" s="411" t="s">
        <v>5273</v>
      </c>
      <c r="H352" s="411" t="s">
        <v>334</v>
      </c>
      <c r="I352" s="411" t="s">
        <v>10</v>
      </c>
      <c r="J352" s="411" t="s">
        <v>9711</v>
      </c>
      <c r="K352" s="414">
        <v>400</v>
      </c>
      <c r="L352" s="415">
        <v>70</v>
      </c>
      <c r="M352" s="414"/>
      <c r="N352" s="414"/>
      <c r="O352" s="414"/>
      <c r="P352" s="414"/>
      <c r="Q352" s="414"/>
    </row>
    <row r="353" spans="1:17" s="32" customFormat="1" ht="19.5" customHeight="1">
      <c r="A353" s="411">
        <v>362</v>
      </c>
      <c r="B353" s="412" t="s">
        <v>1212</v>
      </c>
      <c r="C353" s="413"/>
      <c r="D353" s="413"/>
      <c r="E353" s="413" t="s">
        <v>9715</v>
      </c>
      <c r="F353" s="411" t="s">
        <v>2891</v>
      </c>
      <c r="G353" s="411" t="s">
        <v>6694</v>
      </c>
      <c r="H353" s="411" t="s">
        <v>945</v>
      </c>
      <c r="I353" s="411" t="s">
        <v>12</v>
      </c>
      <c r="J353" s="411" t="s">
        <v>1106</v>
      </c>
      <c r="K353" s="414">
        <v>817</v>
      </c>
      <c r="L353" s="415">
        <v>4747</v>
      </c>
      <c r="M353" s="414"/>
      <c r="N353" s="414"/>
      <c r="O353" s="414"/>
      <c r="P353" s="414"/>
      <c r="Q353" s="414"/>
    </row>
    <row r="354" spans="1:17" s="32" customFormat="1" ht="19.5" customHeight="1">
      <c r="A354" s="411">
        <v>364</v>
      </c>
      <c r="B354" s="413" t="s">
        <v>9716</v>
      </c>
      <c r="C354" s="413"/>
      <c r="D354" s="413"/>
      <c r="E354" s="413" t="s">
        <v>3576</v>
      </c>
      <c r="F354" s="411" t="s">
        <v>1150</v>
      </c>
      <c r="G354" s="411" t="s">
        <v>213</v>
      </c>
      <c r="H354" s="411" t="s">
        <v>1149</v>
      </c>
      <c r="I354" s="411" t="s">
        <v>520</v>
      </c>
      <c r="J354" s="411" t="s">
        <v>3049</v>
      </c>
      <c r="K354" s="414">
        <v>3675</v>
      </c>
      <c r="L354" s="415">
        <v>0</v>
      </c>
      <c r="M354" s="414"/>
      <c r="N354" s="414"/>
      <c r="O354" s="414"/>
      <c r="P354" s="414"/>
      <c r="Q354" s="414"/>
    </row>
    <row r="355" spans="1:17" s="32" customFormat="1" ht="19.5" customHeight="1">
      <c r="A355" s="411">
        <v>365</v>
      </c>
      <c r="B355" s="412" t="s">
        <v>368</v>
      </c>
      <c r="C355" s="413"/>
      <c r="D355" s="413"/>
      <c r="E355" s="413" t="s">
        <v>9717</v>
      </c>
      <c r="F355" s="411" t="s">
        <v>9718</v>
      </c>
      <c r="G355" s="411" t="s">
        <v>213</v>
      </c>
      <c r="H355" s="411" t="s">
        <v>369</v>
      </c>
      <c r="I355" s="411" t="s">
        <v>11</v>
      </c>
      <c r="J355" s="411" t="s">
        <v>9063</v>
      </c>
      <c r="K355" s="414">
        <v>48</v>
      </c>
      <c r="L355" s="415">
        <v>0</v>
      </c>
      <c r="M355" s="414"/>
      <c r="N355" s="414"/>
      <c r="O355" s="414"/>
      <c r="P355" s="414"/>
      <c r="Q355" s="414"/>
    </row>
    <row r="356" spans="1:17" s="32" customFormat="1" ht="19.5" customHeight="1">
      <c r="A356" s="411">
        <v>366</v>
      </c>
      <c r="B356" s="412" t="s">
        <v>3007</v>
      </c>
      <c r="C356" s="413"/>
      <c r="D356" s="413"/>
      <c r="E356" s="413" t="s">
        <v>9719</v>
      </c>
      <c r="F356" s="411" t="s">
        <v>2897</v>
      </c>
      <c r="G356" s="411" t="s">
        <v>6694</v>
      </c>
      <c r="H356" s="411" t="s">
        <v>267</v>
      </c>
      <c r="I356" s="411" t="s">
        <v>10</v>
      </c>
      <c r="J356" s="411" t="s">
        <v>547</v>
      </c>
      <c r="K356" s="414">
        <v>105</v>
      </c>
      <c r="L356" s="415">
        <v>1573</v>
      </c>
      <c r="M356" s="414"/>
      <c r="N356" s="414"/>
      <c r="O356" s="414"/>
      <c r="P356" s="414"/>
      <c r="Q356" s="414"/>
    </row>
    <row r="357" spans="1:17" s="32" customFormat="1" ht="19.5" customHeight="1">
      <c r="A357" s="411">
        <v>368</v>
      </c>
      <c r="B357" s="412" t="s">
        <v>9720</v>
      </c>
      <c r="C357" s="413"/>
      <c r="D357" s="413"/>
      <c r="E357" s="413" t="s">
        <v>9721</v>
      </c>
      <c r="F357" s="411" t="s">
        <v>9722</v>
      </c>
      <c r="G357" s="411" t="s">
        <v>5105</v>
      </c>
      <c r="H357" s="411" t="s">
        <v>9723</v>
      </c>
      <c r="I357" s="411" t="s">
        <v>658</v>
      </c>
      <c r="J357" s="411" t="s">
        <v>9724</v>
      </c>
      <c r="K357" s="414">
        <v>110000</v>
      </c>
      <c r="L357" s="415">
        <v>2</v>
      </c>
      <c r="M357" s="414"/>
      <c r="N357" s="414"/>
      <c r="O357" s="414"/>
      <c r="P357" s="414"/>
      <c r="Q357" s="414"/>
    </row>
    <row r="358" spans="1:17" s="32" customFormat="1" ht="19.5" customHeight="1">
      <c r="A358" s="411">
        <v>369</v>
      </c>
      <c r="B358" s="412" t="s">
        <v>9720</v>
      </c>
      <c r="C358" s="413"/>
      <c r="D358" s="413"/>
      <c r="E358" s="413" t="s">
        <v>9725</v>
      </c>
      <c r="F358" s="411" t="s">
        <v>9726</v>
      </c>
      <c r="G358" s="411" t="s">
        <v>5105</v>
      </c>
      <c r="H358" s="411" t="s">
        <v>9723</v>
      </c>
      <c r="I358" s="411" t="s">
        <v>658</v>
      </c>
      <c r="J358" s="411" t="s">
        <v>3104</v>
      </c>
      <c r="K358" s="414">
        <v>84000</v>
      </c>
      <c r="L358" s="415">
        <v>0</v>
      </c>
      <c r="M358" s="414"/>
      <c r="N358" s="414"/>
      <c r="O358" s="414"/>
      <c r="P358" s="414"/>
      <c r="Q358" s="414"/>
    </row>
    <row r="359" spans="1:17" s="32" customFormat="1" ht="19.5" customHeight="1">
      <c r="A359" s="411">
        <v>370</v>
      </c>
      <c r="B359" s="413" t="s">
        <v>9727</v>
      </c>
      <c r="C359" s="413"/>
      <c r="D359" s="413"/>
      <c r="E359" s="413" t="s">
        <v>2283</v>
      </c>
      <c r="F359" s="411" t="s">
        <v>2285</v>
      </c>
      <c r="G359" s="411" t="s">
        <v>213</v>
      </c>
      <c r="H359" s="411" t="s">
        <v>9728</v>
      </c>
      <c r="I359" s="411" t="s">
        <v>11</v>
      </c>
      <c r="J359" s="411" t="s">
        <v>538</v>
      </c>
      <c r="K359" s="414">
        <v>900</v>
      </c>
      <c r="L359" s="415">
        <v>24360</v>
      </c>
      <c r="M359" s="414"/>
      <c r="N359" s="414"/>
      <c r="O359" s="414"/>
      <c r="P359" s="414"/>
      <c r="Q359" s="414"/>
    </row>
    <row r="360" spans="1:17" s="32" customFormat="1" ht="19.5" customHeight="1">
      <c r="A360" s="411">
        <v>371</v>
      </c>
      <c r="B360" s="412" t="s">
        <v>9729</v>
      </c>
      <c r="C360" s="413"/>
      <c r="D360" s="413"/>
      <c r="E360" s="413" t="s">
        <v>9730</v>
      </c>
      <c r="F360" s="411" t="s">
        <v>2345</v>
      </c>
      <c r="G360" s="411" t="s">
        <v>213</v>
      </c>
      <c r="H360" s="436" t="s">
        <v>9728</v>
      </c>
      <c r="I360" s="411" t="s">
        <v>13</v>
      </c>
      <c r="J360" s="411" t="s">
        <v>9731</v>
      </c>
      <c r="K360" s="414">
        <v>4000</v>
      </c>
      <c r="L360" s="415">
        <v>0</v>
      </c>
      <c r="M360" s="414"/>
      <c r="N360" s="414"/>
      <c r="O360" s="414"/>
      <c r="P360" s="414"/>
      <c r="Q360" s="414"/>
    </row>
    <row r="361" spans="1:17" s="32" customFormat="1" ht="19.5" customHeight="1">
      <c r="A361" s="411">
        <v>372</v>
      </c>
      <c r="B361" s="412" t="s">
        <v>9729</v>
      </c>
      <c r="C361" s="413"/>
      <c r="D361" s="413"/>
      <c r="E361" s="413" t="s">
        <v>9732</v>
      </c>
      <c r="F361" s="411" t="s">
        <v>2345</v>
      </c>
      <c r="G361" s="411" t="s">
        <v>213</v>
      </c>
      <c r="H361" s="436" t="s">
        <v>9728</v>
      </c>
      <c r="I361" s="411" t="s">
        <v>11</v>
      </c>
      <c r="J361" s="411" t="s">
        <v>538</v>
      </c>
      <c r="K361" s="414">
        <v>1200</v>
      </c>
      <c r="L361" s="415">
        <v>0</v>
      </c>
      <c r="M361" s="414"/>
      <c r="N361" s="414"/>
      <c r="O361" s="414"/>
      <c r="P361" s="414"/>
      <c r="Q361" s="414"/>
    </row>
    <row r="362" spans="1:17" s="32" customFormat="1" ht="19.5" customHeight="1">
      <c r="A362" s="411">
        <v>373</v>
      </c>
      <c r="B362" s="412" t="s">
        <v>9282</v>
      </c>
      <c r="C362" s="413"/>
      <c r="D362" s="413"/>
      <c r="E362" s="413" t="s">
        <v>3577</v>
      </c>
      <c r="F362" s="411" t="s">
        <v>2906</v>
      </c>
      <c r="G362" s="411" t="s">
        <v>6694</v>
      </c>
      <c r="H362" s="411" t="s">
        <v>1580</v>
      </c>
      <c r="I362" s="411" t="s">
        <v>11</v>
      </c>
      <c r="J362" s="411" t="s">
        <v>9733</v>
      </c>
      <c r="K362" s="414">
        <v>3150</v>
      </c>
      <c r="L362" s="415">
        <v>44</v>
      </c>
      <c r="M362" s="414"/>
      <c r="N362" s="414"/>
      <c r="O362" s="414"/>
      <c r="P362" s="414"/>
      <c r="Q362" s="414"/>
    </row>
    <row r="363" spans="1:17" s="32" customFormat="1" ht="19.5" customHeight="1">
      <c r="A363" s="411">
        <v>374</v>
      </c>
      <c r="B363" s="412" t="s">
        <v>9734</v>
      </c>
      <c r="C363" s="413"/>
      <c r="D363" s="413"/>
      <c r="E363" s="413" t="s">
        <v>9735</v>
      </c>
      <c r="F363" s="411" t="s">
        <v>9736</v>
      </c>
      <c r="G363" s="411" t="s">
        <v>5156</v>
      </c>
      <c r="H363" s="411" t="s">
        <v>799</v>
      </c>
      <c r="I363" s="411" t="s">
        <v>520</v>
      </c>
      <c r="J363" s="411" t="s">
        <v>2654</v>
      </c>
      <c r="K363" s="414">
        <v>17000</v>
      </c>
      <c r="L363" s="415">
        <v>0</v>
      </c>
      <c r="M363" s="414"/>
      <c r="N363" s="414"/>
      <c r="O363" s="414"/>
      <c r="P363" s="414"/>
      <c r="Q363" s="414"/>
    </row>
    <row r="364" spans="1:17" s="32" customFormat="1" ht="19.5" customHeight="1">
      <c r="A364" s="411">
        <v>375</v>
      </c>
      <c r="B364" s="412" t="s">
        <v>9737</v>
      </c>
      <c r="C364" s="413"/>
      <c r="D364" s="413"/>
      <c r="E364" s="413" t="s">
        <v>1039</v>
      </c>
      <c r="F364" s="411" t="s">
        <v>2911</v>
      </c>
      <c r="G364" s="411" t="s">
        <v>6694</v>
      </c>
      <c r="H364" s="411" t="s">
        <v>2912</v>
      </c>
      <c r="I364" s="411" t="s">
        <v>11</v>
      </c>
      <c r="J364" s="411" t="s">
        <v>9738</v>
      </c>
      <c r="K364" s="414">
        <v>920</v>
      </c>
      <c r="L364" s="415">
        <v>2850</v>
      </c>
      <c r="M364" s="414"/>
      <c r="N364" s="414"/>
      <c r="O364" s="414"/>
      <c r="P364" s="414"/>
      <c r="Q364" s="414"/>
    </row>
    <row r="365" spans="1:17" s="32" customFormat="1" ht="19.5" customHeight="1">
      <c r="A365" s="411">
        <v>377</v>
      </c>
      <c r="B365" s="412" t="s">
        <v>9737</v>
      </c>
      <c r="C365" s="413"/>
      <c r="D365" s="413"/>
      <c r="E365" s="413" t="s">
        <v>9739</v>
      </c>
      <c r="F365" s="411" t="s">
        <v>2911</v>
      </c>
      <c r="G365" s="411" t="s">
        <v>213</v>
      </c>
      <c r="H365" s="411" t="s">
        <v>9740</v>
      </c>
      <c r="I365" s="411" t="s">
        <v>10</v>
      </c>
      <c r="J365" s="411" t="s">
        <v>3238</v>
      </c>
      <c r="K365" s="414">
        <v>924</v>
      </c>
      <c r="L365" s="415">
        <v>40</v>
      </c>
      <c r="M365" s="414"/>
      <c r="N365" s="414"/>
      <c r="O365" s="414"/>
      <c r="P365" s="414"/>
      <c r="Q365" s="414"/>
    </row>
    <row r="366" spans="1:17" s="32" customFormat="1" ht="19.5" customHeight="1">
      <c r="A366" s="411">
        <v>382</v>
      </c>
      <c r="B366" s="413" t="s">
        <v>1333</v>
      </c>
      <c r="C366" s="413"/>
      <c r="D366" s="413"/>
      <c r="E366" s="413" t="s">
        <v>3579</v>
      </c>
      <c r="F366" s="411" t="s">
        <v>9741</v>
      </c>
      <c r="G366" s="411" t="s">
        <v>213</v>
      </c>
      <c r="H366" s="411" t="s">
        <v>238</v>
      </c>
      <c r="I366" s="411" t="s">
        <v>11</v>
      </c>
      <c r="J366" s="417" t="s">
        <v>2917</v>
      </c>
      <c r="K366" s="414">
        <v>64</v>
      </c>
      <c r="L366" s="415">
        <v>0</v>
      </c>
      <c r="M366" s="414"/>
      <c r="N366" s="414"/>
      <c r="O366" s="414"/>
      <c r="P366" s="414"/>
      <c r="Q366" s="414"/>
    </row>
    <row r="367" spans="1:17" s="32" customFormat="1" ht="19.5" customHeight="1">
      <c r="A367" s="411">
        <v>378</v>
      </c>
      <c r="B367" s="412" t="s">
        <v>1333</v>
      </c>
      <c r="C367" s="413"/>
      <c r="D367" s="413"/>
      <c r="E367" s="413" t="s">
        <v>3579</v>
      </c>
      <c r="F367" s="411" t="s">
        <v>9742</v>
      </c>
      <c r="G367" s="411" t="s">
        <v>6694</v>
      </c>
      <c r="H367" s="411" t="s">
        <v>238</v>
      </c>
      <c r="I367" s="411" t="s">
        <v>10</v>
      </c>
      <c r="J367" s="411" t="s">
        <v>2917</v>
      </c>
      <c r="K367" s="414">
        <v>71</v>
      </c>
      <c r="L367" s="415">
        <v>0</v>
      </c>
      <c r="M367" s="414"/>
      <c r="N367" s="414"/>
      <c r="O367" s="414"/>
      <c r="P367" s="414"/>
      <c r="Q367" s="414"/>
    </row>
    <row r="368" spans="1:17" s="32" customFormat="1" ht="19.5" customHeight="1">
      <c r="A368" s="411">
        <v>379</v>
      </c>
      <c r="B368" s="412" t="s">
        <v>1333</v>
      </c>
      <c r="C368" s="413"/>
      <c r="D368" s="413"/>
      <c r="E368" s="413" t="s">
        <v>3579</v>
      </c>
      <c r="F368" s="411" t="s">
        <v>9741</v>
      </c>
      <c r="G368" s="411" t="s">
        <v>213</v>
      </c>
      <c r="H368" s="411" t="s">
        <v>238</v>
      </c>
      <c r="I368" s="411" t="s">
        <v>11</v>
      </c>
      <c r="J368" s="411" t="s">
        <v>842</v>
      </c>
      <c r="K368" s="414">
        <v>99</v>
      </c>
      <c r="L368" s="415">
        <v>69</v>
      </c>
      <c r="M368" s="414"/>
      <c r="N368" s="414"/>
      <c r="O368" s="414"/>
      <c r="P368" s="414"/>
      <c r="Q368" s="414"/>
    </row>
    <row r="369" spans="1:17" s="32" customFormat="1" ht="19.5" customHeight="1">
      <c r="A369" s="411">
        <v>380</v>
      </c>
      <c r="B369" s="412" t="s">
        <v>1333</v>
      </c>
      <c r="C369" s="413"/>
      <c r="D369" s="413"/>
      <c r="E369" s="413" t="s">
        <v>3579</v>
      </c>
      <c r="F369" s="411" t="s">
        <v>9743</v>
      </c>
      <c r="G369" s="411" t="s">
        <v>213</v>
      </c>
      <c r="H369" s="411" t="s">
        <v>238</v>
      </c>
      <c r="I369" s="411" t="s">
        <v>11</v>
      </c>
      <c r="J369" s="411" t="s">
        <v>9063</v>
      </c>
      <c r="K369" s="414">
        <v>108</v>
      </c>
      <c r="L369" s="415">
        <v>0</v>
      </c>
      <c r="M369" s="414"/>
      <c r="N369" s="414"/>
      <c r="O369" s="414"/>
      <c r="P369" s="414"/>
      <c r="Q369" s="414"/>
    </row>
    <row r="370" spans="1:17" s="32" customFormat="1" ht="19.5" customHeight="1">
      <c r="A370" s="411">
        <v>383</v>
      </c>
      <c r="B370" s="412" t="s">
        <v>1333</v>
      </c>
      <c r="C370" s="413"/>
      <c r="D370" s="413"/>
      <c r="E370" s="413" t="s">
        <v>9744</v>
      </c>
      <c r="F370" s="411" t="s">
        <v>9745</v>
      </c>
      <c r="G370" s="411" t="s">
        <v>5273</v>
      </c>
      <c r="H370" s="411" t="s">
        <v>238</v>
      </c>
      <c r="I370" s="411" t="s">
        <v>11</v>
      </c>
      <c r="J370" s="411" t="s">
        <v>642</v>
      </c>
      <c r="K370" s="414">
        <v>799</v>
      </c>
      <c r="L370" s="415">
        <v>0</v>
      </c>
      <c r="M370" s="414"/>
      <c r="N370" s="414"/>
      <c r="O370" s="414"/>
      <c r="P370" s="414"/>
      <c r="Q370" s="414"/>
    </row>
    <row r="371" spans="1:17" s="32" customFormat="1" ht="19.5" customHeight="1">
      <c r="A371" s="411">
        <v>384</v>
      </c>
      <c r="B371" s="412" t="s">
        <v>9746</v>
      </c>
      <c r="C371" s="413"/>
      <c r="D371" s="413"/>
      <c r="E371" s="413" t="s">
        <v>9747</v>
      </c>
      <c r="F371" s="411" t="s">
        <v>9748</v>
      </c>
      <c r="G371" s="411" t="s">
        <v>213</v>
      </c>
      <c r="H371" s="411" t="s">
        <v>869</v>
      </c>
      <c r="I371" s="411" t="s">
        <v>10</v>
      </c>
      <c r="J371" s="411" t="s">
        <v>1134</v>
      </c>
      <c r="K371" s="414">
        <v>1764</v>
      </c>
      <c r="L371" s="415">
        <v>0</v>
      </c>
      <c r="M371" s="414"/>
      <c r="N371" s="414"/>
      <c r="O371" s="414"/>
      <c r="P371" s="414"/>
      <c r="Q371" s="414"/>
    </row>
    <row r="372" spans="1:17" s="32" customFormat="1" ht="19.5" customHeight="1">
      <c r="A372" s="411">
        <v>385</v>
      </c>
      <c r="B372" s="412" t="s">
        <v>9749</v>
      </c>
      <c r="C372" s="413"/>
      <c r="D372" s="413"/>
      <c r="E372" s="413" t="s">
        <v>9750</v>
      </c>
      <c r="F372" s="411" t="s">
        <v>9751</v>
      </c>
      <c r="G372" s="411" t="s">
        <v>213</v>
      </c>
      <c r="H372" s="411" t="s">
        <v>225</v>
      </c>
      <c r="I372" s="411" t="s">
        <v>9752</v>
      </c>
      <c r="J372" s="411" t="s">
        <v>9753</v>
      </c>
      <c r="K372" s="414">
        <v>882</v>
      </c>
      <c r="L372" s="415">
        <v>0</v>
      </c>
      <c r="M372" s="414"/>
      <c r="N372" s="414"/>
      <c r="O372" s="414"/>
      <c r="P372" s="414"/>
      <c r="Q372" s="414"/>
    </row>
    <row r="373" spans="1:17" s="32" customFormat="1" ht="19.5" customHeight="1">
      <c r="A373" s="411">
        <v>387</v>
      </c>
      <c r="B373" s="420" t="s">
        <v>9754</v>
      </c>
      <c r="C373" s="421"/>
      <c r="D373" s="421"/>
      <c r="E373" s="412" t="s">
        <v>9755</v>
      </c>
      <c r="F373" s="417" t="s">
        <v>6164</v>
      </c>
      <c r="G373" s="417" t="s">
        <v>6058</v>
      </c>
      <c r="H373" s="417" t="s">
        <v>2606</v>
      </c>
      <c r="I373" s="417" t="s">
        <v>520</v>
      </c>
      <c r="J373" s="417" t="s">
        <v>2874</v>
      </c>
      <c r="K373" s="418">
        <v>21000</v>
      </c>
      <c r="L373" s="419">
        <v>11</v>
      </c>
      <c r="M373" s="418"/>
      <c r="N373" s="414"/>
      <c r="O373" s="414"/>
      <c r="P373" s="418"/>
      <c r="Q373" s="418"/>
    </row>
    <row r="374" spans="1:17" s="32" customFormat="1" ht="19.5" customHeight="1">
      <c r="A374" s="411">
        <v>386</v>
      </c>
      <c r="B374" s="412" t="s">
        <v>9754</v>
      </c>
      <c r="C374" s="413"/>
      <c r="D374" s="413"/>
      <c r="E374" s="413" t="s">
        <v>9755</v>
      </c>
      <c r="F374" s="411" t="s">
        <v>6164</v>
      </c>
      <c r="G374" s="411" t="s">
        <v>6058</v>
      </c>
      <c r="H374" s="411" t="s">
        <v>2606</v>
      </c>
      <c r="I374" s="411" t="s">
        <v>520</v>
      </c>
      <c r="J374" s="411" t="s">
        <v>2874</v>
      </c>
      <c r="K374" s="414">
        <v>23100</v>
      </c>
      <c r="L374" s="415">
        <v>7</v>
      </c>
      <c r="M374" s="414"/>
      <c r="N374" s="414"/>
      <c r="O374" s="414"/>
      <c r="P374" s="414"/>
      <c r="Q374" s="414"/>
    </row>
    <row r="375" spans="1:17" s="32" customFormat="1" ht="19.5" customHeight="1">
      <c r="A375" s="411">
        <v>388</v>
      </c>
      <c r="B375" s="412" t="s">
        <v>3486</v>
      </c>
      <c r="C375" s="413"/>
      <c r="D375" s="413"/>
      <c r="E375" s="413" t="s">
        <v>9756</v>
      </c>
      <c r="F375" s="411" t="s">
        <v>9757</v>
      </c>
      <c r="G375" s="411" t="s">
        <v>213</v>
      </c>
      <c r="H375" s="411" t="s">
        <v>299</v>
      </c>
      <c r="I375" s="411" t="s">
        <v>11</v>
      </c>
      <c r="J375" s="411" t="s">
        <v>9063</v>
      </c>
      <c r="K375" s="414">
        <v>1100</v>
      </c>
      <c r="L375" s="415">
        <v>0</v>
      </c>
      <c r="M375" s="414"/>
      <c r="N375" s="414"/>
      <c r="O375" s="414"/>
      <c r="P375" s="414"/>
      <c r="Q375" s="414"/>
    </row>
    <row r="376" spans="1:17" s="32" customFormat="1" ht="19.5" customHeight="1">
      <c r="A376" s="411">
        <v>389</v>
      </c>
      <c r="B376" s="413" t="s">
        <v>289</v>
      </c>
      <c r="C376" s="413"/>
      <c r="D376" s="413"/>
      <c r="E376" s="413" t="s">
        <v>9758</v>
      </c>
      <c r="F376" s="411" t="s">
        <v>9759</v>
      </c>
      <c r="G376" s="411" t="s">
        <v>213</v>
      </c>
      <c r="H376" s="411" t="s">
        <v>258</v>
      </c>
      <c r="I376" s="411" t="s">
        <v>11</v>
      </c>
      <c r="J376" s="411" t="s">
        <v>9760</v>
      </c>
      <c r="K376" s="414">
        <v>1700</v>
      </c>
      <c r="L376" s="415">
        <v>20955</v>
      </c>
      <c r="M376" s="414"/>
      <c r="N376" s="414"/>
      <c r="O376" s="414"/>
      <c r="P376" s="414"/>
      <c r="Q376" s="414"/>
    </row>
    <row r="377" spans="1:17" s="32" customFormat="1" ht="19.5" customHeight="1">
      <c r="A377" s="411">
        <v>391</v>
      </c>
      <c r="B377" s="413" t="s">
        <v>289</v>
      </c>
      <c r="C377" s="413"/>
      <c r="D377" s="413"/>
      <c r="E377" s="413" t="s">
        <v>9761</v>
      </c>
      <c r="F377" s="411" t="s">
        <v>9762</v>
      </c>
      <c r="G377" s="411" t="s">
        <v>213</v>
      </c>
      <c r="H377" s="411" t="s">
        <v>291</v>
      </c>
      <c r="I377" s="411" t="s">
        <v>11</v>
      </c>
      <c r="J377" s="411" t="s">
        <v>9760</v>
      </c>
      <c r="K377" s="414">
        <v>860</v>
      </c>
      <c r="L377" s="415">
        <v>11942</v>
      </c>
      <c r="M377" s="414"/>
      <c r="N377" s="414"/>
      <c r="O377" s="414"/>
      <c r="P377" s="414"/>
      <c r="Q377" s="414"/>
    </row>
    <row r="378" spans="1:17" s="32" customFormat="1" ht="19.5" customHeight="1">
      <c r="A378" s="411">
        <v>390</v>
      </c>
      <c r="B378" s="412" t="s">
        <v>9763</v>
      </c>
      <c r="C378" s="413"/>
      <c r="D378" s="413"/>
      <c r="E378" s="413" t="s">
        <v>9761</v>
      </c>
      <c r="F378" s="411" t="s">
        <v>9764</v>
      </c>
      <c r="G378" s="411" t="s">
        <v>213</v>
      </c>
      <c r="H378" s="411" t="s">
        <v>291</v>
      </c>
      <c r="I378" s="411" t="s">
        <v>11</v>
      </c>
      <c r="J378" s="411" t="s">
        <v>9063</v>
      </c>
      <c r="K378" s="414">
        <v>1239</v>
      </c>
      <c r="L378" s="415">
        <v>60</v>
      </c>
      <c r="M378" s="414"/>
      <c r="N378" s="414"/>
      <c r="O378" s="414"/>
      <c r="P378" s="414"/>
      <c r="Q378" s="414"/>
    </row>
    <row r="379" spans="1:17" s="32" customFormat="1" ht="19.5" customHeight="1">
      <c r="A379" s="411">
        <v>392</v>
      </c>
      <c r="B379" s="412" t="s">
        <v>9765</v>
      </c>
      <c r="C379" s="413"/>
      <c r="D379" s="413"/>
      <c r="E379" s="413" t="s">
        <v>9766</v>
      </c>
      <c r="F379" s="411" t="s">
        <v>9767</v>
      </c>
      <c r="G379" s="411" t="s">
        <v>213</v>
      </c>
      <c r="H379" s="411" t="s">
        <v>310</v>
      </c>
      <c r="I379" s="411" t="s">
        <v>11</v>
      </c>
      <c r="J379" s="411" t="s">
        <v>9063</v>
      </c>
      <c r="K379" s="414">
        <v>777</v>
      </c>
      <c r="L379" s="415">
        <v>0</v>
      </c>
      <c r="M379" s="414"/>
      <c r="N379" s="414"/>
      <c r="O379" s="414"/>
      <c r="P379" s="414"/>
      <c r="Q379" s="414"/>
    </row>
    <row r="380" spans="1:17" s="32" customFormat="1" ht="19.5" customHeight="1">
      <c r="A380" s="411">
        <v>393</v>
      </c>
      <c r="B380" s="413" t="s">
        <v>1390</v>
      </c>
      <c r="C380" s="413"/>
      <c r="D380" s="413"/>
      <c r="E380" s="413" t="s">
        <v>9768</v>
      </c>
      <c r="F380" s="411" t="s">
        <v>2915</v>
      </c>
      <c r="G380" s="411" t="s">
        <v>213</v>
      </c>
      <c r="H380" s="411" t="s">
        <v>2916</v>
      </c>
      <c r="I380" s="411" t="s">
        <v>11</v>
      </c>
      <c r="J380" s="411" t="s">
        <v>9063</v>
      </c>
      <c r="K380" s="414">
        <v>1890</v>
      </c>
      <c r="L380" s="415">
        <v>3961</v>
      </c>
      <c r="M380" s="414"/>
      <c r="N380" s="414"/>
      <c r="O380" s="414"/>
      <c r="P380" s="414"/>
      <c r="Q380" s="414"/>
    </row>
    <row r="381" spans="1:17" s="32" customFormat="1" ht="19.5" customHeight="1">
      <c r="A381" s="411">
        <v>394</v>
      </c>
      <c r="B381" s="412" t="s">
        <v>3339</v>
      </c>
      <c r="C381" s="413"/>
      <c r="D381" s="413"/>
      <c r="E381" s="413" t="s">
        <v>9769</v>
      </c>
      <c r="F381" s="411" t="s">
        <v>9770</v>
      </c>
      <c r="G381" s="411" t="s">
        <v>213</v>
      </c>
      <c r="H381" s="411" t="s">
        <v>9771</v>
      </c>
      <c r="I381" s="411" t="s">
        <v>13</v>
      </c>
      <c r="J381" s="411" t="s">
        <v>2919</v>
      </c>
      <c r="K381" s="414">
        <v>1197</v>
      </c>
      <c r="L381" s="415">
        <v>0</v>
      </c>
      <c r="M381" s="414"/>
      <c r="N381" s="414"/>
      <c r="O381" s="414"/>
      <c r="P381" s="414"/>
      <c r="Q381" s="414"/>
    </row>
    <row r="382" spans="1:17" s="32" customFormat="1" ht="19.5" customHeight="1">
      <c r="A382" s="411">
        <v>395</v>
      </c>
      <c r="B382" s="412" t="s">
        <v>3339</v>
      </c>
      <c r="C382" s="413"/>
      <c r="D382" s="413"/>
      <c r="E382" s="413" t="s">
        <v>9772</v>
      </c>
      <c r="F382" s="411" t="s">
        <v>9773</v>
      </c>
      <c r="G382" s="411" t="s">
        <v>213</v>
      </c>
      <c r="H382" s="411" t="s">
        <v>1229</v>
      </c>
      <c r="I382" s="411" t="s">
        <v>10</v>
      </c>
      <c r="J382" s="411" t="s">
        <v>1134</v>
      </c>
      <c r="K382" s="414">
        <v>1500</v>
      </c>
      <c r="L382" s="415">
        <v>33</v>
      </c>
      <c r="M382" s="414"/>
      <c r="N382" s="414"/>
      <c r="O382" s="414"/>
      <c r="P382" s="414"/>
      <c r="Q382" s="414"/>
    </row>
    <row r="383" spans="1:17" s="32" customFormat="1" ht="19.5" customHeight="1">
      <c r="A383" s="411">
        <v>396</v>
      </c>
      <c r="B383" s="413" t="s">
        <v>1029</v>
      </c>
      <c r="C383" s="413"/>
      <c r="D383" s="413"/>
      <c r="E383" s="413" t="s">
        <v>2478</v>
      </c>
      <c r="F383" s="411" t="s">
        <v>2918</v>
      </c>
      <c r="G383" s="411" t="s">
        <v>213</v>
      </c>
      <c r="H383" s="411" t="s">
        <v>1229</v>
      </c>
      <c r="I383" s="411" t="s">
        <v>13</v>
      </c>
      <c r="J383" s="411" t="s">
        <v>1134</v>
      </c>
      <c r="K383" s="414">
        <v>1138</v>
      </c>
      <c r="L383" s="415">
        <v>0</v>
      </c>
      <c r="M383" s="414"/>
      <c r="N383" s="414"/>
      <c r="O383" s="414"/>
      <c r="P383" s="414"/>
      <c r="Q383" s="414"/>
    </row>
    <row r="384" spans="1:17" s="32" customFormat="1" ht="19.5" customHeight="1">
      <c r="A384" s="411">
        <v>397</v>
      </c>
      <c r="B384" s="412" t="s">
        <v>557</v>
      </c>
      <c r="C384" s="413"/>
      <c r="D384" s="413"/>
      <c r="E384" s="413" t="s">
        <v>9774</v>
      </c>
      <c r="F384" s="411" t="s">
        <v>9775</v>
      </c>
      <c r="G384" s="411" t="s">
        <v>213</v>
      </c>
      <c r="H384" s="411" t="s">
        <v>272</v>
      </c>
      <c r="I384" s="411" t="s">
        <v>10</v>
      </c>
      <c r="J384" s="411" t="s">
        <v>3238</v>
      </c>
      <c r="K384" s="414">
        <v>147</v>
      </c>
      <c r="L384" s="415">
        <v>0</v>
      </c>
      <c r="M384" s="414"/>
      <c r="N384" s="414"/>
      <c r="O384" s="414"/>
      <c r="P384" s="414"/>
      <c r="Q384" s="414"/>
    </row>
    <row r="385" spans="1:17" s="32" customFormat="1" ht="19.5" customHeight="1">
      <c r="A385" s="411">
        <v>398</v>
      </c>
      <c r="B385" s="412" t="s">
        <v>3767</v>
      </c>
      <c r="C385" s="413"/>
      <c r="D385" s="413"/>
      <c r="E385" s="413" t="s">
        <v>9776</v>
      </c>
      <c r="F385" s="411" t="s">
        <v>9777</v>
      </c>
      <c r="G385" s="411" t="s">
        <v>213</v>
      </c>
      <c r="H385" s="411" t="s">
        <v>267</v>
      </c>
      <c r="I385" s="411" t="s">
        <v>10</v>
      </c>
      <c r="J385" s="411" t="s">
        <v>547</v>
      </c>
      <c r="K385" s="414">
        <v>126</v>
      </c>
      <c r="L385" s="415">
        <v>0</v>
      </c>
      <c r="M385" s="414"/>
      <c r="N385" s="414"/>
      <c r="O385" s="414"/>
      <c r="P385" s="414"/>
      <c r="Q385" s="414"/>
    </row>
    <row r="386" spans="1:17" s="32" customFormat="1" ht="19.5" customHeight="1">
      <c r="A386" s="411">
        <v>399</v>
      </c>
      <c r="B386" s="413" t="s">
        <v>374</v>
      </c>
      <c r="C386" s="413"/>
      <c r="D386" s="413"/>
      <c r="E386" s="413" t="s">
        <v>2479</v>
      </c>
      <c r="F386" s="411" t="s">
        <v>2920</v>
      </c>
      <c r="G386" s="411" t="s">
        <v>213</v>
      </c>
      <c r="H386" s="411" t="s">
        <v>258</v>
      </c>
      <c r="I386" s="411" t="s">
        <v>11</v>
      </c>
      <c r="J386" s="411" t="s">
        <v>2204</v>
      </c>
      <c r="K386" s="414">
        <v>266</v>
      </c>
      <c r="L386" s="415">
        <v>0</v>
      </c>
      <c r="M386" s="414"/>
      <c r="N386" s="414"/>
      <c r="O386" s="414"/>
      <c r="P386" s="414"/>
      <c r="Q386" s="414"/>
    </row>
    <row r="387" spans="1:17" s="32" customFormat="1" ht="19.5" customHeight="1">
      <c r="A387" s="411">
        <v>401</v>
      </c>
      <c r="B387" s="412" t="s">
        <v>9778</v>
      </c>
      <c r="C387" s="413"/>
      <c r="D387" s="413"/>
      <c r="E387" s="413" t="s">
        <v>3580</v>
      </c>
      <c r="F387" s="411" t="s">
        <v>9779</v>
      </c>
      <c r="G387" s="411" t="s">
        <v>213</v>
      </c>
      <c r="H387" s="411" t="s">
        <v>258</v>
      </c>
      <c r="I387" s="411" t="s">
        <v>10</v>
      </c>
      <c r="J387" s="411" t="s">
        <v>553</v>
      </c>
      <c r="K387" s="414">
        <v>315</v>
      </c>
      <c r="L387" s="415">
        <v>0</v>
      </c>
      <c r="M387" s="414"/>
      <c r="N387" s="414"/>
      <c r="O387" s="414"/>
      <c r="P387" s="414"/>
      <c r="Q387" s="414"/>
    </row>
    <row r="388" spans="1:17" s="32" customFormat="1" ht="19.5" customHeight="1">
      <c r="A388" s="411">
        <v>400</v>
      </c>
      <c r="B388" s="412" t="s">
        <v>2921</v>
      </c>
      <c r="C388" s="413"/>
      <c r="D388" s="413"/>
      <c r="E388" s="413" t="s">
        <v>3580</v>
      </c>
      <c r="F388" s="411" t="s">
        <v>2920</v>
      </c>
      <c r="G388" s="411" t="s">
        <v>6694</v>
      </c>
      <c r="H388" s="411" t="s">
        <v>258</v>
      </c>
      <c r="I388" s="411" t="s">
        <v>11</v>
      </c>
      <c r="J388" s="411" t="s">
        <v>2204</v>
      </c>
      <c r="K388" s="414">
        <v>290</v>
      </c>
      <c r="L388" s="415">
        <v>61</v>
      </c>
      <c r="M388" s="414"/>
      <c r="N388" s="414"/>
      <c r="O388" s="414"/>
      <c r="P388" s="414"/>
      <c r="Q388" s="414"/>
    </row>
    <row r="389" spans="1:17" s="32" customFormat="1" ht="19.5" customHeight="1">
      <c r="A389" s="411">
        <v>403</v>
      </c>
      <c r="B389" s="413" t="s">
        <v>847</v>
      </c>
      <c r="C389" s="413"/>
      <c r="D389" s="413"/>
      <c r="E389" s="413" t="s">
        <v>2572</v>
      </c>
      <c r="F389" s="411" t="s">
        <v>2923</v>
      </c>
      <c r="G389" s="411" t="s">
        <v>213</v>
      </c>
      <c r="H389" s="411" t="s">
        <v>272</v>
      </c>
      <c r="I389" s="411" t="s">
        <v>13</v>
      </c>
      <c r="J389" s="411" t="s">
        <v>1106</v>
      </c>
      <c r="K389" s="414">
        <v>813</v>
      </c>
      <c r="L389" s="415">
        <v>0</v>
      </c>
      <c r="M389" s="414"/>
      <c r="N389" s="414"/>
      <c r="O389" s="414"/>
      <c r="P389" s="414"/>
      <c r="Q389" s="414"/>
    </row>
    <row r="390" spans="1:17" s="32" customFormat="1" ht="19.5" customHeight="1">
      <c r="A390" s="411">
        <v>404</v>
      </c>
      <c r="B390" s="412" t="s">
        <v>1818</v>
      </c>
      <c r="C390" s="413"/>
      <c r="D390" s="413"/>
      <c r="E390" s="413" t="s">
        <v>9780</v>
      </c>
      <c r="F390" s="411" t="s">
        <v>2925</v>
      </c>
      <c r="G390" s="411" t="s">
        <v>6694</v>
      </c>
      <c r="H390" s="411" t="s">
        <v>225</v>
      </c>
      <c r="I390" s="411" t="s">
        <v>11</v>
      </c>
      <c r="J390" s="411" t="s">
        <v>9466</v>
      </c>
      <c r="K390" s="414">
        <v>2100</v>
      </c>
      <c r="L390" s="415">
        <v>44</v>
      </c>
      <c r="M390" s="414"/>
      <c r="N390" s="414"/>
      <c r="O390" s="414"/>
      <c r="P390" s="414"/>
      <c r="Q390" s="414"/>
    </row>
    <row r="391" spans="1:17" s="32" customFormat="1" ht="19.5" customHeight="1">
      <c r="A391" s="411">
        <v>405</v>
      </c>
      <c r="B391" s="412" t="s">
        <v>1818</v>
      </c>
      <c r="C391" s="413"/>
      <c r="D391" s="413"/>
      <c r="E391" s="413" t="s">
        <v>9780</v>
      </c>
      <c r="F391" s="411" t="s">
        <v>9781</v>
      </c>
      <c r="G391" s="411" t="s">
        <v>213</v>
      </c>
      <c r="H391" s="411" t="s">
        <v>225</v>
      </c>
      <c r="I391" s="411" t="s">
        <v>10</v>
      </c>
      <c r="J391" s="411" t="s">
        <v>1350</v>
      </c>
      <c r="K391" s="414">
        <v>2520</v>
      </c>
      <c r="L391" s="415">
        <v>118</v>
      </c>
      <c r="M391" s="414"/>
      <c r="N391" s="414"/>
      <c r="O391" s="414"/>
      <c r="P391" s="414"/>
      <c r="Q391" s="414"/>
    </row>
    <row r="392" spans="1:17" s="32" customFormat="1" ht="19.5" customHeight="1">
      <c r="A392" s="411">
        <v>407</v>
      </c>
      <c r="B392" s="412" t="s">
        <v>9782</v>
      </c>
      <c r="C392" s="413"/>
      <c r="D392" s="413"/>
      <c r="E392" s="413" t="s">
        <v>4651</v>
      </c>
      <c r="F392" s="411" t="s">
        <v>9783</v>
      </c>
      <c r="G392" s="411" t="s">
        <v>6694</v>
      </c>
      <c r="H392" s="411" t="s">
        <v>79</v>
      </c>
      <c r="I392" s="411" t="s">
        <v>12</v>
      </c>
      <c r="J392" s="411" t="s">
        <v>2208</v>
      </c>
      <c r="K392" s="414">
        <v>3500</v>
      </c>
      <c r="L392" s="415">
        <v>1010</v>
      </c>
      <c r="M392" s="414"/>
      <c r="N392" s="414"/>
      <c r="O392" s="414"/>
      <c r="P392" s="414"/>
      <c r="Q392" s="414"/>
    </row>
    <row r="393" spans="1:17" s="32" customFormat="1" ht="19.5" customHeight="1">
      <c r="A393" s="411">
        <v>410</v>
      </c>
      <c r="B393" s="412" t="s">
        <v>9784</v>
      </c>
      <c r="C393" s="413"/>
      <c r="D393" s="413"/>
      <c r="E393" s="413" t="s">
        <v>9785</v>
      </c>
      <c r="F393" s="411" t="s">
        <v>2188</v>
      </c>
      <c r="G393" s="411" t="s">
        <v>212</v>
      </c>
      <c r="H393" s="411" t="s">
        <v>82</v>
      </c>
      <c r="I393" s="411" t="s">
        <v>12</v>
      </c>
      <c r="J393" s="411" t="s">
        <v>9786</v>
      </c>
      <c r="K393" s="414">
        <v>10200</v>
      </c>
      <c r="L393" s="415">
        <v>2525</v>
      </c>
      <c r="M393" s="414"/>
      <c r="N393" s="414"/>
      <c r="O393" s="414"/>
      <c r="P393" s="414"/>
      <c r="Q393" s="414"/>
    </row>
    <row r="394" spans="1:17" s="32" customFormat="1" ht="19.5" customHeight="1">
      <c r="A394" s="411">
        <v>413</v>
      </c>
      <c r="B394" s="413" t="s">
        <v>9787</v>
      </c>
      <c r="C394" s="413"/>
      <c r="D394" s="413"/>
      <c r="E394" s="413" t="s">
        <v>83</v>
      </c>
      <c r="F394" s="411" t="s">
        <v>9788</v>
      </c>
      <c r="G394" s="411" t="s">
        <v>213</v>
      </c>
      <c r="H394" s="411" t="s">
        <v>9789</v>
      </c>
      <c r="I394" s="411" t="s">
        <v>11</v>
      </c>
      <c r="J394" s="417" t="s">
        <v>2917</v>
      </c>
      <c r="K394" s="414">
        <v>1400</v>
      </c>
      <c r="L394" s="415">
        <v>0</v>
      </c>
      <c r="M394" s="414"/>
      <c r="N394" s="414"/>
      <c r="O394" s="414"/>
      <c r="P394" s="414"/>
      <c r="Q394" s="414"/>
    </row>
    <row r="395" spans="1:17" s="32" customFormat="1" ht="19.5" customHeight="1">
      <c r="A395" s="411">
        <v>414</v>
      </c>
      <c r="B395" s="413" t="s">
        <v>9790</v>
      </c>
      <c r="C395" s="413"/>
      <c r="D395" s="413"/>
      <c r="E395" s="413" t="s">
        <v>85</v>
      </c>
      <c r="F395" s="411" t="s">
        <v>9791</v>
      </c>
      <c r="G395" s="411" t="s">
        <v>6694</v>
      </c>
      <c r="H395" s="411" t="s">
        <v>9792</v>
      </c>
      <c r="I395" s="411" t="s">
        <v>11</v>
      </c>
      <c r="J395" s="417" t="s">
        <v>2917</v>
      </c>
      <c r="K395" s="414">
        <v>1050</v>
      </c>
      <c r="L395" s="415">
        <v>4605</v>
      </c>
      <c r="M395" s="414"/>
      <c r="N395" s="414"/>
      <c r="O395" s="414"/>
      <c r="P395" s="414"/>
      <c r="Q395" s="414"/>
    </row>
    <row r="396" spans="1:17" s="32" customFormat="1" ht="19.5" customHeight="1">
      <c r="A396" s="411">
        <v>416</v>
      </c>
      <c r="B396" s="413" t="s">
        <v>9790</v>
      </c>
      <c r="C396" s="413"/>
      <c r="D396" s="413"/>
      <c r="E396" s="413" t="s">
        <v>85</v>
      </c>
      <c r="F396" s="411" t="s">
        <v>9791</v>
      </c>
      <c r="G396" s="411" t="s">
        <v>213</v>
      </c>
      <c r="H396" s="411" t="s">
        <v>9792</v>
      </c>
      <c r="I396" s="411" t="s">
        <v>10</v>
      </c>
      <c r="J396" s="417" t="s">
        <v>2917</v>
      </c>
      <c r="K396" s="414">
        <v>1200</v>
      </c>
      <c r="L396" s="415">
        <v>0</v>
      </c>
      <c r="M396" s="414"/>
      <c r="N396" s="414"/>
      <c r="O396" s="414"/>
      <c r="P396" s="414"/>
      <c r="Q396" s="414"/>
    </row>
    <row r="397" spans="1:17" s="32" customFormat="1" ht="19.5" customHeight="1">
      <c r="A397" s="411">
        <v>417</v>
      </c>
      <c r="B397" s="412" t="s">
        <v>9793</v>
      </c>
      <c r="C397" s="413"/>
      <c r="D397" s="413"/>
      <c r="E397" s="413" t="s">
        <v>9794</v>
      </c>
      <c r="F397" s="411" t="s">
        <v>9795</v>
      </c>
      <c r="G397" s="411" t="s">
        <v>213</v>
      </c>
      <c r="H397" s="436" t="s">
        <v>9792</v>
      </c>
      <c r="I397" s="411" t="s">
        <v>11</v>
      </c>
      <c r="J397" s="411" t="s">
        <v>9796</v>
      </c>
      <c r="K397" s="414">
        <v>680</v>
      </c>
      <c r="L397" s="415">
        <v>0</v>
      </c>
      <c r="M397" s="414"/>
      <c r="N397" s="414"/>
      <c r="O397" s="414"/>
      <c r="P397" s="414"/>
      <c r="Q397" s="414"/>
    </row>
    <row r="398" spans="1:17" s="32" customFormat="1" ht="19.5" customHeight="1">
      <c r="A398" s="411"/>
      <c r="B398" s="412"/>
      <c r="C398" s="413"/>
      <c r="D398" s="413"/>
      <c r="E398" s="413" t="s">
        <v>9797</v>
      </c>
      <c r="F398" s="411" t="s">
        <v>9798</v>
      </c>
      <c r="G398" s="411" t="s">
        <v>5605</v>
      </c>
      <c r="H398" s="411" t="s">
        <v>9799</v>
      </c>
      <c r="I398" s="411" t="s">
        <v>11</v>
      </c>
      <c r="J398" s="411" t="s">
        <v>9063</v>
      </c>
      <c r="K398" s="414">
        <v>4500</v>
      </c>
      <c r="L398" s="415">
        <v>45</v>
      </c>
      <c r="M398" s="414"/>
      <c r="N398" s="414"/>
      <c r="O398" s="414"/>
      <c r="P398" s="414"/>
      <c r="Q398" s="414"/>
    </row>
    <row r="399" spans="1:17" s="32" customFormat="1" ht="19.5" customHeight="1">
      <c r="A399" s="411">
        <v>418</v>
      </c>
      <c r="B399" s="412" t="s">
        <v>9058</v>
      </c>
      <c r="C399" s="413"/>
      <c r="D399" s="413"/>
      <c r="E399" s="413" t="s">
        <v>3987</v>
      </c>
      <c r="F399" s="411" t="s">
        <v>9800</v>
      </c>
      <c r="G399" s="411" t="s">
        <v>5116</v>
      </c>
      <c r="H399" s="411" t="s">
        <v>232</v>
      </c>
      <c r="I399" s="411" t="s">
        <v>10</v>
      </c>
      <c r="J399" s="411" t="s">
        <v>9801</v>
      </c>
      <c r="K399" s="414">
        <v>2305</v>
      </c>
      <c r="L399" s="415">
        <v>35</v>
      </c>
      <c r="M399" s="414"/>
      <c r="N399" s="414"/>
      <c r="O399" s="414"/>
      <c r="P399" s="414"/>
      <c r="Q399" s="414"/>
    </row>
    <row r="400" spans="1:17" s="32" customFormat="1" ht="19.5" customHeight="1">
      <c r="A400" s="411"/>
      <c r="B400" s="412"/>
      <c r="C400" s="413"/>
      <c r="D400" s="413"/>
      <c r="E400" s="413" t="s">
        <v>9802</v>
      </c>
      <c r="F400" s="411" t="s">
        <v>9489</v>
      </c>
      <c r="G400" s="411" t="s">
        <v>5116</v>
      </c>
      <c r="H400" s="411" t="s">
        <v>272</v>
      </c>
      <c r="I400" s="411" t="s">
        <v>12</v>
      </c>
      <c r="J400" s="411" t="s">
        <v>562</v>
      </c>
      <c r="K400" s="414">
        <v>3348</v>
      </c>
      <c r="L400" s="415">
        <v>118</v>
      </c>
      <c r="M400" s="414"/>
      <c r="N400" s="414"/>
      <c r="O400" s="414"/>
      <c r="P400" s="414"/>
      <c r="Q400" s="414"/>
    </row>
    <row r="401" spans="1:17" s="32" customFormat="1" ht="19.5" customHeight="1">
      <c r="A401" s="411">
        <v>419</v>
      </c>
      <c r="B401" s="412" t="s">
        <v>9058</v>
      </c>
      <c r="C401" s="413"/>
      <c r="D401" s="413"/>
      <c r="E401" s="413" t="s">
        <v>3581</v>
      </c>
      <c r="F401" s="411" t="s">
        <v>2937</v>
      </c>
      <c r="G401" s="411" t="s">
        <v>5116</v>
      </c>
      <c r="H401" s="411" t="s">
        <v>262</v>
      </c>
      <c r="I401" s="411" t="s">
        <v>10</v>
      </c>
      <c r="J401" s="411" t="s">
        <v>9801</v>
      </c>
      <c r="K401" s="414">
        <v>2831</v>
      </c>
      <c r="L401" s="415">
        <v>1031</v>
      </c>
      <c r="M401" s="414"/>
      <c r="N401" s="414"/>
      <c r="O401" s="414"/>
      <c r="P401" s="414"/>
      <c r="Q401" s="414"/>
    </row>
    <row r="402" spans="1:17" s="32" customFormat="1" ht="19.5" customHeight="1">
      <c r="A402" s="411">
        <v>422</v>
      </c>
      <c r="B402" s="412" t="s">
        <v>227</v>
      </c>
      <c r="C402" s="413"/>
      <c r="D402" s="413"/>
      <c r="E402" s="413" t="s">
        <v>3582</v>
      </c>
      <c r="F402" s="411" t="s">
        <v>2935</v>
      </c>
      <c r="G402" s="411" t="s">
        <v>5116</v>
      </c>
      <c r="H402" s="411" t="s">
        <v>229</v>
      </c>
      <c r="I402" s="411" t="s">
        <v>10</v>
      </c>
      <c r="J402" s="411" t="s">
        <v>9801</v>
      </c>
      <c r="K402" s="414">
        <v>2026</v>
      </c>
      <c r="L402" s="415">
        <v>10</v>
      </c>
      <c r="M402" s="414"/>
      <c r="N402" s="414"/>
      <c r="O402" s="414"/>
      <c r="P402" s="414"/>
      <c r="Q402" s="414"/>
    </row>
    <row r="403" spans="1:17" s="32" customFormat="1" ht="19.5" customHeight="1">
      <c r="A403" s="411">
        <v>423</v>
      </c>
      <c r="B403" s="412" t="s">
        <v>9058</v>
      </c>
      <c r="C403" s="413"/>
      <c r="D403" s="413"/>
      <c r="E403" s="413" t="s">
        <v>3582</v>
      </c>
      <c r="F403" s="411" t="s">
        <v>9803</v>
      </c>
      <c r="G403" s="411" t="s">
        <v>5116</v>
      </c>
      <c r="H403" s="411" t="s">
        <v>229</v>
      </c>
      <c r="I403" s="411" t="s">
        <v>12</v>
      </c>
      <c r="J403" s="411" t="s">
        <v>9804</v>
      </c>
      <c r="K403" s="414">
        <v>2078</v>
      </c>
      <c r="L403" s="415">
        <v>1230</v>
      </c>
      <c r="M403" s="414"/>
      <c r="N403" s="414"/>
      <c r="O403" s="414"/>
      <c r="P403" s="414"/>
      <c r="Q403" s="414"/>
    </row>
    <row r="404" spans="1:17" s="32" customFormat="1" ht="19.5" customHeight="1">
      <c r="A404" s="411">
        <v>428</v>
      </c>
      <c r="B404" s="420" t="s">
        <v>9805</v>
      </c>
      <c r="C404" s="421"/>
      <c r="D404" s="421"/>
      <c r="E404" s="412" t="s">
        <v>9806</v>
      </c>
      <c r="F404" s="417" t="s">
        <v>9807</v>
      </c>
      <c r="G404" s="417" t="s">
        <v>6694</v>
      </c>
      <c r="H404" s="417" t="s">
        <v>9808</v>
      </c>
      <c r="I404" s="417" t="s">
        <v>7684</v>
      </c>
      <c r="J404" s="417" t="s">
        <v>839</v>
      </c>
      <c r="K404" s="418">
        <v>3990</v>
      </c>
      <c r="L404" s="419">
        <v>73</v>
      </c>
      <c r="M404" s="418"/>
      <c r="N404" s="414"/>
      <c r="O404" s="414"/>
      <c r="P404" s="418"/>
      <c r="Q404" s="418"/>
    </row>
    <row r="405" spans="1:17" s="32" customFormat="1" ht="19.5" customHeight="1">
      <c r="A405" s="411">
        <v>429</v>
      </c>
      <c r="B405" s="412" t="s">
        <v>9058</v>
      </c>
      <c r="C405" s="413"/>
      <c r="D405" s="413"/>
      <c r="E405" s="413" t="s">
        <v>9809</v>
      </c>
      <c r="F405" s="411" t="s">
        <v>9810</v>
      </c>
      <c r="G405" s="411" t="s">
        <v>213</v>
      </c>
      <c r="H405" s="411" t="s">
        <v>229</v>
      </c>
      <c r="I405" s="411" t="s">
        <v>13</v>
      </c>
      <c r="J405" s="411" t="s">
        <v>9811</v>
      </c>
      <c r="K405" s="414">
        <v>800</v>
      </c>
      <c r="L405" s="415">
        <v>166</v>
      </c>
      <c r="M405" s="414"/>
      <c r="N405" s="414"/>
      <c r="O405" s="414"/>
      <c r="P405" s="414"/>
      <c r="Q405" s="414"/>
    </row>
    <row r="406" spans="1:17" s="32" customFormat="1" ht="19.5" customHeight="1">
      <c r="A406" s="411">
        <v>430</v>
      </c>
      <c r="B406" s="412" t="s">
        <v>9201</v>
      </c>
      <c r="C406" s="413"/>
      <c r="D406" s="413"/>
      <c r="E406" s="413" t="s">
        <v>9812</v>
      </c>
      <c r="F406" s="411" t="s">
        <v>9800</v>
      </c>
      <c r="G406" s="411" t="s">
        <v>6694</v>
      </c>
      <c r="H406" s="411" t="s">
        <v>1831</v>
      </c>
      <c r="I406" s="411" t="s">
        <v>11</v>
      </c>
      <c r="J406" s="411" t="s">
        <v>9813</v>
      </c>
      <c r="K406" s="414">
        <v>315</v>
      </c>
      <c r="L406" s="415">
        <v>91</v>
      </c>
      <c r="M406" s="414"/>
      <c r="N406" s="414"/>
      <c r="O406" s="414"/>
      <c r="P406" s="414"/>
      <c r="Q406" s="414"/>
    </row>
    <row r="407" spans="1:17" s="32" customFormat="1" ht="19.5" customHeight="1">
      <c r="A407" s="411">
        <v>432</v>
      </c>
      <c r="B407" s="420" t="s">
        <v>9696</v>
      </c>
      <c r="C407" s="421"/>
      <c r="D407" s="421"/>
      <c r="E407" s="412" t="s">
        <v>3583</v>
      </c>
      <c r="F407" s="417" t="s">
        <v>6002</v>
      </c>
      <c r="G407" s="417" t="s">
        <v>5222</v>
      </c>
      <c r="H407" s="417" t="s">
        <v>1580</v>
      </c>
      <c r="I407" s="417" t="s">
        <v>628</v>
      </c>
      <c r="J407" s="417" t="s">
        <v>241</v>
      </c>
      <c r="K407" s="418">
        <v>7800</v>
      </c>
      <c r="L407" s="419">
        <v>342</v>
      </c>
      <c r="M407" s="418"/>
      <c r="N407" s="414"/>
      <c r="O407" s="414"/>
      <c r="P407" s="418"/>
      <c r="Q407" s="418"/>
    </row>
    <row r="408" spans="1:17" s="32" customFormat="1" ht="19.5" customHeight="1">
      <c r="A408" s="411">
        <v>433</v>
      </c>
      <c r="B408" s="412" t="s">
        <v>9814</v>
      </c>
      <c r="C408" s="413"/>
      <c r="D408" s="413"/>
      <c r="E408" s="413" t="s">
        <v>3584</v>
      </c>
      <c r="F408" s="411" t="s">
        <v>1796</v>
      </c>
      <c r="G408" s="411" t="s">
        <v>6012</v>
      </c>
      <c r="H408" s="411" t="s">
        <v>235</v>
      </c>
      <c r="I408" s="411" t="s">
        <v>11</v>
      </c>
      <c r="J408" s="411" t="s">
        <v>804</v>
      </c>
      <c r="K408" s="414">
        <v>13440</v>
      </c>
      <c r="L408" s="415">
        <v>409</v>
      </c>
      <c r="M408" s="414"/>
      <c r="N408" s="414"/>
      <c r="O408" s="414"/>
      <c r="P408" s="414"/>
      <c r="Q408" s="414"/>
    </row>
    <row r="409" spans="1:17" s="32" customFormat="1" ht="19.5" customHeight="1">
      <c r="A409" s="411">
        <v>435</v>
      </c>
      <c r="B409" s="412" t="s">
        <v>2942</v>
      </c>
      <c r="C409" s="413"/>
      <c r="D409" s="413"/>
      <c r="E409" s="413" t="s">
        <v>9815</v>
      </c>
      <c r="F409" s="411" t="s">
        <v>9816</v>
      </c>
      <c r="G409" s="411" t="s">
        <v>9817</v>
      </c>
      <c r="H409" s="411" t="s">
        <v>238</v>
      </c>
      <c r="I409" s="411" t="s">
        <v>10</v>
      </c>
      <c r="J409" s="411" t="s">
        <v>9818</v>
      </c>
      <c r="K409" s="414">
        <v>611</v>
      </c>
      <c r="L409" s="415">
        <v>0</v>
      </c>
      <c r="M409" s="414"/>
      <c r="N409" s="414"/>
      <c r="O409" s="414"/>
      <c r="P409" s="414"/>
      <c r="Q409" s="414"/>
    </row>
    <row r="410" spans="1:17" s="32" customFormat="1" ht="19.5" customHeight="1">
      <c r="A410" s="411">
        <v>437</v>
      </c>
      <c r="B410" s="412" t="s">
        <v>2942</v>
      </c>
      <c r="C410" s="413"/>
      <c r="D410" s="413"/>
      <c r="E410" s="413" t="s">
        <v>9819</v>
      </c>
      <c r="F410" s="411" t="s">
        <v>2944</v>
      </c>
      <c r="G410" s="411" t="s">
        <v>6694</v>
      </c>
      <c r="H410" s="411" t="s">
        <v>1995</v>
      </c>
      <c r="I410" s="411" t="s">
        <v>11</v>
      </c>
      <c r="J410" s="411" t="s">
        <v>547</v>
      </c>
      <c r="K410" s="414">
        <v>228</v>
      </c>
      <c r="L410" s="415">
        <v>0</v>
      </c>
      <c r="M410" s="414"/>
      <c r="N410" s="414"/>
      <c r="O410" s="414"/>
      <c r="P410" s="414"/>
      <c r="Q410" s="414"/>
    </row>
    <row r="411" spans="1:17" s="32" customFormat="1" ht="19.5" customHeight="1">
      <c r="A411" s="411">
        <v>438</v>
      </c>
      <c r="B411" s="420" t="s">
        <v>2942</v>
      </c>
      <c r="C411" s="421"/>
      <c r="D411" s="421"/>
      <c r="E411" s="412" t="s">
        <v>3585</v>
      </c>
      <c r="F411" s="417" t="s">
        <v>375</v>
      </c>
      <c r="G411" s="417" t="s">
        <v>6694</v>
      </c>
      <c r="H411" s="417" t="s">
        <v>327</v>
      </c>
      <c r="I411" s="417" t="s">
        <v>11</v>
      </c>
      <c r="J411" s="417" t="s">
        <v>842</v>
      </c>
      <c r="K411" s="418">
        <v>98</v>
      </c>
      <c r="L411" s="419">
        <v>0</v>
      </c>
      <c r="M411" s="418"/>
      <c r="N411" s="414"/>
      <c r="O411" s="414"/>
      <c r="P411" s="418"/>
      <c r="Q411" s="418"/>
    </row>
    <row r="412" spans="1:17" s="32" customFormat="1" ht="19.5" customHeight="1">
      <c r="A412" s="411">
        <v>439</v>
      </c>
      <c r="B412" s="412" t="s">
        <v>2942</v>
      </c>
      <c r="C412" s="413"/>
      <c r="D412" s="413"/>
      <c r="E412" s="413" t="s">
        <v>9820</v>
      </c>
      <c r="F412" s="411" t="s">
        <v>9821</v>
      </c>
      <c r="G412" s="411" t="s">
        <v>213</v>
      </c>
      <c r="H412" s="411" t="s">
        <v>238</v>
      </c>
      <c r="I412" s="411" t="s">
        <v>11</v>
      </c>
      <c r="J412" s="411" t="s">
        <v>1239</v>
      </c>
      <c r="K412" s="414">
        <v>143</v>
      </c>
      <c r="L412" s="415">
        <v>0</v>
      </c>
      <c r="M412" s="414"/>
      <c r="N412" s="414"/>
      <c r="O412" s="414"/>
      <c r="P412" s="414"/>
      <c r="Q412" s="414"/>
    </row>
    <row r="413" spans="1:17" s="32" customFormat="1" ht="19.5" customHeight="1">
      <c r="A413" s="411">
        <v>440</v>
      </c>
      <c r="B413" s="412" t="s">
        <v>2942</v>
      </c>
      <c r="C413" s="413"/>
      <c r="D413" s="413"/>
      <c r="E413" s="413" t="s">
        <v>9822</v>
      </c>
      <c r="F413" s="411" t="s">
        <v>9823</v>
      </c>
      <c r="G413" s="411" t="s">
        <v>6694</v>
      </c>
      <c r="H413" s="411" t="s">
        <v>327</v>
      </c>
      <c r="I413" s="411" t="s">
        <v>11</v>
      </c>
      <c r="J413" s="411" t="s">
        <v>842</v>
      </c>
      <c r="K413" s="414">
        <v>390</v>
      </c>
      <c r="L413" s="415">
        <v>11868</v>
      </c>
      <c r="M413" s="414"/>
      <c r="N413" s="414"/>
      <c r="O413" s="414"/>
      <c r="P413" s="414"/>
      <c r="Q413" s="414"/>
    </row>
    <row r="414" spans="1:17" s="32" customFormat="1" ht="19.5" customHeight="1">
      <c r="A414" s="411">
        <v>443</v>
      </c>
      <c r="B414" s="413" t="s">
        <v>2625</v>
      </c>
      <c r="C414" s="413"/>
      <c r="D414" s="413"/>
      <c r="E414" s="413" t="s">
        <v>9824</v>
      </c>
      <c r="F414" s="411" t="s">
        <v>2947</v>
      </c>
      <c r="G414" s="411" t="s">
        <v>213</v>
      </c>
      <c r="H414" s="411" t="s">
        <v>2949</v>
      </c>
      <c r="I414" s="411" t="s">
        <v>11</v>
      </c>
      <c r="J414" s="411" t="s">
        <v>3137</v>
      </c>
      <c r="K414" s="414">
        <v>182</v>
      </c>
      <c r="L414" s="415">
        <v>0</v>
      </c>
      <c r="M414" s="414"/>
      <c r="N414" s="414"/>
      <c r="O414" s="414"/>
      <c r="P414" s="414"/>
      <c r="Q414" s="414"/>
    </row>
    <row r="415" spans="1:17" s="32" customFormat="1" ht="19.5" customHeight="1">
      <c r="A415" s="411">
        <v>444</v>
      </c>
      <c r="B415" s="413" t="s">
        <v>9825</v>
      </c>
      <c r="C415" s="413"/>
      <c r="D415" s="413"/>
      <c r="E415" s="413" t="s">
        <v>9826</v>
      </c>
      <c r="F415" s="411" t="s">
        <v>9827</v>
      </c>
      <c r="G415" s="411" t="s">
        <v>213</v>
      </c>
      <c r="H415" s="411" t="s">
        <v>9828</v>
      </c>
      <c r="I415" s="411" t="s">
        <v>11</v>
      </c>
      <c r="J415" s="411" t="s">
        <v>9063</v>
      </c>
      <c r="K415" s="414">
        <v>1600</v>
      </c>
      <c r="L415" s="415">
        <v>0</v>
      </c>
      <c r="M415" s="414"/>
      <c r="N415" s="414"/>
      <c r="O415" s="414"/>
      <c r="P415" s="414"/>
      <c r="Q415" s="414"/>
    </row>
    <row r="416" spans="1:17" s="32" customFormat="1" ht="19.5" customHeight="1">
      <c r="A416" s="411">
        <v>445</v>
      </c>
      <c r="B416" s="412" t="s">
        <v>9829</v>
      </c>
      <c r="C416" s="413"/>
      <c r="D416" s="413"/>
      <c r="E416" s="413" t="s">
        <v>9830</v>
      </c>
      <c r="F416" s="411" t="s">
        <v>9831</v>
      </c>
      <c r="G416" s="411" t="s">
        <v>213</v>
      </c>
      <c r="H416" s="411" t="s">
        <v>739</v>
      </c>
      <c r="I416" s="411" t="s">
        <v>520</v>
      </c>
      <c r="J416" s="411" t="s">
        <v>2654</v>
      </c>
      <c r="K416" s="414">
        <v>2499</v>
      </c>
      <c r="L416" s="415">
        <v>0</v>
      </c>
      <c r="M416" s="414"/>
      <c r="N416" s="414"/>
      <c r="O416" s="414"/>
      <c r="P416" s="414"/>
      <c r="Q416" s="414"/>
    </row>
    <row r="417" spans="1:17" s="32" customFormat="1" ht="19.5" customHeight="1">
      <c r="A417" s="411">
        <v>446</v>
      </c>
      <c r="B417" s="412" t="s">
        <v>9832</v>
      </c>
      <c r="C417" s="416"/>
      <c r="D417" s="416"/>
      <c r="E417" s="412" t="s">
        <v>9833</v>
      </c>
      <c r="F417" s="417" t="s">
        <v>9834</v>
      </c>
      <c r="G417" s="417" t="s">
        <v>6694</v>
      </c>
      <c r="H417" s="417" t="s">
        <v>291</v>
      </c>
      <c r="I417" s="417" t="s">
        <v>11</v>
      </c>
      <c r="J417" s="417" t="s">
        <v>2917</v>
      </c>
      <c r="K417" s="418">
        <v>350</v>
      </c>
      <c r="L417" s="419">
        <v>3800</v>
      </c>
      <c r="M417" s="418"/>
      <c r="N417" s="414"/>
      <c r="O417" s="414"/>
      <c r="P417" s="418"/>
      <c r="Q417" s="418"/>
    </row>
    <row r="418" spans="1:17" s="32" customFormat="1" ht="19.5" customHeight="1">
      <c r="A418" s="411">
        <v>447</v>
      </c>
      <c r="B418" s="412" t="s">
        <v>9835</v>
      </c>
      <c r="C418" s="413"/>
      <c r="D418" s="413"/>
      <c r="E418" s="413" t="s">
        <v>9836</v>
      </c>
      <c r="F418" s="411" t="s">
        <v>9837</v>
      </c>
      <c r="G418" s="411" t="s">
        <v>213</v>
      </c>
      <c r="H418" s="411" t="s">
        <v>9838</v>
      </c>
      <c r="I418" s="411" t="s">
        <v>13</v>
      </c>
      <c r="J418" s="411" t="s">
        <v>2919</v>
      </c>
      <c r="K418" s="414">
        <v>1382</v>
      </c>
      <c r="L418" s="415">
        <v>0</v>
      </c>
      <c r="M418" s="414"/>
      <c r="N418" s="414"/>
      <c r="O418" s="414"/>
      <c r="P418" s="414"/>
      <c r="Q418" s="414"/>
    </row>
    <row r="419" spans="1:17" s="32" customFormat="1" ht="19.5" customHeight="1">
      <c r="A419" s="411">
        <v>448</v>
      </c>
      <c r="B419" s="412" t="s">
        <v>9839</v>
      </c>
      <c r="C419" s="416"/>
      <c r="D419" s="416"/>
      <c r="E419" s="412" t="s">
        <v>9840</v>
      </c>
      <c r="F419" s="417" t="s">
        <v>1922</v>
      </c>
      <c r="G419" s="417" t="s">
        <v>6694</v>
      </c>
      <c r="H419" s="417" t="s">
        <v>272</v>
      </c>
      <c r="I419" s="417" t="s">
        <v>11</v>
      </c>
      <c r="J419" s="417" t="s">
        <v>9063</v>
      </c>
      <c r="K419" s="418">
        <v>693</v>
      </c>
      <c r="L419" s="419">
        <v>0</v>
      </c>
      <c r="M419" s="418"/>
      <c r="N419" s="414"/>
      <c r="O419" s="414"/>
      <c r="P419" s="418"/>
      <c r="Q419" s="418"/>
    </row>
    <row r="420" spans="1:17" s="32" customFormat="1" ht="19.5" customHeight="1">
      <c r="A420" s="411">
        <v>449</v>
      </c>
      <c r="B420" s="412" t="s">
        <v>9841</v>
      </c>
      <c r="C420" s="413"/>
      <c r="D420" s="413"/>
      <c r="E420" s="413" t="s">
        <v>3586</v>
      </c>
      <c r="F420" s="411" t="s">
        <v>9842</v>
      </c>
      <c r="G420" s="411" t="s">
        <v>213</v>
      </c>
      <c r="H420" s="411" t="s">
        <v>225</v>
      </c>
      <c r="I420" s="411" t="s">
        <v>10</v>
      </c>
      <c r="J420" s="411" t="s">
        <v>9063</v>
      </c>
      <c r="K420" s="414">
        <v>1298</v>
      </c>
      <c r="L420" s="415">
        <v>0</v>
      </c>
      <c r="M420" s="414"/>
      <c r="N420" s="414"/>
      <c r="O420" s="414"/>
      <c r="P420" s="414"/>
      <c r="Q420" s="414"/>
    </row>
    <row r="421" spans="1:17" s="32" customFormat="1" ht="19.5" customHeight="1">
      <c r="A421" s="411">
        <v>450</v>
      </c>
      <c r="B421" s="412" t="s">
        <v>9839</v>
      </c>
      <c r="C421" s="416"/>
      <c r="D421" s="416"/>
      <c r="E421" s="412" t="s">
        <v>3586</v>
      </c>
      <c r="F421" s="417" t="s">
        <v>2958</v>
      </c>
      <c r="G421" s="417" t="s">
        <v>6694</v>
      </c>
      <c r="H421" s="417" t="s">
        <v>225</v>
      </c>
      <c r="I421" s="417" t="s">
        <v>11</v>
      </c>
      <c r="J421" s="417" t="s">
        <v>842</v>
      </c>
      <c r="K421" s="418">
        <v>1288</v>
      </c>
      <c r="L421" s="419">
        <v>0</v>
      </c>
      <c r="M421" s="418"/>
      <c r="N421" s="414"/>
      <c r="O421" s="414"/>
      <c r="P421" s="418"/>
      <c r="Q421" s="418"/>
    </row>
    <row r="422" spans="1:17" s="32" customFormat="1" ht="19.5" customHeight="1">
      <c r="A422" s="411">
        <v>451</v>
      </c>
      <c r="B422" s="412" t="s">
        <v>2997</v>
      </c>
      <c r="C422" s="413"/>
      <c r="D422" s="413"/>
      <c r="E422" s="413" t="s">
        <v>9843</v>
      </c>
      <c r="F422" s="411" t="s">
        <v>9844</v>
      </c>
      <c r="G422" s="411" t="s">
        <v>213</v>
      </c>
      <c r="H422" s="411" t="s">
        <v>7908</v>
      </c>
      <c r="I422" s="411" t="s">
        <v>13</v>
      </c>
      <c r="J422" s="411" t="s">
        <v>9845</v>
      </c>
      <c r="K422" s="414">
        <v>2184</v>
      </c>
      <c r="L422" s="415">
        <v>0</v>
      </c>
      <c r="M422" s="414"/>
      <c r="N422" s="414"/>
      <c r="O422" s="414"/>
      <c r="P422" s="414"/>
      <c r="Q422" s="414"/>
    </row>
    <row r="423" spans="1:17" s="32" customFormat="1" ht="19.5" customHeight="1">
      <c r="A423" s="411">
        <v>452</v>
      </c>
      <c r="B423" s="413" t="s">
        <v>634</v>
      </c>
      <c r="C423" s="413"/>
      <c r="D423" s="413"/>
      <c r="E423" s="413" t="s">
        <v>3998</v>
      </c>
      <c r="F423" s="411" t="s">
        <v>2960</v>
      </c>
      <c r="G423" s="411" t="s">
        <v>213</v>
      </c>
      <c r="H423" s="411" t="s">
        <v>235</v>
      </c>
      <c r="I423" s="411" t="s">
        <v>11</v>
      </c>
      <c r="J423" s="411" t="s">
        <v>9063</v>
      </c>
      <c r="K423" s="414">
        <v>545</v>
      </c>
      <c r="L423" s="415">
        <v>0</v>
      </c>
      <c r="M423" s="414"/>
      <c r="N423" s="414"/>
      <c r="O423" s="414"/>
      <c r="P423" s="414"/>
      <c r="Q423" s="414"/>
    </row>
    <row r="424" spans="1:17" s="32" customFormat="1" ht="19.5" customHeight="1">
      <c r="A424" s="411">
        <v>453</v>
      </c>
      <c r="B424" s="442" t="s">
        <v>9116</v>
      </c>
      <c r="C424" s="443"/>
      <c r="D424" s="426"/>
      <c r="E424" s="427" t="s">
        <v>3587</v>
      </c>
      <c r="F424" s="425" t="s">
        <v>1027</v>
      </c>
      <c r="G424" s="428" t="s">
        <v>5105</v>
      </c>
      <c r="H424" s="425" t="s">
        <v>267</v>
      </c>
      <c r="I424" s="425" t="s">
        <v>10</v>
      </c>
      <c r="J424" s="428" t="s">
        <v>2204</v>
      </c>
      <c r="K424" s="429">
        <v>838</v>
      </c>
      <c r="L424" s="430">
        <v>0</v>
      </c>
      <c r="M424" s="429"/>
      <c r="N424" s="414"/>
      <c r="O424" s="414"/>
      <c r="P424" s="431"/>
      <c r="Q424" s="431"/>
    </row>
    <row r="425" spans="1:17" s="32" customFormat="1" ht="19.5" customHeight="1">
      <c r="A425" s="411">
        <v>454</v>
      </c>
      <c r="B425" s="412" t="s">
        <v>9116</v>
      </c>
      <c r="C425" s="416"/>
      <c r="D425" s="416"/>
      <c r="E425" s="412" t="s">
        <v>9846</v>
      </c>
      <c r="F425" s="417" t="s">
        <v>6335</v>
      </c>
      <c r="G425" s="417" t="s">
        <v>5105</v>
      </c>
      <c r="H425" s="417" t="s">
        <v>9847</v>
      </c>
      <c r="I425" s="417" t="s">
        <v>3556</v>
      </c>
      <c r="J425" s="417" t="s">
        <v>9848</v>
      </c>
      <c r="K425" s="418">
        <v>53300</v>
      </c>
      <c r="L425" s="419">
        <v>254</v>
      </c>
      <c r="M425" s="418"/>
      <c r="N425" s="414"/>
      <c r="O425" s="414"/>
      <c r="P425" s="418"/>
      <c r="Q425" s="418"/>
    </row>
    <row r="426" spans="1:17" s="32" customFormat="1" ht="19.5" customHeight="1">
      <c r="A426" s="411">
        <v>455</v>
      </c>
      <c r="B426" s="412" t="s">
        <v>9849</v>
      </c>
      <c r="C426" s="413"/>
      <c r="D426" s="413"/>
      <c r="E426" s="413" t="s">
        <v>9850</v>
      </c>
      <c r="F426" s="411" t="s">
        <v>9851</v>
      </c>
      <c r="G426" s="411" t="s">
        <v>213</v>
      </c>
      <c r="H426" s="411" t="s">
        <v>299</v>
      </c>
      <c r="I426" s="411" t="s">
        <v>11</v>
      </c>
      <c r="J426" s="411" t="s">
        <v>9852</v>
      </c>
      <c r="K426" s="414">
        <v>820</v>
      </c>
      <c r="L426" s="415">
        <v>0</v>
      </c>
      <c r="M426" s="414"/>
      <c r="N426" s="414"/>
      <c r="O426" s="414"/>
      <c r="P426" s="414"/>
      <c r="Q426" s="414"/>
    </row>
    <row r="427" spans="1:17" s="32" customFormat="1" ht="19.5" customHeight="1">
      <c r="A427" s="411">
        <v>456</v>
      </c>
      <c r="B427" s="413" t="s">
        <v>802</v>
      </c>
      <c r="C427" s="413"/>
      <c r="D427" s="413"/>
      <c r="E427" s="413" t="s">
        <v>3588</v>
      </c>
      <c r="F427" s="411" t="s">
        <v>2964</v>
      </c>
      <c r="G427" s="411" t="s">
        <v>213</v>
      </c>
      <c r="H427" s="411" t="s">
        <v>1200</v>
      </c>
      <c r="I427" s="411" t="s">
        <v>11</v>
      </c>
      <c r="J427" s="411" t="s">
        <v>9852</v>
      </c>
      <c r="K427" s="414">
        <v>1183</v>
      </c>
      <c r="L427" s="415">
        <v>2400</v>
      </c>
      <c r="M427" s="414"/>
      <c r="N427" s="414"/>
      <c r="O427" s="414"/>
      <c r="P427" s="414"/>
      <c r="Q427" s="414"/>
    </row>
    <row r="428" spans="1:17" s="32" customFormat="1" ht="19.5" customHeight="1">
      <c r="A428" s="411">
        <v>457</v>
      </c>
      <c r="B428" s="413" t="s">
        <v>9853</v>
      </c>
      <c r="C428" s="413"/>
      <c r="D428" s="413"/>
      <c r="E428" s="413" t="s">
        <v>9854</v>
      </c>
      <c r="F428" s="411" t="s">
        <v>2973</v>
      </c>
      <c r="G428" s="411" t="s">
        <v>213</v>
      </c>
      <c r="H428" s="411" t="s">
        <v>962</v>
      </c>
      <c r="I428" s="411" t="s">
        <v>13</v>
      </c>
      <c r="J428" s="411" t="s">
        <v>2919</v>
      </c>
      <c r="K428" s="414">
        <v>1280</v>
      </c>
      <c r="L428" s="415">
        <v>0</v>
      </c>
      <c r="M428" s="414"/>
      <c r="N428" s="414"/>
      <c r="O428" s="414"/>
      <c r="P428" s="414"/>
      <c r="Q428" s="414"/>
    </row>
    <row r="429" spans="1:17" s="32" customFormat="1" ht="19.5" customHeight="1">
      <c r="A429" s="411">
        <v>458</v>
      </c>
      <c r="B429" s="412" t="s">
        <v>9855</v>
      </c>
      <c r="C429" s="416"/>
      <c r="D429" s="416"/>
      <c r="E429" s="412" t="s">
        <v>9856</v>
      </c>
      <c r="F429" s="417" t="s">
        <v>9857</v>
      </c>
      <c r="G429" s="417" t="s">
        <v>6694</v>
      </c>
      <c r="H429" s="417" t="s">
        <v>1304</v>
      </c>
      <c r="I429" s="417" t="s">
        <v>10</v>
      </c>
      <c r="J429" s="417" t="s">
        <v>815</v>
      </c>
      <c r="K429" s="418">
        <v>3540</v>
      </c>
      <c r="L429" s="419">
        <v>0</v>
      </c>
      <c r="M429" s="418"/>
      <c r="N429" s="414"/>
      <c r="O429" s="414"/>
      <c r="P429" s="418"/>
      <c r="Q429" s="418"/>
    </row>
    <row r="430" spans="1:17" s="32" customFormat="1" ht="19.5" customHeight="1">
      <c r="A430" s="411">
        <v>459</v>
      </c>
      <c r="B430" s="412" t="s">
        <v>9858</v>
      </c>
      <c r="C430" s="416"/>
      <c r="D430" s="416"/>
      <c r="E430" s="412" t="s">
        <v>9859</v>
      </c>
      <c r="F430" s="417" t="s">
        <v>2977</v>
      </c>
      <c r="G430" s="417" t="s">
        <v>6694</v>
      </c>
      <c r="H430" s="417" t="s">
        <v>225</v>
      </c>
      <c r="I430" s="417" t="s">
        <v>11</v>
      </c>
      <c r="J430" s="417" t="s">
        <v>9860</v>
      </c>
      <c r="K430" s="418">
        <v>4500</v>
      </c>
      <c r="L430" s="419">
        <v>4454</v>
      </c>
      <c r="M430" s="418"/>
      <c r="N430" s="414"/>
      <c r="O430" s="414"/>
      <c r="P430" s="418"/>
      <c r="Q430" s="418"/>
    </row>
    <row r="431" spans="1:17" s="32" customFormat="1" ht="19.5" customHeight="1">
      <c r="A431" s="411">
        <v>460</v>
      </c>
      <c r="B431" s="412" t="s">
        <v>9449</v>
      </c>
      <c r="C431" s="413"/>
      <c r="D431" s="413"/>
      <c r="E431" s="413" t="s">
        <v>9861</v>
      </c>
      <c r="F431" s="411" t="s">
        <v>9862</v>
      </c>
      <c r="G431" s="411" t="s">
        <v>213</v>
      </c>
      <c r="H431" s="411" t="s">
        <v>299</v>
      </c>
      <c r="I431" s="411" t="s">
        <v>11</v>
      </c>
      <c r="J431" s="411" t="s">
        <v>9063</v>
      </c>
      <c r="K431" s="414">
        <v>3255</v>
      </c>
      <c r="L431" s="415">
        <v>0</v>
      </c>
      <c r="M431" s="414"/>
      <c r="N431" s="414"/>
      <c r="O431" s="414"/>
      <c r="P431" s="414"/>
      <c r="Q431" s="414"/>
    </row>
    <row r="432" spans="1:17" s="32" customFormat="1" ht="19.5" customHeight="1">
      <c r="A432" s="411">
        <v>461</v>
      </c>
      <c r="B432" s="412" t="s">
        <v>9449</v>
      </c>
      <c r="C432" s="413"/>
      <c r="D432" s="413"/>
      <c r="E432" s="413" t="s">
        <v>9863</v>
      </c>
      <c r="F432" s="411" t="s">
        <v>9864</v>
      </c>
      <c r="G432" s="411" t="s">
        <v>213</v>
      </c>
      <c r="H432" s="411" t="s">
        <v>291</v>
      </c>
      <c r="I432" s="411" t="s">
        <v>13</v>
      </c>
      <c r="J432" s="411" t="s">
        <v>2919</v>
      </c>
      <c r="K432" s="414">
        <v>2153</v>
      </c>
      <c r="L432" s="415">
        <v>0</v>
      </c>
      <c r="M432" s="414"/>
      <c r="N432" s="414"/>
      <c r="O432" s="414"/>
      <c r="P432" s="414"/>
      <c r="Q432" s="414"/>
    </row>
    <row r="433" spans="1:17" s="32" customFormat="1" ht="19.5" customHeight="1">
      <c r="A433" s="411">
        <v>462</v>
      </c>
      <c r="B433" s="412" t="s">
        <v>9106</v>
      </c>
      <c r="C433" s="413"/>
      <c r="D433" s="413"/>
      <c r="E433" s="413" t="s">
        <v>9865</v>
      </c>
      <c r="F433" s="411" t="s">
        <v>9866</v>
      </c>
      <c r="G433" s="411" t="s">
        <v>9867</v>
      </c>
      <c r="H433" s="411" t="s">
        <v>697</v>
      </c>
      <c r="I433" s="411" t="s">
        <v>15</v>
      </c>
      <c r="J433" s="411" t="s">
        <v>2709</v>
      </c>
      <c r="K433" s="414">
        <v>31000</v>
      </c>
      <c r="L433" s="415">
        <v>0</v>
      </c>
      <c r="M433" s="414"/>
      <c r="N433" s="414"/>
      <c r="O433" s="414"/>
      <c r="P433" s="414"/>
      <c r="Q433" s="414"/>
    </row>
    <row r="434" spans="1:17" s="32" customFormat="1" ht="19.5" customHeight="1">
      <c r="A434" s="411">
        <v>463</v>
      </c>
      <c r="B434" s="412" t="s">
        <v>1500</v>
      </c>
      <c r="C434" s="413"/>
      <c r="D434" s="413"/>
      <c r="E434" s="413" t="s">
        <v>9868</v>
      </c>
      <c r="F434" s="411" t="s">
        <v>8495</v>
      </c>
      <c r="G434" s="411" t="s">
        <v>6795</v>
      </c>
      <c r="H434" s="411" t="s">
        <v>9869</v>
      </c>
      <c r="I434" s="411" t="s">
        <v>14</v>
      </c>
      <c r="J434" s="411" t="s">
        <v>2679</v>
      </c>
      <c r="K434" s="414">
        <v>27000</v>
      </c>
      <c r="L434" s="415">
        <v>7</v>
      </c>
      <c r="M434" s="414"/>
      <c r="N434" s="414"/>
      <c r="O434" s="414"/>
      <c r="P434" s="414"/>
      <c r="Q434" s="414"/>
    </row>
    <row r="435" spans="1:17" s="32" customFormat="1" ht="19.5" customHeight="1">
      <c r="A435" s="411">
        <v>465</v>
      </c>
      <c r="B435" s="412" t="s">
        <v>9870</v>
      </c>
      <c r="C435" s="413"/>
      <c r="D435" s="413"/>
      <c r="E435" s="413" t="s">
        <v>2979</v>
      </c>
      <c r="F435" s="411" t="s">
        <v>340</v>
      </c>
      <c r="G435" s="411" t="s">
        <v>6694</v>
      </c>
      <c r="H435" s="411" t="s">
        <v>267</v>
      </c>
      <c r="I435" s="411" t="s">
        <v>11</v>
      </c>
      <c r="J435" s="411" t="s">
        <v>2212</v>
      </c>
      <c r="K435" s="414">
        <v>273</v>
      </c>
      <c r="L435" s="415">
        <v>4043</v>
      </c>
      <c r="M435" s="414"/>
      <c r="N435" s="414"/>
      <c r="O435" s="414"/>
      <c r="P435" s="414"/>
      <c r="Q435" s="414"/>
    </row>
    <row r="436" spans="1:17" s="32" customFormat="1" ht="19.5" customHeight="1">
      <c r="A436" s="411">
        <v>468</v>
      </c>
      <c r="B436" s="412" t="s">
        <v>9871</v>
      </c>
      <c r="C436" s="413"/>
      <c r="D436" s="413"/>
      <c r="E436" s="413" t="s">
        <v>9872</v>
      </c>
      <c r="F436" s="411" t="s">
        <v>9873</v>
      </c>
      <c r="G436" s="411" t="s">
        <v>6694</v>
      </c>
      <c r="H436" s="411" t="s">
        <v>9874</v>
      </c>
      <c r="I436" s="411" t="s">
        <v>520</v>
      </c>
      <c r="J436" s="411" t="s">
        <v>2659</v>
      </c>
      <c r="K436" s="414">
        <v>3000</v>
      </c>
      <c r="L436" s="415">
        <v>0</v>
      </c>
      <c r="M436" s="414"/>
      <c r="N436" s="414"/>
      <c r="O436" s="414"/>
      <c r="P436" s="414"/>
      <c r="Q436" s="414"/>
    </row>
    <row r="437" spans="1:17" s="32" customFormat="1" ht="19.5" customHeight="1">
      <c r="A437" s="411">
        <v>470</v>
      </c>
      <c r="B437" s="412" t="s">
        <v>9871</v>
      </c>
      <c r="C437" s="413"/>
      <c r="D437" s="413"/>
      <c r="E437" s="413" t="s">
        <v>9875</v>
      </c>
      <c r="F437" s="411" t="s">
        <v>9876</v>
      </c>
      <c r="G437" s="411" t="s">
        <v>5116</v>
      </c>
      <c r="H437" s="411" t="s">
        <v>9877</v>
      </c>
      <c r="I437" s="411" t="s">
        <v>628</v>
      </c>
      <c r="J437" s="411" t="s">
        <v>8987</v>
      </c>
      <c r="K437" s="414">
        <v>5163</v>
      </c>
      <c r="L437" s="415">
        <v>1697</v>
      </c>
      <c r="M437" s="414"/>
      <c r="N437" s="414"/>
      <c r="O437" s="414"/>
      <c r="P437" s="414"/>
      <c r="Q437" s="414"/>
    </row>
    <row r="438" spans="1:17" s="32" customFormat="1" ht="19.5" customHeight="1">
      <c r="A438" s="411">
        <v>473</v>
      </c>
      <c r="B438" s="412" t="s">
        <v>9058</v>
      </c>
      <c r="C438" s="413"/>
      <c r="D438" s="413"/>
      <c r="E438" s="413" t="s">
        <v>9878</v>
      </c>
      <c r="F438" s="411" t="s">
        <v>9879</v>
      </c>
      <c r="G438" s="411" t="s">
        <v>5273</v>
      </c>
      <c r="H438" s="411" t="s">
        <v>9880</v>
      </c>
      <c r="I438" s="411" t="s">
        <v>15</v>
      </c>
      <c r="J438" s="411" t="s">
        <v>2824</v>
      </c>
      <c r="K438" s="414">
        <v>34020</v>
      </c>
      <c r="L438" s="415">
        <v>29</v>
      </c>
      <c r="M438" s="414"/>
      <c r="N438" s="414"/>
      <c r="O438" s="414"/>
      <c r="P438" s="414"/>
      <c r="Q438" s="414"/>
    </row>
    <row r="439" spans="1:17" s="32" customFormat="1" ht="19.5" customHeight="1">
      <c r="A439" s="411">
        <v>475</v>
      </c>
      <c r="B439" s="412" t="s">
        <v>2983</v>
      </c>
      <c r="C439" s="413"/>
      <c r="D439" s="413"/>
      <c r="E439" s="413" t="s">
        <v>3589</v>
      </c>
      <c r="F439" s="411" t="s">
        <v>2985</v>
      </c>
      <c r="G439" s="411" t="s">
        <v>6694</v>
      </c>
      <c r="H439" s="411" t="s">
        <v>1340</v>
      </c>
      <c r="I439" s="411" t="s">
        <v>11</v>
      </c>
      <c r="J439" s="411" t="s">
        <v>815</v>
      </c>
      <c r="K439" s="414">
        <v>648</v>
      </c>
      <c r="L439" s="415">
        <v>18524</v>
      </c>
      <c r="M439" s="414"/>
      <c r="N439" s="414"/>
      <c r="O439" s="414"/>
      <c r="P439" s="414"/>
      <c r="Q439" s="414"/>
    </row>
    <row r="440" spans="1:17" s="32" customFormat="1" ht="19.5" customHeight="1">
      <c r="A440" s="411">
        <v>477</v>
      </c>
      <c r="B440" s="420" t="s">
        <v>2983</v>
      </c>
      <c r="C440" s="421"/>
      <c r="D440" s="421"/>
      <c r="E440" s="412" t="s">
        <v>3590</v>
      </c>
      <c r="F440" s="417" t="s">
        <v>2986</v>
      </c>
      <c r="G440" s="417" t="s">
        <v>6694</v>
      </c>
      <c r="H440" s="417" t="s">
        <v>1343</v>
      </c>
      <c r="I440" s="417" t="s">
        <v>11</v>
      </c>
      <c r="J440" s="417" t="s">
        <v>815</v>
      </c>
      <c r="K440" s="418">
        <v>929</v>
      </c>
      <c r="L440" s="419">
        <v>4907</v>
      </c>
      <c r="M440" s="418"/>
      <c r="N440" s="414"/>
      <c r="O440" s="414"/>
      <c r="P440" s="418"/>
      <c r="Q440" s="418"/>
    </row>
    <row r="441" spans="1:17" s="32" customFormat="1" ht="19.5" customHeight="1">
      <c r="A441" s="411">
        <v>478</v>
      </c>
      <c r="B441" s="412" t="s">
        <v>2983</v>
      </c>
      <c r="C441" s="413"/>
      <c r="D441" s="413"/>
      <c r="E441" s="413" t="s">
        <v>3591</v>
      </c>
      <c r="F441" s="411" t="s">
        <v>2987</v>
      </c>
      <c r="G441" s="411" t="s">
        <v>6694</v>
      </c>
      <c r="H441" s="411" t="s">
        <v>869</v>
      </c>
      <c r="I441" s="411" t="s">
        <v>11</v>
      </c>
      <c r="J441" s="411" t="s">
        <v>815</v>
      </c>
      <c r="K441" s="414">
        <v>363</v>
      </c>
      <c r="L441" s="415">
        <v>286</v>
      </c>
      <c r="M441" s="414"/>
      <c r="N441" s="414"/>
      <c r="O441" s="414"/>
      <c r="P441" s="414"/>
      <c r="Q441" s="414"/>
    </row>
    <row r="442" spans="1:17" s="32" customFormat="1" ht="19.5" customHeight="1">
      <c r="A442" s="411">
        <v>480</v>
      </c>
      <c r="B442" s="412" t="s">
        <v>4017</v>
      </c>
      <c r="C442" s="413"/>
      <c r="D442" s="413"/>
      <c r="E442" s="413" t="s">
        <v>9881</v>
      </c>
      <c r="F442" s="411" t="s">
        <v>9882</v>
      </c>
      <c r="G442" s="411" t="s">
        <v>6795</v>
      </c>
      <c r="H442" s="411" t="s">
        <v>327</v>
      </c>
      <c r="I442" s="411" t="s">
        <v>10</v>
      </c>
      <c r="J442" s="411" t="s">
        <v>9883</v>
      </c>
      <c r="K442" s="414">
        <v>2980</v>
      </c>
      <c r="L442" s="415">
        <v>363</v>
      </c>
      <c r="M442" s="414"/>
      <c r="N442" s="414"/>
      <c r="O442" s="414"/>
      <c r="P442" s="414"/>
      <c r="Q442" s="414"/>
    </row>
    <row r="443" spans="1:17" s="32" customFormat="1" ht="19.5" customHeight="1">
      <c r="A443" s="411">
        <v>483</v>
      </c>
      <c r="B443" s="413" t="s">
        <v>1750</v>
      </c>
      <c r="C443" s="413"/>
      <c r="D443" s="413"/>
      <c r="E443" s="413" t="s">
        <v>9884</v>
      </c>
      <c r="F443" s="411" t="s">
        <v>9885</v>
      </c>
      <c r="G443" s="411" t="s">
        <v>213</v>
      </c>
      <c r="H443" s="411" t="s">
        <v>1004</v>
      </c>
      <c r="I443" s="411" t="s">
        <v>11</v>
      </c>
      <c r="J443" s="411" t="s">
        <v>9883</v>
      </c>
      <c r="K443" s="414">
        <v>1400</v>
      </c>
      <c r="L443" s="415">
        <v>4972</v>
      </c>
      <c r="M443" s="414"/>
      <c r="N443" s="414"/>
      <c r="O443" s="414"/>
      <c r="P443" s="414"/>
      <c r="Q443" s="414"/>
    </row>
    <row r="444" spans="1:17" s="32" customFormat="1" ht="19.5" customHeight="1">
      <c r="A444" s="411">
        <v>484</v>
      </c>
      <c r="B444" s="412" t="s">
        <v>376</v>
      </c>
      <c r="C444" s="413"/>
      <c r="D444" s="413"/>
      <c r="E444" s="413" t="s">
        <v>9886</v>
      </c>
      <c r="F444" s="411" t="s">
        <v>9887</v>
      </c>
      <c r="G444" s="411" t="s">
        <v>6694</v>
      </c>
      <c r="H444" s="411" t="s">
        <v>262</v>
      </c>
      <c r="I444" s="411" t="s">
        <v>11</v>
      </c>
      <c r="J444" s="411" t="s">
        <v>2204</v>
      </c>
      <c r="K444" s="414">
        <v>608</v>
      </c>
      <c r="L444" s="415">
        <v>601</v>
      </c>
      <c r="M444" s="414"/>
      <c r="N444" s="414"/>
      <c r="O444" s="414"/>
      <c r="P444" s="414"/>
      <c r="Q444" s="414"/>
    </row>
    <row r="445" spans="1:17" s="32" customFormat="1" ht="19.5" customHeight="1">
      <c r="A445" s="411">
        <v>486</v>
      </c>
      <c r="B445" s="412" t="s">
        <v>9888</v>
      </c>
      <c r="C445" s="421"/>
      <c r="D445" s="421"/>
      <c r="E445" s="420" t="s">
        <v>9889</v>
      </c>
      <c r="F445" s="417" t="s">
        <v>2345</v>
      </c>
      <c r="G445" s="417" t="s">
        <v>6694</v>
      </c>
      <c r="H445" s="436" t="s">
        <v>9890</v>
      </c>
      <c r="I445" s="417" t="s">
        <v>11</v>
      </c>
      <c r="J445" s="417" t="s">
        <v>804</v>
      </c>
      <c r="K445" s="434">
        <v>798</v>
      </c>
      <c r="L445" s="435">
        <v>500</v>
      </c>
      <c r="M445" s="434"/>
      <c r="N445" s="414"/>
      <c r="O445" s="414"/>
      <c r="P445" s="418"/>
      <c r="Q445" s="418"/>
    </row>
    <row r="446" spans="1:17" s="32" customFormat="1" ht="19.5" customHeight="1">
      <c r="A446" s="411">
        <v>487</v>
      </c>
      <c r="B446" s="412" t="s">
        <v>6199</v>
      </c>
      <c r="C446" s="413"/>
      <c r="D446" s="413"/>
      <c r="E446" s="413" t="s">
        <v>9891</v>
      </c>
      <c r="F446" s="411" t="s">
        <v>9892</v>
      </c>
      <c r="G446" s="411" t="s">
        <v>5105</v>
      </c>
      <c r="H446" s="411" t="s">
        <v>9893</v>
      </c>
      <c r="I446" s="411" t="s">
        <v>520</v>
      </c>
      <c r="J446" s="411" t="s">
        <v>2874</v>
      </c>
      <c r="K446" s="414">
        <v>12600</v>
      </c>
      <c r="L446" s="415">
        <v>8</v>
      </c>
      <c r="M446" s="414"/>
      <c r="N446" s="414"/>
      <c r="O446" s="414"/>
      <c r="P446" s="414"/>
      <c r="Q446" s="414"/>
    </row>
    <row r="447" spans="1:17" s="32" customFormat="1" ht="19.5" customHeight="1">
      <c r="A447" s="411">
        <v>488</v>
      </c>
      <c r="B447" s="413" t="s">
        <v>376</v>
      </c>
      <c r="C447" s="413"/>
      <c r="D447" s="413"/>
      <c r="E447" s="413" t="s">
        <v>9894</v>
      </c>
      <c r="F447" s="411" t="s">
        <v>9895</v>
      </c>
      <c r="G447" s="411" t="s">
        <v>213</v>
      </c>
      <c r="H447" s="411" t="s">
        <v>299</v>
      </c>
      <c r="I447" s="411" t="s">
        <v>11</v>
      </c>
      <c r="J447" s="411" t="s">
        <v>9063</v>
      </c>
      <c r="K447" s="414">
        <v>479</v>
      </c>
      <c r="L447" s="415">
        <v>0</v>
      </c>
      <c r="M447" s="414"/>
      <c r="N447" s="414"/>
      <c r="O447" s="414"/>
      <c r="P447" s="414"/>
      <c r="Q447" s="414"/>
    </row>
    <row r="448" spans="1:17" s="32" customFormat="1" ht="19.5" customHeight="1">
      <c r="A448" s="411">
        <v>489</v>
      </c>
      <c r="B448" s="412" t="s">
        <v>376</v>
      </c>
      <c r="C448" s="416"/>
      <c r="D448" s="416"/>
      <c r="E448" s="412" t="s">
        <v>3592</v>
      </c>
      <c r="F448" s="417" t="s">
        <v>2988</v>
      </c>
      <c r="G448" s="417" t="s">
        <v>6694</v>
      </c>
      <c r="H448" s="417" t="s">
        <v>299</v>
      </c>
      <c r="I448" s="417" t="s">
        <v>11</v>
      </c>
      <c r="J448" s="417" t="s">
        <v>804</v>
      </c>
      <c r="K448" s="418">
        <v>1840</v>
      </c>
      <c r="L448" s="419">
        <v>3172</v>
      </c>
      <c r="M448" s="418"/>
      <c r="N448" s="414"/>
      <c r="O448" s="414"/>
      <c r="P448" s="418"/>
      <c r="Q448" s="418"/>
    </row>
    <row r="449" spans="1:17" s="32" customFormat="1" ht="19.5" customHeight="1">
      <c r="A449" s="411">
        <v>490</v>
      </c>
      <c r="B449" s="412" t="s">
        <v>9896</v>
      </c>
      <c r="C449" s="413"/>
      <c r="D449" s="413"/>
      <c r="E449" s="413" t="s">
        <v>9897</v>
      </c>
      <c r="F449" s="411" t="s">
        <v>9898</v>
      </c>
      <c r="G449" s="411" t="s">
        <v>5622</v>
      </c>
      <c r="H449" s="411" t="s">
        <v>238</v>
      </c>
      <c r="I449" s="411" t="s">
        <v>10</v>
      </c>
      <c r="J449" s="411" t="s">
        <v>9675</v>
      </c>
      <c r="K449" s="414">
        <v>2360</v>
      </c>
      <c r="L449" s="415">
        <v>0</v>
      </c>
      <c r="M449" s="414"/>
      <c r="N449" s="414"/>
      <c r="O449" s="414"/>
      <c r="P449" s="414"/>
      <c r="Q449" s="414"/>
    </row>
    <row r="450" spans="1:17" s="32" customFormat="1" ht="19.5" customHeight="1">
      <c r="A450" s="411">
        <v>491</v>
      </c>
      <c r="B450" s="412" t="s">
        <v>9896</v>
      </c>
      <c r="C450" s="413"/>
      <c r="D450" s="413"/>
      <c r="E450" s="413" t="s">
        <v>9899</v>
      </c>
      <c r="F450" s="411" t="s">
        <v>9900</v>
      </c>
      <c r="G450" s="411" t="s">
        <v>5622</v>
      </c>
      <c r="H450" s="411" t="s">
        <v>327</v>
      </c>
      <c r="I450" s="411" t="s">
        <v>10</v>
      </c>
      <c r="J450" s="411" t="s">
        <v>9675</v>
      </c>
      <c r="K450" s="414">
        <v>1936</v>
      </c>
      <c r="L450" s="415">
        <v>6</v>
      </c>
      <c r="M450" s="414"/>
      <c r="N450" s="414"/>
      <c r="O450" s="414"/>
      <c r="P450" s="414"/>
      <c r="Q450" s="414"/>
    </row>
    <row r="451" spans="1:17" s="32" customFormat="1" ht="19.5" customHeight="1">
      <c r="A451" s="411">
        <v>493</v>
      </c>
      <c r="B451" s="412" t="s">
        <v>9901</v>
      </c>
      <c r="C451" s="413"/>
      <c r="D451" s="413"/>
      <c r="E451" s="413" t="s">
        <v>9902</v>
      </c>
      <c r="F451" s="411" t="s">
        <v>9903</v>
      </c>
      <c r="G451" s="411" t="s">
        <v>8925</v>
      </c>
      <c r="H451" s="411" t="s">
        <v>715</v>
      </c>
      <c r="I451" s="411" t="s">
        <v>14</v>
      </c>
      <c r="J451" s="411" t="s">
        <v>2679</v>
      </c>
      <c r="K451" s="414">
        <v>37800</v>
      </c>
      <c r="L451" s="415">
        <v>6</v>
      </c>
      <c r="M451" s="414"/>
      <c r="N451" s="414"/>
      <c r="O451" s="414"/>
      <c r="P451" s="414"/>
      <c r="Q451" s="414"/>
    </row>
    <row r="452" spans="1:17" s="32" customFormat="1" ht="19.5" customHeight="1">
      <c r="A452" s="411">
        <v>495</v>
      </c>
      <c r="B452" s="413" t="s">
        <v>9904</v>
      </c>
      <c r="C452" s="413"/>
      <c r="D452" s="413"/>
      <c r="E452" s="413" t="s">
        <v>9905</v>
      </c>
      <c r="F452" s="411" t="s">
        <v>8513</v>
      </c>
      <c r="G452" s="411" t="s">
        <v>213</v>
      </c>
      <c r="H452" s="411" t="s">
        <v>4660</v>
      </c>
      <c r="I452" s="411" t="s">
        <v>15</v>
      </c>
      <c r="J452" s="411" t="s">
        <v>2163</v>
      </c>
      <c r="K452" s="414">
        <v>30000</v>
      </c>
      <c r="L452" s="415">
        <v>0</v>
      </c>
      <c r="M452" s="414"/>
      <c r="N452" s="414"/>
      <c r="O452" s="414"/>
      <c r="P452" s="414"/>
      <c r="Q452" s="414"/>
    </row>
    <row r="453" spans="1:17" s="32" customFormat="1" ht="19.5" customHeight="1">
      <c r="A453" s="411">
        <v>496</v>
      </c>
      <c r="B453" s="413" t="s">
        <v>9906</v>
      </c>
      <c r="C453" s="413"/>
      <c r="D453" s="413"/>
      <c r="E453" s="413" t="s">
        <v>90</v>
      </c>
      <c r="F453" s="411" t="s">
        <v>9907</v>
      </c>
      <c r="G453" s="411" t="s">
        <v>213</v>
      </c>
      <c r="H453" s="411" t="s">
        <v>9908</v>
      </c>
      <c r="I453" s="411" t="s">
        <v>11</v>
      </c>
      <c r="J453" s="411" t="s">
        <v>553</v>
      </c>
      <c r="K453" s="414">
        <v>1200</v>
      </c>
      <c r="L453" s="415">
        <v>0</v>
      </c>
      <c r="M453" s="414"/>
      <c r="N453" s="414"/>
      <c r="O453" s="414"/>
      <c r="P453" s="414"/>
      <c r="Q453" s="414"/>
    </row>
    <row r="454" spans="1:17" s="32" customFormat="1" ht="19.5" customHeight="1">
      <c r="A454" s="411">
        <v>497</v>
      </c>
      <c r="B454" s="413" t="s">
        <v>9909</v>
      </c>
      <c r="C454" s="413"/>
      <c r="D454" s="413"/>
      <c r="E454" s="413" t="s">
        <v>9910</v>
      </c>
      <c r="F454" s="411" t="s">
        <v>9279</v>
      </c>
      <c r="G454" s="411" t="s">
        <v>213</v>
      </c>
      <c r="H454" s="411" t="s">
        <v>9911</v>
      </c>
      <c r="I454" s="411" t="s">
        <v>11</v>
      </c>
      <c r="J454" s="411" t="s">
        <v>553</v>
      </c>
      <c r="K454" s="414">
        <v>3900</v>
      </c>
      <c r="L454" s="415">
        <v>7980</v>
      </c>
      <c r="M454" s="414"/>
      <c r="N454" s="414"/>
      <c r="O454" s="414"/>
      <c r="P454" s="414"/>
      <c r="Q454" s="414"/>
    </row>
    <row r="455" spans="1:17" s="32" customFormat="1" ht="19.5" customHeight="1">
      <c r="A455" s="411">
        <v>498</v>
      </c>
      <c r="B455" s="412" t="s">
        <v>9912</v>
      </c>
      <c r="C455" s="413"/>
      <c r="D455" s="413"/>
      <c r="E455" s="413" t="s">
        <v>9913</v>
      </c>
      <c r="F455" s="411" t="s">
        <v>9914</v>
      </c>
      <c r="G455" s="411" t="s">
        <v>213</v>
      </c>
      <c r="H455" s="411" t="s">
        <v>9911</v>
      </c>
      <c r="I455" s="411" t="s">
        <v>11</v>
      </c>
      <c r="J455" s="411" t="s">
        <v>553</v>
      </c>
      <c r="K455" s="414">
        <v>3750</v>
      </c>
      <c r="L455" s="415">
        <v>0</v>
      </c>
      <c r="M455" s="414"/>
      <c r="N455" s="414"/>
      <c r="O455" s="414"/>
      <c r="P455" s="414"/>
      <c r="Q455" s="414"/>
    </row>
    <row r="456" spans="1:17" s="32" customFormat="1" ht="19.5" customHeight="1">
      <c r="A456" s="411"/>
      <c r="B456" s="412"/>
      <c r="C456" s="413"/>
      <c r="D456" s="413"/>
      <c r="E456" s="413" t="s">
        <v>9915</v>
      </c>
      <c r="F456" s="411" t="s">
        <v>9916</v>
      </c>
      <c r="G456" s="411" t="s">
        <v>213</v>
      </c>
      <c r="H456" s="411" t="s">
        <v>299</v>
      </c>
      <c r="I456" s="411" t="s">
        <v>11</v>
      </c>
      <c r="J456" s="411" t="s">
        <v>9063</v>
      </c>
      <c r="K456" s="414">
        <v>7980</v>
      </c>
      <c r="L456" s="415">
        <v>29</v>
      </c>
      <c r="M456" s="414"/>
      <c r="N456" s="414"/>
      <c r="O456" s="414"/>
      <c r="P456" s="414"/>
      <c r="Q456" s="414"/>
    </row>
    <row r="457" spans="1:17" s="32" customFormat="1" ht="19.5" customHeight="1">
      <c r="A457" s="411">
        <v>499</v>
      </c>
      <c r="B457" s="413" t="s">
        <v>9917</v>
      </c>
      <c r="C457" s="413"/>
      <c r="D457" s="413"/>
      <c r="E457" s="413" t="s">
        <v>96</v>
      </c>
      <c r="F457" s="411" t="s">
        <v>2307</v>
      </c>
      <c r="G457" s="411" t="s">
        <v>213</v>
      </c>
      <c r="H457" s="411" t="s">
        <v>9918</v>
      </c>
      <c r="I457" s="411" t="s">
        <v>10</v>
      </c>
      <c r="J457" s="411" t="s">
        <v>9063</v>
      </c>
      <c r="K457" s="414">
        <v>2500</v>
      </c>
      <c r="L457" s="415">
        <v>8700</v>
      </c>
      <c r="M457" s="414"/>
      <c r="N457" s="414"/>
      <c r="O457" s="414"/>
      <c r="P457" s="414"/>
      <c r="Q457" s="414"/>
    </row>
    <row r="458" spans="1:17" s="32" customFormat="1" ht="19.5" customHeight="1">
      <c r="A458" s="411">
        <v>500</v>
      </c>
      <c r="B458" s="420" t="s">
        <v>2989</v>
      </c>
      <c r="C458" s="421"/>
      <c r="D458" s="421"/>
      <c r="E458" s="412" t="s">
        <v>9919</v>
      </c>
      <c r="F458" s="417" t="s">
        <v>2991</v>
      </c>
      <c r="G458" s="417" t="s">
        <v>5105</v>
      </c>
      <c r="H458" s="417" t="s">
        <v>2993</v>
      </c>
      <c r="I458" s="417" t="s">
        <v>9070</v>
      </c>
      <c r="J458" s="417" t="s">
        <v>9920</v>
      </c>
      <c r="K458" s="418">
        <v>98000</v>
      </c>
      <c r="L458" s="419">
        <v>183</v>
      </c>
      <c r="M458" s="418"/>
      <c r="N458" s="414"/>
      <c r="O458" s="414"/>
      <c r="P458" s="418"/>
      <c r="Q458" s="418"/>
    </row>
    <row r="459" spans="1:17" s="32" customFormat="1" ht="19.5" customHeight="1">
      <c r="A459" s="411">
        <v>501</v>
      </c>
      <c r="B459" s="413" t="s">
        <v>1756</v>
      </c>
      <c r="C459" s="413"/>
      <c r="D459" s="413"/>
      <c r="E459" s="413" t="s">
        <v>1757</v>
      </c>
      <c r="F459" s="411" t="s">
        <v>2996</v>
      </c>
      <c r="G459" s="411" t="s">
        <v>213</v>
      </c>
      <c r="H459" s="411" t="s">
        <v>899</v>
      </c>
      <c r="I459" s="411" t="s">
        <v>11</v>
      </c>
      <c r="J459" s="411" t="s">
        <v>9813</v>
      </c>
      <c r="K459" s="414">
        <v>12000</v>
      </c>
      <c r="L459" s="415">
        <v>80</v>
      </c>
      <c r="M459" s="414"/>
      <c r="N459" s="414"/>
      <c r="O459" s="414"/>
      <c r="P459" s="414"/>
      <c r="Q459" s="414"/>
    </row>
    <row r="460" spans="1:17" s="32" customFormat="1" ht="19.5" customHeight="1">
      <c r="A460" s="411">
        <v>502</v>
      </c>
      <c r="B460" s="412" t="s">
        <v>3322</v>
      </c>
      <c r="C460" s="413"/>
      <c r="D460" s="413"/>
      <c r="E460" s="413" t="s">
        <v>3593</v>
      </c>
      <c r="F460" s="411" t="s">
        <v>9921</v>
      </c>
      <c r="G460" s="411" t="s">
        <v>6694</v>
      </c>
      <c r="H460" s="411" t="s">
        <v>327</v>
      </c>
      <c r="I460" s="411" t="s">
        <v>11</v>
      </c>
      <c r="J460" s="411" t="s">
        <v>9813</v>
      </c>
      <c r="K460" s="414">
        <v>1380</v>
      </c>
      <c r="L460" s="415">
        <v>4787</v>
      </c>
      <c r="M460" s="414"/>
      <c r="N460" s="414"/>
      <c r="O460" s="414"/>
      <c r="P460" s="414"/>
      <c r="Q460" s="414"/>
    </row>
    <row r="461" spans="1:17" s="32" customFormat="1" ht="19.5" customHeight="1">
      <c r="A461" s="411">
        <v>504</v>
      </c>
      <c r="B461" s="413" t="s">
        <v>9922</v>
      </c>
      <c r="C461" s="413"/>
      <c r="D461" s="413"/>
      <c r="E461" s="413" t="s">
        <v>3594</v>
      </c>
      <c r="F461" s="411" t="s">
        <v>1183</v>
      </c>
      <c r="G461" s="411" t="s">
        <v>213</v>
      </c>
      <c r="H461" s="411" t="s">
        <v>1182</v>
      </c>
      <c r="I461" s="411" t="s">
        <v>520</v>
      </c>
      <c r="J461" s="411" t="s">
        <v>3049</v>
      </c>
      <c r="K461" s="414">
        <v>7500</v>
      </c>
      <c r="L461" s="415">
        <v>100</v>
      </c>
      <c r="M461" s="414"/>
      <c r="N461" s="414"/>
      <c r="O461" s="414"/>
      <c r="P461" s="414"/>
      <c r="Q461" s="414"/>
    </row>
    <row r="462" spans="1:17" s="32" customFormat="1" ht="19.5" customHeight="1">
      <c r="A462" s="411">
        <v>505</v>
      </c>
      <c r="B462" s="412" t="s">
        <v>9923</v>
      </c>
      <c r="C462" s="413"/>
      <c r="D462" s="413"/>
      <c r="E462" s="413" t="s">
        <v>9924</v>
      </c>
      <c r="F462" s="411" t="s">
        <v>9925</v>
      </c>
      <c r="G462" s="411" t="s">
        <v>5273</v>
      </c>
      <c r="H462" s="411" t="s">
        <v>9926</v>
      </c>
      <c r="I462" s="411" t="s">
        <v>628</v>
      </c>
      <c r="J462" s="411" t="s">
        <v>9927</v>
      </c>
      <c r="K462" s="414">
        <v>140000</v>
      </c>
      <c r="L462" s="415">
        <v>38</v>
      </c>
      <c r="M462" s="414"/>
      <c r="N462" s="414"/>
      <c r="O462" s="414"/>
      <c r="P462" s="414"/>
      <c r="Q462" s="414"/>
    </row>
    <row r="463" spans="1:17" s="32" customFormat="1" ht="19.5" customHeight="1">
      <c r="A463" s="411">
        <v>506</v>
      </c>
      <c r="B463" s="412" t="s">
        <v>9923</v>
      </c>
      <c r="C463" s="413"/>
      <c r="D463" s="413"/>
      <c r="E463" s="413" t="s">
        <v>9928</v>
      </c>
      <c r="F463" s="411" t="s">
        <v>9929</v>
      </c>
      <c r="G463" s="411" t="s">
        <v>5273</v>
      </c>
      <c r="H463" s="411" t="s">
        <v>9930</v>
      </c>
      <c r="I463" s="411" t="s">
        <v>628</v>
      </c>
      <c r="J463" s="411" t="s">
        <v>9931</v>
      </c>
      <c r="K463" s="414">
        <v>180000</v>
      </c>
      <c r="L463" s="415">
        <v>0</v>
      </c>
      <c r="M463" s="414"/>
      <c r="N463" s="414"/>
      <c r="O463" s="414"/>
      <c r="P463" s="414"/>
      <c r="Q463" s="414"/>
    </row>
    <row r="464" spans="1:17" s="32" customFormat="1" ht="19.5" customHeight="1">
      <c r="A464" s="411">
        <v>507</v>
      </c>
      <c r="B464" s="412" t="s">
        <v>9932</v>
      </c>
      <c r="C464" s="413"/>
      <c r="D464" s="413"/>
      <c r="E464" s="413" t="s">
        <v>9933</v>
      </c>
      <c r="F464" s="411" t="s">
        <v>9934</v>
      </c>
      <c r="G464" s="411" t="s">
        <v>213</v>
      </c>
      <c r="H464" s="411" t="s">
        <v>1580</v>
      </c>
      <c r="I464" s="411" t="s">
        <v>11</v>
      </c>
      <c r="J464" s="411" t="s">
        <v>9063</v>
      </c>
      <c r="K464" s="414">
        <v>6380</v>
      </c>
      <c r="L464" s="415">
        <v>0</v>
      </c>
      <c r="M464" s="414"/>
      <c r="N464" s="414"/>
      <c r="O464" s="414"/>
      <c r="P464" s="414"/>
      <c r="Q464" s="414"/>
    </row>
    <row r="465" spans="1:17" s="32" customFormat="1" ht="19.5" customHeight="1">
      <c r="A465" s="411">
        <v>508</v>
      </c>
      <c r="B465" s="412" t="s">
        <v>9935</v>
      </c>
      <c r="C465" s="413"/>
      <c r="D465" s="413"/>
      <c r="E465" s="413" t="s">
        <v>9936</v>
      </c>
      <c r="F465" s="411" t="s">
        <v>9937</v>
      </c>
      <c r="G465" s="411" t="s">
        <v>213</v>
      </c>
      <c r="H465" s="411" t="s">
        <v>9938</v>
      </c>
      <c r="I465" s="411" t="s">
        <v>11</v>
      </c>
      <c r="J465" s="411" t="s">
        <v>9939</v>
      </c>
      <c r="K465" s="414">
        <v>1800</v>
      </c>
      <c r="L465" s="415">
        <v>0</v>
      </c>
      <c r="M465" s="414"/>
      <c r="N465" s="414"/>
      <c r="O465" s="414"/>
      <c r="P465" s="414"/>
      <c r="Q465" s="414"/>
    </row>
    <row r="466" spans="1:17" s="32" customFormat="1" ht="19.5" customHeight="1">
      <c r="A466" s="411">
        <v>509</v>
      </c>
      <c r="B466" s="412" t="s">
        <v>9940</v>
      </c>
      <c r="C466" s="413"/>
      <c r="D466" s="413"/>
      <c r="E466" s="413" t="s">
        <v>9941</v>
      </c>
      <c r="F466" s="411" t="s">
        <v>9942</v>
      </c>
      <c r="G466" s="411" t="s">
        <v>213</v>
      </c>
      <c r="H466" s="411" t="s">
        <v>390</v>
      </c>
      <c r="I466" s="411" t="s">
        <v>11</v>
      </c>
      <c r="J466" s="411" t="s">
        <v>778</v>
      </c>
      <c r="K466" s="414">
        <v>3100</v>
      </c>
      <c r="L466" s="415">
        <v>35</v>
      </c>
      <c r="M466" s="414"/>
      <c r="N466" s="414"/>
      <c r="O466" s="414"/>
      <c r="P466" s="414"/>
      <c r="Q466" s="414"/>
    </row>
    <row r="467" spans="1:17" s="32" customFormat="1" ht="19.5" customHeight="1">
      <c r="A467" s="411">
        <v>510</v>
      </c>
      <c r="B467" s="412" t="s">
        <v>9943</v>
      </c>
      <c r="C467" s="413"/>
      <c r="D467" s="413"/>
      <c r="E467" s="413" t="s">
        <v>9944</v>
      </c>
      <c r="F467" s="411" t="s">
        <v>9945</v>
      </c>
      <c r="G467" s="411" t="s">
        <v>213</v>
      </c>
      <c r="H467" s="411" t="s">
        <v>9946</v>
      </c>
      <c r="I467" s="411" t="s">
        <v>11</v>
      </c>
      <c r="J467" s="411" t="s">
        <v>9947</v>
      </c>
      <c r="K467" s="414">
        <v>1750</v>
      </c>
      <c r="L467" s="415">
        <v>0</v>
      </c>
      <c r="M467" s="414"/>
      <c r="N467" s="414"/>
      <c r="O467" s="414"/>
      <c r="P467" s="414"/>
      <c r="Q467" s="414"/>
    </row>
    <row r="468" spans="1:17" s="32" customFormat="1" ht="19.5" customHeight="1">
      <c r="A468" s="411">
        <v>511</v>
      </c>
      <c r="B468" s="412" t="s">
        <v>638</v>
      </c>
      <c r="C468" s="413"/>
      <c r="D468" s="413"/>
      <c r="E468" s="413" t="s">
        <v>9948</v>
      </c>
      <c r="F468" s="411" t="s">
        <v>9949</v>
      </c>
      <c r="G468" s="411" t="s">
        <v>6694</v>
      </c>
      <c r="H468" s="411" t="s">
        <v>9950</v>
      </c>
      <c r="I468" s="411" t="s">
        <v>13</v>
      </c>
      <c r="J468" s="411" t="s">
        <v>9951</v>
      </c>
      <c r="K468" s="414">
        <v>3990</v>
      </c>
      <c r="L468" s="415">
        <v>0</v>
      </c>
      <c r="M468" s="414"/>
      <c r="N468" s="414"/>
      <c r="O468" s="414"/>
      <c r="P468" s="414"/>
      <c r="Q468" s="414"/>
    </row>
    <row r="469" spans="1:17" s="32" customFormat="1" ht="19.5" customHeight="1">
      <c r="A469" s="411">
        <v>513</v>
      </c>
      <c r="B469" s="413" t="s">
        <v>531</v>
      </c>
      <c r="C469" s="413"/>
      <c r="D469" s="413"/>
      <c r="E469" s="413" t="s">
        <v>9952</v>
      </c>
      <c r="F469" s="411" t="s">
        <v>9953</v>
      </c>
      <c r="G469" s="411" t="s">
        <v>213</v>
      </c>
      <c r="H469" s="411" t="s">
        <v>533</v>
      </c>
      <c r="I469" s="411" t="s">
        <v>520</v>
      </c>
      <c r="J469" s="411" t="s">
        <v>2654</v>
      </c>
      <c r="K469" s="414">
        <v>1820</v>
      </c>
      <c r="L469" s="415">
        <v>168</v>
      </c>
      <c r="M469" s="414"/>
      <c r="N469" s="414"/>
      <c r="O469" s="414"/>
      <c r="P469" s="414"/>
      <c r="Q469" s="414"/>
    </row>
    <row r="470" spans="1:17" s="32" customFormat="1" ht="19.5" customHeight="1">
      <c r="A470" s="411">
        <v>514</v>
      </c>
      <c r="B470" s="412" t="s">
        <v>9954</v>
      </c>
      <c r="C470" s="413"/>
      <c r="D470" s="413"/>
      <c r="E470" s="413" t="s">
        <v>9955</v>
      </c>
      <c r="F470" s="411" t="s">
        <v>9956</v>
      </c>
      <c r="G470" s="411" t="s">
        <v>6694</v>
      </c>
      <c r="H470" s="411" t="s">
        <v>1115</v>
      </c>
      <c r="I470" s="411" t="s">
        <v>13</v>
      </c>
      <c r="J470" s="411" t="s">
        <v>9951</v>
      </c>
      <c r="K470" s="414">
        <v>3995</v>
      </c>
      <c r="L470" s="415">
        <v>0</v>
      </c>
      <c r="M470" s="414"/>
      <c r="N470" s="414"/>
      <c r="O470" s="414"/>
      <c r="P470" s="414"/>
      <c r="Q470" s="414"/>
    </row>
    <row r="471" spans="1:17" s="32" customFormat="1" ht="19.5" customHeight="1">
      <c r="A471" s="411">
        <v>516</v>
      </c>
      <c r="B471" s="413" t="s">
        <v>9957</v>
      </c>
      <c r="C471" s="413"/>
      <c r="D471" s="413"/>
      <c r="E471" s="413" t="s">
        <v>9958</v>
      </c>
      <c r="F471" s="411" t="s">
        <v>9959</v>
      </c>
      <c r="G471" s="411" t="s">
        <v>213</v>
      </c>
      <c r="H471" s="411" t="s">
        <v>1115</v>
      </c>
      <c r="I471" s="411" t="s">
        <v>13</v>
      </c>
      <c r="J471" s="411" t="s">
        <v>9951</v>
      </c>
      <c r="K471" s="414">
        <v>3950</v>
      </c>
      <c r="L471" s="415">
        <v>0</v>
      </c>
      <c r="M471" s="414"/>
      <c r="N471" s="414"/>
      <c r="O471" s="414"/>
      <c r="P471" s="414"/>
      <c r="Q471" s="414"/>
    </row>
    <row r="472" spans="1:17" s="32" customFormat="1" ht="19.5" customHeight="1">
      <c r="A472" s="411">
        <v>519</v>
      </c>
      <c r="B472" s="413" t="s">
        <v>433</v>
      </c>
      <c r="C472" s="413"/>
      <c r="D472" s="413"/>
      <c r="E472" s="413" t="s">
        <v>2487</v>
      </c>
      <c r="F472" s="411" t="s">
        <v>3002</v>
      </c>
      <c r="G472" s="411" t="s">
        <v>213</v>
      </c>
      <c r="H472" s="411" t="s">
        <v>1200</v>
      </c>
      <c r="I472" s="411" t="s">
        <v>13</v>
      </c>
      <c r="J472" s="411" t="s">
        <v>1106</v>
      </c>
      <c r="K472" s="414">
        <v>1321</v>
      </c>
      <c r="L472" s="415">
        <v>2400</v>
      </c>
      <c r="M472" s="414"/>
      <c r="N472" s="414"/>
      <c r="O472" s="414"/>
      <c r="P472" s="414"/>
      <c r="Q472" s="414"/>
    </row>
    <row r="473" spans="1:17" s="32" customFormat="1" ht="19.5" customHeight="1">
      <c r="A473" s="411">
        <v>517</v>
      </c>
      <c r="B473" s="412" t="s">
        <v>9321</v>
      </c>
      <c r="C473" s="413"/>
      <c r="D473" s="413"/>
      <c r="E473" s="413" t="s">
        <v>2487</v>
      </c>
      <c r="F473" s="411" t="s">
        <v>3002</v>
      </c>
      <c r="G473" s="411" t="s">
        <v>6694</v>
      </c>
      <c r="H473" s="411" t="s">
        <v>1200</v>
      </c>
      <c r="I473" s="411" t="s">
        <v>13</v>
      </c>
      <c r="J473" s="411" t="s">
        <v>1106</v>
      </c>
      <c r="K473" s="414">
        <v>1515</v>
      </c>
      <c r="L473" s="415">
        <v>713</v>
      </c>
      <c r="M473" s="414"/>
      <c r="N473" s="414"/>
      <c r="O473" s="414"/>
      <c r="P473" s="414"/>
      <c r="Q473" s="414"/>
    </row>
    <row r="474" spans="1:17" s="32" customFormat="1" ht="19.5" customHeight="1">
      <c r="A474" s="411">
        <v>520</v>
      </c>
      <c r="B474" s="413" t="s">
        <v>433</v>
      </c>
      <c r="C474" s="413"/>
      <c r="D474" s="413"/>
      <c r="E474" s="413" t="s">
        <v>9960</v>
      </c>
      <c r="F474" s="411" t="s">
        <v>9961</v>
      </c>
      <c r="G474" s="411" t="s">
        <v>213</v>
      </c>
      <c r="H474" s="411" t="s">
        <v>225</v>
      </c>
      <c r="I474" s="411" t="s">
        <v>11</v>
      </c>
      <c r="J474" s="411" t="s">
        <v>9962</v>
      </c>
      <c r="K474" s="414">
        <v>2487</v>
      </c>
      <c r="L474" s="415">
        <v>7924</v>
      </c>
      <c r="M474" s="414"/>
      <c r="N474" s="414"/>
      <c r="O474" s="414"/>
      <c r="P474" s="414"/>
      <c r="Q474" s="414"/>
    </row>
    <row r="475" spans="1:17" s="32" customFormat="1" ht="19.5" customHeight="1">
      <c r="A475" s="411">
        <v>521</v>
      </c>
      <c r="B475" s="412" t="s">
        <v>3007</v>
      </c>
      <c r="C475" s="413"/>
      <c r="D475" s="413"/>
      <c r="E475" s="413" t="s">
        <v>9963</v>
      </c>
      <c r="F475" s="411" t="s">
        <v>9964</v>
      </c>
      <c r="G475" s="411" t="s">
        <v>213</v>
      </c>
      <c r="H475" s="411" t="s">
        <v>267</v>
      </c>
      <c r="I475" s="411" t="s">
        <v>9115</v>
      </c>
      <c r="J475" s="411" t="s">
        <v>9063</v>
      </c>
      <c r="K475" s="414">
        <v>120</v>
      </c>
      <c r="L475" s="415">
        <v>0</v>
      </c>
      <c r="M475" s="414"/>
      <c r="N475" s="414"/>
      <c r="O475" s="414"/>
      <c r="P475" s="414"/>
      <c r="Q475" s="414"/>
    </row>
    <row r="476" spans="1:17" s="32" customFormat="1" ht="19.5" customHeight="1">
      <c r="A476" s="411">
        <v>522</v>
      </c>
      <c r="B476" s="412" t="s">
        <v>3007</v>
      </c>
      <c r="C476" s="413"/>
      <c r="D476" s="413"/>
      <c r="E476" s="413" t="s">
        <v>9963</v>
      </c>
      <c r="F476" s="411" t="s">
        <v>3006</v>
      </c>
      <c r="G476" s="411" t="s">
        <v>213</v>
      </c>
      <c r="H476" s="411" t="s">
        <v>267</v>
      </c>
      <c r="I476" s="411" t="s">
        <v>11</v>
      </c>
      <c r="J476" s="411" t="s">
        <v>9063</v>
      </c>
      <c r="K476" s="414">
        <v>144</v>
      </c>
      <c r="L476" s="415">
        <v>48</v>
      </c>
      <c r="M476" s="414"/>
      <c r="N476" s="414"/>
      <c r="O476" s="414"/>
      <c r="P476" s="414"/>
      <c r="Q476" s="414"/>
    </row>
    <row r="477" spans="1:17" s="32" customFormat="1" ht="19.5" customHeight="1">
      <c r="A477" s="411">
        <v>524</v>
      </c>
      <c r="B477" s="412" t="s">
        <v>3007</v>
      </c>
      <c r="C477" s="413"/>
      <c r="D477" s="413"/>
      <c r="E477" s="413" t="s">
        <v>3595</v>
      </c>
      <c r="F477" s="411" t="s">
        <v>3008</v>
      </c>
      <c r="G477" s="411" t="s">
        <v>6330</v>
      </c>
      <c r="H477" s="411" t="s">
        <v>235</v>
      </c>
      <c r="I477" s="411" t="s">
        <v>520</v>
      </c>
      <c r="J477" s="411" t="s">
        <v>9965</v>
      </c>
      <c r="K477" s="414">
        <v>5500</v>
      </c>
      <c r="L477" s="415">
        <v>2</v>
      </c>
      <c r="M477" s="414"/>
      <c r="N477" s="414"/>
      <c r="O477" s="414"/>
      <c r="P477" s="414"/>
      <c r="Q477" s="414"/>
    </row>
    <row r="478" spans="1:17" s="32" customFormat="1" ht="19.5" customHeight="1">
      <c r="A478" s="411">
        <v>525</v>
      </c>
      <c r="B478" s="412" t="s">
        <v>3007</v>
      </c>
      <c r="C478" s="413"/>
      <c r="D478" s="413"/>
      <c r="E478" s="413" t="s">
        <v>9966</v>
      </c>
      <c r="F478" s="411" t="s">
        <v>9967</v>
      </c>
      <c r="G478" s="411" t="s">
        <v>6694</v>
      </c>
      <c r="H478" s="411" t="s">
        <v>235</v>
      </c>
      <c r="I478" s="411" t="s">
        <v>520</v>
      </c>
      <c r="J478" s="411" t="s">
        <v>241</v>
      </c>
      <c r="K478" s="414">
        <v>2286</v>
      </c>
      <c r="L478" s="415">
        <v>19</v>
      </c>
      <c r="M478" s="414"/>
      <c r="N478" s="414"/>
      <c r="O478" s="414"/>
      <c r="P478" s="414"/>
      <c r="Q478" s="414"/>
    </row>
    <row r="479" spans="1:17" s="32" customFormat="1" ht="19.5" customHeight="1">
      <c r="A479" s="411">
        <v>528</v>
      </c>
      <c r="B479" s="412" t="s">
        <v>9968</v>
      </c>
      <c r="C479" s="413"/>
      <c r="D479" s="413"/>
      <c r="E479" s="413" t="s">
        <v>9969</v>
      </c>
      <c r="F479" s="411" t="s">
        <v>2346</v>
      </c>
      <c r="G479" s="411" t="s">
        <v>6694</v>
      </c>
      <c r="H479" s="411" t="s">
        <v>9970</v>
      </c>
      <c r="I479" s="411" t="s">
        <v>11</v>
      </c>
      <c r="J479" s="411" t="s">
        <v>804</v>
      </c>
      <c r="K479" s="414">
        <v>546</v>
      </c>
      <c r="L479" s="415">
        <v>8155</v>
      </c>
      <c r="M479" s="414"/>
      <c r="N479" s="414"/>
      <c r="O479" s="414"/>
      <c r="P479" s="414"/>
      <c r="Q479" s="414"/>
    </row>
    <row r="480" spans="1:17" s="32" customFormat="1" ht="19.5" customHeight="1">
      <c r="A480" s="411">
        <v>530</v>
      </c>
      <c r="B480" s="412" t="s">
        <v>9971</v>
      </c>
      <c r="C480" s="413"/>
      <c r="D480" s="413"/>
      <c r="E480" s="413" t="s">
        <v>9972</v>
      </c>
      <c r="F480" s="411" t="s">
        <v>963</v>
      </c>
      <c r="G480" s="411" t="s">
        <v>5116</v>
      </c>
      <c r="H480" s="411" t="s">
        <v>962</v>
      </c>
      <c r="I480" s="411" t="s">
        <v>13</v>
      </c>
      <c r="J480" s="411" t="s">
        <v>9973</v>
      </c>
      <c r="K480" s="414">
        <v>3053</v>
      </c>
      <c r="L480" s="415">
        <v>0</v>
      </c>
      <c r="M480" s="414"/>
      <c r="N480" s="414"/>
      <c r="O480" s="414"/>
      <c r="P480" s="414"/>
      <c r="Q480" s="414"/>
    </row>
    <row r="481" spans="1:17" s="32" customFormat="1" ht="19.5" customHeight="1">
      <c r="A481" s="411"/>
      <c r="B481" s="412"/>
      <c r="C481" s="413"/>
      <c r="D481" s="413"/>
      <c r="E481" s="413" t="s">
        <v>9974</v>
      </c>
      <c r="F481" s="422" t="s">
        <v>3014</v>
      </c>
      <c r="G481" s="411" t="s">
        <v>6795</v>
      </c>
      <c r="H481" s="411" t="s">
        <v>9975</v>
      </c>
      <c r="I481" s="411" t="s">
        <v>15</v>
      </c>
      <c r="J481" s="411" t="s">
        <v>9724</v>
      </c>
      <c r="K481" s="414">
        <v>115861</v>
      </c>
      <c r="L481" s="415">
        <v>5</v>
      </c>
      <c r="M481" s="414"/>
      <c r="N481" s="414"/>
      <c r="O481" s="414"/>
      <c r="P481" s="414"/>
      <c r="Q481" s="414"/>
    </row>
    <row r="482" spans="1:17" s="32" customFormat="1" ht="19.5" customHeight="1">
      <c r="A482" s="411"/>
      <c r="B482" s="412"/>
      <c r="C482" s="413"/>
      <c r="D482" s="413"/>
      <c r="E482" s="413" t="s">
        <v>9976</v>
      </c>
      <c r="F482" s="422" t="s">
        <v>9977</v>
      </c>
      <c r="G482" s="411" t="s">
        <v>5605</v>
      </c>
      <c r="H482" s="411" t="s">
        <v>1200</v>
      </c>
      <c r="I482" s="411" t="s">
        <v>12</v>
      </c>
      <c r="J482" s="411" t="s">
        <v>562</v>
      </c>
      <c r="K482" s="414">
        <v>4800</v>
      </c>
      <c r="L482" s="415">
        <v>49</v>
      </c>
      <c r="M482" s="414"/>
      <c r="N482" s="414"/>
      <c r="O482" s="414"/>
      <c r="P482" s="414"/>
      <c r="Q482" s="414"/>
    </row>
    <row r="483" spans="1:17" s="32" customFormat="1" ht="19.5" customHeight="1">
      <c r="A483" s="411">
        <v>531</v>
      </c>
      <c r="B483" s="439" t="s">
        <v>9978</v>
      </c>
      <c r="C483" s="440"/>
      <c r="D483" s="413"/>
      <c r="E483" s="439" t="s">
        <v>9979</v>
      </c>
      <c r="F483" s="436" t="s">
        <v>9980</v>
      </c>
      <c r="G483" s="436" t="s">
        <v>213</v>
      </c>
      <c r="H483" s="436" t="s">
        <v>9981</v>
      </c>
      <c r="I483" s="436" t="s">
        <v>658</v>
      </c>
      <c r="J483" s="436" t="s">
        <v>9585</v>
      </c>
      <c r="K483" s="429">
        <v>2520</v>
      </c>
      <c r="L483" s="430">
        <v>34</v>
      </c>
      <c r="M483" s="429"/>
      <c r="N483" s="414"/>
      <c r="O483" s="414"/>
      <c r="P483" s="441"/>
      <c r="Q483" s="441"/>
    </row>
    <row r="484" spans="1:17" s="32" customFormat="1" ht="19.5" customHeight="1">
      <c r="A484" s="411">
        <v>532</v>
      </c>
      <c r="B484" s="412" t="s">
        <v>9982</v>
      </c>
      <c r="C484" s="413"/>
      <c r="D484" s="413"/>
      <c r="E484" s="413" t="s">
        <v>2491</v>
      </c>
      <c r="F484" s="411" t="s">
        <v>3016</v>
      </c>
      <c r="G484" s="411" t="s">
        <v>6694</v>
      </c>
      <c r="H484" s="411" t="s">
        <v>2492</v>
      </c>
      <c r="I484" s="411" t="s">
        <v>520</v>
      </c>
      <c r="J484" s="411" t="s">
        <v>9983</v>
      </c>
      <c r="K484" s="414">
        <v>945</v>
      </c>
      <c r="L484" s="415">
        <v>958</v>
      </c>
      <c r="M484" s="414"/>
      <c r="N484" s="414"/>
      <c r="O484" s="414"/>
      <c r="P484" s="414"/>
      <c r="Q484" s="414"/>
    </row>
    <row r="485" spans="1:17" s="32" customFormat="1" ht="19.5" customHeight="1">
      <c r="A485" s="411">
        <v>534</v>
      </c>
      <c r="B485" s="412" t="s">
        <v>9978</v>
      </c>
      <c r="C485" s="413"/>
      <c r="D485" s="413"/>
      <c r="E485" s="413" t="s">
        <v>9982</v>
      </c>
      <c r="F485" s="411" t="s">
        <v>9984</v>
      </c>
      <c r="G485" s="411" t="s">
        <v>213</v>
      </c>
      <c r="H485" s="411" t="s">
        <v>2492</v>
      </c>
      <c r="I485" s="411" t="s">
        <v>628</v>
      </c>
      <c r="J485" s="411" t="s">
        <v>9983</v>
      </c>
      <c r="K485" s="414">
        <v>1050</v>
      </c>
      <c r="L485" s="415">
        <v>0</v>
      </c>
      <c r="M485" s="414"/>
      <c r="N485" s="414"/>
      <c r="O485" s="414"/>
      <c r="P485" s="414"/>
      <c r="Q485" s="414"/>
    </row>
    <row r="486" spans="1:17" s="32" customFormat="1" ht="19.5" customHeight="1">
      <c r="A486" s="411">
        <v>535</v>
      </c>
      <c r="B486" s="412" t="s">
        <v>9985</v>
      </c>
      <c r="C486" s="413"/>
      <c r="D486" s="413"/>
      <c r="E486" s="413" t="s">
        <v>9986</v>
      </c>
      <c r="F486" s="411" t="s">
        <v>9987</v>
      </c>
      <c r="G486" s="411" t="s">
        <v>6694</v>
      </c>
      <c r="H486" s="411" t="s">
        <v>291</v>
      </c>
      <c r="I486" s="411" t="s">
        <v>11</v>
      </c>
      <c r="J486" s="411" t="s">
        <v>9496</v>
      </c>
      <c r="K486" s="414">
        <v>6500</v>
      </c>
      <c r="L486" s="415">
        <v>12</v>
      </c>
      <c r="M486" s="414"/>
      <c r="N486" s="414"/>
      <c r="O486" s="414"/>
      <c r="P486" s="414"/>
      <c r="Q486" s="414"/>
    </row>
    <row r="487" spans="1:17" s="32" customFormat="1" ht="19.5" customHeight="1">
      <c r="A487" s="411">
        <v>537</v>
      </c>
      <c r="B487" s="413" t="s">
        <v>9988</v>
      </c>
      <c r="C487" s="413"/>
      <c r="D487" s="413"/>
      <c r="E487" s="413" t="s">
        <v>104</v>
      </c>
      <c r="F487" s="411" t="s">
        <v>9989</v>
      </c>
      <c r="G487" s="411" t="s">
        <v>213</v>
      </c>
      <c r="H487" s="411" t="s">
        <v>9990</v>
      </c>
      <c r="I487" s="411" t="s">
        <v>10</v>
      </c>
      <c r="J487" s="411" t="s">
        <v>9496</v>
      </c>
      <c r="K487" s="414">
        <v>2650</v>
      </c>
      <c r="L487" s="415">
        <v>8600</v>
      </c>
      <c r="M487" s="414"/>
      <c r="N487" s="414"/>
      <c r="O487" s="414"/>
      <c r="P487" s="414"/>
      <c r="Q487" s="414"/>
    </row>
    <row r="488" spans="1:17" s="32" customFormat="1" ht="19.5" customHeight="1">
      <c r="A488" s="411">
        <v>540</v>
      </c>
      <c r="B488" s="413" t="s">
        <v>2038</v>
      </c>
      <c r="C488" s="413"/>
      <c r="D488" s="413"/>
      <c r="E488" s="413" t="s">
        <v>3597</v>
      </c>
      <c r="F488" s="411" t="s">
        <v>1361</v>
      </c>
      <c r="G488" s="411" t="s">
        <v>213</v>
      </c>
      <c r="H488" s="411" t="s">
        <v>225</v>
      </c>
      <c r="I488" s="411" t="s">
        <v>11</v>
      </c>
      <c r="J488" s="411" t="s">
        <v>842</v>
      </c>
      <c r="K488" s="414">
        <v>359</v>
      </c>
      <c r="L488" s="415">
        <v>20524</v>
      </c>
      <c r="M488" s="414"/>
      <c r="N488" s="414"/>
      <c r="O488" s="414"/>
      <c r="P488" s="414"/>
      <c r="Q488" s="414"/>
    </row>
    <row r="489" spans="1:17" s="32" customFormat="1" ht="19.5" customHeight="1">
      <c r="A489" s="411">
        <v>538</v>
      </c>
      <c r="B489" s="412" t="s">
        <v>9991</v>
      </c>
      <c r="C489" s="413"/>
      <c r="D489" s="413"/>
      <c r="E489" s="413" t="s">
        <v>3597</v>
      </c>
      <c r="F489" s="411" t="s">
        <v>9992</v>
      </c>
      <c r="G489" s="411" t="s">
        <v>6694</v>
      </c>
      <c r="H489" s="411" t="s">
        <v>225</v>
      </c>
      <c r="I489" s="411" t="s">
        <v>11</v>
      </c>
      <c r="J489" s="411" t="s">
        <v>842</v>
      </c>
      <c r="K489" s="414">
        <v>438</v>
      </c>
      <c r="L489" s="415">
        <v>92</v>
      </c>
      <c r="M489" s="414"/>
      <c r="N489" s="414"/>
      <c r="O489" s="414"/>
      <c r="P489" s="414"/>
      <c r="Q489" s="414"/>
    </row>
    <row r="490" spans="1:17" s="32" customFormat="1" ht="19.5" customHeight="1">
      <c r="A490" s="411">
        <v>541</v>
      </c>
      <c r="B490" s="413" t="s">
        <v>1220</v>
      </c>
      <c r="C490" s="413"/>
      <c r="D490" s="413"/>
      <c r="E490" s="413" t="s">
        <v>9993</v>
      </c>
      <c r="F490" s="411" t="s">
        <v>9994</v>
      </c>
      <c r="G490" s="411" t="s">
        <v>5622</v>
      </c>
      <c r="H490" s="411" t="s">
        <v>869</v>
      </c>
      <c r="I490" s="411" t="s">
        <v>11</v>
      </c>
      <c r="J490" s="411" t="s">
        <v>9063</v>
      </c>
      <c r="K490" s="414">
        <v>6000</v>
      </c>
      <c r="L490" s="415">
        <v>9495</v>
      </c>
      <c r="M490" s="414"/>
      <c r="N490" s="414"/>
      <c r="O490" s="414"/>
      <c r="P490" s="414"/>
      <c r="Q490" s="414"/>
    </row>
    <row r="491" spans="1:17" s="32" customFormat="1" ht="19.5" customHeight="1">
      <c r="A491" s="411">
        <v>545</v>
      </c>
      <c r="B491" s="413" t="s">
        <v>1220</v>
      </c>
      <c r="C491" s="413"/>
      <c r="D491" s="413"/>
      <c r="E491" s="413" t="s">
        <v>3598</v>
      </c>
      <c r="F491" s="411" t="s">
        <v>3020</v>
      </c>
      <c r="G491" s="411" t="s">
        <v>213</v>
      </c>
      <c r="H491" s="411" t="s">
        <v>267</v>
      </c>
      <c r="I491" s="411" t="s">
        <v>11</v>
      </c>
      <c r="J491" s="411" t="s">
        <v>647</v>
      </c>
      <c r="K491" s="414">
        <v>105</v>
      </c>
      <c r="L491" s="415">
        <v>9439</v>
      </c>
      <c r="M491" s="414"/>
      <c r="N491" s="414"/>
      <c r="O491" s="414"/>
      <c r="P491" s="414"/>
      <c r="Q491" s="414"/>
    </row>
    <row r="492" spans="1:17" s="32" customFormat="1" ht="19.5" customHeight="1">
      <c r="A492" s="411">
        <v>543</v>
      </c>
      <c r="B492" s="412" t="s">
        <v>1220</v>
      </c>
      <c r="C492" s="413"/>
      <c r="D492" s="413"/>
      <c r="E492" s="413" t="s">
        <v>3598</v>
      </c>
      <c r="F492" s="411" t="s">
        <v>9995</v>
      </c>
      <c r="G492" s="411" t="s">
        <v>213</v>
      </c>
      <c r="H492" s="411" t="s">
        <v>869</v>
      </c>
      <c r="I492" s="411" t="s">
        <v>11</v>
      </c>
      <c r="J492" s="411" t="s">
        <v>647</v>
      </c>
      <c r="K492" s="414">
        <v>128</v>
      </c>
      <c r="L492" s="415">
        <v>74</v>
      </c>
      <c r="M492" s="414"/>
      <c r="N492" s="414"/>
      <c r="O492" s="414"/>
      <c r="P492" s="414"/>
      <c r="Q492" s="414"/>
    </row>
    <row r="493" spans="1:17" s="32" customFormat="1" ht="19.5" customHeight="1">
      <c r="A493" s="411">
        <v>542</v>
      </c>
      <c r="B493" s="412" t="s">
        <v>3598</v>
      </c>
      <c r="C493" s="413"/>
      <c r="D493" s="413"/>
      <c r="E493" s="413" t="s">
        <v>3598</v>
      </c>
      <c r="F493" s="411" t="s">
        <v>3020</v>
      </c>
      <c r="G493" s="411" t="s">
        <v>6694</v>
      </c>
      <c r="H493" s="411" t="s">
        <v>267</v>
      </c>
      <c r="I493" s="411" t="s">
        <v>11</v>
      </c>
      <c r="J493" s="411" t="s">
        <v>815</v>
      </c>
      <c r="K493" s="414">
        <v>107</v>
      </c>
      <c r="L493" s="415">
        <v>165</v>
      </c>
      <c r="M493" s="414"/>
      <c r="N493" s="414"/>
      <c r="O493" s="414"/>
      <c r="P493" s="414"/>
      <c r="Q493" s="414"/>
    </row>
    <row r="494" spans="1:17" s="32" customFormat="1" ht="19.5" customHeight="1">
      <c r="A494" s="411">
        <v>546</v>
      </c>
      <c r="B494" s="412" t="s">
        <v>9996</v>
      </c>
      <c r="C494" s="413"/>
      <c r="D494" s="413"/>
      <c r="E494" s="413" t="s">
        <v>3599</v>
      </c>
      <c r="F494" s="411" t="s">
        <v>9997</v>
      </c>
      <c r="G494" s="411" t="s">
        <v>5273</v>
      </c>
      <c r="H494" s="411" t="s">
        <v>327</v>
      </c>
      <c r="I494" s="411" t="s">
        <v>11</v>
      </c>
      <c r="J494" s="411" t="s">
        <v>9998</v>
      </c>
      <c r="K494" s="414">
        <v>1720</v>
      </c>
      <c r="L494" s="415">
        <v>6183</v>
      </c>
      <c r="M494" s="414"/>
      <c r="N494" s="414"/>
      <c r="O494" s="414"/>
      <c r="P494" s="414"/>
      <c r="Q494" s="414"/>
    </row>
    <row r="495" spans="1:17" s="32" customFormat="1" ht="19.5" customHeight="1">
      <c r="A495" s="411">
        <v>548</v>
      </c>
      <c r="B495" s="412" t="s">
        <v>9999</v>
      </c>
      <c r="C495" s="413"/>
      <c r="D495" s="413"/>
      <c r="E495" s="413" t="s">
        <v>10000</v>
      </c>
      <c r="F495" s="411" t="s">
        <v>10001</v>
      </c>
      <c r="G495" s="411" t="s">
        <v>5273</v>
      </c>
      <c r="H495" s="411" t="s">
        <v>229</v>
      </c>
      <c r="I495" s="411" t="s">
        <v>10</v>
      </c>
      <c r="J495" s="411" t="s">
        <v>815</v>
      </c>
      <c r="K495" s="414">
        <v>900</v>
      </c>
      <c r="L495" s="415">
        <v>0</v>
      </c>
      <c r="M495" s="414"/>
      <c r="N495" s="414"/>
      <c r="O495" s="414"/>
      <c r="P495" s="414"/>
      <c r="Q495" s="414"/>
    </row>
    <row r="496" spans="1:17" s="32" customFormat="1" ht="19.5" customHeight="1">
      <c r="A496" s="411">
        <v>549</v>
      </c>
      <c r="B496" s="412" t="s">
        <v>309</v>
      </c>
      <c r="C496" s="413"/>
      <c r="D496" s="413"/>
      <c r="E496" s="413" t="s">
        <v>9999</v>
      </c>
      <c r="F496" s="411" t="s">
        <v>10002</v>
      </c>
      <c r="G496" s="411" t="s">
        <v>6694</v>
      </c>
      <c r="H496" s="411" t="s">
        <v>229</v>
      </c>
      <c r="I496" s="411" t="s">
        <v>11</v>
      </c>
      <c r="J496" s="411" t="s">
        <v>10003</v>
      </c>
      <c r="K496" s="414">
        <v>273</v>
      </c>
      <c r="L496" s="415">
        <v>23</v>
      </c>
      <c r="M496" s="414"/>
      <c r="N496" s="414"/>
      <c r="O496" s="414"/>
      <c r="P496" s="414"/>
      <c r="Q496" s="414"/>
    </row>
    <row r="497" spans="1:17" s="32" customFormat="1" ht="19.5" customHeight="1">
      <c r="A497" s="411">
        <v>551</v>
      </c>
      <c r="B497" s="412" t="s">
        <v>309</v>
      </c>
      <c r="C497" s="413"/>
      <c r="D497" s="413"/>
      <c r="E497" s="413" t="s">
        <v>10004</v>
      </c>
      <c r="F497" s="411" t="s">
        <v>10005</v>
      </c>
      <c r="G497" s="411" t="s">
        <v>213</v>
      </c>
      <c r="H497" s="411" t="s">
        <v>229</v>
      </c>
      <c r="I497" s="411" t="s">
        <v>11</v>
      </c>
      <c r="J497" s="411" t="s">
        <v>10006</v>
      </c>
      <c r="K497" s="414">
        <v>735</v>
      </c>
      <c r="L497" s="415">
        <v>0</v>
      </c>
      <c r="M497" s="414"/>
      <c r="N497" s="414"/>
      <c r="O497" s="414"/>
      <c r="P497" s="414"/>
      <c r="Q497" s="414"/>
    </row>
    <row r="498" spans="1:17" s="32" customFormat="1" ht="19.5" customHeight="1">
      <c r="A498" s="411">
        <v>553</v>
      </c>
      <c r="B498" s="413" t="s">
        <v>309</v>
      </c>
      <c r="C498" s="413"/>
      <c r="D498" s="413"/>
      <c r="E498" s="413" t="s">
        <v>10007</v>
      </c>
      <c r="F498" s="411" t="s">
        <v>3022</v>
      </c>
      <c r="G498" s="411" t="s">
        <v>213</v>
      </c>
      <c r="H498" s="411" t="s">
        <v>310</v>
      </c>
      <c r="I498" s="411" t="s">
        <v>11</v>
      </c>
      <c r="J498" s="411" t="s">
        <v>10006</v>
      </c>
      <c r="K498" s="414">
        <v>554</v>
      </c>
      <c r="L498" s="415">
        <v>14</v>
      </c>
      <c r="M498" s="414"/>
      <c r="N498" s="414"/>
      <c r="O498" s="414"/>
      <c r="P498" s="414"/>
      <c r="Q498" s="414"/>
    </row>
    <row r="499" spans="1:17" s="32" customFormat="1" ht="19.5" customHeight="1">
      <c r="A499" s="411">
        <v>552</v>
      </c>
      <c r="B499" s="412" t="s">
        <v>10008</v>
      </c>
      <c r="C499" s="413"/>
      <c r="D499" s="413"/>
      <c r="E499" s="413" t="s">
        <v>10007</v>
      </c>
      <c r="F499" s="411" t="s">
        <v>10009</v>
      </c>
      <c r="G499" s="411" t="s">
        <v>6694</v>
      </c>
      <c r="H499" s="411" t="s">
        <v>310</v>
      </c>
      <c r="I499" s="411" t="s">
        <v>11</v>
      </c>
      <c r="J499" s="411" t="s">
        <v>10006</v>
      </c>
      <c r="K499" s="414">
        <v>669</v>
      </c>
      <c r="L499" s="415">
        <v>0</v>
      </c>
      <c r="M499" s="414"/>
      <c r="N499" s="414"/>
      <c r="O499" s="414"/>
      <c r="P499" s="414"/>
      <c r="Q499" s="414"/>
    </row>
    <row r="500" spans="1:17" s="32" customFormat="1" ht="19.5" customHeight="1">
      <c r="A500" s="411">
        <v>554</v>
      </c>
      <c r="B500" s="412" t="s">
        <v>10010</v>
      </c>
      <c r="C500" s="413"/>
      <c r="D500" s="413"/>
      <c r="E500" s="413" t="s">
        <v>10011</v>
      </c>
      <c r="F500" s="411" t="s">
        <v>10012</v>
      </c>
      <c r="G500" s="411" t="s">
        <v>5273</v>
      </c>
      <c r="H500" s="411" t="s">
        <v>10013</v>
      </c>
      <c r="I500" s="411" t="s">
        <v>11</v>
      </c>
      <c r="J500" s="411" t="s">
        <v>842</v>
      </c>
      <c r="K500" s="414">
        <v>2130</v>
      </c>
      <c r="L500" s="415">
        <v>1</v>
      </c>
      <c r="M500" s="414"/>
      <c r="N500" s="414"/>
      <c r="O500" s="414"/>
      <c r="P500" s="414"/>
      <c r="Q500" s="414"/>
    </row>
    <row r="501" spans="1:17" s="32" customFormat="1" ht="19.5" customHeight="1">
      <c r="A501" s="411">
        <v>556</v>
      </c>
      <c r="B501" s="412" t="s">
        <v>9763</v>
      </c>
      <c r="C501" s="413"/>
      <c r="D501" s="413"/>
      <c r="E501" s="413" t="s">
        <v>871</v>
      </c>
      <c r="F501" s="411" t="s">
        <v>10014</v>
      </c>
      <c r="G501" s="411" t="s">
        <v>5105</v>
      </c>
      <c r="H501" s="411" t="s">
        <v>258</v>
      </c>
      <c r="I501" s="411" t="s">
        <v>10</v>
      </c>
      <c r="J501" s="411" t="s">
        <v>9818</v>
      </c>
      <c r="K501" s="414">
        <v>4738</v>
      </c>
      <c r="L501" s="415">
        <v>0</v>
      </c>
      <c r="M501" s="414"/>
      <c r="N501" s="414"/>
      <c r="O501" s="414"/>
      <c r="P501" s="414"/>
      <c r="Q501" s="414"/>
    </row>
    <row r="502" spans="1:17" s="32" customFormat="1" ht="19.5" customHeight="1">
      <c r="A502" s="411">
        <v>559</v>
      </c>
      <c r="B502" s="412" t="s">
        <v>9763</v>
      </c>
      <c r="C502" s="413"/>
      <c r="D502" s="413"/>
      <c r="E502" s="413" t="s">
        <v>10015</v>
      </c>
      <c r="F502" s="411" t="s">
        <v>10016</v>
      </c>
      <c r="G502" s="411" t="s">
        <v>5105</v>
      </c>
      <c r="H502" s="411" t="s">
        <v>291</v>
      </c>
      <c r="I502" s="411" t="s">
        <v>10</v>
      </c>
      <c r="J502" s="411" t="s">
        <v>9818</v>
      </c>
      <c r="K502" s="414">
        <v>2760</v>
      </c>
      <c r="L502" s="415">
        <v>0</v>
      </c>
      <c r="M502" s="414"/>
      <c r="N502" s="414"/>
      <c r="O502" s="414"/>
      <c r="P502" s="414"/>
      <c r="Q502" s="414"/>
    </row>
    <row r="503" spans="1:17" s="32" customFormat="1" ht="19.5" customHeight="1">
      <c r="A503" s="411">
        <v>563</v>
      </c>
      <c r="B503" s="412" t="s">
        <v>1661</v>
      </c>
      <c r="C503" s="413"/>
      <c r="D503" s="413"/>
      <c r="E503" s="413" t="s">
        <v>10017</v>
      </c>
      <c r="F503" s="411" t="s">
        <v>10018</v>
      </c>
      <c r="G503" s="411" t="s">
        <v>6694</v>
      </c>
      <c r="H503" s="411" t="s">
        <v>994</v>
      </c>
      <c r="I503" s="411" t="s">
        <v>11</v>
      </c>
      <c r="J503" s="411" t="s">
        <v>815</v>
      </c>
      <c r="K503" s="414">
        <v>290</v>
      </c>
      <c r="L503" s="415">
        <v>0</v>
      </c>
      <c r="M503" s="414"/>
      <c r="N503" s="414"/>
      <c r="O503" s="414"/>
      <c r="P503" s="414"/>
      <c r="Q503" s="414"/>
    </row>
    <row r="504" spans="1:17" s="32" customFormat="1" ht="19.5" customHeight="1">
      <c r="A504" s="411">
        <v>564</v>
      </c>
      <c r="B504" s="412" t="s">
        <v>1661</v>
      </c>
      <c r="C504" s="413"/>
      <c r="D504" s="413"/>
      <c r="E504" s="413" t="s">
        <v>10017</v>
      </c>
      <c r="F504" s="411" t="s">
        <v>10018</v>
      </c>
      <c r="G504" s="411" t="s">
        <v>213</v>
      </c>
      <c r="H504" s="411" t="s">
        <v>994</v>
      </c>
      <c r="I504" s="411" t="s">
        <v>10</v>
      </c>
      <c r="J504" s="411" t="s">
        <v>538</v>
      </c>
      <c r="K504" s="414">
        <v>388</v>
      </c>
      <c r="L504" s="415">
        <v>53</v>
      </c>
      <c r="M504" s="414"/>
      <c r="N504" s="414"/>
      <c r="O504" s="414"/>
      <c r="P504" s="414"/>
      <c r="Q504" s="414"/>
    </row>
    <row r="505" spans="1:17" s="32" customFormat="1" ht="19.5" customHeight="1">
      <c r="A505" s="411">
        <v>566</v>
      </c>
      <c r="B505" s="413" t="s">
        <v>1618</v>
      </c>
      <c r="C505" s="413"/>
      <c r="D505" s="413"/>
      <c r="E505" s="413" t="s">
        <v>2608</v>
      </c>
      <c r="F505" s="411" t="s">
        <v>3026</v>
      </c>
      <c r="G505" s="411" t="s">
        <v>213</v>
      </c>
      <c r="H505" s="411" t="s">
        <v>225</v>
      </c>
      <c r="I505" s="411" t="s">
        <v>11</v>
      </c>
      <c r="J505" s="411" t="s">
        <v>538</v>
      </c>
      <c r="K505" s="414">
        <v>170</v>
      </c>
      <c r="L505" s="415">
        <v>0</v>
      </c>
      <c r="M505" s="414"/>
      <c r="N505" s="414"/>
      <c r="O505" s="414"/>
      <c r="P505" s="414"/>
      <c r="Q505" s="414"/>
    </row>
    <row r="506" spans="1:17" s="32" customFormat="1" ht="19.5" customHeight="1">
      <c r="A506" s="411"/>
      <c r="B506" s="412"/>
      <c r="C506" s="413"/>
      <c r="D506" s="413"/>
      <c r="E506" s="413" t="s">
        <v>10019</v>
      </c>
      <c r="F506" s="411" t="s">
        <v>10020</v>
      </c>
      <c r="G506" s="411" t="s">
        <v>213</v>
      </c>
      <c r="H506" s="411" t="s">
        <v>10021</v>
      </c>
      <c r="I506" s="411" t="s">
        <v>11</v>
      </c>
      <c r="J506" s="411" t="s">
        <v>1131</v>
      </c>
      <c r="K506" s="414">
        <v>2200</v>
      </c>
      <c r="L506" s="415">
        <v>65</v>
      </c>
      <c r="M506" s="414"/>
      <c r="N506" s="414"/>
      <c r="O506" s="414"/>
      <c r="P506" s="414"/>
      <c r="Q506" s="414"/>
    </row>
    <row r="507" spans="1:17" s="32" customFormat="1" ht="19.5" customHeight="1">
      <c r="A507" s="411">
        <v>567</v>
      </c>
      <c r="B507" s="420" t="s">
        <v>10022</v>
      </c>
      <c r="C507" s="421"/>
      <c r="D507" s="421"/>
      <c r="E507" s="412" t="s">
        <v>3600</v>
      </c>
      <c r="F507" s="417" t="s">
        <v>1345</v>
      </c>
      <c r="G507" s="417" t="s">
        <v>6694</v>
      </c>
      <c r="H507" s="417" t="s">
        <v>272</v>
      </c>
      <c r="I507" s="417" t="s">
        <v>11</v>
      </c>
      <c r="J507" s="417" t="s">
        <v>2204</v>
      </c>
      <c r="K507" s="418">
        <v>235</v>
      </c>
      <c r="L507" s="419">
        <v>0</v>
      </c>
      <c r="M507" s="418"/>
      <c r="N507" s="414"/>
      <c r="O507" s="414"/>
      <c r="P507" s="418"/>
      <c r="Q507" s="418"/>
    </row>
    <row r="508" spans="1:17" s="32" customFormat="1" ht="19.5" customHeight="1">
      <c r="A508" s="411">
        <v>568</v>
      </c>
      <c r="B508" s="412" t="s">
        <v>10022</v>
      </c>
      <c r="C508" s="413"/>
      <c r="D508" s="413"/>
      <c r="E508" s="413" t="s">
        <v>3601</v>
      </c>
      <c r="F508" s="411" t="s">
        <v>1347</v>
      </c>
      <c r="G508" s="411" t="s">
        <v>6694</v>
      </c>
      <c r="H508" s="411" t="s">
        <v>225</v>
      </c>
      <c r="I508" s="411" t="s">
        <v>11</v>
      </c>
      <c r="J508" s="411" t="s">
        <v>842</v>
      </c>
      <c r="K508" s="414">
        <v>312</v>
      </c>
      <c r="L508" s="415">
        <v>100</v>
      </c>
      <c r="M508" s="414"/>
      <c r="N508" s="414"/>
      <c r="O508" s="414"/>
      <c r="P508" s="414"/>
      <c r="Q508" s="414"/>
    </row>
    <row r="509" spans="1:17" s="32" customFormat="1" ht="19.5" customHeight="1">
      <c r="A509" s="411">
        <v>570</v>
      </c>
      <c r="B509" s="412" t="s">
        <v>9681</v>
      </c>
      <c r="C509" s="416"/>
      <c r="D509" s="416"/>
      <c r="E509" s="412" t="s">
        <v>3602</v>
      </c>
      <c r="F509" s="417" t="s">
        <v>3027</v>
      </c>
      <c r="G509" s="417" t="s">
        <v>6694</v>
      </c>
      <c r="H509" s="417" t="s">
        <v>7024</v>
      </c>
      <c r="I509" s="417" t="s">
        <v>15</v>
      </c>
      <c r="J509" s="417" t="s">
        <v>10023</v>
      </c>
      <c r="K509" s="418">
        <v>9660</v>
      </c>
      <c r="L509" s="419">
        <v>13</v>
      </c>
      <c r="M509" s="418"/>
      <c r="N509" s="414"/>
      <c r="O509" s="414"/>
      <c r="P509" s="418"/>
      <c r="Q509" s="418"/>
    </row>
    <row r="510" spans="1:17" s="32" customFormat="1" ht="19.5" customHeight="1">
      <c r="A510" s="411">
        <v>571</v>
      </c>
      <c r="B510" s="412" t="s">
        <v>9681</v>
      </c>
      <c r="C510" s="413"/>
      <c r="D510" s="413"/>
      <c r="E510" s="413" t="s">
        <v>10024</v>
      </c>
      <c r="F510" s="411" t="s">
        <v>10025</v>
      </c>
      <c r="G510" s="411" t="s">
        <v>213</v>
      </c>
      <c r="H510" s="411">
        <v>0.3</v>
      </c>
      <c r="I510" s="411" t="s">
        <v>520</v>
      </c>
      <c r="J510" s="411" t="s">
        <v>2654</v>
      </c>
      <c r="K510" s="414">
        <v>1155</v>
      </c>
      <c r="L510" s="415">
        <v>204</v>
      </c>
      <c r="M510" s="414"/>
      <c r="N510" s="414"/>
      <c r="O510" s="414"/>
      <c r="P510" s="414"/>
      <c r="Q510" s="414"/>
    </row>
    <row r="511" spans="1:17" s="32" customFormat="1" ht="19.5" customHeight="1">
      <c r="A511" s="411">
        <v>572</v>
      </c>
      <c r="B511" s="412" t="s">
        <v>9681</v>
      </c>
      <c r="C511" s="413"/>
      <c r="D511" s="413"/>
      <c r="E511" s="413" t="s">
        <v>3603</v>
      </c>
      <c r="F511" s="411" t="s">
        <v>3028</v>
      </c>
      <c r="G511" s="411" t="s">
        <v>6694</v>
      </c>
      <c r="H511" s="411" t="s">
        <v>7037</v>
      </c>
      <c r="I511" s="411" t="s">
        <v>15</v>
      </c>
      <c r="J511" s="411" t="s">
        <v>10023</v>
      </c>
      <c r="K511" s="414">
        <v>6502</v>
      </c>
      <c r="L511" s="415">
        <v>0</v>
      </c>
      <c r="M511" s="414"/>
      <c r="N511" s="414"/>
      <c r="O511" s="414"/>
      <c r="P511" s="414"/>
      <c r="Q511" s="414"/>
    </row>
    <row r="512" spans="1:17" s="32" customFormat="1" ht="19.5" customHeight="1">
      <c r="A512" s="411">
        <v>573</v>
      </c>
      <c r="B512" s="412" t="s">
        <v>9681</v>
      </c>
      <c r="C512" s="416"/>
      <c r="D512" s="416"/>
      <c r="E512" s="412" t="s">
        <v>3603</v>
      </c>
      <c r="F512" s="417" t="s">
        <v>3028</v>
      </c>
      <c r="G512" s="417" t="s">
        <v>6694</v>
      </c>
      <c r="H512" s="417" t="s">
        <v>7037</v>
      </c>
      <c r="I512" s="417" t="s">
        <v>15</v>
      </c>
      <c r="J512" s="417" t="s">
        <v>10023</v>
      </c>
      <c r="K512" s="418">
        <v>6930</v>
      </c>
      <c r="L512" s="419">
        <v>1</v>
      </c>
      <c r="M512" s="418"/>
      <c r="N512" s="414"/>
      <c r="O512" s="414"/>
      <c r="P512" s="418"/>
      <c r="Q512" s="418"/>
    </row>
    <row r="513" spans="1:17" s="32" customFormat="1" ht="19.5" customHeight="1">
      <c r="A513" s="411">
        <v>574</v>
      </c>
      <c r="B513" s="412" t="s">
        <v>9681</v>
      </c>
      <c r="C513" s="413"/>
      <c r="D513" s="413"/>
      <c r="E513" s="413" t="s">
        <v>3604</v>
      </c>
      <c r="F513" s="411" t="s">
        <v>3028</v>
      </c>
      <c r="G513" s="411" t="s">
        <v>6694</v>
      </c>
      <c r="H513" s="411" t="s">
        <v>2564</v>
      </c>
      <c r="I513" s="411" t="s">
        <v>15</v>
      </c>
      <c r="J513" s="411" t="s">
        <v>10023</v>
      </c>
      <c r="K513" s="414">
        <v>6930</v>
      </c>
      <c r="L513" s="415">
        <v>251</v>
      </c>
      <c r="M513" s="414"/>
      <c r="N513" s="414"/>
      <c r="O513" s="414"/>
      <c r="P513" s="414"/>
      <c r="Q513" s="414"/>
    </row>
    <row r="514" spans="1:17" s="32" customFormat="1" ht="19.5" customHeight="1">
      <c r="A514" s="411">
        <v>576</v>
      </c>
      <c r="B514" s="412" t="s">
        <v>9681</v>
      </c>
      <c r="C514" s="413"/>
      <c r="D514" s="413"/>
      <c r="E514" s="413" t="s">
        <v>10026</v>
      </c>
      <c r="F514" s="411" t="s">
        <v>3029</v>
      </c>
      <c r="G514" s="411" t="s">
        <v>6694</v>
      </c>
      <c r="H514" s="411" t="s">
        <v>4078</v>
      </c>
      <c r="I514" s="411" t="s">
        <v>520</v>
      </c>
      <c r="J514" s="411" t="s">
        <v>9983</v>
      </c>
      <c r="K514" s="414">
        <v>1103</v>
      </c>
      <c r="L514" s="415">
        <v>757</v>
      </c>
      <c r="M514" s="414"/>
      <c r="N514" s="414"/>
      <c r="O514" s="414"/>
      <c r="P514" s="414"/>
      <c r="Q514" s="414"/>
    </row>
    <row r="515" spans="1:17" s="32" customFormat="1" ht="19.5" customHeight="1">
      <c r="A515" s="411">
        <v>578</v>
      </c>
      <c r="B515" s="412" t="s">
        <v>10027</v>
      </c>
      <c r="C515" s="413"/>
      <c r="D515" s="413"/>
      <c r="E515" s="413" t="s">
        <v>10028</v>
      </c>
      <c r="F515" s="411" t="s">
        <v>10029</v>
      </c>
      <c r="G515" s="411" t="s">
        <v>5116</v>
      </c>
      <c r="H515" s="411" t="s">
        <v>10030</v>
      </c>
      <c r="I515" s="411" t="s">
        <v>11</v>
      </c>
      <c r="J515" s="411" t="s">
        <v>538</v>
      </c>
      <c r="K515" s="414">
        <v>4183</v>
      </c>
      <c r="L515" s="415">
        <v>0</v>
      </c>
      <c r="M515" s="414"/>
      <c r="N515" s="414"/>
      <c r="O515" s="414"/>
      <c r="P515" s="414"/>
      <c r="Q515" s="414"/>
    </row>
    <row r="516" spans="1:17" s="32" customFormat="1" ht="19.5" customHeight="1">
      <c r="A516" s="411">
        <v>580</v>
      </c>
      <c r="B516" s="412" t="s">
        <v>1661</v>
      </c>
      <c r="C516" s="413"/>
      <c r="D516" s="413"/>
      <c r="E516" s="413" t="s">
        <v>10031</v>
      </c>
      <c r="F516" s="411" t="s">
        <v>10032</v>
      </c>
      <c r="G516" s="411" t="s">
        <v>213</v>
      </c>
      <c r="H516" s="411" t="s">
        <v>225</v>
      </c>
      <c r="I516" s="411" t="s">
        <v>11</v>
      </c>
      <c r="J516" s="411" t="s">
        <v>9343</v>
      </c>
      <c r="K516" s="414">
        <v>390</v>
      </c>
      <c r="L516" s="415">
        <v>54</v>
      </c>
      <c r="M516" s="414"/>
      <c r="N516" s="414"/>
      <c r="O516" s="414"/>
      <c r="P516" s="414"/>
      <c r="Q516" s="414"/>
    </row>
    <row r="517" spans="1:17" s="32" customFormat="1" ht="19.5" customHeight="1">
      <c r="A517" s="411">
        <v>581</v>
      </c>
      <c r="B517" s="413" t="s">
        <v>1618</v>
      </c>
      <c r="C517" s="413"/>
      <c r="D517" s="413"/>
      <c r="E517" s="413" t="s">
        <v>2494</v>
      </c>
      <c r="F517" s="411" t="s">
        <v>3031</v>
      </c>
      <c r="G517" s="411" t="s">
        <v>213</v>
      </c>
      <c r="H517" s="411" t="s">
        <v>994</v>
      </c>
      <c r="I517" s="411" t="s">
        <v>11</v>
      </c>
      <c r="J517" s="411" t="s">
        <v>9343</v>
      </c>
      <c r="K517" s="414">
        <v>236</v>
      </c>
      <c r="L517" s="415">
        <v>7138</v>
      </c>
      <c r="M517" s="414"/>
      <c r="N517" s="414"/>
      <c r="O517" s="414"/>
      <c r="P517" s="414"/>
      <c r="Q517" s="414"/>
    </row>
    <row r="518" spans="1:17" s="32" customFormat="1" ht="19.5" customHeight="1">
      <c r="A518" s="411">
        <v>582</v>
      </c>
      <c r="B518" s="412" t="s">
        <v>309</v>
      </c>
      <c r="C518" s="413"/>
      <c r="D518" s="413"/>
      <c r="E518" s="413" t="s">
        <v>10033</v>
      </c>
      <c r="F518" s="411" t="s">
        <v>10009</v>
      </c>
      <c r="G518" s="411" t="s">
        <v>213</v>
      </c>
      <c r="H518" s="411" t="s">
        <v>310</v>
      </c>
      <c r="I518" s="411" t="s">
        <v>11</v>
      </c>
      <c r="J518" s="411" t="s">
        <v>778</v>
      </c>
      <c r="K518" s="414">
        <v>3150</v>
      </c>
      <c r="L518" s="415">
        <v>0</v>
      </c>
      <c r="M518" s="414"/>
      <c r="N518" s="414"/>
      <c r="O518" s="414"/>
      <c r="P518" s="414"/>
      <c r="Q518" s="414"/>
    </row>
    <row r="519" spans="1:17" s="32" customFormat="1" ht="19.5" customHeight="1">
      <c r="A519" s="411">
        <v>583</v>
      </c>
      <c r="B519" s="412" t="s">
        <v>10034</v>
      </c>
      <c r="C519" s="413"/>
      <c r="D519" s="413"/>
      <c r="E519" s="413" t="s">
        <v>10035</v>
      </c>
      <c r="F519" s="411" t="s">
        <v>10036</v>
      </c>
      <c r="G519" s="411" t="s">
        <v>5105</v>
      </c>
      <c r="H519" s="411" t="s">
        <v>10037</v>
      </c>
      <c r="I519" s="411" t="s">
        <v>520</v>
      </c>
      <c r="J519" s="411" t="s">
        <v>8998</v>
      </c>
      <c r="K519" s="414">
        <v>72975</v>
      </c>
      <c r="L519" s="415">
        <v>15</v>
      </c>
      <c r="M519" s="414"/>
      <c r="N519" s="414"/>
      <c r="O519" s="414"/>
      <c r="P519" s="414"/>
      <c r="Q519" s="414"/>
    </row>
    <row r="520" spans="1:17" s="32" customFormat="1" ht="19.5" customHeight="1">
      <c r="A520" s="411">
        <v>585</v>
      </c>
      <c r="B520" s="413" t="s">
        <v>309</v>
      </c>
      <c r="C520" s="413"/>
      <c r="D520" s="413"/>
      <c r="E520" s="413" t="s">
        <v>3605</v>
      </c>
      <c r="F520" s="411" t="s">
        <v>3034</v>
      </c>
      <c r="G520" s="411" t="s">
        <v>5179</v>
      </c>
      <c r="H520" s="411" t="s">
        <v>310</v>
      </c>
      <c r="I520" s="411" t="s">
        <v>11</v>
      </c>
      <c r="J520" s="411" t="s">
        <v>10038</v>
      </c>
      <c r="K520" s="414">
        <v>2604</v>
      </c>
      <c r="L520" s="415">
        <v>4987</v>
      </c>
      <c r="M520" s="414"/>
      <c r="N520" s="414"/>
      <c r="O520" s="414"/>
      <c r="P520" s="414"/>
      <c r="Q520" s="414"/>
    </row>
    <row r="521" spans="1:17" s="32" customFormat="1" ht="19.5" customHeight="1">
      <c r="A521" s="411">
        <v>584</v>
      </c>
      <c r="B521" s="412" t="s">
        <v>10008</v>
      </c>
      <c r="C521" s="416"/>
      <c r="D521" s="416"/>
      <c r="E521" s="412" t="s">
        <v>3605</v>
      </c>
      <c r="F521" s="417" t="s">
        <v>3034</v>
      </c>
      <c r="G521" s="417" t="s">
        <v>6330</v>
      </c>
      <c r="H521" s="417" t="s">
        <v>310</v>
      </c>
      <c r="I521" s="417" t="s">
        <v>11</v>
      </c>
      <c r="J521" s="411" t="s">
        <v>10038</v>
      </c>
      <c r="K521" s="418">
        <v>2550</v>
      </c>
      <c r="L521" s="419">
        <v>8</v>
      </c>
      <c r="M521" s="418"/>
      <c r="N521" s="414"/>
      <c r="O521" s="414"/>
      <c r="P521" s="418"/>
      <c r="Q521" s="418"/>
    </row>
    <row r="522" spans="1:17" s="32" customFormat="1" ht="19.5" customHeight="1">
      <c r="A522" s="411">
        <v>586</v>
      </c>
      <c r="B522" s="412" t="s">
        <v>3486</v>
      </c>
      <c r="C522" s="413"/>
      <c r="D522" s="413"/>
      <c r="E522" s="413" t="s">
        <v>10039</v>
      </c>
      <c r="F522" s="411" t="s">
        <v>10040</v>
      </c>
      <c r="G522" s="411" t="s">
        <v>5273</v>
      </c>
      <c r="H522" s="411" t="s">
        <v>299</v>
      </c>
      <c r="I522" s="411" t="s">
        <v>11</v>
      </c>
      <c r="J522" s="411" t="s">
        <v>9492</v>
      </c>
      <c r="K522" s="414">
        <v>1050</v>
      </c>
      <c r="L522" s="415">
        <v>13</v>
      </c>
      <c r="M522" s="414"/>
      <c r="N522" s="414"/>
      <c r="O522" s="414"/>
      <c r="P522" s="414"/>
      <c r="Q522" s="414"/>
    </row>
    <row r="523" spans="1:17" s="32" customFormat="1" ht="19.5" customHeight="1">
      <c r="A523" s="411">
        <v>588</v>
      </c>
      <c r="B523" s="412" t="s">
        <v>1585</v>
      </c>
      <c r="C523" s="413"/>
      <c r="D523" s="413"/>
      <c r="E523" s="413" t="s">
        <v>3606</v>
      </c>
      <c r="F523" s="411" t="s">
        <v>10041</v>
      </c>
      <c r="G523" s="411" t="s">
        <v>6795</v>
      </c>
      <c r="H523" s="411" t="s">
        <v>1587</v>
      </c>
      <c r="I523" s="411" t="s">
        <v>12</v>
      </c>
      <c r="J523" s="411" t="s">
        <v>10042</v>
      </c>
      <c r="K523" s="414">
        <v>7900</v>
      </c>
      <c r="L523" s="415">
        <v>7315</v>
      </c>
      <c r="M523" s="414"/>
      <c r="N523" s="414"/>
      <c r="O523" s="414"/>
      <c r="P523" s="414"/>
      <c r="Q523" s="414"/>
    </row>
    <row r="524" spans="1:17" s="32" customFormat="1" ht="19.5" customHeight="1">
      <c r="A524" s="411">
        <v>591</v>
      </c>
      <c r="B524" s="444" t="s">
        <v>10043</v>
      </c>
      <c r="C524" s="445"/>
      <c r="D524" s="445"/>
      <c r="E524" s="412" t="s">
        <v>1671</v>
      </c>
      <c r="F524" s="417" t="s">
        <v>1673</v>
      </c>
      <c r="G524" s="417" t="s">
        <v>6694</v>
      </c>
      <c r="H524" s="417" t="s">
        <v>10044</v>
      </c>
      <c r="I524" s="417" t="s">
        <v>12</v>
      </c>
      <c r="J524" s="417" t="s">
        <v>10045</v>
      </c>
      <c r="K524" s="418">
        <v>2940</v>
      </c>
      <c r="L524" s="419">
        <v>9100</v>
      </c>
      <c r="M524" s="418"/>
      <c r="N524" s="414"/>
      <c r="O524" s="414"/>
      <c r="P524" s="418"/>
      <c r="Q524" s="418"/>
    </row>
    <row r="525" spans="1:17" s="32" customFormat="1" ht="19.5" customHeight="1">
      <c r="A525" s="411">
        <v>590</v>
      </c>
      <c r="B525" s="412" t="s">
        <v>10043</v>
      </c>
      <c r="C525" s="413"/>
      <c r="D525" s="413"/>
      <c r="E525" s="413" t="s">
        <v>1671</v>
      </c>
      <c r="F525" s="411" t="s">
        <v>10046</v>
      </c>
      <c r="G525" s="411" t="s">
        <v>213</v>
      </c>
      <c r="H525" s="417" t="s">
        <v>10044</v>
      </c>
      <c r="I525" s="411" t="s">
        <v>13</v>
      </c>
      <c r="J525" s="411" t="s">
        <v>9845</v>
      </c>
      <c r="K525" s="414">
        <v>3570</v>
      </c>
      <c r="L525" s="415">
        <v>0</v>
      </c>
      <c r="M525" s="414"/>
      <c r="N525" s="414"/>
      <c r="O525" s="414"/>
      <c r="P525" s="414"/>
      <c r="Q525" s="414"/>
    </row>
    <row r="526" spans="1:17" s="32" customFormat="1" ht="19.5" customHeight="1">
      <c r="A526" s="411">
        <v>592</v>
      </c>
      <c r="B526" s="412" t="s">
        <v>10047</v>
      </c>
      <c r="C526" s="413"/>
      <c r="D526" s="413"/>
      <c r="E526" s="413" t="s">
        <v>10048</v>
      </c>
      <c r="F526" s="411" t="s">
        <v>10049</v>
      </c>
      <c r="G526" s="411" t="s">
        <v>6694</v>
      </c>
      <c r="H526" s="411" t="s">
        <v>225</v>
      </c>
      <c r="I526" s="411" t="s">
        <v>11</v>
      </c>
      <c r="J526" s="411" t="s">
        <v>9063</v>
      </c>
      <c r="K526" s="414">
        <v>1094</v>
      </c>
      <c r="L526" s="415">
        <v>212</v>
      </c>
      <c r="M526" s="414"/>
      <c r="N526" s="414"/>
      <c r="O526" s="414"/>
      <c r="P526" s="414"/>
      <c r="Q526" s="414"/>
    </row>
    <row r="527" spans="1:17" s="32" customFormat="1" ht="19.5" customHeight="1">
      <c r="A527" s="411">
        <v>594</v>
      </c>
      <c r="B527" s="413" t="s">
        <v>1439</v>
      </c>
      <c r="C527" s="413"/>
      <c r="D527" s="413"/>
      <c r="E527" s="413" t="s">
        <v>10050</v>
      </c>
      <c r="F527" s="411" t="s">
        <v>1442</v>
      </c>
      <c r="G527" s="411" t="s">
        <v>213</v>
      </c>
      <c r="H527" s="411" t="s">
        <v>2435</v>
      </c>
      <c r="I527" s="411" t="s">
        <v>9070</v>
      </c>
      <c r="J527" s="411" t="s">
        <v>10051</v>
      </c>
      <c r="K527" s="414">
        <v>7320</v>
      </c>
      <c r="L527" s="415">
        <v>50</v>
      </c>
      <c r="M527" s="414"/>
      <c r="N527" s="414"/>
      <c r="O527" s="414"/>
      <c r="P527" s="414"/>
      <c r="Q527" s="414"/>
    </row>
    <row r="528" spans="1:17" s="32" customFormat="1" ht="19.5" customHeight="1">
      <c r="A528" s="411">
        <v>595</v>
      </c>
      <c r="B528" s="412" t="s">
        <v>10052</v>
      </c>
      <c r="C528" s="413"/>
      <c r="D528" s="413"/>
      <c r="E528" s="413" t="s">
        <v>10053</v>
      </c>
      <c r="F528" s="411" t="s">
        <v>10054</v>
      </c>
      <c r="G528" s="411" t="s">
        <v>213</v>
      </c>
      <c r="H528" s="411" t="s">
        <v>225</v>
      </c>
      <c r="I528" s="411" t="s">
        <v>11</v>
      </c>
      <c r="J528" s="411" t="s">
        <v>9063</v>
      </c>
      <c r="K528" s="414">
        <v>1070</v>
      </c>
      <c r="L528" s="415">
        <v>0</v>
      </c>
      <c r="M528" s="414"/>
      <c r="N528" s="414"/>
      <c r="O528" s="414"/>
      <c r="P528" s="414"/>
      <c r="Q528" s="414"/>
    </row>
    <row r="529" spans="1:17" s="32" customFormat="1" ht="19.5" customHeight="1">
      <c r="A529" s="411">
        <v>596</v>
      </c>
      <c r="B529" s="412" t="s">
        <v>10047</v>
      </c>
      <c r="C529" s="413"/>
      <c r="D529" s="413"/>
      <c r="E529" s="413" t="s">
        <v>1923</v>
      </c>
      <c r="F529" s="411" t="s">
        <v>1442</v>
      </c>
      <c r="G529" s="411" t="s">
        <v>10055</v>
      </c>
      <c r="H529" s="411" t="s">
        <v>10056</v>
      </c>
      <c r="I529" s="411" t="s">
        <v>11</v>
      </c>
      <c r="J529" s="411" t="s">
        <v>9063</v>
      </c>
      <c r="K529" s="414">
        <v>1134</v>
      </c>
      <c r="L529" s="415">
        <v>5</v>
      </c>
      <c r="M529" s="414"/>
      <c r="N529" s="414"/>
      <c r="O529" s="414"/>
      <c r="P529" s="414"/>
      <c r="Q529" s="414"/>
    </row>
    <row r="530" spans="1:17" s="32" customFormat="1" ht="19.5" customHeight="1">
      <c r="A530" s="411">
        <v>597</v>
      </c>
      <c r="B530" s="420" t="s">
        <v>10057</v>
      </c>
      <c r="C530" s="421"/>
      <c r="D530" s="421"/>
      <c r="E530" s="412" t="s">
        <v>10058</v>
      </c>
      <c r="F530" s="417" t="s">
        <v>10059</v>
      </c>
      <c r="G530" s="417" t="s">
        <v>5222</v>
      </c>
      <c r="H530" s="417" t="s">
        <v>10060</v>
      </c>
      <c r="I530" s="417" t="s">
        <v>10</v>
      </c>
      <c r="J530" s="417" t="s">
        <v>538</v>
      </c>
      <c r="K530" s="418">
        <v>6259</v>
      </c>
      <c r="L530" s="419">
        <v>0</v>
      </c>
      <c r="M530" s="418"/>
      <c r="N530" s="414"/>
      <c r="O530" s="414"/>
      <c r="P530" s="418"/>
      <c r="Q530" s="418"/>
    </row>
    <row r="531" spans="1:17" s="32" customFormat="1" ht="19.5" customHeight="1">
      <c r="A531" s="411">
        <v>598</v>
      </c>
      <c r="B531" s="412" t="s">
        <v>376</v>
      </c>
      <c r="C531" s="413"/>
      <c r="D531" s="413"/>
      <c r="E531" s="413" t="s">
        <v>10061</v>
      </c>
      <c r="F531" s="411" t="s">
        <v>10062</v>
      </c>
      <c r="G531" s="411" t="s">
        <v>213</v>
      </c>
      <c r="H531" s="411" t="s">
        <v>550</v>
      </c>
      <c r="I531" s="411" t="s">
        <v>11</v>
      </c>
      <c r="J531" s="411" t="s">
        <v>9063</v>
      </c>
      <c r="K531" s="414">
        <v>1890</v>
      </c>
      <c r="L531" s="415">
        <v>20</v>
      </c>
      <c r="M531" s="414"/>
      <c r="N531" s="414"/>
      <c r="O531" s="414"/>
      <c r="P531" s="414"/>
      <c r="Q531" s="414"/>
    </row>
    <row r="532" spans="1:17" s="32" customFormat="1" ht="19.5" customHeight="1">
      <c r="A532" s="411">
        <v>599</v>
      </c>
      <c r="B532" s="412" t="s">
        <v>376</v>
      </c>
      <c r="C532" s="413"/>
      <c r="D532" s="413"/>
      <c r="E532" s="413" t="s">
        <v>10063</v>
      </c>
      <c r="F532" s="411" t="s">
        <v>10064</v>
      </c>
      <c r="G532" s="411" t="s">
        <v>213</v>
      </c>
      <c r="H532" s="411" t="s">
        <v>550</v>
      </c>
      <c r="I532" s="411" t="s">
        <v>11</v>
      </c>
      <c r="J532" s="411" t="s">
        <v>814</v>
      </c>
      <c r="K532" s="414">
        <v>978</v>
      </c>
      <c r="L532" s="415">
        <v>0</v>
      </c>
      <c r="M532" s="414"/>
      <c r="N532" s="414"/>
      <c r="O532" s="414"/>
      <c r="P532" s="414"/>
      <c r="Q532" s="414"/>
    </row>
    <row r="533" spans="1:17" s="32" customFormat="1" ht="19.5" customHeight="1">
      <c r="A533" s="411">
        <v>600</v>
      </c>
      <c r="B533" s="412" t="s">
        <v>376</v>
      </c>
      <c r="C533" s="413"/>
      <c r="D533" s="413"/>
      <c r="E533" s="413" t="s">
        <v>10065</v>
      </c>
      <c r="F533" s="411" t="s">
        <v>10066</v>
      </c>
      <c r="G533" s="411" t="s">
        <v>213</v>
      </c>
      <c r="H533" s="411" t="s">
        <v>550</v>
      </c>
      <c r="I533" s="411" t="s">
        <v>11</v>
      </c>
      <c r="J533" s="411" t="s">
        <v>814</v>
      </c>
      <c r="K533" s="414">
        <v>1680</v>
      </c>
      <c r="L533" s="415">
        <v>16</v>
      </c>
      <c r="M533" s="414"/>
      <c r="N533" s="414"/>
      <c r="O533" s="414"/>
      <c r="P533" s="414"/>
      <c r="Q533" s="414"/>
    </row>
    <row r="534" spans="1:17" s="32" customFormat="1" ht="19.5" customHeight="1">
      <c r="A534" s="411">
        <v>601</v>
      </c>
      <c r="B534" s="412" t="s">
        <v>9490</v>
      </c>
      <c r="C534" s="413"/>
      <c r="D534" s="413"/>
      <c r="E534" s="413" t="s">
        <v>10067</v>
      </c>
      <c r="F534" s="411" t="s">
        <v>10068</v>
      </c>
      <c r="G534" s="411" t="s">
        <v>213</v>
      </c>
      <c r="H534" s="411" t="s">
        <v>272</v>
      </c>
      <c r="I534" s="411" t="s">
        <v>13</v>
      </c>
      <c r="J534" s="411" t="s">
        <v>2919</v>
      </c>
      <c r="K534" s="414">
        <v>1334</v>
      </c>
      <c r="L534" s="415">
        <v>0</v>
      </c>
      <c r="M534" s="414"/>
      <c r="N534" s="414"/>
      <c r="O534" s="414"/>
      <c r="P534" s="414"/>
      <c r="Q534" s="414"/>
    </row>
    <row r="535" spans="1:17" s="32" customFormat="1" ht="19.5" customHeight="1">
      <c r="A535" s="411">
        <v>602</v>
      </c>
      <c r="B535" s="412" t="s">
        <v>10069</v>
      </c>
      <c r="C535" s="413"/>
      <c r="D535" s="413"/>
      <c r="E535" s="413" t="s">
        <v>10070</v>
      </c>
      <c r="F535" s="411" t="s">
        <v>10071</v>
      </c>
      <c r="G535" s="411" t="s">
        <v>213</v>
      </c>
      <c r="H535" s="411" t="s">
        <v>334</v>
      </c>
      <c r="I535" s="411" t="s">
        <v>11</v>
      </c>
      <c r="J535" s="411" t="s">
        <v>9343</v>
      </c>
      <c r="K535" s="414">
        <v>359</v>
      </c>
      <c r="L535" s="415">
        <v>0</v>
      </c>
      <c r="M535" s="414"/>
      <c r="N535" s="414"/>
      <c r="O535" s="414"/>
      <c r="P535" s="414"/>
      <c r="Q535" s="414"/>
    </row>
    <row r="536" spans="1:17" s="32" customFormat="1" ht="19.5" customHeight="1">
      <c r="A536" s="411">
        <v>604</v>
      </c>
      <c r="B536" s="413" t="s">
        <v>411</v>
      </c>
      <c r="C536" s="413"/>
      <c r="D536" s="413"/>
      <c r="E536" s="413" t="s">
        <v>3523</v>
      </c>
      <c r="F536" s="411" t="s">
        <v>3038</v>
      </c>
      <c r="G536" s="411" t="s">
        <v>213</v>
      </c>
      <c r="H536" s="411" t="s">
        <v>272</v>
      </c>
      <c r="I536" s="411" t="s">
        <v>13</v>
      </c>
      <c r="J536" s="411" t="s">
        <v>9063</v>
      </c>
      <c r="K536" s="414">
        <v>600</v>
      </c>
      <c r="L536" s="415">
        <v>0</v>
      </c>
      <c r="M536" s="414"/>
      <c r="N536" s="414"/>
      <c r="O536" s="414"/>
      <c r="P536" s="414"/>
      <c r="Q536" s="414"/>
    </row>
    <row r="537" spans="1:17" s="32" customFormat="1" ht="19.5" customHeight="1">
      <c r="A537" s="411">
        <v>603</v>
      </c>
      <c r="B537" s="412" t="s">
        <v>3526</v>
      </c>
      <c r="C537" s="413"/>
      <c r="D537" s="413"/>
      <c r="E537" s="413" t="s">
        <v>3523</v>
      </c>
      <c r="F537" s="411" t="s">
        <v>10068</v>
      </c>
      <c r="G537" s="411" t="s">
        <v>213</v>
      </c>
      <c r="H537" s="411" t="s">
        <v>272</v>
      </c>
      <c r="I537" s="411" t="s">
        <v>10</v>
      </c>
      <c r="J537" s="411" t="s">
        <v>9063</v>
      </c>
      <c r="K537" s="414">
        <v>638</v>
      </c>
      <c r="L537" s="415">
        <v>0</v>
      </c>
      <c r="M537" s="414"/>
      <c r="N537" s="414"/>
      <c r="O537" s="414"/>
      <c r="P537" s="414"/>
      <c r="Q537" s="414"/>
    </row>
    <row r="538" spans="1:17" s="32" customFormat="1" ht="19.5" customHeight="1">
      <c r="A538" s="411">
        <v>605</v>
      </c>
      <c r="B538" s="412" t="s">
        <v>3322</v>
      </c>
      <c r="C538" s="413"/>
      <c r="D538" s="413"/>
      <c r="E538" s="413" t="s">
        <v>10072</v>
      </c>
      <c r="F538" s="411" t="s">
        <v>10073</v>
      </c>
      <c r="G538" s="411" t="s">
        <v>213</v>
      </c>
      <c r="H538" s="411" t="s">
        <v>327</v>
      </c>
      <c r="I538" s="411" t="s">
        <v>11</v>
      </c>
      <c r="J538" s="411" t="s">
        <v>10074</v>
      </c>
      <c r="K538" s="414">
        <v>630</v>
      </c>
      <c r="L538" s="415">
        <v>0</v>
      </c>
      <c r="M538" s="414"/>
      <c r="N538" s="414"/>
      <c r="O538" s="414"/>
      <c r="P538" s="414"/>
      <c r="Q538" s="414"/>
    </row>
    <row r="539" spans="1:17" s="32" customFormat="1" ht="19.5" customHeight="1">
      <c r="A539" s="411">
        <v>606</v>
      </c>
      <c r="B539" s="412" t="s">
        <v>10075</v>
      </c>
      <c r="C539" s="413"/>
      <c r="D539" s="413"/>
      <c r="E539" s="413" t="s">
        <v>2496</v>
      </c>
      <c r="F539" s="411" t="s">
        <v>3040</v>
      </c>
      <c r="G539" s="411" t="s">
        <v>6694</v>
      </c>
      <c r="H539" s="411" t="s">
        <v>267</v>
      </c>
      <c r="I539" s="411" t="s">
        <v>11</v>
      </c>
      <c r="J539" s="411" t="s">
        <v>10076</v>
      </c>
      <c r="K539" s="414">
        <v>945</v>
      </c>
      <c r="L539" s="415">
        <v>14758</v>
      </c>
      <c r="M539" s="414"/>
      <c r="N539" s="414"/>
      <c r="O539" s="414"/>
      <c r="P539" s="414"/>
      <c r="Q539" s="414"/>
    </row>
    <row r="540" spans="1:17" s="32" customFormat="1" ht="19.5" customHeight="1">
      <c r="A540" s="411">
        <v>608</v>
      </c>
      <c r="B540" s="413" t="s">
        <v>1562</v>
      </c>
      <c r="C540" s="413"/>
      <c r="D540" s="413"/>
      <c r="E540" s="413" t="s">
        <v>10077</v>
      </c>
      <c r="F540" s="411" t="s">
        <v>3043</v>
      </c>
      <c r="G540" s="411" t="s">
        <v>213</v>
      </c>
      <c r="H540" s="411" t="s">
        <v>3044</v>
      </c>
      <c r="I540" s="411" t="s">
        <v>13</v>
      </c>
      <c r="J540" s="411" t="s">
        <v>2919</v>
      </c>
      <c r="K540" s="414">
        <v>1200</v>
      </c>
      <c r="L540" s="415">
        <v>4800</v>
      </c>
      <c r="M540" s="414"/>
      <c r="N540" s="414"/>
      <c r="O540" s="414"/>
      <c r="P540" s="414"/>
      <c r="Q540" s="414"/>
    </row>
    <row r="541" spans="1:17" s="32" customFormat="1" ht="19.5" customHeight="1">
      <c r="A541" s="411">
        <v>609</v>
      </c>
      <c r="B541" s="412" t="s">
        <v>10078</v>
      </c>
      <c r="C541" s="413"/>
      <c r="D541" s="413"/>
      <c r="E541" s="413" t="s">
        <v>10079</v>
      </c>
      <c r="F541" s="411" t="s">
        <v>10080</v>
      </c>
      <c r="G541" s="411" t="s">
        <v>213</v>
      </c>
      <c r="H541" s="411" t="s">
        <v>10081</v>
      </c>
      <c r="I541" s="411" t="s">
        <v>10</v>
      </c>
      <c r="J541" s="411" t="s">
        <v>9063</v>
      </c>
      <c r="K541" s="414">
        <v>1796</v>
      </c>
      <c r="L541" s="415">
        <v>0</v>
      </c>
      <c r="M541" s="414"/>
      <c r="N541" s="414"/>
      <c r="O541" s="414"/>
      <c r="P541" s="414"/>
      <c r="Q541" s="414"/>
    </row>
    <row r="542" spans="1:17" s="32" customFormat="1" ht="19.5" customHeight="1">
      <c r="A542" s="411">
        <v>610</v>
      </c>
      <c r="B542" s="412" t="s">
        <v>10078</v>
      </c>
      <c r="C542" s="413"/>
      <c r="D542" s="413"/>
      <c r="E542" s="413" t="s">
        <v>10082</v>
      </c>
      <c r="F542" s="411" t="s">
        <v>10083</v>
      </c>
      <c r="G542" s="411" t="s">
        <v>213</v>
      </c>
      <c r="H542" s="411" t="s">
        <v>9204</v>
      </c>
      <c r="I542" s="411" t="s">
        <v>11</v>
      </c>
      <c r="J542" s="411" t="s">
        <v>10084</v>
      </c>
      <c r="K542" s="414">
        <v>1871</v>
      </c>
      <c r="L542" s="415">
        <v>0</v>
      </c>
      <c r="M542" s="414"/>
      <c r="N542" s="414"/>
      <c r="O542" s="414"/>
      <c r="P542" s="414"/>
      <c r="Q542" s="414"/>
    </row>
    <row r="543" spans="1:17" s="32" customFormat="1" ht="19.5" customHeight="1">
      <c r="A543" s="411">
        <v>611</v>
      </c>
      <c r="B543" s="412" t="s">
        <v>10085</v>
      </c>
      <c r="C543" s="413"/>
      <c r="D543" s="413"/>
      <c r="E543" s="413" t="s">
        <v>10086</v>
      </c>
      <c r="F543" s="411" t="s">
        <v>10087</v>
      </c>
      <c r="G543" s="411" t="s">
        <v>213</v>
      </c>
      <c r="H543" s="411" t="s">
        <v>2602</v>
      </c>
      <c r="I543" s="411" t="s">
        <v>11</v>
      </c>
      <c r="J543" s="411" t="s">
        <v>842</v>
      </c>
      <c r="K543" s="414">
        <v>462</v>
      </c>
      <c r="L543" s="415">
        <v>0</v>
      </c>
      <c r="M543" s="414"/>
      <c r="N543" s="414"/>
      <c r="O543" s="414"/>
      <c r="P543" s="414"/>
      <c r="Q543" s="414"/>
    </row>
    <row r="544" spans="1:17" s="32" customFormat="1" ht="19.5" customHeight="1">
      <c r="A544" s="411">
        <v>613</v>
      </c>
      <c r="B544" s="413" t="s">
        <v>1240</v>
      </c>
      <c r="C544" s="413"/>
      <c r="D544" s="413"/>
      <c r="E544" s="413" t="s">
        <v>10088</v>
      </c>
      <c r="F544" s="411" t="s">
        <v>10089</v>
      </c>
      <c r="G544" s="411" t="s">
        <v>213</v>
      </c>
      <c r="H544" s="411" t="s">
        <v>10090</v>
      </c>
      <c r="I544" s="411" t="s">
        <v>11</v>
      </c>
      <c r="J544" s="411" t="s">
        <v>815</v>
      </c>
      <c r="K544" s="414">
        <v>630</v>
      </c>
      <c r="L544" s="415">
        <v>115</v>
      </c>
      <c r="M544" s="414"/>
      <c r="N544" s="414"/>
      <c r="O544" s="414"/>
      <c r="P544" s="414"/>
      <c r="Q544" s="414"/>
    </row>
    <row r="545" spans="1:17" s="32" customFormat="1" ht="19.5" customHeight="1">
      <c r="A545" s="411">
        <v>612</v>
      </c>
      <c r="B545" s="412" t="s">
        <v>10027</v>
      </c>
      <c r="C545" s="413"/>
      <c r="D545" s="413"/>
      <c r="E545" s="413" t="s">
        <v>10088</v>
      </c>
      <c r="F545" s="411" t="s">
        <v>10089</v>
      </c>
      <c r="G545" s="411" t="s">
        <v>6694</v>
      </c>
      <c r="H545" s="411" t="s">
        <v>10090</v>
      </c>
      <c r="I545" s="411" t="s">
        <v>11</v>
      </c>
      <c r="J545" s="411" t="s">
        <v>815</v>
      </c>
      <c r="K545" s="414">
        <v>672</v>
      </c>
      <c r="L545" s="415">
        <v>0</v>
      </c>
      <c r="M545" s="414"/>
      <c r="N545" s="414"/>
      <c r="O545" s="414"/>
      <c r="P545" s="414"/>
      <c r="Q545" s="414"/>
    </row>
    <row r="546" spans="1:17" s="32" customFormat="1" ht="19.5" customHeight="1">
      <c r="A546" s="411">
        <v>614</v>
      </c>
      <c r="B546" s="412" t="s">
        <v>10027</v>
      </c>
      <c r="C546" s="413"/>
      <c r="D546" s="413"/>
      <c r="E546" s="413" t="s">
        <v>10091</v>
      </c>
      <c r="F546" s="411" t="s">
        <v>10092</v>
      </c>
      <c r="G546" s="411" t="s">
        <v>6694</v>
      </c>
      <c r="H546" s="411" t="s">
        <v>10093</v>
      </c>
      <c r="I546" s="411" t="s">
        <v>11</v>
      </c>
      <c r="J546" s="411" t="s">
        <v>814</v>
      </c>
      <c r="K546" s="414">
        <v>672</v>
      </c>
      <c r="L546" s="415">
        <v>162</v>
      </c>
      <c r="M546" s="414"/>
      <c r="N546" s="414"/>
      <c r="O546" s="414"/>
      <c r="P546" s="414"/>
      <c r="Q546" s="414"/>
    </row>
    <row r="547" spans="1:17" s="32" customFormat="1" ht="19.5" customHeight="1">
      <c r="A547" s="411">
        <v>616</v>
      </c>
      <c r="B547" s="412" t="s">
        <v>10027</v>
      </c>
      <c r="C547" s="413"/>
      <c r="D547" s="413"/>
      <c r="E547" s="413" t="s">
        <v>3607</v>
      </c>
      <c r="F547" s="411" t="s">
        <v>10029</v>
      </c>
      <c r="G547" s="411" t="s">
        <v>213</v>
      </c>
      <c r="H547" s="411" t="s">
        <v>10030</v>
      </c>
      <c r="I547" s="411" t="s">
        <v>11</v>
      </c>
      <c r="J547" s="411" t="s">
        <v>815</v>
      </c>
      <c r="K547" s="414">
        <v>693</v>
      </c>
      <c r="L547" s="415">
        <v>33</v>
      </c>
      <c r="M547" s="414"/>
      <c r="N547" s="414"/>
      <c r="O547" s="414"/>
      <c r="P547" s="414"/>
      <c r="Q547" s="414"/>
    </row>
    <row r="548" spans="1:17" s="32" customFormat="1" ht="19.5" customHeight="1">
      <c r="A548" s="411">
        <v>617</v>
      </c>
      <c r="B548" s="412" t="s">
        <v>10027</v>
      </c>
      <c r="C548" s="413"/>
      <c r="D548" s="413"/>
      <c r="E548" s="413" t="s">
        <v>10094</v>
      </c>
      <c r="F548" s="411" t="s">
        <v>10092</v>
      </c>
      <c r="G548" s="411" t="s">
        <v>213</v>
      </c>
      <c r="H548" s="411" t="s">
        <v>10093</v>
      </c>
      <c r="I548" s="411" t="s">
        <v>11</v>
      </c>
      <c r="J548" s="411" t="s">
        <v>814</v>
      </c>
      <c r="K548" s="414">
        <v>693</v>
      </c>
      <c r="L548" s="415">
        <v>52</v>
      </c>
      <c r="M548" s="414"/>
      <c r="N548" s="414"/>
      <c r="O548" s="414"/>
      <c r="P548" s="414"/>
      <c r="Q548" s="414"/>
    </row>
    <row r="549" spans="1:17" s="32" customFormat="1" ht="19.5" customHeight="1">
      <c r="A549" s="411">
        <v>618</v>
      </c>
      <c r="B549" s="412" t="s">
        <v>10095</v>
      </c>
      <c r="C549" s="413"/>
      <c r="D549" s="413"/>
      <c r="E549" s="413" t="s">
        <v>10094</v>
      </c>
      <c r="F549" s="411" t="s">
        <v>10096</v>
      </c>
      <c r="G549" s="411" t="s">
        <v>213</v>
      </c>
      <c r="H549" s="411" t="s">
        <v>10097</v>
      </c>
      <c r="I549" s="411" t="s">
        <v>11</v>
      </c>
      <c r="J549" s="411" t="s">
        <v>9063</v>
      </c>
      <c r="K549" s="414">
        <v>901</v>
      </c>
      <c r="L549" s="415">
        <v>0</v>
      </c>
      <c r="M549" s="414"/>
      <c r="N549" s="414"/>
      <c r="O549" s="414"/>
      <c r="P549" s="414"/>
      <c r="Q549" s="414"/>
    </row>
    <row r="550" spans="1:17" s="32" customFormat="1" ht="19.5" customHeight="1">
      <c r="A550" s="411">
        <v>619</v>
      </c>
      <c r="B550" s="412" t="s">
        <v>9553</v>
      </c>
      <c r="C550" s="413"/>
      <c r="D550" s="413"/>
      <c r="E550" s="413" t="s">
        <v>3608</v>
      </c>
      <c r="F550" s="411" t="s">
        <v>3045</v>
      </c>
      <c r="G550" s="411" t="s">
        <v>213</v>
      </c>
      <c r="H550" s="411" t="s">
        <v>225</v>
      </c>
      <c r="I550" s="411" t="s">
        <v>11</v>
      </c>
      <c r="J550" s="411" t="s">
        <v>814</v>
      </c>
      <c r="K550" s="414">
        <v>3402</v>
      </c>
      <c r="L550" s="415">
        <v>20</v>
      </c>
      <c r="M550" s="414"/>
      <c r="N550" s="414"/>
      <c r="O550" s="414"/>
      <c r="P550" s="414"/>
      <c r="Q550" s="414"/>
    </row>
    <row r="551" spans="1:17" s="32" customFormat="1" ht="19.5" customHeight="1">
      <c r="A551" s="411">
        <v>620</v>
      </c>
      <c r="B551" s="412" t="s">
        <v>9639</v>
      </c>
      <c r="C551" s="413"/>
      <c r="D551" s="413"/>
      <c r="E551" s="413" t="s">
        <v>10098</v>
      </c>
      <c r="F551" s="411" t="s">
        <v>10099</v>
      </c>
      <c r="G551" s="411" t="s">
        <v>213</v>
      </c>
      <c r="H551" s="411" t="s">
        <v>1217</v>
      </c>
      <c r="I551" s="411" t="s">
        <v>11</v>
      </c>
      <c r="J551" s="411" t="s">
        <v>815</v>
      </c>
      <c r="K551" s="414">
        <v>1323</v>
      </c>
      <c r="L551" s="415">
        <v>0</v>
      </c>
      <c r="M551" s="414"/>
      <c r="N551" s="414"/>
      <c r="O551" s="414"/>
      <c r="P551" s="414"/>
      <c r="Q551" s="414"/>
    </row>
    <row r="552" spans="1:17" s="32" customFormat="1" ht="19.5" customHeight="1">
      <c r="A552" s="411">
        <v>621</v>
      </c>
      <c r="B552" s="412" t="s">
        <v>347</v>
      </c>
      <c r="C552" s="413"/>
      <c r="D552" s="413"/>
      <c r="E552" s="413" t="s">
        <v>10100</v>
      </c>
      <c r="F552" s="411" t="s">
        <v>10101</v>
      </c>
      <c r="G552" s="411" t="s">
        <v>213</v>
      </c>
      <c r="H552" s="411" t="s">
        <v>327</v>
      </c>
      <c r="I552" s="411" t="s">
        <v>11</v>
      </c>
      <c r="J552" s="411" t="s">
        <v>9063</v>
      </c>
      <c r="K552" s="414">
        <v>231</v>
      </c>
      <c r="L552" s="415">
        <v>0</v>
      </c>
      <c r="M552" s="414"/>
      <c r="N552" s="414"/>
      <c r="O552" s="414"/>
      <c r="P552" s="414"/>
      <c r="Q552" s="414"/>
    </row>
    <row r="553" spans="1:17" s="32" customFormat="1" ht="19.5" customHeight="1">
      <c r="A553" s="411">
        <v>622</v>
      </c>
      <c r="B553" s="413" t="s">
        <v>10102</v>
      </c>
      <c r="C553" s="413"/>
      <c r="D553" s="413"/>
      <c r="E553" s="413" t="s">
        <v>10103</v>
      </c>
      <c r="F553" s="411" t="s">
        <v>10104</v>
      </c>
      <c r="G553" s="411" t="s">
        <v>213</v>
      </c>
      <c r="H553" s="411" t="s">
        <v>2499</v>
      </c>
      <c r="I553" s="411" t="s">
        <v>520</v>
      </c>
      <c r="J553" s="411" t="s">
        <v>3049</v>
      </c>
      <c r="K553" s="414">
        <v>6489</v>
      </c>
      <c r="L553" s="415">
        <v>0</v>
      </c>
      <c r="M553" s="414"/>
      <c r="N553" s="414"/>
      <c r="O553" s="414"/>
      <c r="P553" s="414"/>
      <c r="Q553" s="414"/>
    </row>
    <row r="554" spans="1:17" s="32" customFormat="1" ht="19.5" customHeight="1">
      <c r="A554" s="411">
        <v>623</v>
      </c>
      <c r="B554" s="412" t="s">
        <v>9912</v>
      </c>
      <c r="C554" s="413"/>
      <c r="D554" s="413"/>
      <c r="E554" s="413" t="s">
        <v>10105</v>
      </c>
      <c r="F554" s="411" t="s">
        <v>10106</v>
      </c>
      <c r="G554" s="411" t="s">
        <v>213</v>
      </c>
      <c r="H554" s="436" t="s">
        <v>10107</v>
      </c>
      <c r="I554" s="411" t="s">
        <v>658</v>
      </c>
      <c r="J554" s="411" t="s">
        <v>2841</v>
      </c>
      <c r="K554" s="414">
        <v>111000</v>
      </c>
      <c r="L554" s="415">
        <v>48</v>
      </c>
      <c r="M554" s="414"/>
      <c r="N554" s="414"/>
      <c r="O554" s="414"/>
      <c r="P554" s="414"/>
      <c r="Q554" s="414"/>
    </row>
    <row r="555" spans="1:17" s="32" customFormat="1" ht="19.5" customHeight="1">
      <c r="A555" s="411">
        <v>624</v>
      </c>
      <c r="B555" s="412" t="s">
        <v>10108</v>
      </c>
      <c r="C555" s="413"/>
      <c r="D555" s="413"/>
      <c r="E555" s="413" t="s">
        <v>8879</v>
      </c>
      <c r="F555" s="411" t="s">
        <v>10109</v>
      </c>
      <c r="G555" s="411" t="s">
        <v>212</v>
      </c>
      <c r="H555" s="436" t="s">
        <v>10110</v>
      </c>
      <c r="I555" s="411" t="s">
        <v>13</v>
      </c>
      <c r="J555" s="411" t="s">
        <v>10111</v>
      </c>
      <c r="K555" s="414">
        <v>9600</v>
      </c>
      <c r="L555" s="415">
        <v>0</v>
      </c>
      <c r="M555" s="414"/>
      <c r="N555" s="414"/>
      <c r="O555" s="414"/>
      <c r="P555" s="414"/>
      <c r="Q555" s="414"/>
    </row>
    <row r="556" spans="1:17" s="32" customFormat="1" ht="19.5" customHeight="1">
      <c r="A556" s="411">
        <v>626</v>
      </c>
      <c r="B556" s="413" t="s">
        <v>10112</v>
      </c>
      <c r="C556" s="413"/>
      <c r="D556" s="413"/>
      <c r="E556" s="413" t="s">
        <v>10113</v>
      </c>
      <c r="F556" s="411" t="s">
        <v>10114</v>
      </c>
      <c r="G556" s="411" t="s">
        <v>213</v>
      </c>
      <c r="H556" s="411" t="s">
        <v>10110</v>
      </c>
      <c r="I556" s="411" t="s">
        <v>10</v>
      </c>
      <c r="J556" s="411" t="s">
        <v>10111</v>
      </c>
      <c r="K556" s="414">
        <v>300</v>
      </c>
      <c r="L556" s="415">
        <v>0</v>
      </c>
      <c r="M556" s="414"/>
      <c r="N556" s="414"/>
      <c r="O556" s="414"/>
      <c r="P556" s="414"/>
      <c r="Q556" s="414"/>
    </row>
    <row r="557" spans="1:17" s="32" customFormat="1" ht="19.5" customHeight="1">
      <c r="A557" s="411">
        <v>627</v>
      </c>
      <c r="B557" s="413" t="s">
        <v>10115</v>
      </c>
      <c r="C557" s="413"/>
      <c r="D557" s="413"/>
      <c r="E557" s="413" t="s">
        <v>10116</v>
      </c>
      <c r="F557" s="411" t="s">
        <v>2349</v>
      </c>
      <c r="G557" s="411" t="s">
        <v>213</v>
      </c>
      <c r="H557" s="411" t="s">
        <v>10117</v>
      </c>
      <c r="I557" s="411" t="s">
        <v>11</v>
      </c>
      <c r="J557" s="411" t="s">
        <v>10111</v>
      </c>
      <c r="K557" s="414">
        <v>175</v>
      </c>
      <c r="L557" s="415">
        <v>0</v>
      </c>
      <c r="M557" s="414"/>
      <c r="N557" s="414"/>
      <c r="O557" s="414"/>
      <c r="P557" s="414"/>
      <c r="Q557" s="414"/>
    </row>
    <row r="558" spans="1:17" s="32" customFormat="1" ht="19.5" customHeight="1">
      <c r="A558" s="411">
        <v>629</v>
      </c>
      <c r="B558" s="413" t="s">
        <v>2207</v>
      </c>
      <c r="C558" s="413"/>
      <c r="D558" s="413"/>
      <c r="E558" s="413" t="s">
        <v>3051</v>
      </c>
      <c r="F558" s="411" t="s">
        <v>3052</v>
      </c>
      <c r="G558" s="411" t="s">
        <v>213</v>
      </c>
      <c r="H558" s="411" t="s">
        <v>3054</v>
      </c>
      <c r="I558" s="411" t="s">
        <v>13</v>
      </c>
      <c r="J558" s="411" t="s">
        <v>10111</v>
      </c>
      <c r="K558" s="414">
        <v>2490</v>
      </c>
      <c r="L558" s="415">
        <v>6300</v>
      </c>
      <c r="M558" s="414"/>
      <c r="N558" s="414"/>
      <c r="O558" s="414"/>
      <c r="P558" s="414"/>
      <c r="Q558" s="414"/>
    </row>
    <row r="559" spans="1:17" s="32" customFormat="1" ht="19.5" customHeight="1">
      <c r="A559" s="411">
        <v>630</v>
      </c>
      <c r="B559" s="412" t="s">
        <v>10118</v>
      </c>
      <c r="C559" s="413"/>
      <c r="D559" s="413"/>
      <c r="E559" s="413" t="s">
        <v>10119</v>
      </c>
      <c r="F559" s="411" t="s">
        <v>10120</v>
      </c>
      <c r="G559" s="411" t="s">
        <v>6694</v>
      </c>
      <c r="H559" s="411" t="s">
        <v>117</v>
      </c>
      <c r="I559" s="411" t="s">
        <v>12</v>
      </c>
      <c r="J559" s="411" t="s">
        <v>2208</v>
      </c>
      <c r="K559" s="414">
        <v>1950</v>
      </c>
      <c r="L559" s="415">
        <v>1790</v>
      </c>
      <c r="M559" s="414"/>
      <c r="N559" s="414"/>
      <c r="O559" s="414"/>
      <c r="P559" s="414"/>
      <c r="Q559" s="414"/>
    </row>
    <row r="560" spans="1:17" s="32" customFormat="1" ht="19.5" customHeight="1">
      <c r="A560" s="411">
        <v>633</v>
      </c>
      <c r="B560" s="412" t="s">
        <v>10121</v>
      </c>
      <c r="C560" s="421"/>
      <c r="D560" s="421"/>
      <c r="E560" s="420" t="s">
        <v>4678</v>
      </c>
      <c r="F560" s="417" t="s">
        <v>2351</v>
      </c>
      <c r="G560" s="417" t="s">
        <v>6694</v>
      </c>
      <c r="H560" s="411" t="s">
        <v>10122</v>
      </c>
      <c r="I560" s="417" t="s">
        <v>11</v>
      </c>
      <c r="J560" s="417" t="s">
        <v>2229</v>
      </c>
      <c r="K560" s="434">
        <v>175</v>
      </c>
      <c r="L560" s="435">
        <v>0</v>
      </c>
      <c r="M560" s="434"/>
      <c r="N560" s="414"/>
      <c r="O560" s="414"/>
      <c r="P560" s="418"/>
      <c r="Q560" s="418"/>
    </row>
    <row r="561" spans="1:17" s="32" customFormat="1" ht="19.5" customHeight="1">
      <c r="A561" s="411">
        <v>636</v>
      </c>
      <c r="B561" s="412" t="s">
        <v>10123</v>
      </c>
      <c r="C561" s="421"/>
      <c r="D561" s="421"/>
      <c r="E561" s="420" t="s">
        <v>121</v>
      </c>
      <c r="F561" s="417" t="s">
        <v>2223</v>
      </c>
      <c r="G561" s="417" t="s">
        <v>6694</v>
      </c>
      <c r="H561" s="417" t="s">
        <v>10124</v>
      </c>
      <c r="I561" s="417" t="s">
        <v>1258</v>
      </c>
      <c r="J561" s="417" t="s">
        <v>10125</v>
      </c>
      <c r="K561" s="434">
        <v>3550</v>
      </c>
      <c r="L561" s="435">
        <v>4870</v>
      </c>
      <c r="M561" s="434"/>
      <c r="N561" s="414"/>
      <c r="O561" s="414"/>
      <c r="P561" s="418"/>
      <c r="Q561" s="418"/>
    </row>
    <row r="562" spans="1:17" s="32" customFormat="1" ht="19.5" customHeight="1">
      <c r="A562" s="411">
        <v>635</v>
      </c>
      <c r="B562" s="412" t="s">
        <v>10123</v>
      </c>
      <c r="C562" s="413"/>
      <c r="D562" s="413"/>
      <c r="E562" s="413" t="s">
        <v>121</v>
      </c>
      <c r="F562" s="411" t="s">
        <v>2223</v>
      </c>
      <c r="G562" s="411" t="s">
        <v>6694</v>
      </c>
      <c r="H562" s="417" t="s">
        <v>10124</v>
      </c>
      <c r="I562" s="411" t="s">
        <v>1258</v>
      </c>
      <c r="J562" s="411" t="s">
        <v>10125</v>
      </c>
      <c r="K562" s="414">
        <v>3595</v>
      </c>
      <c r="L562" s="415">
        <v>500</v>
      </c>
      <c r="M562" s="414"/>
      <c r="N562" s="414"/>
      <c r="O562" s="414"/>
      <c r="P562" s="414"/>
      <c r="Q562" s="414"/>
    </row>
    <row r="563" spans="1:17" s="32" customFormat="1" ht="19.5" customHeight="1">
      <c r="A563" s="411">
        <v>637</v>
      </c>
      <c r="B563" s="413" t="s">
        <v>10126</v>
      </c>
      <c r="C563" s="413"/>
      <c r="D563" s="413"/>
      <c r="E563" s="413" t="s">
        <v>10127</v>
      </c>
      <c r="F563" s="411" t="s">
        <v>10128</v>
      </c>
      <c r="G563" s="411" t="s">
        <v>213</v>
      </c>
      <c r="H563" s="411" t="s">
        <v>10129</v>
      </c>
      <c r="I563" s="411" t="s">
        <v>997</v>
      </c>
      <c r="J563" s="411" t="s">
        <v>10125</v>
      </c>
      <c r="K563" s="414">
        <v>4500</v>
      </c>
      <c r="L563" s="415">
        <v>9082</v>
      </c>
      <c r="M563" s="414"/>
      <c r="N563" s="414"/>
      <c r="O563" s="414"/>
      <c r="P563" s="414"/>
      <c r="Q563" s="414"/>
    </row>
    <row r="564" spans="1:17" s="32" customFormat="1" ht="19.5" customHeight="1">
      <c r="A564" s="411">
        <v>638</v>
      </c>
      <c r="B564" s="412" t="s">
        <v>10130</v>
      </c>
      <c r="C564" s="413"/>
      <c r="D564" s="413"/>
      <c r="E564" s="413" t="s">
        <v>10131</v>
      </c>
      <c r="F564" s="411" t="s">
        <v>3056</v>
      </c>
      <c r="G564" s="411" t="s">
        <v>6694</v>
      </c>
      <c r="H564" s="411" t="s">
        <v>10132</v>
      </c>
      <c r="I564" s="411" t="s">
        <v>50</v>
      </c>
      <c r="J564" s="411" t="s">
        <v>10133</v>
      </c>
      <c r="K564" s="414">
        <v>31500</v>
      </c>
      <c r="L564" s="415">
        <v>260</v>
      </c>
      <c r="M564" s="414"/>
      <c r="N564" s="414"/>
      <c r="O564" s="414"/>
      <c r="P564" s="414"/>
      <c r="Q564" s="414"/>
    </row>
    <row r="565" spans="1:17" s="32" customFormat="1" ht="19.5" customHeight="1">
      <c r="A565" s="411">
        <v>642</v>
      </c>
      <c r="B565" s="412" t="s">
        <v>10134</v>
      </c>
      <c r="C565" s="421"/>
      <c r="D565" s="421"/>
      <c r="E565" s="420" t="s">
        <v>4685</v>
      </c>
      <c r="F565" s="417" t="s">
        <v>10135</v>
      </c>
      <c r="G565" s="417" t="s">
        <v>6694</v>
      </c>
      <c r="H565" s="417" t="s">
        <v>10136</v>
      </c>
      <c r="I565" s="417" t="s">
        <v>11</v>
      </c>
      <c r="J565" s="417" t="s">
        <v>10137</v>
      </c>
      <c r="K565" s="434">
        <v>800</v>
      </c>
      <c r="L565" s="435">
        <v>0</v>
      </c>
      <c r="M565" s="434"/>
      <c r="N565" s="414"/>
      <c r="O565" s="414"/>
      <c r="P565" s="418"/>
      <c r="Q565" s="418"/>
    </row>
    <row r="566" spans="1:17" s="32" customFormat="1" ht="19.5" customHeight="1">
      <c r="A566" s="411">
        <v>641</v>
      </c>
      <c r="B566" s="412" t="s">
        <v>10138</v>
      </c>
      <c r="C566" s="413"/>
      <c r="D566" s="413"/>
      <c r="E566" s="413" t="s">
        <v>4685</v>
      </c>
      <c r="F566" s="411" t="s">
        <v>10139</v>
      </c>
      <c r="G566" s="411" t="s">
        <v>6694</v>
      </c>
      <c r="H566" s="436" t="s">
        <v>8550</v>
      </c>
      <c r="I566" s="411" t="s">
        <v>11</v>
      </c>
      <c r="J566" s="411" t="s">
        <v>541</v>
      </c>
      <c r="K566" s="414">
        <v>900</v>
      </c>
      <c r="L566" s="415">
        <v>0</v>
      </c>
      <c r="M566" s="414"/>
      <c r="N566" s="414"/>
      <c r="O566" s="414"/>
      <c r="P566" s="414"/>
      <c r="Q566" s="414"/>
    </row>
    <row r="567" spans="1:17" s="32" customFormat="1" ht="19.5" customHeight="1">
      <c r="A567" s="411">
        <v>644</v>
      </c>
      <c r="B567" s="412" t="s">
        <v>10138</v>
      </c>
      <c r="C567" s="413"/>
      <c r="D567" s="413"/>
      <c r="E567" s="413" t="s">
        <v>10140</v>
      </c>
      <c r="F567" s="411" t="s">
        <v>10141</v>
      </c>
      <c r="G567" s="411" t="s">
        <v>213</v>
      </c>
      <c r="H567" s="436" t="s">
        <v>10142</v>
      </c>
      <c r="I567" s="411" t="s">
        <v>11</v>
      </c>
      <c r="J567" s="411" t="s">
        <v>9063</v>
      </c>
      <c r="K567" s="414">
        <v>520</v>
      </c>
      <c r="L567" s="415">
        <v>0</v>
      </c>
      <c r="M567" s="414"/>
      <c r="N567" s="414"/>
      <c r="O567" s="414"/>
      <c r="P567" s="414"/>
      <c r="Q567" s="414"/>
    </row>
    <row r="568" spans="1:17" s="32" customFormat="1" ht="19.5" customHeight="1">
      <c r="A568" s="411">
        <v>645</v>
      </c>
      <c r="B568" s="413" t="s">
        <v>10143</v>
      </c>
      <c r="C568" s="413"/>
      <c r="D568" s="413"/>
      <c r="E568" s="413" t="s">
        <v>129</v>
      </c>
      <c r="F568" s="411" t="s">
        <v>2226</v>
      </c>
      <c r="G568" s="411" t="s">
        <v>213</v>
      </c>
      <c r="H568" s="411" t="s">
        <v>10144</v>
      </c>
      <c r="I568" s="411" t="s">
        <v>15</v>
      </c>
      <c r="J568" s="411" t="s">
        <v>2225</v>
      </c>
      <c r="K568" s="414">
        <v>42000</v>
      </c>
      <c r="L568" s="415">
        <v>0</v>
      </c>
      <c r="M568" s="414"/>
      <c r="N568" s="414"/>
      <c r="O568" s="414"/>
      <c r="P568" s="414"/>
      <c r="Q568" s="414"/>
    </row>
    <row r="569" spans="1:17" s="32" customFormat="1" ht="19.5" customHeight="1">
      <c r="A569" s="411">
        <v>646</v>
      </c>
      <c r="B569" s="412" t="s">
        <v>10145</v>
      </c>
      <c r="C569" s="413"/>
      <c r="D569" s="413"/>
      <c r="E569" s="413" t="s">
        <v>10146</v>
      </c>
      <c r="F569" s="411" t="s">
        <v>2226</v>
      </c>
      <c r="G569" s="411" t="s">
        <v>6694</v>
      </c>
      <c r="H569" s="411" t="s">
        <v>10144</v>
      </c>
      <c r="I569" s="411" t="s">
        <v>15</v>
      </c>
      <c r="J569" s="411" t="s">
        <v>2225</v>
      </c>
      <c r="K569" s="414">
        <v>42500</v>
      </c>
      <c r="L569" s="415">
        <v>9</v>
      </c>
      <c r="M569" s="414"/>
      <c r="N569" s="414"/>
      <c r="O569" s="414"/>
      <c r="P569" s="414"/>
      <c r="Q569" s="414"/>
    </row>
    <row r="570" spans="1:17" s="32" customFormat="1" ht="19.5" customHeight="1">
      <c r="A570" s="411">
        <v>649</v>
      </c>
      <c r="B570" s="412" t="s">
        <v>10147</v>
      </c>
      <c r="C570" s="413"/>
      <c r="D570" s="413"/>
      <c r="E570" s="413" t="s">
        <v>10148</v>
      </c>
      <c r="F570" s="411" t="s">
        <v>10149</v>
      </c>
      <c r="G570" s="411" t="s">
        <v>6694</v>
      </c>
      <c r="H570" s="411" t="s">
        <v>10150</v>
      </c>
      <c r="I570" s="411" t="s">
        <v>13</v>
      </c>
      <c r="J570" s="411" t="s">
        <v>10151</v>
      </c>
      <c r="K570" s="414">
        <v>2990</v>
      </c>
      <c r="L570" s="415">
        <v>16813</v>
      </c>
      <c r="M570" s="414"/>
      <c r="N570" s="414"/>
      <c r="O570" s="414"/>
      <c r="P570" s="414"/>
      <c r="Q570" s="414"/>
    </row>
    <row r="571" spans="1:17" s="32" customFormat="1" ht="19.5" customHeight="1">
      <c r="A571" s="411">
        <v>651</v>
      </c>
      <c r="B571" s="412" t="s">
        <v>10152</v>
      </c>
      <c r="C571" s="413"/>
      <c r="D571" s="413"/>
      <c r="E571" s="413" t="s">
        <v>3061</v>
      </c>
      <c r="F571" s="411" t="s">
        <v>10153</v>
      </c>
      <c r="G571" s="411" t="s">
        <v>213</v>
      </c>
      <c r="H571" s="411" t="s">
        <v>3063</v>
      </c>
      <c r="I571" s="411" t="s">
        <v>11</v>
      </c>
      <c r="J571" s="411" t="s">
        <v>553</v>
      </c>
      <c r="K571" s="414">
        <v>880</v>
      </c>
      <c r="L571" s="415">
        <v>0</v>
      </c>
      <c r="M571" s="414"/>
      <c r="N571" s="414"/>
      <c r="O571" s="414"/>
      <c r="P571" s="414"/>
      <c r="Q571" s="414"/>
    </row>
    <row r="572" spans="1:17" s="32" customFormat="1" ht="19.5" customHeight="1">
      <c r="A572" s="411">
        <v>653</v>
      </c>
      <c r="B572" s="413" t="s">
        <v>3060</v>
      </c>
      <c r="C572" s="413"/>
      <c r="D572" s="413"/>
      <c r="E572" s="413" t="s">
        <v>3061</v>
      </c>
      <c r="F572" s="411" t="s">
        <v>3062</v>
      </c>
      <c r="G572" s="411" t="s">
        <v>213</v>
      </c>
      <c r="H572" s="411" t="s">
        <v>3063</v>
      </c>
      <c r="I572" s="411" t="s">
        <v>11</v>
      </c>
      <c r="J572" s="411" t="s">
        <v>553</v>
      </c>
      <c r="K572" s="414">
        <v>900</v>
      </c>
      <c r="L572" s="415">
        <v>15100</v>
      </c>
      <c r="M572" s="414"/>
      <c r="N572" s="414"/>
      <c r="O572" s="414"/>
      <c r="P572" s="414"/>
      <c r="Q572" s="414"/>
    </row>
    <row r="573" spans="1:17" s="32" customFormat="1" ht="19.5" customHeight="1">
      <c r="A573" s="411"/>
      <c r="B573" s="412"/>
      <c r="C573" s="413"/>
      <c r="D573" s="413"/>
      <c r="E573" s="413" t="s">
        <v>10154</v>
      </c>
      <c r="F573" s="422" t="s">
        <v>10155</v>
      </c>
      <c r="G573" s="446" t="s">
        <v>10156</v>
      </c>
      <c r="H573" s="411" t="s">
        <v>248</v>
      </c>
      <c r="I573" s="411" t="s">
        <v>11</v>
      </c>
      <c r="J573" s="411" t="s">
        <v>1131</v>
      </c>
      <c r="K573" s="414">
        <v>600</v>
      </c>
      <c r="L573" s="415">
        <v>106</v>
      </c>
      <c r="M573" s="414"/>
      <c r="N573" s="414"/>
      <c r="O573" s="414"/>
      <c r="P573" s="414"/>
      <c r="Q573" s="414"/>
    </row>
    <row r="574" spans="1:17" s="32" customFormat="1" ht="19.5" customHeight="1">
      <c r="A574" s="411">
        <v>656</v>
      </c>
      <c r="B574" s="413" t="s">
        <v>592</v>
      </c>
      <c r="C574" s="413"/>
      <c r="D574" s="413"/>
      <c r="E574" s="413" t="s">
        <v>3609</v>
      </c>
      <c r="F574" s="411" t="s">
        <v>3065</v>
      </c>
      <c r="G574" s="411" t="s">
        <v>213</v>
      </c>
      <c r="H574" s="411" t="s">
        <v>235</v>
      </c>
      <c r="I574" s="411" t="s">
        <v>11</v>
      </c>
      <c r="J574" s="411" t="s">
        <v>2917</v>
      </c>
      <c r="K574" s="414">
        <v>87</v>
      </c>
      <c r="L574" s="415">
        <v>0</v>
      </c>
      <c r="M574" s="414"/>
      <c r="N574" s="414"/>
      <c r="O574" s="414"/>
      <c r="P574" s="414"/>
      <c r="Q574" s="414"/>
    </row>
    <row r="575" spans="1:17" s="32" customFormat="1" ht="19.5" customHeight="1">
      <c r="A575" s="411">
        <v>654</v>
      </c>
      <c r="B575" s="412" t="s">
        <v>10157</v>
      </c>
      <c r="C575" s="413"/>
      <c r="D575" s="413"/>
      <c r="E575" s="413" t="s">
        <v>3609</v>
      </c>
      <c r="F575" s="411" t="s">
        <v>3065</v>
      </c>
      <c r="G575" s="411" t="s">
        <v>6694</v>
      </c>
      <c r="H575" s="411" t="s">
        <v>235</v>
      </c>
      <c r="I575" s="411" t="s">
        <v>10</v>
      </c>
      <c r="J575" s="411" t="s">
        <v>2917</v>
      </c>
      <c r="K575" s="414">
        <v>102</v>
      </c>
      <c r="L575" s="415">
        <v>30869</v>
      </c>
      <c r="M575" s="414"/>
      <c r="N575" s="414"/>
      <c r="O575" s="414"/>
      <c r="P575" s="414"/>
      <c r="Q575" s="414"/>
    </row>
    <row r="576" spans="1:17" s="32" customFormat="1" ht="19.5" customHeight="1">
      <c r="A576" s="411">
        <v>657</v>
      </c>
      <c r="B576" s="412" t="s">
        <v>10158</v>
      </c>
      <c r="C576" s="421"/>
      <c r="D576" s="421"/>
      <c r="E576" s="420" t="s">
        <v>10159</v>
      </c>
      <c r="F576" s="417" t="s">
        <v>10160</v>
      </c>
      <c r="G576" s="417" t="s">
        <v>6694</v>
      </c>
      <c r="H576" s="436" t="s">
        <v>10161</v>
      </c>
      <c r="I576" s="417" t="s">
        <v>4652</v>
      </c>
      <c r="J576" s="417" t="s">
        <v>2229</v>
      </c>
      <c r="K576" s="434">
        <v>2040</v>
      </c>
      <c r="L576" s="435">
        <v>0</v>
      </c>
      <c r="M576" s="434"/>
      <c r="N576" s="414"/>
      <c r="O576" s="414"/>
      <c r="P576" s="418"/>
      <c r="Q576" s="418"/>
    </row>
    <row r="577" spans="1:17" s="32" customFormat="1" ht="19.5" customHeight="1">
      <c r="A577" s="411">
        <v>658</v>
      </c>
      <c r="B577" s="439" t="s">
        <v>10162</v>
      </c>
      <c r="C577" s="440"/>
      <c r="D577" s="413"/>
      <c r="E577" s="439" t="s">
        <v>8043</v>
      </c>
      <c r="F577" s="436" t="s">
        <v>10163</v>
      </c>
      <c r="G577" s="436" t="s">
        <v>213</v>
      </c>
      <c r="H577" s="436" t="s">
        <v>10164</v>
      </c>
      <c r="I577" s="436" t="s">
        <v>10</v>
      </c>
      <c r="J577" s="436" t="s">
        <v>842</v>
      </c>
      <c r="K577" s="429">
        <v>992</v>
      </c>
      <c r="L577" s="430">
        <v>29</v>
      </c>
      <c r="M577" s="429"/>
      <c r="N577" s="414"/>
      <c r="O577" s="414"/>
      <c r="P577" s="441"/>
      <c r="Q577" s="441"/>
    </row>
    <row r="578" spans="1:17" s="32" customFormat="1" ht="19.5" customHeight="1">
      <c r="A578" s="411">
        <v>659</v>
      </c>
      <c r="B578" s="412" t="s">
        <v>10165</v>
      </c>
      <c r="C578" s="416"/>
      <c r="D578" s="416"/>
      <c r="E578" s="412" t="s">
        <v>3610</v>
      </c>
      <c r="F578" s="417" t="s">
        <v>404</v>
      </c>
      <c r="G578" s="417" t="s">
        <v>6694</v>
      </c>
      <c r="H578" s="417" t="s">
        <v>327</v>
      </c>
      <c r="I578" s="417" t="s">
        <v>11</v>
      </c>
      <c r="J578" s="417" t="s">
        <v>842</v>
      </c>
      <c r="K578" s="418">
        <v>146</v>
      </c>
      <c r="L578" s="419">
        <v>20639</v>
      </c>
      <c r="M578" s="418"/>
      <c r="N578" s="414"/>
      <c r="O578" s="414"/>
      <c r="P578" s="418"/>
      <c r="Q578" s="418"/>
    </row>
    <row r="579" spans="1:17" s="32" customFormat="1" ht="19.5" customHeight="1">
      <c r="A579" s="411">
        <v>660</v>
      </c>
      <c r="B579" s="412" t="s">
        <v>9373</v>
      </c>
      <c r="C579" s="413"/>
      <c r="D579" s="413"/>
      <c r="E579" s="413" t="s">
        <v>10166</v>
      </c>
      <c r="F579" s="411" t="s">
        <v>3066</v>
      </c>
      <c r="G579" s="411" t="s">
        <v>5105</v>
      </c>
      <c r="H579" s="411" t="s">
        <v>517</v>
      </c>
      <c r="I579" s="411" t="s">
        <v>520</v>
      </c>
      <c r="J579" s="411" t="s">
        <v>10167</v>
      </c>
      <c r="K579" s="414">
        <v>8200</v>
      </c>
      <c r="L579" s="415">
        <v>0</v>
      </c>
      <c r="M579" s="414"/>
      <c r="N579" s="414"/>
      <c r="O579" s="414"/>
      <c r="P579" s="414"/>
      <c r="Q579" s="414"/>
    </row>
    <row r="580" spans="1:17" s="32" customFormat="1" ht="19.5" customHeight="1">
      <c r="A580" s="411">
        <v>661</v>
      </c>
      <c r="B580" s="413" t="s">
        <v>659</v>
      </c>
      <c r="C580" s="413"/>
      <c r="D580" s="413"/>
      <c r="E580" s="413" t="s">
        <v>10168</v>
      </c>
      <c r="F580" s="411" t="s">
        <v>10169</v>
      </c>
      <c r="G580" s="411" t="s">
        <v>5121</v>
      </c>
      <c r="H580" s="411" t="s">
        <v>262</v>
      </c>
      <c r="I580" s="411" t="s">
        <v>11</v>
      </c>
      <c r="J580" s="411" t="s">
        <v>9063</v>
      </c>
      <c r="K580" s="414">
        <v>3045</v>
      </c>
      <c r="L580" s="415">
        <v>8380</v>
      </c>
      <c r="M580" s="414"/>
      <c r="N580" s="414"/>
      <c r="O580" s="414"/>
      <c r="P580" s="414"/>
      <c r="Q580" s="414"/>
    </row>
    <row r="581" spans="1:17" s="32" customFormat="1" ht="19.5" customHeight="1">
      <c r="A581" s="411">
        <v>664</v>
      </c>
      <c r="B581" s="413" t="s">
        <v>378</v>
      </c>
      <c r="C581" s="413"/>
      <c r="D581" s="413"/>
      <c r="E581" s="413" t="s">
        <v>3611</v>
      </c>
      <c r="F581" s="411" t="s">
        <v>379</v>
      </c>
      <c r="G581" s="411" t="s">
        <v>213</v>
      </c>
      <c r="H581" s="411" t="s">
        <v>334</v>
      </c>
      <c r="I581" s="411" t="s">
        <v>11</v>
      </c>
      <c r="J581" s="411" t="s">
        <v>2917</v>
      </c>
      <c r="K581" s="414">
        <v>224</v>
      </c>
      <c r="L581" s="415">
        <v>0</v>
      </c>
      <c r="M581" s="414"/>
      <c r="N581" s="414"/>
      <c r="O581" s="414"/>
      <c r="P581" s="414"/>
      <c r="Q581" s="414"/>
    </row>
    <row r="582" spans="1:17" s="32" customFormat="1" ht="19.5" customHeight="1">
      <c r="A582" s="411">
        <v>662</v>
      </c>
      <c r="B582" s="412" t="s">
        <v>10069</v>
      </c>
      <c r="C582" s="413"/>
      <c r="D582" s="413"/>
      <c r="E582" s="413" t="s">
        <v>3611</v>
      </c>
      <c r="F582" s="411" t="s">
        <v>10170</v>
      </c>
      <c r="G582" s="411" t="s">
        <v>6694</v>
      </c>
      <c r="H582" s="411" t="s">
        <v>334</v>
      </c>
      <c r="I582" s="411" t="s">
        <v>10</v>
      </c>
      <c r="J582" s="411" t="s">
        <v>2917</v>
      </c>
      <c r="K582" s="414">
        <v>249</v>
      </c>
      <c r="L582" s="415">
        <v>0</v>
      </c>
      <c r="M582" s="414"/>
      <c r="N582" s="414"/>
      <c r="O582" s="414"/>
      <c r="P582" s="414"/>
      <c r="Q582" s="414"/>
    </row>
    <row r="583" spans="1:17" s="32" customFormat="1" ht="19.5" customHeight="1">
      <c r="A583" s="411">
        <v>665</v>
      </c>
      <c r="B583" s="412" t="s">
        <v>10171</v>
      </c>
      <c r="C583" s="413"/>
      <c r="D583" s="413"/>
      <c r="E583" s="413" t="s">
        <v>2241</v>
      </c>
      <c r="F583" s="411" t="s">
        <v>10172</v>
      </c>
      <c r="G583" s="411" t="s">
        <v>6694</v>
      </c>
      <c r="H583" s="417" t="s">
        <v>2773</v>
      </c>
      <c r="I583" s="411" t="s">
        <v>11</v>
      </c>
      <c r="J583" s="411" t="s">
        <v>9711</v>
      </c>
      <c r="K583" s="414">
        <v>500</v>
      </c>
      <c r="L583" s="415">
        <v>11060</v>
      </c>
      <c r="M583" s="414"/>
      <c r="N583" s="414"/>
      <c r="O583" s="414"/>
      <c r="P583" s="414"/>
      <c r="Q583" s="414"/>
    </row>
    <row r="584" spans="1:17" s="32" customFormat="1" ht="19.5" customHeight="1">
      <c r="A584" s="411">
        <v>667</v>
      </c>
      <c r="B584" s="413" t="s">
        <v>2501</v>
      </c>
      <c r="C584" s="413"/>
      <c r="D584" s="413"/>
      <c r="E584" s="413" t="s">
        <v>10173</v>
      </c>
      <c r="F584" s="411" t="s">
        <v>3068</v>
      </c>
      <c r="G584" s="411" t="s">
        <v>213</v>
      </c>
      <c r="H584" s="411" t="s">
        <v>299</v>
      </c>
      <c r="I584" s="411" t="s">
        <v>11</v>
      </c>
      <c r="J584" s="411" t="s">
        <v>9711</v>
      </c>
      <c r="K584" s="414">
        <v>2520</v>
      </c>
      <c r="L584" s="415">
        <v>9084</v>
      </c>
      <c r="M584" s="414"/>
      <c r="N584" s="414"/>
      <c r="O584" s="414"/>
      <c r="P584" s="414"/>
      <c r="Q584" s="414"/>
    </row>
    <row r="585" spans="1:17" s="32" customFormat="1" ht="19.5" customHeight="1">
      <c r="A585" s="411">
        <v>668</v>
      </c>
      <c r="B585" s="412" t="s">
        <v>10174</v>
      </c>
      <c r="C585" s="413"/>
      <c r="D585" s="413"/>
      <c r="E585" s="413" t="s">
        <v>10175</v>
      </c>
      <c r="F585" s="411" t="s">
        <v>10176</v>
      </c>
      <c r="G585" s="411" t="s">
        <v>10177</v>
      </c>
      <c r="H585" s="411" t="s">
        <v>310</v>
      </c>
      <c r="I585" s="411" t="s">
        <v>11</v>
      </c>
      <c r="J585" s="411" t="s">
        <v>9063</v>
      </c>
      <c r="K585" s="414">
        <v>3245</v>
      </c>
      <c r="L585" s="415">
        <v>0</v>
      </c>
      <c r="M585" s="414"/>
      <c r="N585" s="414"/>
      <c r="O585" s="414"/>
      <c r="P585" s="414"/>
      <c r="Q585" s="414"/>
    </row>
    <row r="586" spans="1:17" s="32" customFormat="1" ht="19.5" customHeight="1">
      <c r="A586" s="411">
        <v>669</v>
      </c>
      <c r="B586" s="412" t="s">
        <v>10174</v>
      </c>
      <c r="C586" s="413"/>
      <c r="D586" s="413"/>
      <c r="E586" s="413" t="s">
        <v>10178</v>
      </c>
      <c r="F586" s="411" t="s">
        <v>10179</v>
      </c>
      <c r="G586" s="411" t="s">
        <v>213</v>
      </c>
      <c r="H586" s="411" t="s">
        <v>869</v>
      </c>
      <c r="I586" s="411" t="s">
        <v>11</v>
      </c>
      <c r="J586" s="411" t="s">
        <v>9063</v>
      </c>
      <c r="K586" s="414">
        <v>1785</v>
      </c>
      <c r="L586" s="415">
        <v>13</v>
      </c>
      <c r="M586" s="414"/>
      <c r="N586" s="414"/>
      <c r="O586" s="414"/>
      <c r="P586" s="414"/>
      <c r="Q586" s="414"/>
    </row>
    <row r="587" spans="1:17" s="32" customFormat="1" ht="19.5" customHeight="1">
      <c r="A587" s="411">
        <v>670</v>
      </c>
      <c r="B587" s="413" t="s">
        <v>442</v>
      </c>
      <c r="C587" s="413"/>
      <c r="D587" s="413"/>
      <c r="E587" s="413" t="s">
        <v>10180</v>
      </c>
      <c r="F587" s="411" t="s">
        <v>3073</v>
      </c>
      <c r="G587" s="411" t="s">
        <v>9867</v>
      </c>
      <c r="H587" s="411" t="s">
        <v>272</v>
      </c>
      <c r="I587" s="411" t="s">
        <v>11</v>
      </c>
      <c r="J587" s="411" t="s">
        <v>9063</v>
      </c>
      <c r="K587" s="414">
        <v>450</v>
      </c>
      <c r="L587" s="415">
        <v>4660</v>
      </c>
      <c r="M587" s="414"/>
      <c r="N587" s="414"/>
      <c r="O587" s="414"/>
      <c r="P587" s="414"/>
      <c r="Q587" s="414"/>
    </row>
    <row r="588" spans="1:17" s="32" customFormat="1" ht="19.5" customHeight="1">
      <c r="A588" s="411">
        <v>671</v>
      </c>
      <c r="B588" s="412" t="s">
        <v>9449</v>
      </c>
      <c r="C588" s="413"/>
      <c r="D588" s="413"/>
      <c r="E588" s="413" t="s">
        <v>10181</v>
      </c>
      <c r="F588" s="411" t="s">
        <v>10182</v>
      </c>
      <c r="G588" s="411" t="s">
        <v>213</v>
      </c>
      <c r="H588" s="411" t="s">
        <v>258</v>
      </c>
      <c r="I588" s="411" t="s">
        <v>11</v>
      </c>
      <c r="J588" s="411" t="s">
        <v>9063</v>
      </c>
      <c r="K588" s="414">
        <v>1450</v>
      </c>
      <c r="L588" s="415">
        <v>0</v>
      </c>
      <c r="M588" s="414"/>
      <c r="N588" s="414"/>
      <c r="O588" s="414"/>
      <c r="P588" s="414"/>
      <c r="Q588" s="414"/>
    </row>
    <row r="589" spans="1:17" s="32" customFormat="1" ht="19.5" customHeight="1">
      <c r="A589" s="411">
        <v>672</v>
      </c>
      <c r="B589" s="412" t="s">
        <v>10183</v>
      </c>
      <c r="C589" s="413"/>
      <c r="D589" s="413"/>
      <c r="E589" s="413" t="s">
        <v>10184</v>
      </c>
      <c r="F589" s="411" t="s">
        <v>10185</v>
      </c>
      <c r="G589" s="411" t="s">
        <v>6694</v>
      </c>
      <c r="H589" s="411" t="s">
        <v>232</v>
      </c>
      <c r="I589" s="411" t="s">
        <v>10</v>
      </c>
      <c r="J589" s="411" t="s">
        <v>2212</v>
      </c>
      <c r="K589" s="414">
        <v>1290</v>
      </c>
      <c r="L589" s="415">
        <v>0</v>
      </c>
      <c r="M589" s="414"/>
      <c r="N589" s="414"/>
      <c r="O589" s="414"/>
      <c r="P589" s="414"/>
      <c r="Q589" s="414"/>
    </row>
    <row r="590" spans="1:17" s="32" customFormat="1" ht="19.5" customHeight="1">
      <c r="A590" s="411">
        <v>673</v>
      </c>
      <c r="B590" s="412" t="s">
        <v>10183</v>
      </c>
      <c r="C590" s="413"/>
      <c r="D590" s="413"/>
      <c r="E590" s="413" t="s">
        <v>10184</v>
      </c>
      <c r="F590" s="411" t="s">
        <v>10185</v>
      </c>
      <c r="G590" s="411" t="s">
        <v>213</v>
      </c>
      <c r="H590" s="411" t="s">
        <v>232</v>
      </c>
      <c r="I590" s="411" t="s">
        <v>10</v>
      </c>
      <c r="J590" s="411" t="s">
        <v>538</v>
      </c>
      <c r="K590" s="414">
        <v>2098</v>
      </c>
      <c r="L590" s="415">
        <v>46</v>
      </c>
      <c r="M590" s="414"/>
      <c r="N590" s="414"/>
      <c r="O590" s="414"/>
      <c r="P590" s="414"/>
      <c r="Q590" s="414"/>
    </row>
    <row r="591" spans="1:17" s="32" customFormat="1" ht="19.5" customHeight="1">
      <c r="A591" s="411">
        <v>675</v>
      </c>
      <c r="B591" s="413" t="s">
        <v>10186</v>
      </c>
      <c r="C591" s="413"/>
      <c r="D591" s="413"/>
      <c r="E591" s="413" t="s">
        <v>2505</v>
      </c>
      <c r="F591" s="411" t="s">
        <v>3078</v>
      </c>
      <c r="G591" s="411" t="s">
        <v>5105</v>
      </c>
      <c r="H591" s="411" t="s">
        <v>869</v>
      </c>
      <c r="I591" s="411" t="s">
        <v>11</v>
      </c>
      <c r="J591" s="411" t="s">
        <v>538</v>
      </c>
      <c r="K591" s="414">
        <v>1832</v>
      </c>
      <c r="L591" s="415">
        <v>1980</v>
      </c>
      <c r="M591" s="414"/>
      <c r="N591" s="414"/>
      <c r="O591" s="414"/>
      <c r="P591" s="414"/>
      <c r="Q591" s="414"/>
    </row>
    <row r="592" spans="1:17" s="32" customFormat="1" ht="19.5" customHeight="1">
      <c r="A592" s="411">
        <v>676</v>
      </c>
      <c r="B592" s="412" t="s">
        <v>10187</v>
      </c>
      <c r="C592" s="413"/>
      <c r="D592" s="413"/>
      <c r="E592" s="413" t="s">
        <v>10188</v>
      </c>
      <c r="F592" s="411" t="s">
        <v>10189</v>
      </c>
      <c r="G592" s="411" t="s">
        <v>6330</v>
      </c>
      <c r="H592" s="411" t="s">
        <v>327</v>
      </c>
      <c r="I592" s="411" t="s">
        <v>11</v>
      </c>
      <c r="J592" s="411" t="s">
        <v>10190</v>
      </c>
      <c r="K592" s="414">
        <v>4490</v>
      </c>
      <c r="L592" s="415">
        <v>12</v>
      </c>
      <c r="M592" s="414"/>
      <c r="N592" s="414"/>
      <c r="O592" s="414"/>
      <c r="P592" s="414"/>
      <c r="Q592" s="414"/>
    </row>
    <row r="593" spans="1:17" s="32" customFormat="1" ht="19.5" customHeight="1">
      <c r="A593" s="411">
        <v>679</v>
      </c>
      <c r="B593" s="413" t="s">
        <v>855</v>
      </c>
      <c r="C593" s="413"/>
      <c r="D593" s="413"/>
      <c r="E593" s="413" t="s">
        <v>3612</v>
      </c>
      <c r="F593" s="411" t="s">
        <v>1375</v>
      </c>
      <c r="G593" s="411" t="s">
        <v>213</v>
      </c>
      <c r="H593" s="411" t="s">
        <v>641</v>
      </c>
      <c r="I593" s="411" t="s">
        <v>11</v>
      </c>
      <c r="J593" s="411" t="s">
        <v>9063</v>
      </c>
      <c r="K593" s="414">
        <v>276</v>
      </c>
      <c r="L593" s="415">
        <v>8679</v>
      </c>
      <c r="M593" s="414"/>
      <c r="N593" s="414"/>
      <c r="O593" s="414"/>
      <c r="P593" s="414"/>
      <c r="Q593" s="414"/>
    </row>
    <row r="594" spans="1:17" s="32" customFormat="1" ht="19.5" customHeight="1">
      <c r="A594" s="411">
        <v>678</v>
      </c>
      <c r="B594" s="412" t="s">
        <v>855</v>
      </c>
      <c r="C594" s="413"/>
      <c r="D594" s="413"/>
      <c r="E594" s="413" t="s">
        <v>3612</v>
      </c>
      <c r="F594" s="411" t="s">
        <v>10191</v>
      </c>
      <c r="G594" s="411" t="s">
        <v>213</v>
      </c>
      <c r="H594" s="411" t="s">
        <v>641</v>
      </c>
      <c r="I594" s="411" t="s">
        <v>11</v>
      </c>
      <c r="J594" s="411" t="s">
        <v>9063</v>
      </c>
      <c r="K594" s="414">
        <v>475</v>
      </c>
      <c r="L594" s="415">
        <v>0</v>
      </c>
      <c r="M594" s="414"/>
      <c r="N594" s="414"/>
      <c r="O594" s="414"/>
      <c r="P594" s="414"/>
      <c r="Q594" s="414"/>
    </row>
    <row r="595" spans="1:17" s="32" customFormat="1" ht="19.5" customHeight="1">
      <c r="A595" s="411">
        <v>680</v>
      </c>
      <c r="B595" s="412" t="s">
        <v>10192</v>
      </c>
      <c r="C595" s="416"/>
      <c r="D595" s="416"/>
      <c r="E595" s="412" t="s">
        <v>1377</v>
      </c>
      <c r="F595" s="417" t="s">
        <v>1379</v>
      </c>
      <c r="G595" s="417" t="s">
        <v>6694</v>
      </c>
      <c r="H595" s="417" t="s">
        <v>1408</v>
      </c>
      <c r="I595" s="417" t="s">
        <v>11</v>
      </c>
      <c r="J595" s="417" t="s">
        <v>842</v>
      </c>
      <c r="K595" s="418">
        <v>376</v>
      </c>
      <c r="L595" s="419">
        <v>0</v>
      </c>
      <c r="M595" s="418"/>
      <c r="N595" s="414"/>
      <c r="O595" s="414"/>
      <c r="P595" s="418"/>
      <c r="Q595" s="418"/>
    </row>
    <row r="596" spans="1:17" s="32" customFormat="1" ht="19.5" customHeight="1">
      <c r="A596" s="411">
        <v>682</v>
      </c>
      <c r="B596" s="412" t="s">
        <v>286</v>
      </c>
      <c r="C596" s="413"/>
      <c r="D596" s="413"/>
      <c r="E596" s="413" t="s">
        <v>10193</v>
      </c>
      <c r="F596" s="411" t="s">
        <v>10194</v>
      </c>
      <c r="G596" s="411" t="s">
        <v>213</v>
      </c>
      <c r="H596" s="411" t="s">
        <v>17</v>
      </c>
      <c r="I596" s="411" t="s">
        <v>11</v>
      </c>
      <c r="J596" s="411" t="s">
        <v>10195</v>
      </c>
      <c r="K596" s="414">
        <v>1148</v>
      </c>
      <c r="L596" s="415">
        <v>0</v>
      </c>
      <c r="M596" s="414"/>
      <c r="N596" s="414"/>
      <c r="O596" s="414"/>
      <c r="P596" s="414"/>
      <c r="Q596" s="414"/>
    </row>
    <row r="597" spans="1:17" s="32" customFormat="1" ht="19.5" customHeight="1">
      <c r="A597" s="411">
        <v>683</v>
      </c>
      <c r="B597" s="412" t="s">
        <v>286</v>
      </c>
      <c r="C597" s="413"/>
      <c r="D597" s="413"/>
      <c r="E597" s="413" t="s">
        <v>10193</v>
      </c>
      <c r="F597" s="411" t="s">
        <v>10196</v>
      </c>
      <c r="G597" s="411" t="s">
        <v>213</v>
      </c>
      <c r="H597" s="411" t="s">
        <v>225</v>
      </c>
      <c r="I597" s="411" t="s">
        <v>11</v>
      </c>
      <c r="J597" s="411" t="s">
        <v>9063</v>
      </c>
      <c r="K597" s="414">
        <v>1648</v>
      </c>
      <c r="L597" s="415">
        <v>10</v>
      </c>
      <c r="M597" s="414"/>
      <c r="N597" s="414"/>
      <c r="O597" s="414"/>
      <c r="P597" s="414"/>
      <c r="Q597" s="414"/>
    </row>
    <row r="598" spans="1:17" s="32" customFormat="1" ht="19.5" customHeight="1">
      <c r="A598" s="411">
        <v>681</v>
      </c>
      <c r="B598" s="412" t="s">
        <v>10197</v>
      </c>
      <c r="C598" s="413"/>
      <c r="D598" s="413"/>
      <c r="E598" s="413" t="s">
        <v>10193</v>
      </c>
      <c r="F598" s="411" t="s">
        <v>5453</v>
      </c>
      <c r="G598" s="411" t="s">
        <v>6694</v>
      </c>
      <c r="H598" s="411" t="s">
        <v>225</v>
      </c>
      <c r="I598" s="411" t="s">
        <v>11</v>
      </c>
      <c r="J598" s="411" t="s">
        <v>815</v>
      </c>
      <c r="K598" s="414">
        <v>924</v>
      </c>
      <c r="L598" s="415">
        <v>29</v>
      </c>
      <c r="M598" s="414"/>
      <c r="N598" s="414"/>
      <c r="O598" s="414"/>
      <c r="P598" s="414"/>
      <c r="Q598" s="414"/>
    </row>
    <row r="599" spans="1:17" s="32" customFormat="1" ht="19.5" customHeight="1">
      <c r="A599" s="411">
        <v>687</v>
      </c>
      <c r="B599" s="413" t="s">
        <v>392</v>
      </c>
      <c r="C599" s="413"/>
      <c r="D599" s="413"/>
      <c r="E599" s="413" t="s">
        <v>2611</v>
      </c>
      <c r="F599" s="411" t="s">
        <v>3081</v>
      </c>
      <c r="G599" s="411" t="s">
        <v>213</v>
      </c>
      <c r="H599" s="411" t="s">
        <v>235</v>
      </c>
      <c r="I599" s="411" t="s">
        <v>11</v>
      </c>
      <c r="J599" s="411" t="s">
        <v>2204</v>
      </c>
      <c r="K599" s="414">
        <v>157</v>
      </c>
      <c r="L599" s="415">
        <v>18848</v>
      </c>
      <c r="M599" s="414"/>
      <c r="N599" s="414"/>
      <c r="O599" s="414"/>
      <c r="P599" s="414"/>
      <c r="Q599" s="414"/>
    </row>
    <row r="600" spans="1:17" s="32" customFormat="1" ht="19.5" customHeight="1">
      <c r="A600" s="411">
        <v>685</v>
      </c>
      <c r="B600" s="412" t="s">
        <v>392</v>
      </c>
      <c r="C600" s="413"/>
      <c r="D600" s="413"/>
      <c r="E600" s="413" t="s">
        <v>2611</v>
      </c>
      <c r="F600" s="411" t="s">
        <v>3081</v>
      </c>
      <c r="G600" s="411" t="s">
        <v>6694</v>
      </c>
      <c r="H600" s="411" t="s">
        <v>235</v>
      </c>
      <c r="I600" s="411" t="s">
        <v>11</v>
      </c>
      <c r="J600" s="411" t="s">
        <v>2204</v>
      </c>
      <c r="K600" s="414">
        <v>192</v>
      </c>
      <c r="L600" s="415">
        <v>33</v>
      </c>
      <c r="M600" s="414"/>
      <c r="N600" s="414"/>
      <c r="O600" s="414"/>
      <c r="P600" s="414"/>
      <c r="Q600" s="414"/>
    </row>
    <row r="601" spans="1:17" s="32" customFormat="1" ht="19.5" customHeight="1">
      <c r="A601" s="411">
        <v>688</v>
      </c>
      <c r="B601" s="413" t="s">
        <v>3082</v>
      </c>
      <c r="C601" s="413"/>
      <c r="D601" s="413"/>
      <c r="E601" s="413" t="s">
        <v>3083</v>
      </c>
      <c r="F601" s="411" t="s">
        <v>3084</v>
      </c>
      <c r="G601" s="411" t="s">
        <v>213</v>
      </c>
      <c r="H601" s="411" t="s">
        <v>3086</v>
      </c>
      <c r="I601" s="411" t="s">
        <v>11</v>
      </c>
      <c r="J601" s="411" t="s">
        <v>9063</v>
      </c>
      <c r="K601" s="414">
        <v>296</v>
      </c>
      <c r="L601" s="415">
        <v>9700</v>
      </c>
      <c r="M601" s="414"/>
      <c r="N601" s="414"/>
      <c r="O601" s="414"/>
      <c r="P601" s="414"/>
      <c r="Q601" s="414"/>
    </row>
    <row r="602" spans="1:17" s="32" customFormat="1" ht="19.5" customHeight="1">
      <c r="A602" s="411">
        <v>689</v>
      </c>
      <c r="B602" s="412" t="s">
        <v>10198</v>
      </c>
      <c r="C602" s="413"/>
      <c r="D602" s="413"/>
      <c r="E602" s="413" t="s">
        <v>3613</v>
      </c>
      <c r="F602" s="411" t="s">
        <v>3087</v>
      </c>
      <c r="G602" s="411" t="s">
        <v>5156</v>
      </c>
      <c r="H602" s="411" t="s">
        <v>2624</v>
      </c>
      <c r="I602" s="411" t="s">
        <v>10</v>
      </c>
      <c r="J602" s="411" t="s">
        <v>10199</v>
      </c>
      <c r="K602" s="414">
        <v>1800</v>
      </c>
      <c r="L602" s="415">
        <v>3140</v>
      </c>
      <c r="M602" s="414"/>
      <c r="N602" s="414"/>
      <c r="O602" s="414"/>
      <c r="P602" s="414"/>
      <c r="Q602" s="414"/>
    </row>
    <row r="603" spans="1:17" s="32" customFormat="1" ht="19.5" customHeight="1">
      <c r="A603" s="411">
        <v>690</v>
      </c>
      <c r="B603" s="412" t="s">
        <v>10200</v>
      </c>
      <c r="C603" s="413"/>
      <c r="D603" s="413"/>
      <c r="E603" s="413" t="s">
        <v>10201</v>
      </c>
      <c r="F603" s="411" t="s">
        <v>10202</v>
      </c>
      <c r="G603" s="411" t="s">
        <v>213</v>
      </c>
      <c r="H603" s="411" t="s">
        <v>272</v>
      </c>
      <c r="I603" s="411" t="s">
        <v>11</v>
      </c>
      <c r="J603" s="411" t="s">
        <v>9063</v>
      </c>
      <c r="K603" s="414">
        <v>1750</v>
      </c>
      <c r="L603" s="415">
        <v>0</v>
      </c>
      <c r="M603" s="414"/>
      <c r="N603" s="414"/>
      <c r="O603" s="414"/>
      <c r="P603" s="414"/>
      <c r="Q603" s="414"/>
    </row>
    <row r="604" spans="1:17" s="32" customFormat="1" ht="19.5" customHeight="1">
      <c r="A604" s="411">
        <v>691</v>
      </c>
      <c r="B604" s="412" t="s">
        <v>2138</v>
      </c>
      <c r="C604" s="413"/>
      <c r="D604" s="413"/>
      <c r="E604" s="413" t="s">
        <v>3614</v>
      </c>
      <c r="F604" s="411" t="s">
        <v>10203</v>
      </c>
      <c r="G604" s="411" t="s">
        <v>6564</v>
      </c>
      <c r="H604" s="411" t="s">
        <v>1290</v>
      </c>
      <c r="I604" s="411" t="s">
        <v>10</v>
      </c>
      <c r="J604" s="411" t="s">
        <v>10204</v>
      </c>
      <c r="K604" s="414">
        <v>1914</v>
      </c>
      <c r="L604" s="415">
        <v>0</v>
      </c>
      <c r="M604" s="414"/>
      <c r="N604" s="414"/>
      <c r="O604" s="414"/>
      <c r="P604" s="414"/>
      <c r="Q604" s="414"/>
    </row>
    <row r="605" spans="1:17" s="32" customFormat="1" ht="19.5" customHeight="1">
      <c r="A605" s="411">
        <v>692</v>
      </c>
      <c r="B605" s="420" t="s">
        <v>10205</v>
      </c>
      <c r="C605" s="421"/>
      <c r="D605" s="421"/>
      <c r="E605" s="412" t="s">
        <v>10206</v>
      </c>
      <c r="F605" s="417" t="s">
        <v>10207</v>
      </c>
      <c r="G605" s="417" t="s">
        <v>6694</v>
      </c>
      <c r="H605" s="417" t="s">
        <v>10208</v>
      </c>
      <c r="I605" s="417" t="s">
        <v>11</v>
      </c>
      <c r="J605" s="417" t="s">
        <v>815</v>
      </c>
      <c r="K605" s="418">
        <v>789</v>
      </c>
      <c r="L605" s="419">
        <v>0</v>
      </c>
      <c r="M605" s="418"/>
      <c r="N605" s="414"/>
      <c r="O605" s="414"/>
      <c r="P605" s="418"/>
      <c r="Q605" s="418"/>
    </row>
    <row r="606" spans="1:17" s="32" customFormat="1" ht="19.5" customHeight="1">
      <c r="A606" s="411">
        <v>693</v>
      </c>
      <c r="B606" s="420" t="s">
        <v>10205</v>
      </c>
      <c r="C606" s="421"/>
      <c r="D606" s="421"/>
      <c r="E606" s="412" t="s">
        <v>1394</v>
      </c>
      <c r="F606" s="417" t="s">
        <v>1396</v>
      </c>
      <c r="G606" s="417" t="s">
        <v>6694</v>
      </c>
      <c r="H606" s="417" t="s">
        <v>2581</v>
      </c>
      <c r="I606" s="417" t="s">
        <v>11</v>
      </c>
      <c r="J606" s="417" t="s">
        <v>815</v>
      </c>
      <c r="K606" s="418">
        <v>2060</v>
      </c>
      <c r="L606" s="419">
        <v>286</v>
      </c>
      <c r="M606" s="418"/>
      <c r="N606" s="414"/>
      <c r="O606" s="414"/>
      <c r="P606" s="418"/>
      <c r="Q606" s="418"/>
    </row>
    <row r="607" spans="1:17" s="32" customFormat="1" ht="19.5" customHeight="1">
      <c r="A607" s="411">
        <v>695</v>
      </c>
      <c r="B607" s="413" t="s">
        <v>1356</v>
      </c>
      <c r="C607" s="413"/>
      <c r="D607" s="413"/>
      <c r="E607" s="413" t="s">
        <v>3615</v>
      </c>
      <c r="F607" s="411" t="s">
        <v>1358</v>
      </c>
      <c r="G607" s="411" t="s">
        <v>213</v>
      </c>
      <c r="H607" s="411" t="s">
        <v>238</v>
      </c>
      <c r="I607" s="411" t="s">
        <v>11</v>
      </c>
      <c r="J607" s="417" t="s">
        <v>842</v>
      </c>
      <c r="K607" s="414">
        <v>100</v>
      </c>
      <c r="L607" s="415">
        <v>0</v>
      </c>
      <c r="M607" s="414"/>
      <c r="N607" s="414"/>
      <c r="O607" s="414"/>
      <c r="P607" s="414"/>
      <c r="Q607" s="414"/>
    </row>
    <row r="608" spans="1:17" s="32" customFormat="1" ht="19.5" customHeight="1">
      <c r="A608" s="411">
        <v>694</v>
      </c>
      <c r="B608" s="412" t="s">
        <v>1356</v>
      </c>
      <c r="C608" s="416"/>
      <c r="D608" s="416"/>
      <c r="E608" s="412" t="s">
        <v>3615</v>
      </c>
      <c r="F608" s="417" t="s">
        <v>1358</v>
      </c>
      <c r="G608" s="417" t="s">
        <v>6694</v>
      </c>
      <c r="H608" s="417" t="s">
        <v>238</v>
      </c>
      <c r="I608" s="417" t="s">
        <v>11</v>
      </c>
      <c r="J608" s="417" t="s">
        <v>842</v>
      </c>
      <c r="K608" s="418">
        <v>105</v>
      </c>
      <c r="L608" s="419">
        <v>0</v>
      </c>
      <c r="M608" s="418"/>
      <c r="N608" s="414"/>
      <c r="O608" s="414"/>
      <c r="P608" s="418"/>
      <c r="Q608" s="418"/>
    </row>
    <row r="609" spans="1:17" s="32" customFormat="1" ht="19.5" customHeight="1">
      <c r="A609" s="411">
        <v>696</v>
      </c>
      <c r="B609" s="412" t="s">
        <v>10209</v>
      </c>
      <c r="C609" s="413"/>
      <c r="D609" s="413"/>
      <c r="E609" s="413" t="s">
        <v>1312</v>
      </c>
      <c r="F609" s="411" t="s">
        <v>1314</v>
      </c>
      <c r="G609" s="411" t="s">
        <v>6694</v>
      </c>
      <c r="H609" s="411" t="s">
        <v>1313</v>
      </c>
      <c r="I609" s="411" t="s">
        <v>11</v>
      </c>
      <c r="J609" s="411" t="s">
        <v>842</v>
      </c>
      <c r="K609" s="414">
        <v>219</v>
      </c>
      <c r="L609" s="415">
        <v>0</v>
      </c>
      <c r="M609" s="414"/>
      <c r="N609" s="414"/>
      <c r="O609" s="414"/>
      <c r="P609" s="414"/>
      <c r="Q609" s="414"/>
    </row>
    <row r="610" spans="1:17" s="32" customFormat="1" ht="19.5" customHeight="1">
      <c r="A610" s="411">
        <v>700</v>
      </c>
      <c r="B610" s="413" t="s">
        <v>1311</v>
      </c>
      <c r="C610" s="413"/>
      <c r="D610" s="413"/>
      <c r="E610" s="413" t="s">
        <v>3616</v>
      </c>
      <c r="F610" s="411" t="s">
        <v>1314</v>
      </c>
      <c r="G610" s="411" t="s">
        <v>213</v>
      </c>
      <c r="H610" s="411" t="s">
        <v>1313</v>
      </c>
      <c r="I610" s="411" t="s">
        <v>11</v>
      </c>
      <c r="J610" s="411" t="s">
        <v>842</v>
      </c>
      <c r="K610" s="414">
        <v>157</v>
      </c>
      <c r="L610" s="415">
        <v>24437</v>
      </c>
      <c r="M610" s="414"/>
      <c r="N610" s="414"/>
      <c r="O610" s="414"/>
      <c r="P610" s="414"/>
      <c r="Q610" s="414"/>
    </row>
    <row r="611" spans="1:17" s="32" customFormat="1" ht="19.5" customHeight="1">
      <c r="A611" s="411">
        <v>701</v>
      </c>
      <c r="B611" s="412" t="s">
        <v>10210</v>
      </c>
      <c r="C611" s="413"/>
      <c r="D611" s="413"/>
      <c r="E611" s="413" t="s">
        <v>10211</v>
      </c>
      <c r="F611" s="411" t="s">
        <v>1314</v>
      </c>
      <c r="G611" s="411" t="s">
        <v>213</v>
      </c>
      <c r="H611" s="411" t="s">
        <v>1313</v>
      </c>
      <c r="I611" s="411" t="s">
        <v>11</v>
      </c>
      <c r="J611" s="411" t="s">
        <v>642</v>
      </c>
      <c r="K611" s="414">
        <v>278</v>
      </c>
      <c r="L611" s="415">
        <v>222</v>
      </c>
      <c r="M611" s="414"/>
      <c r="N611" s="414"/>
      <c r="O611" s="414"/>
      <c r="P611" s="414"/>
      <c r="Q611" s="414"/>
    </row>
    <row r="612" spans="1:17" s="32" customFormat="1" ht="19.5" customHeight="1">
      <c r="A612" s="411">
        <v>702</v>
      </c>
      <c r="B612" s="420" t="s">
        <v>9147</v>
      </c>
      <c r="C612" s="421"/>
      <c r="D612" s="421"/>
      <c r="E612" s="412" t="s">
        <v>3617</v>
      </c>
      <c r="F612" s="417" t="s">
        <v>362</v>
      </c>
      <c r="G612" s="417" t="s">
        <v>6694</v>
      </c>
      <c r="H612" s="417" t="s">
        <v>327</v>
      </c>
      <c r="I612" s="417" t="s">
        <v>11</v>
      </c>
      <c r="J612" s="417" t="s">
        <v>842</v>
      </c>
      <c r="K612" s="418">
        <v>115</v>
      </c>
      <c r="L612" s="419">
        <v>0</v>
      </c>
      <c r="M612" s="418"/>
      <c r="N612" s="414"/>
      <c r="O612" s="414"/>
      <c r="P612" s="418"/>
      <c r="Q612" s="418"/>
    </row>
    <row r="613" spans="1:17" s="32" customFormat="1" ht="19.5" customHeight="1">
      <c r="A613" s="411">
        <v>703</v>
      </c>
      <c r="B613" s="413" t="s">
        <v>639</v>
      </c>
      <c r="C613" s="413"/>
      <c r="D613" s="413"/>
      <c r="E613" s="413" t="s">
        <v>673</v>
      </c>
      <c r="F613" s="411" t="s">
        <v>675</v>
      </c>
      <c r="G613" s="411" t="s">
        <v>5222</v>
      </c>
      <c r="H613" s="411" t="s">
        <v>10212</v>
      </c>
      <c r="I613" s="411" t="s">
        <v>11</v>
      </c>
      <c r="J613" s="417" t="s">
        <v>842</v>
      </c>
      <c r="K613" s="414">
        <v>12850</v>
      </c>
      <c r="L613" s="415">
        <v>3730</v>
      </c>
      <c r="M613" s="414"/>
      <c r="N613" s="414"/>
      <c r="O613" s="414"/>
      <c r="P613" s="414"/>
      <c r="Q613" s="414"/>
    </row>
    <row r="614" spans="1:17" s="32" customFormat="1" ht="19.5" customHeight="1">
      <c r="A614" s="411">
        <v>704</v>
      </c>
      <c r="B614" s="412" t="s">
        <v>10213</v>
      </c>
      <c r="C614" s="413"/>
      <c r="D614" s="413"/>
      <c r="E614" s="413" t="s">
        <v>10214</v>
      </c>
      <c r="F614" s="411" t="s">
        <v>10215</v>
      </c>
      <c r="G614" s="411" t="s">
        <v>10177</v>
      </c>
      <c r="H614" s="411" t="s">
        <v>1182</v>
      </c>
      <c r="I614" s="411" t="s">
        <v>658</v>
      </c>
      <c r="J614" s="411" t="s">
        <v>9724</v>
      </c>
      <c r="K614" s="414">
        <v>30000</v>
      </c>
      <c r="L614" s="415">
        <v>0</v>
      </c>
      <c r="M614" s="414"/>
      <c r="N614" s="414"/>
      <c r="O614" s="414"/>
      <c r="P614" s="414"/>
      <c r="Q614" s="414"/>
    </row>
    <row r="615" spans="1:17" s="32" customFormat="1" ht="19.5" customHeight="1">
      <c r="A615" s="411">
        <v>705</v>
      </c>
      <c r="B615" s="412" t="s">
        <v>10216</v>
      </c>
      <c r="C615" s="413"/>
      <c r="D615" s="413"/>
      <c r="E615" s="413" t="s">
        <v>10217</v>
      </c>
      <c r="F615" s="411" t="s">
        <v>10218</v>
      </c>
      <c r="G615" s="411" t="s">
        <v>6795</v>
      </c>
      <c r="H615" s="411" t="s">
        <v>10219</v>
      </c>
      <c r="I615" s="411" t="s">
        <v>14</v>
      </c>
      <c r="J615" s="411" t="s">
        <v>10220</v>
      </c>
      <c r="K615" s="414">
        <v>35553</v>
      </c>
      <c r="L615" s="415">
        <v>169</v>
      </c>
      <c r="M615" s="414"/>
      <c r="N615" s="414"/>
      <c r="O615" s="414"/>
      <c r="P615" s="414"/>
      <c r="Q615" s="414"/>
    </row>
    <row r="616" spans="1:17" s="32" customFormat="1" ht="19.5" customHeight="1">
      <c r="A616" s="411">
        <v>707</v>
      </c>
      <c r="B616" s="412" t="s">
        <v>10221</v>
      </c>
      <c r="C616" s="413"/>
      <c r="D616" s="413"/>
      <c r="E616" s="413" t="s">
        <v>10222</v>
      </c>
      <c r="F616" s="411" t="s">
        <v>10223</v>
      </c>
      <c r="G616" s="411" t="s">
        <v>6694</v>
      </c>
      <c r="H616" s="417" t="s">
        <v>10224</v>
      </c>
      <c r="I616" s="411" t="s">
        <v>11</v>
      </c>
      <c r="J616" s="411" t="s">
        <v>541</v>
      </c>
      <c r="K616" s="414">
        <v>915</v>
      </c>
      <c r="L616" s="415">
        <v>19540</v>
      </c>
      <c r="M616" s="414"/>
      <c r="N616" s="414"/>
      <c r="O616" s="414"/>
      <c r="P616" s="414"/>
      <c r="Q616" s="414"/>
    </row>
    <row r="617" spans="1:17" s="32" customFormat="1" ht="19.5" customHeight="1">
      <c r="A617" s="411">
        <v>709</v>
      </c>
      <c r="B617" s="412" t="s">
        <v>10225</v>
      </c>
      <c r="C617" s="416"/>
      <c r="D617" s="416"/>
      <c r="E617" s="412" t="s">
        <v>10226</v>
      </c>
      <c r="F617" s="417" t="s">
        <v>10227</v>
      </c>
      <c r="G617" s="417" t="s">
        <v>6694</v>
      </c>
      <c r="H617" s="436" t="s">
        <v>2256</v>
      </c>
      <c r="I617" s="417" t="s">
        <v>11</v>
      </c>
      <c r="J617" s="417" t="s">
        <v>804</v>
      </c>
      <c r="K617" s="434">
        <v>1200</v>
      </c>
      <c r="L617" s="435">
        <v>11520</v>
      </c>
      <c r="M617" s="434"/>
      <c r="N617" s="414"/>
      <c r="O617" s="414"/>
      <c r="P617" s="418"/>
      <c r="Q617" s="418"/>
    </row>
    <row r="618" spans="1:17" s="32" customFormat="1" ht="19.5" customHeight="1">
      <c r="A618" s="411">
        <v>710</v>
      </c>
      <c r="B618" s="412" t="s">
        <v>10228</v>
      </c>
      <c r="C618" s="413"/>
      <c r="D618" s="413"/>
      <c r="E618" s="413" t="s">
        <v>10229</v>
      </c>
      <c r="F618" s="411" t="s">
        <v>10230</v>
      </c>
      <c r="G618" s="411" t="s">
        <v>6694</v>
      </c>
      <c r="H618" s="417" t="s">
        <v>4696</v>
      </c>
      <c r="I618" s="411" t="s">
        <v>11</v>
      </c>
      <c r="J618" s="411" t="s">
        <v>804</v>
      </c>
      <c r="K618" s="414">
        <v>1100</v>
      </c>
      <c r="L618" s="415">
        <v>0</v>
      </c>
      <c r="M618" s="414"/>
      <c r="N618" s="414"/>
      <c r="O618" s="414"/>
      <c r="P618" s="414"/>
      <c r="Q618" s="414"/>
    </row>
    <row r="619" spans="1:17" s="32" customFormat="1" ht="19.5" customHeight="1">
      <c r="A619" s="411">
        <v>711</v>
      </c>
      <c r="B619" s="412" t="s">
        <v>10231</v>
      </c>
      <c r="C619" s="421"/>
      <c r="D619" s="421"/>
      <c r="E619" s="420" t="s">
        <v>10232</v>
      </c>
      <c r="F619" s="417" t="s">
        <v>10233</v>
      </c>
      <c r="G619" s="417" t="s">
        <v>6694</v>
      </c>
      <c r="H619" s="417" t="s">
        <v>9364</v>
      </c>
      <c r="I619" s="417" t="s">
        <v>10</v>
      </c>
      <c r="J619" s="417" t="s">
        <v>10234</v>
      </c>
      <c r="K619" s="434">
        <v>945</v>
      </c>
      <c r="L619" s="435">
        <v>19350</v>
      </c>
      <c r="M619" s="434"/>
      <c r="N619" s="414"/>
      <c r="O619" s="414"/>
      <c r="P619" s="418"/>
      <c r="Q619" s="418"/>
    </row>
    <row r="620" spans="1:17" s="32" customFormat="1" ht="19.5" customHeight="1">
      <c r="A620" s="411">
        <v>712</v>
      </c>
      <c r="B620" s="412" t="s">
        <v>10235</v>
      </c>
      <c r="C620" s="413"/>
      <c r="D620" s="413"/>
      <c r="E620" s="413" t="s">
        <v>138</v>
      </c>
      <c r="F620" s="411" t="s">
        <v>10236</v>
      </c>
      <c r="G620" s="411" t="s">
        <v>212</v>
      </c>
      <c r="H620" s="436" t="s">
        <v>139</v>
      </c>
      <c r="I620" s="411" t="s">
        <v>11</v>
      </c>
      <c r="J620" s="411" t="s">
        <v>10111</v>
      </c>
      <c r="K620" s="414">
        <v>154</v>
      </c>
      <c r="L620" s="415">
        <v>49070</v>
      </c>
      <c r="M620" s="414"/>
      <c r="N620" s="414"/>
      <c r="O620" s="414"/>
      <c r="P620" s="414"/>
      <c r="Q620" s="414"/>
    </row>
    <row r="621" spans="1:17" s="32" customFormat="1" ht="19.5" customHeight="1">
      <c r="A621" s="411">
        <v>714</v>
      </c>
      <c r="B621" s="413" t="s">
        <v>141</v>
      </c>
      <c r="C621" s="413"/>
      <c r="D621" s="413"/>
      <c r="E621" s="413" t="s">
        <v>3090</v>
      </c>
      <c r="F621" s="411" t="s">
        <v>2312</v>
      </c>
      <c r="G621" s="411" t="s">
        <v>213</v>
      </c>
      <c r="H621" s="411" t="s">
        <v>3091</v>
      </c>
      <c r="I621" s="411" t="s">
        <v>10</v>
      </c>
      <c r="J621" s="411" t="s">
        <v>10237</v>
      </c>
      <c r="K621" s="414">
        <v>1450</v>
      </c>
      <c r="L621" s="415">
        <v>14240</v>
      </c>
      <c r="M621" s="414"/>
      <c r="N621" s="414"/>
      <c r="O621" s="414"/>
      <c r="P621" s="414"/>
      <c r="Q621" s="414"/>
    </row>
    <row r="622" spans="1:17" s="32" customFormat="1" ht="19.5" customHeight="1">
      <c r="A622" s="411">
        <v>715</v>
      </c>
      <c r="B622" s="412" t="s">
        <v>10238</v>
      </c>
      <c r="C622" s="413"/>
      <c r="D622" s="413"/>
      <c r="E622" s="413" t="s">
        <v>10239</v>
      </c>
      <c r="F622" s="411" t="s">
        <v>10240</v>
      </c>
      <c r="G622" s="411" t="s">
        <v>6694</v>
      </c>
      <c r="H622" s="411" t="s">
        <v>1340</v>
      </c>
      <c r="I622" s="411" t="s">
        <v>11</v>
      </c>
      <c r="J622" s="411" t="s">
        <v>10237</v>
      </c>
      <c r="K622" s="414">
        <v>399</v>
      </c>
      <c r="L622" s="415">
        <v>100</v>
      </c>
      <c r="M622" s="414"/>
      <c r="N622" s="414"/>
      <c r="O622" s="414"/>
      <c r="P622" s="414"/>
      <c r="Q622" s="414"/>
    </row>
    <row r="623" spans="1:17" s="32" customFormat="1" ht="19.5" customHeight="1">
      <c r="A623" s="411">
        <v>716</v>
      </c>
      <c r="B623" s="412" t="s">
        <v>3092</v>
      </c>
      <c r="C623" s="413"/>
      <c r="D623" s="413"/>
      <c r="E623" s="413" t="s">
        <v>10241</v>
      </c>
      <c r="F623" s="411" t="s">
        <v>10242</v>
      </c>
      <c r="G623" s="411" t="s">
        <v>5273</v>
      </c>
      <c r="H623" s="411" t="s">
        <v>238</v>
      </c>
      <c r="I623" s="411" t="s">
        <v>10</v>
      </c>
      <c r="J623" s="411" t="s">
        <v>10243</v>
      </c>
      <c r="K623" s="414">
        <v>4000</v>
      </c>
      <c r="L623" s="415">
        <v>4047</v>
      </c>
      <c r="M623" s="414"/>
      <c r="N623" s="414"/>
      <c r="O623" s="414"/>
      <c r="P623" s="414"/>
      <c r="Q623" s="414"/>
    </row>
    <row r="624" spans="1:17" s="32" customFormat="1" ht="19.5" customHeight="1">
      <c r="A624" s="411">
        <v>718</v>
      </c>
      <c r="B624" s="412" t="s">
        <v>9662</v>
      </c>
      <c r="C624" s="413"/>
      <c r="D624" s="413"/>
      <c r="E624" s="413" t="s">
        <v>10244</v>
      </c>
      <c r="F624" s="411" t="s">
        <v>10245</v>
      </c>
      <c r="G624" s="411" t="s">
        <v>213</v>
      </c>
      <c r="H624" s="411" t="s">
        <v>9240</v>
      </c>
      <c r="I624" s="411" t="s">
        <v>11</v>
      </c>
      <c r="J624" s="411" t="s">
        <v>9063</v>
      </c>
      <c r="K624" s="414">
        <v>9476</v>
      </c>
      <c r="L624" s="415">
        <v>0</v>
      </c>
      <c r="M624" s="414"/>
      <c r="N624" s="414"/>
      <c r="O624" s="414"/>
      <c r="P624" s="414"/>
      <c r="Q624" s="414"/>
    </row>
    <row r="625" spans="1:17" s="32" customFormat="1" ht="19.5" customHeight="1">
      <c r="A625" s="411">
        <v>719</v>
      </c>
      <c r="B625" s="420" t="s">
        <v>683</v>
      </c>
      <c r="C625" s="421"/>
      <c r="D625" s="421"/>
      <c r="E625" s="412" t="s">
        <v>10246</v>
      </c>
      <c r="F625" s="417" t="s">
        <v>10247</v>
      </c>
      <c r="G625" s="417" t="s">
        <v>5273</v>
      </c>
      <c r="H625" s="417" t="s">
        <v>691</v>
      </c>
      <c r="I625" s="417" t="s">
        <v>11</v>
      </c>
      <c r="J625" s="417" t="s">
        <v>1642</v>
      </c>
      <c r="K625" s="418">
        <v>5250</v>
      </c>
      <c r="L625" s="419">
        <v>50</v>
      </c>
      <c r="M625" s="418"/>
      <c r="N625" s="414"/>
      <c r="O625" s="414"/>
      <c r="P625" s="418"/>
      <c r="Q625" s="418"/>
    </row>
    <row r="626" spans="1:17" s="32" customFormat="1" ht="19.5" customHeight="1">
      <c r="A626" s="411">
        <v>720</v>
      </c>
      <c r="B626" s="412" t="s">
        <v>10248</v>
      </c>
      <c r="C626" s="413"/>
      <c r="D626" s="413"/>
      <c r="E626" s="413" t="s">
        <v>3618</v>
      </c>
      <c r="F626" s="411" t="s">
        <v>3095</v>
      </c>
      <c r="G626" s="411" t="s">
        <v>6694</v>
      </c>
      <c r="H626" s="411" t="s">
        <v>258</v>
      </c>
      <c r="I626" s="411" t="s">
        <v>658</v>
      </c>
      <c r="J626" s="411" t="s">
        <v>10249</v>
      </c>
      <c r="K626" s="414">
        <v>12900</v>
      </c>
      <c r="L626" s="415">
        <v>149</v>
      </c>
      <c r="M626" s="414"/>
      <c r="N626" s="414"/>
      <c r="O626" s="414"/>
      <c r="P626" s="414"/>
      <c r="Q626" s="414"/>
    </row>
    <row r="627" spans="1:17" s="32" customFormat="1" ht="19.5" customHeight="1">
      <c r="A627" s="411">
        <v>726</v>
      </c>
      <c r="B627" s="413" t="s">
        <v>1522</v>
      </c>
      <c r="C627" s="413"/>
      <c r="D627" s="413"/>
      <c r="E627" s="413" t="s">
        <v>10250</v>
      </c>
      <c r="F627" s="411" t="s">
        <v>3099</v>
      </c>
      <c r="G627" s="411" t="s">
        <v>213</v>
      </c>
      <c r="H627" s="411" t="s">
        <v>225</v>
      </c>
      <c r="I627" s="411" t="s">
        <v>11</v>
      </c>
      <c r="J627" s="411" t="s">
        <v>842</v>
      </c>
      <c r="K627" s="414">
        <v>1230</v>
      </c>
      <c r="L627" s="415">
        <v>19743</v>
      </c>
      <c r="M627" s="414"/>
      <c r="N627" s="414"/>
      <c r="O627" s="414"/>
      <c r="P627" s="414"/>
      <c r="Q627" s="414"/>
    </row>
    <row r="628" spans="1:17" s="32" customFormat="1" ht="19.5" customHeight="1">
      <c r="A628" s="411">
        <v>722</v>
      </c>
      <c r="B628" s="412" t="s">
        <v>10251</v>
      </c>
      <c r="C628" s="413"/>
      <c r="D628" s="413"/>
      <c r="E628" s="413" t="s">
        <v>10250</v>
      </c>
      <c r="F628" s="411" t="s">
        <v>10252</v>
      </c>
      <c r="G628" s="411" t="s">
        <v>6694</v>
      </c>
      <c r="H628" s="411" t="s">
        <v>225</v>
      </c>
      <c r="I628" s="411" t="s">
        <v>11</v>
      </c>
      <c r="J628" s="411" t="s">
        <v>842</v>
      </c>
      <c r="K628" s="414">
        <v>1150</v>
      </c>
      <c r="L628" s="415">
        <v>36</v>
      </c>
      <c r="M628" s="414"/>
      <c r="N628" s="414"/>
      <c r="O628" s="414"/>
      <c r="P628" s="414"/>
      <c r="Q628" s="414"/>
    </row>
    <row r="629" spans="1:17" s="32" customFormat="1" ht="19.5" customHeight="1">
      <c r="A629" s="411">
        <v>727</v>
      </c>
      <c r="B629" s="412" t="s">
        <v>10253</v>
      </c>
      <c r="C629" s="413"/>
      <c r="D629" s="413"/>
      <c r="E629" s="413" t="s">
        <v>10254</v>
      </c>
      <c r="F629" s="411" t="s">
        <v>10255</v>
      </c>
      <c r="G629" s="411" t="s">
        <v>10256</v>
      </c>
      <c r="H629" s="411" t="s">
        <v>10257</v>
      </c>
      <c r="I629" s="411" t="s">
        <v>11</v>
      </c>
      <c r="J629" s="411" t="s">
        <v>842</v>
      </c>
      <c r="K629" s="414">
        <v>820</v>
      </c>
      <c r="L629" s="415">
        <v>0</v>
      </c>
      <c r="M629" s="414"/>
      <c r="N629" s="414"/>
      <c r="O629" s="414"/>
      <c r="P629" s="414"/>
      <c r="Q629" s="414"/>
    </row>
    <row r="630" spans="1:17" s="32" customFormat="1" ht="19.5" customHeight="1">
      <c r="A630" s="411">
        <v>728</v>
      </c>
      <c r="B630" s="413" t="s">
        <v>2507</v>
      </c>
      <c r="C630" s="413"/>
      <c r="D630" s="413"/>
      <c r="E630" s="413" t="s">
        <v>10258</v>
      </c>
      <c r="F630" s="411" t="s">
        <v>1952</v>
      </c>
      <c r="G630" s="411" t="s">
        <v>213</v>
      </c>
      <c r="H630" s="411" t="s">
        <v>10259</v>
      </c>
      <c r="I630" s="411" t="s">
        <v>13</v>
      </c>
      <c r="J630" s="411" t="s">
        <v>2919</v>
      </c>
      <c r="K630" s="414">
        <v>2184</v>
      </c>
      <c r="L630" s="415">
        <v>11879</v>
      </c>
      <c r="M630" s="414"/>
      <c r="N630" s="414"/>
      <c r="O630" s="414"/>
      <c r="P630" s="414"/>
      <c r="Q630" s="414"/>
    </row>
    <row r="631" spans="1:17" s="32" customFormat="1" ht="19.5" customHeight="1">
      <c r="A631" s="411">
        <v>729</v>
      </c>
      <c r="B631" s="412" t="s">
        <v>3101</v>
      </c>
      <c r="C631" s="413"/>
      <c r="D631" s="413"/>
      <c r="E631" s="413" t="s">
        <v>3619</v>
      </c>
      <c r="F631" s="411" t="s">
        <v>3102</v>
      </c>
      <c r="G631" s="411" t="s">
        <v>6694</v>
      </c>
      <c r="H631" s="411" t="s">
        <v>759</v>
      </c>
      <c r="I631" s="411" t="s">
        <v>15</v>
      </c>
      <c r="J631" s="411" t="s">
        <v>3104</v>
      </c>
      <c r="K631" s="414">
        <v>6790</v>
      </c>
      <c r="L631" s="415">
        <v>863</v>
      </c>
      <c r="M631" s="414"/>
      <c r="N631" s="414"/>
      <c r="O631" s="414"/>
      <c r="P631" s="414"/>
      <c r="Q631" s="414"/>
    </row>
    <row r="632" spans="1:17" s="32" customFormat="1" ht="19.5" customHeight="1">
      <c r="A632" s="411">
        <v>731</v>
      </c>
      <c r="B632" s="442" t="s">
        <v>10260</v>
      </c>
      <c r="C632" s="443"/>
      <c r="D632" s="426"/>
      <c r="E632" s="427" t="s">
        <v>3620</v>
      </c>
      <c r="F632" s="425" t="s">
        <v>1351</v>
      </c>
      <c r="G632" s="428" t="s">
        <v>213</v>
      </c>
      <c r="H632" s="425" t="s">
        <v>310</v>
      </c>
      <c r="I632" s="425" t="s">
        <v>11</v>
      </c>
      <c r="J632" s="428" t="s">
        <v>2204</v>
      </c>
      <c r="K632" s="429">
        <v>417</v>
      </c>
      <c r="L632" s="430">
        <v>3916</v>
      </c>
      <c r="M632" s="429"/>
      <c r="N632" s="414"/>
      <c r="O632" s="414"/>
      <c r="P632" s="431"/>
      <c r="Q632" s="431"/>
    </row>
    <row r="633" spans="1:17" s="32" customFormat="1" ht="19.5" customHeight="1">
      <c r="A633" s="411">
        <v>732</v>
      </c>
      <c r="B633" s="412" t="s">
        <v>10260</v>
      </c>
      <c r="C633" s="413"/>
      <c r="D633" s="413"/>
      <c r="E633" s="413" t="s">
        <v>10261</v>
      </c>
      <c r="F633" s="411" t="s">
        <v>10262</v>
      </c>
      <c r="G633" s="411" t="s">
        <v>6694</v>
      </c>
      <c r="H633" s="411" t="s">
        <v>310</v>
      </c>
      <c r="I633" s="411" t="s">
        <v>11</v>
      </c>
      <c r="J633" s="411" t="s">
        <v>2204</v>
      </c>
      <c r="K633" s="414">
        <v>1380</v>
      </c>
      <c r="L633" s="415">
        <v>6</v>
      </c>
      <c r="M633" s="414"/>
      <c r="N633" s="414"/>
      <c r="O633" s="414"/>
      <c r="P633" s="414"/>
      <c r="Q633" s="414"/>
    </row>
    <row r="634" spans="1:17" s="32" customFormat="1" ht="19.5" customHeight="1">
      <c r="A634" s="411">
        <v>735</v>
      </c>
      <c r="B634" s="412" t="s">
        <v>10263</v>
      </c>
      <c r="C634" s="413"/>
      <c r="D634" s="413"/>
      <c r="E634" s="413" t="s">
        <v>10264</v>
      </c>
      <c r="F634" s="411" t="s">
        <v>10265</v>
      </c>
      <c r="G634" s="411" t="s">
        <v>213</v>
      </c>
      <c r="H634" s="411" t="s">
        <v>310</v>
      </c>
      <c r="I634" s="411" t="s">
        <v>11</v>
      </c>
      <c r="J634" s="411" t="s">
        <v>9063</v>
      </c>
      <c r="K634" s="414">
        <v>680</v>
      </c>
      <c r="L634" s="415">
        <v>0</v>
      </c>
      <c r="M634" s="414"/>
      <c r="N634" s="414"/>
      <c r="O634" s="414"/>
      <c r="P634" s="414"/>
      <c r="Q634" s="414"/>
    </row>
    <row r="635" spans="1:17" s="32" customFormat="1" ht="19.5" customHeight="1">
      <c r="A635" s="411">
        <v>734</v>
      </c>
      <c r="B635" s="412" t="s">
        <v>10260</v>
      </c>
      <c r="C635" s="413"/>
      <c r="D635" s="413"/>
      <c r="E635" s="413" t="s">
        <v>10264</v>
      </c>
      <c r="F635" s="411" t="s">
        <v>10266</v>
      </c>
      <c r="G635" s="411" t="s">
        <v>213</v>
      </c>
      <c r="H635" s="411" t="s">
        <v>310</v>
      </c>
      <c r="I635" s="411" t="s">
        <v>11</v>
      </c>
      <c r="J635" s="411" t="s">
        <v>9063</v>
      </c>
      <c r="K635" s="414">
        <v>630</v>
      </c>
      <c r="L635" s="415">
        <v>49</v>
      </c>
      <c r="M635" s="414"/>
      <c r="N635" s="414"/>
      <c r="O635" s="414"/>
      <c r="P635" s="414"/>
      <c r="Q635" s="414"/>
    </row>
    <row r="636" spans="1:17" s="32" customFormat="1" ht="19.5" customHeight="1">
      <c r="A636" s="411">
        <v>736</v>
      </c>
      <c r="B636" s="412" t="s">
        <v>10267</v>
      </c>
      <c r="C636" s="413"/>
      <c r="D636" s="413"/>
      <c r="E636" s="413" t="s">
        <v>10268</v>
      </c>
      <c r="F636" s="411" t="s">
        <v>10269</v>
      </c>
      <c r="G636" s="411" t="s">
        <v>213</v>
      </c>
      <c r="H636" s="411" t="s">
        <v>229</v>
      </c>
      <c r="I636" s="411" t="s">
        <v>10</v>
      </c>
      <c r="J636" s="411" t="s">
        <v>1131</v>
      </c>
      <c r="K636" s="414">
        <v>900</v>
      </c>
      <c r="L636" s="415">
        <v>0</v>
      </c>
      <c r="M636" s="414"/>
      <c r="N636" s="414"/>
      <c r="O636" s="414"/>
      <c r="P636" s="414"/>
      <c r="Q636" s="414"/>
    </row>
    <row r="637" spans="1:17" s="32" customFormat="1" ht="19.5" customHeight="1">
      <c r="A637" s="411">
        <v>737</v>
      </c>
      <c r="B637" s="420" t="s">
        <v>10197</v>
      </c>
      <c r="C637" s="421"/>
      <c r="D637" s="421"/>
      <c r="E637" s="412" t="s">
        <v>10270</v>
      </c>
      <c r="F637" s="417" t="s">
        <v>10271</v>
      </c>
      <c r="G637" s="417" t="s">
        <v>6694</v>
      </c>
      <c r="H637" s="417" t="s">
        <v>225</v>
      </c>
      <c r="I637" s="417" t="s">
        <v>11</v>
      </c>
      <c r="J637" s="417" t="s">
        <v>1642</v>
      </c>
      <c r="K637" s="418">
        <v>8900</v>
      </c>
      <c r="L637" s="419">
        <v>4348</v>
      </c>
      <c r="M637" s="418"/>
      <c r="N637" s="414"/>
      <c r="O637" s="414"/>
      <c r="P637" s="418"/>
      <c r="Q637" s="418"/>
    </row>
    <row r="638" spans="1:17" s="32" customFormat="1" ht="19.5" customHeight="1">
      <c r="A638" s="411">
        <v>738</v>
      </c>
      <c r="B638" s="412" t="s">
        <v>10272</v>
      </c>
      <c r="C638" s="413"/>
      <c r="D638" s="413"/>
      <c r="E638" s="413" t="s">
        <v>10273</v>
      </c>
      <c r="F638" s="411" t="s">
        <v>10274</v>
      </c>
      <c r="G638" s="411" t="s">
        <v>5156</v>
      </c>
      <c r="H638" s="411" t="s">
        <v>10275</v>
      </c>
      <c r="I638" s="411" t="s">
        <v>15</v>
      </c>
      <c r="J638" s="411" t="s">
        <v>10276</v>
      </c>
      <c r="K638" s="414">
        <v>115500</v>
      </c>
      <c r="L638" s="415">
        <v>4</v>
      </c>
      <c r="M638" s="414"/>
      <c r="N638" s="414"/>
      <c r="O638" s="414"/>
      <c r="P638" s="414"/>
      <c r="Q638" s="414"/>
    </row>
    <row r="639" spans="1:17" s="32" customFormat="1" ht="19.5" customHeight="1">
      <c r="A639" s="411">
        <v>740</v>
      </c>
      <c r="B639" s="412" t="s">
        <v>5237</v>
      </c>
      <c r="C639" s="413"/>
      <c r="D639" s="413"/>
      <c r="E639" s="413" t="s">
        <v>10277</v>
      </c>
      <c r="F639" s="411" t="s">
        <v>10278</v>
      </c>
      <c r="G639" s="411" t="s">
        <v>6694</v>
      </c>
      <c r="H639" s="411" t="s">
        <v>2510</v>
      </c>
      <c r="I639" s="411" t="s">
        <v>628</v>
      </c>
      <c r="J639" s="411" t="s">
        <v>10279</v>
      </c>
      <c r="K639" s="414">
        <v>540</v>
      </c>
      <c r="L639" s="415">
        <v>692</v>
      </c>
      <c r="M639" s="414"/>
      <c r="N639" s="414"/>
      <c r="O639" s="414"/>
      <c r="P639" s="414"/>
      <c r="Q639" s="414"/>
    </row>
    <row r="640" spans="1:17" s="32" customFormat="1" ht="19.5" customHeight="1">
      <c r="A640" s="411">
        <v>742</v>
      </c>
      <c r="B640" s="412" t="s">
        <v>10280</v>
      </c>
      <c r="C640" s="413"/>
      <c r="D640" s="413"/>
      <c r="E640" s="413" t="s">
        <v>10281</v>
      </c>
      <c r="F640" s="411" t="s">
        <v>10282</v>
      </c>
      <c r="G640" s="411" t="s">
        <v>213</v>
      </c>
      <c r="H640" s="411">
        <v>0.02</v>
      </c>
      <c r="I640" s="411" t="s">
        <v>520</v>
      </c>
      <c r="J640" s="411" t="s">
        <v>2654</v>
      </c>
      <c r="K640" s="414">
        <v>714</v>
      </c>
      <c r="L640" s="415">
        <v>326</v>
      </c>
      <c r="M640" s="414"/>
      <c r="N640" s="414"/>
      <c r="O640" s="414"/>
      <c r="P640" s="414"/>
      <c r="Q640" s="414"/>
    </row>
    <row r="641" spans="1:17" s="32" customFormat="1" ht="19.5" customHeight="1">
      <c r="A641" s="411">
        <v>743</v>
      </c>
      <c r="B641" s="412" t="s">
        <v>10280</v>
      </c>
      <c r="C641" s="413"/>
      <c r="D641" s="413"/>
      <c r="E641" s="413" t="s">
        <v>10283</v>
      </c>
      <c r="F641" s="411" t="s">
        <v>10284</v>
      </c>
      <c r="G641" s="411" t="s">
        <v>213</v>
      </c>
      <c r="H641" s="411" t="s">
        <v>10285</v>
      </c>
      <c r="I641" s="411" t="s">
        <v>628</v>
      </c>
      <c r="J641" s="411" t="s">
        <v>2654</v>
      </c>
      <c r="K641" s="414">
        <v>614.25</v>
      </c>
      <c r="L641" s="415">
        <v>5</v>
      </c>
      <c r="M641" s="414"/>
      <c r="N641" s="414"/>
      <c r="O641" s="414"/>
      <c r="P641" s="414"/>
      <c r="Q641" s="414"/>
    </row>
    <row r="642" spans="1:17" s="32" customFormat="1" ht="19.5" customHeight="1">
      <c r="A642" s="411">
        <v>744</v>
      </c>
      <c r="B642" s="412" t="s">
        <v>2022</v>
      </c>
      <c r="C642" s="413"/>
      <c r="D642" s="413"/>
      <c r="E642" s="413" t="s">
        <v>10286</v>
      </c>
      <c r="F642" s="411" t="s">
        <v>10287</v>
      </c>
      <c r="G642" s="411" t="s">
        <v>213</v>
      </c>
      <c r="H642" s="411" t="s">
        <v>625</v>
      </c>
      <c r="I642" s="411" t="s">
        <v>10</v>
      </c>
      <c r="J642" s="411" t="s">
        <v>9063</v>
      </c>
      <c r="K642" s="414">
        <v>800</v>
      </c>
      <c r="L642" s="415">
        <v>0</v>
      </c>
      <c r="M642" s="414"/>
      <c r="N642" s="414"/>
      <c r="O642" s="414"/>
      <c r="P642" s="414"/>
      <c r="Q642" s="414"/>
    </row>
    <row r="643" spans="1:17" s="32" customFormat="1" ht="19.5" customHeight="1">
      <c r="A643" s="411">
        <v>745</v>
      </c>
      <c r="B643" s="413" t="s">
        <v>10288</v>
      </c>
      <c r="C643" s="413"/>
      <c r="D643" s="413"/>
      <c r="E643" s="413" t="s">
        <v>145</v>
      </c>
      <c r="F643" s="411" t="s">
        <v>10289</v>
      </c>
      <c r="G643" s="411" t="s">
        <v>213</v>
      </c>
      <c r="H643" s="411" t="s">
        <v>10290</v>
      </c>
      <c r="I643" s="411" t="s">
        <v>11</v>
      </c>
      <c r="J643" s="411" t="s">
        <v>9063</v>
      </c>
      <c r="K643" s="414">
        <v>1200</v>
      </c>
      <c r="L643" s="415">
        <v>1000</v>
      </c>
      <c r="M643" s="414"/>
      <c r="N643" s="414"/>
      <c r="O643" s="414"/>
      <c r="P643" s="414"/>
      <c r="Q643" s="414"/>
    </row>
    <row r="644" spans="1:17" s="32" customFormat="1" ht="19.5" customHeight="1">
      <c r="A644" s="411">
        <v>746</v>
      </c>
      <c r="B644" s="412" t="s">
        <v>9894</v>
      </c>
      <c r="C644" s="413"/>
      <c r="D644" s="413"/>
      <c r="E644" s="413" t="s">
        <v>10291</v>
      </c>
      <c r="F644" s="411" t="s">
        <v>10292</v>
      </c>
      <c r="G644" s="411" t="s">
        <v>213</v>
      </c>
      <c r="H644" s="411" t="s">
        <v>299</v>
      </c>
      <c r="I644" s="411" t="s">
        <v>10</v>
      </c>
      <c r="J644" s="411" t="s">
        <v>553</v>
      </c>
      <c r="K644" s="414">
        <v>1050</v>
      </c>
      <c r="L644" s="415">
        <v>79</v>
      </c>
      <c r="M644" s="414"/>
      <c r="N644" s="414"/>
      <c r="O644" s="414"/>
      <c r="P644" s="414"/>
      <c r="Q644" s="414"/>
    </row>
    <row r="645" spans="1:17" s="32" customFormat="1" ht="19.5" customHeight="1">
      <c r="A645" s="411">
        <v>747</v>
      </c>
      <c r="B645" s="412" t="s">
        <v>10293</v>
      </c>
      <c r="C645" s="413"/>
      <c r="D645" s="413"/>
      <c r="E645" s="413" t="s">
        <v>10294</v>
      </c>
      <c r="F645" s="411" t="s">
        <v>10295</v>
      </c>
      <c r="G645" s="411" t="s">
        <v>213</v>
      </c>
      <c r="H645" s="411" t="s">
        <v>262</v>
      </c>
      <c r="I645" s="411" t="s">
        <v>10</v>
      </c>
      <c r="J645" s="411" t="s">
        <v>553</v>
      </c>
      <c r="K645" s="414">
        <v>1260</v>
      </c>
      <c r="L645" s="415">
        <v>44</v>
      </c>
      <c r="M645" s="414"/>
      <c r="N645" s="414"/>
      <c r="O645" s="414"/>
      <c r="P645" s="414"/>
      <c r="Q645" s="414"/>
    </row>
    <row r="646" spans="1:17" s="32" customFormat="1" ht="19.5" customHeight="1">
      <c r="A646" s="411">
        <v>749</v>
      </c>
      <c r="B646" s="412" t="s">
        <v>365</v>
      </c>
      <c r="C646" s="413"/>
      <c r="D646" s="413"/>
      <c r="E646" s="413" t="s">
        <v>10296</v>
      </c>
      <c r="F646" s="411" t="s">
        <v>10297</v>
      </c>
      <c r="G646" s="411" t="s">
        <v>213</v>
      </c>
      <c r="H646" s="411" t="s">
        <v>238</v>
      </c>
      <c r="I646" s="411" t="s">
        <v>11</v>
      </c>
      <c r="J646" s="411" t="s">
        <v>9063</v>
      </c>
      <c r="K646" s="414">
        <v>750</v>
      </c>
      <c r="L646" s="415">
        <v>19</v>
      </c>
      <c r="M646" s="414"/>
      <c r="N646" s="414"/>
      <c r="O646" s="414"/>
      <c r="P646" s="414"/>
      <c r="Q646" s="414"/>
    </row>
    <row r="647" spans="1:17" s="32" customFormat="1" ht="19.5" customHeight="1">
      <c r="A647" s="411">
        <v>748</v>
      </c>
      <c r="B647" s="412" t="s">
        <v>9223</v>
      </c>
      <c r="C647" s="413"/>
      <c r="D647" s="413"/>
      <c r="E647" s="413" t="s">
        <v>10296</v>
      </c>
      <c r="F647" s="411" t="s">
        <v>10298</v>
      </c>
      <c r="G647" s="411" t="s">
        <v>213</v>
      </c>
      <c r="H647" s="411" t="s">
        <v>238</v>
      </c>
      <c r="I647" s="411" t="s">
        <v>11</v>
      </c>
      <c r="J647" s="411" t="s">
        <v>538</v>
      </c>
      <c r="K647" s="414">
        <v>378</v>
      </c>
      <c r="L647" s="415">
        <v>0</v>
      </c>
      <c r="M647" s="414"/>
      <c r="N647" s="414"/>
      <c r="O647" s="414"/>
      <c r="P647" s="414"/>
      <c r="Q647" s="414"/>
    </row>
    <row r="648" spans="1:17" s="32" customFormat="1" ht="19.5" customHeight="1">
      <c r="A648" s="411">
        <v>750</v>
      </c>
      <c r="B648" s="412" t="s">
        <v>9223</v>
      </c>
      <c r="C648" s="413"/>
      <c r="D648" s="413"/>
      <c r="E648" s="413" t="s">
        <v>10299</v>
      </c>
      <c r="F648" s="411" t="s">
        <v>10300</v>
      </c>
      <c r="G648" s="411" t="s">
        <v>213</v>
      </c>
      <c r="H648" s="411" t="s">
        <v>235</v>
      </c>
      <c r="I648" s="411" t="s">
        <v>11</v>
      </c>
      <c r="J648" s="411" t="s">
        <v>538</v>
      </c>
      <c r="K648" s="414">
        <v>638</v>
      </c>
      <c r="L648" s="415">
        <v>0</v>
      </c>
      <c r="M648" s="414"/>
      <c r="N648" s="414"/>
      <c r="O648" s="414"/>
      <c r="P648" s="414"/>
      <c r="Q648" s="414"/>
    </row>
    <row r="649" spans="1:17" s="32" customFormat="1" ht="19.5" customHeight="1">
      <c r="A649" s="411">
        <v>751</v>
      </c>
      <c r="B649" s="413" t="s">
        <v>10301</v>
      </c>
      <c r="C649" s="413"/>
      <c r="D649" s="413"/>
      <c r="E649" s="413" t="s">
        <v>10302</v>
      </c>
      <c r="F649" s="411" t="s">
        <v>6075</v>
      </c>
      <c r="G649" s="411" t="s">
        <v>10303</v>
      </c>
      <c r="H649" s="411" t="s">
        <v>10304</v>
      </c>
      <c r="I649" s="411" t="s">
        <v>11</v>
      </c>
      <c r="J649" s="411" t="s">
        <v>842</v>
      </c>
      <c r="K649" s="414">
        <v>4200</v>
      </c>
      <c r="L649" s="415">
        <v>18</v>
      </c>
      <c r="M649" s="414"/>
      <c r="N649" s="414"/>
      <c r="O649" s="414"/>
      <c r="P649" s="414"/>
      <c r="Q649" s="414"/>
    </row>
    <row r="650" spans="1:17" s="32" customFormat="1" ht="19.5" customHeight="1">
      <c r="A650" s="411">
        <v>753</v>
      </c>
      <c r="B650" s="412" t="s">
        <v>10305</v>
      </c>
      <c r="C650" s="413"/>
      <c r="D650" s="413"/>
      <c r="E650" s="413" t="s">
        <v>10306</v>
      </c>
      <c r="F650" s="411" t="s">
        <v>10307</v>
      </c>
      <c r="G650" s="411" t="s">
        <v>213</v>
      </c>
      <c r="H650" s="411" t="s">
        <v>10308</v>
      </c>
      <c r="I650" s="411" t="s">
        <v>10</v>
      </c>
      <c r="J650" s="411" t="s">
        <v>10309</v>
      </c>
      <c r="K650" s="414">
        <v>2999</v>
      </c>
      <c r="L650" s="415">
        <v>0</v>
      </c>
      <c r="M650" s="414"/>
      <c r="N650" s="414"/>
      <c r="O650" s="414"/>
      <c r="P650" s="414"/>
      <c r="Q650" s="414"/>
    </row>
    <row r="651" spans="1:17" s="32" customFormat="1" ht="19.5" customHeight="1">
      <c r="A651" s="411">
        <v>757</v>
      </c>
      <c r="B651" s="413" t="s">
        <v>221</v>
      </c>
      <c r="C651" s="413"/>
      <c r="D651" s="413"/>
      <c r="E651" s="413" t="s">
        <v>3623</v>
      </c>
      <c r="F651" s="411" t="s">
        <v>3109</v>
      </c>
      <c r="G651" s="411" t="s">
        <v>213</v>
      </c>
      <c r="H651" s="411" t="s">
        <v>222</v>
      </c>
      <c r="I651" s="411" t="s">
        <v>11</v>
      </c>
      <c r="J651" s="411" t="s">
        <v>2204</v>
      </c>
      <c r="K651" s="414">
        <v>125</v>
      </c>
      <c r="L651" s="415">
        <v>3000</v>
      </c>
      <c r="M651" s="414"/>
      <c r="N651" s="414"/>
      <c r="O651" s="414"/>
      <c r="P651" s="414"/>
      <c r="Q651" s="414"/>
    </row>
    <row r="652" spans="1:17" s="32" customFormat="1" ht="19.5" customHeight="1">
      <c r="A652" s="411">
        <v>754</v>
      </c>
      <c r="B652" s="412" t="s">
        <v>10310</v>
      </c>
      <c r="C652" s="413"/>
      <c r="D652" s="413"/>
      <c r="E652" s="413" t="s">
        <v>3623</v>
      </c>
      <c r="F652" s="411" t="s">
        <v>3109</v>
      </c>
      <c r="G652" s="411" t="s">
        <v>6694</v>
      </c>
      <c r="H652" s="411" t="s">
        <v>222</v>
      </c>
      <c r="I652" s="411" t="s">
        <v>11</v>
      </c>
      <c r="J652" s="411" t="s">
        <v>2204</v>
      </c>
      <c r="K652" s="414">
        <v>144</v>
      </c>
      <c r="L652" s="415">
        <v>2850</v>
      </c>
      <c r="M652" s="414"/>
      <c r="N652" s="414"/>
      <c r="O652" s="414"/>
      <c r="P652" s="414"/>
      <c r="Q652" s="414"/>
    </row>
    <row r="653" spans="1:17" s="32" customFormat="1" ht="19.5" customHeight="1">
      <c r="A653" s="411">
        <v>755</v>
      </c>
      <c r="B653" s="412" t="s">
        <v>10310</v>
      </c>
      <c r="C653" s="413"/>
      <c r="D653" s="413"/>
      <c r="E653" s="413" t="s">
        <v>3623</v>
      </c>
      <c r="F653" s="411" t="s">
        <v>10311</v>
      </c>
      <c r="G653" s="411" t="s">
        <v>213</v>
      </c>
      <c r="H653" s="411" t="s">
        <v>222</v>
      </c>
      <c r="I653" s="411" t="s">
        <v>11</v>
      </c>
      <c r="J653" s="411" t="s">
        <v>9063</v>
      </c>
      <c r="K653" s="414">
        <v>194</v>
      </c>
      <c r="L653" s="415">
        <v>24</v>
      </c>
      <c r="M653" s="414"/>
      <c r="N653" s="414"/>
      <c r="O653" s="414"/>
      <c r="P653" s="414"/>
      <c r="Q653" s="414"/>
    </row>
    <row r="654" spans="1:17" s="32" customFormat="1" ht="19.5" customHeight="1">
      <c r="A654" s="411">
        <v>758</v>
      </c>
      <c r="B654" s="412" t="s">
        <v>9147</v>
      </c>
      <c r="C654" s="413"/>
      <c r="D654" s="413"/>
      <c r="E654" s="413" t="s">
        <v>10312</v>
      </c>
      <c r="F654" s="411" t="s">
        <v>10313</v>
      </c>
      <c r="G654" s="411" t="s">
        <v>213</v>
      </c>
      <c r="H654" s="411" t="s">
        <v>327</v>
      </c>
      <c r="I654" s="411" t="s">
        <v>11</v>
      </c>
      <c r="J654" s="411" t="s">
        <v>842</v>
      </c>
      <c r="K654" s="414">
        <v>336</v>
      </c>
      <c r="L654" s="415">
        <v>0</v>
      </c>
      <c r="M654" s="414"/>
      <c r="N654" s="414"/>
      <c r="O654" s="414"/>
      <c r="P654" s="414"/>
      <c r="Q654" s="414"/>
    </row>
    <row r="655" spans="1:17" s="32" customFormat="1" ht="19.5" customHeight="1">
      <c r="A655" s="411">
        <v>759</v>
      </c>
      <c r="B655" s="420" t="s">
        <v>10314</v>
      </c>
      <c r="C655" s="421"/>
      <c r="D655" s="421"/>
      <c r="E655" s="412" t="s">
        <v>10315</v>
      </c>
      <c r="F655" s="417" t="s">
        <v>10316</v>
      </c>
      <c r="G655" s="417" t="s">
        <v>5273</v>
      </c>
      <c r="H655" s="417" t="s">
        <v>248</v>
      </c>
      <c r="I655" s="417" t="s">
        <v>10</v>
      </c>
      <c r="J655" s="417" t="s">
        <v>842</v>
      </c>
      <c r="K655" s="418">
        <v>842</v>
      </c>
      <c r="L655" s="419">
        <v>0</v>
      </c>
      <c r="M655" s="418"/>
      <c r="N655" s="414"/>
      <c r="O655" s="414"/>
      <c r="P655" s="418"/>
      <c r="Q655" s="418"/>
    </row>
    <row r="656" spans="1:17" s="32" customFormat="1" ht="19.5" customHeight="1">
      <c r="A656" s="411">
        <v>760</v>
      </c>
      <c r="B656" s="412" t="s">
        <v>10314</v>
      </c>
      <c r="C656" s="416"/>
      <c r="D656" s="416"/>
      <c r="E656" s="412" t="s">
        <v>10317</v>
      </c>
      <c r="F656" s="417" t="s">
        <v>10318</v>
      </c>
      <c r="G656" s="417" t="s">
        <v>5273</v>
      </c>
      <c r="H656" s="417" t="s">
        <v>291</v>
      </c>
      <c r="I656" s="417" t="s">
        <v>10</v>
      </c>
      <c r="J656" s="417" t="s">
        <v>842</v>
      </c>
      <c r="K656" s="418">
        <v>1150</v>
      </c>
      <c r="L656" s="419">
        <v>0</v>
      </c>
      <c r="M656" s="418"/>
      <c r="N656" s="414"/>
      <c r="O656" s="414"/>
      <c r="P656" s="418"/>
      <c r="Q656" s="418"/>
    </row>
    <row r="657" spans="1:17" s="32" customFormat="1" ht="19.5" customHeight="1">
      <c r="A657" s="411">
        <v>761</v>
      </c>
      <c r="B657" s="413" t="s">
        <v>10314</v>
      </c>
      <c r="C657" s="413"/>
      <c r="D657" s="413"/>
      <c r="E657" s="413" t="s">
        <v>2512</v>
      </c>
      <c r="F657" s="411" t="s">
        <v>3113</v>
      </c>
      <c r="G657" s="411" t="s">
        <v>5105</v>
      </c>
      <c r="H657" s="411" t="s">
        <v>258</v>
      </c>
      <c r="I657" s="411" t="s">
        <v>11</v>
      </c>
      <c r="J657" s="411" t="s">
        <v>815</v>
      </c>
      <c r="K657" s="414">
        <v>9450</v>
      </c>
      <c r="L657" s="415">
        <v>2744</v>
      </c>
      <c r="M657" s="414"/>
      <c r="N657" s="414"/>
      <c r="O657" s="414"/>
      <c r="P657" s="414"/>
      <c r="Q657" s="414"/>
    </row>
    <row r="658" spans="1:17" s="32" customFormat="1" ht="19.5" customHeight="1">
      <c r="A658" s="411">
        <v>765</v>
      </c>
      <c r="B658" s="413" t="s">
        <v>645</v>
      </c>
      <c r="C658" s="413"/>
      <c r="D658" s="413"/>
      <c r="E658" s="413" t="s">
        <v>3624</v>
      </c>
      <c r="F658" s="411" t="s">
        <v>648</v>
      </c>
      <c r="G658" s="411" t="s">
        <v>213</v>
      </c>
      <c r="H658" s="411" t="s">
        <v>248</v>
      </c>
      <c r="I658" s="411" t="s">
        <v>11</v>
      </c>
      <c r="J658" s="411" t="s">
        <v>815</v>
      </c>
      <c r="K658" s="414">
        <v>259</v>
      </c>
      <c r="L658" s="415">
        <v>5692</v>
      </c>
      <c r="M658" s="414"/>
      <c r="N658" s="414"/>
      <c r="O658" s="414"/>
      <c r="P658" s="414"/>
      <c r="Q658" s="414"/>
    </row>
    <row r="659" spans="1:17" s="32" customFormat="1" ht="19.5" customHeight="1">
      <c r="A659" s="411">
        <v>762</v>
      </c>
      <c r="B659" s="412" t="s">
        <v>10314</v>
      </c>
      <c r="C659" s="413"/>
      <c r="D659" s="413"/>
      <c r="E659" s="413" t="s">
        <v>3624</v>
      </c>
      <c r="F659" s="411" t="s">
        <v>10319</v>
      </c>
      <c r="G659" s="411" t="s">
        <v>6694</v>
      </c>
      <c r="H659" s="411" t="s">
        <v>248</v>
      </c>
      <c r="I659" s="411" t="s">
        <v>11</v>
      </c>
      <c r="J659" s="411" t="s">
        <v>842</v>
      </c>
      <c r="K659" s="414">
        <v>345</v>
      </c>
      <c r="L659" s="415">
        <v>0</v>
      </c>
      <c r="M659" s="414"/>
      <c r="N659" s="414"/>
      <c r="O659" s="414"/>
      <c r="P659" s="414"/>
      <c r="Q659" s="414"/>
    </row>
    <row r="660" spans="1:17" s="32" customFormat="1" ht="19.5" customHeight="1">
      <c r="A660" s="411">
        <v>763</v>
      </c>
      <c r="B660" s="412" t="s">
        <v>10320</v>
      </c>
      <c r="C660" s="413"/>
      <c r="D660" s="413"/>
      <c r="E660" s="413" t="s">
        <v>3624</v>
      </c>
      <c r="F660" s="411" t="s">
        <v>9470</v>
      </c>
      <c r="G660" s="411" t="s">
        <v>213</v>
      </c>
      <c r="H660" s="411" t="s">
        <v>10321</v>
      </c>
      <c r="I660" s="411" t="s">
        <v>11</v>
      </c>
      <c r="J660" s="411" t="s">
        <v>9063</v>
      </c>
      <c r="K660" s="414">
        <v>525</v>
      </c>
      <c r="L660" s="415">
        <v>8</v>
      </c>
      <c r="M660" s="414"/>
      <c r="N660" s="414"/>
      <c r="O660" s="414"/>
      <c r="P660" s="414"/>
      <c r="Q660" s="414"/>
    </row>
    <row r="661" spans="1:17" s="32" customFormat="1" ht="19.5" customHeight="1">
      <c r="A661" s="411">
        <v>768</v>
      </c>
      <c r="B661" s="413" t="s">
        <v>645</v>
      </c>
      <c r="C661" s="413"/>
      <c r="D661" s="413"/>
      <c r="E661" s="413" t="s">
        <v>3625</v>
      </c>
      <c r="F661" s="411" t="s">
        <v>1355</v>
      </c>
      <c r="G661" s="411" t="s">
        <v>213</v>
      </c>
      <c r="H661" s="411" t="s">
        <v>291</v>
      </c>
      <c r="I661" s="411" t="s">
        <v>11</v>
      </c>
      <c r="J661" s="411" t="s">
        <v>9063</v>
      </c>
      <c r="K661" s="414">
        <v>344</v>
      </c>
      <c r="L661" s="415">
        <v>13679</v>
      </c>
      <c r="M661" s="414"/>
      <c r="N661" s="414"/>
      <c r="O661" s="414"/>
      <c r="P661" s="414"/>
      <c r="Q661" s="414"/>
    </row>
    <row r="662" spans="1:17" s="32" customFormat="1" ht="19.5" customHeight="1">
      <c r="A662" s="411">
        <v>766</v>
      </c>
      <c r="B662" s="412" t="s">
        <v>10314</v>
      </c>
      <c r="C662" s="413"/>
      <c r="D662" s="413"/>
      <c r="E662" s="413" t="s">
        <v>3625</v>
      </c>
      <c r="F662" s="411" t="s">
        <v>10322</v>
      </c>
      <c r="G662" s="411" t="s">
        <v>6694</v>
      </c>
      <c r="H662" s="411" t="s">
        <v>291</v>
      </c>
      <c r="I662" s="411" t="s">
        <v>11</v>
      </c>
      <c r="J662" s="411" t="s">
        <v>842</v>
      </c>
      <c r="K662" s="414">
        <v>485</v>
      </c>
      <c r="L662" s="415">
        <v>287</v>
      </c>
      <c r="M662" s="414"/>
      <c r="N662" s="414"/>
      <c r="O662" s="414"/>
      <c r="P662" s="414"/>
      <c r="Q662" s="414"/>
    </row>
    <row r="663" spans="1:17" s="32" customFormat="1" ht="19.5" customHeight="1">
      <c r="A663" s="411">
        <v>770</v>
      </c>
      <c r="B663" s="412" t="s">
        <v>10323</v>
      </c>
      <c r="C663" s="413"/>
      <c r="D663" s="413"/>
      <c r="E663" s="413" t="s">
        <v>10324</v>
      </c>
      <c r="F663" s="411" t="s">
        <v>10325</v>
      </c>
      <c r="G663" s="411" t="s">
        <v>5116</v>
      </c>
      <c r="H663" s="411" t="s">
        <v>10326</v>
      </c>
      <c r="I663" s="411" t="s">
        <v>891</v>
      </c>
      <c r="J663" s="411" t="s">
        <v>10327</v>
      </c>
      <c r="K663" s="414">
        <v>113163</v>
      </c>
      <c r="L663" s="415">
        <v>22</v>
      </c>
      <c r="M663" s="414"/>
      <c r="N663" s="414"/>
      <c r="O663" s="414"/>
      <c r="P663" s="414"/>
      <c r="Q663" s="414"/>
    </row>
    <row r="664" spans="1:17" s="32" customFormat="1" ht="19.5" customHeight="1">
      <c r="A664" s="411">
        <v>771</v>
      </c>
      <c r="B664" s="413" t="s">
        <v>1668</v>
      </c>
      <c r="C664" s="413"/>
      <c r="D664" s="413"/>
      <c r="E664" s="413" t="s">
        <v>10328</v>
      </c>
      <c r="F664" s="411" t="s">
        <v>1670</v>
      </c>
      <c r="G664" s="411" t="s">
        <v>213</v>
      </c>
      <c r="H664" s="411" t="s">
        <v>869</v>
      </c>
      <c r="I664" s="411" t="s">
        <v>11</v>
      </c>
      <c r="J664" s="411" t="s">
        <v>9376</v>
      </c>
      <c r="K664" s="414">
        <v>1092</v>
      </c>
      <c r="L664" s="415">
        <v>8782</v>
      </c>
      <c r="M664" s="414"/>
      <c r="N664" s="414"/>
      <c r="O664" s="414"/>
      <c r="P664" s="414"/>
      <c r="Q664" s="414"/>
    </row>
    <row r="665" spans="1:17" s="32" customFormat="1" ht="19.5" customHeight="1">
      <c r="A665" s="411">
        <v>772</v>
      </c>
      <c r="B665" s="412" t="s">
        <v>4151</v>
      </c>
      <c r="C665" s="413"/>
      <c r="D665" s="413"/>
      <c r="E665" s="413" t="s">
        <v>10329</v>
      </c>
      <c r="F665" s="411" t="s">
        <v>10330</v>
      </c>
      <c r="G665" s="411" t="s">
        <v>213</v>
      </c>
      <c r="H665" s="411" t="s">
        <v>869</v>
      </c>
      <c r="I665" s="411" t="s">
        <v>10</v>
      </c>
      <c r="J665" s="411" t="s">
        <v>9376</v>
      </c>
      <c r="K665" s="414">
        <v>1890</v>
      </c>
      <c r="L665" s="415">
        <v>0</v>
      </c>
      <c r="M665" s="414"/>
      <c r="N665" s="414"/>
      <c r="O665" s="414"/>
      <c r="P665" s="414"/>
      <c r="Q665" s="414"/>
    </row>
    <row r="666" spans="1:17" s="32" customFormat="1" ht="19.5" customHeight="1">
      <c r="A666" s="411">
        <v>773</v>
      </c>
      <c r="B666" s="413" t="s">
        <v>3122</v>
      </c>
      <c r="C666" s="413"/>
      <c r="D666" s="413"/>
      <c r="E666" s="413" t="s">
        <v>3123</v>
      </c>
      <c r="F666" s="411" t="s">
        <v>3124</v>
      </c>
      <c r="G666" s="411" t="s">
        <v>213</v>
      </c>
      <c r="H666" s="411" t="s">
        <v>3126</v>
      </c>
      <c r="I666" s="411" t="s">
        <v>10</v>
      </c>
      <c r="J666" s="411" t="s">
        <v>9063</v>
      </c>
      <c r="K666" s="414">
        <v>730</v>
      </c>
      <c r="L666" s="415">
        <v>0</v>
      </c>
      <c r="M666" s="414"/>
      <c r="N666" s="414"/>
      <c r="O666" s="414"/>
      <c r="P666" s="414"/>
      <c r="Q666" s="414"/>
    </row>
    <row r="667" spans="1:17" s="32" customFormat="1" ht="19.5" customHeight="1">
      <c r="A667" s="411">
        <v>774</v>
      </c>
      <c r="B667" s="412" t="s">
        <v>10331</v>
      </c>
      <c r="C667" s="413"/>
      <c r="D667" s="413"/>
      <c r="E667" s="413" t="s">
        <v>10332</v>
      </c>
      <c r="F667" s="411" t="s">
        <v>10333</v>
      </c>
      <c r="G667" s="411" t="s">
        <v>213</v>
      </c>
      <c r="H667" s="411" t="s">
        <v>6007</v>
      </c>
      <c r="I667" s="411" t="s">
        <v>11</v>
      </c>
      <c r="J667" s="411" t="s">
        <v>9063</v>
      </c>
      <c r="K667" s="414">
        <v>550</v>
      </c>
      <c r="L667" s="415">
        <v>0</v>
      </c>
      <c r="M667" s="414"/>
      <c r="N667" s="414"/>
      <c r="O667" s="414"/>
      <c r="P667" s="414"/>
      <c r="Q667" s="414"/>
    </row>
    <row r="668" spans="1:17" s="32" customFormat="1" ht="19.5" customHeight="1">
      <c r="A668" s="411">
        <v>775</v>
      </c>
      <c r="B668" s="413" t="s">
        <v>10334</v>
      </c>
      <c r="C668" s="413"/>
      <c r="D668" s="413"/>
      <c r="E668" s="413" t="s">
        <v>3626</v>
      </c>
      <c r="F668" s="411" t="s">
        <v>3128</v>
      </c>
      <c r="G668" s="411" t="s">
        <v>5105</v>
      </c>
      <c r="H668" s="411" t="s">
        <v>310</v>
      </c>
      <c r="I668" s="411" t="s">
        <v>11</v>
      </c>
      <c r="J668" s="411" t="s">
        <v>9063</v>
      </c>
      <c r="K668" s="414">
        <v>4095</v>
      </c>
      <c r="L668" s="415">
        <v>0</v>
      </c>
      <c r="M668" s="414"/>
      <c r="N668" s="414"/>
      <c r="O668" s="414"/>
      <c r="P668" s="414"/>
      <c r="Q668" s="414"/>
    </row>
    <row r="669" spans="1:17" s="32" customFormat="1" ht="19.5" customHeight="1">
      <c r="A669" s="411">
        <v>776</v>
      </c>
      <c r="B669" s="412" t="s">
        <v>10335</v>
      </c>
      <c r="C669" s="413"/>
      <c r="D669" s="413"/>
      <c r="E669" s="413" t="s">
        <v>10336</v>
      </c>
      <c r="F669" s="411" t="s">
        <v>10337</v>
      </c>
      <c r="G669" s="411" t="s">
        <v>213</v>
      </c>
      <c r="H669" s="411">
        <v>0.15</v>
      </c>
      <c r="I669" s="411" t="s">
        <v>520</v>
      </c>
      <c r="J669" s="411" t="s">
        <v>2654</v>
      </c>
      <c r="K669" s="414">
        <v>2730</v>
      </c>
      <c r="L669" s="415">
        <v>59</v>
      </c>
      <c r="M669" s="414"/>
      <c r="N669" s="414"/>
      <c r="O669" s="414"/>
      <c r="P669" s="414"/>
      <c r="Q669" s="414"/>
    </row>
    <row r="670" spans="1:17" s="32" customFormat="1" ht="19.5" customHeight="1">
      <c r="A670" s="411">
        <v>777</v>
      </c>
      <c r="B670" s="412" t="s">
        <v>10338</v>
      </c>
      <c r="C670" s="413"/>
      <c r="D670" s="413"/>
      <c r="E670" s="413" t="s">
        <v>10339</v>
      </c>
      <c r="F670" s="411" t="s">
        <v>10340</v>
      </c>
      <c r="G670" s="411" t="s">
        <v>213</v>
      </c>
      <c r="H670" s="411" t="s">
        <v>10341</v>
      </c>
      <c r="I670" s="411" t="s">
        <v>9115</v>
      </c>
      <c r="J670" s="411" t="s">
        <v>9063</v>
      </c>
      <c r="K670" s="414">
        <v>265</v>
      </c>
      <c r="L670" s="415">
        <v>0</v>
      </c>
      <c r="M670" s="414"/>
      <c r="N670" s="414"/>
      <c r="O670" s="414"/>
      <c r="P670" s="414"/>
      <c r="Q670" s="414"/>
    </row>
    <row r="671" spans="1:17" s="32" customFormat="1" ht="19.5" customHeight="1">
      <c r="A671" s="411">
        <v>778</v>
      </c>
      <c r="B671" s="412" t="s">
        <v>10342</v>
      </c>
      <c r="C671" s="413"/>
      <c r="D671" s="413"/>
      <c r="E671" s="413" t="s">
        <v>10343</v>
      </c>
      <c r="F671" s="411" t="s">
        <v>10344</v>
      </c>
      <c r="G671" s="411" t="s">
        <v>213</v>
      </c>
      <c r="H671" s="411" t="s">
        <v>10341</v>
      </c>
      <c r="I671" s="411" t="s">
        <v>11</v>
      </c>
      <c r="J671" s="411" t="s">
        <v>842</v>
      </c>
      <c r="K671" s="414">
        <v>159</v>
      </c>
      <c r="L671" s="415">
        <v>0</v>
      </c>
      <c r="M671" s="414"/>
      <c r="N671" s="414"/>
      <c r="O671" s="414"/>
      <c r="P671" s="414"/>
      <c r="Q671" s="414"/>
    </row>
    <row r="672" spans="1:17" s="32" customFormat="1" ht="19.5" customHeight="1">
      <c r="A672" s="411">
        <v>779</v>
      </c>
      <c r="B672" s="412" t="s">
        <v>10345</v>
      </c>
      <c r="C672" s="413"/>
      <c r="D672" s="413"/>
      <c r="E672" s="413" t="s">
        <v>10346</v>
      </c>
      <c r="F672" s="411" t="s">
        <v>10347</v>
      </c>
      <c r="G672" s="411" t="s">
        <v>6694</v>
      </c>
      <c r="H672" s="411" t="s">
        <v>10341</v>
      </c>
      <c r="I672" s="411" t="s">
        <v>11</v>
      </c>
      <c r="J672" s="411" t="s">
        <v>842</v>
      </c>
      <c r="K672" s="414">
        <v>145</v>
      </c>
      <c r="L672" s="415">
        <v>127</v>
      </c>
      <c r="M672" s="414"/>
      <c r="N672" s="414"/>
      <c r="O672" s="414"/>
      <c r="P672" s="414"/>
      <c r="Q672" s="414"/>
    </row>
    <row r="673" spans="1:17" s="32" customFormat="1" ht="19.5" customHeight="1">
      <c r="A673" s="411">
        <v>782</v>
      </c>
      <c r="B673" s="413" t="s">
        <v>1636</v>
      </c>
      <c r="C673" s="413"/>
      <c r="D673" s="413"/>
      <c r="E673" s="413" t="s">
        <v>10348</v>
      </c>
      <c r="F673" s="411" t="s">
        <v>10347</v>
      </c>
      <c r="G673" s="411" t="s">
        <v>213</v>
      </c>
      <c r="H673" s="411" t="s">
        <v>10349</v>
      </c>
      <c r="I673" s="411" t="s">
        <v>11</v>
      </c>
      <c r="J673" s="411" t="s">
        <v>10003</v>
      </c>
      <c r="K673" s="414">
        <v>122</v>
      </c>
      <c r="L673" s="415">
        <v>10767</v>
      </c>
      <c r="M673" s="414"/>
      <c r="N673" s="414"/>
      <c r="O673" s="414"/>
      <c r="P673" s="414"/>
      <c r="Q673" s="414"/>
    </row>
    <row r="674" spans="1:17" s="32" customFormat="1" ht="19.5" customHeight="1">
      <c r="A674" s="411">
        <v>783</v>
      </c>
      <c r="B674" s="412" t="s">
        <v>10350</v>
      </c>
      <c r="C674" s="413"/>
      <c r="D674" s="413"/>
      <c r="E674" s="413" t="s">
        <v>10351</v>
      </c>
      <c r="F674" s="411" t="s">
        <v>10352</v>
      </c>
      <c r="G674" s="411" t="s">
        <v>5116</v>
      </c>
      <c r="H674" s="411" t="s">
        <v>2613</v>
      </c>
      <c r="I674" s="411" t="s">
        <v>628</v>
      </c>
      <c r="J674" s="411" t="s">
        <v>10353</v>
      </c>
      <c r="K674" s="414">
        <v>6600</v>
      </c>
      <c r="L674" s="415">
        <v>46</v>
      </c>
      <c r="M674" s="414"/>
      <c r="N674" s="414"/>
      <c r="O674" s="414"/>
      <c r="P674" s="414"/>
      <c r="Q674" s="414"/>
    </row>
    <row r="675" spans="1:17" s="32" customFormat="1" ht="19.5" customHeight="1">
      <c r="A675" s="411">
        <v>785</v>
      </c>
      <c r="B675" s="412" t="s">
        <v>10354</v>
      </c>
      <c r="C675" s="413"/>
      <c r="D675" s="413"/>
      <c r="E675" s="413" t="s">
        <v>10355</v>
      </c>
      <c r="F675" s="411" t="s">
        <v>10356</v>
      </c>
      <c r="G675" s="411" t="s">
        <v>6694</v>
      </c>
      <c r="H675" s="411" t="s">
        <v>4447</v>
      </c>
      <c r="I675" s="411" t="s">
        <v>15</v>
      </c>
      <c r="J675" s="411" t="s">
        <v>10023</v>
      </c>
      <c r="K675" s="414">
        <v>17640</v>
      </c>
      <c r="L675" s="415">
        <v>47</v>
      </c>
      <c r="M675" s="414"/>
      <c r="N675" s="414"/>
      <c r="O675" s="414"/>
      <c r="P675" s="414"/>
      <c r="Q675" s="414"/>
    </row>
    <row r="676" spans="1:17" s="32" customFormat="1" ht="19.5" customHeight="1">
      <c r="A676" s="411">
        <v>787</v>
      </c>
      <c r="B676" s="413" t="s">
        <v>10357</v>
      </c>
      <c r="C676" s="413"/>
      <c r="D676" s="413"/>
      <c r="E676" s="413" t="s">
        <v>8819</v>
      </c>
      <c r="F676" s="411" t="s">
        <v>10358</v>
      </c>
      <c r="G676" s="411" t="s">
        <v>213</v>
      </c>
      <c r="H676" s="411" t="s">
        <v>10359</v>
      </c>
      <c r="I676" s="411" t="s">
        <v>10</v>
      </c>
      <c r="J676" s="411" t="s">
        <v>9063</v>
      </c>
      <c r="K676" s="414">
        <v>987</v>
      </c>
      <c r="L676" s="415">
        <v>0</v>
      </c>
      <c r="M676" s="414"/>
      <c r="N676" s="414"/>
      <c r="O676" s="414"/>
      <c r="P676" s="414"/>
      <c r="Q676" s="414"/>
    </row>
    <row r="677" spans="1:17" s="32" customFormat="1" ht="19.5" customHeight="1">
      <c r="A677" s="411">
        <v>788</v>
      </c>
      <c r="B677" s="412" t="s">
        <v>4815</v>
      </c>
      <c r="C677" s="413"/>
      <c r="D677" s="413"/>
      <c r="E677" s="413" t="s">
        <v>10360</v>
      </c>
      <c r="F677" s="411" t="s">
        <v>10361</v>
      </c>
      <c r="G677" s="411" t="s">
        <v>5116</v>
      </c>
      <c r="H677" s="411" t="s">
        <v>10362</v>
      </c>
      <c r="I677" s="411" t="s">
        <v>628</v>
      </c>
      <c r="J677" s="411" t="s">
        <v>10363</v>
      </c>
      <c r="K677" s="414">
        <v>40239</v>
      </c>
      <c r="L677" s="415">
        <v>11</v>
      </c>
      <c r="M677" s="414"/>
      <c r="N677" s="414"/>
      <c r="O677" s="414"/>
      <c r="P677" s="414"/>
      <c r="Q677" s="414"/>
    </row>
    <row r="678" spans="1:17" s="32" customFormat="1" ht="19.5" customHeight="1">
      <c r="A678" s="411">
        <v>789</v>
      </c>
      <c r="B678" s="413" t="s">
        <v>1697</v>
      </c>
      <c r="C678" s="413"/>
      <c r="D678" s="413"/>
      <c r="E678" s="413" t="s">
        <v>3627</v>
      </c>
      <c r="F678" s="411" t="s">
        <v>3135</v>
      </c>
      <c r="G678" s="411" t="s">
        <v>213</v>
      </c>
      <c r="H678" s="411" t="s">
        <v>2518</v>
      </c>
      <c r="I678" s="411" t="s">
        <v>11</v>
      </c>
      <c r="J678" s="411" t="s">
        <v>9063</v>
      </c>
      <c r="K678" s="414">
        <v>415</v>
      </c>
      <c r="L678" s="415">
        <v>13212</v>
      </c>
      <c r="M678" s="414"/>
      <c r="N678" s="414"/>
      <c r="O678" s="414"/>
      <c r="P678" s="414"/>
      <c r="Q678" s="414"/>
    </row>
    <row r="679" spans="1:17" s="32" customFormat="1" ht="19.5" customHeight="1">
      <c r="A679" s="411">
        <v>790</v>
      </c>
      <c r="B679" s="413" t="s">
        <v>10364</v>
      </c>
      <c r="C679" s="413"/>
      <c r="D679" s="413"/>
      <c r="E679" s="413" t="s">
        <v>10365</v>
      </c>
      <c r="F679" s="411" t="s">
        <v>10366</v>
      </c>
      <c r="G679" s="411" t="s">
        <v>213</v>
      </c>
      <c r="H679" s="411" t="s">
        <v>10367</v>
      </c>
      <c r="I679" s="411" t="s">
        <v>13</v>
      </c>
      <c r="J679" s="411" t="s">
        <v>2919</v>
      </c>
      <c r="K679" s="414">
        <v>1995</v>
      </c>
      <c r="L679" s="415">
        <v>8159</v>
      </c>
      <c r="M679" s="414"/>
      <c r="N679" s="414"/>
      <c r="O679" s="414"/>
      <c r="P679" s="414"/>
      <c r="Q679" s="414"/>
    </row>
    <row r="680" spans="1:17" s="32" customFormat="1" ht="19.5" customHeight="1">
      <c r="A680" s="411">
        <v>791</v>
      </c>
      <c r="B680" s="412" t="s">
        <v>10368</v>
      </c>
      <c r="C680" s="413"/>
      <c r="D680" s="413"/>
      <c r="E680" s="413" t="s">
        <v>3138</v>
      </c>
      <c r="F680" s="411" t="s">
        <v>10369</v>
      </c>
      <c r="G680" s="411" t="s">
        <v>6694</v>
      </c>
      <c r="H680" s="411" t="s">
        <v>3140</v>
      </c>
      <c r="I680" s="411" t="s">
        <v>15</v>
      </c>
      <c r="J680" s="411" t="s">
        <v>9263</v>
      </c>
      <c r="K680" s="414">
        <v>46200</v>
      </c>
      <c r="L680" s="415">
        <v>242</v>
      </c>
      <c r="M680" s="414"/>
      <c r="N680" s="414"/>
      <c r="O680" s="414"/>
      <c r="P680" s="414"/>
      <c r="Q680" s="414"/>
    </row>
    <row r="681" spans="1:17" s="32" customFormat="1" ht="19.5" customHeight="1">
      <c r="A681" s="411">
        <v>793</v>
      </c>
      <c r="B681" s="413" t="s">
        <v>10370</v>
      </c>
      <c r="C681" s="413"/>
      <c r="D681" s="413"/>
      <c r="E681" s="413" t="s">
        <v>3138</v>
      </c>
      <c r="F681" s="411" t="s">
        <v>2238</v>
      </c>
      <c r="G681" s="411" t="s">
        <v>213</v>
      </c>
      <c r="H681" s="411" t="s">
        <v>3140</v>
      </c>
      <c r="I681" s="411" t="s">
        <v>18</v>
      </c>
      <c r="J681" s="411" t="s">
        <v>9263</v>
      </c>
      <c r="K681" s="414">
        <v>46200</v>
      </c>
      <c r="L681" s="415">
        <v>0</v>
      </c>
      <c r="M681" s="414"/>
      <c r="N681" s="414"/>
      <c r="O681" s="414"/>
      <c r="P681" s="414"/>
      <c r="Q681" s="414"/>
    </row>
    <row r="682" spans="1:17" s="32" customFormat="1" ht="19.5" customHeight="1">
      <c r="A682" s="411">
        <v>794</v>
      </c>
      <c r="B682" s="412" t="s">
        <v>10371</v>
      </c>
      <c r="C682" s="413"/>
      <c r="D682" s="413"/>
      <c r="E682" s="413" t="s">
        <v>10372</v>
      </c>
      <c r="F682" s="411" t="s">
        <v>10373</v>
      </c>
      <c r="G682" s="411" t="s">
        <v>5911</v>
      </c>
      <c r="H682" s="411" t="s">
        <v>238</v>
      </c>
      <c r="I682" s="411" t="s">
        <v>10</v>
      </c>
      <c r="J682" s="411" t="s">
        <v>10374</v>
      </c>
      <c r="K682" s="414">
        <v>23500</v>
      </c>
      <c r="L682" s="415">
        <v>0</v>
      </c>
      <c r="M682" s="414"/>
      <c r="N682" s="414"/>
      <c r="O682" s="414"/>
      <c r="P682" s="414"/>
      <c r="Q682" s="414"/>
    </row>
    <row r="683" spans="1:17" s="32" customFormat="1" ht="19.5" customHeight="1">
      <c r="A683" s="411">
        <v>796</v>
      </c>
      <c r="B683" s="413" t="s">
        <v>256</v>
      </c>
      <c r="C683" s="413"/>
      <c r="D683" s="413"/>
      <c r="E683" s="413" t="s">
        <v>10375</v>
      </c>
      <c r="F683" s="411" t="s">
        <v>10376</v>
      </c>
      <c r="G683" s="411" t="s">
        <v>213</v>
      </c>
      <c r="H683" s="411" t="s">
        <v>1580</v>
      </c>
      <c r="I683" s="411" t="s">
        <v>13</v>
      </c>
      <c r="J683" s="411" t="s">
        <v>553</v>
      </c>
      <c r="K683" s="414">
        <v>6500</v>
      </c>
      <c r="L683" s="415">
        <v>0</v>
      </c>
      <c r="M683" s="414"/>
      <c r="N683" s="414"/>
      <c r="O683" s="414"/>
      <c r="P683" s="414"/>
      <c r="Q683" s="414"/>
    </row>
    <row r="684" spans="1:17" s="32" customFormat="1" ht="19.5" customHeight="1">
      <c r="A684" s="411">
        <v>797</v>
      </c>
      <c r="B684" s="412" t="s">
        <v>2138</v>
      </c>
      <c r="C684" s="413"/>
      <c r="D684" s="413"/>
      <c r="E684" s="413" t="s">
        <v>10377</v>
      </c>
      <c r="F684" s="411" t="s">
        <v>10378</v>
      </c>
      <c r="G684" s="411" t="s">
        <v>5273</v>
      </c>
      <c r="H684" s="411" t="s">
        <v>1686</v>
      </c>
      <c r="I684" s="411" t="s">
        <v>10</v>
      </c>
      <c r="J684" s="411" t="s">
        <v>10243</v>
      </c>
      <c r="K684" s="414">
        <v>3050</v>
      </c>
      <c r="L684" s="415">
        <v>3914</v>
      </c>
      <c r="M684" s="414"/>
      <c r="N684" s="414"/>
      <c r="O684" s="414"/>
      <c r="P684" s="414"/>
      <c r="Q684" s="414"/>
    </row>
    <row r="685" spans="1:17" s="32" customFormat="1" ht="19.5" customHeight="1">
      <c r="A685" s="411">
        <v>798</v>
      </c>
      <c r="B685" s="412" t="s">
        <v>224</v>
      </c>
      <c r="C685" s="413"/>
      <c r="D685" s="413"/>
      <c r="E685" s="413" t="s">
        <v>3148</v>
      </c>
      <c r="F685" s="411" t="s">
        <v>10379</v>
      </c>
      <c r="G685" s="411" t="s">
        <v>213</v>
      </c>
      <c r="H685" s="411" t="s">
        <v>225</v>
      </c>
      <c r="I685" s="411" t="s">
        <v>11</v>
      </c>
      <c r="J685" s="411" t="s">
        <v>9063</v>
      </c>
      <c r="K685" s="414">
        <v>1372</v>
      </c>
      <c r="L685" s="415">
        <v>0</v>
      </c>
      <c r="M685" s="414"/>
      <c r="N685" s="414"/>
      <c r="O685" s="414"/>
      <c r="P685" s="414"/>
      <c r="Q685" s="414"/>
    </row>
    <row r="686" spans="1:17" s="32" customFormat="1" ht="19.5" customHeight="1">
      <c r="A686" s="411">
        <v>799</v>
      </c>
      <c r="B686" s="412" t="s">
        <v>10380</v>
      </c>
      <c r="C686" s="413"/>
      <c r="D686" s="413"/>
      <c r="E686" s="413" t="s">
        <v>3148</v>
      </c>
      <c r="F686" s="411" t="s">
        <v>3149</v>
      </c>
      <c r="G686" s="411" t="s">
        <v>6694</v>
      </c>
      <c r="H686" s="411" t="s">
        <v>225</v>
      </c>
      <c r="I686" s="411" t="s">
        <v>11</v>
      </c>
      <c r="J686" s="411" t="s">
        <v>2917</v>
      </c>
      <c r="K686" s="414">
        <v>1492</v>
      </c>
      <c r="L686" s="415">
        <v>138</v>
      </c>
      <c r="M686" s="414"/>
      <c r="N686" s="414"/>
      <c r="O686" s="414"/>
      <c r="P686" s="414"/>
      <c r="Q686" s="414"/>
    </row>
    <row r="687" spans="1:17" s="32" customFormat="1" ht="19.5" customHeight="1">
      <c r="A687" s="411">
        <v>802</v>
      </c>
      <c r="B687" s="420" t="s">
        <v>10381</v>
      </c>
      <c r="C687" s="421"/>
      <c r="D687" s="421"/>
      <c r="E687" s="412" t="s">
        <v>3628</v>
      </c>
      <c r="F687" s="417" t="s">
        <v>10382</v>
      </c>
      <c r="G687" s="417" t="s">
        <v>6694</v>
      </c>
      <c r="H687" s="417" t="s">
        <v>17</v>
      </c>
      <c r="I687" s="417" t="s">
        <v>11</v>
      </c>
      <c r="J687" s="417" t="s">
        <v>814</v>
      </c>
      <c r="K687" s="418">
        <v>6700</v>
      </c>
      <c r="L687" s="419">
        <v>5500</v>
      </c>
      <c r="M687" s="418"/>
      <c r="N687" s="414"/>
      <c r="O687" s="414"/>
      <c r="P687" s="418"/>
      <c r="Q687" s="418"/>
    </row>
    <row r="688" spans="1:17" s="32" customFormat="1" ht="19.5" customHeight="1">
      <c r="A688" s="411">
        <v>803</v>
      </c>
      <c r="B688" s="412" t="s">
        <v>9449</v>
      </c>
      <c r="C688" s="413"/>
      <c r="D688" s="413"/>
      <c r="E688" s="413" t="s">
        <v>10383</v>
      </c>
      <c r="F688" s="411" t="s">
        <v>10384</v>
      </c>
      <c r="G688" s="411" t="s">
        <v>213</v>
      </c>
      <c r="H688" s="411" t="s">
        <v>299</v>
      </c>
      <c r="I688" s="411" t="s">
        <v>11</v>
      </c>
      <c r="J688" s="411" t="s">
        <v>553</v>
      </c>
      <c r="K688" s="414">
        <v>7400</v>
      </c>
      <c r="L688" s="415">
        <v>0</v>
      </c>
      <c r="M688" s="414"/>
      <c r="N688" s="414"/>
      <c r="O688" s="414"/>
      <c r="P688" s="414"/>
      <c r="Q688" s="414"/>
    </row>
    <row r="689" spans="1:17" s="32" customFormat="1" ht="19.5" customHeight="1">
      <c r="A689" s="411">
        <v>804</v>
      </c>
      <c r="B689" s="412" t="s">
        <v>9449</v>
      </c>
      <c r="C689" s="413"/>
      <c r="D689" s="413"/>
      <c r="E689" s="413" t="s">
        <v>10385</v>
      </c>
      <c r="F689" s="411" t="s">
        <v>10386</v>
      </c>
      <c r="G689" s="411" t="s">
        <v>213</v>
      </c>
      <c r="H689" s="411" t="s">
        <v>899</v>
      </c>
      <c r="I689" s="411" t="s">
        <v>11</v>
      </c>
      <c r="J689" s="411" t="s">
        <v>553</v>
      </c>
      <c r="K689" s="414">
        <v>9500</v>
      </c>
      <c r="L689" s="415">
        <v>141</v>
      </c>
      <c r="M689" s="414"/>
      <c r="N689" s="414"/>
      <c r="O689" s="414"/>
      <c r="P689" s="414"/>
      <c r="Q689" s="414"/>
    </row>
    <row r="690" spans="1:17" s="32" customFormat="1" ht="19.5" customHeight="1">
      <c r="A690" s="411">
        <v>805</v>
      </c>
      <c r="B690" s="412" t="s">
        <v>9449</v>
      </c>
      <c r="C690" s="413"/>
      <c r="D690" s="413"/>
      <c r="E690" s="413" t="s">
        <v>10387</v>
      </c>
      <c r="F690" s="411" t="s">
        <v>10376</v>
      </c>
      <c r="G690" s="411" t="s">
        <v>213</v>
      </c>
      <c r="H690" s="411" t="s">
        <v>10388</v>
      </c>
      <c r="I690" s="411" t="s">
        <v>13</v>
      </c>
      <c r="J690" s="411" t="s">
        <v>10389</v>
      </c>
      <c r="K690" s="414">
        <v>5000</v>
      </c>
      <c r="L690" s="415">
        <v>0</v>
      </c>
      <c r="M690" s="414"/>
      <c r="N690" s="414"/>
      <c r="O690" s="414"/>
      <c r="P690" s="414"/>
      <c r="Q690" s="414"/>
    </row>
    <row r="691" spans="1:17" s="32" customFormat="1" ht="19.5" customHeight="1">
      <c r="A691" s="411">
        <v>806</v>
      </c>
      <c r="B691" s="412" t="s">
        <v>9449</v>
      </c>
      <c r="C691" s="413"/>
      <c r="D691" s="413"/>
      <c r="E691" s="413" t="s">
        <v>3629</v>
      </c>
      <c r="F691" s="411" t="s">
        <v>10390</v>
      </c>
      <c r="G691" s="411" t="s">
        <v>6694</v>
      </c>
      <c r="H691" s="411" t="s">
        <v>272</v>
      </c>
      <c r="I691" s="411" t="s">
        <v>10</v>
      </c>
      <c r="J691" s="411" t="s">
        <v>553</v>
      </c>
      <c r="K691" s="414">
        <v>12500</v>
      </c>
      <c r="L691" s="415">
        <v>5288</v>
      </c>
      <c r="M691" s="414"/>
      <c r="N691" s="414"/>
      <c r="O691" s="414"/>
      <c r="P691" s="414"/>
      <c r="Q691" s="414"/>
    </row>
    <row r="692" spans="1:17" s="32" customFormat="1" ht="19.5" customHeight="1">
      <c r="A692" s="411">
        <v>808</v>
      </c>
      <c r="B692" s="412" t="s">
        <v>256</v>
      </c>
      <c r="C692" s="416"/>
      <c r="D692" s="416"/>
      <c r="E692" s="412" t="s">
        <v>3630</v>
      </c>
      <c r="F692" s="417" t="s">
        <v>10376</v>
      </c>
      <c r="G692" s="417" t="s">
        <v>6694</v>
      </c>
      <c r="H692" s="417" t="s">
        <v>10391</v>
      </c>
      <c r="I692" s="417" t="s">
        <v>12</v>
      </c>
      <c r="J692" s="417" t="s">
        <v>10392</v>
      </c>
      <c r="K692" s="418">
        <v>6200</v>
      </c>
      <c r="L692" s="419">
        <v>0</v>
      </c>
      <c r="M692" s="418"/>
      <c r="N692" s="414"/>
      <c r="O692" s="414"/>
      <c r="P692" s="418"/>
      <c r="Q692" s="418"/>
    </row>
    <row r="693" spans="1:17" s="32" customFormat="1" ht="19.5" customHeight="1">
      <c r="A693" s="411">
        <v>809</v>
      </c>
      <c r="B693" s="412" t="s">
        <v>9490</v>
      </c>
      <c r="C693" s="413"/>
      <c r="D693" s="413"/>
      <c r="E693" s="413" t="s">
        <v>10393</v>
      </c>
      <c r="F693" s="411" t="s">
        <v>10394</v>
      </c>
      <c r="G693" s="411" t="s">
        <v>213</v>
      </c>
      <c r="H693" s="411" t="s">
        <v>10395</v>
      </c>
      <c r="I693" s="411" t="s">
        <v>11</v>
      </c>
      <c r="J693" s="411" t="s">
        <v>9063</v>
      </c>
      <c r="K693" s="414">
        <v>1400</v>
      </c>
      <c r="L693" s="415">
        <v>17</v>
      </c>
      <c r="M693" s="414"/>
      <c r="N693" s="414"/>
      <c r="O693" s="414"/>
      <c r="P693" s="414"/>
      <c r="Q693" s="414"/>
    </row>
    <row r="694" spans="1:17" s="32" customFormat="1" ht="19.5" customHeight="1">
      <c r="A694" s="411">
        <v>810</v>
      </c>
      <c r="B694" s="412" t="s">
        <v>9490</v>
      </c>
      <c r="C694" s="413"/>
      <c r="D694" s="413"/>
      <c r="E694" s="413" t="s">
        <v>10396</v>
      </c>
      <c r="F694" s="411" t="s">
        <v>10397</v>
      </c>
      <c r="G694" s="411" t="s">
        <v>213</v>
      </c>
      <c r="H694" s="411" t="s">
        <v>4712</v>
      </c>
      <c r="I694" s="411" t="s">
        <v>11</v>
      </c>
      <c r="J694" s="411" t="s">
        <v>9063</v>
      </c>
      <c r="K694" s="414">
        <v>2800</v>
      </c>
      <c r="L694" s="415">
        <v>0</v>
      </c>
      <c r="M694" s="414"/>
      <c r="N694" s="414"/>
      <c r="O694" s="414"/>
      <c r="P694" s="414"/>
      <c r="Q694" s="414"/>
    </row>
    <row r="695" spans="1:17" s="32" customFormat="1" ht="19.5" customHeight="1">
      <c r="A695" s="411">
        <v>812</v>
      </c>
      <c r="B695" s="412" t="s">
        <v>10398</v>
      </c>
      <c r="C695" s="413"/>
      <c r="D695" s="413"/>
      <c r="E695" s="413" t="s">
        <v>10399</v>
      </c>
      <c r="F695" s="411" t="s">
        <v>10400</v>
      </c>
      <c r="G695" s="411" t="s">
        <v>10401</v>
      </c>
      <c r="H695" s="411" t="s">
        <v>1294</v>
      </c>
      <c r="I695" s="411" t="s">
        <v>10</v>
      </c>
      <c r="J695" s="411" t="s">
        <v>10402</v>
      </c>
      <c r="K695" s="414">
        <v>16000</v>
      </c>
      <c r="L695" s="415">
        <v>272</v>
      </c>
      <c r="M695" s="414"/>
      <c r="N695" s="414"/>
      <c r="O695" s="414"/>
      <c r="P695" s="414"/>
      <c r="Q695" s="414"/>
    </row>
    <row r="696" spans="1:17" s="32" customFormat="1" ht="19.5" customHeight="1">
      <c r="A696" s="411">
        <v>813</v>
      </c>
      <c r="B696" s="412" t="s">
        <v>2138</v>
      </c>
      <c r="C696" s="413"/>
      <c r="D696" s="413"/>
      <c r="E696" s="413" t="s">
        <v>10403</v>
      </c>
      <c r="F696" s="411" t="s">
        <v>10404</v>
      </c>
      <c r="G696" s="411" t="s">
        <v>213</v>
      </c>
      <c r="H696" s="411" t="s">
        <v>1290</v>
      </c>
      <c r="I696" s="411" t="s">
        <v>11</v>
      </c>
      <c r="J696" s="411" t="s">
        <v>547</v>
      </c>
      <c r="K696" s="414">
        <v>930</v>
      </c>
      <c r="L696" s="415">
        <v>7430</v>
      </c>
      <c r="M696" s="414"/>
      <c r="N696" s="414"/>
      <c r="O696" s="414"/>
      <c r="P696" s="414"/>
      <c r="Q696" s="414"/>
    </row>
    <row r="697" spans="1:17" s="32" customFormat="1" ht="19.5" customHeight="1">
      <c r="A697" s="411">
        <v>814</v>
      </c>
      <c r="B697" s="412" t="s">
        <v>1289</v>
      </c>
      <c r="C697" s="413"/>
      <c r="D697" s="413"/>
      <c r="E697" s="413" t="s">
        <v>10405</v>
      </c>
      <c r="F697" s="411" t="s">
        <v>10406</v>
      </c>
      <c r="G697" s="411" t="s">
        <v>5605</v>
      </c>
      <c r="H697" s="411" t="s">
        <v>10407</v>
      </c>
      <c r="I697" s="411" t="s">
        <v>520</v>
      </c>
      <c r="J697" s="411" t="s">
        <v>2654</v>
      </c>
      <c r="K697" s="414">
        <v>18900</v>
      </c>
      <c r="L697" s="415">
        <v>27</v>
      </c>
      <c r="M697" s="414"/>
      <c r="N697" s="414"/>
      <c r="O697" s="414"/>
      <c r="P697" s="414"/>
      <c r="Q697" s="414"/>
    </row>
    <row r="698" spans="1:17" s="32" customFormat="1" ht="19.5" customHeight="1">
      <c r="A698" s="411">
        <v>815</v>
      </c>
      <c r="B698" s="412" t="s">
        <v>9763</v>
      </c>
      <c r="C698" s="413"/>
      <c r="D698" s="413"/>
      <c r="E698" s="413" t="s">
        <v>10408</v>
      </c>
      <c r="F698" s="411" t="s">
        <v>10409</v>
      </c>
      <c r="G698" s="411" t="s">
        <v>6694</v>
      </c>
      <c r="H698" s="411" t="s">
        <v>258</v>
      </c>
      <c r="I698" s="411" t="s">
        <v>11</v>
      </c>
      <c r="J698" s="411" t="s">
        <v>9760</v>
      </c>
      <c r="K698" s="414">
        <v>1774</v>
      </c>
      <c r="L698" s="415">
        <v>0</v>
      </c>
      <c r="M698" s="414"/>
      <c r="N698" s="414"/>
      <c r="O698" s="414"/>
      <c r="P698" s="414"/>
      <c r="Q698" s="414"/>
    </row>
    <row r="699" spans="1:17" s="32" customFormat="1" ht="19.5" customHeight="1">
      <c r="A699" s="411">
        <v>816</v>
      </c>
      <c r="B699" s="412" t="s">
        <v>9763</v>
      </c>
      <c r="C699" s="413"/>
      <c r="D699" s="413"/>
      <c r="E699" s="413" t="s">
        <v>10408</v>
      </c>
      <c r="F699" s="411" t="s">
        <v>10410</v>
      </c>
      <c r="G699" s="411" t="s">
        <v>6694</v>
      </c>
      <c r="H699" s="411" t="s">
        <v>291</v>
      </c>
      <c r="I699" s="411" t="s">
        <v>11</v>
      </c>
      <c r="J699" s="411" t="s">
        <v>842</v>
      </c>
      <c r="K699" s="414">
        <v>1995</v>
      </c>
      <c r="L699" s="415">
        <v>0</v>
      </c>
      <c r="M699" s="414"/>
      <c r="N699" s="414"/>
      <c r="O699" s="414"/>
      <c r="P699" s="414"/>
      <c r="Q699" s="414"/>
    </row>
    <row r="700" spans="1:17" s="32" customFormat="1" ht="19.5" customHeight="1">
      <c r="A700" s="411">
        <v>817</v>
      </c>
      <c r="B700" s="412" t="s">
        <v>9763</v>
      </c>
      <c r="C700" s="413"/>
      <c r="D700" s="413"/>
      <c r="E700" s="413" t="s">
        <v>10411</v>
      </c>
      <c r="F700" s="411" t="s">
        <v>10412</v>
      </c>
      <c r="G700" s="411" t="s">
        <v>6694</v>
      </c>
      <c r="H700" s="411" t="s">
        <v>291</v>
      </c>
      <c r="I700" s="411" t="s">
        <v>11</v>
      </c>
      <c r="J700" s="411" t="s">
        <v>9760</v>
      </c>
      <c r="K700" s="414">
        <v>1029</v>
      </c>
      <c r="L700" s="415">
        <v>0</v>
      </c>
      <c r="M700" s="414"/>
      <c r="N700" s="414"/>
      <c r="O700" s="414"/>
      <c r="P700" s="414"/>
      <c r="Q700" s="414"/>
    </row>
    <row r="701" spans="1:17" s="32" customFormat="1" ht="19.5" customHeight="1">
      <c r="A701" s="411"/>
      <c r="B701" s="412"/>
      <c r="C701" s="413"/>
      <c r="D701" s="413"/>
      <c r="E701" s="413" t="s">
        <v>10413</v>
      </c>
      <c r="F701" s="422" t="s">
        <v>10414</v>
      </c>
      <c r="G701" s="411" t="s">
        <v>6795</v>
      </c>
      <c r="H701" s="411" t="s">
        <v>10415</v>
      </c>
      <c r="I701" s="411" t="s">
        <v>628</v>
      </c>
      <c r="J701" s="411" t="s">
        <v>10416</v>
      </c>
      <c r="K701" s="414">
        <v>5565</v>
      </c>
      <c r="L701" s="415">
        <v>400</v>
      </c>
      <c r="M701" s="414"/>
      <c r="N701" s="414"/>
      <c r="O701" s="414"/>
      <c r="P701" s="414"/>
      <c r="Q701" s="414"/>
    </row>
    <row r="702" spans="1:17" s="32" customFormat="1" ht="19.5" customHeight="1">
      <c r="A702" s="411">
        <v>818</v>
      </c>
      <c r="B702" s="412" t="s">
        <v>1311</v>
      </c>
      <c r="C702" s="413"/>
      <c r="D702" s="413"/>
      <c r="E702" s="413" t="s">
        <v>10417</v>
      </c>
      <c r="F702" s="411" t="s">
        <v>10418</v>
      </c>
      <c r="G702" s="411" t="s">
        <v>213</v>
      </c>
      <c r="H702" s="411" t="s">
        <v>10419</v>
      </c>
      <c r="I702" s="411" t="s">
        <v>11</v>
      </c>
      <c r="J702" s="411" t="s">
        <v>9063</v>
      </c>
      <c r="K702" s="414">
        <v>950</v>
      </c>
      <c r="L702" s="415">
        <v>0</v>
      </c>
      <c r="M702" s="414"/>
      <c r="N702" s="414"/>
      <c r="O702" s="414"/>
      <c r="P702" s="414"/>
      <c r="Q702" s="414"/>
    </row>
    <row r="703" spans="1:17" s="32" customFormat="1" ht="19.5" customHeight="1">
      <c r="A703" s="411">
        <v>819</v>
      </c>
      <c r="B703" s="420" t="s">
        <v>10420</v>
      </c>
      <c r="C703" s="421"/>
      <c r="D703" s="421"/>
      <c r="E703" s="412" t="s">
        <v>10421</v>
      </c>
      <c r="F703" s="417" t="s">
        <v>3164</v>
      </c>
      <c r="G703" s="417" t="s">
        <v>5222</v>
      </c>
      <c r="H703" s="417" t="s">
        <v>10422</v>
      </c>
      <c r="I703" s="417" t="s">
        <v>628</v>
      </c>
      <c r="J703" s="417" t="s">
        <v>8990</v>
      </c>
      <c r="K703" s="418">
        <v>9430</v>
      </c>
      <c r="L703" s="419">
        <v>15</v>
      </c>
      <c r="M703" s="418"/>
      <c r="N703" s="414"/>
      <c r="O703" s="414"/>
      <c r="P703" s="418"/>
      <c r="Q703" s="418"/>
    </row>
    <row r="704" spans="1:17" s="32" customFormat="1" ht="19.5" customHeight="1">
      <c r="A704" s="411">
        <v>820</v>
      </c>
      <c r="B704" s="413" t="s">
        <v>765</v>
      </c>
      <c r="C704" s="413"/>
      <c r="D704" s="413"/>
      <c r="E704" s="413" t="s">
        <v>3631</v>
      </c>
      <c r="F704" s="411" t="s">
        <v>3164</v>
      </c>
      <c r="G704" s="411" t="s">
        <v>5222</v>
      </c>
      <c r="H704" s="411" t="s">
        <v>767</v>
      </c>
      <c r="I704" s="411" t="s">
        <v>520</v>
      </c>
      <c r="J704" s="417" t="s">
        <v>8990</v>
      </c>
      <c r="K704" s="414">
        <v>10100</v>
      </c>
      <c r="L704" s="415">
        <v>50</v>
      </c>
      <c r="M704" s="414"/>
      <c r="N704" s="414"/>
      <c r="O704" s="414"/>
      <c r="P704" s="414"/>
      <c r="Q704" s="414"/>
    </row>
    <row r="705" spans="1:17" s="32" customFormat="1" ht="19.5" customHeight="1">
      <c r="A705" s="411">
        <v>821</v>
      </c>
      <c r="B705" s="412" t="s">
        <v>9464</v>
      </c>
      <c r="C705" s="413"/>
      <c r="D705" s="413"/>
      <c r="E705" s="413" t="s">
        <v>10423</v>
      </c>
      <c r="F705" s="411" t="s">
        <v>10424</v>
      </c>
      <c r="G705" s="411" t="s">
        <v>213</v>
      </c>
      <c r="H705" s="411" t="s">
        <v>1200</v>
      </c>
      <c r="I705" s="411" t="s">
        <v>13</v>
      </c>
      <c r="J705" s="411" t="s">
        <v>2919</v>
      </c>
      <c r="K705" s="414">
        <v>6000</v>
      </c>
      <c r="L705" s="415">
        <v>0</v>
      </c>
      <c r="M705" s="414"/>
      <c r="N705" s="414"/>
      <c r="O705" s="414"/>
      <c r="P705" s="414"/>
      <c r="Q705" s="414"/>
    </row>
    <row r="706" spans="1:17" s="32" customFormat="1" ht="19.5" customHeight="1">
      <c r="A706" s="411">
        <v>822</v>
      </c>
      <c r="B706" s="412" t="s">
        <v>10425</v>
      </c>
      <c r="C706" s="413"/>
      <c r="D706" s="413"/>
      <c r="E706" s="413" t="s">
        <v>10426</v>
      </c>
      <c r="F706" s="411" t="s">
        <v>10427</v>
      </c>
      <c r="G706" s="411" t="s">
        <v>6694</v>
      </c>
      <c r="H706" s="411" t="s">
        <v>641</v>
      </c>
      <c r="I706" s="411" t="s">
        <v>11</v>
      </c>
      <c r="J706" s="411" t="s">
        <v>9852</v>
      </c>
      <c r="K706" s="414">
        <v>1386</v>
      </c>
      <c r="L706" s="415">
        <v>0</v>
      </c>
      <c r="M706" s="414"/>
      <c r="N706" s="414"/>
      <c r="O706" s="414"/>
      <c r="P706" s="414"/>
      <c r="Q706" s="414"/>
    </row>
    <row r="707" spans="1:17" s="32" customFormat="1" ht="19.5" customHeight="1">
      <c r="A707" s="411">
        <v>823</v>
      </c>
      <c r="B707" s="413" t="s">
        <v>639</v>
      </c>
      <c r="C707" s="413"/>
      <c r="D707" s="413"/>
      <c r="E707" s="413" t="s">
        <v>3632</v>
      </c>
      <c r="F707" s="411" t="s">
        <v>1191</v>
      </c>
      <c r="G707" s="411" t="s">
        <v>213</v>
      </c>
      <c r="H707" s="411" t="s">
        <v>334</v>
      </c>
      <c r="I707" s="411" t="s">
        <v>11</v>
      </c>
      <c r="J707" s="411" t="s">
        <v>9852</v>
      </c>
      <c r="K707" s="414">
        <v>882</v>
      </c>
      <c r="L707" s="415">
        <v>477</v>
      </c>
      <c r="M707" s="414"/>
      <c r="N707" s="414"/>
      <c r="O707" s="414"/>
      <c r="P707" s="414"/>
      <c r="Q707" s="414"/>
    </row>
    <row r="708" spans="1:17" s="32" customFormat="1" ht="19.5" customHeight="1">
      <c r="A708" s="411">
        <v>824</v>
      </c>
      <c r="B708" s="412" t="s">
        <v>3165</v>
      </c>
      <c r="C708" s="413"/>
      <c r="D708" s="413"/>
      <c r="E708" s="413" t="s">
        <v>3166</v>
      </c>
      <c r="F708" s="411" t="s">
        <v>3167</v>
      </c>
      <c r="G708" s="411" t="s">
        <v>6694</v>
      </c>
      <c r="H708" s="411" t="s">
        <v>387</v>
      </c>
      <c r="I708" s="411" t="s">
        <v>11</v>
      </c>
      <c r="J708" s="411" t="s">
        <v>10428</v>
      </c>
      <c r="K708" s="414">
        <v>1020</v>
      </c>
      <c r="L708" s="415">
        <v>61818</v>
      </c>
      <c r="M708" s="414"/>
      <c r="N708" s="414"/>
      <c r="O708" s="414"/>
      <c r="P708" s="414"/>
      <c r="Q708" s="414"/>
    </row>
    <row r="709" spans="1:17" s="32" customFormat="1" ht="19.5" customHeight="1">
      <c r="A709" s="411">
        <v>826</v>
      </c>
      <c r="B709" s="412" t="s">
        <v>3165</v>
      </c>
      <c r="C709" s="413"/>
      <c r="D709" s="413"/>
      <c r="E709" s="413" t="s">
        <v>10429</v>
      </c>
      <c r="F709" s="411" t="s">
        <v>10430</v>
      </c>
      <c r="G709" s="411" t="s">
        <v>6694</v>
      </c>
      <c r="H709" s="411" t="s">
        <v>390</v>
      </c>
      <c r="I709" s="411" t="s">
        <v>11</v>
      </c>
      <c r="J709" s="411" t="s">
        <v>10428</v>
      </c>
      <c r="K709" s="414">
        <v>368</v>
      </c>
      <c r="L709" s="415">
        <v>0</v>
      </c>
      <c r="M709" s="414"/>
      <c r="N709" s="414"/>
      <c r="O709" s="414"/>
      <c r="P709" s="414"/>
      <c r="Q709" s="414"/>
    </row>
    <row r="710" spans="1:17" s="32" customFormat="1" ht="19.5" customHeight="1">
      <c r="A710" s="411">
        <v>827</v>
      </c>
      <c r="B710" s="412" t="s">
        <v>10431</v>
      </c>
      <c r="C710" s="413"/>
      <c r="D710" s="413"/>
      <c r="E710" s="413" t="s">
        <v>10432</v>
      </c>
      <c r="F710" s="411" t="s">
        <v>10433</v>
      </c>
      <c r="G710" s="411" t="s">
        <v>213</v>
      </c>
      <c r="H710" s="411" t="s">
        <v>5046</v>
      </c>
      <c r="I710" s="411" t="s">
        <v>11</v>
      </c>
      <c r="J710" s="411" t="s">
        <v>1131</v>
      </c>
      <c r="K710" s="414">
        <v>299</v>
      </c>
      <c r="L710" s="415">
        <v>0</v>
      </c>
      <c r="M710" s="414"/>
      <c r="N710" s="414"/>
      <c r="O710" s="414"/>
      <c r="P710" s="414"/>
      <c r="Q710" s="414"/>
    </row>
    <row r="711" spans="1:17" s="32" customFormat="1" ht="19.5" customHeight="1">
      <c r="A711" s="411">
        <v>828</v>
      </c>
      <c r="B711" s="412" t="s">
        <v>10434</v>
      </c>
      <c r="C711" s="413"/>
      <c r="D711" s="413"/>
      <c r="E711" s="413" t="s">
        <v>10435</v>
      </c>
      <c r="F711" s="411" t="s">
        <v>10436</v>
      </c>
      <c r="G711" s="411" t="s">
        <v>6694</v>
      </c>
      <c r="H711" s="411" t="s">
        <v>10437</v>
      </c>
      <c r="I711" s="411" t="s">
        <v>11</v>
      </c>
      <c r="J711" s="411" t="s">
        <v>10438</v>
      </c>
      <c r="K711" s="414">
        <v>693</v>
      </c>
      <c r="L711" s="415">
        <v>29</v>
      </c>
      <c r="M711" s="414"/>
      <c r="N711" s="414"/>
      <c r="O711" s="414"/>
      <c r="P711" s="414"/>
      <c r="Q711" s="414"/>
    </row>
    <row r="712" spans="1:17" s="32" customFormat="1" ht="19.5" customHeight="1">
      <c r="A712" s="411">
        <v>830</v>
      </c>
      <c r="B712" s="412" t="s">
        <v>9490</v>
      </c>
      <c r="C712" s="413"/>
      <c r="D712" s="413"/>
      <c r="E712" s="413" t="s">
        <v>3633</v>
      </c>
      <c r="F712" s="411" t="s">
        <v>10439</v>
      </c>
      <c r="G712" s="411" t="s">
        <v>213</v>
      </c>
      <c r="H712" s="411" t="s">
        <v>272</v>
      </c>
      <c r="I712" s="411" t="s">
        <v>13</v>
      </c>
      <c r="J712" s="411" t="s">
        <v>2919</v>
      </c>
      <c r="K712" s="414">
        <v>980</v>
      </c>
      <c r="L712" s="415">
        <v>0</v>
      </c>
      <c r="M712" s="414"/>
      <c r="N712" s="414"/>
      <c r="O712" s="414"/>
      <c r="P712" s="414"/>
      <c r="Q712" s="414"/>
    </row>
    <row r="713" spans="1:17" s="32" customFormat="1" ht="19.5" customHeight="1">
      <c r="A713" s="411">
        <v>831</v>
      </c>
      <c r="B713" s="412" t="s">
        <v>9696</v>
      </c>
      <c r="C713" s="413"/>
      <c r="D713" s="413"/>
      <c r="E713" s="413" t="s">
        <v>10440</v>
      </c>
      <c r="F713" s="411" t="s">
        <v>10441</v>
      </c>
      <c r="G713" s="411" t="s">
        <v>213</v>
      </c>
      <c r="H713" s="411" t="s">
        <v>291</v>
      </c>
      <c r="I713" s="411" t="s">
        <v>11</v>
      </c>
      <c r="J713" s="411" t="s">
        <v>9063</v>
      </c>
      <c r="K713" s="414">
        <v>125</v>
      </c>
      <c r="L713" s="415">
        <v>0</v>
      </c>
      <c r="M713" s="414"/>
      <c r="N713" s="414"/>
      <c r="O713" s="414"/>
      <c r="P713" s="414"/>
      <c r="Q713" s="414"/>
    </row>
    <row r="714" spans="1:17" s="32" customFormat="1" ht="19.5" customHeight="1">
      <c r="A714" s="411">
        <v>832</v>
      </c>
      <c r="B714" s="412" t="s">
        <v>10442</v>
      </c>
      <c r="C714" s="413"/>
      <c r="D714" s="413"/>
      <c r="E714" s="413" t="s">
        <v>10443</v>
      </c>
      <c r="F714" s="411" t="s">
        <v>10444</v>
      </c>
      <c r="G714" s="411" t="s">
        <v>213</v>
      </c>
      <c r="H714" s="436" t="s">
        <v>10445</v>
      </c>
      <c r="I714" s="411" t="s">
        <v>11</v>
      </c>
      <c r="J714" s="411" t="s">
        <v>9063</v>
      </c>
      <c r="K714" s="414">
        <v>225</v>
      </c>
      <c r="L714" s="415">
        <v>0</v>
      </c>
      <c r="M714" s="414"/>
      <c r="N714" s="414"/>
      <c r="O714" s="414"/>
      <c r="P714" s="414"/>
      <c r="Q714" s="414"/>
    </row>
    <row r="715" spans="1:17" s="32" customFormat="1" ht="19.5" customHeight="1">
      <c r="A715" s="411">
        <v>833</v>
      </c>
      <c r="B715" s="412" t="s">
        <v>10446</v>
      </c>
      <c r="C715" s="413"/>
      <c r="D715" s="413"/>
      <c r="E715" s="413" t="s">
        <v>10447</v>
      </c>
      <c r="F715" s="411" t="s">
        <v>10448</v>
      </c>
      <c r="G715" s="411" t="s">
        <v>6694</v>
      </c>
      <c r="H715" s="411" t="s">
        <v>10449</v>
      </c>
      <c r="I715" s="411" t="s">
        <v>11</v>
      </c>
      <c r="J715" s="411" t="s">
        <v>10450</v>
      </c>
      <c r="K715" s="414">
        <v>196</v>
      </c>
      <c r="L715" s="415">
        <v>11990</v>
      </c>
      <c r="M715" s="414"/>
      <c r="N715" s="414"/>
      <c r="O715" s="414"/>
      <c r="P715" s="414"/>
      <c r="Q715" s="414"/>
    </row>
    <row r="716" spans="1:17" s="32" customFormat="1" ht="19.5" customHeight="1">
      <c r="A716" s="411">
        <v>837</v>
      </c>
      <c r="B716" s="413" t="s">
        <v>353</v>
      </c>
      <c r="C716" s="413"/>
      <c r="D716" s="413"/>
      <c r="E716" s="413" t="s">
        <v>10451</v>
      </c>
      <c r="F716" s="411" t="s">
        <v>3169</v>
      </c>
      <c r="G716" s="411" t="s">
        <v>213</v>
      </c>
      <c r="H716" s="411" t="s">
        <v>384</v>
      </c>
      <c r="I716" s="411" t="s">
        <v>11</v>
      </c>
      <c r="J716" s="417" t="s">
        <v>1968</v>
      </c>
      <c r="K716" s="414">
        <v>128</v>
      </c>
      <c r="L716" s="415">
        <v>0</v>
      </c>
      <c r="M716" s="414"/>
      <c r="N716" s="414"/>
      <c r="O716" s="414"/>
      <c r="P716" s="414"/>
      <c r="Q716" s="414"/>
    </row>
    <row r="717" spans="1:17" s="32" customFormat="1" ht="19.5" customHeight="1">
      <c r="A717" s="411">
        <v>836</v>
      </c>
      <c r="B717" s="420" t="s">
        <v>10452</v>
      </c>
      <c r="C717" s="421"/>
      <c r="D717" s="421"/>
      <c r="E717" s="412" t="s">
        <v>10451</v>
      </c>
      <c r="F717" s="417" t="s">
        <v>3169</v>
      </c>
      <c r="G717" s="417" t="s">
        <v>6694</v>
      </c>
      <c r="H717" s="417" t="s">
        <v>384</v>
      </c>
      <c r="I717" s="417" t="s">
        <v>10</v>
      </c>
      <c r="J717" s="417" t="s">
        <v>1968</v>
      </c>
      <c r="K717" s="418">
        <v>178</v>
      </c>
      <c r="L717" s="419">
        <v>0</v>
      </c>
      <c r="M717" s="418"/>
      <c r="N717" s="414"/>
      <c r="O717" s="414"/>
      <c r="P717" s="418"/>
      <c r="Q717" s="418"/>
    </row>
    <row r="718" spans="1:17" s="32" customFormat="1" ht="19.5" customHeight="1">
      <c r="A718" s="411">
        <v>835</v>
      </c>
      <c r="B718" s="412" t="s">
        <v>10452</v>
      </c>
      <c r="C718" s="413"/>
      <c r="D718" s="413"/>
      <c r="E718" s="413" t="s">
        <v>10451</v>
      </c>
      <c r="F718" s="411" t="s">
        <v>10453</v>
      </c>
      <c r="G718" s="411" t="s">
        <v>213</v>
      </c>
      <c r="H718" s="411" t="s">
        <v>381</v>
      </c>
      <c r="I718" s="411" t="s">
        <v>11</v>
      </c>
      <c r="J718" s="417" t="s">
        <v>1968</v>
      </c>
      <c r="K718" s="414">
        <v>233</v>
      </c>
      <c r="L718" s="415">
        <v>4726</v>
      </c>
      <c r="M718" s="414"/>
      <c r="N718" s="414"/>
      <c r="O718" s="414"/>
      <c r="P718" s="414"/>
      <c r="Q718" s="414"/>
    </row>
    <row r="719" spans="1:17" s="32" customFormat="1" ht="19.5" customHeight="1">
      <c r="A719" s="411">
        <v>839</v>
      </c>
      <c r="B719" s="413" t="s">
        <v>353</v>
      </c>
      <c r="C719" s="413"/>
      <c r="D719" s="413"/>
      <c r="E719" s="413" t="s">
        <v>3634</v>
      </c>
      <c r="F719" s="411" t="s">
        <v>10454</v>
      </c>
      <c r="G719" s="411" t="s">
        <v>213</v>
      </c>
      <c r="H719" s="411" t="s">
        <v>381</v>
      </c>
      <c r="I719" s="411" t="s">
        <v>11</v>
      </c>
      <c r="J719" s="417" t="s">
        <v>1968</v>
      </c>
      <c r="K719" s="414">
        <v>65</v>
      </c>
      <c r="L719" s="415">
        <v>0</v>
      </c>
      <c r="M719" s="414"/>
      <c r="N719" s="414"/>
      <c r="O719" s="414"/>
      <c r="P719" s="414"/>
      <c r="Q719" s="414"/>
    </row>
    <row r="720" spans="1:17" s="32" customFormat="1" ht="19.5" customHeight="1">
      <c r="A720" s="411">
        <v>838</v>
      </c>
      <c r="B720" s="420" t="s">
        <v>10452</v>
      </c>
      <c r="C720" s="421"/>
      <c r="D720" s="421"/>
      <c r="E720" s="412" t="s">
        <v>3634</v>
      </c>
      <c r="F720" s="417" t="s">
        <v>10453</v>
      </c>
      <c r="G720" s="417" t="s">
        <v>6694</v>
      </c>
      <c r="H720" s="417" t="s">
        <v>10455</v>
      </c>
      <c r="I720" s="417" t="s">
        <v>10</v>
      </c>
      <c r="J720" s="417" t="s">
        <v>1968</v>
      </c>
      <c r="K720" s="418">
        <v>61</v>
      </c>
      <c r="L720" s="419">
        <v>0</v>
      </c>
      <c r="M720" s="418"/>
      <c r="N720" s="414"/>
      <c r="O720" s="414"/>
      <c r="P720" s="418"/>
      <c r="Q720" s="418"/>
    </row>
    <row r="721" spans="1:17" s="32" customFormat="1" ht="19.5" customHeight="1">
      <c r="A721" s="411">
        <v>840</v>
      </c>
      <c r="B721" s="412" t="s">
        <v>10452</v>
      </c>
      <c r="C721" s="413"/>
      <c r="D721" s="413"/>
      <c r="E721" s="413" t="s">
        <v>10456</v>
      </c>
      <c r="F721" s="411" t="s">
        <v>10457</v>
      </c>
      <c r="G721" s="411" t="s">
        <v>213</v>
      </c>
      <c r="H721" s="411" t="s">
        <v>10455</v>
      </c>
      <c r="I721" s="411" t="s">
        <v>11</v>
      </c>
      <c r="J721" s="411" t="s">
        <v>9063</v>
      </c>
      <c r="K721" s="414">
        <v>110</v>
      </c>
      <c r="L721" s="415">
        <v>0</v>
      </c>
      <c r="M721" s="414"/>
      <c r="N721" s="414"/>
      <c r="O721" s="414"/>
      <c r="P721" s="414"/>
      <c r="Q721" s="414"/>
    </row>
    <row r="722" spans="1:17" s="32" customFormat="1" ht="19.5" customHeight="1">
      <c r="A722" s="411">
        <v>841</v>
      </c>
      <c r="B722" s="412" t="s">
        <v>10452</v>
      </c>
      <c r="C722" s="413"/>
      <c r="D722" s="413"/>
      <c r="E722" s="413" t="s">
        <v>10458</v>
      </c>
      <c r="F722" s="411" t="s">
        <v>10459</v>
      </c>
      <c r="G722" s="411" t="s">
        <v>5273</v>
      </c>
      <c r="H722" s="411" t="s">
        <v>384</v>
      </c>
      <c r="I722" s="411" t="s">
        <v>10</v>
      </c>
      <c r="J722" s="411" t="s">
        <v>642</v>
      </c>
      <c r="K722" s="414">
        <v>1800</v>
      </c>
      <c r="L722" s="415">
        <v>384</v>
      </c>
      <c r="M722" s="414"/>
      <c r="N722" s="414"/>
      <c r="O722" s="414"/>
      <c r="P722" s="414"/>
      <c r="Q722" s="414"/>
    </row>
    <row r="723" spans="1:17" s="32" customFormat="1" ht="19.5" customHeight="1">
      <c r="A723" s="411">
        <v>842</v>
      </c>
      <c r="B723" s="412" t="s">
        <v>10452</v>
      </c>
      <c r="C723" s="413"/>
      <c r="D723" s="413"/>
      <c r="E723" s="413" t="s">
        <v>10460</v>
      </c>
      <c r="F723" s="411" t="s">
        <v>10461</v>
      </c>
      <c r="G723" s="411" t="s">
        <v>5273</v>
      </c>
      <c r="H723" s="411" t="s">
        <v>381</v>
      </c>
      <c r="I723" s="411" t="s">
        <v>10</v>
      </c>
      <c r="J723" s="411" t="s">
        <v>642</v>
      </c>
      <c r="K723" s="414">
        <v>600</v>
      </c>
      <c r="L723" s="415">
        <v>0</v>
      </c>
      <c r="M723" s="414"/>
      <c r="N723" s="414"/>
      <c r="O723" s="414"/>
      <c r="P723" s="414"/>
      <c r="Q723" s="414"/>
    </row>
    <row r="724" spans="1:17" s="32" customFormat="1" ht="19.5" customHeight="1">
      <c r="A724" s="411">
        <v>843</v>
      </c>
      <c r="B724" s="413" t="s">
        <v>557</v>
      </c>
      <c r="C724" s="413"/>
      <c r="D724" s="413"/>
      <c r="E724" s="413" t="s">
        <v>10462</v>
      </c>
      <c r="F724" s="411" t="s">
        <v>10463</v>
      </c>
      <c r="G724" s="411" t="s">
        <v>213</v>
      </c>
      <c r="H724" s="411" t="s">
        <v>225</v>
      </c>
      <c r="I724" s="411" t="s">
        <v>11</v>
      </c>
      <c r="J724" s="411" t="s">
        <v>1131</v>
      </c>
      <c r="K724" s="414">
        <v>259</v>
      </c>
      <c r="L724" s="415">
        <v>6611</v>
      </c>
      <c r="M724" s="414"/>
      <c r="N724" s="414"/>
      <c r="O724" s="414"/>
      <c r="P724" s="414"/>
      <c r="Q724" s="414"/>
    </row>
    <row r="725" spans="1:17" s="32" customFormat="1" ht="21.75" customHeight="1">
      <c r="A725" s="411">
        <v>844</v>
      </c>
      <c r="B725" s="413" t="s">
        <v>4528</v>
      </c>
      <c r="C725" s="413"/>
      <c r="D725" s="413"/>
      <c r="E725" s="413" t="s">
        <v>10464</v>
      </c>
      <c r="F725" s="411" t="s">
        <v>1597</v>
      </c>
      <c r="G725" s="411" t="s">
        <v>213</v>
      </c>
      <c r="H725" s="411" t="s">
        <v>10465</v>
      </c>
      <c r="I725" s="411" t="s">
        <v>658</v>
      </c>
      <c r="J725" s="411" t="s">
        <v>10466</v>
      </c>
      <c r="K725" s="414">
        <v>37000</v>
      </c>
      <c r="L725" s="415">
        <v>0</v>
      </c>
      <c r="M725" s="414"/>
      <c r="N725" s="414"/>
      <c r="O725" s="414"/>
      <c r="P725" s="414"/>
      <c r="Q725" s="414"/>
    </row>
    <row r="726" spans="1:17" s="32" customFormat="1" ht="19.5" customHeight="1">
      <c r="A726" s="411">
        <v>845</v>
      </c>
      <c r="B726" s="412" t="s">
        <v>10467</v>
      </c>
      <c r="C726" s="413"/>
      <c r="D726" s="413"/>
      <c r="E726" s="413" t="s">
        <v>3171</v>
      </c>
      <c r="F726" s="411" t="s">
        <v>3172</v>
      </c>
      <c r="G726" s="411" t="s">
        <v>6694</v>
      </c>
      <c r="H726" s="411" t="s">
        <v>10468</v>
      </c>
      <c r="I726" s="411" t="s">
        <v>12</v>
      </c>
      <c r="J726" s="411" t="s">
        <v>10469</v>
      </c>
      <c r="K726" s="414">
        <v>2200</v>
      </c>
      <c r="L726" s="415">
        <v>21</v>
      </c>
      <c r="M726" s="414"/>
      <c r="N726" s="414"/>
      <c r="O726" s="414"/>
      <c r="P726" s="414"/>
      <c r="Q726" s="414"/>
    </row>
    <row r="727" spans="1:17" s="32" customFormat="1" ht="19.5" customHeight="1">
      <c r="A727" s="411">
        <v>847</v>
      </c>
      <c r="B727" s="412" t="s">
        <v>1661</v>
      </c>
      <c r="C727" s="413"/>
      <c r="D727" s="413"/>
      <c r="E727" s="413" t="s">
        <v>10470</v>
      </c>
      <c r="F727" s="411" t="s">
        <v>10471</v>
      </c>
      <c r="G727" s="411" t="s">
        <v>6694</v>
      </c>
      <c r="H727" s="411" t="s">
        <v>225</v>
      </c>
      <c r="I727" s="411" t="s">
        <v>10</v>
      </c>
      <c r="J727" s="411" t="s">
        <v>2917</v>
      </c>
      <c r="K727" s="414">
        <v>176</v>
      </c>
      <c r="L727" s="415">
        <v>0</v>
      </c>
      <c r="M727" s="414"/>
      <c r="N727" s="414"/>
      <c r="O727" s="414"/>
      <c r="P727" s="414"/>
      <c r="Q727" s="414"/>
    </row>
    <row r="728" spans="1:17" s="32" customFormat="1" ht="19.5" customHeight="1">
      <c r="A728" s="411">
        <v>848</v>
      </c>
      <c r="B728" s="412" t="s">
        <v>1661</v>
      </c>
      <c r="C728" s="413"/>
      <c r="D728" s="413"/>
      <c r="E728" s="413" t="s">
        <v>10470</v>
      </c>
      <c r="F728" s="411" t="s">
        <v>10472</v>
      </c>
      <c r="G728" s="411" t="s">
        <v>213</v>
      </c>
      <c r="H728" s="411" t="s">
        <v>225</v>
      </c>
      <c r="I728" s="411" t="s">
        <v>11</v>
      </c>
      <c r="J728" s="411" t="s">
        <v>9063</v>
      </c>
      <c r="K728" s="414">
        <v>257</v>
      </c>
      <c r="L728" s="415">
        <v>0</v>
      </c>
      <c r="M728" s="414"/>
      <c r="N728" s="414"/>
      <c r="O728" s="414"/>
      <c r="P728" s="414"/>
      <c r="Q728" s="414"/>
    </row>
    <row r="729" spans="1:17" s="32" customFormat="1" ht="19.5" customHeight="1">
      <c r="A729" s="411">
        <v>850</v>
      </c>
      <c r="B729" s="413" t="s">
        <v>1618</v>
      </c>
      <c r="C729" s="413"/>
      <c r="D729" s="413"/>
      <c r="E729" s="413" t="s">
        <v>10473</v>
      </c>
      <c r="F729" s="411" t="s">
        <v>10474</v>
      </c>
      <c r="G729" s="411" t="s">
        <v>5105</v>
      </c>
      <c r="H729" s="411" t="s">
        <v>1232</v>
      </c>
      <c r="I729" s="411" t="s">
        <v>11</v>
      </c>
      <c r="J729" s="411" t="s">
        <v>9063</v>
      </c>
      <c r="K729" s="414">
        <v>1430</v>
      </c>
      <c r="L729" s="415">
        <v>9000</v>
      </c>
      <c r="M729" s="414"/>
      <c r="N729" s="414"/>
      <c r="O729" s="414"/>
      <c r="P729" s="414"/>
      <c r="Q729" s="414"/>
    </row>
    <row r="730" spans="1:17" s="32" customFormat="1" ht="19.5" customHeight="1">
      <c r="A730" s="411">
        <v>851</v>
      </c>
      <c r="B730" s="412" t="s">
        <v>1661</v>
      </c>
      <c r="C730" s="416"/>
      <c r="D730" s="416"/>
      <c r="E730" s="412" t="s">
        <v>10475</v>
      </c>
      <c r="F730" s="417" t="s">
        <v>10476</v>
      </c>
      <c r="G730" s="417" t="s">
        <v>6694</v>
      </c>
      <c r="H730" s="417" t="s">
        <v>225</v>
      </c>
      <c r="I730" s="417" t="s">
        <v>11</v>
      </c>
      <c r="J730" s="417" t="s">
        <v>9733</v>
      </c>
      <c r="K730" s="418">
        <v>540</v>
      </c>
      <c r="L730" s="419">
        <v>0</v>
      </c>
      <c r="M730" s="418"/>
      <c r="N730" s="414"/>
      <c r="O730" s="414"/>
      <c r="P730" s="418"/>
      <c r="Q730" s="418"/>
    </row>
    <row r="731" spans="1:17" s="32" customFormat="1" ht="19.5" customHeight="1">
      <c r="A731" s="411">
        <v>855</v>
      </c>
      <c r="B731" s="413" t="s">
        <v>821</v>
      </c>
      <c r="C731" s="413"/>
      <c r="D731" s="413"/>
      <c r="E731" s="413" t="s">
        <v>822</v>
      </c>
      <c r="F731" s="411" t="s">
        <v>10477</v>
      </c>
      <c r="G731" s="411" t="s">
        <v>213</v>
      </c>
      <c r="H731" s="411" t="s">
        <v>272</v>
      </c>
      <c r="I731" s="411" t="s">
        <v>11</v>
      </c>
      <c r="J731" s="411" t="s">
        <v>2204</v>
      </c>
      <c r="K731" s="414">
        <v>147</v>
      </c>
      <c r="L731" s="415">
        <v>2000</v>
      </c>
      <c r="M731" s="414"/>
      <c r="N731" s="414"/>
      <c r="O731" s="414"/>
      <c r="P731" s="414"/>
      <c r="Q731" s="414"/>
    </row>
    <row r="732" spans="1:17" s="32" customFormat="1" ht="19.5" customHeight="1">
      <c r="A732" s="411">
        <v>852</v>
      </c>
      <c r="B732" s="412" t="s">
        <v>10478</v>
      </c>
      <c r="C732" s="413"/>
      <c r="D732" s="413"/>
      <c r="E732" s="413" t="s">
        <v>822</v>
      </c>
      <c r="F732" s="411" t="s">
        <v>10479</v>
      </c>
      <c r="G732" s="411" t="s">
        <v>6694</v>
      </c>
      <c r="H732" s="411" t="s">
        <v>272</v>
      </c>
      <c r="I732" s="411" t="s">
        <v>11</v>
      </c>
      <c r="J732" s="411" t="s">
        <v>2432</v>
      </c>
      <c r="K732" s="414">
        <v>147</v>
      </c>
      <c r="L732" s="415">
        <v>0</v>
      </c>
      <c r="M732" s="414"/>
      <c r="N732" s="414"/>
      <c r="O732" s="414"/>
      <c r="P732" s="414"/>
      <c r="Q732" s="414"/>
    </row>
    <row r="733" spans="1:17" s="32" customFormat="1" ht="19.5" customHeight="1">
      <c r="A733" s="411">
        <v>853</v>
      </c>
      <c r="B733" s="412" t="s">
        <v>10478</v>
      </c>
      <c r="C733" s="413"/>
      <c r="D733" s="413"/>
      <c r="E733" s="413" t="s">
        <v>822</v>
      </c>
      <c r="F733" s="411" t="s">
        <v>10480</v>
      </c>
      <c r="G733" s="411" t="s">
        <v>213</v>
      </c>
      <c r="H733" s="411" t="s">
        <v>272</v>
      </c>
      <c r="I733" s="411" t="s">
        <v>9115</v>
      </c>
      <c r="J733" s="411" t="s">
        <v>9063</v>
      </c>
      <c r="K733" s="414">
        <v>170</v>
      </c>
      <c r="L733" s="415">
        <v>0</v>
      </c>
      <c r="M733" s="414"/>
      <c r="N733" s="414"/>
      <c r="O733" s="414"/>
      <c r="P733" s="414"/>
      <c r="Q733" s="414"/>
    </row>
    <row r="734" spans="1:17" s="32" customFormat="1" ht="19.5" customHeight="1">
      <c r="A734" s="411">
        <v>856</v>
      </c>
      <c r="B734" s="412" t="s">
        <v>10481</v>
      </c>
      <c r="C734" s="413"/>
      <c r="D734" s="413"/>
      <c r="E734" s="413" t="s">
        <v>10482</v>
      </c>
      <c r="F734" s="411" t="s">
        <v>10483</v>
      </c>
      <c r="G734" s="411" t="s">
        <v>10177</v>
      </c>
      <c r="H734" s="411" t="s">
        <v>10484</v>
      </c>
      <c r="I734" s="411" t="s">
        <v>520</v>
      </c>
      <c r="J734" s="411" t="s">
        <v>2654</v>
      </c>
      <c r="K734" s="414">
        <v>18596</v>
      </c>
      <c r="L734" s="415">
        <v>5</v>
      </c>
      <c r="M734" s="414"/>
      <c r="N734" s="414"/>
      <c r="O734" s="414"/>
      <c r="P734" s="414"/>
      <c r="Q734" s="414"/>
    </row>
    <row r="735" spans="1:17" s="32" customFormat="1" ht="19.5" customHeight="1">
      <c r="A735" s="411">
        <v>859</v>
      </c>
      <c r="B735" s="413" t="s">
        <v>270</v>
      </c>
      <c r="C735" s="413"/>
      <c r="D735" s="413"/>
      <c r="E735" s="413" t="s">
        <v>271</v>
      </c>
      <c r="F735" s="411" t="s">
        <v>10485</v>
      </c>
      <c r="G735" s="411" t="s">
        <v>5222</v>
      </c>
      <c r="H735" s="411" t="s">
        <v>272</v>
      </c>
      <c r="I735" s="411" t="s">
        <v>11</v>
      </c>
      <c r="J735" s="411" t="s">
        <v>2212</v>
      </c>
      <c r="K735" s="414">
        <v>1680</v>
      </c>
      <c r="L735" s="415">
        <v>0</v>
      </c>
      <c r="M735" s="414"/>
      <c r="N735" s="414"/>
      <c r="O735" s="414"/>
      <c r="P735" s="414"/>
      <c r="Q735" s="414"/>
    </row>
    <row r="736" spans="1:17" s="32" customFormat="1" ht="19.5" customHeight="1">
      <c r="A736" s="411">
        <v>857</v>
      </c>
      <c r="B736" s="412" t="s">
        <v>10486</v>
      </c>
      <c r="C736" s="413"/>
      <c r="D736" s="413"/>
      <c r="E736" s="413" t="s">
        <v>271</v>
      </c>
      <c r="F736" s="411" t="s">
        <v>10487</v>
      </c>
      <c r="G736" s="411" t="s">
        <v>5222</v>
      </c>
      <c r="H736" s="411" t="s">
        <v>272</v>
      </c>
      <c r="I736" s="411" t="s">
        <v>11</v>
      </c>
      <c r="J736" s="411" t="s">
        <v>10488</v>
      </c>
      <c r="K736" s="414">
        <v>1500</v>
      </c>
      <c r="L736" s="415">
        <v>0</v>
      </c>
      <c r="M736" s="414"/>
      <c r="N736" s="414"/>
      <c r="O736" s="414"/>
      <c r="P736" s="414"/>
      <c r="Q736" s="414"/>
    </row>
    <row r="737" spans="1:17" s="32" customFormat="1" ht="19.5" customHeight="1">
      <c r="A737" s="411">
        <v>858</v>
      </c>
      <c r="B737" s="412" t="s">
        <v>10486</v>
      </c>
      <c r="C737" s="416"/>
      <c r="D737" s="416"/>
      <c r="E737" s="412" t="s">
        <v>271</v>
      </c>
      <c r="F737" s="417" t="s">
        <v>10487</v>
      </c>
      <c r="G737" s="417" t="s">
        <v>5222</v>
      </c>
      <c r="H737" s="417" t="s">
        <v>272</v>
      </c>
      <c r="I737" s="417" t="s">
        <v>11</v>
      </c>
      <c r="J737" s="417" t="s">
        <v>10488</v>
      </c>
      <c r="K737" s="418">
        <v>1785</v>
      </c>
      <c r="L737" s="419">
        <v>0</v>
      </c>
      <c r="M737" s="418"/>
      <c r="N737" s="414"/>
      <c r="O737" s="414"/>
      <c r="P737" s="418"/>
      <c r="Q737" s="418"/>
    </row>
    <row r="738" spans="1:17" s="32" customFormat="1" ht="19.5" customHeight="1">
      <c r="A738" s="411">
        <v>860</v>
      </c>
      <c r="B738" s="413" t="s">
        <v>1356</v>
      </c>
      <c r="C738" s="413"/>
      <c r="D738" s="413"/>
      <c r="E738" s="413" t="s">
        <v>10489</v>
      </c>
      <c r="F738" s="411" t="s">
        <v>3174</v>
      </c>
      <c r="G738" s="411" t="s">
        <v>213</v>
      </c>
      <c r="H738" s="411" t="s">
        <v>1767</v>
      </c>
      <c r="I738" s="411" t="s">
        <v>520</v>
      </c>
      <c r="J738" s="411" t="s">
        <v>2654</v>
      </c>
      <c r="K738" s="414">
        <v>1544</v>
      </c>
      <c r="L738" s="415">
        <v>219</v>
      </c>
      <c r="M738" s="414"/>
      <c r="N738" s="414"/>
      <c r="O738" s="414"/>
      <c r="P738" s="414"/>
      <c r="Q738" s="414"/>
    </row>
    <row r="739" spans="1:17" s="32" customFormat="1" ht="19.5" customHeight="1">
      <c r="A739" s="411">
        <v>862</v>
      </c>
      <c r="B739" s="412" t="s">
        <v>3176</v>
      </c>
      <c r="C739" s="416"/>
      <c r="D739" s="416"/>
      <c r="E739" s="412" t="s">
        <v>2582</v>
      </c>
      <c r="F739" s="417" t="s">
        <v>3177</v>
      </c>
      <c r="G739" s="417" t="s">
        <v>6694</v>
      </c>
      <c r="H739" s="417" t="s">
        <v>272</v>
      </c>
      <c r="I739" s="417" t="s">
        <v>11</v>
      </c>
      <c r="J739" s="417" t="s">
        <v>10490</v>
      </c>
      <c r="K739" s="418">
        <v>116</v>
      </c>
      <c r="L739" s="419">
        <v>79</v>
      </c>
      <c r="M739" s="418"/>
      <c r="N739" s="414"/>
      <c r="O739" s="414"/>
      <c r="P739" s="418"/>
      <c r="Q739" s="418"/>
    </row>
    <row r="740" spans="1:17" s="32" customFormat="1" ht="19.5" customHeight="1">
      <c r="A740" s="411">
        <v>861</v>
      </c>
      <c r="B740" s="412" t="s">
        <v>3176</v>
      </c>
      <c r="C740" s="413"/>
      <c r="D740" s="413"/>
      <c r="E740" s="413" t="s">
        <v>2582</v>
      </c>
      <c r="F740" s="411" t="s">
        <v>10491</v>
      </c>
      <c r="G740" s="411" t="s">
        <v>213</v>
      </c>
      <c r="H740" s="411" t="s">
        <v>272</v>
      </c>
      <c r="I740" s="411" t="s">
        <v>11</v>
      </c>
      <c r="J740" s="411" t="s">
        <v>9063</v>
      </c>
      <c r="K740" s="414">
        <v>189</v>
      </c>
      <c r="L740" s="415">
        <v>200</v>
      </c>
      <c r="M740" s="414"/>
      <c r="N740" s="414"/>
      <c r="O740" s="414"/>
      <c r="P740" s="414"/>
      <c r="Q740" s="414"/>
    </row>
    <row r="741" spans="1:17" s="32" customFormat="1" ht="19.5" customHeight="1">
      <c r="A741" s="411">
        <v>863</v>
      </c>
      <c r="B741" s="412" t="s">
        <v>3251</v>
      </c>
      <c r="C741" s="413"/>
      <c r="D741" s="413"/>
      <c r="E741" s="413" t="s">
        <v>10492</v>
      </c>
      <c r="F741" s="411" t="s">
        <v>3253</v>
      </c>
      <c r="G741" s="411" t="s">
        <v>213</v>
      </c>
      <c r="H741" s="411" t="s">
        <v>444</v>
      </c>
      <c r="I741" s="411" t="s">
        <v>15</v>
      </c>
      <c r="J741" s="411" t="s">
        <v>9724</v>
      </c>
      <c r="K741" s="414">
        <v>13900</v>
      </c>
      <c r="L741" s="415">
        <v>21</v>
      </c>
      <c r="M741" s="414"/>
      <c r="N741" s="414"/>
      <c r="O741" s="414"/>
      <c r="P741" s="414"/>
      <c r="Q741" s="414"/>
    </row>
    <row r="742" spans="1:17" s="32" customFormat="1" ht="19.5" customHeight="1">
      <c r="A742" s="411">
        <v>864</v>
      </c>
      <c r="B742" s="412" t="s">
        <v>765</v>
      </c>
      <c r="C742" s="413"/>
      <c r="D742" s="413"/>
      <c r="E742" s="413" t="s">
        <v>10493</v>
      </c>
      <c r="F742" s="411" t="s">
        <v>10494</v>
      </c>
      <c r="G742" s="411" t="s">
        <v>213</v>
      </c>
      <c r="H742" s="411" t="s">
        <v>272</v>
      </c>
      <c r="I742" s="411" t="s">
        <v>10</v>
      </c>
      <c r="J742" s="411" t="s">
        <v>10495</v>
      </c>
      <c r="K742" s="414">
        <v>1260</v>
      </c>
      <c r="L742" s="415">
        <v>0</v>
      </c>
      <c r="M742" s="414"/>
      <c r="N742" s="414"/>
      <c r="O742" s="414"/>
      <c r="P742" s="414"/>
      <c r="Q742" s="414"/>
    </row>
    <row r="743" spans="1:17" s="32" customFormat="1" ht="19.5" customHeight="1">
      <c r="A743" s="411">
        <v>865</v>
      </c>
      <c r="B743" s="412" t="s">
        <v>638</v>
      </c>
      <c r="C743" s="413"/>
      <c r="D743" s="413"/>
      <c r="E743" s="413" t="s">
        <v>10496</v>
      </c>
      <c r="F743" s="411" t="s">
        <v>10497</v>
      </c>
      <c r="G743" s="411" t="s">
        <v>213</v>
      </c>
      <c r="H743" s="411" t="s">
        <v>10498</v>
      </c>
      <c r="I743" s="411" t="s">
        <v>13</v>
      </c>
      <c r="J743" s="411" t="s">
        <v>2919</v>
      </c>
      <c r="K743" s="414">
        <v>2800</v>
      </c>
      <c r="L743" s="415">
        <v>0</v>
      </c>
      <c r="M743" s="414"/>
      <c r="N743" s="414"/>
      <c r="O743" s="414"/>
      <c r="P743" s="414"/>
      <c r="Q743" s="414"/>
    </row>
    <row r="744" spans="1:17" s="32" customFormat="1" ht="19.5" customHeight="1">
      <c r="A744" s="411">
        <v>866</v>
      </c>
      <c r="B744" s="413" t="s">
        <v>583</v>
      </c>
      <c r="C744" s="413"/>
      <c r="D744" s="413"/>
      <c r="E744" s="413" t="s">
        <v>10499</v>
      </c>
      <c r="F744" s="411" t="s">
        <v>10500</v>
      </c>
      <c r="G744" s="411" t="s">
        <v>213</v>
      </c>
      <c r="H744" s="411" t="s">
        <v>222</v>
      </c>
      <c r="I744" s="411" t="s">
        <v>11</v>
      </c>
      <c r="J744" s="411" t="s">
        <v>815</v>
      </c>
      <c r="K744" s="414">
        <v>319</v>
      </c>
      <c r="L744" s="415">
        <v>0</v>
      </c>
      <c r="M744" s="414"/>
      <c r="N744" s="414"/>
      <c r="O744" s="414"/>
      <c r="P744" s="414"/>
      <c r="Q744" s="414"/>
    </row>
    <row r="745" spans="1:17" s="32" customFormat="1" ht="19.5" customHeight="1">
      <c r="A745" s="411">
        <v>867</v>
      </c>
      <c r="B745" s="412" t="s">
        <v>10501</v>
      </c>
      <c r="C745" s="413"/>
      <c r="D745" s="413"/>
      <c r="E745" s="413" t="s">
        <v>10502</v>
      </c>
      <c r="F745" s="411" t="s">
        <v>10503</v>
      </c>
      <c r="G745" s="411" t="s">
        <v>6694</v>
      </c>
      <c r="H745" s="411" t="s">
        <v>869</v>
      </c>
      <c r="I745" s="411" t="s">
        <v>10</v>
      </c>
      <c r="J745" s="411" t="s">
        <v>842</v>
      </c>
      <c r="K745" s="414">
        <v>1092</v>
      </c>
      <c r="L745" s="415">
        <v>0</v>
      </c>
      <c r="M745" s="414"/>
      <c r="N745" s="414"/>
      <c r="O745" s="414"/>
      <c r="P745" s="414"/>
      <c r="Q745" s="414"/>
    </row>
    <row r="746" spans="1:17" s="32" customFormat="1" ht="19.5" customHeight="1">
      <c r="A746" s="411">
        <v>869</v>
      </c>
      <c r="B746" s="413" t="s">
        <v>1419</v>
      </c>
      <c r="C746" s="413"/>
      <c r="D746" s="413"/>
      <c r="E746" s="413" t="s">
        <v>10504</v>
      </c>
      <c r="F746" s="411" t="s">
        <v>3183</v>
      </c>
      <c r="G746" s="411" t="s">
        <v>213</v>
      </c>
      <c r="H746" s="411" t="s">
        <v>1421</v>
      </c>
      <c r="I746" s="411" t="s">
        <v>11</v>
      </c>
      <c r="J746" s="411" t="s">
        <v>842</v>
      </c>
      <c r="K746" s="414">
        <v>5000</v>
      </c>
      <c r="L746" s="415">
        <v>0</v>
      </c>
      <c r="M746" s="414"/>
      <c r="N746" s="414"/>
      <c r="O746" s="414"/>
      <c r="P746" s="414"/>
      <c r="Q746" s="414"/>
    </row>
    <row r="747" spans="1:17" s="32" customFormat="1" ht="19.5" customHeight="1">
      <c r="A747" s="411">
        <v>870</v>
      </c>
      <c r="B747" s="412" t="s">
        <v>10505</v>
      </c>
      <c r="C747" s="413"/>
      <c r="D747" s="413"/>
      <c r="E747" s="413" t="s">
        <v>10506</v>
      </c>
      <c r="F747" s="411" t="s">
        <v>2002</v>
      </c>
      <c r="G747" s="411" t="s">
        <v>6694</v>
      </c>
      <c r="H747" s="411" t="s">
        <v>2001</v>
      </c>
      <c r="I747" s="411" t="s">
        <v>11</v>
      </c>
      <c r="J747" s="411" t="s">
        <v>842</v>
      </c>
      <c r="K747" s="414">
        <v>3465</v>
      </c>
      <c r="L747" s="415">
        <v>0</v>
      </c>
      <c r="M747" s="414"/>
      <c r="N747" s="414"/>
      <c r="O747" s="414"/>
      <c r="P747" s="414"/>
      <c r="Q747" s="414"/>
    </row>
    <row r="748" spans="1:17" s="32" customFormat="1" ht="19.5" customHeight="1">
      <c r="A748" s="411">
        <v>871</v>
      </c>
      <c r="B748" s="412" t="s">
        <v>10425</v>
      </c>
      <c r="C748" s="413"/>
      <c r="D748" s="413"/>
      <c r="E748" s="413" t="s">
        <v>10507</v>
      </c>
      <c r="F748" s="411" t="s">
        <v>10508</v>
      </c>
      <c r="G748" s="411" t="s">
        <v>213</v>
      </c>
      <c r="H748" s="411" t="s">
        <v>641</v>
      </c>
      <c r="I748" s="411" t="s">
        <v>11</v>
      </c>
      <c r="J748" s="411" t="s">
        <v>9063</v>
      </c>
      <c r="K748" s="414">
        <v>2730</v>
      </c>
      <c r="L748" s="415">
        <v>0</v>
      </c>
      <c r="M748" s="414"/>
      <c r="N748" s="414"/>
      <c r="O748" s="414"/>
      <c r="P748" s="414"/>
      <c r="Q748" s="414"/>
    </row>
    <row r="749" spans="1:17" s="32" customFormat="1" ht="19.5" customHeight="1">
      <c r="A749" s="411">
        <v>873</v>
      </c>
      <c r="B749" s="412" t="s">
        <v>10505</v>
      </c>
      <c r="C749" s="413"/>
      <c r="D749" s="413"/>
      <c r="E749" s="413" t="s">
        <v>10509</v>
      </c>
      <c r="F749" s="411" t="s">
        <v>2118</v>
      </c>
      <c r="G749" s="411" t="s">
        <v>5105</v>
      </c>
      <c r="H749" s="411" t="s">
        <v>2117</v>
      </c>
      <c r="I749" s="411" t="s">
        <v>10</v>
      </c>
      <c r="J749" s="411" t="s">
        <v>9376</v>
      </c>
      <c r="K749" s="414">
        <v>10387</v>
      </c>
      <c r="L749" s="415">
        <v>3708</v>
      </c>
      <c r="M749" s="414"/>
      <c r="N749" s="414"/>
      <c r="O749" s="414"/>
      <c r="P749" s="414"/>
      <c r="Q749" s="414"/>
    </row>
    <row r="750" spans="1:17" s="32" customFormat="1" ht="19.5" customHeight="1">
      <c r="A750" s="411">
        <v>875</v>
      </c>
      <c r="B750" s="413" t="s">
        <v>683</v>
      </c>
      <c r="C750" s="413"/>
      <c r="D750" s="413"/>
      <c r="E750" s="413" t="s">
        <v>10510</v>
      </c>
      <c r="F750" s="411" t="s">
        <v>3189</v>
      </c>
      <c r="G750" s="411" t="s">
        <v>213</v>
      </c>
      <c r="H750" s="411" t="s">
        <v>1918</v>
      </c>
      <c r="I750" s="411" t="s">
        <v>13</v>
      </c>
      <c r="J750" s="411" t="s">
        <v>9063</v>
      </c>
      <c r="K750" s="414">
        <v>1638</v>
      </c>
      <c r="L750" s="415">
        <v>3583</v>
      </c>
      <c r="M750" s="414"/>
      <c r="N750" s="414"/>
      <c r="O750" s="414"/>
      <c r="P750" s="414"/>
      <c r="Q750" s="414"/>
    </row>
    <row r="751" spans="1:17" s="32" customFormat="1" ht="19.5" customHeight="1">
      <c r="A751" s="411"/>
      <c r="B751" s="412"/>
      <c r="C751" s="413"/>
      <c r="D751" s="413"/>
      <c r="E751" s="413" t="s">
        <v>10511</v>
      </c>
      <c r="F751" s="422" t="s">
        <v>10512</v>
      </c>
      <c r="G751" s="411" t="s">
        <v>213</v>
      </c>
      <c r="H751" s="411" t="s">
        <v>262</v>
      </c>
      <c r="I751" s="411" t="s">
        <v>11</v>
      </c>
      <c r="J751" s="411" t="s">
        <v>9063</v>
      </c>
      <c r="K751" s="414">
        <v>4410</v>
      </c>
      <c r="L751" s="415">
        <v>80</v>
      </c>
      <c r="M751" s="414"/>
      <c r="N751" s="414"/>
      <c r="O751" s="414"/>
      <c r="P751" s="414"/>
      <c r="Q751" s="414"/>
    </row>
    <row r="752" spans="1:17" s="32" customFormat="1" ht="19.5" customHeight="1">
      <c r="A752" s="411">
        <v>876</v>
      </c>
      <c r="B752" s="413" t="s">
        <v>683</v>
      </c>
      <c r="C752" s="413"/>
      <c r="D752" s="413"/>
      <c r="E752" s="413" t="s">
        <v>3636</v>
      </c>
      <c r="F752" s="411" t="s">
        <v>3192</v>
      </c>
      <c r="G752" s="411" t="s">
        <v>213</v>
      </c>
      <c r="H752" s="411" t="s">
        <v>2585</v>
      </c>
      <c r="I752" s="411" t="s">
        <v>11</v>
      </c>
      <c r="J752" s="411" t="s">
        <v>9063</v>
      </c>
      <c r="K752" s="414">
        <v>2709</v>
      </c>
      <c r="L752" s="415">
        <v>598</v>
      </c>
      <c r="M752" s="414"/>
      <c r="N752" s="414"/>
      <c r="O752" s="414"/>
      <c r="P752" s="414"/>
      <c r="Q752" s="414"/>
    </row>
    <row r="753" spans="1:17" s="32" customFormat="1" ht="19.5" customHeight="1">
      <c r="A753" s="411">
        <v>877</v>
      </c>
      <c r="B753" s="413" t="s">
        <v>683</v>
      </c>
      <c r="C753" s="413"/>
      <c r="D753" s="413"/>
      <c r="E753" s="413" t="s">
        <v>10513</v>
      </c>
      <c r="F753" s="411" t="s">
        <v>1454</v>
      </c>
      <c r="G753" s="411" t="s">
        <v>213</v>
      </c>
      <c r="H753" s="411" t="s">
        <v>2586</v>
      </c>
      <c r="I753" s="411" t="s">
        <v>11</v>
      </c>
      <c r="J753" s="411" t="s">
        <v>9063</v>
      </c>
      <c r="K753" s="414">
        <v>3900</v>
      </c>
      <c r="L753" s="415">
        <v>0</v>
      </c>
      <c r="M753" s="414"/>
      <c r="N753" s="414"/>
      <c r="O753" s="414"/>
      <c r="P753" s="414"/>
      <c r="Q753" s="414"/>
    </row>
    <row r="754" spans="1:17" s="32" customFormat="1" ht="19.5" customHeight="1">
      <c r="A754" s="411">
        <v>878</v>
      </c>
      <c r="B754" s="413" t="s">
        <v>1970</v>
      </c>
      <c r="C754" s="413"/>
      <c r="D754" s="413"/>
      <c r="E754" s="413" t="s">
        <v>3637</v>
      </c>
      <c r="F754" s="411" t="s">
        <v>1973</v>
      </c>
      <c r="G754" s="411" t="s">
        <v>213</v>
      </c>
      <c r="H754" s="411" t="s">
        <v>1972</v>
      </c>
      <c r="I754" s="411" t="s">
        <v>11</v>
      </c>
      <c r="J754" s="411" t="s">
        <v>9063</v>
      </c>
      <c r="K754" s="414">
        <v>1950</v>
      </c>
      <c r="L754" s="415">
        <v>5909</v>
      </c>
      <c r="M754" s="414"/>
      <c r="N754" s="414"/>
      <c r="O754" s="414"/>
      <c r="P754" s="414"/>
      <c r="Q754" s="414"/>
    </row>
    <row r="755" spans="1:17" s="32" customFormat="1" ht="19.5" customHeight="1">
      <c r="A755" s="411">
        <v>879</v>
      </c>
      <c r="B755" s="424" t="s">
        <v>9433</v>
      </c>
      <c r="C755" s="425"/>
      <c r="D755" s="426"/>
      <c r="E755" s="427" t="s">
        <v>3638</v>
      </c>
      <c r="F755" s="425" t="s">
        <v>10514</v>
      </c>
      <c r="G755" s="428" t="s">
        <v>5693</v>
      </c>
      <c r="H755" s="425" t="s">
        <v>248</v>
      </c>
      <c r="I755" s="425" t="s">
        <v>11</v>
      </c>
      <c r="J755" s="411" t="s">
        <v>9063</v>
      </c>
      <c r="K755" s="429">
        <v>595</v>
      </c>
      <c r="L755" s="430">
        <v>6731</v>
      </c>
      <c r="M755" s="429"/>
      <c r="N755" s="414"/>
      <c r="O755" s="414"/>
      <c r="P755" s="431"/>
      <c r="Q755" s="431"/>
    </row>
    <row r="756" spans="1:17" s="32" customFormat="1" ht="19.5" customHeight="1">
      <c r="A756" s="411">
        <v>880</v>
      </c>
      <c r="B756" s="413" t="s">
        <v>10515</v>
      </c>
      <c r="C756" s="413"/>
      <c r="D756" s="413"/>
      <c r="E756" s="413" t="s">
        <v>149</v>
      </c>
      <c r="F756" s="411" t="s">
        <v>2356</v>
      </c>
      <c r="G756" s="411" t="s">
        <v>213</v>
      </c>
      <c r="H756" s="411" t="s">
        <v>10516</v>
      </c>
      <c r="I756" s="411" t="s">
        <v>11</v>
      </c>
      <c r="J756" s="411" t="s">
        <v>9063</v>
      </c>
      <c r="K756" s="414">
        <v>1155</v>
      </c>
      <c r="L756" s="415">
        <v>9220</v>
      </c>
      <c r="M756" s="414"/>
      <c r="N756" s="414"/>
      <c r="O756" s="414"/>
      <c r="P756" s="414"/>
      <c r="Q756" s="414"/>
    </row>
    <row r="757" spans="1:17" s="32" customFormat="1" ht="19.5" customHeight="1">
      <c r="A757" s="411">
        <v>881</v>
      </c>
      <c r="B757" s="412" t="s">
        <v>3092</v>
      </c>
      <c r="C757" s="416"/>
      <c r="D757" s="416"/>
      <c r="E757" s="412" t="s">
        <v>10517</v>
      </c>
      <c r="F757" s="417" t="s">
        <v>10518</v>
      </c>
      <c r="G757" s="417" t="s">
        <v>9867</v>
      </c>
      <c r="H757" s="417" t="s">
        <v>238</v>
      </c>
      <c r="I757" s="417" t="s">
        <v>11</v>
      </c>
      <c r="J757" s="417" t="s">
        <v>815</v>
      </c>
      <c r="K757" s="418">
        <v>3100</v>
      </c>
      <c r="L757" s="419">
        <v>4995</v>
      </c>
      <c r="M757" s="418"/>
      <c r="N757" s="414"/>
      <c r="O757" s="414"/>
      <c r="P757" s="418"/>
      <c r="Q757" s="418"/>
    </row>
    <row r="758" spans="1:17" s="32" customFormat="1" ht="19.5" customHeight="1">
      <c r="A758" s="411">
        <v>882</v>
      </c>
      <c r="B758" s="412" t="s">
        <v>9047</v>
      </c>
      <c r="C758" s="413"/>
      <c r="D758" s="413"/>
      <c r="E758" s="413" t="s">
        <v>10519</v>
      </c>
      <c r="F758" s="411" t="s">
        <v>10520</v>
      </c>
      <c r="G758" s="411" t="s">
        <v>213</v>
      </c>
      <c r="H758" s="411" t="s">
        <v>258</v>
      </c>
      <c r="I758" s="411" t="s">
        <v>13</v>
      </c>
      <c r="J758" s="411" t="s">
        <v>10521</v>
      </c>
      <c r="K758" s="414">
        <v>610</v>
      </c>
      <c r="L758" s="415">
        <v>55</v>
      </c>
      <c r="M758" s="414"/>
      <c r="N758" s="414"/>
      <c r="O758" s="414"/>
      <c r="P758" s="414"/>
      <c r="Q758" s="414"/>
    </row>
    <row r="759" spans="1:17" s="32" customFormat="1" ht="19.5" customHeight="1">
      <c r="A759" s="411">
        <v>883</v>
      </c>
      <c r="B759" s="412" t="s">
        <v>10522</v>
      </c>
      <c r="C759" s="416"/>
      <c r="D759" s="416"/>
      <c r="E759" s="412" t="s">
        <v>10523</v>
      </c>
      <c r="F759" s="417" t="s">
        <v>3200</v>
      </c>
      <c r="G759" s="417" t="s">
        <v>6391</v>
      </c>
      <c r="H759" s="417" t="s">
        <v>3201</v>
      </c>
      <c r="I759" s="417" t="s">
        <v>14</v>
      </c>
      <c r="J759" s="417" t="s">
        <v>8996</v>
      </c>
      <c r="K759" s="418">
        <v>156000</v>
      </c>
      <c r="L759" s="419">
        <v>0</v>
      </c>
      <c r="M759" s="418"/>
      <c r="N759" s="414"/>
      <c r="O759" s="414"/>
      <c r="P759" s="418"/>
      <c r="Q759" s="418"/>
    </row>
    <row r="760" spans="1:17" s="32" customFormat="1" ht="19.5" customHeight="1">
      <c r="A760" s="411">
        <v>884</v>
      </c>
      <c r="B760" s="412" t="s">
        <v>10522</v>
      </c>
      <c r="C760" s="413"/>
      <c r="D760" s="413"/>
      <c r="E760" s="413" t="s">
        <v>10524</v>
      </c>
      <c r="F760" s="411" t="s">
        <v>10525</v>
      </c>
      <c r="G760" s="411" t="s">
        <v>6391</v>
      </c>
      <c r="H760" s="411" t="s">
        <v>10526</v>
      </c>
      <c r="I760" s="411" t="s">
        <v>898</v>
      </c>
      <c r="J760" s="411" t="s">
        <v>8996</v>
      </c>
      <c r="K760" s="414">
        <v>153999</v>
      </c>
      <c r="L760" s="415">
        <v>500</v>
      </c>
      <c r="M760" s="414"/>
      <c r="N760" s="414"/>
      <c r="O760" s="414"/>
      <c r="P760" s="414"/>
      <c r="Q760" s="414"/>
    </row>
    <row r="761" spans="1:17" s="32" customFormat="1" ht="19.5" customHeight="1">
      <c r="A761" s="411">
        <v>886</v>
      </c>
      <c r="B761" s="413" t="s">
        <v>10527</v>
      </c>
      <c r="C761" s="413"/>
      <c r="D761" s="413"/>
      <c r="E761" s="413" t="s">
        <v>10528</v>
      </c>
      <c r="F761" s="411" t="s">
        <v>10529</v>
      </c>
      <c r="G761" s="411" t="s">
        <v>6391</v>
      </c>
      <c r="H761" s="411" t="s">
        <v>10530</v>
      </c>
      <c r="I761" s="411" t="s">
        <v>898</v>
      </c>
      <c r="J761" s="411" t="s">
        <v>8996</v>
      </c>
      <c r="K761" s="414">
        <v>153999</v>
      </c>
      <c r="L761" s="415">
        <v>0</v>
      </c>
      <c r="M761" s="414"/>
      <c r="N761" s="414"/>
      <c r="O761" s="414"/>
      <c r="P761" s="414"/>
      <c r="Q761" s="414"/>
    </row>
    <row r="762" spans="1:17" s="32" customFormat="1" ht="19.5" customHeight="1">
      <c r="A762" s="411">
        <v>887</v>
      </c>
      <c r="B762" s="412" t="s">
        <v>353</v>
      </c>
      <c r="C762" s="413"/>
      <c r="D762" s="413"/>
      <c r="E762" s="413" t="s">
        <v>3640</v>
      </c>
      <c r="F762" s="411" t="s">
        <v>525</v>
      </c>
      <c r="G762" s="411" t="s">
        <v>5121</v>
      </c>
      <c r="H762" s="411" t="s">
        <v>524</v>
      </c>
      <c r="I762" s="411" t="s">
        <v>628</v>
      </c>
      <c r="J762" s="411" t="s">
        <v>3203</v>
      </c>
      <c r="K762" s="414">
        <v>21945</v>
      </c>
      <c r="L762" s="415">
        <v>10</v>
      </c>
      <c r="M762" s="414"/>
      <c r="N762" s="414"/>
      <c r="O762" s="414"/>
      <c r="P762" s="414"/>
      <c r="Q762" s="414"/>
    </row>
    <row r="763" spans="1:17" s="32" customFormat="1" ht="19.5" customHeight="1">
      <c r="A763" s="411">
        <v>888</v>
      </c>
      <c r="B763" s="412" t="s">
        <v>10531</v>
      </c>
      <c r="C763" s="413"/>
      <c r="D763" s="413"/>
      <c r="E763" s="413" t="s">
        <v>10532</v>
      </c>
      <c r="F763" s="411" t="s">
        <v>10533</v>
      </c>
      <c r="G763" s="411" t="s">
        <v>6694</v>
      </c>
      <c r="H763" s="411" t="s">
        <v>10308</v>
      </c>
      <c r="I763" s="411" t="s">
        <v>11</v>
      </c>
      <c r="J763" s="411" t="s">
        <v>804</v>
      </c>
      <c r="K763" s="414">
        <v>2650</v>
      </c>
      <c r="L763" s="415">
        <v>50</v>
      </c>
      <c r="M763" s="414"/>
      <c r="N763" s="414"/>
      <c r="O763" s="414"/>
      <c r="P763" s="414"/>
      <c r="Q763" s="414"/>
    </row>
    <row r="764" spans="1:17" s="32" customFormat="1" ht="19.5" customHeight="1">
      <c r="A764" s="411">
        <v>891</v>
      </c>
      <c r="B764" s="412" t="s">
        <v>3092</v>
      </c>
      <c r="C764" s="416"/>
      <c r="D764" s="416"/>
      <c r="E764" s="412" t="s">
        <v>10534</v>
      </c>
      <c r="F764" s="417" t="s">
        <v>3205</v>
      </c>
      <c r="G764" s="417" t="s">
        <v>5217</v>
      </c>
      <c r="H764" s="417" t="s">
        <v>238</v>
      </c>
      <c r="I764" s="417" t="s">
        <v>10</v>
      </c>
      <c r="J764" s="417" t="s">
        <v>538</v>
      </c>
      <c r="K764" s="418">
        <v>5397</v>
      </c>
      <c r="L764" s="419">
        <v>1995</v>
      </c>
      <c r="M764" s="418"/>
      <c r="N764" s="414"/>
      <c r="O764" s="414"/>
      <c r="P764" s="418"/>
      <c r="Q764" s="418"/>
    </row>
    <row r="765" spans="1:17" s="32" customFormat="1" ht="19.5" customHeight="1">
      <c r="A765" s="411">
        <v>890</v>
      </c>
      <c r="B765" s="412" t="s">
        <v>3092</v>
      </c>
      <c r="C765" s="413"/>
      <c r="D765" s="413"/>
      <c r="E765" s="413" t="s">
        <v>10534</v>
      </c>
      <c r="F765" s="411" t="s">
        <v>3205</v>
      </c>
      <c r="G765" s="411" t="s">
        <v>5217</v>
      </c>
      <c r="H765" s="411" t="s">
        <v>238</v>
      </c>
      <c r="I765" s="411" t="s">
        <v>10</v>
      </c>
      <c r="J765" s="411" t="s">
        <v>538</v>
      </c>
      <c r="K765" s="414">
        <v>6300</v>
      </c>
      <c r="L765" s="415">
        <v>0</v>
      </c>
      <c r="M765" s="414"/>
      <c r="N765" s="414"/>
      <c r="O765" s="414"/>
      <c r="P765" s="414"/>
      <c r="Q765" s="414"/>
    </row>
    <row r="766" spans="1:17" s="32" customFormat="1" ht="19.5" customHeight="1">
      <c r="A766" s="411">
        <v>892</v>
      </c>
      <c r="B766" s="412" t="s">
        <v>10535</v>
      </c>
      <c r="C766" s="413"/>
      <c r="D766" s="413"/>
      <c r="E766" s="413" t="s">
        <v>10536</v>
      </c>
      <c r="F766" s="411" t="s">
        <v>10537</v>
      </c>
      <c r="G766" s="411" t="s">
        <v>213</v>
      </c>
      <c r="H766" s="411" t="s">
        <v>10538</v>
      </c>
      <c r="I766" s="411" t="s">
        <v>628</v>
      </c>
      <c r="J766" s="411" t="s">
        <v>10539</v>
      </c>
      <c r="K766" s="414">
        <v>3507</v>
      </c>
      <c r="L766" s="415">
        <v>16</v>
      </c>
      <c r="M766" s="414"/>
      <c r="N766" s="414"/>
      <c r="O766" s="414"/>
      <c r="P766" s="414"/>
      <c r="Q766" s="414"/>
    </row>
    <row r="767" spans="1:17" s="32" customFormat="1" ht="19.5" customHeight="1">
      <c r="A767" s="411">
        <v>893</v>
      </c>
      <c r="B767" s="413" t="s">
        <v>702</v>
      </c>
      <c r="C767" s="413"/>
      <c r="D767" s="413"/>
      <c r="E767" s="413" t="s">
        <v>3641</v>
      </c>
      <c r="F767" s="411" t="s">
        <v>705</v>
      </c>
      <c r="G767" s="411" t="s">
        <v>213</v>
      </c>
      <c r="H767" s="411" t="s">
        <v>10540</v>
      </c>
      <c r="I767" s="411" t="s">
        <v>520</v>
      </c>
      <c r="J767" s="417" t="s">
        <v>10151</v>
      </c>
      <c r="K767" s="414">
        <v>3400</v>
      </c>
      <c r="L767" s="415">
        <v>5000</v>
      </c>
      <c r="M767" s="414"/>
      <c r="N767" s="414"/>
      <c r="O767" s="414"/>
      <c r="P767" s="414"/>
      <c r="Q767" s="414"/>
    </row>
    <row r="768" spans="1:17" s="32" customFormat="1" ht="19.5" customHeight="1">
      <c r="A768" s="411">
        <v>894</v>
      </c>
      <c r="B768" s="412" t="s">
        <v>1333</v>
      </c>
      <c r="C768" s="416"/>
      <c r="D768" s="416"/>
      <c r="E768" s="412" t="s">
        <v>10541</v>
      </c>
      <c r="F768" s="417" t="s">
        <v>10542</v>
      </c>
      <c r="G768" s="417" t="s">
        <v>6694</v>
      </c>
      <c r="H768" s="417" t="s">
        <v>3716</v>
      </c>
      <c r="I768" s="417" t="s">
        <v>15</v>
      </c>
      <c r="J768" s="417" t="s">
        <v>10151</v>
      </c>
      <c r="K768" s="418">
        <v>8840</v>
      </c>
      <c r="L768" s="419">
        <v>590</v>
      </c>
      <c r="M768" s="418"/>
      <c r="N768" s="414"/>
      <c r="O768" s="414"/>
      <c r="P768" s="418"/>
      <c r="Q768" s="418"/>
    </row>
    <row r="769" spans="1:17" s="32" customFormat="1" ht="19.5" customHeight="1">
      <c r="A769" s="411">
        <v>895</v>
      </c>
      <c r="B769" s="412" t="s">
        <v>10543</v>
      </c>
      <c r="C769" s="413"/>
      <c r="D769" s="413"/>
      <c r="E769" s="413" t="s">
        <v>3642</v>
      </c>
      <c r="F769" s="411" t="s">
        <v>10544</v>
      </c>
      <c r="G769" s="411" t="s">
        <v>6694</v>
      </c>
      <c r="H769" s="411" t="s">
        <v>909</v>
      </c>
      <c r="I769" s="411" t="s">
        <v>10545</v>
      </c>
      <c r="J769" s="411" t="s">
        <v>9010</v>
      </c>
      <c r="K769" s="414">
        <v>6699</v>
      </c>
      <c r="L769" s="415">
        <v>93</v>
      </c>
      <c r="M769" s="414"/>
      <c r="N769" s="414"/>
      <c r="O769" s="414"/>
      <c r="P769" s="414"/>
      <c r="Q769" s="414"/>
    </row>
    <row r="770" spans="1:17" s="32" customFormat="1" ht="19.5" customHeight="1">
      <c r="A770" s="411">
        <v>897</v>
      </c>
      <c r="B770" s="412" t="s">
        <v>10546</v>
      </c>
      <c r="C770" s="413"/>
      <c r="D770" s="413"/>
      <c r="E770" s="413" t="s">
        <v>10547</v>
      </c>
      <c r="F770" s="411" t="s">
        <v>10548</v>
      </c>
      <c r="G770" s="411" t="s">
        <v>6694</v>
      </c>
      <c r="H770" s="411" t="s">
        <v>272</v>
      </c>
      <c r="I770" s="411" t="s">
        <v>11</v>
      </c>
      <c r="J770" s="411" t="s">
        <v>9738</v>
      </c>
      <c r="K770" s="414">
        <v>142</v>
      </c>
      <c r="L770" s="415">
        <v>116</v>
      </c>
      <c r="M770" s="414"/>
      <c r="N770" s="414"/>
      <c r="O770" s="414"/>
      <c r="P770" s="414"/>
      <c r="Q770" s="414"/>
    </row>
    <row r="771" spans="1:17" s="32" customFormat="1" ht="19.5" customHeight="1">
      <c r="A771" s="411">
        <v>899</v>
      </c>
      <c r="B771" s="413" t="s">
        <v>3217</v>
      </c>
      <c r="C771" s="413"/>
      <c r="D771" s="413"/>
      <c r="E771" s="413" t="s">
        <v>10549</v>
      </c>
      <c r="F771" s="411" t="s">
        <v>1543</v>
      </c>
      <c r="G771" s="411" t="s">
        <v>5121</v>
      </c>
      <c r="H771" s="411" t="s">
        <v>1542</v>
      </c>
      <c r="I771" s="411" t="s">
        <v>11</v>
      </c>
      <c r="J771" s="411" t="s">
        <v>10550</v>
      </c>
      <c r="K771" s="414">
        <v>4560</v>
      </c>
      <c r="L771" s="415">
        <v>3883</v>
      </c>
      <c r="M771" s="414"/>
      <c r="N771" s="414"/>
      <c r="O771" s="414"/>
      <c r="P771" s="414"/>
      <c r="Q771" s="414"/>
    </row>
    <row r="772" spans="1:17" s="32" customFormat="1" ht="19.5" customHeight="1">
      <c r="A772" s="411">
        <v>900</v>
      </c>
      <c r="B772" s="412" t="s">
        <v>9574</v>
      </c>
      <c r="C772" s="413"/>
      <c r="D772" s="413"/>
      <c r="E772" s="413" t="s">
        <v>10551</v>
      </c>
      <c r="F772" s="411" t="s">
        <v>1543</v>
      </c>
      <c r="G772" s="411" t="s">
        <v>5121</v>
      </c>
      <c r="H772" s="411" t="s">
        <v>1542</v>
      </c>
      <c r="I772" s="411" t="s">
        <v>10</v>
      </c>
      <c r="J772" s="411" t="s">
        <v>10550</v>
      </c>
      <c r="K772" s="414">
        <v>5226</v>
      </c>
      <c r="L772" s="415">
        <v>45</v>
      </c>
      <c r="M772" s="414"/>
      <c r="N772" s="414"/>
      <c r="O772" s="414"/>
      <c r="P772" s="414"/>
      <c r="Q772" s="414"/>
    </row>
    <row r="773" spans="1:17" s="32" customFormat="1" ht="19.5" customHeight="1">
      <c r="A773" s="411">
        <v>902</v>
      </c>
      <c r="B773" s="412" t="s">
        <v>10552</v>
      </c>
      <c r="C773" s="413"/>
      <c r="D773" s="413"/>
      <c r="E773" s="413" t="s">
        <v>10553</v>
      </c>
      <c r="F773" s="411" t="s">
        <v>10554</v>
      </c>
      <c r="G773" s="411" t="s">
        <v>5105</v>
      </c>
      <c r="H773" s="411" t="s">
        <v>10555</v>
      </c>
      <c r="I773" s="411" t="s">
        <v>520</v>
      </c>
      <c r="J773" s="411" t="s">
        <v>8998</v>
      </c>
      <c r="K773" s="414">
        <v>37800</v>
      </c>
      <c r="L773" s="415">
        <v>18</v>
      </c>
      <c r="M773" s="414"/>
      <c r="N773" s="414"/>
      <c r="O773" s="414"/>
      <c r="P773" s="414"/>
      <c r="Q773" s="414"/>
    </row>
    <row r="774" spans="1:17" s="32" customFormat="1" ht="19.5" customHeight="1">
      <c r="A774" s="411">
        <v>903</v>
      </c>
      <c r="B774" s="413" t="s">
        <v>3219</v>
      </c>
      <c r="C774" s="413"/>
      <c r="D774" s="413"/>
      <c r="E774" s="413" t="s">
        <v>10556</v>
      </c>
      <c r="F774" s="411" t="s">
        <v>3220</v>
      </c>
      <c r="G774" s="411" t="s">
        <v>213</v>
      </c>
      <c r="H774" s="411" t="s">
        <v>2524</v>
      </c>
      <c r="I774" s="411" t="s">
        <v>11</v>
      </c>
      <c r="J774" s="411" t="s">
        <v>1131</v>
      </c>
      <c r="K774" s="414">
        <v>350</v>
      </c>
      <c r="L774" s="415">
        <v>1759</v>
      </c>
      <c r="M774" s="414"/>
      <c r="N774" s="414"/>
      <c r="O774" s="414"/>
      <c r="P774" s="414"/>
      <c r="Q774" s="414"/>
    </row>
    <row r="775" spans="1:17" s="32" customFormat="1" ht="19.5" customHeight="1">
      <c r="A775" s="411">
        <v>904</v>
      </c>
      <c r="B775" s="412" t="s">
        <v>10557</v>
      </c>
      <c r="C775" s="416"/>
      <c r="D775" s="416"/>
      <c r="E775" s="412" t="s">
        <v>10558</v>
      </c>
      <c r="F775" s="417" t="s">
        <v>10559</v>
      </c>
      <c r="G775" s="417" t="s">
        <v>5273</v>
      </c>
      <c r="H775" s="417" t="s">
        <v>10560</v>
      </c>
      <c r="I775" s="417" t="s">
        <v>10</v>
      </c>
      <c r="J775" s="417" t="s">
        <v>10561</v>
      </c>
      <c r="K775" s="418">
        <v>840</v>
      </c>
      <c r="L775" s="419">
        <v>2351</v>
      </c>
      <c r="M775" s="418"/>
      <c r="N775" s="414"/>
      <c r="O775" s="414"/>
      <c r="P775" s="418"/>
      <c r="Q775" s="418"/>
    </row>
    <row r="776" spans="1:17" s="32" customFormat="1" ht="19.5" customHeight="1">
      <c r="A776" s="411">
        <v>905</v>
      </c>
      <c r="B776" s="412" t="s">
        <v>10562</v>
      </c>
      <c r="C776" s="413"/>
      <c r="D776" s="413"/>
      <c r="E776" s="413" t="s">
        <v>3643</v>
      </c>
      <c r="F776" s="411" t="s">
        <v>10563</v>
      </c>
      <c r="G776" s="411" t="s">
        <v>6694</v>
      </c>
      <c r="H776" s="411" t="s">
        <v>7060</v>
      </c>
      <c r="I776" s="411" t="s">
        <v>15</v>
      </c>
      <c r="J776" s="411" t="s">
        <v>10564</v>
      </c>
      <c r="K776" s="414">
        <v>11550</v>
      </c>
      <c r="L776" s="415">
        <v>60</v>
      </c>
      <c r="M776" s="414"/>
      <c r="N776" s="414"/>
      <c r="O776" s="414"/>
      <c r="P776" s="414"/>
      <c r="Q776" s="414"/>
    </row>
    <row r="777" spans="1:17" s="32" customFormat="1" ht="19.5" customHeight="1">
      <c r="A777" s="411">
        <v>907</v>
      </c>
      <c r="B777" s="412" t="s">
        <v>10565</v>
      </c>
      <c r="C777" s="413"/>
      <c r="D777" s="413"/>
      <c r="E777" s="413" t="s">
        <v>10566</v>
      </c>
      <c r="F777" s="411" t="s">
        <v>10567</v>
      </c>
      <c r="G777" s="411" t="s">
        <v>213</v>
      </c>
      <c r="H777" s="411">
        <v>8.9999999999999993E-3</v>
      </c>
      <c r="I777" s="411" t="s">
        <v>15</v>
      </c>
      <c r="J777" s="411" t="s">
        <v>10568</v>
      </c>
      <c r="K777" s="414">
        <v>8190</v>
      </c>
      <c r="L777" s="415">
        <v>0</v>
      </c>
      <c r="M777" s="414"/>
      <c r="N777" s="414"/>
      <c r="O777" s="414"/>
      <c r="P777" s="414"/>
      <c r="Q777" s="414"/>
    </row>
    <row r="778" spans="1:17" s="32" customFormat="1" ht="19.5" customHeight="1">
      <c r="A778" s="411">
        <v>908</v>
      </c>
      <c r="B778" s="413" t="s">
        <v>747</v>
      </c>
      <c r="C778" s="413"/>
      <c r="D778" s="413"/>
      <c r="E778" s="413" t="s">
        <v>10569</v>
      </c>
      <c r="F778" s="411" t="s">
        <v>3221</v>
      </c>
      <c r="G778" s="411" t="s">
        <v>213</v>
      </c>
      <c r="H778" s="411" t="s">
        <v>3222</v>
      </c>
      <c r="I778" s="411" t="s">
        <v>658</v>
      </c>
      <c r="J778" s="411" t="s">
        <v>10570</v>
      </c>
      <c r="K778" s="414">
        <v>1145</v>
      </c>
      <c r="L778" s="415">
        <v>0</v>
      </c>
      <c r="M778" s="414"/>
      <c r="N778" s="414"/>
      <c r="O778" s="414"/>
      <c r="P778" s="414"/>
      <c r="Q778" s="414"/>
    </row>
    <row r="779" spans="1:17" s="32" customFormat="1" ht="19.5" customHeight="1">
      <c r="A779" s="411">
        <v>909</v>
      </c>
      <c r="B779" s="412" t="s">
        <v>1070</v>
      </c>
      <c r="C779" s="413"/>
      <c r="D779" s="413"/>
      <c r="E779" s="413" t="s">
        <v>10571</v>
      </c>
      <c r="F779" s="411" t="s">
        <v>10572</v>
      </c>
      <c r="G779" s="411" t="s">
        <v>6694</v>
      </c>
      <c r="H779" s="411" t="s">
        <v>4193</v>
      </c>
      <c r="I779" s="411" t="s">
        <v>658</v>
      </c>
      <c r="J779" s="411" t="s">
        <v>10570</v>
      </c>
      <c r="K779" s="414">
        <v>1470</v>
      </c>
      <c r="L779" s="415">
        <v>2</v>
      </c>
      <c r="M779" s="414"/>
      <c r="N779" s="414"/>
      <c r="O779" s="414"/>
      <c r="P779" s="414"/>
      <c r="Q779" s="414"/>
    </row>
    <row r="780" spans="1:17" s="32" customFormat="1" ht="19.5" customHeight="1">
      <c r="A780" s="411">
        <v>911</v>
      </c>
      <c r="B780" s="412" t="s">
        <v>10573</v>
      </c>
      <c r="C780" s="413"/>
      <c r="D780" s="413"/>
      <c r="E780" s="413" t="s">
        <v>10574</v>
      </c>
      <c r="F780" s="411" t="s">
        <v>6509</v>
      </c>
      <c r="G780" s="411" t="s">
        <v>6694</v>
      </c>
      <c r="H780" s="411" t="s">
        <v>7066</v>
      </c>
      <c r="I780" s="411" t="s">
        <v>15</v>
      </c>
      <c r="J780" s="411" t="s">
        <v>10023</v>
      </c>
      <c r="K780" s="414">
        <v>6615</v>
      </c>
      <c r="L780" s="415">
        <v>276</v>
      </c>
      <c r="M780" s="414"/>
      <c r="N780" s="414"/>
      <c r="O780" s="414"/>
      <c r="P780" s="414"/>
      <c r="Q780" s="414"/>
    </row>
    <row r="781" spans="1:17" s="32" customFormat="1" ht="19.5" customHeight="1">
      <c r="A781" s="411">
        <v>913</v>
      </c>
      <c r="B781" s="420" t="s">
        <v>10575</v>
      </c>
      <c r="C781" s="421"/>
      <c r="D781" s="421"/>
      <c r="E781" s="412" t="s">
        <v>3644</v>
      </c>
      <c r="F781" s="417" t="s">
        <v>10576</v>
      </c>
      <c r="G781" s="417" t="s">
        <v>5105</v>
      </c>
      <c r="H781" s="417" t="s">
        <v>327</v>
      </c>
      <c r="I781" s="417" t="s">
        <v>11</v>
      </c>
      <c r="J781" s="417" t="s">
        <v>9818</v>
      </c>
      <c r="K781" s="418">
        <v>8000</v>
      </c>
      <c r="L781" s="419">
        <v>4538</v>
      </c>
      <c r="M781" s="418"/>
      <c r="N781" s="414"/>
      <c r="O781" s="414"/>
      <c r="P781" s="418"/>
      <c r="Q781" s="418"/>
    </row>
    <row r="782" spans="1:17" s="32" customFormat="1" ht="19.5" customHeight="1">
      <c r="A782" s="411"/>
      <c r="B782" s="412"/>
      <c r="C782" s="413"/>
      <c r="D782" s="413"/>
      <c r="E782" s="413" t="s">
        <v>10577</v>
      </c>
      <c r="F782" s="422" t="s">
        <v>10578</v>
      </c>
      <c r="G782" s="411" t="s">
        <v>10579</v>
      </c>
      <c r="H782" s="411" t="s">
        <v>235</v>
      </c>
      <c r="I782" s="411" t="s">
        <v>628</v>
      </c>
      <c r="J782" s="411" t="s">
        <v>9724</v>
      </c>
      <c r="K782" s="414">
        <v>38850</v>
      </c>
      <c r="L782" s="415">
        <v>23</v>
      </c>
      <c r="M782" s="414"/>
      <c r="N782" s="414"/>
      <c r="O782" s="414"/>
      <c r="P782" s="414"/>
      <c r="Q782" s="414"/>
    </row>
    <row r="783" spans="1:17" s="32" customFormat="1" ht="19.5" customHeight="1">
      <c r="A783" s="411">
        <v>914</v>
      </c>
      <c r="B783" s="412" t="s">
        <v>3228</v>
      </c>
      <c r="C783" s="413"/>
      <c r="D783" s="413"/>
      <c r="E783" s="413" t="s">
        <v>10580</v>
      </c>
      <c r="F783" s="411" t="s">
        <v>3230</v>
      </c>
      <c r="G783" s="411" t="s">
        <v>6694</v>
      </c>
      <c r="H783" s="411" t="s">
        <v>2588</v>
      </c>
      <c r="I783" s="411" t="s">
        <v>18</v>
      </c>
      <c r="J783" s="411" t="s">
        <v>9008</v>
      </c>
      <c r="K783" s="414">
        <v>2982</v>
      </c>
      <c r="L783" s="415">
        <v>8</v>
      </c>
      <c r="M783" s="414"/>
      <c r="N783" s="414"/>
      <c r="O783" s="414"/>
      <c r="P783" s="414"/>
      <c r="Q783" s="414"/>
    </row>
    <row r="784" spans="1:17" s="32" customFormat="1" ht="19.5" customHeight="1">
      <c r="A784" s="411">
        <v>916</v>
      </c>
      <c r="B784" s="412" t="s">
        <v>3235</v>
      </c>
      <c r="C784" s="413"/>
      <c r="D784" s="413"/>
      <c r="E784" s="413" t="s">
        <v>2004</v>
      </c>
      <c r="F784" s="411" t="s">
        <v>10581</v>
      </c>
      <c r="G784" s="411" t="s">
        <v>5116</v>
      </c>
      <c r="H784" s="411" t="s">
        <v>2005</v>
      </c>
      <c r="I784" s="411" t="s">
        <v>10</v>
      </c>
      <c r="J784" s="411" t="s">
        <v>10582</v>
      </c>
      <c r="K784" s="414">
        <v>3585</v>
      </c>
      <c r="L784" s="415">
        <v>500</v>
      </c>
      <c r="M784" s="414"/>
      <c r="N784" s="414"/>
      <c r="O784" s="414"/>
      <c r="P784" s="414"/>
      <c r="Q784" s="414"/>
    </row>
    <row r="785" spans="1:17" s="32" customFormat="1" ht="19.5" customHeight="1">
      <c r="A785" s="411">
        <v>918</v>
      </c>
      <c r="B785" s="412" t="s">
        <v>10583</v>
      </c>
      <c r="C785" s="413"/>
      <c r="D785" s="413"/>
      <c r="E785" s="413" t="s">
        <v>10584</v>
      </c>
      <c r="F785" s="411" t="s">
        <v>10585</v>
      </c>
      <c r="G785" s="411" t="s">
        <v>6694</v>
      </c>
      <c r="H785" s="411" t="s">
        <v>10586</v>
      </c>
      <c r="I785" s="411" t="s">
        <v>10</v>
      </c>
      <c r="J785" s="411" t="s">
        <v>10587</v>
      </c>
      <c r="K785" s="414">
        <v>1386</v>
      </c>
      <c r="L785" s="415">
        <v>0</v>
      </c>
      <c r="M785" s="414"/>
      <c r="N785" s="414"/>
      <c r="O785" s="414"/>
      <c r="P785" s="414"/>
      <c r="Q785" s="414"/>
    </row>
    <row r="786" spans="1:17" s="32" customFormat="1" ht="19.5" customHeight="1">
      <c r="A786" s="411">
        <v>919</v>
      </c>
      <c r="B786" s="412" t="s">
        <v>10588</v>
      </c>
      <c r="C786" s="413"/>
      <c r="D786" s="413"/>
      <c r="E786" s="413" t="s">
        <v>10589</v>
      </c>
      <c r="F786" s="411" t="s">
        <v>10590</v>
      </c>
      <c r="G786" s="411" t="s">
        <v>213</v>
      </c>
      <c r="H786" s="417" t="s">
        <v>10591</v>
      </c>
      <c r="I786" s="411" t="s">
        <v>11</v>
      </c>
      <c r="J786" s="411" t="s">
        <v>10592</v>
      </c>
      <c r="K786" s="414">
        <v>1500</v>
      </c>
      <c r="L786" s="415">
        <v>0</v>
      </c>
      <c r="M786" s="414"/>
      <c r="N786" s="414"/>
      <c r="O786" s="414"/>
      <c r="P786" s="414"/>
      <c r="Q786" s="414"/>
    </row>
    <row r="787" spans="1:17" s="32" customFormat="1" ht="19.5" customHeight="1">
      <c r="A787" s="411">
        <v>920</v>
      </c>
      <c r="B787" s="413" t="s">
        <v>5979</v>
      </c>
      <c r="C787" s="413"/>
      <c r="D787" s="413"/>
      <c r="E787" s="413" t="s">
        <v>10593</v>
      </c>
      <c r="F787" s="411" t="s">
        <v>10594</v>
      </c>
      <c r="G787" s="411" t="s">
        <v>213</v>
      </c>
      <c r="H787" s="411" t="s">
        <v>10595</v>
      </c>
      <c r="I787" s="411" t="s">
        <v>11</v>
      </c>
      <c r="J787" s="411" t="s">
        <v>10592</v>
      </c>
      <c r="K787" s="414">
        <v>1400</v>
      </c>
      <c r="L787" s="415">
        <v>300</v>
      </c>
      <c r="M787" s="414"/>
      <c r="N787" s="414"/>
      <c r="O787" s="414"/>
      <c r="P787" s="414"/>
      <c r="Q787" s="414"/>
    </row>
    <row r="788" spans="1:17" s="32" customFormat="1" ht="19.5" customHeight="1">
      <c r="A788" s="411">
        <v>921</v>
      </c>
      <c r="B788" s="412" t="s">
        <v>10157</v>
      </c>
      <c r="C788" s="413"/>
      <c r="D788" s="413"/>
      <c r="E788" s="413" t="s">
        <v>3232</v>
      </c>
      <c r="F788" s="411" t="s">
        <v>3233</v>
      </c>
      <c r="G788" s="411" t="s">
        <v>213</v>
      </c>
      <c r="H788" s="411" t="s">
        <v>235</v>
      </c>
      <c r="I788" s="411" t="s">
        <v>10</v>
      </c>
      <c r="J788" s="411" t="s">
        <v>538</v>
      </c>
      <c r="K788" s="414">
        <v>178</v>
      </c>
      <c r="L788" s="415">
        <v>159</v>
      </c>
      <c r="M788" s="414"/>
      <c r="N788" s="414"/>
      <c r="O788" s="414"/>
      <c r="P788" s="414"/>
      <c r="Q788" s="414"/>
    </row>
    <row r="789" spans="1:17" s="32" customFormat="1" ht="19.5" customHeight="1">
      <c r="A789" s="411">
        <v>922</v>
      </c>
      <c r="B789" s="412" t="s">
        <v>10596</v>
      </c>
      <c r="C789" s="413"/>
      <c r="D789" s="413"/>
      <c r="E789" s="413" t="s">
        <v>3645</v>
      </c>
      <c r="F789" s="411" t="s">
        <v>10597</v>
      </c>
      <c r="G789" s="411" t="s">
        <v>6694</v>
      </c>
      <c r="H789" s="411" t="s">
        <v>594</v>
      </c>
      <c r="I789" s="411" t="s">
        <v>10</v>
      </c>
      <c r="J789" s="411" t="s">
        <v>2212</v>
      </c>
      <c r="K789" s="414">
        <v>665</v>
      </c>
      <c r="L789" s="415">
        <v>15578</v>
      </c>
      <c r="M789" s="414"/>
      <c r="N789" s="414"/>
      <c r="O789" s="414"/>
      <c r="P789" s="414"/>
      <c r="Q789" s="414"/>
    </row>
    <row r="790" spans="1:17" s="32" customFormat="1" ht="19.5" customHeight="1">
      <c r="A790" s="411">
        <v>924</v>
      </c>
      <c r="B790" s="412" t="s">
        <v>3235</v>
      </c>
      <c r="C790" s="416"/>
      <c r="D790" s="416"/>
      <c r="E790" s="412" t="s">
        <v>3236</v>
      </c>
      <c r="F790" s="417" t="s">
        <v>3237</v>
      </c>
      <c r="G790" s="417" t="s">
        <v>6694</v>
      </c>
      <c r="H790" s="417" t="s">
        <v>2005</v>
      </c>
      <c r="I790" s="417" t="s">
        <v>10</v>
      </c>
      <c r="J790" s="417" t="s">
        <v>3238</v>
      </c>
      <c r="K790" s="418">
        <v>1450</v>
      </c>
      <c r="L790" s="419">
        <v>15877</v>
      </c>
      <c r="M790" s="418"/>
      <c r="N790" s="414"/>
      <c r="O790" s="414"/>
      <c r="P790" s="418"/>
      <c r="Q790" s="418"/>
    </row>
    <row r="791" spans="1:17" s="32" customFormat="1" ht="19.5" customHeight="1">
      <c r="A791" s="411">
        <v>925</v>
      </c>
      <c r="B791" s="412" t="s">
        <v>9487</v>
      </c>
      <c r="C791" s="413"/>
      <c r="D791" s="413"/>
      <c r="E791" s="413" t="s">
        <v>10598</v>
      </c>
      <c r="F791" s="411" t="s">
        <v>10599</v>
      </c>
      <c r="G791" s="411" t="s">
        <v>5273</v>
      </c>
      <c r="H791" s="411" t="s">
        <v>299</v>
      </c>
      <c r="I791" s="411" t="s">
        <v>10</v>
      </c>
      <c r="J791" s="411" t="s">
        <v>815</v>
      </c>
      <c r="K791" s="414">
        <v>6000</v>
      </c>
      <c r="L791" s="415">
        <v>330</v>
      </c>
      <c r="M791" s="414"/>
      <c r="N791" s="414"/>
      <c r="O791" s="414"/>
      <c r="P791" s="414"/>
      <c r="Q791" s="414"/>
    </row>
    <row r="792" spans="1:17" s="32" customFormat="1" ht="19.5" customHeight="1">
      <c r="A792" s="411">
        <v>931</v>
      </c>
      <c r="B792" s="413" t="s">
        <v>1362</v>
      </c>
      <c r="C792" s="413"/>
      <c r="D792" s="413"/>
      <c r="E792" s="413" t="s">
        <v>3646</v>
      </c>
      <c r="F792" s="411" t="s">
        <v>1364</v>
      </c>
      <c r="G792" s="411" t="s">
        <v>213</v>
      </c>
      <c r="H792" s="411" t="s">
        <v>225</v>
      </c>
      <c r="I792" s="411" t="s">
        <v>11</v>
      </c>
      <c r="J792" s="411" t="s">
        <v>10195</v>
      </c>
      <c r="K792" s="414">
        <v>709</v>
      </c>
      <c r="L792" s="415">
        <v>0</v>
      </c>
      <c r="M792" s="414"/>
      <c r="N792" s="414"/>
      <c r="O792" s="414"/>
      <c r="P792" s="414"/>
      <c r="Q792" s="414"/>
    </row>
    <row r="793" spans="1:17" s="32" customFormat="1" ht="19.5" customHeight="1">
      <c r="A793" s="411">
        <v>929</v>
      </c>
      <c r="B793" s="412" t="s">
        <v>1362</v>
      </c>
      <c r="C793" s="413"/>
      <c r="D793" s="413"/>
      <c r="E793" s="413" t="s">
        <v>3646</v>
      </c>
      <c r="F793" s="411" t="s">
        <v>10600</v>
      </c>
      <c r="G793" s="411" t="s">
        <v>213</v>
      </c>
      <c r="H793" s="411" t="s">
        <v>225</v>
      </c>
      <c r="I793" s="411" t="s">
        <v>11</v>
      </c>
      <c r="J793" s="411" t="s">
        <v>10195</v>
      </c>
      <c r="K793" s="414">
        <v>1150</v>
      </c>
      <c r="L793" s="415">
        <v>0</v>
      </c>
      <c r="M793" s="414"/>
      <c r="N793" s="414"/>
      <c r="O793" s="414"/>
      <c r="P793" s="414"/>
      <c r="Q793" s="414"/>
    </row>
    <row r="794" spans="1:17" s="32" customFormat="1" ht="19.5" customHeight="1">
      <c r="A794" s="411">
        <v>927</v>
      </c>
      <c r="B794" s="412" t="s">
        <v>10601</v>
      </c>
      <c r="C794" s="413"/>
      <c r="D794" s="413"/>
      <c r="E794" s="413" t="s">
        <v>3646</v>
      </c>
      <c r="F794" s="411" t="s">
        <v>1364</v>
      </c>
      <c r="G794" s="411" t="s">
        <v>213</v>
      </c>
      <c r="H794" s="411" t="s">
        <v>225</v>
      </c>
      <c r="I794" s="411" t="s">
        <v>11</v>
      </c>
      <c r="J794" s="411" t="s">
        <v>10195</v>
      </c>
      <c r="K794" s="414">
        <v>737</v>
      </c>
      <c r="L794" s="415">
        <v>853</v>
      </c>
      <c r="M794" s="414"/>
      <c r="N794" s="414"/>
      <c r="O794" s="414"/>
      <c r="P794" s="414"/>
      <c r="Q794" s="414"/>
    </row>
    <row r="795" spans="1:17" s="32" customFormat="1" ht="19.5" customHeight="1">
      <c r="A795" s="411">
        <v>928</v>
      </c>
      <c r="B795" s="412" t="s">
        <v>10602</v>
      </c>
      <c r="C795" s="413"/>
      <c r="D795" s="413"/>
      <c r="E795" s="413" t="s">
        <v>3646</v>
      </c>
      <c r="F795" s="411" t="s">
        <v>1364</v>
      </c>
      <c r="G795" s="411" t="s">
        <v>6694</v>
      </c>
      <c r="H795" s="411" t="s">
        <v>225</v>
      </c>
      <c r="I795" s="411" t="s">
        <v>11</v>
      </c>
      <c r="J795" s="411" t="s">
        <v>10195</v>
      </c>
      <c r="K795" s="414">
        <v>789</v>
      </c>
      <c r="L795" s="415">
        <v>0</v>
      </c>
      <c r="M795" s="414"/>
      <c r="N795" s="414"/>
      <c r="O795" s="414"/>
      <c r="P795" s="414"/>
      <c r="Q795" s="414"/>
    </row>
    <row r="796" spans="1:17" s="32" customFormat="1" ht="19.5" customHeight="1">
      <c r="A796" s="411">
        <v>932</v>
      </c>
      <c r="B796" s="412" t="s">
        <v>9712</v>
      </c>
      <c r="C796" s="413"/>
      <c r="D796" s="413"/>
      <c r="E796" s="413" t="s">
        <v>10603</v>
      </c>
      <c r="F796" s="411" t="s">
        <v>10604</v>
      </c>
      <c r="G796" s="411" t="s">
        <v>5273</v>
      </c>
      <c r="H796" s="411" t="s">
        <v>641</v>
      </c>
      <c r="I796" s="411" t="s">
        <v>10</v>
      </c>
      <c r="J796" s="411" t="s">
        <v>9711</v>
      </c>
      <c r="K796" s="414">
        <v>824</v>
      </c>
      <c r="L796" s="415">
        <v>23</v>
      </c>
      <c r="M796" s="414"/>
      <c r="N796" s="414"/>
      <c r="O796" s="414"/>
      <c r="P796" s="414"/>
      <c r="Q796" s="414"/>
    </row>
    <row r="797" spans="1:17" s="32" customFormat="1" ht="19.5" customHeight="1">
      <c r="A797" s="411">
        <v>933</v>
      </c>
      <c r="B797" s="412" t="s">
        <v>9290</v>
      </c>
      <c r="C797" s="413"/>
      <c r="D797" s="413"/>
      <c r="E797" s="413" t="s">
        <v>10605</v>
      </c>
      <c r="F797" s="411" t="s">
        <v>10606</v>
      </c>
      <c r="G797" s="411" t="s">
        <v>6694</v>
      </c>
      <c r="H797" s="411" t="s">
        <v>262</v>
      </c>
      <c r="I797" s="411" t="s">
        <v>11</v>
      </c>
      <c r="J797" s="411" t="s">
        <v>9860</v>
      </c>
      <c r="K797" s="414">
        <v>1140</v>
      </c>
      <c r="L797" s="415">
        <v>69</v>
      </c>
      <c r="M797" s="414"/>
      <c r="N797" s="414"/>
      <c r="O797" s="414"/>
      <c r="P797" s="414"/>
      <c r="Q797" s="414"/>
    </row>
    <row r="798" spans="1:17" s="32" customFormat="1" ht="19.5" customHeight="1">
      <c r="A798" s="411">
        <v>935</v>
      </c>
      <c r="B798" s="442" t="s">
        <v>9712</v>
      </c>
      <c r="C798" s="443"/>
      <c r="D798" s="426"/>
      <c r="E798" s="427" t="s">
        <v>10607</v>
      </c>
      <c r="F798" s="425" t="s">
        <v>10608</v>
      </c>
      <c r="G798" s="428" t="s">
        <v>213</v>
      </c>
      <c r="H798" s="425" t="s">
        <v>10609</v>
      </c>
      <c r="I798" s="425" t="s">
        <v>520</v>
      </c>
      <c r="J798" s="428" t="s">
        <v>241</v>
      </c>
      <c r="K798" s="429">
        <v>2610</v>
      </c>
      <c r="L798" s="430">
        <v>179</v>
      </c>
      <c r="M798" s="429"/>
      <c r="N798" s="414"/>
      <c r="O798" s="414"/>
      <c r="P798" s="431"/>
      <c r="Q798" s="431"/>
    </row>
    <row r="799" spans="1:17" s="32" customFormat="1" ht="19.5" customHeight="1">
      <c r="A799" s="411">
        <v>937</v>
      </c>
      <c r="B799" s="420" t="s">
        <v>9712</v>
      </c>
      <c r="C799" s="421"/>
      <c r="D799" s="421"/>
      <c r="E799" s="412" t="s">
        <v>10610</v>
      </c>
      <c r="F799" s="417" t="s">
        <v>10611</v>
      </c>
      <c r="G799" s="417" t="s">
        <v>6694</v>
      </c>
      <c r="H799" s="417" t="s">
        <v>334</v>
      </c>
      <c r="I799" s="417" t="s">
        <v>11</v>
      </c>
      <c r="J799" s="417" t="s">
        <v>10612</v>
      </c>
      <c r="K799" s="418">
        <v>224</v>
      </c>
      <c r="L799" s="419">
        <v>0</v>
      </c>
      <c r="M799" s="418"/>
      <c r="N799" s="414"/>
      <c r="O799" s="414"/>
      <c r="P799" s="418"/>
      <c r="Q799" s="418"/>
    </row>
    <row r="800" spans="1:17" s="32" customFormat="1" ht="19.5" customHeight="1">
      <c r="A800" s="411">
        <v>936</v>
      </c>
      <c r="B800" s="412" t="s">
        <v>9712</v>
      </c>
      <c r="C800" s="413"/>
      <c r="D800" s="413"/>
      <c r="E800" s="413" t="s">
        <v>10610</v>
      </c>
      <c r="F800" s="411" t="s">
        <v>10611</v>
      </c>
      <c r="G800" s="411" t="s">
        <v>213</v>
      </c>
      <c r="H800" s="411" t="s">
        <v>334</v>
      </c>
      <c r="I800" s="411" t="s">
        <v>11</v>
      </c>
      <c r="J800" s="417" t="s">
        <v>10612</v>
      </c>
      <c r="K800" s="414">
        <v>230</v>
      </c>
      <c r="L800" s="415">
        <v>0</v>
      </c>
      <c r="M800" s="414"/>
      <c r="N800" s="414"/>
      <c r="O800" s="414"/>
      <c r="P800" s="414"/>
      <c r="Q800" s="414"/>
    </row>
    <row r="801" spans="1:17" s="32" customFormat="1" ht="19.5" customHeight="1">
      <c r="A801" s="411">
        <v>938</v>
      </c>
      <c r="B801" s="412" t="s">
        <v>9712</v>
      </c>
      <c r="C801" s="416"/>
      <c r="D801" s="416"/>
      <c r="E801" s="412" t="s">
        <v>10613</v>
      </c>
      <c r="F801" s="417" t="s">
        <v>10614</v>
      </c>
      <c r="G801" s="417" t="s">
        <v>6694</v>
      </c>
      <c r="H801" s="417" t="s">
        <v>641</v>
      </c>
      <c r="I801" s="417" t="s">
        <v>11</v>
      </c>
      <c r="J801" s="417" t="s">
        <v>2917</v>
      </c>
      <c r="K801" s="418">
        <v>327</v>
      </c>
      <c r="L801" s="419">
        <v>0</v>
      </c>
      <c r="M801" s="418"/>
      <c r="N801" s="414"/>
      <c r="O801" s="414"/>
      <c r="P801" s="418"/>
      <c r="Q801" s="418"/>
    </row>
    <row r="802" spans="1:17" s="32" customFormat="1" ht="19.5" customHeight="1">
      <c r="A802" s="411">
        <v>939</v>
      </c>
      <c r="B802" s="412" t="s">
        <v>10615</v>
      </c>
      <c r="C802" s="413"/>
      <c r="D802" s="413"/>
      <c r="E802" s="413" t="s">
        <v>10616</v>
      </c>
      <c r="F802" s="411" t="s">
        <v>3241</v>
      </c>
      <c r="G802" s="411" t="s">
        <v>6694</v>
      </c>
      <c r="H802" s="411" t="s">
        <v>267</v>
      </c>
      <c r="I802" s="411" t="s">
        <v>14</v>
      </c>
      <c r="J802" s="411" t="s">
        <v>10617</v>
      </c>
      <c r="K802" s="414">
        <v>153560</v>
      </c>
      <c r="L802" s="415">
        <v>70</v>
      </c>
      <c r="M802" s="414"/>
      <c r="N802" s="414"/>
      <c r="O802" s="414"/>
      <c r="P802" s="414"/>
      <c r="Q802" s="414"/>
    </row>
    <row r="803" spans="1:17" s="32" customFormat="1" ht="19.5" customHeight="1">
      <c r="A803" s="411">
        <v>941</v>
      </c>
      <c r="B803" s="413" t="s">
        <v>10618</v>
      </c>
      <c r="C803" s="413"/>
      <c r="D803" s="413"/>
      <c r="E803" s="413" t="s">
        <v>151</v>
      </c>
      <c r="F803" s="411" t="s">
        <v>2297</v>
      </c>
      <c r="G803" s="411" t="s">
        <v>213</v>
      </c>
      <c r="H803" s="411" t="s">
        <v>153</v>
      </c>
      <c r="I803" s="411" t="s">
        <v>11</v>
      </c>
      <c r="J803" s="411" t="s">
        <v>553</v>
      </c>
      <c r="K803" s="414">
        <v>780</v>
      </c>
      <c r="L803" s="415">
        <v>9100</v>
      </c>
      <c r="M803" s="414"/>
      <c r="N803" s="414"/>
      <c r="O803" s="414"/>
      <c r="P803" s="414"/>
      <c r="Q803" s="414"/>
    </row>
    <row r="804" spans="1:17" s="32" customFormat="1" ht="19.5" customHeight="1">
      <c r="A804" s="411">
        <v>942</v>
      </c>
      <c r="B804" s="412" t="s">
        <v>10619</v>
      </c>
      <c r="C804" s="413"/>
      <c r="D804" s="413"/>
      <c r="E804" s="413" t="s">
        <v>10620</v>
      </c>
      <c r="F804" s="411" t="s">
        <v>10621</v>
      </c>
      <c r="G804" s="411" t="s">
        <v>213</v>
      </c>
      <c r="H804" s="411" t="s">
        <v>153</v>
      </c>
      <c r="I804" s="411" t="s">
        <v>18</v>
      </c>
      <c r="J804" s="411" t="s">
        <v>553</v>
      </c>
      <c r="K804" s="414">
        <v>43000</v>
      </c>
      <c r="L804" s="415">
        <v>0</v>
      </c>
      <c r="M804" s="414"/>
      <c r="N804" s="414"/>
      <c r="O804" s="414"/>
      <c r="P804" s="414"/>
      <c r="Q804" s="414"/>
    </row>
    <row r="805" spans="1:17" s="32" customFormat="1" ht="19.5" customHeight="1">
      <c r="A805" s="411">
        <v>943</v>
      </c>
      <c r="B805" s="412" t="s">
        <v>10622</v>
      </c>
      <c r="C805" s="413"/>
      <c r="D805" s="413"/>
      <c r="E805" s="413" t="s">
        <v>10623</v>
      </c>
      <c r="F805" s="411" t="s">
        <v>10624</v>
      </c>
      <c r="G805" s="411" t="s">
        <v>212</v>
      </c>
      <c r="H805" s="447" t="s">
        <v>10625</v>
      </c>
      <c r="I805" s="411" t="s">
        <v>11</v>
      </c>
      <c r="J805" s="411" t="s">
        <v>10137</v>
      </c>
      <c r="K805" s="414">
        <v>1167</v>
      </c>
      <c r="L805" s="415">
        <v>1300</v>
      </c>
      <c r="M805" s="414"/>
      <c r="N805" s="414"/>
      <c r="O805" s="414"/>
      <c r="P805" s="414"/>
      <c r="Q805" s="414"/>
    </row>
    <row r="806" spans="1:17" s="32" customFormat="1" ht="19.5" customHeight="1">
      <c r="A806" s="411">
        <v>945</v>
      </c>
      <c r="B806" s="412" t="s">
        <v>6133</v>
      </c>
      <c r="C806" s="413"/>
      <c r="D806" s="413"/>
      <c r="E806" s="413" t="s">
        <v>10626</v>
      </c>
      <c r="F806" s="411" t="s">
        <v>10627</v>
      </c>
      <c r="G806" s="411" t="s">
        <v>5116</v>
      </c>
      <c r="H806" s="411" t="s">
        <v>2108</v>
      </c>
      <c r="I806" s="411" t="s">
        <v>628</v>
      </c>
      <c r="J806" s="411" t="s">
        <v>3203</v>
      </c>
      <c r="K806" s="414">
        <v>124999</v>
      </c>
      <c r="L806" s="415">
        <v>10</v>
      </c>
      <c r="M806" s="414"/>
      <c r="N806" s="414"/>
      <c r="O806" s="414"/>
      <c r="P806" s="414"/>
      <c r="Q806" s="414"/>
    </row>
    <row r="807" spans="1:17" s="32" customFormat="1" ht="19.5" customHeight="1">
      <c r="A807" s="411">
        <v>946</v>
      </c>
      <c r="B807" s="412" t="s">
        <v>9087</v>
      </c>
      <c r="C807" s="413"/>
      <c r="D807" s="413"/>
      <c r="E807" s="413" t="s">
        <v>10628</v>
      </c>
      <c r="F807" s="411" t="s">
        <v>10629</v>
      </c>
      <c r="G807" s="411" t="s">
        <v>6694</v>
      </c>
      <c r="H807" s="411" t="s">
        <v>10630</v>
      </c>
      <c r="I807" s="411" t="s">
        <v>11</v>
      </c>
      <c r="J807" s="411" t="s">
        <v>667</v>
      </c>
      <c r="K807" s="414">
        <v>260</v>
      </c>
      <c r="L807" s="415">
        <v>15</v>
      </c>
      <c r="M807" s="414"/>
      <c r="N807" s="414"/>
      <c r="O807" s="414"/>
      <c r="P807" s="414"/>
      <c r="Q807" s="414"/>
    </row>
    <row r="808" spans="1:17" s="32" customFormat="1" ht="19.5" customHeight="1">
      <c r="A808" s="411">
        <v>948</v>
      </c>
      <c r="B808" s="412" t="s">
        <v>9087</v>
      </c>
      <c r="C808" s="413"/>
      <c r="D808" s="413"/>
      <c r="E808" s="413" t="s">
        <v>10631</v>
      </c>
      <c r="F808" s="411" t="s">
        <v>10632</v>
      </c>
      <c r="G808" s="411" t="s">
        <v>213</v>
      </c>
      <c r="H808" s="411" t="s">
        <v>235</v>
      </c>
      <c r="I808" s="411" t="s">
        <v>10</v>
      </c>
      <c r="J808" s="411" t="s">
        <v>9063</v>
      </c>
      <c r="K808" s="414">
        <v>510</v>
      </c>
      <c r="L808" s="415">
        <v>31</v>
      </c>
      <c r="M808" s="414"/>
      <c r="N808" s="414"/>
      <c r="O808" s="414"/>
      <c r="P808" s="414"/>
      <c r="Q808" s="414"/>
    </row>
    <row r="809" spans="1:17" s="32" customFormat="1" ht="19.5" customHeight="1">
      <c r="A809" s="411">
        <v>949</v>
      </c>
      <c r="B809" s="412" t="s">
        <v>2842</v>
      </c>
      <c r="C809" s="413"/>
      <c r="D809" s="413"/>
      <c r="E809" s="413" t="s">
        <v>10633</v>
      </c>
      <c r="F809" s="411" t="s">
        <v>504</v>
      </c>
      <c r="G809" s="411" t="s">
        <v>6694</v>
      </c>
      <c r="H809" s="411" t="s">
        <v>235</v>
      </c>
      <c r="I809" s="411" t="s">
        <v>11</v>
      </c>
      <c r="J809" s="411" t="s">
        <v>10634</v>
      </c>
      <c r="K809" s="414">
        <v>473</v>
      </c>
      <c r="L809" s="415">
        <v>3</v>
      </c>
      <c r="M809" s="414"/>
      <c r="N809" s="414"/>
      <c r="O809" s="414"/>
      <c r="P809" s="414"/>
      <c r="Q809" s="414"/>
    </row>
    <row r="810" spans="1:17" s="32" customFormat="1" ht="19.5" customHeight="1">
      <c r="A810" s="411">
        <v>951</v>
      </c>
      <c r="B810" s="413" t="s">
        <v>313</v>
      </c>
      <c r="C810" s="413"/>
      <c r="D810" s="413"/>
      <c r="E810" s="413" t="s">
        <v>10635</v>
      </c>
      <c r="F810" s="411" t="s">
        <v>3244</v>
      </c>
      <c r="G810" s="411" t="s">
        <v>213</v>
      </c>
      <c r="H810" s="411" t="s">
        <v>315</v>
      </c>
      <c r="I810" s="411" t="s">
        <v>11</v>
      </c>
      <c r="J810" s="411" t="s">
        <v>10634</v>
      </c>
      <c r="K810" s="414">
        <v>700</v>
      </c>
      <c r="L810" s="415">
        <v>0</v>
      </c>
      <c r="M810" s="414"/>
      <c r="N810" s="414"/>
      <c r="O810" s="414"/>
      <c r="P810" s="414"/>
      <c r="Q810" s="414"/>
    </row>
    <row r="811" spans="1:17" s="32" customFormat="1" ht="19.5" customHeight="1">
      <c r="A811" s="411">
        <v>952</v>
      </c>
      <c r="B811" s="420" t="s">
        <v>10334</v>
      </c>
      <c r="C811" s="421"/>
      <c r="D811" s="421"/>
      <c r="E811" s="412" t="s">
        <v>10636</v>
      </c>
      <c r="F811" s="417" t="s">
        <v>10637</v>
      </c>
      <c r="G811" s="417" t="s">
        <v>6012</v>
      </c>
      <c r="H811" s="417" t="s">
        <v>310</v>
      </c>
      <c r="I811" s="417" t="s">
        <v>10</v>
      </c>
      <c r="J811" s="411" t="s">
        <v>10634</v>
      </c>
      <c r="K811" s="418">
        <v>4811</v>
      </c>
      <c r="L811" s="419">
        <v>0</v>
      </c>
      <c r="M811" s="418"/>
      <c r="N811" s="414"/>
      <c r="O811" s="414"/>
      <c r="P811" s="418"/>
      <c r="Q811" s="418"/>
    </row>
    <row r="812" spans="1:17" s="32" customFormat="1" ht="19.5" customHeight="1">
      <c r="A812" s="411">
        <v>953</v>
      </c>
      <c r="B812" s="439" t="s">
        <v>2842</v>
      </c>
      <c r="C812" s="440"/>
      <c r="D812" s="413"/>
      <c r="E812" s="439" t="s">
        <v>10638</v>
      </c>
      <c r="F812" s="436" t="s">
        <v>10639</v>
      </c>
      <c r="G812" s="436" t="s">
        <v>5105</v>
      </c>
      <c r="H812" s="436" t="s">
        <v>235</v>
      </c>
      <c r="I812" s="436" t="s">
        <v>10</v>
      </c>
      <c r="J812" s="411" t="s">
        <v>10634</v>
      </c>
      <c r="K812" s="429">
        <v>790</v>
      </c>
      <c r="L812" s="430">
        <v>1100</v>
      </c>
      <c r="M812" s="429"/>
      <c r="N812" s="414"/>
      <c r="O812" s="414"/>
      <c r="P812" s="441"/>
      <c r="Q812" s="441"/>
    </row>
    <row r="813" spans="1:17" s="32" customFormat="1" ht="19.5" customHeight="1">
      <c r="A813" s="411">
        <v>954</v>
      </c>
      <c r="B813" s="412" t="s">
        <v>10381</v>
      </c>
      <c r="C813" s="413"/>
      <c r="D813" s="413"/>
      <c r="E813" s="413" t="s">
        <v>10640</v>
      </c>
      <c r="F813" s="411" t="s">
        <v>10641</v>
      </c>
      <c r="G813" s="411" t="s">
        <v>5273</v>
      </c>
      <c r="H813" s="411" t="s">
        <v>17</v>
      </c>
      <c r="I813" s="411" t="s">
        <v>10</v>
      </c>
      <c r="J813" s="411" t="s">
        <v>815</v>
      </c>
      <c r="K813" s="414">
        <v>6800</v>
      </c>
      <c r="L813" s="415">
        <v>0</v>
      </c>
      <c r="M813" s="414"/>
      <c r="N813" s="414"/>
      <c r="O813" s="414"/>
      <c r="P813" s="414"/>
      <c r="Q813" s="414"/>
    </row>
    <row r="814" spans="1:17" s="32" customFormat="1" ht="19.5" customHeight="1">
      <c r="A814" s="411">
        <v>955</v>
      </c>
      <c r="B814" s="420" t="s">
        <v>9449</v>
      </c>
      <c r="C814" s="421"/>
      <c r="D814" s="421"/>
      <c r="E814" s="412" t="s">
        <v>10642</v>
      </c>
      <c r="F814" s="417" t="s">
        <v>10643</v>
      </c>
      <c r="G814" s="417" t="s">
        <v>6694</v>
      </c>
      <c r="H814" s="417" t="s">
        <v>258</v>
      </c>
      <c r="I814" s="417" t="s">
        <v>11</v>
      </c>
      <c r="J814" s="417" t="s">
        <v>9492</v>
      </c>
      <c r="K814" s="418">
        <v>840</v>
      </c>
      <c r="L814" s="419">
        <v>140</v>
      </c>
      <c r="M814" s="418"/>
      <c r="N814" s="414"/>
      <c r="O814" s="414"/>
      <c r="P814" s="418"/>
      <c r="Q814" s="418"/>
    </row>
    <row r="815" spans="1:17" s="32" customFormat="1" ht="19.5" customHeight="1">
      <c r="A815" s="411">
        <v>956</v>
      </c>
      <c r="B815" s="412" t="s">
        <v>10644</v>
      </c>
      <c r="C815" s="413"/>
      <c r="D815" s="413"/>
      <c r="E815" s="413" t="s">
        <v>3647</v>
      </c>
      <c r="F815" s="411" t="s">
        <v>10645</v>
      </c>
      <c r="G815" s="411" t="s">
        <v>213</v>
      </c>
      <c r="H815" s="411" t="s">
        <v>310</v>
      </c>
      <c r="I815" s="411" t="s">
        <v>11</v>
      </c>
      <c r="J815" s="411" t="s">
        <v>1329</v>
      </c>
      <c r="K815" s="414">
        <v>272</v>
      </c>
      <c r="L815" s="415">
        <v>37</v>
      </c>
      <c r="M815" s="414"/>
      <c r="N815" s="414"/>
      <c r="O815" s="414"/>
      <c r="P815" s="414"/>
      <c r="Q815" s="414"/>
    </row>
    <row r="816" spans="1:17" s="32" customFormat="1" ht="19.5" customHeight="1">
      <c r="A816" s="411">
        <v>957</v>
      </c>
      <c r="B816" s="412" t="s">
        <v>9077</v>
      </c>
      <c r="C816" s="413"/>
      <c r="D816" s="413"/>
      <c r="E816" s="413" t="s">
        <v>3647</v>
      </c>
      <c r="F816" s="411" t="s">
        <v>10645</v>
      </c>
      <c r="G816" s="411" t="s">
        <v>6694</v>
      </c>
      <c r="H816" s="411" t="s">
        <v>310</v>
      </c>
      <c r="I816" s="411" t="s">
        <v>11</v>
      </c>
      <c r="J816" s="411" t="s">
        <v>2204</v>
      </c>
      <c r="K816" s="414">
        <v>280</v>
      </c>
      <c r="L816" s="415">
        <v>0</v>
      </c>
      <c r="M816" s="414"/>
      <c r="N816" s="414"/>
      <c r="O816" s="414"/>
      <c r="P816" s="414"/>
      <c r="Q816" s="414"/>
    </row>
    <row r="817" spans="1:17" s="32" customFormat="1" ht="19.5" customHeight="1">
      <c r="A817" s="411">
        <v>958</v>
      </c>
      <c r="B817" s="412" t="s">
        <v>9077</v>
      </c>
      <c r="C817" s="413"/>
      <c r="D817" s="413"/>
      <c r="E817" s="413" t="s">
        <v>3647</v>
      </c>
      <c r="F817" s="411" t="s">
        <v>10646</v>
      </c>
      <c r="G817" s="411" t="s">
        <v>213</v>
      </c>
      <c r="H817" s="411" t="s">
        <v>310</v>
      </c>
      <c r="I817" s="411" t="s">
        <v>11</v>
      </c>
      <c r="J817" s="411" t="s">
        <v>9063</v>
      </c>
      <c r="K817" s="414">
        <v>290</v>
      </c>
      <c r="L817" s="415">
        <v>150</v>
      </c>
      <c r="M817" s="414"/>
      <c r="N817" s="414"/>
      <c r="O817" s="414"/>
      <c r="P817" s="414"/>
      <c r="Q817" s="414"/>
    </row>
    <row r="818" spans="1:17" s="32" customFormat="1" ht="19.5" customHeight="1">
      <c r="A818" s="411">
        <v>960</v>
      </c>
      <c r="B818" s="413" t="s">
        <v>1365</v>
      </c>
      <c r="C818" s="413"/>
      <c r="D818" s="413"/>
      <c r="E818" s="413" t="s">
        <v>3647</v>
      </c>
      <c r="F818" s="411" t="s">
        <v>10645</v>
      </c>
      <c r="G818" s="411" t="s">
        <v>213</v>
      </c>
      <c r="H818" s="411" t="s">
        <v>310</v>
      </c>
      <c r="I818" s="411" t="s">
        <v>11</v>
      </c>
      <c r="J818" s="411" t="s">
        <v>9063</v>
      </c>
      <c r="K818" s="414">
        <v>268</v>
      </c>
      <c r="L818" s="415">
        <v>5764</v>
      </c>
      <c r="M818" s="414"/>
      <c r="N818" s="414"/>
      <c r="O818" s="414"/>
      <c r="P818" s="414"/>
      <c r="Q818" s="414"/>
    </row>
    <row r="819" spans="1:17" s="32" customFormat="1" ht="19.5" customHeight="1">
      <c r="A819" s="411">
        <v>961</v>
      </c>
      <c r="B819" s="413" t="s">
        <v>10647</v>
      </c>
      <c r="C819" s="413"/>
      <c r="D819" s="413"/>
      <c r="E819" s="413" t="s">
        <v>3648</v>
      </c>
      <c r="F819" s="411" t="s">
        <v>3246</v>
      </c>
      <c r="G819" s="411" t="s">
        <v>5156</v>
      </c>
      <c r="H819" s="411" t="s">
        <v>1807</v>
      </c>
      <c r="I819" s="411" t="s">
        <v>11</v>
      </c>
      <c r="J819" s="411" t="s">
        <v>9063</v>
      </c>
      <c r="K819" s="414">
        <v>1600</v>
      </c>
      <c r="L819" s="415">
        <v>10404</v>
      </c>
      <c r="M819" s="414"/>
      <c r="N819" s="414"/>
      <c r="O819" s="414"/>
      <c r="P819" s="414"/>
      <c r="Q819" s="414"/>
    </row>
    <row r="820" spans="1:17" s="32" customFormat="1" ht="19.5" customHeight="1">
      <c r="A820" s="411">
        <v>962</v>
      </c>
      <c r="B820" s="412" t="s">
        <v>9712</v>
      </c>
      <c r="C820" s="413"/>
      <c r="D820" s="413"/>
      <c r="E820" s="413" t="s">
        <v>10648</v>
      </c>
      <c r="F820" s="411" t="s">
        <v>10649</v>
      </c>
      <c r="G820" s="411" t="s">
        <v>6694</v>
      </c>
      <c r="H820" s="411" t="s">
        <v>10650</v>
      </c>
      <c r="I820" s="411" t="s">
        <v>628</v>
      </c>
      <c r="J820" s="411" t="s">
        <v>10651</v>
      </c>
      <c r="K820" s="414">
        <v>10508</v>
      </c>
      <c r="L820" s="415">
        <v>48</v>
      </c>
      <c r="M820" s="414"/>
      <c r="N820" s="414"/>
      <c r="O820" s="414"/>
      <c r="P820" s="414"/>
      <c r="Q820" s="414"/>
    </row>
    <row r="821" spans="1:17" s="32" customFormat="1" ht="19.5" customHeight="1">
      <c r="A821" s="411">
        <v>963</v>
      </c>
      <c r="B821" s="412" t="s">
        <v>9712</v>
      </c>
      <c r="C821" s="413"/>
      <c r="D821" s="413"/>
      <c r="E821" s="413" t="s">
        <v>10652</v>
      </c>
      <c r="F821" s="411" t="s">
        <v>10653</v>
      </c>
      <c r="G821" s="411" t="s">
        <v>6694</v>
      </c>
      <c r="H821" s="411" t="s">
        <v>10654</v>
      </c>
      <c r="I821" s="411" t="s">
        <v>628</v>
      </c>
      <c r="J821" s="411" t="s">
        <v>10651</v>
      </c>
      <c r="K821" s="414">
        <v>31525</v>
      </c>
      <c r="L821" s="415">
        <v>56</v>
      </c>
      <c r="M821" s="414"/>
      <c r="N821" s="414"/>
      <c r="O821" s="414"/>
      <c r="P821" s="414"/>
      <c r="Q821" s="414"/>
    </row>
    <row r="822" spans="1:17" s="32" customFormat="1" ht="19.5" customHeight="1">
      <c r="A822" s="411">
        <v>964</v>
      </c>
      <c r="B822" s="413" t="s">
        <v>433</v>
      </c>
      <c r="C822" s="413"/>
      <c r="D822" s="413"/>
      <c r="E822" s="413" t="s">
        <v>3649</v>
      </c>
      <c r="F822" s="411" t="s">
        <v>3249</v>
      </c>
      <c r="G822" s="411" t="s">
        <v>213</v>
      </c>
      <c r="H822" s="411" t="s">
        <v>272</v>
      </c>
      <c r="I822" s="411" t="s">
        <v>11</v>
      </c>
      <c r="J822" s="411" t="s">
        <v>1131</v>
      </c>
      <c r="K822" s="414">
        <v>1370</v>
      </c>
      <c r="L822" s="415">
        <v>0</v>
      </c>
      <c r="M822" s="414"/>
      <c r="N822" s="414"/>
      <c r="O822" s="414"/>
      <c r="P822" s="414"/>
      <c r="Q822" s="414"/>
    </row>
    <row r="823" spans="1:17" s="32" customFormat="1" ht="19.5" customHeight="1">
      <c r="A823" s="411">
        <v>965</v>
      </c>
      <c r="B823" s="412" t="s">
        <v>9871</v>
      </c>
      <c r="C823" s="413"/>
      <c r="D823" s="413"/>
      <c r="E823" s="413" t="s">
        <v>10655</v>
      </c>
      <c r="F823" s="411" t="s">
        <v>10656</v>
      </c>
      <c r="G823" s="411" t="s">
        <v>213</v>
      </c>
      <c r="H823" s="411" t="s">
        <v>9874</v>
      </c>
      <c r="I823" s="411" t="s">
        <v>520</v>
      </c>
      <c r="J823" s="411" t="s">
        <v>3049</v>
      </c>
      <c r="K823" s="414">
        <v>3444</v>
      </c>
      <c r="L823" s="415">
        <v>0</v>
      </c>
      <c r="M823" s="414"/>
      <c r="N823" s="414"/>
      <c r="O823" s="414"/>
      <c r="P823" s="414"/>
      <c r="Q823" s="414"/>
    </row>
    <row r="824" spans="1:17" s="32" customFormat="1" ht="19.5" customHeight="1">
      <c r="A824" s="411">
        <v>966</v>
      </c>
      <c r="B824" s="412" t="s">
        <v>3176</v>
      </c>
      <c r="C824" s="413"/>
      <c r="D824" s="413"/>
      <c r="E824" s="413" t="s">
        <v>10657</v>
      </c>
      <c r="F824" s="411" t="s">
        <v>3253</v>
      </c>
      <c r="G824" s="411" t="s">
        <v>5273</v>
      </c>
      <c r="H824" s="411" t="s">
        <v>3254</v>
      </c>
      <c r="I824" s="411" t="s">
        <v>18</v>
      </c>
      <c r="J824" s="411" t="s">
        <v>277</v>
      </c>
      <c r="K824" s="414">
        <v>8000</v>
      </c>
      <c r="L824" s="415">
        <v>25</v>
      </c>
      <c r="M824" s="414"/>
      <c r="N824" s="414"/>
      <c r="O824" s="414"/>
      <c r="P824" s="414"/>
      <c r="Q824" s="414"/>
    </row>
    <row r="825" spans="1:17" s="32" customFormat="1" ht="19.5" customHeight="1">
      <c r="A825" s="411">
        <v>967</v>
      </c>
      <c r="B825" s="420" t="s">
        <v>3176</v>
      </c>
      <c r="C825" s="421"/>
      <c r="D825" s="421"/>
      <c r="E825" s="412" t="s">
        <v>10657</v>
      </c>
      <c r="F825" s="417" t="s">
        <v>3253</v>
      </c>
      <c r="G825" s="417" t="s">
        <v>5273</v>
      </c>
      <c r="H825" s="417" t="s">
        <v>3254</v>
      </c>
      <c r="I825" s="417" t="s">
        <v>18</v>
      </c>
      <c r="J825" s="417" t="s">
        <v>277</v>
      </c>
      <c r="K825" s="418">
        <v>9450</v>
      </c>
      <c r="L825" s="419">
        <v>81</v>
      </c>
      <c r="M825" s="418"/>
      <c r="N825" s="414"/>
      <c r="O825" s="414"/>
      <c r="P825" s="418"/>
      <c r="Q825" s="418"/>
    </row>
    <row r="826" spans="1:17" s="32" customFormat="1" ht="19.5" customHeight="1">
      <c r="A826" s="411">
        <v>969</v>
      </c>
      <c r="B826" s="412" t="s">
        <v>10658</v>
      </c>
      <c r="C826" s="413"/>
      <c r="D826" s="413"/>
      <c r="E826" s="413" t="s">
        <v>10659</v>
      </c>
      <c r="F826" s="411" t="s">
        <v>10660</v>
      </c>
      <c r="G826" s="411" t="s">
        <v>213</v>
      </c>
      <c r="H826" s="411" t="s">
        <v>3144</v>
      </c>
      <c r="I826" s="411" t="s">
        <v>11</v>
      </c>
      <c r="J826" s="411" t="s">
        <v>9711</v>
      </c>
      <c r="K826" s="414">
        <v>795</v>
      </c>
      <c r="L826" s="415">
        <v>33</v>
      </c>
      <c r="M826" s="414"/>
      <c r="N826" s="414"/>
      <c r="O826" s="414"/>
      <c r="P826" s="414"/>
      <c r="Q826" s="414"/>
    </row>
    <row r="827" spans="1:17" s="32" customFormat="1" ht="19.5" customHeight="1">
      <c r="A827" s="411">
        <v>970</v>
      </c>
      <c r="B827" s="412" t="s">
        <v>10661</v>
      </c>
      <c r="C827" s="413"/>
      <c r="D827" s="413"/>
      <c r="E827" s="413" t="s">
        <v>3650</v>
      </c>
      <c r="F827" s="411" t="s">
        <v>10662</v>
      </c>
      <c r="G827" s="411" t="s">
        <v>10663</v>
      </c>
      <c r="H827" s="411" t="s">
        <v>342</v>
      </c>
      <c r="I827" s="411" t="s">
        <v>520</v>
      </c>
      <c r="J827" s="411" t="s">
        <v>10664</v>
      </c>
      <c r="K827" s="414">
        <v>756</v>
      </c>
      <c r="L827" s="415">
        <v>0</v>
      </c>
      <c r="M827" s="414"/>
      <c r="N827" s="414"/>
      <c r="O827" s="414"/>
      <c r="P827" s="414"/>
      <c r="Q827" s="414"/>
    </row>
    <row r="828" spans="1:17" s="32" customFormat="1" ht="19.5" customHeight="1">
      <c r="A828" s="411">
        <v>971</v>
      </c>
      <c r="B828" s="412" t="s">
        <v>10661</v>
      </c>
      <c r="C828" s="413"/>
      <c r="D828" s="413"/>
      <c r="E828" s="413" t="s">
        <v>3650</v>
      </c>
      <c r="F828" s="411" t="s">
        <v>10665</v>
      </c>
      <c r="G828" s="411" t="s">
        <v>213</v>
      </c>
      <c r="H828" s="411" t="s">
        <v>342</v>
      </c>
      <c r="I828" s="411" t="s">
        <v>520</v>
      </c>
      <c r="J828" s="411" t="s">
        <v>10664</v>
      </c>
      <c r="K828" s="414">
        <v>819</v>
      </c>
      <c r="L828" s="415">
        <v>174</v>
      </c>
      <c r="M828" s="414"/>
      <c r="N828" s="414"/>
      <c r="O828" s="414"/>
      <c r="P828" s="414"/>
      <c r="Q828" s="414"/>
    </row>
    <row r="829" spans="1:17" s="32" customFormat="1" ht="19.5" customHeight="1">
      <c r="A829" s="411">
        <v>972</v>
      </c>
      <c r="B829" s="412" t="s">
        <v>10661</v>
      </c>
      <c r="C829" s="413"/>
      <c r="D829" s="413"/>
      <c r="E829" s="413" t="s">
        <v>10666</v>
      </c>
      <c r="F829" s="411" t="s">
        <v>10667</v>
      </c>
      <c r="G829" s="411" t="s">
        <v>6694</v>
      </c>
      <c r="H829" s="411" t="s">
        <v>342</v>
      </c>
      <c r="I829" s="411" t="s">
        <v>520</v>
      </c>
      <c r="J829" s="411" t="s">
        <v>10664</v>
      </c>
      <c r="K829" s="414">
        <v>680</v>
      </c>
      <c r="L829" s="415">
        <v>392</v>
      </c>
      <c r="M829" s="414"/>
      <c r="N829" s="414"/>
      <c r="O829" s="414"/>
      <c r="P829" s="414"/>
      <c r="Q829" s="414"/>
    </row>
    <row r="830" spans="1:17" s="32" customFormat="1" ht="19.5" customHeight="1">
      <c r="A830" s="411">
        <v>974</v>
      </c>
      <c r="B830" s="412" t="s">
        <v>10668</v>
      </c>
      <c r="C830" s="416"/>
      <c r="D830" s="416"/>
      <c r="E830" s="412" t="s">
        <v>10669</v>
      </c>
      <c r="F830" s="417" t="s">
        <v>10670</v>
      </c>
      <c r="G830" s="417" t="s">
        <v>6694</v>
      </c>
      <c r="H830" s="417" t="s">
        <v>10671</v>
      </c>
      <c r="I830" s="417" t="s">
        <v>15</v>
      </c>
      <c r="J830" s="417" t="s">
        <v>9027</v>
      </c>
      <c r="K830" s="418">
        <v>19000</v>
      </c>
      <c r="L830" s="419">
        <v>20</v>
      </c>
      <c r="M830" s="418"/>
      <c r="N830" s="414"/>
      <c r="O830" s="414"/>
      <c r="P830" s="418"/>
      <c r="Q830" s="418"/>
    </row>
    <row r="831" spans="1:17" s="32" customFormat="1" ht="19.5" customHeight="1">
      <c r="A831" s="411">
        <v>975</v>
      </c>
      <c r="B831" s="412" t="s">
        <v>10672</v>
      </c>
      <c r="C831" s="413"/>
      <c r="D831" s="413"/>
      <c r="E831" s="413" t="s">
        <v>10673</v>
      </c>
      <c r="F831" s="411" t="s">
        <v>10674</v>
      </c>
      <c r="G831" s="411" t="s">
        <v>6694</v>
      </c>
      <c r="H831" s="411" t="s">
        <v>2532</v>
      </c>
      <c r="I831" s="411" t="s">
        <v>13</v>
      </c>
      <c r="J831" s="411" t="s">
        <v>10675</v>
      </c>
      <c r="K831" s="414">
        <v>1313</v>
      </c>
      <c r="L831" s="415">
        <v>343</v>
      </c>
      <c r="M831" s="414"/>
      <c r="N831" s="414"/>
      <c r="O831" s="414"/>
      <c r="P831" s="414"/>
      <c r="Q831" s="414"/>
    </row>
    <row r="832" spans="1:17" s="32" customFormat="1" ht="19.5" customHeight="1">
      <c r="A832" s="411">
        <v>977</v>
      </c>
      <c r="B832" s="412" t="s">
        <v>10676</v>
      </c>
      <c r="C832" s="413"/>
      <c r="D832" s="413"/>
      <c r="E832" s="413" t="s">
        <v>10677</v>
      </c>
      <c r="F832" s="411" t="s">
        <v>3259</v>
      </c>
      <c r="G832" s="411" t="s">
        <v>6694</v>
      </c>
      <c r="H832" s="411" t="s">
        <v>10678</v>
      </c>
      <c r="I832" s="411" t="s">
        <v>11</v>
      </c>
      <c r="J832" s="411" t="s">
        <v>10679</v>
      </c>
      <c r="K832" s="414">
        <v>567</v>
      </c>
      <c r="L832" s="415">
        <v>0</v>
      </c>
      <c r="M832" s="414"/>
      <c r="N832" s="414"/>
      <c r="O832" s="414"/>
      <c r="P832" s="414"/>
      <c r="Q832" s="414"/>
    </row>
    <row r="833" spans="1:17" s="32" customFormat="1" ht="19.5" customHeight="1">
      <c r="A833" s="411">
        <v>978</v>
      </c>
      <c r="B833" s="420" t="s">
        <v>10676</v>
      </c>
      <c r="C833" s="421"/>
      <c r="D833" s="421"/>
      <c r="E833" s="412" t="s">
        <v>10680</v>
      </c>
      <c r="F833" s="417" t="s">
        <v>3259</v>
      </c>
      <c r="G833" s="417" t="s">
        <v>6694</v>
      </c>
      <c r="H833" s="417" t="s">
        <v>2531</v>
      </c>
      <c r="I833" s="417" t="s">
        <v>11</v>
      </c>
      <c r="J833" s="417" t="s">
        <v>10438</v>
      </c>
      <c r="K833" s="418">
        <v>588</v>
      </c>
      <c r="L833" s="419">
        <v>0</v>
      </c>
      <c r="M833" s="418"/>
      <c r="N833" s="414"/>
      <c r="O833" s="414"/>
      <c r="P833" s="418"/>
      <c r="Q833" s="418"/>
    </row>
    <row r="834" spans="1:17" s="32" customFormat="1" ht="19.5" customHeight="1">
      <c r="A834" s="411">
        <v>979</v>
      </c>
      <c r="B834" s="412" t="s">
        <v>564</v>
      </c>
      <c r="C834" s="413"/>
      <c r="D834" s="413"/>
      <c r="E834" s="413" t="s">
        <v>10681</v>
      </c>
      <c r="F834" s="411" t="s">
        <v>10682</v>
      </c>
      <c r="G834" s="411" t="s">
        <v>213</v>
      </c>
      <c r="H834" s="411" t="s">
        <v>10683</v>
      </c>
      <c r="I834" s="411" t="s">
        <v>11</v>
      </c>
      <c r="J834" s="411" t="s">
        <v>9063</v>
      </c>
      <c r="K834" s="414">
        <v>735</v>
      </c>
      <c r="L834" s="415">
        <v>0</v>
      </c>
      <c r="M834" s="414"/>
      <c r="N834" s="414"/>
      <c r="O834" s="414"/>
      <c r="P834" s="414"/>
      <c r="Q834" s="414"/>
    </row>
    <row r="835" spans="1:17" s="32" customFormat="1" ht="19.5" customHeight="1">
      <c r="A835" s="411">
        <v>980</v>
      </c>
      <c r="B835" s="413" t="s">
        <v>564</v>
      </c>
      <c r="C835" s="413"/>
      <c r="D835" s="413"/>
      <c r="E835" s="413" t="s">
        <v>10684</v>
      </c>
      <c r="F835" s="411" t="s">
        <v>1078</v>
      </c>
      <c r="G835" s="411" t="s">
        <v>213</v>
      </c>
      <c r="H835" s="411" t="s">
        <v>2532</v>
      </c>
      <c r="I835" s="411" t="s">
        <v>13</v>
      </c>
      <c r="J835" s="411" t="s">
        <v>10685</v>
      </c>
      <c r="K835" s="414">
        <v>1103</v>
      </c>
      <c r="L835" s="415">
        <v>0</v>
      </c>
      <c r="M835" s="414"/>
      <c r="N835" s="414"/>
      <c r="O835" s="414"/>
      <c r="P835" s="414"/>
      <c r="Q835" s="414"/>
    </row>
    <row r="836" spans="1:17" s="32" customFormat="1" ht="19.5" customHeight="1">
      <c r="A836" s="411">
        <v>981</v>
      </c>
      <c r="B836" s="413" t="s">
        <v>564</v>
      </c>
      <c r="C836" s="413"/>
      <c r="D836" s="413"/>
      <c r="E836" s="413" t="s">
        <v>3262</v>
      </c>
      <c r="F836" s="411" t="s">
        <v>3263</v>
      </c>
      <c r="G836" s="411" t="s">
        <v>213</v>
      </c>
      <c r="H836" s="411" t="s">
        <v>566</v>
      </c>
      <c r="I836" s="411" t="s">
        <v>11</v>
      </c>
      <c r="J836" s="411" t="s">
        <v>825</v>
      </c>
      <c r="K836" s="414">
        <v>630</v>
      </c>
      <c r="L836" s="415">
        <v>0</v>
      </c>
      <c r="M836" s="414"/>
      <c r="N836" s="414"/>
      <c r="O836" s="414"/>
      <c r="P836" s="414"/>
      <c r="Q836" s="414"/>
    </row>
    <row r="837" spans="1:17" s="32" customFormat="1" ht="19.5" customHeight="1">
      <c r="A837" s="411">
        <v>982</v>
      </c>
      <c r="B837" s="412" t="s">
        <v>10676</v>
      </c>
      <c r="C837" s="413"/>
      <c r="D837" s="413"/>
      <c r="E837" s="413" t="s">
        <v>4552</v>
      </c>
      <c r="F837" s="411" t="s">
        <v>9562</v>
      </c>
      <c r="G837" s="411" t="s">
        <v>213</v>
      </c>
      <c r="H837" s="411" t="s">
        <v>10686</v>
      </c>
      <c r="I837" s="411" t="s">
        <v>11</v>
      </c>
      <c r="J837" s="411" t="s">
        <v>9063</v>
      </c>
      <c r="K837" s="414">
        <v>584</v>
      </c>
      <c r="L837" s="415">
        <v>168</v>
      </c>
      <c r="M837" s="414"/>
      <c r="N837" s="414"/>
      <c r="O837" s="414"/>
      <c r="P837" s="414"/>
      <c r="Q837" s="414"/>
    </row>
    <row r="838" spans="1:17" s="32" customFormat="1" ht="19.5" customHeight="1">
      <c r="A838" s="411">
        <v>983</v>
      </c>
      <c r="B838" s="412" t="s">
        <v>10676</v>
      </c>
      <c r="C838" s="413"/>
      <c r="D838" s="413"/>
      <c r="E838" s="413" t="s">
        <v>4552</v>
      </c>
      <c r="F838" s="411" t="s">
        <v>10687</v>
      </c>
      <c r="G838" s="411" t="s">
        <v>6694</v>
      </c>
      <c r="H838" s="411" t="s">
        <v>566</v>
      </c>
      <c r="I838" s="411" t="s">
        <v>11</v>
      </c>
      <c r="J838" s="411" t="s">
        <v>9063</v>
      </c>
      <c r="K838" s="414">
        <v>597</v>
      </c>
      <c r="L838" s="415">
        <v>1167</v>
      </c>
      <c r="M838" s="414"/>
      <c r="N838" s="414"/>
      <c r="O838" s="414"/>
      <c r="P838" s="414"/>
      <c r="Q838" s="414"/>
    </row>
    <row r="839" spans="1:17" s="32" customFormat="1" ht="19.5" customHeight="1">
      <c r="A839" s="411">
        <v>985</v>
      </c>
      <c r="B839" s="412" t="s">
        <v>10688</v>
      </c>
      <c r="C839" s="413"/>
      <c r="D839" s="413"/>
      <c r="E839" s="413" t="s">
        <v>3651</v>
      </c>
      <c r="F839" s="411" t="s">
        <v>10689</v>
      </c>
      <c r="G839" s="411" t="s">
        <v>213</v>
      </c>
      <c r="H839" s="411" t="s">
        <v>299</v>
      </c>
      <c r="I839" s="411" t="s">
        <v>11</v>
      </c>
      <c r="J839" s="411" t="s">
        <v>9063</v>
      </c>
      <c r="K839" s="414">
        <v>390</v>
      </c>
      <c r="L839" s="415">
        <v>2</v>
      </c>
      <c r="M839" s="414"/>
      <c r="N839" s="414"/>
      <c r="O839" s="414"/>
      <c r="P839" s="414"/>
      <c r="Q839" s="414"/>
    </row>
    <row r="840" spans="1:17" s="32" customFormat="1" ht="19.5" customHeight="1">
      <c r="A840" s="411">
        <v>986</v>
      </c>
      <c r="B840" s="412" t="s">
        <v>1480</v>
      </c>
      <c r="C840" s="416"/>
      <c r="D840" s="416"/>
      <c r="E840" s="412" t="s">
        <v>10690</v>
      </c>
      <c r="F840" s="417" t="s">
        <v>10691</v>
      </c>
      <c r="G840" s="417" t="s">
        <v>5273</v>
      </c>
      <c r="H840" s="417" t="s">
        <v>10692</v>
      </c>
      <c r="I840" s="417" t="s">
        <v>14</v>
      </c>
      <c r="J840" s="417" t="s">
        <v>10693</v>
      </c>
      <c r="K840" s="418">
        <v>39500</v>
      </c>
      <c r="L840" s="419">
        <v>0</v>
      </c>
      <c r="M840" s="418"/>
      <c r="N840" s="414"/>
      <c r="O840" s="414"/>
      <c r="P840" s="418"/>
      <c r="Q840" s="418"/>
    </row>
    <row r="841" spans="1:17" s="32" customFormat="1" ht="19.5" customHeight="1">
      <c r="A841" s="411">
        <v>987</v>
      </c>
      <c r="B841" s="412" t="s">
        <v>392</v>
      </c>
      <c r="C841" s="413"/>
      <c r="D841" s="413"/>
      <c r="E841" s="413" t="s">
        <v>2533</v>
      </c>
      <c r="F841" s="411" t="s">
        <v>3268</v>
      </c>
      <c r="G841" s="411" t="s">
        <v>5121</v>
      </c>
      <c r="H841" s="411" t="s">
        <v>267</v>
      </c>
      <c r="I841" s="411" t="s">
        <v>14</v>
      </c>
      <c r="J841" s="411" t="s">
        <v>10694</v>
      </c>
      <c r="K841" s="414">
        <v>52500</v>
      </c>
      <c r="L841" s="415">
        <v>0</v>
      </c>
      <c r="M841" s="414"/>
      <c r="N841" s="414"/>
      <c r="O841" s="414"/>
      <c r="P841" s="414"/>
      <c r="Q841" s="414"/>
    </row>
    <row r="842" spans="1:17" s="32" customFormat="1" ht="19.5" customHeight="1">
      <c r="A842" s="411">
        <v>988</v>
      </c>
      <c r="B842" s="413" t="s">
        <v>3463</v>
      </c>
      <c r="C842" s="413"/>
      <c r="D842" s="413"/>
      <c r="E842" s="413" t="s">
        <v>10695</v>
      </c>
      <c r="F842" s="411" t="s">
        <v>10696</v>
      </c>
      <c r="G842" s="411" t="s">
        <v>5605</v>
      </c>
      <c r="H842" s="411" t="s">
        <v>3467</v>
      </c>
      <c r="I842" s="411" t="s">
        <v>11</v>
      </c>
      <c r="J842" s="411" t="s">
        <v>553</v>
      </c>
      <c r="K842" s="414">
        <v>1450</v>
      </c>
      <c r="L842" s="415">
        <v>5786</v>
      </c>
      <c r="M842" s="414"/>
      <c r="N842" s="414"/>
      <c r="O842" s="414"/>
      <c r="P842" s="414"/>
      <c r="Q842" s="414"/>
    </row>
    <row r="843" spans="1:17" s="32" customFormat="1" ht="19.5" customHeight="1">
      <c r="A843" s="411">
        <v>989</v>
      </c>
      <c r="B843" s="412" t="s">
        <v>3463</v>
      </c>
      <c r="C843" s="413"/>
      <c r="D843" s="413"/>
      <c r="E843" s="413" t="s">
        <v>10697</v>
      </c>
      <c r="F843" s="411" t="s">
        <v>10698</v>
      </c>
      <c r="G843" s="411" t="s">
        <v>5273</v>
      </c>
      <c r="H843" s="411" t="s">
        <v>3467</v>
      </c>
      <c r="I843" s="411" t="s">
        <v>11</v>
      </c>
      <c r="J843" s="411" t="s">
        <v>553</v>
      </c>
      <c r="K843" s="414">
        <v>1740</v>
      </c>
      <c r="L843" s="415">
        <v>0</v>
      </c>
      <c r="M843" s="414"/>
      <c r="N843" s="414"/>
      <c r="O843" s="414"/>
      <c r="P843" s="414"/>
      <c r="Q843" s="414"/>
    </row>
    <row r="844" spans="1:17" s="32" customFormat="1" ht="19.5" customHeight="1">
      <c r="A844" s="411">
        <v>991</v>
      </c>
      <c r="B844" s="412" t="s">
        <v>2146</v>
      </c>
      <c r="C844" s="413"/>
      <c r="D844" s="413"/>
      <c r="E844" s="413" t="s">
        <v>10699</v>
      </c>
      <c r="F844" s="411" t="s">
        <v>10700</v>
      </c>
      <c r="G844" s="411" t="s">
        <v>213</v>
      </c>
      <c r="H844" s="411" t="s">
        <v>235</v>
      </c>
      <c r="I844" s="411" t="s">
        <v>11</v>
      </c>
      <c r="J844" s="411" t="s">
        <v>9063</v>
      </c>
      <c r="K844" s="414">
        <v>280</v>
      </c>
      <c r="L844" s="415">
        <v>0</v>
      </c>
      <c r="M844" s="414"/>
      <c r="N844" s="414"/>
      <c r="O844" s="414"/>
      <c r="P844" s="414"/>
      <c r="Q844" s="414"/>
    </row>
    <row r="845" spans="1:17" s="32" customFormat="1" ht="19.5" customHeight="1">
      <c r="A845" s="411">
        <v>992</v>
      </c>
      <c r="B845" s="413" t="s">
        <v>2537</v>
      </c>
      <c r="C845" s="413"/>
      <c r="D845" s="413"/>
      <c r="E845" s="413" t="s">
        <v>2536</v>
      </c>
      <c r="F845" s="411" t="s">
        <v>3275</v>
      </c>
      <c r="G845" s="411" t="s">
        <v>213</v>
      </c>
      <c r="H845" s="411" t="s">
        <v>2538</v>
      </c>
      <c r="I845" s="411" t="s">
        <v>13</v>
      </c>
      <c r="J845" s="411" t="s">
        <v>10701</v>
      </c>
      <c r="K845" s="414">
        <v>1428</v>
      </c>
      <c r="L845" s="415">
        <v>203</v>
      </c>
      <c r="M845" s="414"/>
      <c r="N845" s="414"/>
      <c r="O845" s="414"/>
      <c r="P845" s="414"/>
      <c r="Q845" s="414"/>
    </row>
    <row r="846" spans="1:17" s="32" customFormat="1" ht="19.5" customHeight="1">
      <c r="A846" s="411">
        <v>993</v>
      </c>
      <c r="B846" s="412" t="s">
        <v>10702</v>
      </c>
      <c r="C846" s="413"/>
      <c r="D846" s="413"/>
      <c r="E846" s="413" t="s">
        <v>10703</v>
      </c>
      <c r="F846" s="411" t="s">
        <v>10704</v>
      </c>
      <c r="G846" s="411" t="s">
        <v>6346</v>
      </c>
      <c r="H846" s="411" t="s">
        <v>327</v>
      </c>
      <c r="I846" s="411" t="s">
        <v>10</v>
      </c>
      <c r="J846" s="411" t="s">
        <v>642</v>
      </c>
      <c r="K846" s="414">
        <v>1767</v>
      </c>
      <c r="L846" s="415">
        <v>28</v>
      </c>
      <c r="M846" s="414"/>
      <c r="N846" s="414"/>
      <c r="O846" s="414"/>
      <c r="P846" s="414"/>
      <c r="Q846" s="414"/>
    </row>
    <row r="847" spans="1:17" s="32" customFormat="1" ht="19.5" customHeight="1">
      <c r="A847" s="411">
        <v>994</v>
      </c>
      <c r="B847" s="448" t="s">
        <v>10705</v>
      </c>
      <c r="C847" s="413"/>
      <c r="D847" s="413"/>
      <c r="E847" s="413" t="s">
        <v>10706</v>
      </c>
      <c r="F847" s="411" t="s">
        <v>10707</v>
      </c>
      <c r="G847" s="411" t="s">
        <v>213</v>
      </c>
      <c r="H847" s="448" t="s">
        <v>9874</v>
      </c>
      <c r="I847" s="411" t="s">
        <v>520</v>
      </c>
      <c r="J847" s="411" t="s">
        <v>3049</v>
      </c>
      <c r="K847" s="414">
        <v>3980</v>
      </c>
      <c r="L847" s="415">
        <v>0</v>
      </c>
      <c r="M847" s="414"/>
      <c r="N847" s="414"/>
      <c r="O847" s="414"/>
      <c r="P847" s="414"/>
      <c r="Q847" s="414"/>
    </row>
    <row r="848" spans="1:17" s="32" customFormat="1" ht="19.5" customHeight="1">
      <c r="A848" s="411">
        <v>995</v>
      </c>
      <c r="B848" s="412" t="s">
        <v>4989</v>
      </c>
      <c r="C848" s="413"/>
      <c r="D848" s="413"/>
      <c r="E848" s="413" t="s">
        <v>10708</v>
      </c>
      <c r="F848" s="411" t="s">
        <v>10709</v>
      </c>
      <c r="G848" s="411" t="s">
        <v>213</v>
      </c>
      <c r="H848" s="411" t="s">
        <v>2518</v>
      </c>
      <c r="I848" s="411" t="s">
        <v>11</v>
      </c>
      <c r="J848" s="411" t="s">
        <v>9063</v>
      </c>
      <c r="K848" s="414">
        <v>1550</v>
      </c>
      <c r="L848" s="415">
        <v>0</v>
      </c>
      <c r="M848" s="414"/>
      <c r="N848" s="414"/>
      <c r="O848" s="414"/>
      <c r="P848" s="414"/>
      <c r="Q848" s="414"/>
    </row>
    <row r="849" spans="1:17" s="32" customFormat="1" ht="19.5" customHeight="1">
      <c r="A849" s="411">
        <v>996</v>
      </c>
      <c r="B849" s="412" t="s">
        <v>10710</v>
      </c>
      <c r="C849" s="413"/>
      <c r="D849" s="413"/>
      <c r="E849" s="413" t="s">
        <v>10711</v>
      </c>
      <c r="F849" s="411" t="s">
        <v>10712</v>
      </c>
      <c r="G849" s="411" t="s">
        <v>213</v>
      </c>
      <c r="H849" s="411" t="s">
        <v>10713</v>
      </c>
      <c r="I849" s="411" t="s">
        <v>12</v>
      </c>
      <c r="J849" s="411" t="s">
        <v>2919</v>
      </c>
      <c r="K849" s="414">
        <v>1685</v>
      </c>
      <c r="L849" s="415">
        <v>0</v>
      </c>
      <c r="M849" s="414"/>
      <c r="N849" s="414"/>
      <c r="O849" s="414"/>
      <c r="P849" s="414"/>
      <c r="Q849" s="414"/>
    </row>
    <row r="850" spans="1:17" s="32" customFormat="1" ht="19.5" customHeight="1">
      <c r="A850" s="411">
        <v>997</v>
      </c>
      <c r="B850" s="412" t="s">
        <v>10354</v>
      </c>
      <c r="C850" s="413"/>
      <c r="D850" s="413"/>
      <c r="E850" s="413" t="s">
        <v>10714</v>
      </c>
      <c r="F850" s="411" t="s">
        <v>10715</v>
      </c>
      <c r="G850" s="411" t="s">
        <v>213</v>
      </c>
      <c r="H850" s="411" t="s">
        <v>2517</v>
      </c>
      <c r="I850" s="411" t="s">
        <v>18</v>
      </c>
      <c r="J850" s="411" t="s">
        <v>10716</v>
      </c>
      <c r="K850" s="414">
        <v>16800</v>
      </c>
      <c r="L850" s="415">
        <v>0</v>
      </c>
      <c r="M850" s="414"/>
      <c r="N850" s="414"/>
      <c r="O850" s="414"/>
      <c r="P850" s="414"/>
      <c r="Q850" s="414"/>
    </row>
    <row r="851" spans="1:17" s="32" customFormat="1" ht="19.5" customHeight="1">
      <c r="A851" s="411">
        <v>998</v>
      </c>
      <c r="B851" s="412" t="s">
        <v>10022</v>
      </c>
      <c r="C851" s="413"/>
      <c r="D851" s="413"/>
      <c r="E851" s="413" t="s">
        <v>10717</v>
      </c>
      <c r="F851" s="411" t="s">
        <v>10718</v>
      </c>
      <c r="G851" s="411" t="s">
        <v>6694</v>
      </c>
      <c r="H851" s="411" t="s">
        <v>849</v>
      </c>
      <c r="I851" s="411" t="s">
        <v>13</v>
      </c>
      <c r="J851" s="411" t="s">
        <v>10719</v>
      </c>
      <c r="K851" s="414">
        <v>5100</v>
      </c>
      <c r="L851" s="415">
        <v>5642</v>
      </c>
      <c r="M851" s="414"/>
      <c r="N851" s="414"/>
      <c r="O851" s="414"/>
      <c r="P851" s="414"/>
      <c r="Q851" s="414"/>
    </row>
    <row r="852" spans="1:17" s="32" customFormat="1" ht="19.5" customHeight="1">
      <c r="A852" s="411">
        <v>1000</v>
      </c>
      <c r="B852" s="412" t="s">
        <v>10720</v>
      </c>
      <c r="C852" s="413"/>
      <c r="D852" s="413"/>
      <c r="E852" s="413" t="s">
        <v>10721</v>
      </c>
      <c r="F852" s="411" t="s">
        <v>10722</v>
      </c>
      <c r="G852" s="411" t="s">
        <v>213</v>
      </c>
      <c r="H852" s="411" t="s">
        <v>10723</v>
      </c>
      <c r="I852" s="411" t="s">
        <v>18</v>
      </c>
      <c r="J852" s="411" t="s">
        <v>10568</v>
      </c>
      <c r="K852" s="414">
        <v>2100</v>
      </c>
      <c r="L852" s="415">
        <v>0</v>
      </c>
      <c r="M852" s="414"/>
      <c r="N852" s="414"/>
      <c r="O852" s="414"/>
      <c r="P852" s="414"/>
      <c r="Q852" s="414"/>
    </row>
    <row r="853" spans="1:17" s="32" customFormat="1" ht="19.5" customHeight="1">
      <c r="A853" s="411">
        <v>1001</v>
      </c>
      <c r="B853" s="412" t="s">
        <v>10724</v>
      </c>
      <c r="C853" s="413"/>
      <c r="D853" s="413"/>
      <c r="E853" s="413" t="s">
        <v>10725</v>
      </c>
      <c r="F853" s="411" t="s">
        <v>10726</v>
      </c>
      <c r="G853" s="411" t="s">
        <v>5185</v>
      </c>
      <c r="H853" s="411" t="s">
        <v>10727</v>
      </c>
      <c r="I853" s="411" t="s">
        <v>520</v>
      </c>
      <c r="J853" s="411" t="s">
        <v>2654</v>
      </c>
      <c r="K853" s="414">
        <v>4000</v>
      </c>
      <c r="L853" s="415">
        <v>69</v>
      </c>
      <c r="M853" s="414"/>
      <c r="N853" s="414"/>
      <c r="O853" s="414"/>
      <c r="P853" s="414"/>
      <c r="Q853" s="414"/>
    </row>
    <row r="854" spans="1:17" s="32" customFormat="1" ht="19.5" customHeight="1">
      <c r="A854" s="411">
        <v>1002</v>
      </c>
      <c r="B854" s="413" t="s">
        <v>242</v>
      </c>
      <c r="C854" s="413"/>
      <c r="D854" s="413"/>
      <c r="E854" s="413" t="s">
        <v>10728</v>
      </c>
      <c r="F854" s="411" t="s">
        <v>3277</v>
      </c>
      <c r="G854" s="411" t="s">
        <v>10303</v>
      </c>
      <c r="H854" s="411" t="s">
        <v>2539</v>
      </c>
      <c r="I854" s="411" t="s">
        <v>520</v>
      </c>
      <c r="J854" s="411" t="s">
        <v>2874</v>
      </c>
      <c r="K854" s="414">
        <v>3150</v>
      </c>
      <c r="L854" s="415">
        <v>50</v>
      </c>
      <c r="M854" s="414"/>
      <c r="N854" s="414"/>
      <c r="O854" s="414"/>
      <c r="P854" s="414"/>
      <c r="Q854" s="414"/>
    </row>
    <row r="855" spans="1:17" s="32" customFormat="1" ht="19.5" customHeight="1">
      <c r="A855" s="411">
        <v>1003</v>
      </c>
      <c r="B855" s="412" t="s">
        <v>2618</v>
      </c>
      <c r="C855" s="413"/>
      <c r="D855" s="413"/>
      <c r="E855" s="413" t="s">
        <v>10729</v>
      </c>
      <c r="F855" s="411" t="s">
        <v>10730</v>
      </c>
      <c r="G855" s="411" t="s">
        <v>5105</v>
      </c>
      <c r="H855" s="411" t="s">
        <v>5866</v>
      </c>
      <c r="I855" s="411" t="s">
        <v>628</v>
      </c>
      <c r="J855" s="411" t="s">
        <v>2874</v>
      </c>
      <c r="K855" s="414">
        <v>16800</v>
      </c>
      <c r="L855" s="415">
        <v>18</v>
      </c>
      <c r="M855" s="414"/>
      <c r="N855" s="414"/>
      <c r="O855" s="414"/>
      <c r="P855" s="414"/>
      <c r="Q855" s="414"/>
    </row>
    <row r="856" spans="1:17" s="32" customFormat="1" ht="19.5" customHeight="1">
      <c r="A856" s="411">
        <v>1004</v>
      </c>
      <c r="B856" s="412" t="s">
        <v>227</v>
      </c>
      <c r="C856" s="413"/>
      <c r="D856" s="413"/>
      <c r="E856" s="413" t="s">
        <v>1369</v>
      </c>
      <c r="F856" s="411" t="s">
        <v>10731</v>
      </c>
      <c r="G856" s="411" t="s">
        <v>213</v>
      </c>
      <c r="H856" s="411" t="s">
        <v>1370</v>
      </c>
      <c r="I856" s="411" t="s">
        <v>11</v>
      </c>
      <c r="J856" s="411" t="s">
        <v>642</v>
      </c>
      <c r="K856" s="414">
        <v>98</v>
      </c>
      <c r="L856" s="415">
        <v>0</v>
      </c>
      <c r="M856" s="414"/>
      <c r="N856" s="414"/>
      <c r="O856" s="414"/>
      <c r="P856" s="414"/>
      <c r="Q856" s="414"/>
    </row>
    <row r="857" spans="1:17" s="32" customFormat="1" ht="19.5" customHeight="1">
      <c r="A857" s="411">
        <v>1005</v>
      </c>
      <c r="B857" s="412" t="s">
        <v>9058</v>
      </c>
      <c r="C857" s="416"/>
      <c r="D857" s="416"/>
      <c r="E857" s="412" t="s">
        <v>1369</v>
      </c>
      <c r="F857" s="417" t="s">
        <v>1372</v>
      </c>
      <c r="G857" s="417" t="s">
        <v>6694</v>
      </c>
      <c r="H857" s="417" t="s">
        <v>1370</v>
      </c>
      <c r="I857" s="417" t="s">
        <v>11</v>
      </c>
      <c r="J857" s="417" t="s">
        <v>842</v>
      </c>
      <c r="K857" s="418">
        <v>84</v>
      </c>
      <c r="L857" s="419">
        <v>9574</v>
      </c>
      <c r="M857" s="418"/>
      <c r="N857" s="414"/>
      <c r="O857" s="414"/>
      <c r="P857" s="418"/>
      <c r="Q857" s="418"/>
    </row>
    <row r="858" spans="1:17" s="32" customFormat="1" ht="19.5" customHeight="1">
      <c r="A858" s="411">
        <v>1007</v>
      </c>
      <c r="B858" s="412" t="s">
        <v>227</v>
      </c>
      <c r="C858" s="413"/>
      <c r="D858" s="413"/>
      <c r="E858" s="413" t="s">
        <v>10732</v>
      </c>
      <c r="F858" s="411" t="s">
        <v>10733</v>
      </c>
      <c r="G858" s="411" t="s">
        <v>213</v>
      </c>
      <c r="H858" s="411" t="s">
        <v>225</v>
      </c>
      <c r="I858" s="411" t="s">
        <v>11</v>
      </c>
      <c r="J858" s="411" t="s">
        <v>642</v>
      </c>
      <c r="K858" s="414">
        <v>98</v>
      </c>
      <c r="L858" s="415">
        <v>0</v>
      </c>
      <c r="M858" s="414"/>
      <c r="N858" s="414"/>
      <c r="O858" s="414"/>
      <c r="P858" s="414"/>
      <c r="Q858" s="414"/>
    </row>
    <row r="859" spans="1:17" s="32" customFormat="1" ht="19.5" customHeight="1">
      <c r="A859" s="411">
        <v>1008</v>
      </c>
      <c r="B859" s="412" t="s">
        <v>227</v>
      </c>
      <c r="C859" s="413"/>
      <c r="D859" s="413"/>
      <c r="E859" s="413" t="s">
        <v>397</v>
      </c>
      <c r="F859" s="411" t="s">
        <v>10734</v>
      </c>
      <c r="G859" s="411" t="s">
        <v>213</v>
      </c>
      <c r="H859" s="411" t="s">
        <v>398</v>
      </c>
      <c r="I859" s="411" t="s">
        <v>11</v>
      </c>
      <c r="J859" s="411" t="s">
        <v>642</v>
      </c>
      <c r="K859" s="414">
        <v>150</v>
      </c>
      <c r="L859" s="415">
        <v>0</v>
      </c>
      <c r="M859" s="414"/>
      <c r="N859" s="414"/>
      <c r="O859" s="414"/>
      <c r="P859" s="414"/>
      <c r="Q859" s="414"/>
    </row>
    <row r="860" spans="1:17" s="32" customFormat="1" ht="19.5" customHeight="1">
      <c r="A860" s="411">
        <v>1009</v>
      </c>
      <c r="B860" s="412" t="s">
        <v>9749</v>
      </c>
      <c r="C860" s="413"/>
      <c r="D860" s="413"/>
      <c r="E860" s="413" t="s">
        <v>3652</v>
      </c>
      <c r="F860" s="411" t="s">
        <v>399</v>
      </c>
      <c r="G860" s="411" t="s">
        <v>6694</v>
      </c>
      <c r="H860" s="411" t="s">
        <v>398</v>
      </c>
      <c r="I860" s="411" t="s">
        <v>11</v>
      </c>
      <c r="J860" s="411" t="s">
        <v>842</v>
      </c>
      <c r="K860" s="414">
        <v>128</v>
      </c>
      <c r="L860" s="415">
        <v>0</v>
      </c>
      <c r="M860" s="414"/>
      <c r="N860" s="414"/>
      <c r="O860" s="414"/>
      <c r="P860" s="414"/>
      <c r="Q860" s="414"/>
    </row>
    <row r="861" spans="1:17" s="32" customFormat="1" ht="19.5" customHeight="1">
      <c r="A861" s="411">
        <v>1012</v>
      </c>
      <c r="B861" s="413" t="s">
        <v>750</v>
      </c>
      <c r="C861" s="413"/>
      <c r="D861" s="413"/>
      <c r="E861" s="413" t="s">
        <v>3652</v>
      </c>
      <c r="F861" s="411" t="s">
        <v>399</v>
      </c>
      <c r="G861" s="411" t="s">
        <v>213</v>
      </c>
      <c r="H861" s="411" t="s">
        <v>398</v>
      </c>
      <c r="I861" s="411" t="s">
        <v>11</v>
      </c>
      <c r="J861" s="411" t="s">
        <v>842</v>
      </c>
      <c r="K861" s="414">
        <v>108</v>
      </c>
      <c r="L861" s="415">
        <v>964</v>
      </c>
      <c r="M861" s="414"/>
      <c r="N861" s="414"/>
      <c r="O861" s="414"/>
      <c r="P861" s="414"/>
      <c r="Q861" s="414"/>
    </row>
    <row r="862" spans="1:17" s="32" customFormat="1" ht="19.5" customHeight="1">
      <c r="A862" s="411">
        <v>1013</v>
      </c>
      <c r="B862" s="412" t="s">
        <v>10735</v>
      </c>
      <c r="C862" s="413"/>
      <c r="D862" s="413"/>
      <c r="E862" s="413" t="s">
        <v>10736</v>
      </c>
      <c r="F862" s="411" t="s">
        <v>10737</v>
      </c>
      <c r="G862" s="411" t="s">
        <v>213</v>
      </c>
      <c r="H862" s="411" t="s">
        <v>10738</v>
      </c>
      <c r="I862" s="411" t="s">
        <v>11</v>
      </c>
      <c r="J862" s="411" t="s">
        <v>642</v>
      </c>
      <c r="K862" s="414">
        <v>347</v>
      </c>
      <c r="L862" s="415">
        <v>0</v>
      </c>
      <c r="M862" s="414"/>
      <c r="N862" s="414"/>
      <c r="O862" s="414"/>
      <c r="P862" s="414"/>
      <c r="Q862" s="414"/>
    </row>
    <row r="863" spans="1:17" s="32" customFormat="1" ht="19.5" customHeight="1">
      <c r="A863" s="411">
        <v>1014</v>
      </c>
      <c r="B863" s="412" t="s">
        <v>9201</v>
      </c>
      <c r="C863" s="413"/>
      <c r="D863" s="413"/>
      <c r="E863" s="413" t="s">
        <v>10739</v>
      </c>
      <c r="F863" s="411" t="s">
        <v>10083</v>
      </c>
      <c r="G863" s="411" t="s">
        <v>6694</v>
      </c>
      <c r="H863" s="411" t="s">
        <v>10738</v>
      </c>
      <c r="I863" s="411" t="s">
        <v>11</v>
      </c>
      <c r="J863" s="411" t="s">
        <v>842</v>
      </c>
      <c r="K863" s="414">
        <v>338</v>
      </c>
      <c r="L863" s="415">
        <v>0</v>
      </c>
      <c r="M863" s="414"/>
      <c r="N863" s="414"/>
      <c r="O863" s="414"/>
      <c r="P863" s="414"/>
      <c r="Q863" s="414"/>
    </row>
    <row r="864" spans="1:17" s="32" customFormat="1" ht="19.5" customHeight="1">
      <c r="A864" s="411">
        <v>1016</v>
      </c>
      <c r="B864" s="412" t="s">
        <v>10735</v>
      </c>
      <c r="C864" s="413"/>
      <c r="D864" s="413"/>
      <c r="E864" s="413" t="s">
        <v>10740</v>
      </c>
      <c r="F864" s="411" t="s">
        <v>9511</v>
      </c>
      <c r="G864" s="411" t="s">
        <v>213</v>
      </c>
      <c r="H864" s="411" t="s">
        <v>9204</v>
      </c>
      <c r="I864" s="411" t="s">
        <v>11</v>
      </c>
      <c r="J864" s="411" t="s">
        <v>642</v>
      </c>
      <c r="K864" s="414">
        <v>735</v>
      </c>
      <c r="L864" s="415">
        <v>0</v>
      </c>
      <c r="M864" s="414"/>
      <c r="N864" s="414"/>
      <c r="O864" s="414"/>
      <c r="P864" s="414"/>
      <c r="Q864" s="414"/>
    </row>
    <row r="865" spans="1:17" s="32" customFormat="1" ht="19.5" customHeight="1">
      <c r="A865" s="411">
        <v>1017</v>
      </c>
      <c r="B865" s="413" t="s">
        <v>750</v>
      </c>
      <c r="C865" s="413"/>
      <c r="D865" s="413"/>
      <c r="E865" s="413" t="s">
        <v>10741</v>
      </c>
      <c r="F865" s="411" t="s">
        <v>528</v>
      </c>
      <c r="G865" s="411" t="s">
        <v>5622</v>
      </c>
      <c r="H865" s="411" t="s">
        <v>225</v>
      </c>
      <c r="I865" s="411" t="s">
        <v>11</v>
      </c>
      <c r="J865" s="411" t="s">
        <v>10742</v>
      </c>
      <c r="K865" s="414">
        <v>1954</v>
      </c>
      <c r="L865" s="415">
        <v>9935</v>
      </c>
      <c r="M865" s="414"/>
      <c r="N865" s="414"/>
      <c r="O865" s="414"/>
      <c r="P865" s="414"/>
      <c r="Q865" s="414"/>
    </row>
    <row r="866" spans="1:17" s="32" customFormat="1" ht="19.5" customHeight="1">
      <c r="A866" s="411">
        <v>1018</v>
      </c>
      <c r="B866" s="413" t="s">
        <v>750</v>
      </c>
      <c r="C866" s="413"/>
      <c r="D866" s="413"/>
      <c r="E866" s="413" t="s">
        <v>10743</v>
      </c>
      <c r="F866" s="411" t="s">
        <v>10744</v>
      </c>
      <c r="G866" s="411" t="s">
        <v>213</v>
      </c>
      <c r="H866" s="411" t="s">
        <v>225</v>
      </c>
      <c r="I866" s="411" t="s">
        <v>11</v>
      </c>
      <c r="J866" s="411" t="s">
        <v>10742</v>
      </c>
      <c r="K866" s="414">
        <v>557</v>
      </c>
      <c r="L866" s="415">
        <v>470</v>
      </c>
      <c r="M866" s="414"/>
      <c r="N866" s="414"/>
      <c r="O866" s="414"/>
      <c r="P866" s="414"/>
      <c r="Q866" s="414"/>
    </row>
    <row r="867" spans="1:17" s="32" customFormat="1" ht="19.5" customHeight="1">
      <c r="A867" s="411">
        <v>1019</v>
      </c>
      <c r="B867" s="412" t="s">
        <v>9058</v>
      </c>
      <c r="C867" s="413"/>
      <c r="D867" s="413"/>
      <c r="E867" s="413" t="s">
        <v>10745</v>
      </c>
      <c r="F867" s="411" t="s">
        <v>10744</v>
      </c>
      <c r="G867" s="411" t="s">
        <v>6694</v>
      </c>
      <c r="H867" s="411" t="s">
        <v>730</v>
      </c>
      <c r="I867" s="411" t="s">
        <v>7684</v>
      </c>
      <c r="J867" s="411" t="s">
        <v>9398</v>
      </c>
      <c r="K867" s="414">
        <v>615</v>
      </c>
      <c r="L867" s="415">
        <v>0</v>
      </c>
      <c r="M867" s="414"/>
      <c r="N867" s="414"/>
      <c r="O867" s="414"/>
      <c r="P867" s="414"/>
      <c r="Q867" s="414"/>
    </row>
    <row r="868" spans="1:17" s="32" customFormat="1" ht="19.5" customHeight="1">
      <c r="A868" s="411">
        <v>1021</v>
      </c>
      <c r="B868" s="413" t="s">
        <v>836</v>
      </c>
      <c r="C868" s="413"/>
      <c r="D868" s="413"/>
      <c r="E868" s="413" t="s">
        <v>10746</v>
      </c>
      <c r="F868" s="411" t="s">
        <v>840</v>
      </c>
      <c r="G868" s="411" t="s">
        <v>213</v>
      </c>
      <c r="H868" s="411" t="s">
        <v>10747</v>
      </c>
      <c r="I868" s="411" t="s">
        <v>7684</v>
      </c>
      <c r="J868" s="411" t="s">
        <v>10742</v>
      </c>
      <c r="K868" s="414">
        <v>1030</v>
      </c>
      <c r="L868" s="415">
        <v>1419</v>
      </c>
      <c r="M868" s="414"/>
      <c r="N868" s="414"/>
      <c r="O868" s="414"/>
      <c r="P868" s="414"/>
      <c r="Q868" s="414"/>
    </row>
    <row r="869" spans="1:17" s="32" customFormat="1" ht="19.5" customHeight="1">
      <c r="A869" s="411">
        <v>1022</v>
      </c>
      <c r="B869" s="412" t="s">
        <v>10748</v>
      </c>
      <c r="C869" s="413"/>
      <c r="D869" s="413"/>
      <c r="E869" s="413" t="s">
        <v>10749</v>
      </c>
      <c r="F869" s="411" t="s">
        <v>10750</v>
      </c>
      <c r="G869" s="411" t="s">
        <v>5156</v>
      </c>
      <c r="H869" s="411" t="s">
        <v>10751</v>
      </c>
      <c r="I869" s="411" t="s">
        <v>11</v>
      </c>
      <c r="J869" s="411" t="s">
        <v>9288</v>
      </c>
      <c r="K869" s="414">
        <v>1512</v>
      </c>
      <c r="L869" s="415">
        <v>174</v>
      </c>
      <c r="M869" s="414"/>
      <c r="N869" s="414"/>
      <c r="O869" s="414"/>
      <c r="P869" s="414"/>
      <c r="Q869" s="414"/>
    </row>
    <row r="870" spans="1:17" s="32" customFormat="1" ht="19.5" customHeight="1">
      <c r="A870" s="411">
        <v>1025</v>
      </c>
      <c r="B870" s="412" t="s">
        <v>3444</v>
      </c>
      <c r="C870" s="416"/>
      <c r="D870" s="416"/>
      <c r="E870" s="412" t="s">
        <v>10752</v>
      </c>
      <c r="F870" s="417" t="s">
        <v>10753</v>
      </c>
      <c r="G870" s="417" t="s">
        <v>6694</v>
      </c>
      <c r="H870" s="417" t="s">
        <v>10754</v>
      </c>
      <c r="I870" s="417" t="s">
        <v>14</v>
      </c>
      <c r="J870" s="417" t="s">
        <v>9585</v>
      </c>
      <c r="K870" s="418">
        <v>10500</v>
      </c>
      <c r="L870" s="419">
        <v>0</v>
      </c>
      <c r="M870" s="418"/>
      <c r="N870" s="414"/>
      <c r="O870" s="414"/>
      <c r="P870" s="418"/>
      <c r="Q870" s="418"/>
    </row>
    <row r="871" spans="1:17" s="32" customFormat="1" ht="19.5" customHeight="1">
      <c r="A871" s="411">
        <v>1024</v>
      </c>
      <c r="B871" s="412" t="s">
        <v>3444</v>
      </c>
      <c r="C871" s="413"/>
      <c r="D871" s="413"/>
      <c r="E871" s="413" t="s">
        <v>10752</v>
      </c>
      <c r="F871" s="411" t="s">
        <v>10753</v>
      </c>
      <c r="G871" s="411" t="s">
        <v>6694</v>
      </c>
      <c r="H871" s="411" t="s">
        <v>10754</v>
      </c>
      <c r="I871" s="411" t="s">
        <v>14</v>
      </c>
      <c r="J871" s="411" t="s">
        <v>9585</v>
      </c>
      <c r="K871" s="414">
        <v>14000</v>
      </c>
      <c r="L871" s="415">
        <v>0</v>
      </c>
      <c r="M871" s="414"/>
      <c r="N871" s="414"/>
      <c r="O871" s="414"/>
      <c r="P871" s="414"/>
      <c r="Q871" s="414"/>
    </row>
    <row r="872" spans="1:17" s="32" customFormat="1" ht="19.5" customHeight="1">
      <c r="A872" s="411"/>
      <c r="B872" s="412"/>
      <c r="C872" s="413"/>
      <c r="D872" s="413"/>
      <c r="E872" s="413" t="s">
        <v>10755</v>
      </c>
      <c r="F872" s="422" t="s">
        <v>10756</v>
      </c>
      <c r="G872" s="411" t="s">
        <v>5105</v>
      </c>
      <c r="H872" s="411" t="s">
        <v>267</v>
      </c>
      <c r="I872" s="411" t="s">
        <v>14</v>
      </c>
      <c r="J872" s="411" t="s">
        <v>9724</v>
      </c>
      <c r="K872" s="414">
        <v>146000</v>
      </c>
      <c r="L872" s="415">
        <v>32</v>
      </c>
      <c r="M872" s="414"/>
      <c r="N872" s="414"/>
      <c r="O872" s="414"/>
      <c r="P872" s="414"/>
      <c r="Q872" s="414"/>
    </row>
    <row r="873" spans="1:17" s="32" customFormat="1" ht="19.5" customHeight="1">
      <c r="A873" s="411">
        <v>1027</v>
      </c>
      <c r="B873" s="412" t="s">
        <v>10075</v>
      </c>
      <c r="C873" s="416"/>
      <c r="D873" s="416"/>
      <c r="E873" s="412" t="s">
        <v>3653</v>
      </c>
      <c r="F873" s="417" t="s">
        <v>396</v>
      </c>
      <c r="G873" s="417" t="s">
        <v>6694</v>
      </c>
      <c r="H873" s="417" t="s">
        <v>267</v>
      </c>
      <c r="I873" s="417" t="s">
        <v>11</v>
      </c>
      <c r="J873" s="417" t="s">
        <v>2204</v>
      </c>
      <c r="K873" s="418">
        <v>512</v>
      </c>
      <c r="L873" s="419">
        <v>0</v>
      </c>
      <c r="M873" s="418"/>
      <c r="N873" s="414"/>
      <c r="O873" s="414"/>
      <c r="P873" s="418"/>
      <c r="Q873" s="418"/>
    </row>
    <row r="874" spans="1:17" s="32" customFormat="1" ht="19.5" customHeight="1">
      <c r="A874" s="411">
        <v>1026</v>
      </c>
      <c r="B874" s="412" t="s">
        <v>10075</v>
      </c>
      <c r="C874" s="413"/>
      <c r="D874" s="413"/>
      <c r="E874" s="413" t="s">
        <v>3653</v>
      </c>
      <c r="F874" s="411" t="s">
        <v>396</v>
      </c>
      <c r="G874" s="411" t="s">
        <v>6694</v>
      </c>
      <c r="H874" s="411" t="s">
        <v>267</v>
      </c>
      <c r="I874" s="411" t="s">
        <v>11</v>
      </c>
      <c r="J874" s="411" t="s">
        <v>2204</v>
      </c>
      <c r="K874" s="414">
        <v>954</v>
      </c>
      <c r="L874" s="415">
        <v>0</v>
      </c>
      <c r="M874" s="414"/>
      <c r="N874" s="414"/>
      <c r="O874" s="414"/>
      <c r="P874" s="414"/>
      <c r="Q874" s="414"/>
    </row>
    <row r="875" spans="1:17" s="32" customFormat="1" ht="19.5" customHeight="1">
      <c r="A875" s="411">
        <v>1030</v>
      </c>
      <c r="B875" s="412" t="s">
        <v>395</v>
      </c>
      <c r="C875" s="416"/>
      <c r="D875" s="416"/>
      <c r="E875" s="412" t="s">
        <v>10757</v>
      </c>
      <c r="F875" s="417" t="s">
        <v>10758</v>
      </c>
      <c r="G875" s="417" t="s">
        <v>5121</v>
      </c>
      <c r="H875" s="417" t="s">
        <v>267</v>
      </c>
      <c r="I875" s="417" t="s">
        <v>14</v>
      </c>
      <c r="J875" s="417" t="s">
        <v>9180</v>
      </c>
      <c r="K875" s="418">
        <v>84000</v>
      </c>
      <c r="L875" s="419">
        <v>88</v>
      </c>
      <c r="M875" s="418"/>
      <c r="N875" s="414"/>
      <c r="O875" s="414"/>
      <c r="P875" s="418"/>
      <c r="Q875" s="418"/>
    </row>
    <row r="876" spans="1:17" s="32" customFormat="1" ht="19.5" customHeight="1">
      <c r="A876" s="411">
        <v>1029</v>
      </c>
      <c r="B876" s="412" t="s">
        <v>395</v>
      </c>
      <c r="C876" s="413"/>
      <c r="D876" s="413"/>
      <c r="E876" s="413" t="s">
        <v>10757</v>
      </c>
      <c r="F876" s="411" t="s">
        <v>10758</v>
      </c>
      <c r="G876" s="411" t="s">
        <v>5121</v>
      </c>
      <c r="H876" s="411" t="s">
        <v>267</v>
      </c>
      <c r="I876" s="411" t="s">
        <v>14</v>
      </c>
      <c r="J876" s="411" t="s">
        <v>9180</v>
      </c>
      <c r="K876" s="414">
        <v>114000</v>
      </c>
      <c r="L876" s="415">
        <v>0</v>
      </c>
      <c r="M876" s="414"/>
      <c r="N876" s="414"/>
      <c r="O876" s="414"/>
      <c r="P876" s="414"/>
      <c r="Q876" s="414"/>
    </row>
    <row r="877" spans="1:17" s="32" customFormat="1" ht="19.5" customHeight="1">
      <c r="A877" s="411"/>
      <c r="B877" s="412"/>
      <c r="C877" s="413"/>
      <c r="D877" s="413"/>
      <c r="E877" s="413" t="s">
        <v>10759</v>
      </c>
      <c r="F877" s="422" t="s">
        <v>10760</v>
      </c>
      <c r="G877" s="411" t="s">
        <v>5121</v>
      </c>
      <c r="H877" s="411" t="s">
        <v>10761</v>
      </c>
      <c r="I877" s="411" t="s">
        <v>18</v>
      </c>
      <c r="J877" s="411" t="s">
        <v>9724</v>
      </c>
      <c r="K877" s="414">
        <v>33995</v>
      </c>
      <c r="L877" s="415">
        <v>9</v>
      </c>
      <c r="M877" s="414"/>
      <c r="N877" s="414"/>
      <c r="O877" s="414"/>
      <c r="P877" s="414"/>
      <c r="Q877" s="414"/>
    </row>
    <row r="878" spans="1:17" s="32" customFormat="1" ht="19.5" customHeight="1">
      <c r="A878" s="411">
        <v>1031</v>
      </c>
      <c r="B878" s="413" t="s">
        <v>750</v>
      </c>
      <c r="C878" s="413"/>
      <c r="D878" s="413"/>
      <c r="E878" s="413" t="s">
        <v>477</v>
      </c>
      <c r="F878" s="411" t="s">
        <v>10762</v>
      </c>
      <c r="G878" s="411" t="s">
        <v>213</v>
      </c>
      <c r="H878" s="411" t="s">
        <v>225</v>
      </c>
      <c r="I878" s="411" t="s">
        <v>11</v>
      </c>
      <c r="J878" s="411" t="s">
        <v>10763</v>
      </c>
      <c r="K878" s="414">
        <v>89</v>
      </c>
      <c r="L878" s="415">
        <v>30500</v>
      </c>
      <c r="M878" s="414"/>
      <c r="N878" s="414"/>
      <c r="O878" s="414"/>
      <c r="P878" s="414"/>
      <c r="Q878" s="414"/>
    </row>
    <row r="879" spans="1:17" s="32" customFormat="1" ht="19.5" customHeight="1">
      <c r="A879" s="411">
        <v>1032</v>
      </c>
      <c r="B879" s="412" t="s">
        <v>9201</v>
      </c>
      <c r="C879" s="413"/>
      <c r="D879" s="413"/>
      <c r="E879" s="413" t="s">
        <v>10764</v>
      </c>
      <c r="F879" s="411" t="s">
        <v>10765</v>
      </c>
      <c r="G879" s="411" t="s">
        <v>6694</v>
      </c>
      <c r="H879" s="411" t="s">
        <v>7689</v>
      </c>
      <c r="I879" s="411" t="s">
        <v>11</v>
      </c>
      <c r="J879" s="411" t="s">
        <v>10763</v>
      </c>
      <c r="K879" s="414">
        <v>651</v>
      </c>
      <c r="L879" s="415">
        <v>0</v>
      </c>
      <c r="M879" s="414"/>
      <c r="N879" s="414"/>
      <c r="O879" s="414"/>
      <c r="P879" s="414"/>
      <c r="Q879" s="414"/>
    </row>
    <row r="880" spans="1:17" s="32" customFormat="1" ht="19.5" customHeight="1">
      <c r="A880" s="411">
        <v>1034</v>
      </c>
      <c r="B880" s="412" t="s">
        <v>10766</v>
      </c>
      <c r="C880" s="413"/>
      <c r="D880" s="413"/>
      <c r="E880" s="413" t="s">
        <v>10767</v>
      </c>
      <c r="F880" s="411" t="s">
        <v>2935</v>
      </c>
      <c r="G880" s="411" t="s">
        <v>213</v>
      </c>
      <c r="H880" s="411" t="s">
        <v>232</v>
      </c>
      <c r="I880" s="411" t="s">
        <v>13</v>
      </c>
      <c r="J880" s="411" t="s">
        <v>10701</v>
      </c>
      <c r="K880" s="414">
        <v>880</v>
      </c>
      <c r="L880" s="415">
        <v>0</v>
      </c>
      <c r="M880" s="414"/>
      <c r="N880" s="414"/>
      <c r="O880" s="414"/>
      <c r="P880" s="414"/>
      <c r="Q880" s="414"/>
    </row>
    <row r="881" spans="1:17" s="32" customFormat="1" ht="19.5" customHeight="1">
      <c r="A881" s="411">
        <v>1035</v>
      </c>
      <c r="B881" s="413" t="s">
        <v>750</v>
      </c>
      <c r="C881" s="413"/>
      <c r="D881" s="413"/>
      <c r="E881" s="413" t="s">
        <v>10768</v>
      </c>
      <c r="F881" s="411" t="s">
        <v>3280</v>
      </c>
      <c r="G881" s="411" t="s">
        <v>213</v>
      </c>
      <c r="H881" s="411" t="s">
        <v>398</v>
      </c>
      <c r="I881" s="411" t="s">
        <v>7684</v>
      </c>
      <c r="J881" s="411" t="s">
        <v>10742</v>
      </c>
      <c r="K881" s="414">
        <v>1385</v>
      </c>
      <c r="L881" s="415">
        <v>0</v>
      </c>
      <c r="M881" s="414"/>
      <c r="N881" s="414"/>
      <c r="O881" s="414"/>
      <c r="P881" s="414"/>
      <c r="Q881" s="414"/>
    </row>
    <row r="882" spans="1:17" s="32" customFormat="1" ht="19.5" customHeight="1">
      <c r="A882" s="411">
        <v>1036</v>
      </c>
      <c r="B882" s="412" t="s">
        <v>9672</v>
      </c>
      <c r="C882" s="413"/>
      <c r="D882" s="413"/>
      <c r="E882" s="413" t="s">
        <v>10769</v>
      </c>
      <c r="F882" s="411" t="s">
        <v>755</v>
      </c>
      <c r="G882" s="411" t="s">
        <v>6058</v>
      </c>
      <c r="H882" s="411" t="s">
        <v>2524</v>
      </c>
      <c r="I882" s="411" t="s">
        <v>11</v>
      </c>
      <c r="J882" s="411" t="s">
        <v>647</v>
      </c>
      <c r="K882" s="414">
        <v>7500</v>
      </c>
      <c r="L882" s="415">
        <v>0</v>
      </c>
      <c r="M882" s="414"/>
      <c r="N882" s="414"/>
      <c r="O882" s="414"/>
      <c r="P882" s="414"/>
      <c r="Q882" s="414"/>
    </row>
    <row r="883" spans="1:17" s="32" customFormat="1" ht="19.5" customHeight="1">
      <c r="A883" s="411">
        <v>1037</v>
      </c>
      <c r="B883" s="413" t="s">
        <v>10770</v>
      </c>
      <c r="C883" s="413"/>
      <c r="D883" s="413"/>
      <c r="E883" s="413" t="s">
        <v>10771</v>
      </c>
      <c r="F883" s="411" t="s">
        <v>618</v>
      </c>
      <c r="G883" s="411" t="s">
        <v>213</v>
      </c>
      <c r="H883" s="411" t="s">
        <v>10772</v>
      </c>
      <c r="I883" s="411" t="s">
        <v>11</v>
      </c>
      <c r="J883" s="411" t="s">
        <v>815</v>
      </c>
      <c r="K883" s="414">
        <v>2289</v>
      </c>
      <c r="L883" s="415">
        <v>8365</v>
      </c>
      <c r="M883" s="414"/>
      <c r="N883" s="414"/>
      <c r="O883" s="414"/>
      <c r="P883" s="414"/>
      <c r="Q883" s="414"/>
    </row>
    <row r="884" spans="1:17" s="32" customFormat="1" ht="19.5" customHeight="1">
      <c r="A884" s="411">
        <v>1038</v>
      </c>
      <c r="B884" s="413" t="s">
        <v>750</v>
      </c>
      <c r="C884" s="413"/>
      <c r="D884" s="413"/>
      <c r="E884" s="413" t="s">
        <v>10773</v>
      </c>
      <c r="F884" s="411" t="s">
        <v>10774</v>
      </c>
      <c r="G884" s="411" t="s">
        <v>213</v>
      </c>
      <c r="H884" s="411" t="s">
        <v>730</v>
      </c>
      <c r="I884" s="411" t="s">
        <v>11</v>
      </c>
      <c r="J884" s="411" t="s">
        <v>9063</v>
      </c>
      <c r="K884" s="414">
        <v>280</v>
      </c>
      <c r="L884" s="415">
        <v>23643</v>
      </c>
      <c r="M884" s="414"/>
      <c r="N884" s="414"/>
      <c r="O884" s="414"/>
      <c r="P884" s="414"/>
      <c r="Q884" s="414"/>
    </row>
    <row r="885" spans="1:17" s="32" customFormat="1" ht="19.5" customHeight="1">
      <c r="A885" s="411">
        <v>1039</v>
      </c>
      <c r="B885" s="412" t="s">
        <v>9068</v>
      </c>
      <c r="C885" s="413"/>
      <c r="D885" s="413"/>
      <c r="E885" s="413" t="s">
        <v>10775</v>
      </c>
      <c r="F885" s="411" t="s">
        <v>2649</v>
      </c>
      <c r="G885" s="411" t="s">
        <v>213</v>
      </c>
      <c r="H885" s="411" t="s">
        <v>9069</v>
      </c>
      <c r="I885" s="411" t="s">
        <v>9070</v>
      </c>
      <c r="J885" s="411" t="s">
        <v>10776</v>
      </c>
      <c r="K885" s="414">
        <v>7189</v>
      </c>
      <c r="L885" s="415">
        <v>0</v>
      </c>
      <c r="M885" s="414"/>
      <c r="N885" s="414"/>
      <c r="O885" s="414"/>
      <c r="P885" s="414"/>
      <c r="Q885" s="414"/>
    </row>
    <row r="886" spans="1:17" s="32" customFormat="1" ht="19.5" customHeight="1">
      <c r="A886" s="411">
        <v>1040</v>
      </c>
      <c r="B886" s="412" t="s">
        <v>9849</v>
      </c>
      <c r="C886" s="413"/>
      <c r="D886" s="413"/>
      <c r="E886" s="413" t="s">
        <v>10777</v>
      </c>
      <c r="F886" s="411" t="s">
        <v>10778</v>
      </c>
      <c r="G886" s="411" t="s">
        <v>213</v>
      </c>
      <c r="H886" s="411" t="s">
        <v>10779</v>
      </c>
      <c r="I886" s="411" t="s">
        <v>9070</v>
      </c>
      <c r="J886" s="411" t="s">
        <v>10776</v>
      </c>
      <c r="K886" s="414">
        <v>3885</v>
      </c>
      <c r="L886" s="415">
        <v>0</v>
      </c>
      <c r="M886" s="414"/>
      <c r="N886" s="414"/>
      <c r="O886" s="414"/>
      <c r="P886" s="414"/>
      <c r="Q886" s="414"/>
    </row>
    <row r="887" spans="1:17" s="32" customFormat="1" ht="19.5" customHeight="1">
      <c r="A887" s="411">
        <v>1041</v>
      </c>
      <c r="B887" s="412" t="s">
        <v>10780</v>
      </c>
      <c r="C887" s="413"/>
      <c r="D887" s="413"/>
      <c r="E887" s="413" t="s">
        <v>10781</v>
      </c>
      <c r="F887" s="411" t="s">
        <v>10782</v>
      </c>
      <c r="G887" s="411" t="s">
        <v>213</v>
      </c>
      <c r="H887" s="411" t="s">
        <v>10783</v>
      </c>
      <c r="I887" s="411" t="s">
        <v>9070</v>
      </c>
      <c r="J887" s="411" t="s">
        <v>10784</v>
      </c>
      <c r="K887" s="414">
        <v>3300</v>
      </c>
      <c r="L887" s="415">
        <v>0</v>
      </c>
      <c r="M887" s="414"/>
      <c r="N887" s="414"/>
      <c r="O887" s="414"/>
      <c r="P887" s="414"/>
      <c r="Q887" s="414"/>
    </row>
    <row r="888" spans="1:17" s="32" customFormat="1" ht="19.5" customHeight="1">
      <c r="A888" s="411">
        <v>1042</v>
      </c>
      <c r="B888" s="413" t="s">
        <v>1140</v>
      </c>
      <c r="C888" s="413"/>
      <c r="D888" s="413"/>
      <c r="E888" s="413" t="s">
        <v>10785</v>
      </c>
      <c r="F888" s="411" t="s">
        <v>10544</v>
      </c>
      <c r="G888" s="411" t="s">
        <v>213</v>
      </c>
      <c r="H888" s="411">
        <v>0.02</v>
      </c>
      <c r="I888" s="411" t="s">
        <v>9070</v>
      </c>
      <c r="J888" s="411" t="s">
        <v>10776</v>
      </c>
      <c r="K888" s="414">
        <v>6574</v>
      </c>
      <c r="L888" s="415">
        <v>0</v>
      </c>
      <c r="M888" s="414"/>
      <c r="N888" s="414"/>
      <c r="O888" s="414"/>
      <c r="P888" s="414"/>
      <c r="Q888" s="414"/>
    </row>
    <row r="889" spans="1:17" s="32" customFormat="1" ht="19.5" customHeight="1">
      <c r="A889" s="411">
        <v>1043</v>
      </c>
      <c r="B889" s="412" t="s">
        <v>10786</v>
      </c>
      <c r="C889" s="413"/>
      <c r="D889" s="413"/>
      <c r="E889" s="413" t="s">
        <v>10787</v>
      </c>
      <c r="F889" s="411" t="s">
        <v>10788</v>
      </c>
      <c r="G889" s="411" t="s">
        <v>213</v>
      </c>
      <c r="H889" s="411">
        <v>0.01</v>
      </c>
      <c r="I889" s="411" t="s">
        <v>9070</v>
      </c>
      <c r="J889" s="411" t="s">
        <v>10789</v>
      </c>
      <c r="K889" s="414">
        <v>4100</v>
      </c>
      <c r="L889" s="415">
        <v>67</v>
      </c>
      <c r="M889" s="414"/>
      <c r="N889" s="414"/>
      <c r="O889" s="414"/>
      <c r="P889" s="414"/>
      <c r="Q889" s="414"/>
    </row>
    <row r="890" spans="1:17" s="32" customFormat="1" ht="19.5" customHeight="1">
      <c r="A890" s="411">
        <v>1044</v>
      </c>
      <c r="B890" s="413" t="s">
        <v>2364</v>
      </c>
      <c r="C890" s="413"/>
      <c r="D890" s="413"/>
      <c r="E890" s="413" t="s">
        <v>10790</v>
      </c>
      <c r="F890" s="411" t="s">
        <v>3289</v>
      </c>
      <c r="G890" s="411" t="s">
        <v>10791</v>
      </c>
      <c r="H890" s="411" t="s">
        <v>3290</v>
      </c>
      <c r="I890" s="411" t="s">
        <v>14</v>
      </c>
      <c r="J890" s="411" t="s">
        <v>3388</v>
      </c>
      <c r="K890" s="414">
        <v>57500</v>
      </c>
      <c r="L890" s="415">
        <v>272</v>
      </c>
      <c r="M890" s="414"/>
      <c r="N890" s="414"/>
      <c r="O890" s="414"/>
      <c r="P890" s="414"/>
      <c r="Q890" s="414"/>
    </row>
    <row r="891" spans="1:17" s="32" customFormat="1" ht="19.5" customHeight="1">
      <c r="A891" s="411">
        <v>1045</v>
      </c>
      <c r="B891" s="420" t="s">
        <v>10792</v>
      </c>
      <c r="C891" s="421"/>
      <c r="D891" s="421"/>
      <c r="E891" s="412" t="s">
        <v>10793</v>
      </c>
      <c r="F891" s="417" t="s">
        <v>10794</v>
      </c>
      <c r="G891" s="417" t="s">
        <v>6694</v>
      </c>
      <c r="H891" s="417" t="s">
        <v>10795</v>
      </c>
      <c r="I891" s="417" t="s">
        <v>11</v>
      </c>
      <c r="J891" s="417" t="s">
        <v>9063</v>
      </c>
      <c r="K891" s="418">
        <v>315</v>
      </c>
      <c r="L891" s="419">
        <v>0</v>
      </c>
      <c r="M891" s="418"/>
      <c r="N891" s="414"/>
      <c r="O891" s="414"/>
      <c r="P891" s="418"/>
      <c r="Q891" s="418"/>
    </row>
    <row r="892" spans="1:17" s="32" customFormat="1" ht="19.5" customHeight="1">
      <c r="A892" s="411">
        <v>1046</v>
      </c>
      <c r="B892" s="412" t="s">
        <v>10796</v>
      </c>
      <c r="C892" s="413"/>
      <c r="D892" s="413"/>
      <c r="E892" s="413" t="s">
        <v>10797</v>
      </c>
      <c r="F892" s="411" t="s">
        <v>10798</v>
      </c>
      <c r="G892" s="411" t="s">
        <v>6012</v>
      </c>
      <c r="H892" s="411" t="s">
        <v>10799</v>
      </c>
      <c r="I892" s="411" t="s">
        <v>10</v>
      </c>
      <c r="J892" s="411" t="s">
        <v>815</v>
      </c>
      <c r="K892" s="414">
        <v>5640</v>
      </c>
      <c r="L892" s="415">
        <v>0</v>
      </c>
      <c r="M892" s="414"/>
      <c r="N892" s="414"/>
      <c r="O892" s="414"/>
      <c r="P892" s="414"/>
      <c r="Q892" s="414"/>
    </row>
    <row r="893" spans="1:17" s="32" customFormat="1" ht="19.5" customHeight="1">
      <c r="A893" s="411">
        <v>1048</v>
      </c>
      <c r="B893" s="412" t="s">
        <v>9734</v>
      </c>
      <c r="C893" s="413"/>
      <c r="D893" s="413"/>
      <c r="E893" s="413" t="s">
        <v>10800</v>
      </c>
      <c r="F893" s="411" t="s">
        <v>10801</v>
      </c>
      <c r="G893" s="411" t="s">
        <v>5105</v>
      </c>
      <c r="H893" s="411" t="s">
        <v>799</v>
      </c>
      <c r="I893" s="411" t="s">
        <v>520</v>
      </c>
      <c r="J893" s="411" t="s">
        <v>2874</v>
      </c>
      <c r="K893" s="414">
        <v>16800</v>
      </c>
      <c r="L893" s="415">
        <v>47</v>
      </c>
      <c r="M893" s="414"/>
      <c r="N893" s="414"/>
      <c r="O893" s="414"/>
      <c r="P893" s="414"/>
      <c r="Q893" s="414"/>
    </row>
    <row r="894" spans="1:17" s="32" customFormat="1" ht="19.5" customHeight="1">
      <c r="A894" s="411">
        <v>1050</v>
      </c>
      <c r="B894" s="412" t="s">
        <v>10192</v>
      </c>
      <c r="C894" s="413"/>
      <c r="D894" s="413"/>
      <c r="E894" s="413" t="s">
        <v>10802</v>
      </c>
      <c r="F894" s="411" t="s">
        <v>1409</v>
      </c>
      <c r="G894" s="411" t="s">
        <v>10803</v>
      </c>
      <c r="H894" s="411" t="s">
        <v>1408</v>
      </c>
      <c r="I894" s="411" t="s">
        <v>11</v>
      </c>
      <c r="J894" s="411" t="s">
        <v>2204</v>
      </c>
      <c r="K894" s="414">
        <v>2800</v>
      </c>
      <c r="L894" s="415">
        <v>10830</v>
      </c>
      <c r="M894" s="414"/>
      <c r="N894" s="414"/>
      <c r="O894" s="414"/>
      <c r="P894" s="414"/>
      <c r="Q894" s="414"/>
    </row>
    <row r="895" spans="1:17" s="32" customFormat="1" ht="19.5" customHeight="1">
      <c r="A895" s="411">
        <v>1052</v>
      </c>
      <c r="B895" s="412" t="s">
        <v>9368</v>
      </c>
      <c r="C895" s="413"/>
      <c r="D895" s="413"/>
      <c r="E895" s="413" t="s">
        <v>10804</v>
      </c>
      <c r="F895" s="411" t="s">
        <v>10805</v>
      </c>
      <c r="G895" s="411" t="s">
        <v>213</v>
      </c>
      <c r="H895" s="449" t="s">
        <v>10806</v>
      </c>
      <c r="I895" s="411" t="s">
        <v>11</v>
      </c>
      <c r="J895" s="411" t="s">
        <v>10807</v>
      </c>
      <c r="K895" s="414">
        <v>1925</v>
      </c>
      <c r="L895" s="415">
        <v>0</v>
      </c>
      <c r="M895" s="414"/>
      <c r="N895" s="414"/>
      <c r="O895" s="414"/>
      <c r="P895" s="414"/>
      <c r="Q895" s="414"/>
    </row>
    <row r="896" spans="1:17" s="32" customFormat="1" ht="19.5" customHeight="1">
      <c r="A896" s="411">
        <v>1053</v>
      </c>
      <c r="B896" s="413" t="s">
        <v>2198</v>
      </c>
      <c r="C896" s="413"/>
      <c r="D896" s="413"/>
      <c r="E896" s="413" t="s">
        <v>8874</v>
      </c>
      <c r="F896" s="411" t="s">
        <v>2199</v>
      </c>
      <c r="G896" s="411" t="s">
        <v>212</v>
      </c>
      <c r="H896" s="411" t="s">
        <v>156</v>
      </c>
      <c r="I896" s="411" t="s">
        <v>12</v>
      </c>
      <c r="J896" s="411" t="s">
        <v>10808</v>
      </c>
      <c r="K896" s="414">
        <v>6000</v>
      </c>
      <c r="L896" s="415">
        <v>6304</v>
      </c>
      <c r="M896" s="414"/>
      <c r="N896" s="414"/>
      <c r="O896" s="414"/>
      <c r="P896" s="414"/>
      <c r="Q896" s="414"/>
    </row>
    <row r="897" spans="1:17" s="32" customFormat="1" ht="19.5" customHeight="1">
      <c r="A897" s="411">
        <v>1054</v>
      </c>
      <c r="B897" s="412" t="s">
        <v>10809</v>
      </c>
      <c r="C897" s="413"/>
      <c r="D897" s="413"/>
      <c r="E897" s="413" t="s">
        <v>10810</v>
      </c>
      <c r="F897" s="411" t="s">
        <v>10811</v>
      </c>
      <c r="G897" s="411" t="s">
        <v>6694</v>
      </c>
      <c r="H897" s="417" t="s">
        <v>10812</v>
      </c>
      <c r="I897" s="411" t="s">
        <v>50</v>
      </c>
      <c r="J897" s="411" t="s">
        <v>10813</v>
      </c>
      <c r="K897" s="414">
        <v>42000</v>
      </c>
      <c r="L897" s="415">
        <v>0</v>
      </c>
      <c r="M897" s="414"/>
      <c r="N897" s="414"/>
      <c r="O897" s="414"/>
      <c r="P897" s="414"/>
      <c r="Q897" s="414"/>
    </row>
    <row r="898" spans="1:17" s="32" customFormat="1" ht="19.5" customHeight="1">
      <c r="A898" s="411">
        <v>1056</v>
      </c>
      <c r="B898" s="412" t="s">
        <v>10814</v>
      </c>
      <c r="C898" s="413"/>
      <c r="D898" s="413"/>
      <c r="E898" s="413" t="s">
        <v>10815</v>
      </c>
      <c r="F898" s="411" t="s">
        <v>10816</v>
      </c>
      <c r="G898" s="411" t="s">
        <v>213</v>
      </c>
      <c r="H898" s="411" t="s">
        <v>238</v>
      </c>
      <c r="I898" s="411" t="s">
        <v>11</v>
      </c>
      <c r="J898" s="411" t="s">
        <v>9063</v>
      </c>
      <c r="K898" s="414">
        <v>147</v>
      </c>
      <c r="L898" s="415">
        <v>0</v>
      </c>
      <c r="M898" s="414"/>
      <c r="N898" s="414"/>
      <c r="O898" s="414"/>
      <c r="P898" s="414"/>
      <c r="Q898" s="414"/>
    </row>
    <row r="899" spans="1:17" s="32" customFormat="1" ht="19.5" customHeight="1">
      <c r="A899" s="411">
        <v>1057</v>
      </c>
      <c r="B899" s="412" t="s">
        <v>10817</v>
      </c>
      <c r="C899" s="413"/>
      <c r="D899" s="413"/>
      <c r="E899" s="413" t="s">
        <v>3654</v>
      </c>
      <c r="F899" s="411" t="s">
        <v>10818</v>
      </c>
      <c r="G899" s="411" t="s">
        <v>5156</v>
      </c>
      <c r="H899" s="411" t="s">
        <v>794</v>
      </c>
      <c r="I899" s="411" t="s">
        <v>520</v>
      </c>
      <c r="J899" s="411" t="s">
        <v>2654</v>
      </c>
      <c r="K899" s="414">
        <v>12600</v>
      </c>
      <c r="L899" s="415">
        <v>15</v>
      </c>
      <c r="M899" s="414"/>
      <c r="N899" s="414"/>
      <c r="O899" s="414"/>
      <c r="P899" s="414"/>
      <c r="Q899" s="414"/>
    </row>
    <row r="900" spans="1:17" s="32" customFormat="1" ht="19.5" customHeight="1">
      <c r="A900" s="411">
        <v>1060</v>
      </c>
      <c r="B900" s="413" t="s">
        <v>855</v>
      </c>
      <c r="C900" s="413"/>
      <c r="D900" s="413"/>
      <c r="E900" s="413" t="s">
        <v>3655</v>
      </c>
      <c r="F900" s="411" t="s">
        <v>3298</v>
      </c>
      <c r="G900" s="411" t="s">
        <v>213</v>
      </c>
      <c r="H900" s="411" t="s">
        <v>334</v>
      </c>
      <c r="I900" s="411" t="s">
        <v>11</v>
      </c>
      <c r="J900" s="411" t="s">
        <v>9063</v>
      </c>
      <c r="K900" s="414">
        <v>224</v>
      </c>
      <c r="L900" s="415">
        <v>324</v>
      </c>
      <c r="M900" s="414"/>
      <c r="N900" s="414"/>
      <c r="O900" s="414"/>
      <c r="P900" s="414"/>
      <c r="Q900" s="414"/>
    </row>
    <row r="901" spans="1:17" s="32" customFormat="1" ht="19.5" customHeight="1">
      <c r="A901" s="411">
        <v>1059</v>
      </c>
      <c r="B901" s="412" t="s">
        <v>9712</v>
      </c>
      <c r="C901" s="413"/>
      <c r="D901" s="413"/>
      <c r="E901" s="413" t="s">
        <v>3655</v>
      </c>
      <c r="F901" s="411" t="s">
        <v>10819</v>
      </c>
      <c r="G901" s="411" t="s">
        <v>213</v>
      </c>
      <c r="H901" s="411" t="s">
        <v>334</v>
      </c>
      <c r="I901" s="411" t="s">
        <v>10</v>
      </c>
      <c r="J901" s="411" t="s">
        <v>9063</v>
      </c>
      <c r="K901" s="414">
        <v>288</v>
      </c>
      <c r="L901" s="415">
        <v>0</v>
      </c>
      <c r="M901" s="414"/>
      <c r="N901" s="414"/>
      <c r="O901" s="414"/>
      <c r="P901" s="414"/>
      <c r="Q901" s="414"/>
    </row>
    <row r="902" spans="1:17" s="32" customFormat="1" ht="19.5" customHeight="1">
      <c r="A902" s="411">
        <v>1061</v>
      </c>
      <c r="B902" s="412" t="s">
        <v>9712</v>
      </c>
      <c r="C902" s="413"/>
      <c r="D902" s="413"/>
      <c r="E902" s="413" t="s">
        <v>10820</v>
      </c>
      <c r="F902" s="411" t="s">
        <v>10821</v>
      </c>
      <c r="G902" s="411" t="s">
        <v>213</v>
      </c>
      <c r="H902" s="411" t="s">
        <v>641</v>
      </c>
      <c r="I902" s="411" t="s">
        <v>11</v>
      </c>
      <c r="J902" s="411" t="s">
        <v>814</v>
      </c>
      <c r="K902" s="414">
        <v>462</v>
      </c>
      <c r="L902" s="415">
        <v>0</v>
      </c>
      <c r="M902" s="414"/>
      <c r="N902" s="414"/>
      <c r="O902" s="414"/>
      <c r="P902" s="414"/>
      <c r="Q902" s="414"/>
    </row>
    <row r="903" spans="1:17" s="32" customFormat="1" ht="19.5" customHeight="1">
      <c r="A903" s="411">
        <v>1063</v>
      </c>
      <c r="B903" s="413" t="s">
        <v>400</v>
      </c>
      <c r="C903" s="413"/>
      <c r="D903" s="413"/>
      <c r="E903" s="413" t="s">
        <v>3656</v>
      </c>
      <c r="F903" s="411" t="s">
        <v>10822</v>
      </c>
      <c r="G903" s="411" t="s">
        <v>213</v>
      </c>
      <c r="H903" s="411" t="s">
        <v>235</v>
      </c>
      <c r="I903" s="411" t="s">
        <v>11</v>
      </c>
      <c r="J903" s="417" t="s">
        <v>2204</v>
      </c>
      <c r="K903" s="414">
        <v>159</v>
      </c>
      <c r="L903" s="415">
        <v>0</v>
      </c>
      <c r="M903" s="414"/>
      <c r="N903" s="414"/>
      <c r="O903" s="414"/>
      <c r="P903" s="414"/>
      <c r="Q903" s="414"/>
    </row>
    <row r="904" spans="1:17" s="32" customFormat="1" ht="19.5" customHeight="1">
      <c r="A904" s="411">
        <v>1062</v>
      </c>
      <c r="B904" s="420" t="s">
        <v>10823</v>
      </c>
      <c r="C904" s="421"/>
      <c r="D904" s="421"/>
      <c r="E904" s="412" t="s">
        <v>3656</v>
      </c>
      <c r="F904" s="417" t="s">
        <v>10822</v>
      </c>
      <c r="G904" s="417" t="s">
        <v>6694</v>
      </c>
      <c r="H904" s="417" t="s">
        <v>235</v>
      </c>
      <c r="I904" s="417" t="s">
        <v>11</v>
      </c>
      <c r="J904" s="417" t="s">
        <v>2204</v>
      </c>
      <c r="K904" s="418">
        <v>179</v>
      </c>
      <c r="L904" s="419">
        <v>0</v>
      </c>
      <c r="M904" s="418"/>
      <c r="N904" s="414"/>
      <c r="O904" s="414"/>
      <c r="P904" s="418"/>
      <c r="Q904" s="418"/>
    </row>
    <row r="905" spans="1:17" s="32" customFormat="1" ht="19.5" customHeight="1">
      <c r="A905" s="411">
        <v>1064</v>
      </c>
      <c r="B905" s="412" t="s">
        <v>10824</v>
      </c>
      <c r="C905" s="413"/>
      <c r="D905" s="413"/>
      <c r="E905" s="413" t="s">
        <v>3657</v>
      </c>
      <c r="F905" s="411" t="s">
        <v>10825</v>
      </c>
      <c r="G905" s="411" t="s">
        <v>5116</v>
      </c>
      <c r="H905" s="411" t="s">
        <v>262</v>
      </c>
      <c r="I905" s="411" t="s">
        <v>10</v>
      </c>
      <c r="J905" s="411" t="s">
        <v>538</v>
      </c>
      <c r="K905" s="414">
        <v>64711</v>
      </c>
      <c r="L905" s="415">
        <v>100</v>
      </c>
      <c r="M905" s="414"/>
      <c r="N905" s="414"/>
      <c r="O905" s="414"/>
      <c r="P905" s="414"/>
      <c r="Q905" s="414"/>
    </row>
    <row r="906" spans="1:17" s="32" customFormat="1" ht="19.5" customHeight="1">
      <c r="A906" s="411">
        <v>1065</v>
      </c>
      <c r="B906" s="412" t="s">
        <v>10826</v>
      </c>
      <c r="C906" s="413"/>
      <c r="D906" s="413"/>
      <c r="E906" s="413" t="s">
        <v>10827</v>
      </c>
      <c r="F906" s="411" t="s">
        <v>10828</v>
      </c>
      <c r="G906" s="411" t="s">
        <v>6694</v>
      </c>
      <c r="H906" s="411" t="s">
        <v>10829</v>
      </c>
      <c r="I906" s="411" t="s">
        <v>10</v>
      </c>
      <c r="J906" s="411" t="s">
        <v>10830</v>
      </c>
      <c r="K906" s="414">
        <v>7396</v>
      </c>
      <c r="L906" s="415">
        <v>1</v>
      </c>
      <c r="M906" s="414"/>
      <c r="N906" s="414"/>
      <c r="O906" s="414"/>
      <c r="P906" s="414"/>
      <c r="Q906" s="414"/>
    </row>
    <row r="907" spans="1:17" s="32" customFormat="1" ht="19.5" customHeight="1">
      <c r="A907" s="411">
        <v>1066</v>
      </c>
      <c r="B907" s="412" t="s">
        <v>9662</v>
      </c>
      <c r="C907" s="413"/>
      <c r="D907" s="413"/>
      <c r="E907" s="413" t="s">
        <v>10831</v>
      </c>
      <c r="F907" s="411" t="s">
        <v>10832</v>
      </c>
      <c r="G907" s="411" t="s">
        <v>213</v>
      </c>
      <c r="H907" s="411" t="s">
        <v>272</v>
      </c>
      <c r="I907" s="411" t="s">
        <v>13</v>
      </c>
      <c r="J907" s="411" t="s">
        <v>2919</v>
      </c>
      <c r="K907" s="414">
        <v>5700</v>
      </c>
      <c r="L907" s="415">
        <v>0</v>
      </c>
      <c r="M907" s="414"/>
      <c r="N907" s="414"/>
      <c r="O907" s="414"/>
      <c r="P907" s="414"/>
      <c r="Q907" s="414"/>
    </row>
    <row r="908" spans="1:17" s="32" customFormat="1" ht="19.5" customHeight="1">
      <c r="A908" s="411">
        <v>1067</v>
      </c>
      <c r="B908" s="412" t="s">
        <v>9490</v>
      </c>
      <c r="C908" s="413"/>
      <c r="D908" s="413"/>
      <c r="E908" s="413" t="s">
        <v>10833</v>
      </c>
      <c r="F908" s="411" t="s">
        <v>10834</v>
      </c>
      <c r="G908" s="411" t="s">
        <v>213</v>
      </c>
      <c r="H908" s="411" t="s">
        <v>272</v>
      </c>
      <c r="I908" s="411" t="s">
        <v>13</v>
      </c>
      <c r="J908" s="411" t="s">
        <v>2919</v>
      </c>
      <c r="K908" s="414">
        <v>1500</v>
      </c>
      <c r="L908" s="415">
        <v>0</v>
      </c>
      <c r="M908" s="414"/>
      <c r="N908" s="414"/>
      <c r="O908" s="414"/>
      <c r="P908" s="414"/>
      <c r="Q908" s="414"/>
    </row>
    <row r="909" spans="1:17" s="32" customFormat="1" ht="19.5" customHeight="1">
      <c r="A909" s="411">
        <v>1068</v>
      </c>
      <c r="B909" s="413" t="s">
        <v>689</v>
      </c>
      <c r="C909" s="413"/>
      <c r="D909" s="413"/>
      <c r="E909" s="413" t="s">
        <v>10835</v>
      </c>
      <c r="F909" s="411" t="s">
        <v>1091</v>
      </c>
      <c r="G909" s="411" t="s">
        <v>213</v>
      </c>
      <c r="H909" s="411" t="s">
        <v>1090</v>
      </c>
      <c r="I909" s="411" t="s">
        <v>11</v>
      </c>
      <c r="J909" s="411" t="s">
        <v>9063</v>
      </c>
      <c r="K909" s="414">
        <v>7000</v>
      </c>
      <c r="L909" s="415">
        <v>2996</v>
      </c>
      <c r="M909" s="414"/>
      <c r="N909" s="414"/>
      <c r="O909" s="414"/>
      <c r="P909" s="414"/>
      <c r="Q909" s="414"/>
    </row>
    <row r="910" spans="1:17" s="32" customFormat="1" ht="19.5" customHeight="1">
      <c r="A910" s="411">
        <v>1069</v>
      </c>
      <c r="B910" s="413" t="s">
        <v>689</v>
      </c>
      <c r="C910" s="413"/>
      <c r="D910" s="413"/>
      <c r="E910" s="413" t="s">
        <v>3299</v>
      </c>
      <c r="F910" s="411" t="s">
        <v>3300</v>
      </c>
      <c r="G910" s="411" t="s">
        <v>213</v>
      </c>
      <c r="H910" s="411" t="s">
        <v>1260</v>
      </c>
      <c r="I910" s="411" t="s">
        <v>11</v>
      </c>
      <c r="J910" s="411" t="s">
        <v>9063</v>
      </c>
      <c r="K910" s="414">
        <v>6870</v>
      </c>
      <c r="L910" s="415">
        <v>1019</v>
      </c>
      <c r="M910" s="414"/>
      <c r="N910" s="414"/>
      <c r="O910" s="414"/>
      <c r="P910" s="414"/>
      <c r="Q910" s="414"/>
    </row>
    <row r="911" spans="1:17" s="32" customFormat="1" ht="19.5" customHeight="1">
      <c r="A911" s="411">
        <v>1070</v>
      </c>
      <c r="B911" s="412" t="s">
        <v>10836</v>
      </c>
      <c r="C911" s="413"/>
      <c r="D911" s="413"/>
      <c r="E911" s="413" t="s">
        <v>10837</v>
      </c>
      <c r="F911" s="411" t="s">
        <v>10838</v>
      </c>
      <c r="G911" s="411" t="s">
        <v>8536</v>
      </c>
      <c r="H911" s="411" t="s">
        <v>10839</v>
      </c>
      <c r="I911" s="411" t="s">
        <v>11</v>
      </c>
      <c r="J911" s="411" t="s">
        <v>3137</v>
      </c>
      <c r="K911" s="414">
        <v>504</v>
      </c>
      <c r="L911" s="415">
        <v>0</v>
      </c>
      <c r="M911" s="414"/>
      <c r="N911" s="414"/>
      <c r="O911" s="414"/>
      <c r="P911" s="414"/>
      <c r="Q911" s="414"/>
    </row>
    <row r="912" spans="1:17" s="32" customFormat="1" ht="19.5" customHeight="1">
      <c r="A912" s="411">
        <v>1071</v>
      </c>
      <c r="B912" s="412" t="s">
        <v>10840</v>
      </c>
      <c r="C912" s="413"/>
      <c r="D912" s="413"/>
      <c r="E912" s="413" t="s">
        <v>5987</v>
      </c>
      <c r="F912" s="411" t="s">
        <v>10841</v>
      </c>
      <c r="G912" s="411" t="s">
        <v>10177</v>
      </c>
      <c r="H912" s="450" t="s">
        <v>10842</v>
      </c>
      <c r="I912" s="411" t="s">
        <v>10</v>
      </c>
      <c r="J912" s="411" t="s">
        <v>10843</v>
      </c>
      <c r="K912" s="414">
        <v>9500</v>
      </c>
      <c r="L912" s="415">
        <v>203</v>
      </c>
      <c r="M912" s="414"/>
      <c r="N912" s="414"/>
      <c r="O912" s="414"/>
      <c r="P912" s="414"/>
      <c r="Q912" s="414"/>
    </row>
    <row r="913" spans="1:17" s="32" customFormat="1" ht="19.5" customHeight="1">
      <c r="A913" s="411">
        <v>1073</v>
      </c>
      <c r="B913" s="413" t="s">
        <v>2541</v>
      </c>
      <c r="C913" s="413"/>
      <c r="D913" s="413"/>
      <c r="E913" s="413" t="s">
        <v>3658</v>
      </c>
      <c r="F913" s="411" t="s">
        <v>3305</v>
      </c>
      <c r="G913" s="411" t="s">
        <v>213</v>
      </c>
      <c r="H913" s="411" t="s">
        <v>327</v>
      </c>
      <c r="I913" s="411" t="s">
        <v>11</v>
      </c>
      <c r="J913" s="411" t="s">
        <v>842</v>
      </c>
      <c r="K913" s="414">
        <v>139</v>
      </c>
      <c r="L913" s="415">
        <v>9200</v>
      </c>
      <c r="M913" s="414"/>
      <c r="N913" s="414"/>
      <c r="O913" s="414"/>
      <c r="P913" s="414"/>
      <c r="Q913" s="414"/>
    </row>
    <row r="914" spans="1:17" s="32" customFormat="1" ht="19.5" customHeight="1">
      <c r="A914" s="411">
        <v>1074</v>
      </c>
      <c r="B914" s="412" t="s">
        <v>10844</v>
      </c>
      <c r="C914" s="413"/>
      <c r="D914" s="413"/>
      <c r="E914" s="413" t="s">
        <v>10844</v>
      </c>
      <c r="F914" s="411" t="s">
        <v>10845</v>
      </c>
      <c r="G914" s="411" t="s">
        <v>6694</v>
      </c>
      <c r="H914" s="411" t="s">
        <v>327</v>
      </c>
      <c r="I914" s="411" t="s">
        <v>11</v>
      </c>
      <c r="J914" s="411" t="s">
        <v>842</v>
      </c>
      <c r="K914" s="414">
        <v>231</v>
      </c>
      <c r="L914" s="415">
        <v>42</v>
      </c>
      <c r="M914" s="414"/>
      <c r="N914" s="414"/>
      <c r="O914" s="414"/>
      <c r="P914" s="414"/>
      <c r="Q914" s="414"/>
    </row>
    <row r="915" spans="1:17" s="32" customFormat="1" ht="19.5" customHeight="1">
      <c r="A915" s="411">
        <v>1076</v>
      </c>
      <c r="B915" s="413" t="s">
        <v>265</v>
      </c>
      <c r="C915" s="413"/>
      <c r="D915" s="413"/>
      <c r="E915" s="413" t="s">
        <v>3659</v>
      </c>
      <c r="F915" s="411" t="s">
        <v>10846</v>
      </c>
      <c r="G915" s="411" t="s">
        <v>213</v>
      </c>
      <c r="H915" s="411" t="s">
        <v>390</v>
      </c>
      <c r="I915" s="411" t="s">
        <v>11</v>
      </c>
      <c r="J915" s="411" t="s">
        <v>842</v>
      </c>
      <c r="K915" s="414">
        <v>840</v>
      </c>
      <c r="L915" s="415">
        <v>11022</v>
      </c>
      <c r="M915" s="414"/>
      <c r="N915" s="414"/>
      <c r="O915" s="414"/>
      <c r="P915" s="414"/>
      <c r="Q915" s="414"/>
    </row>
    <row r="916" spans="1:17" s="32" customFormat="1" ht="19.5" customHeight="1">
      <c r="A916" s="411">
        <v>1077</v>
      </c>
      <c r="B916" s="412" t="s">
        <v>1356</v>
      </c>
      <c r="C916" s="413"/>
      <c r="D916" s="413"/>
      <c r="E916" s="413" t="s">
        <v>10847</v>
      </c>
      <c r="F916" s="411" t="s">
        <v>1358</v>
      </c>
      <c r="G916" s="411" t="s">
        <v>213</v>
      </c>
      <c r="H916" s="411" t="s">
        <v>238</v>
      </c>
      <c r="I916" s="411" t="s">
        <v>11</v>
      </c>
      <c r="J916" s="411" t="s">
        <v>842</v>
      </c>
      <c r="K916" s="414">
        <v>115</v>
      </c>
      <c r="L916" s="415">
        <v>279</v>
      </c>
      <c r="M916" s="414"/>
      <c r="N916" s="414"/>
      <c r="O916" s="414"/>
      <c r="P916" s="414"/>
      <c r="Q916" s="414"/>
    </row>
    <row r="917" spans="1:17" s="32" customFormat="1" ht="19.5" customHeight="1">
      <c r="A917" s="411">
        <v>1078</v>
      </c>
      <c r="B917" s="412" t="s">
        <v>10814</v>
      </c>
      <c r="C917" s="413"/>
      <c r="D917" s="413"/>
      <c r="E917" s="413" t="s">
        <v>10848</v>
      </c>
      <c r="F917" s="411" t="s">
        <v>10849</v>
      </c>
      <c r="G917" s="411" t="s">
        <v>10177</v>
      </c>
      <c r="H917" s="411" t="s">
        <v>1767</v>
      </c>
      <c r="I917" s="411" t="s">
        <v>520</v>
      </c>
      <c r="J917" s="411" t="s">
        <v>2654</v>
      </c>
      <c r="K917" s="414">
        <v>3002</v>
      </c>
      <c r="L917" s="415">
        <v>0</v>
      </c>
      <c r="M917" s="414"/>
      <c r="N917" s="414"/>
      <c r="O917" s="414"/>
      <c r="P917" s="414"/>
      <c r="Q917" s="414"/>
    </row>
    <row r="918" spans="1:17" s="32" customFormat="1" ht="19.5" customHeight="1">
      <c r="A918" s="411">
        <v>1079</v>
      </c>
      <c r="B918" s="412" t="s">
        <v>10022</v>
      </c>
      <c r="C918" s="413"/>
      <c r="D918" s="413"/>
      <c r="E918" s="413" t="s">
        <v>10850</v>
      </c>
      <c r="F918" s="411" t="s">
        <v>10851</v>
      </c>
      <c r="G918" s="411" t="s">
        <v>6694</v>
      </c>
      <c r="H918" s="411" t="s">
        <v>17</v>
      </c>
      <c r="I918" s="411" t="s">
        <v>11</v>
      </c>
      <c r="J918" s="411" t="s">
        <v>842</v>
      </c>
      <c r="K918" s="414">
        <v>880</v>
      </c>
      <c r="L918" s="415">
        <v>124</v>
      </c>
      <c r="M918" s="414"/>
      <c r="N918" s="414"/>
      <c r="O918" s="414"/>
      <c r="P918" s="414"/>
      <c r="Q918" s="414"/>
    </row>
    <row r="919" spans="1:17" s="32" customFormat="1" ht="19.5" customHeight="1">
      <c r="A919" s="411">
        <v>1082</v>
      </c>
      <c r="B919" s="412" t="s">
        <v>1934</v>
      </c>
      <c r="C919" s="413"/>
      <c r="D919" s="413"/>
      <c r="E919" s="413" t="s">
        <v>10852</v>
      </c>
      <c r="F919" s="411" t="s">
        <v>10853</v>
      </c>
      <c r="G919" s="411" t="s">
        <v>213</v>
      </c>
      <c r="H919" s="411" t="s">
        <v>10854</v>
      </c>
      <c r="I919" s="411" t="s">
        <v>9070</v>
      </c>
      <c r="J919" s="411" t="s">
        <v>10784</v>
      </c>
      <c r="K919" s="414">
        <v>5600</v>
      </c>
      <c r="L919" s="415">
        <v>0</v>
      </c>
      <c r="M919" s="414"/>
      <c r="N919" s="414"/>
      <c r="O919" s="414"/>
      <c r="P919" s="414"/>
      <c r="Q919" s="414"/>
    </row>
    <row r="920" spans="1:17" s="32" customFormat="1" ht="19.5" customHeight="1">
      <c r="A920" s="411">
        <v>1083</v>
      </c>
      <c r="B920" s="420" t="s">
        <v>10855</v>
      </c>
      <c r="C920" s="421"/>
      <c r="D920" s="421"/>
      <c r="E920" s="412" t="s">
        <v>10856</v>
      </c>
      <c r="F920" s="417" t="s">
        <v>10857</v>
      </c>
      <c r="G920" s="417" t="s">
        <v>6694</v>
      </c>
      <c r="H920" s="417" t="s">
        <v>10858</v>
      </c>
      <c r="I920" s="417" t="s">
        <v>10545</v>
      </c>
      <c r="J920" s="417" t="s">
        <v>10859</v>
      </c>
      <c r="K920" s="418">
        <v>5520</v>
      </c>
      <c r="L920" s="419">
        <v>46</v>
      </c>
      <c r="M920" s="418"/>
      <c r="N920" s="414"/>
      <c r="O920" s="414"/>
      <c r="P920" s="418"/>
      <c r="Q920" s="418"/>
    </row>
    <row r="921" spans="1:17" s="32" customFormat="1" ht="19.5" customHeight="1">
      <c r="A921" s="411">
        <v>1085</v>
      </c>
      <c r="B921" s="412" t="s">
        <v>10817</v>
      </c>
      <c r="C921" s="413"/>
      <c r="D921" s="413"/>
      <c r="E921" s="413" t="s">
        <v>3660</v>
      </c>
      <c r="F921" s="411" t="s">
        <v>8242</v>
      </c>
      <c r="G921" s="411" t="s">
        <v>6694</v>
      </c>
      <c r="H921" s="411" t="s">
        <v>8085</v>
      </c>
      <c r="I921" s="411" t="s">
        <v>15</v>
      </c>
      <c r="J921" s="411" t="s">
        <v>3388</v>
      </c>
      <c r="K921" s="414">
        <v>8820</v>
      </c>
      <c r="L921" s="415">
        <v>85</v>
      </c>
      <c r="M921" s="414"/>
      <c r="N921" s="414"/>
      <c r="O921" s="414"/>
      <c r="P921" s="414"/>
      <c r="Q921" s="414"/>
    </row>
    <row r="922" spans="1:17" s="32" customFormat="1" ht="19.5" customHeight="1">
      <c r="A922" s="411">
        <v>1084</v>
      </c>
      <c r="B922" s="412" t="s">
        <v>10860</v>
      </c>
      <c r="C922" s="413"/>
      <c r="D922" s="413"/>
      <c r="E922" s="413" t="s">
        <v>3660</v>
      </c>
      <c r="F922" s="411" t="s">
        <v>8242</v>
      </c>
      <c r="G922" s="411" t="s">
        <v>10055</v>
      </c>
      <c r="H922" s="411" t="s">
        <v>8085</v>
      </c>
      <c r="I922" s="411" t="s">
        <v>15</v>
      </c>
      <c r="J922" s="411" t="s">
        <v>3388</v>
      </c>
      <c r="K922" s="414">
        <v>8295</v>
      </c>
      <c r="L922" s="415">
        <v>0</v>
      </c>
      <c r="M922" s="414"/>
      <c r="N922" s="414"/>
      <c r="O922" s="414"/>
      <c r="P922" s="414"/>
      <c r="Q922" s="414"/>
    </row>
    <row r="923" spans="1:17" s="32" customFormat="1" ht="19.5" customHeight="1">
      <c r="A923" s="411">
        <v>1087</v>
      </c>
      <c r="B923" s="412" t="s">
        <v>3311</v>
      </c>
      <c r="C923" s="413"/>
      <c r="D923" s="413"/>
      <c r="E923" s="413" t="s">
        <v>10861</v>
      </c>
      <c r="F923" s="411" t="s">
        <v>3312</v>
      </c>
      <c r="G923" s="411" t="s">
        <v>5105</v>
      </c>
      <c r="H923" s="411" t="s">
        <v>10862</v>
      </c>
      <c r="I923" s="411" t="s">
        <v>520</v>
      </c>
      <c r="J923" s="411" t="s">
        <v>3314</v>
      </c>
      <c r="K923" s="414">
        <v>80000</v>
      </c>
      <c r="L923" s="415">
        <v>51</v>
      </c>
      <c r="M923" s="414"/>
      <c r="N923" s="414"/>
      <c r="O923" s="414"/>
      <c r="P923" s="414"/>
      <c r="Q923" s="414"/>
    </row>
    <row r="924" spans="1:17" s="32" customFormat="1" ht="15.75" customHeight="1">
      <c r="A924" s="411">
        <v>1088</v>
      </c>
      <c r="B924" s="413" t="s">
        <v>802</v>
      </c>
      <c r="C924" s="413"/>
      <c r="D924" s="413"/>
      <c r="E924" s="413" t="s">
        <v>10863</v>
      </c>
      <c r="F924" s="411" t="s">
        <v>1607</v>
      </c>
      <c r="G924" s="411" t="s">
        <v>213</v>
      </c>
      <c r="H924" s="411" t="s">
        <v>225</v>
      </c>
      <c r="I924" s="411" t="s">
        <v>11</v>
      </c>
      <c r="J924" s="411" t="s">
        <v>9466</v>
      </c>
      <c r="K924" s="414">
        <v>8000</v>
      </c>
      <c r="L924" s="415">
        <v>2860</v>
      </c>
      <c r="M924" s="414"/>
      <c r="N924" s="414"/>
      <c r="O924" s="414"/>
      <c r="P924" s="414"/>
      <c r="Q924" s="414"/>
    </row>
    <row r="925" spans="1:17" s="32" customFormat="1" ht="19.5" customHeight="1">
      <c r="A925" s="411">
        <v>1089</v>
      </c>
      <c r="B925" s="412" t="s">
        <v>9297</v>
      </c>
      <c r="C925" s="413"/>
      <c r="D925" s="413"/>
      <c r="E925" s="413" t="s">
        <v>10864</v>
      </c>
      <c r="F925" s="411" t="s">
        <v>10865</v>
      </c>
      <c r="G925" s="411" t="s">
        <v>6694</v>
      </c>
      <c r="H925" s="411" t="s">
        <v>272</v>
      </c>
      <c r="I925" s="411" t="s">
        <v>11</v>
      </c>
      <c r="J925" s="411" t="s">
        <v>9466</v>
      </c>
      <c r="K925" s="414">
        <v>3700</v>
      </c>
      <c r="L925" s="415">
        <v>562</v>
      </c>
      <c r="M925" s="414"/>
      <c r="N925" s="414"/>
      <c r="O925" s="414"/>
      <c r="P925" s="414"/>
      <c r="Q925" s="414"/>
    </row>
    <row r="926" spans="1:17" s="32" customFormat="1" ht="19.5" customHeight="1">
      <c r="A926" s="411">
        <v>1091</v>
      </c>
      <c r="B926" s="420" t="s">
        <v>9297</v>
      </c>
      <c r="C926" s="421"/>
      <c r="D926" s="421"/>
      <c r="E926" s="412" t="s">
        <v>3318</v>
      </c>
      <c r="F926" s="417" t="s">
        <v>10866</v>
      </c>
      <c r="G926" s="417" t="s">
        <v>6694</v>
      </c>
      <c r="H926" s="417" t="s">
        <v>225</v>
      </c>
      <c r="I926" s="417" t="s">
        <v>11</v>
      </c>
      <c r="J926" s="417" t="s">
        <v>9466</v>
      </c>
      <c r="K926" s="418">
        <v>8000</v>
      </c>
      <c r="L926" s="419">
        <v>0</v>
      </c>
      <c r="M926" s="418"/>
      <c r="N926" s="414"/>
      <c r="O926" s="414"/>
      <c r="P926" s="418"/>
      <c r="Q926" s="418"/>
    </row>
    <row r="927" spans="1:17" s="32" customFormat="1" ht="19.5" customHeight="1">
      <c r="A927" s="411">
        <v>1092</v>
      </c>
      <c r="B927" s="412" t="s">
        <v>313</v>
      </c>
      <c r="C927" s="413"/>
      <c r="D927" s="413"/>
      <c r="E927" s="413" t="s">
        <v>10867</v>
      </c>
      <c r="F927" s="411" t="s">
        <v>10868</v>
      </c>
      <c r="G927" s="411" t="s">
        <v>213</v>
      </c>
      <c r="H927" s="411" t="s">
        <v>238</v>
      </c>
      <c r="I927" s="411" t="s">
        <v>11</v>
      </c>
      <c r="J927" s="411" t="s">
        <v>1872</v>
      </c>
      <c r="K927" s="414">
        <v>720</v>
      </c>
      <c r="L927" s="415">
        <v>6</v>
      </c>
      <c r="M927" s="414"/>
      <c r="N927" s="414"/>
      <c r="O927" s="414"/>
      <c r="P927" s="414"/>
      <c r="Q927" s="414"/>
    </row>
    <row r="928" spans="1:17" s="32" customFormat="1" ht="19.5" customHeight="1">
      <c r="A928" s="411">
        <v>1093</v>
      </c>
      <c r="B928" s="412" t="s">
        <v>2842</v>
      </c>
      <c r="C928" s="413"/>
      <c r="D928" s="413"/>
      <c r="E928" s="413" t="s">
        <v>10869</v>
      </c>
      <c r="F928" s="411" t="s">
        <v>10870</v>
      </c>
      <c r="G928" s="411" t="s">
        <v>213</v>
      </c>
      <c r="H928" s="411" t="s">
        <v>235</v>
      </c>
      <c r="I928" s="411" t="s">
        <v>11</v>
      </c>
      <c r="J928" s="411" t="s">
        <v>647</v>
      </c>
      <c r="K928" s="414">
        <v>480</v>
      </c>
      <c r="L928" s="415">
        <v>9</v>
      </c>
      <c r="M928" s="414"/>
      <c r="N928" s="414"/>
      <c r="O928" s="414"/>
      <c r="P928" s="414"/>
      <c r="Q928" s="414"/>
    </row>
    <row r="929" spans="1:17" s="32" customFormat="1" ht="19.5" customHeight="1">
      <c r="A929" s="411">
        <v>1094</v>
      </c>
      <c r="B929" s="412" t="s">
        <v>9712</v>
      </c>
      <c r="C929" s="413"/>
      <c r="D929" s="413"/>
      <c r="E929" s="413" t="s">
        <v>10871</v>
      </c>
      <c r="F929" s="411" t="s">
        <v>1300</v>
      </c>
      <c r="G929" s="411" t="s">
        <v>6012</v>
      </c>
      <c r="H929" s="411" t="s">
        <v>10609</v>
      </c>
      <c r="I929" s="411" t="s">
        <v>520</v>
      </c>
      <c r="J929" s="411" t="s">
        <v>241</v>
      </c>
      <c r="K929" s="414">
        <v>8820</v>
      </c>
      <c r="L929" s="415">
        <v>0</v>
      </c>
      <c r="M929" s="414"/>
      <c r="N929" s="414"/>
      <c r="O929" s="414"/>
      <c r="P929" s="414"/>
      <c r="Q929" s="414"/>
    </row>
    <row r="930" spans="1:17" s="32" customFormat="1" ht="19.5" customHeight="1">
      <c r="A930" s="411">
        <v>1095</v>
      </c>
      <c r="B930" s="412" t="s">
        <v>10872</v>
      </c>
      <c r="C930" s="413"/>
      <c r="D930" s="413"/>
      <c r="E930" s="413" t="s">
        <v>3661</v>
      </c>
      <c r="F930" s="411" t="s">
        <v>3320</v>
      </c>
      <c r="G930" s="411" t="s">
        <v>6694</v>
      </c>
      <c r="H930" s="411" t="s">
        <v>235</v>
      </c>
      <c r="I930" s="411" t="s">
        <v>10</v>
      </c>
      <c r="J930" s="411" t="s">
        <v>10550</v>
      </c>
      <c r="K930" s="414">
        <v>926</v>
      </c>
      <c r="L930" s="415">
        <v>17402</v>
      </c>
      <c r="M930" s="414"/>
      <c r="N930" s="414"/>
      <c r="O930" s="414"/>
      <c r="P930" s="414"/>
      <c r="Q930" s="414"/>
    </row>
    <row r="931" spans="1:17" s="32" customFormat="1" ht="19.5" customHeight="1">
      <c r="A931" s="411">
        <v>1098</v>
      </c>
      <c r="B931" s="412" t="s">
        <v>572</v>
      </c>
      <c r="C931" s="413"/>
      <c r="D931" s="413"/>
      <c r="E931" s="413" t="s">
        <v>10873</v>
      </c>
      <c r="F931" s="411" t="s">
        <v>10874</v>
      </c>
      <c r="G931" s="411" t="s">
        <v>213</v>
      </c>
      <c r="H931" s="411" t="s">
        <v>235</v>
      </c>
      <c r="I931" s="411" t="s">
        <v>11</v>
      </c>
      <c r="J931" s="411" t="s">
        <v>9063</v>
      </c>
      <c r="K931" s="414">
        <v>1700</v>
      </c>
      <c r="L931" s="415">
        <v>0</v>
      </c>
      <c r="M931" s="414"/>
      <c r="N931" s="414"/>
      <c r="O931" s="414"/>
      <c r="P931" s="414"/>
      <c r="Q931" s="414"/>
    </row>
    <row r="932" spans="1:17" s="32" customFormat="1" ht="19.5" customHeight="1">
      <c r="A932" s="411">
        <v>1099</v>
      </c>
      <c r="B932" s="412" t="s">
        <v>10022</v>
      </c>
      <c r="C932" s="413"/>
      <c r="D932" s="413"/>
      <c r="E932" s="413" t="s">
        <v>10875</v>
      </c>
      <c r="F932" s="411" t="s">
        <v>10876</v>
      </c>
      <c r="G932" s="411" t="s">
        <v>213</v>
      </c>
      <c r="H932" s="411" t="s">
        <v>17</v>
      </c>
      <c r="I932" s="411" t="s">
        <v>11</v>
      </c>
      <c r="J932" s="411" t="s">
        <v>842</v>
      </c>
      <c r="K932" s="414">
        <v>1190</v>
      </c>
      <c r="L932" s="415">
        <v>50</v>
      </c>
      <c r="M932" s="414"/>
      <c r="N932" s="414"/>
      <c r="O932" s="414"/>
      <c r="P932" s="414"/>
      <c r="Q932" s="414"/>
    </row>
    <row r="933" spans="1:17" s="32" customFormat="1" ht="19.5" customHeight="1">
      <c r="A933" s="411">
        <v>1100</v>
      </c>
      <c r="B933" s="412" t="s">
        <v>10877</v>
      </c>
      <c r="C933" s="413"/>
      <c r="D933" s="413"/>
      <c r="E933" s="413" t="s">
        <v>330</v>
      </c>
      <c r="F933" s="411" t="s">
        <v>10878</v>
      </c>
      <c r="G933" s="411" t="s">
        <v>213</v>
      </c>
      <c r="H933" s="411" t="s">
        <v>262</v>
      </c>
      <c r="I933" s="411" t="s">
        <v>10</v>
      </c>
      <c r="J933" s="411" t="s">
        <v>1134</v>
      </c>
      <c r="K933" s="414">
        <v>450</v>
      </c>
      <c r="L933" s="415">
        <v>21</v>
      </c>
      <c r="M933" s="414"/>
      <c r="N933" s="414"/>
      <c r="O933" s="414"/>
      <c r="P933" s="414"/>
      <c r="Q933" s="414"/>
    </row>
    <row r="934" spans="1:17" s="32" customFormat="1" ht="19.5" customHeight="1">
      <c r="A934" s="411">
        <v>1101</v>
      </c>
      <c r="B934" s="420" t="s">
        <v>376</v>
      </c>
      <c r="C934" s="421"/>
      <c r="D934" s="421"/>
      <c r="E934" s="412" t="s">
        <v>10879</v>
      </c>
      <c r="F934" s="417" t="s">
        <v>10880</v>
      </c>
      <c r="G934" s="417" t="s">
        <v>5273</v>
      </c>
      <c r="H934" s="417" t="s">
        <v>550</v>
      </c>
      <c r="I934" s="417" t="s">
        <v>11</v>
      </c>
      <c r="J934" s="417" t="s">
        <v>815</v>
      </c>
      <c r="K934" s="418">
        <v>2188</v>
      </c>
      <c r="L934" s="419">
        <v>0</v>
      </c>
      <c r="M934" s="418"/>
      <c r="N934" s="414"/>
      <c r="O934" s="414"/>
      <c r="P934" s="418"/>
      <c r="Q934" s="418"/>
    </row>
    <row r="935" spans="1:17" s="32" customFormat="1" ht="19.5" customHeight="1">
      <c r="A935" s="411">
        <v>1102</v>
      </c>
      <c r="B935" s="412" t="s">
        <v>10881</v>
      </c>
      <c r="C935" s="413"/>
      <c r="D935" s="413"/>
      <c r="E935" s="413" t="s">
        <v>10882</v>
      </c>
      <c r="F935" s="411" t="s">
        <v>10883</v>
      </c>
      <c r="G935" s="411" t="s">
        <v>5105</v>
      </c>
      <c r="H935" s="411" t="s">
        <v>296</v>
      </c>
      <c r="I935" s="411" t="s">
        <v>10</v>
      </c>
      <c r="J935" s="411" t="s">
        <v>647</v>
      </c>
      <c r="K935" s="414">
        <v>4300</v>
      </c>
      <c r="L935" s="415">
        <v>378</v>
      </c>
      <c r="M935" s="414"/>
      <c r="N935" s="414"/>
      <c r="O935" s="414"/>
      <c r="P935" s="414"/>
      <c r="Q935" s="414"/>
    </row>
    <row r="936" spans="1:17" s="32" customFormat="1" ht="19.5" customHeight="1">
      <c r="A936" s="411">
        <v>1103</v>
      </c>
      <c r="B936" s="412" t="s">
        <v>3322</v>
      </c>
      <c r="C936" s="413"/>
      <c r="D936" s="413"/>
      <c r="E936" s="413" t="s">
        <v>3662</v>
      </c>
      <c r="F936" s="411" t="s">
        <v>3324</v>
      </c>
      <c r="G936" s="411" t="s">
        <v>6694</v>
      </c>
      <c r="H936" s="411" t="s">
        <v>238</v>
      </c>
      <c r="I936" s="411" t="s">
        <v>11</v>
      </c>
      <c r="J936" s="411" t="s">
        <v>547</v>
      </c>
      <c r="K936" s="414">
        <v>2150</v>
      </c>
      <c r="L936" s="415">
        <v>13856</v>
      </c>
      <c r="M936" s="414"/>
      <c r="N936" s="414"/>
      <c r="O936" s="414"/>
      <c r="P936" s="414"/>
      <c r="Q936" s="414"/>
    </row>
    <row r="937" spans="1:17" s="32" customFormat="1" ht="19.5" customHeight="1">
      <c r="A937" s="411">
        <v>1104</v>
      </c>
      <c r="B937" s="412" t="s">
        <v>3322</v>
      </c>
      <c r="C937" s="413"/>
      <c r="D937" s="413"/>
      <c r="E937" s="413" t="s">
        <v>3662</v>
      </c>
      <c r="F937" s="411" t="s">
        <v>3324</v>
      </c>
      <c r="G937" s="411" t="s">
        <v>213</v>
      </c>
      <c r="H937" s="411" t="s">
        <v>238</v>
      </c>
      <c r="I937" s="411" t="s">
        <v>11</v>
      </c>
      <c r="J937" s="411" t="s">
        <v>9947</v>
      </c>
      <c r="K937" s="414">
        <v>2400</v>
      </c>
      <c r="L937" s="415">
        <v>172</v>
      </c>
      <c r="M937" s="414"/>
      <c r="N937" s="414"/>
      <c r="O937" s="414"/>
      <c r="P937" s="414"/>
      <c r="Q937" s="414"/>
    </row>
    <row r="938" spans="1:17" s="32" customFormat="1" ht="19.5" customHeight="1">
      <c r="A938" s="411">
        <v>1105</v>
      </c>
      <c r="B938" s="412" t="s">
        <v>1702</v>
      </c>
      <c r="C938" s="413"/>
      <c r="D938" s="413"/>
      <c r="E938" s="413" t="s">
        <v>3662</v>
      </c>
      <c r="F938" s="411" t="s">
        <v>10884</v>
      </c>
      <c r="G938" s="411" t="s">
        <v>213</v>
      </c>
      <c r="H938" s="411" t="s">
        <v>238</v>
      </c>
      <c r="I938" s="411" t="s">
        <v>11</v>
      </c>
      <c r="J938" s="411" t="s">
        <v>9063</v>
      </c>
      <c r="K938" s="414">
        <v>2440</v>
      </c>
      <c r="L938" s="415">
        <v>0</v>
      </c>
      <c r="M938" s="414"/>
      <c r="N938" s="414"/>
      <c r="O938" s="414"/>
      <c r="P938" s="414"/>
      <c r="Q938" s="414"/>
    </row>
    <row r="939" spans="1:17" s="32" customFormat="1" ht="19.5" customHeight="1">
      <c r="A939" s="411">
        <v>1107</v>
      </c>
      <c r="B939" s="412" t="s">
        <v>9147</v>
      </c>
      <c r="C939" s="413"/>
      <c r="D939" s="413"/>
      <c r="E939" s="413" t="s">
        <v>3663</v>
      </c>
      <c r="F939" s="411" t="s">
        <v>10885</v>
      </c>
      <c r="G939" s="411" t="s">
        <v>5222</v>
      </c>
      <c r="H939" s="411" t="s">
        <v>327</v>
      </c>
      <c r="I939" s="411" t="s">
        <v>10</v>
      </c>
      <c r="J939" s="411" t="s">
        <v>9675</v>
      </c>
      <c r="K939" s="414">
        <v>982</v>
      </c>
      <c r="L939" s="415">
        <v>0</v>
      </c>
      <c r="M939" s="414"/>
      <c r="N939" s="414"/>
      <c r="O939" s="414"/>
      <c r="P939" s="414"/>
      <c r="Q939" s="414"/>
    </row>
    <row r="940" spans="1:17" s="32" customFormat="1" ht="19.5" customHeight="1">
      <c r="A940" s="411">
        <v>1108</v>
      </c>
      <c r="B940" s="412" t="s">
        <v>2942</v>
      </c>
      <c r="C940" s="413"/>
      <c r="D940" s="413"/>
      <c r="E940" s="413" t="s">
        <v>10886</v>
      </c>
      <c r="F940" s="411" t="s">
        <v>9584</v>
      </c>
      <c r="G940" s="411" t="s">
        <v>213</v>
      </c>
      <c r="H940" s="411" t="s">
        <v>238</v>
      </c>
      <c r="I940" s="411" t="s">
        <v>11</v>
      </c>
      <c r="J940" s="411" t="s">
        <v>9063</v>
      </c>
      <c r="K940" s="414">
        <v>508</v>
      </c>
      <c r="L940" s="415">
        <v>0</v>
      </c>
      <c r="M940" s="414"/>
      <c r="N940" s="414"/>
      <c r="O940" s="414"/>
      <c r="P940" s="414"/>
      <c r="Q940" s="414"/>
    </row>
    <row r="941" spans="1:17" s="32" customFormat="1" ht="19.5" customHeight="1">
      <c r="A941" s="411">
        <v>1109</v>
      </c>
      <c r="B941" s="412" t="s">
        <v>10887</v>
      </c>
      <c r="C941" s="413"/>
      <c r="D941" s="413"/>
      <c r="E941" s="413" t="s">
        <v>10888</v>
      </c>
      <c r="F941" s="411" t="s">
        <v>10889</v>
      </c>
      <c r="G941" s="411" t="s">
        <v>6694</v>
      </c>
      <c r="H941" s="417" t="s">
        <v>10890</v>
      </c>
      <c r="I941" s="411" t="s">
        <v>11</v>
      </c>
      <c r="J941" s="411" t="s">
        <v>2917</v>
      </c>
      <c r="K941" s="414">
        <v>1980</v>
      </c>
      <c r="L941" s="415">
        <v>0</v>
      </c>
      <c r="M941" s="414"/>
      <c r="N941" s="414"/>
      <c r="O941" s="414"/>
      <c r="P941" s="414"/>
      <c r="Q941" s="414"/>
    </row>
    <row r="942" spans="1:17" s="32" customFormat="1" ht="19.5" customHeight="1">
      <c r="A942" s="411">
        <v>1111</v>
      </c>
      <c r="B942" s="412" t="s">
        <v>10891</v>
      </c>
      <c r="C942" s="413"/>
      <c r="D942" s="413"/>
      <c r="E942" s="413" t="s">
        <v>10892</v>
      </c>
      <c r="F942" s="411" t="s">
        <v>10893</v>
      </c>
      <c r="G942" s="411" t="s">
        <v>213</v>
      </c>
      <c r="H942" s="411" t="s">
        <v>10894</v>
      </c>
      <c r="I942" s="411" t="s">
        <v>10</v>
      </c>
      <c r="J942" s="411" t="s">
        <v>2917</v>
      </c>
      <c r="K942" s="414">
        <v>425</v>
      </c>
      <c r="L942" s="415">
        <v>0</v>
      </c>
      <c r="M942" s="414"/>
      <c r="N942" s="414"/>
      <c r="O942" s="414"/>
      <c r="P942" s="414"/>
      <c r="Q942" s="414"/>
    </row>
    <row r="943" spans="1:17" s="32" customFormat="1" ht="19.5" customHeight="1">
      <c r="A943" s="411">
        <v>1112</v>
      </c>
      <c r="B943" s="413" t="s">
        <v>10895</v>
      </c>
      <c r="C943" s="413"/>
      <c r="D943" s="413"/>
      <c r="E943" s="413" t="s">
        <v>163</v>
      </c>
      <c r="F943" s="411" t="s">
        <v>2299</v>
      </c>
      <c r="G943" s="411" t="s">
        <v>213</v>
      </c>
      <c r="H943" s="411" t="s">
        <v>165</v>
      </c>
      <c r="I943" s="411" t="s">
        <v>11</v>
      </c>
      <c r="J943" s="411" t="s">
        <v>541</v>
      </c>
      <c r="K943" s="414">
        <v>800</v>
      </c>
      <c r="L943" s="415">
        <v>0</v>
      </c>
      <c r="M943" s="414"/>
      <c r="N943" s="414"/>
      <c r="O943" s="414"/>
      <c r="P943" s="414"/>
      <c r="Q943" s="414"/>
    </row>
    <row r="944" spans="1:17" s="32" customFormat="1" ht="19.5" customHeight="1">
      <c r="A944" s="411">
        <v>1113</v>
      </c>
      <c r="B944" s="412" t="s">
        <v>10896</v>
      </c>
      <c r="C944" s="413"/>
      <c r="D944" s="413"/>
      <c r="E944" s="413" t="s">
        <v>10897</v>
      </c>
      <c r="F944" s="411" t="s">
        <v>9795</v>
      </c>
      <c r="G944" s="411" t="s">
        <v>6694</v>
      </c>
      <c r="H944" s="436" t="s">
        <v>165</v>
      </c>
      <c r="I944" s="411" t="s">
        <v>11</v>
      </c>
      <c r="J944" s="411" t="s">
        <v>541</v>
      </c>
      <c r="K944" s="414">
        <v>880</v>
      </c>
      <c r="L944" s="415">
        <v>10800</v>
      </c>
      <c r="M944" s="414"/>
      <c r="N944" s="414"/>
      <c r="O944" s="414"/>
      <c r="P944" s="414"/>
      <c r="Q944" s="414"/>
    </row>
    <row r="945" spans="1:17" s="32" customFormat="1" ht="19.5" customHeight="1">
      <c r="A945" s="411">
        <v>1114</v>
      </c>
      <c r="B945" s="412" t="s">
        <v>10898</v>
      </c>
      <c r="C945" s="413"/>
      <c r="D945" s="413"/>
      <c r="E945" s="413" t="s">
        <v>10899</v>
      </c>
      <c r="F945" s="411" t="s">
        <v>10900</v>
      </c>
      <c r="G945" s="411" t="s">
        <v>5661</v>
      </c>
      <c r="H945" s="411" t="s">
        <v>3330</v>
      </c>
      <c r="I945" s="411" t="s">
        <v>628</v>
      </c>
      <c r="J945" s="411" t="s">
        <v>10901</v>
      </c>
      <c r="K945" s="414">
        <v>203522</v>
      </c>
      <c r="L945" s="415">
        <v>11</v>
      </c>
      <c r="M945" s="414"/>
      <c r="N945" s="414"/>
      <c r="O945" s="414"/>
      <c r="P945" s="414"/>
      <c r="Q945" s="414"/>
    </row>
    <row r="946" spans="1:17" s="32" customFormat="1" ht="19.5" customHeight="1">
      <c r="A946" s="411">
        <v>1116</v>
      </c>
      <c r="B946" s="420" t="s">
        <v>9058</v>
      </c>
      <c r="C946" s="421"/>
      <c r="D946" s="421"/>
      <c r="E946" s="412" t="s">
        <v>10902</v>
      </c>
      <c r="F946" s="417" t="s">
        <v>10903</v>
      </c>
      <c r="G946" s="417" t="s">
        <v>5105</v>
      </c>
      <c r="H946" s="417" t="s">
        <v>9880</v>
      </c>
      <c r="I946" s="417" t="s">
        <v>15</v>
      </c>
      <c r="J946" s="417" t="s">
        <v>3104</v>
      </c>
      <c r="K946" s="418">
        <v>41475</v>
      </c>
      <c r="L946" s="419">
        <v>92</v>
      </c>
      <c r="M946" s="418"/>
      <c r="N946" s="414"/>
      <c r="O946" s="414"/>
      <c r="P946" s="418"/>
      <c r="Q946" s="418"/>
    </row>
    <row r="947" spans="1:17" s="32" customFormat="1" ht="19.5" customHeight="1">
      <c r="A947" s="411"/>
      <c r="B947" s="412"/>
      <c r="C947" s="413"/>
      <c r="D947" s="413"/>
      <c r="E947" s="413" t="s">
        <v>10904</v>
      </c>
      <c r="F947" s="422" t="s">
        <v>10905</v>
      </c>
      <c r="G947" s="411" t="s">
        <v>5105</v>
      </c>
      <c r="H947" s="411" t="s">
        <v>10906</v>
      </c>
      <c r="I947" s="411" t="s">
        <v>11</v>
      </c>
      <c r="J947" s="411" t="s">
        <v>1872</v>
      </c>
      <c r="K947" s="414">
        <v>4721</v>
      </c>
      <c r="L947" s="415">
        <v>230</v>
      </c>
      <c r="M947" s="414"/>
      <c r="N947" s="414"/>
      <c r="O947" s="414"/>
      <c r="P947" s="414"/>
      <c r="Q947" s="414"/>
    </row>
    <row r="948" spans="1:17" s="32" customFormat="1" ht="19.5" customHeight="1">
      <c r="A948" s="411">
        <v>1117</v>
      </c>
      <c r="B948" s="412" t="s">
        <v>9058</v>
      </c>
      <c r="C948" s="413"/>
      <c r="D948" s="413"/>
      <c r="E948" s="413" t="s">
        <v>10907</v>
      </c>
      <c r="F948" s="411" t="s">
        <v>10908</v>
      </c>
      <c r="G948" s="411" t="s">
        <v>213</v>
      </c>
      <c r="H948" s="411" t="s">
        <v>225</v>
      </c>
      <c r="I948" s="411" t="s">
        <v>11</v>
      </c>
      <c r="J948" s="411" t="s">
        <v>9063</v>
      </c>
      <c r="K948" s="414">
        <v>230</v>
      </c>
      <c r="L948" s="415">
        <v>0</v>
      </c>
      <c r="M948" s="414"/>
      <c r="N948" s="414"/>
      <c r="O948" s="414"/>
      <c r="P948" s="414"/>
      <c r="Q948" s="414"/>
    </row>
    <row r="949" spans="1:17" s="32" customFormat="1" ht="19.5" customHeight="1">
      <c r="A949" s="411">
        <v>1119</v>
      </c>
      <c r="B949" s="412" t="s">
        <v>2470</v>
      </c>
      <c r="C949" s="413"/>
      <c r="D949" s="413"/>
      <c r="E949" s="413" t="s">
        <v>10909</v>
      </c>
      <c r="F949" s="411" t="s">
        <v>3337</v>
      </c>
      <c r="G949" s="411" t="s">
        <v>6694</v>
      </c>
      <c r="H949" s="411" t="s">
        <v>384</v>
      </c>
      <c r="I949" s="411" t="s">
        <v>11</v>
      </c>
      <c r="J949" s="411" t="s">
        <v>9738</v>
      </c>
      <c r="K949" s="414">
        <v>149</v>
      </c>
      <c r="L949" s="415">
        <v>5027</v>
      </c>
      <c r="M949" s="414"/>
      <c r="N949" s="414"/>
      <c r="O949" s="414"/>
      <c r="P949" s="414"/>
      <c r="Q949" s="414"/>
    </row>
    <row r="950" spans="1:17" s="32" customFormat="1" ht="19.5" customHeight="1">
      <c r="A950" s="411">
        <v>1121</v>
      </c>
      <c r="B950" s="413" t="s">
        <v>2470</v>
      </c>
      <c r="C950" s="413"/>
      <c r="D950" s="413"/>
      <c r="E950" s="413" t="s">
        <v>10909</v>
      </c>
      <c r="F950" s="411" t="s">
        <v>3337</v>
      </c>
      <c r="G950" s="411" t="s">
        <v>213</v>
      </c>
      <c r="H950" s="411" t="s">
        <v>384</v>
      </c>
      <c r="I950" s="411" t="s">
        <v>11</v>
      </c>
      <c r="J950" s="411" t="s">
        <v>9738</v>
      </c>
      <c r="K950" s="414">
        <v>150</v>
      </c>
      <c r="L950" s="415">
        <v>0</v>
      </c>
      <c r="M950" s="414"/>
      <c r="N950" s="414"/>
      <c r="O950" s="414"/>
      <c r="P950" s="414"/>
      <c r="Q950" s="414"/>
    </row>
    <row r="951" spans="1:17" s="32" customFormat="1" ht="19.5" customHeight="1">
      <c r="A951" s="411">
        <v>1118</v>
      </c>
      <c r="B951" s="412" t="s">
        <v>10910</v>
      </c>
      <c r="C951" s="413"/>
      <c r="D951" s="413"/>
      <c r="E951" s="413" t="s">
        <v>10909</v>
      </c>
      <c r="F951" s="411" t="s">
        <v>10911</v>
      </c>
      <c r="G951" s="411" t="s">
        <v>213</v>
      </c>
      <c r="H951" s="411" t="s">
        <v>384</v>
      </c>
      <c r="I951" s="411" t="s">
        <v>9115</v>
      </c>
      <c r="J951" s="411" t="s">
        <v>9063</v>
      </c>
      <c r="K951" s="414">
        <v>135</v>
      </c>
      <c r="L951" s="415">
        <v>0</v>
      </c>
      <c r="M951" s="414"/>
      <c r="N951" s="414"/>
      <c r="O951" s="414"/>
      <c r="P951" s="414"/>
      <c r="Q951" s="414"/>
    </row>
    <row r="952" spans="1:17" s="32" customFormat="1" ht="19.5" customHeight="1">
      <c r="A952" s="411">
        <v>1122</v>
      </c>
      <c r="B952" s="420" t="s">
        <v>1640</v>
      </c>
      <c r="C952" s="421"/>
      <c r="D952" s="421"/>
      <c r="E952" s="412" t="s">
        <v>10912</v>
      </c>
      <c r="F952" s="417" t="s">
        <v>10913</v>
      </c>
      <c r="G952" s="417" t="s">
        <v>5879</v>
      </c>
      <c r="H952" s="417" t="s">
        <v>327</v>
      </c>
      <c r="I952" s="417" t="s">
        <v>10</v>
      </c>
      <c r="J952" s="417" t="s">
        <v>538</v>
      </c>
      <c r="K952" s="418">
        <v>1386</v>
      </c>
      <c r="L952" s="419">
        <v>339</v>
      </c>
      <c r="M952" s="418"/>
      <c r="N952" s="414"/>
      <c r="O952" s="414"/>
      <c r="P952" s="418"/>
      <c r="Q952" s="418"/>
    </row>
    <row r="953" spans="1:17" s="32" customFormat="1" ht="19.5" customHeight="1">
      <c r="A953" s="411">
        <v>1123</v>
      </c>
      <c r="B953" s="412" t="s">
        <v>1302</v>
      </c>
      <c r="C953" s="413"/>
      <c r="D953" s="413"/>
      <c r="E953" s="413" t="s">
        <v>10914</v>
      </c>
      <c r="F953" s="411" t="s">
        <v>10915</v>
      </c>
      <c r="G953" s="411" t="s">
        <v>213</v>
      </c>
      <c r="H953" s="411" t="s">
        <v>238</v>
      </c>
      <c r="I953" s="411" t="s">
        <v>11</v>
      </c>
      <c r="J953" s="411" t="s">
        <v>9063</v>
      </c>
      <c r="K953" s="414">
        <v>5400</v>
      </c>
      <c r="L953" s="415">
        <v>34</v>
      </c>
      <c r="M953" s="414"/>
      <c r="N953" s="414"/>
      <c r="O953" s="414"/>
      <c r="P953" s="414"/>
      <c r="Q953" s="414"/>
    </row>
    <row r="954" spans="1:17" s="32" customFormat="1" ht="19.5" customHeight="1">
      <c r="A954" s="411">
        <v>1124</v>
      </c>
      <c r="B954" s="412" t="s">
        <v>4441</v>
      </c>
      <c r="C954" s="413"/>
      <c r="D954" s="413"/>
      <c r="E954" s="413" t="s">
        <v>10916</v>
      </c>
      <c r="F954" s="411" t="s">
        <v>10917</v>
      </c>
      <c r="G954" s="411" t="s">
        <v>6694</v>
      </c>
      <c r="H954" s="411" t="s">
        <v>238</v>
      </c>
      <c r="I954" s="411" t="s">
        <v>11</v>
      </c>
      <c r="J954" s="411" t="s">
        <v>9733</v>
      </c>
      <c r="K954" s="414">
        <v>2340</v>
      </c>
      <c r="L954" s="415">
        <v>4049</v>
      </c>
      <c r="M954" s="414"/>
      <c r="N954" s="414"/>
      <c r="O954" s="414"/>
      <c r="P954" s="414"/>
      <c r="Q954" s="414"/>
    </row>
    <row r="955" spans="1:17" s="32" customFormat="1" ht="19.5" customHeight="1">
      <c r="A955" s="411">
        <v>1128</v>
      </c>
      <c r="B955" s="413" t="s">
        <v>1380</v>
      </c>
      <c r="C955" s="413"/>
      <c r="D955" s="413"/>
      <c r="E955" s="413" t="s">
        <v>3664</v>
      </c>
      <c r="F955" s="411" t="s">
        <v>1382</v>
      </c>
      <c r="G955" s="411" t="s">
        <v>213</v>
      </c>
      <c r="H955" s="411" t="s">
        <v>310</v>
      </c>
      <c r="I955" s="411" t="s">
        <v>11</v>
      </c>
      <c r="J955" s="411" t="s">
        <v>547</v>
      </c>
      <c r="K955" s="414">
        <v>290</v>
      </c>
      <c r="L955" s="415">
        <v>4751</v>
      </c>
      <c r="M955" s="414"/>
      <c r="N955" s="414"/>
      <c r="O955" s="414"/>
      <c r="P955" s="414"/>
      <c r="Q955" s="414"/>
    </row>
    <row r="956" spans="1:17" s="32" customFormat="1" ht="19.5" customHeight="1">
      <c r="A956" s="411">
        <v>1126</v>
      </c>
      <c r="B956" s="412" t="s">
        <v>10918</v>
      </c>
      <c r="C956" s="413"/>
      <c r="D956" s="413"/>
      <c r="E956" s="413" t="s">
        <v>3664</v>
      </c>
      <c r="F956" s="411" t="s">
        <v>10919</v>
      </c>
      <c r="G956" s="411" t="s">
        <v>6694</v>
      </c>
      <c r="H956" s="411" t="s">
        <v>310</v>
      </c>
      <c r="I956" s="411" t="s">
        <v>11</v>
      </c>
      <c r="J956" s="411" t="s">
        <v>547</v>
      </c>
      <c r="K956" s="414">
        <v>315</v>
      </c>
      <c r="L956" s="415">
        <v>0</v>
      </c>
      <c r="M956" s="414"/>
      <c r="N956" s="414"/>
      <c r="O956" s="414"/>
      <c r="P956" s="414"/>
      <c r="Q956" s="414"/>
    </row>
    <row r="957" spans="1:17" s="32" customFormat="1" ht="19.5" customHeight="1">
      <c r="A957" s="411">
        <v>1129</v>
      </c>
      <c r="B957" s="412" t="s">
        <v>1380</v>
      </c>
      <c r="C957" s="413"/>
      <c r="D957" s="413"/>
      <c r="E957" s="413" t="s">
        <v>10920</v>
      </c>
      <c r="F957" s="411" t="s">
        <v>10921</v>
      </c>
      <c r="G957" s="411" t="s">
        <v>213</v>
      </c>
      <c r="H957" s="411" t="s">
        <v>310</v>
      </c>
      <c r="I957" s="411" t="s">
        <v>10</v>
      </c>
      <c r="J957" s="411" t="s">
        <v>642</v>
      </c>
      <c r="K957" s="414">
        <v>350</v>
      </c>
      <c r="L957" s="415">
        <v>0</v>
      </c>
      <c r="M957" s="414"/>
      <c r="N957" s="414"/>
      <c r="O957" s="414"/>
      <c r="P957" s="414"/>
      <c r="Q957" s="414"/>
    </row>
    <row r="958" spans="1:17" s="32" customFormat="1" ht="19.5" customHeight="1">
      <c r="A958" s="411">
        <v>1130</v>
      </c>
      <c r="B958" s="412" t="s">
        <v>3339</v>
      </c>
      <c r="C958" s="413"/>
      <c r="D958" s="413"/>
      <c r="E958" s="413" t="s">
        <v>10922</v>
      </c>
      <c r="F958" s="411" t="s">
        <v>10923</v>
      </c>
      <c r="G958" s="411" t="s">
        <v>213</v>
      </c>
      <c r="H958" s="411" t="s">
        <v>10924</v>
      </c>
      <c r="I958" s="411" t="s">
        <v>11</v>
      </c>
      <c r="J958" s="411" t="s">
        <v>9063</v>
      </c>
      <c r="K958" s="414">
        <v>5800</v>
      </c>
      <c r="L958" s="415">
        <v>0</v>
      </c>
      <c r="M958" s="414"/>
      <c r="N958" s="414"/>
      <c r="O958" s="414"/>
      <c r="P958" s="414"/>
      <c r="Q958" s="414"/>
    </row>
    <row r="959" spans="1:17" s="32" customFormat="1" ht="19.5" customHeight="1">
      <c r="A959" s="411">
        <v>1131</v>
      </c>
      <c r="B959" s="412" t="s">
        <v>3339</v>
      </c>
      <c r="C959" s="416"/>
      <c r="D959" s="416"/>
      <c r="E959" s="412" t="s">
        <v>10925</v>
      </c>
      <c r="F959" s="417" t="s">
        <v>3341</v>
      </c>
      <c r="G959" s="417" t="s">
        <v>6694</v>
      </c>
      <c r="H959" s="417" t="s">
        <v>3342</v>
      </c>
      <c r="I959" s="417" t="s">
        <v>13</v>
      </c>
      <c r="J959" s="417" t="s">
        <v>562</v>
      </c>
      <c r="K959" s="418">
        <v>1150</v>
      </c>
      <c r="L959" s="419">
        <v>0</v>
      </c>
      <c r="M959" s="418"/>
      <c r="N959" s="414"/>
      <c r="O959" s="414"/>
      <c r="P959" s="418"/>
      <c r="Q959" s="418"/>
    </row>
    <row r="960" spans="1:17" s="32" customFormat="1" ht="19.5" customHeight="1">
      <c r="A960" s="411">
        <v>1132</v>
      </c>
      <c r="B960" s="412" t="s">
        <v>3339</v>
      </c>
      <c r="C960" s="413"/>
      <c r="D960" s="413"/>
      <c r="E960" s="413" t="s">
        <v>10926</v>
      </c>
      <c r="F960" s="411" t="s">
        <v>10927</v>
      </c>
      <c r="G960" s="411" t="s">
        <v>213</v>
      </c>
      <c r="H960" s="411" t="s">
        <v>10928</v>
      </c>
      <c r="I960" s="411" t="s">
        <v>13</v>
      </c>
      <c r="J960" s="411" t="s">
        <v>2919</v>
      </c>
      <c r="K960" s="414">
        <v>1696</v>
      </c>
      <c r="L960" s="415">
        <v>0</v>
      </c>
      <c r="M960" s="414"/>
      <c r="N960" s="414"/>
      <c r="O960" s="414"/>
      <c r="P960" s="414"/>
      <c r="Q960" s="414"/>
    </row>
    <row r="961" spans="1:17" s="32" customFormat="1" ht="19.5" customHeight="1">
      <c r="A961" s="411">
        <v>1133</v>
      </c>
      <c r="B961" s="412" t="s">
        <v>9464</v>
      </c>
      <c r="C961" s="413"/>
      <c r="D961" s="413"/>
      <c r="E961" s="413" t="s">
        <v>10929</v>
      </c>
      <c r="F961" s="411" t="s">
        <v>10930</v>
      </c>
      <c r="G961" s="411" t="s">
        <v>5273</v>
      </c>
      <c r="H961" s="411" t="s">
        <v>10931</v>
      </c>
      <c r="I961" s="411" t="s">
        <v>15</v>
      </c>
      <c r="J961" s="411" t="s">
        <v>10932</v>
      </c>
      <c r="K961" s="414">
        <v>75000</v>
      </c>
      <c r="L961" s="415">
        <v>373</v>
      </c>
      <c r="M961" s="414"/>
      <c r="N961" s="414"/>
      <c r="O961" s="414"/>
      <c r="P961" s="414"/>
      <c r="Q961" s="414"/>
    </row>
    <row r="962" spans="1:17" s="32" customFormat="1" ht="19.5" customHeight="1">
      <c r="A962" s="411">
        <v>1135</v>
      </c>
      <c r="B962" s="412" t="s">
        <v>10933</v>
      </c>
      <c r="C962" s="416"/>
      <c r="D962" s="416"/>
      <c r="E962" s="412" t="s">
        <v>1425</v>
      </c>
      <c r="F962" s="417" t="s">
        <v>10934</v>
      </c>
      <c r="G962" s="417" t="s">
        <v>6694</v>
      </c>
      <c r="H962" s="417" t="s">
        <v>1426</v>
      </c>
      <c r="I962" s="417" t="s">
        <v>11</v>
      </c>
      <c r="J962" s="417" t="s">
        <v>9738</v>
      </c>
      <c r="K962" s="418">
        <v>195</v>
      </c>
      <c r="L962" s="419">
        <v>0</v>
      </c>
      <c r="M962" s="418"/>
      <c r="N962" s="414"/>
      <c r="O962" s="414"/>
      <c r="P962" s="418"/>
      <c r="Q962" s="418"/>
    </row>
    <row r="963" spans="1:17" s="32" customFormat="1" ht="19.5" customHeight="1">
      <c r="A963" s="411">
        <v>1136</v>
      </c>
      <c r="B963" s="412" t="s">
        <v>10933</v>
      </c>
      <c r="C963" s="413"/>
      <c r="D963" s="413"/>
      <c r="E963" s="413" t="s">
        <v>10935</v>
      </c>
      <c r="F963" s="411" t="s">
        <v>9964</v>
      </c>
      <c r="G963" s="411" t="s">
        <v>213</v>
      </c>
      <c r="H963" s="411" t="s">
        <v>10936</v>
      </c>
      <c r="I963" s="411" t="s">
        <v>11</v>
      </c>
      <c r="J963" s="411" t="s">
        <v>9063</v>
      </c>
      <c r="K963" s="414">
        <v>195</v>
      </c>
      <c r="L963" s="415">
        <v>3115</v>
      </c>
      <c r="M963" s="414"/>
      <c r="N963" s="414"/>
      <c r="O963" s="414"/>
      <c r="P963" s="414"/>
      <c r="Q963" s="414"/>
    </row>
    <row r="964" spans="1:17" s="32" customFormat="1" ht="19.5" customHeight="1">
      <c r="A964" s="411">
        <v>1137</v>
      </c>
      <c r="B964" s="412" t="s">
        <v>9629</v>
      </c>
      <c r="C964" s="413"/>
      <c r="D964" s="413"/>
      <c r="E964" s="413" t="s">
        <v>3665</v>
      </c>
      <c r="F964" s="411" t="s">
        <v>1169</v>
      </c>
      <c r="G964" s="411" t="s">
        <v>6694</v>
      </c>
      <c r="H964" s="411" t="s">
        <v>258</v>
      </c>
      <c r="I964" s="411" t="s">
        <v>11</v>
      </c>
      <c r="J964" s="411" t="s">
        <v>804</v>
      </c>
      <c r="K964" s="414">
        <v>4500</v>
      </c>
      <c r="L964" s="415">
        <v>17855</v>
      </c>
      <c r="M964" s="414"/>
      <c r="N964" s="414"/>
      <c r="O964" s="414"/>
      <c r="P964" s="414"/>
      <c r="Q964" s="414"/>
    </row>
    <row r="965" spans="1:17" s="32" customFormat="1" ht="19.5" customHeight="1">
      <c r="A965" s="411">
        <v>1139</v>
      </c>
      <c r="B965" s="413" t="s">
        <v>750</v>
      </c>
      <c r="C965" s="413"/>
      <c r="D965" s="413"/>
      <c r="E965" s="413" t="s">
        <v>10937</v>
      </c>
      <c r="F965" s="411" t="s">
        <v>3346</v>
      </c>
      <c r="G965" s="411" t="s">
        <v>213</v>
      </c>
      <c r="H965" s="411" t="s">
        <v>3347</v>
      </c>
      <c r="I965" s="411" t="s">
        <v>13</v>
      </c>
      <c r="J965" s="411" t="s">
        <v>10938</v>
      </c>
      <c r="K965" s="414">
        <v>382</v>
      </c>
      <c r="L965" s="415">
        <v>0</v>
      </c>
      <c r="M965" s="414"/>
      <c r="N965" s="414"/>
      <c r="O965" s="414"/>
      <c r="P965" s="414"/>
      <c r="Q965" s="414"/>
    </row>
    <row r="966" spans="1:17" s="32" customFormat="1" ht="19.5" customHeight="1">
      <c r="A966" s="411">
        <v>1141</v>
      </c>
      <c r="B966" s="412" t="s">
        <v>5135</v>
      </c>
      <c r="C966" s="413"/>
      <c r="D966" s="413"/>
      <c r="E966" s="413" t="s">
        <v>10939</v>
      </c>
      <c r="F966" s="411" t="s">
        <v>10940</v>
      </c>
      <c r="G966" s="411" t="s">
        <v>6694</v>
      </c>
      <c r="H966" s="411" t="s">
        <v>222</v>
      </c>
      <c r="I966" s="411" t="s">
        <v>10</v>
      </c>
      <c r="J966" s="411" t="s">
        <v>10938</v>
      </c>
      <c r="K966" s="414">
        <v>53</v>
      </c>
      <c r="L966" s="415">
        <v>1010</v>
      </c>
      <c r="M966" s="414"/>
      <c r="N966" s="414"/>
      <c r="O966" s="414"/>
      <c r="P966" s="414"/>
      <c r="Q966" s="414"/>
    </row>
    <row r="967" spans="1:17" s="32" customFormat="1" ht="19.5" customHeight="1">
      <c r="A967" s="411">
        <v>1140</v>
      </c>
      <c r="B967" s="412" t="s">
        <v>10941</v>
      </c>
      <c r="C967" s="413"/>
      <c r="D967" s="413"/>
      <c r="E967" s="413" t="s">
        <v>10939</v>
      </c>
      <c r="F967" s="411" t="s">
        <v>10942</v>
      </c>
      <c r="G967" s="411" t="s">
        <v>213</v>
      </c>
      <c r="H967" s="411" t="s">
        <v>222</v>
      </c>
      <c r="I967" s="411" t="s">
        <v>11</v>
      </c>
      <c r="J967" s="411" t="s">
        <v>9063</v>
      </c>
      <c r="K967" s="414">
        <v>50</v>
      </c>
      <c r="L967" s="415">
        <v>0</v>
      </c>
      <c r="M967" s="414"/>
      <c r="N967" s="414"/>
      <c r="O967" s="414"/>
      <c r="P967" s="414"/>
      <c r="Q967" s="414"/>
    </row>
    <row r="968" spans="1:17" s="32" customFormat="1" ht="19.5" customHeight="1">
      <c r="A968" s="411">
        <v>1143</v>
      </c>
      <c r="B968" s="412" t="s">
        <v>10943</v>
      </c>
      <c r="C968" s="413"/>
      <c r="D968" s="413"/>
      <c r="E968" s="413" t="s">
        <v>10944</v>
      </c>
      <c r="F968" s="411" t="s">
        <v>10945</v>
      </c>
      <c r="G968" s="411" t="s">
        <v>213</v>
      </c>
      <c r="H968" s="411" t="s">
        <v>232</v>
      </c>
      <c r="I968" s="411" t="s">
        <v>10</v>
      </c>
      <c r="J968" s="411" t="s">
        <v>1329</v>
      </c>
      <c r="K968" s="414">
        <v>5990</v>
      </c>
      <c r="L968" s="415">
        <v>0</v>
      </c>
      <c r="M968" s="414"/>
      <c r="N968" s="414"/>
      <c r="O968" s="414"/>
      <c r="P968" s="414"/>
      <c r="Q968" s="414"/>
    </row>
    <row r="969" spans="1:17" s="32" customFormat="1" ht="19.5" customHeight="1">
      <c r="A969" s="411">
        <v>1144</v>
      </c>
      <c r="B969" s="412" t="s">
        <v>10943</v>
      </c>
      <c r="C969" s="413"/>
      <c r="D969" s="413"/>
      <c r="E969" s="413" t="s">
        <v>10944</v>
      </c>
      <c r="F969" s="411" t="s">
        <v>10946</v>
      </c>
      <c r="G969" s="411" t="s">
        <v>8536</v>
      </c>
      <c r="H969" s="411" t="s">
        <v>232</v>
      </c>
      <c r="I969" s="411" t="s">
        <v>11</v>
      </c>
      <c r="J969" s="411" t="s">
        <v>9063</v>
      </c>
      <c r="K969" s="414">
        <v>7900</v>
      </c>
      <c r="L969" s="415">
        <v>0</v>
      </c>
      <c r="M969" s="414"/>
      <c r="N969" s="414"/>
      <c r="O969" s="414"/>
      <c r="P969" s="414"/>
      <c r="Q969" s="414"/>
    </row>
    <row r="970" spans="1:17" s="32" customFormat="1" ht="19.5" customHeight="1">
      <c r="A970" s="411">
        <v>1145</v>
      </c>
      <c r="B970" s="412" t="s">
        <v>10947</v>
      </c>
      <c r="C970" s="413"/>
      <c r="D970" s="413"/>
      <c r="E970" s="413" t="s">
        <v>10948</v>
      </c>
      <c r="F970" s="411" t="s">
        <v>10949</v>
      </c>
      <c r="G970" s="411" t="s">
        <v>6859</v>
      </c>
      <c r="H970" s="411" t="s">
        <v>10950</v>
      </c>
      <c r="I970" s="411" t="s">
        <v>10</v>
      </c>
      <c r="J970" s="411" t="s">
        <v>1131</v>
      </c>
      <c r="K970" s="414">
        <v>924</v>
      </c>
      <c r="L970" s="415">
        <v>0</v>
      </c>
      <c r="M970" s="414"/>
      <c r="N970" s="414"/>
      <c r="O970" s="414"/>
      <c r="P970" s="414"/>
      <c r="Q970" s="414"/>
    </row>
    <row r="971" spans="1:17" s="32" customFormat="1" ht="19.5" customHeight="1">
      <c r="A971" s="411">
        <v>1146</v>
      </c>
      <c r="B971" s="412" t="s">
        <v>9662</v>
      </c>
      <c r="C971" s="413"/>
      <c r="D971" s="413"/>
      <c r="E971" s="413" t="s">
        <v>10951</v>
      </c>
      <c r="F971" s="411" t="s">
        <v>10952</v>
      </c>
      <c r="G971" s="411" t="s">
        <v>6299</v>
      </c>
      <c r="H971" s="411" t="s">
        <v>9240</v>
      </c>
      <c r="I971" s="411" t="s">
        <v>658</v>
      </c>
      <c r="J971" s="411" t="s">
        <v>9180</v>
      </c>
      <c r="K971" s="414">
        <v>33390</v>
      </c>
      <c r="L971" s="415">
        <v>0</v>
      </c>
      <c r="M971" s="414"/>
      <c r="N971" s="414"/>
      <c r="O971" s="414"/>
      <c r="P971" s="414"/>
      <c r="Q971" s="414"/>
    </row>
    <row r="972" spans="1:17" s="32" customFormat="1" ht="19.5" customHeight="1">
      <c r="A972" s="411">
        <v>1147</v>
      </c>
      <c r="B972" s="412" t="s">
        <v>4220</v>
      </c>
      <c r="C972" s="416"/>
      <c r="D972" s="416"/>
      <c r="E972" s="412" t="s">
        <v>10953</v>
      </c>
      <c r="F972" s="417" t="s">
        <v>917</v>
      </c>
      <c r="G972" s="417" t="s">
        <v>10954</v>
      </c>
      <c r="H972" s="417" t="s">
        <v>4299</v>
      </c>
      <c r="I972" s="417" t="s">
        <v>628</v>
      </c>
      <c r="J972" s="417" t="s">
        <v>10955</v>
      </c>
      <c r="K972" s="418">
        <v>241525</v>
      </c>
      <c r="L972" s="419">
        <v>89</v>
      </c>
      <c r="M972" s="418"/>
      <c r="N972" s="414"/>
      <c r="O972" s="414"/>
      <c r="P972" s="418"/>
      <c r="Q972" s="418"/>
    </row>
    <row r="973" spans="1:17" s="32" customFormat="1" ht="19.5" customHeight="1">
      <c r="A973" s="411">
        <v>1150</v>
      </c>
      <c r="B973" s="413" t="s">
        <v>3351</v>
      </c>
      <c r="C973" s="413"/>
      <c r="D973" s="413"/>
      <c r="E973" s="413" t="s">
        <v>3352</v>
      </c>
      <c r="F973" s="411" t="s">
        <v>3353</v>
      </c>
      <c r="G973" s="411" t="s">
        <v>213</v>
      </c>
      <c r="H973" s="411" t="s">
        <v>3355</v>
      </c>
      <c r="I973" s="411" t="s">
        <v>11</v>
      </c>
      <c r="J973" s="411" t="s">
        <v>9063</v>
      </c>
      <c r="K973" s="414">
        <v>1050</v>
      </c>
      <c r="L973" s="415">
        <v>0</v>
      </c>
      <c r="M973" s="414"/>
      <c r="N973" s="414"/>
      <c r="O973" s="414"/>
      <c r="P973" s="414"/>
      <c r="Q973" s="414"/>
    </row>
    <row r="974" spans="1:17" s="32" customFormat="1" ht="19.5" customHeight="1">
      <c r="A974" s="411">
        <v>1151</v>
      </c>
      <c r="B974" s="420" t="s">
        <v>3361</v>
      </c>
      <c r="C974" s="421"/>
      <c r="D974" s="421"/>
      <c r="E974" s="412" t="s">
        <v>3666</v>
      </c>
      <c r="F974" s="417" t="s">
        <v>3362</v>
      </c>
      <c r="G974" s="417" t="s">
        <v>6694</v>
      </c>
      <c r="H974" s="417" t="s">
        <v>225</v>
      </c>
      <c r="I974" s="417" t="s">
        <v>11</v>
      </c>
      <c r="J974" s="417" t="s">
        <v>10956</v>
      </c>
      <c r="K974" s="418">
        <v>6250</v>
      </c>
      <c r="L974" s="419">
        <v>909</v>
      </c>
      <c r="M974" s="418"/>
      <c r="N974" s="414"/>
      <c r="O974" s="414"/>
      <c r="P974" s="418"/>
      <c r="Q974" s="418"/>
    </row>
    <row r="975" spans="1:17" s="32" customFormat="1" ht="19.5" customHeight="1">
      <c r="A975" s="411">
        <v>1152</v>
      </c>
      <c r="B975" s="420" t="s">
        <v>9546</v>
      </c>
      <c r="C975" s="421"/>
      <c r="D975" s="421"/>
      <c r="E975" s="412" t="s">
        <v>10957</v>
      </c>
      <c r="F975" s="417" t="s">
        <v>10958</v>
      </c>
      <c r="G975" s="417" t="s">
        <v>6694</v>
      </c>
      <c r="H975" s="417" t="s">
        <v>225</v>
      </c>
      <c r="I975" s="417" t="s">
        <v>11</v>
      </c>
      <c r="J975" s="417" t="s">
        <v>10956</v>
      </c>
      <c r="K975" s="418">
        <v>1250</v>
      </c>
      <c r="L975" s="419">
        <v>0</v>
      </c>
      <c r="M975" s="418"/>
      <c r="N975" s="414"/>
      <c r="O975" s="414"/>
      <c r="P975" s="418"/>
      <c r="Q975" s="418"/>
    </row>
    <row r="976" spans="1:17" s="32" customFormat="1" ht="19.5" customHeight="1">
      <c r="A976" s="411">
        <v>1153</v>
      </c>
      <c r="B976" s="420" t="s">
        <v>10959</v>
      </c>
      <c r="C976" s="421"/>
      <c r="D976" s="421"/>
      <c r="E976" s="412" t="s">
        <v>10960</v>
      </c>
      <c r="F976" s="417" t="s">
        <v>3365</v>
      </c>
      <c r="G976" s="417" t="s">
        <v>6694</v>
      </c>
      <c r="H976" s="417" t="s">
        <v>10961</v>
      </c>
      <c r="I976" s="417" t="s">
        <v>11</v>
      </c>
      <c r="J976" s="417" t="s">
        <v>9733</v>
      </c>
      <c r="K976" s="418">
        <v>2250</v>
      </c>
      <c r="L976" s="419">
        <v>0</v>
      </c>
      <c r="M976" s="418"/>
      <c r="N976" s="414"/>
      <c r="O976" s="414"/>
      <c r="P976" s="418"/>
      <c r="Q976" s="418"/>
    </row>
    <row r="977" spans="1:17" s="32" customFormat="1" ht="19.5" customHeight="1">
      <c r="A977" s="411">
        <v>1154</v>
      </c>
      <c r="B977" s="412" t="s">
        <v>1661</v>
      </c>
      <c r="C977" s="416"/>
      <c r="D977" s="416"/>
      <c r="E977" s="412" t="s">
        <v>10962</v>
      </c>
      <c r="F977" s="417" t="s">
        <v>10963</v>
      </c>
      <c r="G977" s="417" t="s">
        <v>6694</v>
      </c>
      <c r="H977" s="417" t="s">
        <v>994</v>
      </c>
      <c r="I977" s="417" t="s">
        <v>11</v>
      </c>
      <c r="J977" s="417" t="s">
        <v>9733</v>
      </c>
      <c r="K977" s="418">
        <v>674</v>
      </c>
      <c r="L977" s="419">
        <v>101</v>
      </c>
      <c r="M977" s="418"/>
      <c r="N977" s="414"/>
      <c r="O977" s="414"/>
      <c r="P977" s="418"/>
      <c r="Q977" s="418"/>
    </row>
    <row r="978" spans="1:17" s="32" customFormat="1" ht="19.5" customHeight="1">
      <c r="A978" s="411">
        <v>1155</v>
      </c>
      <c r="B978" s="420" t="s">
        <v>9749</v>
      </c>
      <c r="C978" s="421"/>
      <c r="D978" s="421"/>
      <c r="E978" s="412" t="s">
        <v>10964</v>
      </c>
      <c r="F978" s="417" t="s">
        <v>10965</v>
      </c>
      <c r="G978" s="417" t="s">
        <v>6694</v>
      </c>
      <c r="H978" s="417" t="s">
        <v>398</v>
      </c>
      <c r="I978" s="417" t="s">
        <v>11</v>
      </c>
      <c r="J978" s="417" t="s">
        <v>10956</v>
      </c>
      <c r="K978" s="418">
        <v>545</v>
      </c>
      <c r="L978" s="419">
        <v>157</v>
      </c>
      <c r="M978" s="418"/>
      <c r="N978" s="414"/>
      <c r="O978" s="414"/>
      <c r="P978" s="418"/>
      <c r="Q978" s="418"/>
    </row>
    <row r="979" spans="1:17" s="32" customFormat="1" ht="19.5" customHeight="1">
      <c r="A979" s="411">
        <v>1156</v>
      </c>
      <c r="B979" s="412" t="s">
        <v>10157</v>
      </c>
      <c r="C979" s="413"/>
      <c r="D979" s="413"/>
      <c r="E979" s="413" t="s">
        <v>10966</v>
      </c>
      <c r="F979" s="411" t="s">
        <v>1666</v>
      </c>
      <c r="G979" s="411" t="s">
        <v>6694</v>
      </c>
      <c r="H979" s="411" t="s">
        <v>235</v>
      </c>
      <c r="I979" s="411" t="s">
        <v>11</v>
      </c>
      <c r="J979" s="411" t="s">
        <v>9733</v>
      </c>
      <c r="K979" s="414">
        <v>565</v>
      </c>
      <c r="L979" s="415">
        <v>0</v>
      </c>
      <c r="M979" s="414"/>
      <c r="N979" s="414"/>
      <c r="O979" s="414"/>
      <c r="P979" s="414"/>
      <c r="Q979" s="414"/>
    </row>
    <row r="980" spans="1:17" s="32" customFormat="1" ht="19.5" customHeight="1">
      <c r="A980" s="411">
        <v>1157</v>
      </c>
      <c r="B980" s="442" t="s">
        <v>10596</v>
      </c>
      <c r="C980" s="443"/>
      <c r="D980" s="426"/>
      <c r="E980" s="427" t="s">
        <v>10967</v>
      </c>
      <c r="F980" s="425" t="s">
        <v>3369</v>
      </c>
      <c r="G980" s="428" t="s">
        <v>213</v>
      </c>
      <c r="H980" s="425" t="s">
        <v>594</v>
      </c>
      <c r="I980" s="425" t="s">
        <v>11</v>
      </c>
      <c r="J980" s="428" t="s">
        <v>10968</v>
      </c>
      <c r="K980" s="429">
        <v>790</v>
      </c>
      <c r="L980" s="430">
        <v>4980</v>
      </c>
      <c r="M980" s="429"/>
      <c r="N980" s="414"/>
      <c r="O980" s="414"/>
      <c r="P980" s="431"/>
      <c r="Q980" s="431"/>
    </row>
    <row r="981" spans="1:17" s="32" customFormat="1" ht="19.5" customHeight="1">
      <c r="A981" s="411">
        <v>1158</v>
      </c>
      <c r="B981" s="412" t="s">
        <v>10969</v>
      </c>
      <c r="C981" s="413"/>
      <c r="D981" s="413"/>
      <c r="E981" s="413" t="s">
        <v>10970</v>
      </c>
      <c r="F981" s="411" t="s">
        <v>10971</v>
      </c>
      <c r="G981" s="411" t="s">
        <v>6058</v>
      </c>
      <c r="H981" s="411" t="s">
        <v>10972</v>
      </c>
      <c r="I981" s="411" t="s">
        <v>658</v>
      </c>
      <c r="J981" s="411" t="s">
        <v>10973</v>
      </c>
      <c r="K981" s="414">
        <v>95990</v>
      </c>
      <c r="L981" s="415">
        <v>0</v>
      </c>
      <c r="M981" s="414"/>
      <c r="N981" s="414"/>
      <c r="O981" s="414"/>
      <c r="P981" s="414"/>
      <c r="Q981" s="414"/>
    </row>
    <row r="982" spans="1:17" s="32" customFormat="1" ht="19.5" customHeight="1">
      <c r="A982" s="411">
        <v>1159</v>
      </c>
      <c r="B982" s="412" t="s">
        <v>10974</v>
      </c>
      <c r="C982" s="413"/>
      <c r="D982" s="413"/>
      <c r="E982" s="413" t="s">
        <v>10975</v>
      </c>
      <c r="F982" s="411" t="s">
        <v>10976</v>
      </c>
      <c r="G982" s="411" t="s">
        <v>6058</v>
      </c>
      <c r="H982" s="411" t="s">
        <v>10977</v>
      </c>
      <c r="I982" s="411" t="s">
        <v>658</v>
      </c>
      <c r="J982" s="411" t="s">
        <v>10978</v>
      </c>
      <c r="K982" s="414">
        <v>99000</v>
      </c>
      <c r="L982" s="415">
        <v>0</v>
      </c>
      <c r="M982" s="414"/>
      <c r="N982" s="414"/>
      <c r="O982" s="414"/>
      <c r="P982" s="414"/>
      <c r="Q982" s="414"/>
    </row>
    <row r="983" spans="1:17" s="32" customFormat="1" ht="19.5" customHeight="1">
      <c r="A983" s="411">
        <v>1160</v>
      </c>
      <c r="B983" s="412" t="s">
        <v>10979</v>
      </c>
      <c r="C983" s="413"/>
      <c r="D983" s="413"/>
      <c r="E983" s="413" t="s">
        <v>10980</v>
      </c>
      <c r="F983" s="411" t="s">
        <v>10981</v>
      </c>
      <c r="G983" s="411" t="s">
        <v>6694</v>
      </c>
      <c r="H983" s="411" t="s">
        <v>10982</v>
      </c>
      <c r="I983" s="411" t="s">
        <v>11</v>
      </c>
      <c r="J983" s="411" t="s">
        <v>842</v>
      </c>
      <c r="K983" s="414">
        <v>1780</v>
      </c>
      <c r="L983" s="415">
        <v>0</v>
      </c>
      <c r="M983" s="414"/>
      <c r="N983" s="414"/>
      <c r="O983" s="414"/>
      <c r="P983" s="414"/>
      <c r="Q983" s="414"/>
    </row>
    <row r="984" spans="1:17" s="32" customFormat="1" ht="19.5" customHeight="1">
      <c r="A984" s="411">
        <v>1161</v>
      </c>
      <c r="B984" s="412" t="s">
        <v>713</v>
      </c>
      <c r="C984" s="413"/>
      <c r="D984" s="413"/>
      <c r="E984" s="413" t="s">
        <v>4965</v>
      </c>
      <c r="F984" s="411" t="s">
        <v>10983</v>
      </c>
      <c r="G984" s="411" t="s">
        <v>213</v>
      </c>
      <c r="H984" s="411" t="s">
        <v>327</v>
      </c>
      <c r="I984" s="411" t="s">
        <v>11</v>
      </c>
      <c r="J984" s="411" t="s">
        <v>9063</v>
      </c>
      <c r="K984" s="414">
        <v>399</v>
      </c>
      <c r="L984" s="415">
        <v>18</v>
      </c>
      <c r="M984" s="414"/>
      <c r="N984" s="414"/>
      <c r="O984" s="414"/>
      <c r="P984" s="414"/>
      <c r="Q984" s="414"/>
    </row>
    <row r="985" spans="1:17" s="32" customFormat="1" ht="19.5" customHeight="1">
      <c r="A985" s="411">
        <v>1162</v>
      </c>
      <c r="B985" s="412" t="s">
        <v>10984</v>
      </c>
      <c r="C985" s="413"/>
      <c r="D985" s="413"/>
      <c r="E985" s="413" t="s">
        <v>10985</v>
      </c>
      <c r="F985" s="411" t="s">
        <v>10986</v>
      </c>
      <c r="G985" s="411" t="s">
        <v>213</v>
      </c>
      <c r="H985" s="447" t="s">
        <v>10987</v>
      </c>
      <c r="I985" s="411" t="s">
        <v>11</v>
      </c>
      <c r="J985" s="411" t="s">
        <v>538</v>
      </c>
      <c r="K985" s="414">
        <v>1200</v>
      </c>
      <c r="L985" s="415">
        <v>0</v>
      </c>
      <c r="M985" s="414"/>
      <c r="N985" s="414"/>
      <c r="O985" s="414"/>
      <c r="P985" s="414"/>
      <c r="Q985" s="414"/>
    </row>
    <row r="986" spans="1:17" s="32" customFormat="1" ht="19.5" customHeight="1">
      <c r="A986" s="411">
        <v>1163</v>
      </c>
      <c r="B986" s="412" t="s">
        <v>5135</v>
      </c>
      <c r="C986" s="413"/>
      <c r="D986" s="413"/>
      <c r="E986" s="413" t="s">
        <v>10988</v>
      </c>
      <c r="F986" s="411" t="s">
        <v>10989</v>
      </c>
      <c r="G986" s="411" t="s">
        <v>5105</v>
      </c>
      <c r="H986" s="411" t="s">
        <v>10990</v>
      </c>
      <c r="I986" s="411" t="s">
        <v>628</v>
      </c>
      <c r="J986" s="411" t="s">
        <v>10991</v>
      </c>
      <c r="K986" s="414">
        <v>66326</v>
      </c>
      <c r="L986" s="415">
        <v>0</v>
      </c>
      <c r="M986" s="414"/>
      <c r="N986" s="414"/>
      <c r="O986" s="414"/>
      <c r="P986" s="414"/>
      <c r="Q986" s="414"/>
    </row>
    <row r="987" spans="1:17" s="32" customFormat="1" ht="19.5" customHeight="1">
      <c r="A987" s="411">
        <v>1164</v>
      </c>
      <c r="B987" s="412" t="s">
        <v>10992</v>
      </c>
      <c r="C987" s="413"/>
      <c r="D987" s="413"/>
      <c r="E987" s="413" t="s">
        <v>10993</v>
      </c>
      <c r="F987" s="411" t="s">
        <v>10994</v>
      </c>
      <c r="G987" s="411" t="s">
        <v>5121</v>
      </c>
      <c r="H987" s="411" t="s">
        <v>932</v>
      </c>
      <c r="I987" s="411" t="s">
        <v>892</v>
      </c>
      <c r="J987" s="411" t="s">
        <v>8983</v>
      </c>
      <c r="K987" s="414">
        <v>225996</v>
      </c>
      <c r="L987" s="415">
        <v>0</v>
      </c>
      <c r="M987" s="414"/>
      <c r="N987" s="414"/>
      <c r="O987" s="414"/>
      <c r="P987" s="414"/>
      <c r="Q987" s="414"/>
    </row>
    <row r="988" spans="1:17" s="32" customFormat="1" ht="19.5" customHeight="1">
      <c r="A988" s="411">
        <v>1166</v>
      </c>
      <c r="B988" s="412" t="s">
        <v>10992</v>
      </c>
      <c r="C988" s="413"/>
      <c r="D988" s="413"/>
      <c r="E988" s="413" t="s">
        <v>10995</v>
      </c>
      <c r="F988" s="411" t="s">
        <v>5644</v>
      </c>
      <c r="G988" s="411" t="s">
        <v>5121</v>
      </c>
      <c r="H988" s="411" t="s">
        <v>937</v>
      </c>
      <c r="I988" s="411" t="s">
        <v>892</v>
      </c>
      <c r="J988" s="411" t="s">
        <v>8983</v>
      </c>
      <c r="K988" s="414">
        <v>278090</v>
      </c>
      <c r="L988" s="415">
        <v>35</v>
      </c>
      <c r="M988" s="414"/>
      <c r="N988" s="414"/>
      <c r="O988" s="414"/>
      <c r="P988" s="414"/>
      <c r="Q988" s="414"/>
    </row>
    <row r="989" spans="1:17" s="32" customFormat="1" ht="19.5" customHeight="1">
      <c r="A989" s="411">
        <v>1168</v>
      </c>
      <c r="B989" s="412" t="s">
        <v>2942</v>
      </c>
      <c r="C989" s="413"/>
      <c r="D989" s="413"/>
      <c r="E989" s="413" t="s">
        <v>10996</v>
      </c>
      <c r="F989" s="411" t="s">
        <v>10997</v>
      </c>
      <c r="G989" s="411" t="s">
        <v>213</v>
      </c>
      <c r="H989" s="411" t="s">
        <v>327</v>
      </c>
      <c r="I989" s="411" t="s">
        <v>11</v>
      </c>
      <c r="J989" s="411" t="s">
        <v>9063</v>
      </c>
      <c r="K989" s="414">
        <v>525</v>
      </c>
      <c r="L989" s="415">
        <v>0</v>
      </c>
      <c r="M989" s="414"/>
      <c r="N989" s="414"/>
      <c r="O989" s="414"/>
      <c r="P989" s="414"/>
      <c r="Q989" s="414"/>
    </row>
    <row r="990" spans="1:17" s="32" customFormat="1" ht="19.5" customHeight="1">
      <c r="A990" s="411">
        <v>1169</v>
      </c>
      <c r="B990" s="412" t="s">
        <v>9932</v>
      </c>
      <c r="C990" s="413"/>
      <c r="D990" s="413"/>
      <c r="E990" s="413" t="s">
        <v>10998</v>
      </c>
      <c r="F990" s="411" t="s">
        <v>10999</v>
      </c>
      <c r="G990" s="411" t="s">
        <v>213</v>
      </c>
      <c r="H990" s="411" t="s">
        <v>1580</v>
      </c>
      <c r="I990" s="411" t="s">
        <v>11</v>
      </c>
      <c r="J990" s="411" t="s">
        <v>9063</v>
      </c>
      <c r="K990" s="414">
        <v>4095</v>
      </c>
      <c r="L990" s="415">
        <v>0</v>
      </c>
      <c r="M990" s="414"/>
      <c r="N990" s="414"/>
      <c r="O990" s="414"/>
      <c r="P990" s="414"/>
      <c r="Q990" s="414"/>
    </row>
    <row r="991" spans="1:17" s="32" customFormat="1" ht="19.5" customHeight="1">
      <c r="A991" s="411">
        <v>1170</v>
      </c>
      <c r="B991" s="413" t="s">
        <v>2445</v>
      </c>
      <c r="C991" s="413"/>
      <c r="D991" s="413"/>
      <c r="E991" s="413" t="s">
        <v>11000</v>
      </c>
      <c r="F991" s="411" t="s">
        <v>11001</v>
      </c>
      <c r="G991" s="411" t="s">
        <v>213</v>
      </c>
      <c r="H991" s="411" t="s">
        <v>3378</v>
      </c>
      <c r="I991" s="411" t="s">
        <v>11</v>
      </c>
      <c r="J991" s="411" t="s">
        <v>11002</v>
      </c>
      <c r="K991" s="414">
        <v>845</v>
      </c>
      <c r="L991" s="415">
        <v>0</v>
      </c>
      <c r="M991" s="414"/>
      <c r="N991" s="414"/>
      <c r="O991" s="414"/>
      <c r="P991" s="414"/>
      <c r="Q991" s="414"/>
    </row>
    <row r="992" spans="1:17" s="32" customFormat="1" ht="19.5" customHeight="1">
      <c r="A992" s="411">
        <v>1171</v>
      </c>
      <c r="B992" s="412" t="s">
        <v>11003</v>
      </c>
      <c r="C992" s="413"/>
      <c r="D992" s="413"/>
      <c r="E992" s="413" t="s">
        <v>11004</v>
      </c>
      <c r="F992" s="411" t="s">
        <v>11005</v>
      </c>
      <c r="G992" s="411" t="s">
        <v>213</v>
      </c>
      <c r="H992" s="411" t="s">
        <v>3240</v>
      </c>
      <c r="I992" s="411" t="s">
        <v>11</v>
      </c>
      <c r="J992" s="411" t="s">
        <v>11002</v>
      </c>
      <c r="K992" s="414">
        <v>1050</v>
      </c>
      <c r="L992" s="415">
        <v>1</v>
      </c>
      <c r="M992" s="414"/>
      <c r="N992" s="414"/>
      <c r="O992" s="414"/>
      <c r="P992" s="414"/>
      <c r="Q992" s="414"/>
    </row>
    <row r="993" spans="1:17" s="32" customFormat="1" ht="19.5" customHeight="1">
      <c r="A993" s="411">
        <v>1172</v>
      </c>
      <c r="B993" s="412" t="s">
        <v>11006</v>
      </c>
      <c r="C993" s="413"/>
      <c r="D993" s="413"/>
      <c r="E993" s="413" t="s">
        <v>11007</v>
      </c>
      <c r="F993" s="411" t="s">
        <v>5146</v>
      </c>
      <c r="G993" s="411" t="s">
        <v>5105</v>
      </c>
      <c r="H993" s="411" t="s">
        <v>235</v>
      </c>
      <c r="I993" s="411" t="s">
        <v>10</v>
      </c>
      <c r="J993" s="411" t="s">
        <v>538</v>
      </c>
      <c r="K993" s="414">
        <v>2268</v>
      </c>
      <c r="L993" s="415">
        <v>472</v>
      </c>
      <c r="M993" s="414"/>
      <c r="N993" s="414"/>
      <c r="O993" s="414"/>
      <c r="P993" s="414"/>
      <c r="Q993" s="414"/>
    </row>
    <row r="994" spans="1:17" s="32" customFormat="1" ht="19.5" customHeight="1">
      <c r="A994" s="411">
        <v>1173</v>
      </c>
      <c r="B994" s="412" t="s">
        <v>11006</v>
      </c>
      <c r="C994" s="413"/>
      <c r="D994" s="413"/>
      <c r="E994" s="413" t="s">
        <v>11008</v>
      </c>
      <c r="F994" s="411" t="s">
        <v>5335</v>
      </c>
      <c r="G994" s="411" t="s">
        <v>6694</v>
      </c>
      <c r="H994" s="411" t="s">
        <v>238</v>
      </c>
      <c r="I994" s="411" t="s">
        <v>11</v>
      </c>
      <c r="J994" s="411" t="s">
        <v>842</v>
      </c>
      <c r="K994" s="414">
        <v>1794</v>
      </c>
      <c r="L994" s="415">
        <v>2000</v>
      </c>
      <c r="M994" s="414"/>
      <c r="N994" s="414"/>
      <c r="O994" s="414"/>
      <c r="P994" s="414"/>
      <c r="Q994" s="414"/>
    </row>
    <row r="995" spans="1:17" s="32" customFormat="1" ht="19.5" customHeight="1">
      <c r="A995" s="411">
        <v>1174</v>
      </c>
      <c r="B995" s="413" t="s">
        <v>234</v>
      </c>
      <c r="C995" s="413"/>
      <c r="D995" s="413"/>
      <c r="E995" s="413" t="s">
        <v>3379</v>
      </c>
      <c r="F995" s="411" t="s">
        <v>3380</v>
      </c>
      <c r="G995" s="411" t="s">
        <v>213</v>
      </c>
      <c r="H995" s="411" t="s">
        <v>235</v>
      </c>
      <c r="I995" s="411" t="s">
        <v>11</v>
      </c>
      <c r="J995" s="411" t="s">
        <v>842</v>
      </c>
      <c r="K995" s="414">
        <v>586</v>
      </c>
      <c r="L995" s="415">
        <v>0</v>
      </c>
      <c r="M995" s="414"/>
      <c r="N995" s="414"/>
      <c r="O995" s="414"/>
      <c r="P995" s="414"/>
      <c r="Q995" s="414"/>
    </row>
    <row r="996" spans="1:17" s="32" customFormat="1" ht="19.5" customHeight="1">
      <c r="A996" s="411">
        <v>1175</v>
      </c>
      <c r="B996" s="412" t="s">
        <v>729</v>
      </c>
      <c r="C996" s="413"/>
      <c r="D996" s="413"/>
      <c r="E996" s="413" t="s">
        <v>11009</v>
      </c>
      <c r="F996" s="411" t="s">
        <v>11010</v>
      </c>
      <c r="G996" s="411" t="s">
        <v>213</v>
      </c>
      <c r="H996" s="411" t="s">
        <v>225</v>
      </c>
      <c r="I996" s="411" t="s">
        <v>11</v>
      </c>
      <c r="J996" s="411" t="s">
        <v>9063</v>
      </c>
      <c r="K996" s="414">
        <v>1600</v>
      </c>
      <c r="L996" s="415">
        <v>0</v>
      </c>
      <c r="M996" s="414"/>
      <c r="N996" s="414"/>
      <c r="O996" s="414"/>
      <c r="P996" s="414"/>
      <c r="Q996" s="414"/>
    </row>
    <row r="997" spans="1:17" s="32" customFormat="1" ht="19.5" customHeight="1">
      <c r="A997" s="411">
        <v>1176</v>
      </c>
      <c r="B997" s="413" t="s">
        <v>3384</v>
      </c>
      <c r="C997" s="413"/>
      <c r="D997" s="413"/>
      <c r="E997" s="413" t="s">
        <v>3385</v>
      </c>
      <c r="F997" s="411" t="s">
        <v>3386</v>
      </c>
      <c r="G997" s="411" t="s">
        <v>213</v>
      </c>
      <c r="H997" s="411" t="s">
        <v>3387</v>
      </c>
      <c r="I997" s="411" t="s">
        <v>15</v>
      </c>
      <c r="J997" s="411" t="s">
        <v>11011</v>
      </c>
      <c r="K997" s="414">
        <v>23100</v>
      </c>
      <c r="L997" s="415">
        <v>426</v>
      </c>
      <c r="M997" s="414"/>
      <c r="N997" s="414"/>
      <c r="O997" s="414"/>
      <c r="P997" s="414"/>
      <c r="Q997" s="414"/>
    </row>
    <row r="998" spans="1:17" s="32" customFormat="1" ht="19.5" customHeight="1">
      <c r="A998" s="411">
        <v>1177</v>
      </c>
      <c r="B998" s="413" t="s">
        <v>11012</v>
      </c>
      <c r="C998" s="413"/>
      <c r="D998" s="413"/>
      <c r="E998" s="413" t="s">
        <v>1435</v>
      </c>
      <c r="F998" s="411" t="s">
        <v>1438</v>
      </c>
      <c r="G998" s="411" t="s">
        <v>213</v>
      </c>
      <c r="H998" s="411" t="s">
        <v>11013</v>
      </c>
      <c r="I998" s="411" t="s">
        <v>15</v>
      </c>
      <c r="J998" s="411" t="s">
        <v>11011</v>
      </c>
      <c r="K998" s="414">
        <v>10950</v>
      </c>
      <c r="L998" s="415">
        <v>246</v>
      </c>
      <c r="M998" s="414"/>
      <c r="N998" s="414"/>
      <c r="O998" s="414"/>
      <c r="P998" s="414"/>
      <c r="Q998" s="414"/>
    </row>
    <row r="999" spans="1:17" s="32" customFormat="1" ht="19.5" customHeight="1">
      <c r="A999" s="411">
        <v>1178</v>
      </c>
      <c r="B999" s="412" t="s">
        <v>11014</v>
      </c>
      <c r="C999" s="413"/>
      <c r="D999" s="413"/>
      <c r="E999" s="413" t="s">
        <v>11015</v>
      </c>
      <c r="F999" s="411" t="s">
        <v>11016</v>
      </c>
      <c r="G999" s="411" t="s">
        <v>6527</v>
      </c>
      <c r="H999" s="411" t="s">
        <v>4980</v>
      </c>
      <c r="I999" s="411" t="s">
        <v>15</v>
      </c>
      <c r="J999" s="411" t="s">
        <v>11011</v>
      </c>
      <c r="K999" s="414">
        <v>28000</v>
      </c>
      <c r="L999" s="415">
        <v>61</v>
      </c>
      <c r="M999" s="414"/>
      <c r="N999" s="414"/>
      <c r="O999" s="414"/>
      <c r="P999" s="414"/>
      <c r="Q999" s="414"/>
    </row>
    <row r="1000" spans="1:17" s="32" customFormat="1" ht="19.5" customHeight="1">
      <c r="A1000" s="411">
        <v>1180</v>
      </c>
      <c r="B1000" s="412" t="s">
        <v>11017</v>
      </c>
      <c r="C1000" s="413"/>
      <c r="D1000" s="413"/>
      <c r="E1000" s="413" t="s">
        <v>11018</v>
      </c>
      <c r="F1000" s="411" t="s">
        <v>11019</v>
      </c>
      <c r="G1000" s="411" t="s">
        <v>6694</v>
      </c>
      <c r="H1000" s="411" t="s">
        <v>7663</v>
      </c>
      <c r="I1000" s="411" t="s">
        <v>9655</v>
      </c>
      <c r="J1000" s="411" t="s">
        <v>11020</v>
      </c>
      <c r="K1000" s="414">
        <v>966</v>
      </c>
      <c r="L1000" s="415">
        <v>955</v>
      </c>
      <c r="M1000" s="414"/>
      <c r="N1000" s="414"/>
      <c r="O1000" s="414"/>
      <c r="P1000" s="414"/>
      <c r="Q1000" s="414"/>
    </row>
    <row r="1001" spans="1:17" s="32" customFormat="1" ht="19.5" customHeight="1">
      <c r="A1001" s="411">
        <v>1183</v>
      </c>
      <c r="B1001" s="412" t="s">
        <v>11017</v>
      </c>
      <c r="C1001" s="413"/>
      <c r="D1001" s="413"/>
      <c r="E1001" s="413" t="s">
        <v>11021</v>
      </c>
      <c r="F1001" s="411" t="s">
        <v>11022</v>
      </c>
      <c r="G1001" s="411" t="s">
        <v>6694</v>
      </c>
      <c r="H1001" s="411" t="s">
        <v>1564</v>
      </c>
      <c r="I1001" s="411" t="s">
        <v>13</v>
      </c>
      <c r="J1001" s="411" t="s">
        <v>2660</v>
      </c>
      <c r="K1001" s="414">
        <v>1500</v>
      </c>
      <c r="L1001" s="415">
        <v>0</v>
      </c>
      <c r="M1001" s="414"/>
      <c r="N1001" s="414"/>
      <c r="O1001" s="414"/>
      <c r="P1001" s="414"/>
      <c r="Q1001" s="414"/>
    </row>
    <row r="1002" spans="1:17" s="32" customFormat="1" ht="19.5" customHeight="1">
      <c r="A1002" s="411">
        <v>1182</v>
      </c>
      <c r="B1002" s="412" t="s">
        <v>10766</v>
      </c>
      <c r="C1002" s="413"/>
      <c r="D1002" s="413"/>
      <c r="E1002" s="413" t="s">
        <v>11021</v>
      </c>
      <c r="F1002" s="411" t="s">
        <v>11023</v>
      </c>
      <c r="G1002" s="411" t="s">
        <v>213</v>
      </c>
      <c r="H1002" s="411" t="s">
        <v>11024</v>
      </c>
      <c r="I1002" s="411" t="s">
        <v>13</v>
      </c>
      <c r="J1002" s="411" t="s">
        <v>11025</v>
      </c>
      <c r="K1002" s="414">
        <v>1500</v>
      </c>
      <c r="L1002" s="415">
        <v>0</v>
      </c>
      <c r="M1002" s="414"/>
      <c r="N1002" s="414"/>
      <c r="O1002" s="414"/>
      <c r="P1002" s="414"/>
      <c r="Q1002" s="414"/>
    </row>
    <row r="1003" spans="1:17" s="32" customFormat="1" ht="19.5" customHeight="1">
      <c r="A1003" s="411">
        <v>1185</v>
      </c>
      <c r="B1003" s="412" t="s">
        <v>10573</v>
      </c>
      <c r="C1003" s="413"/>
      <c r="D1003" s="413"/>
      <c r="E1003" s="413" t="s">
        <v>11026</v>
      </c>
      <c r="F1003" s="411" t="s">
        <v>11027</v>
      </c>
      <c r="G1003" s="411" t="s">
        <v>6694</v>
      </c>
      <c r="H1003" s="411" t="s">
        <v>4449</v>
      </c>
      <c r="I1003" s="411" t="s">
        <v>15</v>
      </c>
      <c r="J1003" s="411" t="s">
        <v>10023</v>
      </c>
      <c r="K1003" s="414">
        <v>6490</v>
      </c>
      <c r="L1003" s="415">
        <v>407</v>
      </c>
      <c r="M1003" s="414"/>
      <c r="N1003" s="414"/>
      <c r="O1003" s="414"/>
      <c r="P1003" s="414"/>
      <c r="Q1003" s="414"/>
    </row>
    <row r="1004" spans="1:17" s="32" customFormat="1" ht="19.5" customHeight="1">
      <c r="A1004" s="411">
        <v>1187</v>
      </c>
      <c r="B1004" s="412" t="s">
        <v>3165</v>
      </c>
      <c r="C1004" s="416"/>
      <c r="D1004" s="416"/>
      <c r="E1004" s="412" t="s">
        <v>11028</v>
      </c>
      <c r="F1004" s="417" t="s">
        <v>11029</v>
      </c>
      <c r="G1004" s="417" t="s">
        <v>5188</v>
      </c>
      <c r="H1004" s="417" t="s">
        <v>267</v>
      </c>
      <c r="I1004" s="417" t="s">
        <v>14</v>
      </c>
      <c r="J1004" s="417" t="s">
        <v>11030</v>
      </c>
      <c r="K1004" s="418">
        <v>33100</v>
      </c>
      <c r="L1004" s="419">
        <v>55</v>
      </c>
      <c r="M1004" s="418"/>
      <c r="N1004" s="414"/>
      <c r="O1004" s="414"/>
      <c r="P1004" s="418"/>
      <c r="Q1004" s="418"/>
    </row>
    <row r="1005" spans="1:17" s="32" customFormat="1" ht="19.5" customHeight="1">
      <c r="A1005" s="411">
        <v>1189</v>
      </c>
      <c r="B1005" s="412" t="s">
        <v>3165</v>
      </c>
      <c r="C1005" s="413"/>
      <c r="D1005" s="413"/>
      <c r="E1005" s="413" t="s">
        <v>11031</v>
      </c>
      <c r="F1005" s="411" t="s">
        <v>11032</v>
      </c>
      <c r="G1005" s="411" t="s">
        <v>6658</v>
      </c>
      <c r="H1005" s="411" t="s">
        <v>267</v>
      </c>
      <c r="I1005" s="411" t="s">
        <v>628</v>
      </c>
      <c r="J1005" s="411" t="s">
        <v>11033</v>
      </c>
      <c r="K1005" s="414">
        <v>28000</v>
      </c>
      <c r="L1005" s="415">
        <v>2</v>
      </c>
      <c r="M1005" s="414"/>
      <c r="N1005" s="414"/>
      <c r="O1005" s="414"/>
      <c r="P1005" s="414"/>
      <c r="Q1005" s="414"/>
    </row>
    <row r="1006" spans="1:17" s="32" customFormat="1" ht="19.5" customHeight="1">
      <c r="A1006" s="411">
        <v>1191</v>
      </c>
      <c r="B1006" s="412" t="s">
        <v>167</v>
      </c>
      <c r="C1006" s="413"/>
      <c r="D1006" s="413"/>
      <c r="E1006" s="413" t="s">
        <v>11034</v>
      </c>
      <c r="F1006" s="411" t="s">
        <v>11035</v>
      </c>
      <c r="G1006" s="411" t="s">
        <v>6694</v>
      </c>
      <c r="H1006" s="411" t="s">
        <v>11036</v>
      </c>
      <c r="I1006" s="411" t="s">
        <v>11</v>
      </c>
      <c r="J1006" s="411" t="s">
        <v>541</v>
      </c>
      <c r="K1006" s="414">
        <v>1225</v>
      </c>
      <c r="L1006" s="415">
        <v>10140</v>
      </c>
      <c r="M1006" s="414"/>
      <c r="N1006" s="414"/>
      <c r="O1006" s="414"/>
      <c r="P1006" s="414"/>
      <c r="Q1006" s="414"/>
    </row>
    <row r="1007" spans="1:17" s="32" customFormat="1" ht="19.5" customHeight="1">
      <c r="A1007" s="411">
        <v>1193</v>
      </c>
      <c r="B1007" s="412" t="s">
        <v>11037</v>
      </c>
      <c r="C1007" s="413"/>
      <c r="D1007" s="413"/>
      <c r="E1007" s="413" t="s">
        <v>11038</v>
      </c>
      <c r="F1007" s="411" t="s">
        <v>11039</v>
      </c>
      <c r="G1007" s="411" t="s">
        <v>6694</v>
      </c>
      <c r="H1007" s="411" t="s">
        <v>1632</v>
      </c>
      <c r="I1007" s="411" t="s">
        <v>12</v>
      </c>
      <c r="J1007" s="411" t="s">
        <v>1106</v>
      </c>
      <c r="K1007" s="414">
        <v>374</v>
      </c>
      <c r="L1007" s="415">
        <v>0</v>
      </c>
      <c r="M1007" s="414"/>
      <c r="N1007" s="414"/>
      <c r="O1007" s="414"/>
      <c r="P1007" s="414"/>
      <c r="Q1007" s="414"/>
    </row>
    <row r="1008" spans="1:17" s="32" customFormat="1" ht="19.5" customHeight="1">
      <c r="A1008" s="411">
        <v>1195</v>
      </c>
      <c r="B1008" s="412" t="s">
        <v>11037</v>
      </c>
      <c r="C1008" s="413"/>
      <c r="D1008" s="413"/>
      <c r="E1008" s="413" t="s">
        <v>3667</v>
      </c>
      <c r="F1008" s="411" t="s">
        <v>11040</v>
      </c>
      <c r="G1008" s="411" t="s">
        <v>213</v>
      </c>
      <c r="H1008" s="411" t="s">
        <v>11041</v>
      </c>
      <c r="I1008" s="411" t="s">
        <v>13</v>
      </c>
      <c r="J1008" s="411" t="s">
        <v>2919</v>
      </c>
      <c r="K1008" s="414">
        <v>430</v>
      </c>
      <c r="L1008" s="415">
        <v>0</v>
      </c>
      <c r="M1008" s="414"/>
      <c r="N1008" s="414"/>
      <c r="O1008" s="414"/>
      <c r="P1008" s="414"/>
      <c r="Q1008" s="414"/>
    </row>
    <row r="1009" spans="1:17" s="32" customFormat="1" ht="19.5" customHeight="1">
      <c r="A1009" s="411">
        <v>1196</v>
      </c>
      <c r="B1009" s="413" t="s">
        <v>1631</v>
      </c>
      <c r="C1009" s="413"/>
      <c r="D1009" s="413"/>
      <c r="E1009" s="413" t="s">
        <v>11042</v>
      </c>
      <c r="F1009" s="411" t="s">
        <v>3389</v>
      </c>
      <c r="G1009" s="411" t="s">
        <v>213</v>
      </c>
      <c r="H1009" s="411" t="s">
        <v>1632</v>
      </c>
      <c r="I1009" s="411" t="s">
        <v>13</v>
      </c>
      <c r="J1009" s="411" t="s">
        <v>2919</v>
      </c>
      <c r="K1009" s="414">
        <v>399</v>
      </c>
      <c r="L1009" s="415">
        <v>4808</v>
      </c>
      <c r="M1009" s="414"/>
      <c r="N1009" s="414"/>
      <c r="O1009" s="414"/>
      <c r="P1009" s="414"/>
      <c r="Q1009" s="414"/>
    </row>
    <row r="1010" spans="1:17" s="32" customFormat="1" ht="19.5" customHeight="1">
      <c r="A1010" s="411">
        <v>1197</v>
      </c>
      <c r="B1010" s="412" t="s">
        <v>11037</v>
      </c>
      <c r="C1010" s="413"/>
      <c r="D1010" s="413"/>
      <c r="E1010" s="413" t="s">
        <v>11043</v>
      </c>
      <c r="F1010" s="411" t="s">
        <v>11044</v>
      </c>
      <c r="G1010" s="411" t="s">
        <v>213</v>
      </c>
      <c r="H1010" s="411" t="s">
        <v>1632</v>
      </c>
      <c r="I1010" s="411" t="s">
        <v>12</v>
      </c>
      <c r="J1010" s="411" t="s">
        <v>2386</v>
      </c>
      <c r="K1010" s="414">
        <v>546</v>
      </c>
      <c r="L1010" s="415">
        <v>81</v>
      </c>
      <c r="M1010" s="414"/>
      <c r="N1010" s="414"/>
      <c r="O1010" s="414"/>
      <c r="P1010" s="414"/>
      <c r="Q1010" s="414"/>
    </row>
    <row r="1011" spans="1:17" s="32" customFormat="1" ht="19.5" customHeight="1">
      <c r="A1011" s="411">
        <v>1198</v>
      </c>
      <c r="B1011" s="412" t="s">
        <v>11045</v>
      </c>
      <c r="C1011" s="413"/>
      <c r="D1011" s="413"/>
      <c r="E1011" s="413" t="s">
        <v>11046</v>
      </c>
      <c r="F1011" s="411" t="s">
        <v>11047</v>
      </c>
      <c r="G1011" s="411" t="s">
        <v>213</v>
      </c>
      <c r="H1011" s="411" t="s">
        <v>11048</v>
      </c>
      <c r="I1011" s="411" t="s">
        <v>11049</v>
      </c>
      <c r="J1011" s="411" t="s">
        <v>3049</v>
      </c>
      <c r="K1011" s="414">
        <v>29500</v>
      </c>
      <c r="L1011" s="415">
        <v>0</v>
      </c>
      <c r="M1011" s="414"/>
      <c r="N1011" s="414"/>
      <c r="O1011" s="414"/>
      <c r="P1011" s="414"/>
      <c r="Q1011" s="414"/>
    </row>
    <row r="1012" spans="1:17" s="32" customFormat="1" ht="19.5" customHeight="1">
      <c r="A1012" s="411">
        <v>1199</v>
      </c>
      <c r="B1012" s="412" t="s">
        <v>11050</v>
      </c>
      <c r="C1012" s="413"/>
      <c r="D1012" s="413"/>
      <c r="E1012" s="413" t="s">
        <v>11051</v>
      </c>
      <c r="F1012" s="411" t="s">
        <v>11052</v>
      </c>
      <c r="G1012" s="411" t="s">
        <v>213</v>
      </c>
      <c r="H1012" s="436" t="s">
        <v>3399</v>
      </c>
      <c r="I1012" s="411" t="s">
        <v>18</v>
      </c>
      <c r="J1012" s="411" t="s">
        <v>3049</v>
      </c>
      <c r="K1012" s="414">
        <v>17136</v>
      </c>
      <c r="L1012" s="415">
        <v>0</v>
      </c>
      <c r="M1012" s="414"/>
      <c r="N1012" s="414"/>
      <c r="O1012" s="414"/>
      <c r="P1012" s="414"/>
      <c r="Q1012" s="414"/>
    </row>
    <row r="1013" spans="1:17" s="32" customFormat="1" ht="19.5" customHeight="1">
      <c r="A1013" s="411">
        <v>1200</v>
      </c>
      <c r="B1013" s="412" t="s">
        <v>1333</v>
      </c>
      <c r="C1013" s="413"/>
      <c r="D1013" s="413"/>
      <c r="E1013" s="413" t="s">
        <v>11053</v>
      </c>
      <c r="F1013" s="411" t="s">
        <v>10542</v>
      </c>
      <c r="G1013" s="411" t="s">
        <v>213</v>
      </c>
      <c r="H1013" s="411" t="s">
        <v>3716</v>
      </c>
      <c r="I1013" s="411" t="s">
        <v>15</v>
      </c>
      <c r="J1013" s="411" t="s">
        <v>3049</v>
      </c>
      <c r="K1013" s="414">
        <v>10330</v>
      </c>
      <c r="L1013" s="415">
        <v>0</v>
      </c>
      <c r="M1013" s="414"/>
      <c r="N1013" s="414"/>
      <c r="O1013" s="414"/>
      <c r="P1013" s="414"/>
      <c r="Q1013" s="414"/>
    </row>
    <row r="1014" spans="1:17" s="32" customFormat="1" ht="19.5" customHeight="1">
      <c r="A1014" s="411">
        <v>1201</v>
      </c>
      <c r="B1014" s="412" t="s">
        <v>10817</v>
      </c>
      <c r="C1014" s="413"/>
      <c r="D1014" s="413"/>
      <c r="E1014" s="413" t="s">
        <v>11054</v>
      </c>
      <c r="F1014" s="411" t="s">
        <v>11055</v>
      </c>
      <c r="G1014" s="411" t="s">
        <v>213</v>
      </c>
      <c r="H1014" s="411" t="s">
        <v>8085</v>
      </c>
      <c r="I1014" s="411" t="s">
        <v>18</v>
      </c>
      <c r="J1014" s="411" t="s">
        <v>3049</v>
      </c>
      <c r="K1014" s="414">
        <v>7564</v>
      </c>
      <c r="L1014" s="415">
        <v>0</v>
      </c>
      <c r="M1014" s="414"/>
      <c r="N1014" s="414"/>
      <c r="O1014" s="414"/>
      <c r="P1014" s="414"/>
      <c r="Q1014" s="414"/>
    </row>
    <row r="1015" spans="1:17" s="32" customFormat="1" ht="19.5" customHeight="1">
      <c r="A1015" s="411">
        <v>1202</v>
      </c>
      <c r="B1015" s="412" t="s">
        <v>11056</v>
      </c>
      <c r="C1015" s="413"/>
      <c r="D1015" s="413"/>
      <c r="E1015" s="413" t="s">
        <v>11057</v>
      </c>
      <c r="F1015" s="411" t="s">
        <v>11058</v>
      </c>
      <c r="G1015" s="411" t="s">
        <v>213</v>
      </c>
      <c r="H1015" s="411" t="s">
        <v>903</v>
      </c>
      <c r="I1015" s="411" t="s">
        <v>18</v>
      </c>
      <c r="J1015" s="411" t="s">
        <v>3049</v>
      </c>
      <c r="K1015" s="414">
        <v>64995</v>
      </c>
      <c r="L1015" s="415">
        <v>0</v>
      </c>
      <c r="M1015" s="414"/>
      <c r="N1015" s="414"/>
      <c r="O1015" s="414"/>
      <c r="P1015" s="414"/>
      <c r="Q1015" s="414"/>
    </row>
    <row r="1016" spans="1:17" s="32" customFormat="1" ht="19.5" customHeight="1">
      <c r="A1016" s="411">
        <v>1203</v>
      </c>
      <c r="B1016" s="412" t="s">
        <v>11059</v>
      </c>
      <c r="C1016" s="413"/>
      <c r="D1016" s="413"/>
      <c r="E1016" s="413" t="s">
        <v>11060</v>
      </c>
      <c r="F1016" s="411" t="s">
        <v>8088</v>
      </c>
      <c r="G1016" s="411" t="s">
        <v>10055</v>
      </c>
      <c r="H1016" s="411" t="s">
        <v>8085</v>
      </c>
      <c r="I1016" s="411" t="s">
        <v>15</v>
      </c>
      <c r="J1016" s="411" t="s">
        <v>3049</v>
      </c>
      <c r="K1016" s="414">
        <v>9450</v>
      </c>
      <c r="L1016" s="415">
        <v>37</v>
      </c>
      <c r="M1016" s="414"/>
      <c r="N1016" s="414"/>
      <c r="O1016" s="414"/>
      <c r="P1016" s="414"/>
      <c r="Q1016" s="414"/>
    </row>
    <row r="1017" spans="1:17" s="32" customFormat="1" ht="19.5" customHeight="1">
      <c r="A1017" s="411">
        <v>1204</v>
      </c>
      <c r="B1017" s="412" t="s">
        <v>11061</v>
      </c>
      <c r="C1017" s="413"/>
      <c r="D1017" s="413"/>
      <c r="E1017" s="413" t="s">
        <v>11062</v>
      </c>
      <c r="F1017" s="411" t="s">
        <v>3432</v>
      </c>
      <c r="G1017" s="411" t="s">
        <v>213</v>
      </c>
      <c r="H1017" s="436" t="s">
        <v>11063</v>
      </c>
      <c r="I1017" s="411" t="s">
        <v>18</v>
      </c>
      <c r="J1017" s="411" t="s">
        <v>9419</v>
      </c>
      <c r="K1017" s="414">
        <v>41500</v>
      </c>
      <c r="L1017" s="415">
        <v>0</v>
      </c>
      <c r="M1017" s="414"/>
      <c r="N1017" s="414"/>
      <c r="O1017" s="414"/>
      <c r="P1017" s="414"/>
      <c r="Q1017" s="414"/>
    </row>
    <row r="1018" spans="1:17" s="32" customFormat="1" ht="19.5" customHeight="1">
      <c r="A1018" s="411">
        <v>1205</v>
      </c>
      <c r="B1018" s="412" t="s">
        <v>9355</v>
      </c>
      <c r="C1018" s="413"/>
      <c r="D1018" s="413"/>
      <c r="E1018" s="413" t="s">
        <v>11064</v>
      </c>
      <c r="F1018" s="411" t="s">
        <v>11065</v>
      </c>
      <c r="G1018" s="411" t="s">
        <v>213</v>
      </c>
      <c r="H1018" s="436" t="s">
        <v>3438</v>
      </c>
      <c r="I1018" s="411" t="s">
        <v>18</v>
      </c>
      <c r="J1018" s="411" t="s">
        <v>11066</v>
      </c>
      <c r="K1018" s="414">
        <v>28500</v>
      </c>
      <c r="L1018" s="415">
        <v>0</v>
      </c>
      <c r="M1018" s="414"/>
      <c r="N1018" s="414"/>
      <c r="O1018" s="414"/>
      <c r="P1018" s="414"/>
      <c r="Q1018" s="414"/>
    </row>
    <row r="1019" spans="1:17" s="32" customFormat="1" ht="19.5" customHeight="1">
      <c r="A1019" s="411">
        <v>1206</v>
      </c>
      <c r="B1019" s="412" t="s">
        <v>3339</v>
      </c>
      <c r="C1019" s="413"/>
      <c r="D1019" s="413"/>
      <c r="E1019" s="413" t="s">
        <v>11067</v>
      </c>
      <c r="F1019" s="411" t="s">
        <v>11068</v>
      </c>
      <c r="G1019" s="411" t="s">
        <v>6694</v>
      </c>
      <c r="H1019" s="411" t="s">
        <v>11069</v>
      </c>
      <c r="I1019" s="411" t="s">
        <v>13</v>
      </c>
      <c r="J1019" s="411" t="s">
        <v>9665</v>
      </c>
      <c r="K1019" s="414">
        <v>1365</v>
      </c>
      <c r="L1019" s="415">
        <v>0</v>
      </c>
      <c r="M1019" s="414"/>
      <c r="N1019" s="414"/>
      <c r="O1019" s="414"/>
      <c r="P1019" s="414"/>
      <c r="Q1019" s="414"/>
    </row>
    <row r="1020" spans="1:17" s="32" customFormat="1" ht="19.5" customHeight="1">
      <c r="A1020" s="411">
        <v>1207</v>
      </c>
      <c r="B1020" s="412" t="s">
        <v>3339</v>
      </c>
      <c r="C1020" s="413"/>
      <c r="D1020" s="413"/>
      <c r="E1020" s="413" t="s">
        <v>1385</v>
      </c>
      <c r="F1020" s="411" t="s">
        <v>3401</v>
      </c>
      <c r="G1020" s="411" t="s">
        <v>6694</v>
      </c>
      <c r="H1020" s="411" t="s">
        <v>11070</v>
      </c>
      <c r="I1020" s="411" t="s">
        <v>11</v>
      </c>
      <c r="J1020" s="411" t="s">
        <v>815</v>
      </c>
      <c r="K1020" s="414">
        <v>1402</v>
      </c>
      <c r="L1020" s="415">
        <v>0</v>
      </c>
      <c r="M1020" s="414"/>
      <c r="N1020" s="414"/>
      <c r="O1020" s="414"/>
      <c r="P1020" s="414"/>
      <c r="Q1020" s="414"/>
    </row>
    <row r="1021" spans="1:17" s="32" customFormat="1" ht="19.5" customHeight="1">
      <c r="A1021" s="411">
        <v>1209</v>
      </c>
      <c r="B1021" s="412" t="s">
        <v>3339</v>
      </c>
      <c r="C1021" s="413"/>
      <c r="D1021" s="413"/>
      <c r="E1021" s="413" t="s">
        <v>11071</v>
      </c>
      <c r="F1021" s="411" t="s">
        <v>11072</v>
      </c>
      <c r="G1021" s="411" t="s">
        <v>213</v>
      </c>
      <c r="H1021" s="411" t="s">
        <v>11073</v>
      </c>
      <c r="I1021" s="411" t="s">
        <v>11</v>
      </c>
      <c r="J1021" s="411" t="s">
        <v>9063</v>
      </c>
      <c r="K1021" s="414">
        <v>1460</v>
      </c>
      <c r="L1021" s="415">
        <v>27</v>
      </c>
      <c r="M1021" s="414"/>
      <c r="N1021" s="414"/>
      <c r="O1021" s="414"/>
      <c r="P1021" s="414"/>
      <c r="Q1021" s="414"/>
    </row>
    <row r="1022" spans="1:17" s="32" customFormat="1" ht="19.5" customHeight="1">
      <c r="A1022" s="411">
        <v>1210</v>
      </c>
      <c r="B1022" s="413" t="s">
        <v>1029</v>
      </c>
      <c r="C1022" s="413"/>
      <c r="D1022" s="413"/>
      <c r="E1022" s="413" t="s">
        <v>11074</v>
      </c>
      <c r="F1022" s="411" t="s">
        <v>3401</v>
      </c>
      <c r="G1022" s="411" t="s">
        <v>213</v>
      </c>
      <c r="H1022" s="411" t="s">
        <v>1386</v>
      </c>
      <c r="I1022" s="411" t="s">
        <v>11</v>
      </c>
      <c r="J1022" s="411" t="s">
        <v>9063</v>
      </c>
      <c r="K1022" s="414">
        <v>1344</v>
      </c>
      <c r="L1022" s="415">
        <v>1896</v>
      </c>
      <c r="M1022" s="414"/>
      <c r="N1022" s="414"/>
      <c r="O1022" s="414"/>
      <c r="P1022" s="414"/>
      <c r="Q1022" s="414"/>
    </row>
    <row r="1023" spans="1:17" s="32" customFormat="1" ht="19.5" customHeight="1">
      <c r="A1023" s="411">
        <v>1212</v>
      </c>
      <c r="B1023" s="413" t="s">
        <v>1029</v>
      </c>
      <c r="C1023" s="413"/>
      <c r="D1023" s="413"/>
      <c r="E1023" s="413" t="s">
        <v>1387</v>
      </c>
      <c r="F1023" s="411" t="s">
        <v>3403</v>
      </c>
      <c r="G1023" s="411" t="s">
        <v>213</v>
      </c>
      <c r="H1023" s="411" t="s">
        <v>1388</v>
      </c>
      <c r="I1023" s="411" t="s">
        <v>11</v>
      </c>
      <c r="J1023" s="411" t="s">
        <v>9063</v>
      </c>
      <c r="K1023" s="414">
        <v>2475</v>
      </c>
      <c r="L1023" s="415">
        <v>9384</v>
      </c>
      <c r="M1023" s="414"/>
      <c r="N1023" s="414"/>
      <c r="O1023" s="414"/>
      <c r="P1023" s="414"/>
      <c r="Q1023" s="414"/>
    </row>
    <row r="1024" spans="1:17" s="32" customFormat="1" ht="19.5" customHeight="1">
      <c r="A1024" s="411">
        <v>1213</v>
      </c>
      <c r="B1024" s="412" t="s">
        <v>1029</v>
      </c>
      <c r="C1024" s="413"/>
      <c r="D1024" s="413"/>
      <c r="E1024" s="413" t="s">
        <v>11075</v>
      </c>
      <c r="F1024" s="411" t="s">
        <v>3403</v>
      </c>
      <c r="G1024" s="411" t="s">
        <v>213</v>
      </c>
      <c r="H1024" s="411" t="s">
        <v>10924</v>
      </c>
      <c r="I1024" s="411" t="s">
        <v>11</v>
      </c>
      <c r="J1024" s="411" t="s">
        <v>10195</v>
      </c>
      <c r="K1024" s="414">
        <v>2390</v>
      </c>
      <c r="L1024" s="415">
        <v>18</v>
      </c>
      <c r="M1024" s="414"/>
      <c r="N1024" s="414"/>
      <c r="O1024" s="414"/>
      <c r="P1024" s="414"/>
      <c r="Q1024" s="414"/>
    </row>
    <row r="1025" spans="1:17" s="32" customFormat="1" ht="19.5" customHeight="1">
      <c r="A1025" s="411">
        <v>1214</v>
      </c>
      <c r="B1025" s="412" t="s">
        <v>3339</v>
      </c>
      <c r="C1025" s="413"/>
      <c r="D1025" s="413"/>
      <c r="E1025" s="413" t="s">
        <v>4564</v>
      </c>
      <c r="F1025" s="411" t="s">
        <v>3403</v>
      </c>
      <c r="G1025" s="411" t="s">
        <v>6694</v>
      </c>
      <c r="H1025" s="411" t="s">
        <v>1388</v>
      </c>
      <c r="I1025" s="411" t="s">
        <v>11</v>
      </c>
      <c r="J1025" s="411" t="s">
        <v>815</v>
      </c>
      <c r="K1025" s="414">
        <v>2568</v>
      </c>
      <c r="L1025" s="415">
        <v>163</v>
      </c>
      <c r="M1025" s="414"/>
      <c r="N1025" s="414"/>
      <c r="O1025" s="414"/>
      <c r="P1025" s="414"/>
      <c r="Q1025" s="414"/>
    </row>
    <row r="1026" spans="1:17" s="32" customFormat="1" ht="19.5" customHeight="1">
      <c r="A1026" s="411">
        <v>1216</v>
      </c>
      <c r="B1026" s="412" t="s">
        <v>10320</v>
      </c>
      <c r="C1026" s="413"/>
      <c r="D1026" s="413"/>
      <c r="E1026" s="413" t="s">
        <v>11076</v>
      </c>
      <c r="F1026" s="411" t="s">
        <v>11077</v>
      </c>
      <c r="G1026" s="411" t="s">
        <v>213</v>
      </c>
      <c r="H1026" s="411" t="s">
        <v>10924</v>
      </c>
      <c r="I1026" s="411" t="s">
        <v>11</v>
      </c>
      <c r="J1026" s="411" t="s">
        <v>9063</v>
      </c>
      <c r="K1026" s="414">
        <v>1733</v>
      </c>
      <c r="L1026" s="415">
        <v>39</v>
      </c>
      <c r="M1026" s="414"/>
      <c r="N1026" s="414"/>
      <c r="O1026" s="414"/>
      <c r="P1026" s="414"/>
      <c r="Q1026" s="414"/>
    </row>
    <row r="1027" spans="1:17" s="32" customFormat="1" ht="19.5" customHeight="1">
      <c r="A1027" s="411">
        <v>1217</v>
      </c>
      <c r="B1027" s="413" t="s">
        <v>3404</v>
      </c>
      <c r="C1027" s="413"/>
      <c r="D1027" s="413"/>
      <c r="E1027" s="413" t="s">
        <v>11078</v>
      </c>
      <c r="F1027" s="411" t="s">
        <v>3406</v>
      </c>
      <c r="G1027" s="411" t="s">
        <v>213</v>
      </c>
      <c r="H1027" s="411" t="s">
        <v>1173</v>
      </c>
      <c r="I1027" s="411" t="s">
        <v>11</v>
      </c>
      <c r="J1027" s="411" t="s">
        <v>1134</v>
      </c>
      <c r="K1027" s="414">
        <v>1050</v>
      </c>
      <c r="L1027" s="415">
        <v>6849</v>
      </c>
      <c r="M1027" s="414"/>
      <c r="N1027" s="414"/>
      <c r="O1027" s="414"/>
      <c r="P1027" s="414"/>
      <c r="Q1027" s="414"/>
    </row>
    <row r="1028" spans="1:17" s="32" customFormat="1" ht="19.5" customHeight="1">
      <c r="A1028" s="411">
        <v>1218</v>
      </c>
      <c r="B1028" s="412" t="s">
        <v>10959</v>
      </c>
      <c r="C1028" s="413"/>
      <c r="D1028" s="413"/>
      <c r="E1028" s="413" t="s">
        <v>11079</v>
      </c>
      <c r="F1028" s="411" t="s">
        <v>3406</v>
      </c>
      <c r="G1028" s="411" t="s">
        <v>6694</v>
      </c>
      <c r="H1028" s="411" t="s">
        <v>10961</v>
      </c>
      <c r="I1028" s="411" t="s">
        <v>10</v>
      </c>
      <c r="J1028" s="411" t="s">
        <v>1134</v>
      </c>
      <c r="K1028" s="414">
        <v>1350</v>
      </c>
      <c r="L1028" s="415">
        <v>84</v>
      </c>
      <c r="M1028" s="414"/>
      <c r="N1028" s="414"/>
      <c r="O1028" s="414"/>
      <c r="P1028" s="414"/>
      <c r="Q1028" s="414"/>
    </row>
    <row r="1029" spans="1:17" s="32" customFormat="1" ht="19.5" customHeight="1">
      <c r="A1029" s="411">
        <v>1220</v>
      </c>
      <c r="B1029" s="412" t="s">
        <v>11080</v>
      </c>
      <c r="C1029" s="413"/>
      <c r="D1029" s="413"/>
      <c r="E1029" s="413" t="s">
        <v>11081</v>
      </c>
      <c r="F1029" s="411" t="s">
        <v>3406</v>
      </c>
      <c r="G1029" s="411" t="s">
        <v>213</v>
      </c>
      <c r="H1029" s="411" t="s">
        <v>1173</v>
      </c>
      <c r="I1029" s="411" t="s">
        <v>10</v>
      </c>
      <c r="J1029" s="411" t="s">
        <v>11082</v>
      </c>
      <c r="K1029" s="414">
        <v>1890</v>
      </c>
      <c r="L1029" s="415">
        <v>74</v>
      </c>
      <c r="M1029" s="414"/>
      <c r="N1029" s="414"/>
      <c r="O1029" s="414"/>
      <c r="P1029" s="414"/>
      <c r="Q1029" s="414"/>
    </row>
    <row r="1030" spans="1:17" s="32" customFormat="1" ht="19.5" customHeight="1">
      <c r="A1030" s="411">
        <v>1221</v>
      </c>
      <c r="B1030" s="412" t="s">
        <v>11083</v>
      </c>
      <c r="C1030" s="413"/>
      <c r="D1030" s="413"/>
      <c r="E1030" s="413" t="s">
        <v>11084</v>
      </c>
      <c r="F1030" s="411" t="s">
        <v>9447</v>
      </c>
      <c r="G1030" s="411" t="s">
        <v>213</v>
      </c>
      <c r="H1030" s="411" t="s">
        <v>10498</v>
      </c>
      <c r="I1030" s="411" t="s">
        <v>13</v>
      </c>
      <c r="J1030" s="411" t="s">
        <v>2919</v>
      </c>
      <c r="K1030" s="414">
        <v>1292</v>
      </c>
      <c r="L1030" s="415">
        <v>0</v>
      </c>
      <c r="M1030" s="414"/>
      <c r="N1030" s="414"/>
      <c r="O1030" s="414"/>
      <c r="P1030" s="414"/>
      <c r="Q1030" s="414"/>
    </row>
    <row r="1031" spans="1:17" s="32" customFormat="1" ht="19.5" customHeight="1">
      <c r="A1031" s="411">
        <v>1222</v>
      </c>
      <c r="B1031" s="412" t="s">
        <v>11085</v>
      </c>
      <c r="C1031" s="413"/>
      <c r="D1031" s="413"/>
      <c r="E1031" s="413" t="s">
        <v>11086</v>
      </c>
      <c r="F1031" s="411" t="s">
        <v>11087</v>
      </c>
      <c r="G1031" s="411" t="s">
        <v>8542</v>
      </c>
      <c r="H1031" s="411" t="s">
        <v>945</v>
      </c>
      <c r="I1031" s="411" t="s">
        <v>12</v>
      </c>
      <c r="J1031" s="411" t="s">
        <v>562</v>
      </c>
      <c r="K1031" s="414">
        <v>2000</v>
      </c>
      <c r="L1031" s="415">
        <v>0</v>
      </c>
      <c r="M1031" s="414"/>
      <c r="N1031" s="414"/>
      <c r="O1031" s="414"/>
      <c r="P1031" s="414"/>
      <c r="Q1031" s="414"/>
    </row>
    <row r="1032" spans="1:17" s="32" customFormat="1" ht="19.5" customHeight="1">
      <c r="A1032" s="411">
        <v>1223</v>
      </c>
      <c r="B1032" s="412" t="s">
        <v>4441</v>
      </c>
      <c r="C1032" s="413"/>
      <c r="D1032" s="413"/>
      <c r="E1032" s="413" t="s">
        <v>11088</v>
      </c>
      <c r="F1032" s="411" t="s">
        <v>11089</v>
      </c>
      <c r="G1032" s="411" t="s">
        <v>213</v>
      </c>
      <c r="H1032" s="411" t="s">
        <v>235</v>
      </c>
      <c r="I1032" s="411" t="s">
        <v>11</v>
      </c>
      <c r="J1032" s="411" t="s">
        <v>9063</v>
      </c>
      <c r="K1032" s="414">
        <v>4000</v>
      </c>
      <c r="L1032" s="415">
        <v>4090</v>
      </c>
      <c r="M1032" s="414"/>
      <c r="N1032" s="414"/>
      <c r="O1032" s="414"/>
      <c r="P1032" s="414"/>
      <c r="Q1032" s="414"/>
    </row>
    <row r="1033" spans="1:17" s="32" customFormat="1" ht="19.5" customHeight="1">
      <c r="A1033" s="411">
        <v>1224</v>
      </c>
      <c r="B1033" s="413" t="s">
        <v>1311</v>
      </c>
      <c r="C1033" s="413"/>
      <c r="D1033" s="413"/>
      <c r="E1033" s="413" t="s">
        <v>11090</v>
      </c>
      <c r="F1033" s="411" t="s">
        <v>1721</v>
      </c>
      <c r="G1033" s="411" t="s">
        <v>213</v>
      </c>
      <c r="H1033" s="411" t="s">
        <v>1313</v>
      </c>
      <c r="I1033" s="411" t="s">
        <v>11</v>
      </c>
      <c r="J1033" s="411" t="s">
        <v>9063</v>
      </c>
      <c r="K1033" s="414">
        <v>1220</v>
      </c>
      <c r="L1033" s="415">
        <v>2250</v>
      </c>
      <c r="M1033" s="414"/>
      <c r="N1033" s="414"/>
      <c r="O1033" s="414"/>
      <c r="P1033" s="414"/>
      <c r="Q1033" s="414"/>
    </row>
    <row r="1034" spans="1:17" s="32" customFormat="1" ht="19.5" customHeight="1">
      <c r="A1034" s="411">
        <v>1225</v>
      </c>
      <c r="B1034" s="412" t="s">
        <v>11091</v>
      </c>
      <c r="C1034" s="413"/>
      <c r="D1034" s="413"/>
      <c r="E1034" s="413" t="s">
        <v>11092</v>
      </c>
      <c r="F1034" s="411" t="s">
        <v>11093</v>
      </c>
      <c r="G1034" s="411" t="s">
        <v>213</v>
      </c>
      <c r="H1034" s="411" t="s">
        <v>291</v>
      </c>
      <c r="I1034" s="411" t="s">
        <v>10</v>
      </c>
      <c r="J1034" s="411" t="s">
        <v>1329</v>
      </c>
      <c r="K1034" s="414">
        <v>168</v>
      </c>
      <c r="L1034" s="415">
        <v>0</v>
      </c>
      <c r="M1034" s="414"/>
      <c r="N1034" s="414"/>
      <c r="O1034" s="414"/>
      <c r="P1034" s="414"/>
      <c r="Q1034" s="414"/>
    </row>
    <row r="1035" spans="1:17" s="32" customFormat="1" ht="19.5" customHeight="1">
      <c r="A1035" s="411">
        <v>1226</v>
      </c>
      <c r="B1035" s="412" t="s">
        <v>3463</v>
      </c>
      <c r="C1035" s="413"/>
      <c r="D1035" s="413"/>
      <c r="E1035" s="413" t="s">
        <v>11094</v>
      </c>
      <c r="F1035" s="411" t="s">
        <v>11095</v>
      </c>
      <c r="G1035" s="411" t="s">
        <v>213</v>
      </c>
      <c r="H1035" s="411" t="s">
        <v>3467</v>
      </c>
      <c r="I1035" s="411" t="s">
        <v>11</v>
      </c>
      <c r="J1035" s="411" t="s">
        <v>1329</v>
      </c>
      <c r="K1035" s="414">
        <v>1990</v>
      </c>
      <c r="L1035" s="415">
        <v>0</v>
      </c>
      <c r="M1035" s="414"/>
      <c r="N1035" s="414"/>
      <c r="O1035" s="414"/>
      <c r="P1035" s="414"/>
      <c r="Q1035" s="414"/>
    </row>
    <row r="1036" spans="1:17" s="32" customFormat="1" ht="19.5" customHeight="1">
      <c r="A1036" s="411">
        <v>1227</v>
      </c>
      <c r="B1036" s="420" t="s">
        <v>9940</v>
      </c>
      <c r="C1036" s="421"/>
      <c r="D1036" s="421"/>
      <c r="E1036" s="412" t="s">
        <v>11096</v>
      </c>
      <c r="F1036" s="417" t="s">
        <v>11097</v>
      </c>
      <c r="G1036" s="417" t="s">
        <v>5217</v>
      </c>
      <c r="H1036" s="417" t="s">
        <v>390</v>
      </c>
      <c r="I1036" s="417" t="s">
        <v>11</v>
      </c>
      <c r="J1036" s="417" t="s">
        <v>10488</v>
      </c>
      <c r="K1036" s="418">
        <v>2590</v>
      </c>
      <c r="L1036" s="419">
        <v>93</v>
      </c>
      <c r="M1036" s="418"/>
      <c r="N1036" s="414"/>
      <c r="O1036" s="414"/>
      <c r="P1036" s="418"/>
      <c r="Q1036" s="418"/>
    </row>
    <row r="1037" spans="1:17" s="32" customFormat="1" ht="19.5" customHeight="1">
      <c r="A1037" s="411">
        <v>1228</v>
      </c>
      <c r="B1037" s="412" t="s">
        <v>11098</v>
      </c>
      <c r="C1037" s="413"/>
      <c r="D1037" s="413"/>
      <c r="E1037" s="413" t="s">
        <v>11099</v>
      </c>
      <c r="F1037" s="411" t="s">
        <v>11100</v>
      </c>
      <c r="G1037" s="411" t="s">
        <v>213</v>
      </c>
      <c r="H1037" s="411" t="s">
        <v>11101</v>
      </c>
      <c r="I1037" s="411" t="s">
        <v>11</v>
      </c>
      <c r="J1037" s="411" t="s">
        <v>9063</v>
      </c>
      <c r="K1037" s="414">
        <v>375</v>
      </c>
      <c r="L1037" s="415">
        <v>0</v>
      </c>
      <c r="M1037" s="414"/>
      <c r="N1037" s="414"/>
      <c r="O1037" s="414"/>
      <c r="P1037" s="414"/>
      <c r="Q1037" s="414"/>
    </row>
    <row r="1038" spans="1:17" s="32" customFormat="1" ht="19.5" customHeight="1">
      <c r="A1038" s="411">
        <v>1229</v>
      </c>
      <c r="B1038" s="412" t="s">
        <v>2597</v>
      </c>
      <c r="C1038" s="416"/>
      <c r="D1038" s="416"/>
      <c r="E1038" s="412" t="s">
        <v>11102</v>
      </c>
      <c r="F1038" s="417" t="s">
        <v>11103</v>
      </c>
      <c r="G1038" s="417" t="s">
        <v>5105</v>
      </c>
      <c r="H1038" s="417" t="s">
        <v>291</v>
      </c>
      <c r="I1038" s="417" t="s">
        <v>11</v>
      </c>
      <c r="J1038" s="417" t="s">
        <v>8974</v>
      </c>
      <c r="K1038" s="418">
        <v>3577</v>
      </c>
      <c r="L1038" s="419">
        <v>1558</v>
      </c>
      <c r="M1038" s="418"/>
      <c r="N1038" s="414"/>
      <c r="O1038" s="414"/>
      <c r="P1038" s="418"/>
      <c r="Q1038" s="418"/>
    </row>
    <row r="1039" spans="1:17" s="32" customFormat="1" ht="19.5" customHeight="1">
      <c r="A1039" s="411">
        <v>1232</v>
      </c>
      <c r="B1039" s="413" t="s">
        <v>638</v>
      </c>
      <c r="C1039" s="413"/>
      <c r="D1039" s="413"/>
      <c r="E1039" s="413" t="s">
        <v>11104</v>
      </c>
      <c r="F1039" s="411" t="s">
        <v>1998</v>
      </c>
      <c r="G1039" s="411" t="s">
        <v>213</v>
      </c>
      <c r="H1039" s="411" t="s">
        <v>429</v>
      </c>
      <c r="I1039" s="411" t="s">
        <v>13</v>
      </c>
      <c r="J1039" s="417" t="s">
        <v>842</v>
      </c>
      <c r="K1039" s="414">
        <v>1550</v>
      </c>
      <c r="L1039" s="415">
        <v>4726</v>
      </c>
      <c r="M1039" s="414"/>
      <c r="N1039" s="414"/>
      <c r="O1039" s="414"/>
      <c r="P1039" s="414"/>
      <c r="Q1039" s="414"/>
    </row>
    <row r="1040" spans="1:17" s="32" customFormat="1" ht="19.5" customHeight="1">
      <c r="A1040" s="411">
        <v>1234</v>
      </c>
      <c r="B1040" s="413" t="s">
        <v>3409</v>
      </c>
      <c r="C1040" s="413"/>
      <c r="D1040" s="413"/>
      <c r="E1040" s="413" t="s">
        <v>3668</v>
      </c>
      <c r="F1040" s="411" t="s">
        <v>3411</v>
      </c>
      <c r="G1040" s="411" t="s">
        <v>213</v>
      </c>
      <c r="H1040" s="411" t="s">
        <v>225</v>
      </c>
      <c r="I1040" s="411" t="s">
        <v>11</v>
      </c>
      <c r="J1040" s="417" t="s">
        <v>842</v>
      </c>
      <c r="K1040" s="414">
        <v>186</v>
      </c>
      <c r="L1040" s="415">
        <v>0</v>
      </c>
      <c r="M1040" s="414"/>
      <c r="N1040" s="414"/>
      <c r="O1040" s="414"/>
      <c r="P1040" s="414"/>
      <c r="Q1040" s="414"/>
    </row>
    <row r="1041" spans="1:17" s="32" customFormat="1" ht="19.5" customHeight="1">
      <c r="A1041" s="411">
        <v>1233</v>
      </c>
      <c r="B1041" s="420" t="s">
        <v>11105</v>
      </c>
      <c r="C1041" s="421"/>
      <c r="D1041" s="421"/>
      <c r="E1041" s="412" t="s">
        <v>3668</v>
      </c>
      <c r="F1041" s="417" t="s">
        <v>11106</v>
      </c>
      <c r="G1041" s="417" t="s">
        <v>6694</v>
      </c>
      <c r="H1041" s="417" t="s">
        <v>225</v>
      </c>
      <c r="I1041" s="417" t="s">
        <v>11</v>
      </c>
      <c r="J1041" s="417" t="s">
        <v>842</v>
      </c>
      <c r="K1041" s="418">
        <v>186</v>
      </c>
      <c r="L1041" s="419">
        <v>0</v>
      </c>
      <c r="M1041" s="418"/>
      <c r="N1041" s="414"/>
      <c r="O1041" s="414"/>
      <c r="P1041" s="418"/>
      <c r="Q1041" s="418"/>
    </row>
    <row r="1042" spans="1:17" s="32" customFormat="1" ht="19.5" customHeight="1">
      <c r="A1042" s="411">
        <v>1235</v>
      </c>
      <c r="B1042" s="413" t="s">
        <v>841</v>
      </c>
      <c r="C1042" s="413"/>
      <c r="D1042" s="413"/>
      <c r="E1042" s="413" t="s">
        <v>11107</v>
      </c>
      <c r="F1042" s="411" t="s">
        <v>3414</v>
      </c>
      <c r="G1042" s="411" t="s">
        <v>213</v>
      </c>
      <c r="H1042" s="411" t="s">
        <v>3415</v>
      </c>
      <c r="I1042" s="411" t="s">
        <v>11</v>
      </c>
      <c r="J1042" s="417" t="s">
        <v>842</v>
      </c>
      <c r="K1042" s="414">
        <v>264</v>
      </c>
      <c r="L1042" s="415">
        <v>0</v>
      </c>
      <c r="M1042" s="414"/>
      <c r="N1042" s="414"/>
      <c r="O1042" s="414"/>
      <c r="P1042" s="414"/>
      <c r="Q1042" s="414"/>
    </row>
    <row r="1043" spans="1:17" s="32" customFormat="1" ht="19.5" customHeight="1">
      <c r="A1043" s="411">
        <v>1236</v>
      </c>
      <c r="B1043" s="412" t="s">
        <v>11108</v>
      </c>
      <c r="C1043" s="413"/>
      <c r="D1043" s="413"/>
      <c r="E1043" s="413" t="s">
        <v>11109</v>
      </c>
      <c r="F1043" s="411" t="s">
        <v>11110</v>
      </c>
      <c r="G1043" s="411" t="s">
        <v>213</v>
      </c>
      <c r="H1043" s="411" t="s">
        <v>11111</v>
      </c>
      <c r="I1043" s="411" t="s">
        <v>11</v>
      </c>
      <c r="J1043" s="411" t="s">
        <v>9063</v>
      </c>
      <c r="K1043" s="414">
        <v>253</v>
      </c>
      <c r="L1043" s="415">
        <v>0</v>
      </c>
      <c r="M1043" s="414"/>
      <c r="N1043" s="414"/>
      <c r="O1043" s="414"/>
      <c r="P1043" s="414"/>
      <c r="Q1043" s="414"/>
    </row>
    <row r="1044" spans="1:17" s="32" customFormat="1" ht="19.5" customHeight="1">
      <c r="A1044" s="411">
        <v>1237</v>
      </c>
      <c r="B1044" s="412" t="s">
        <v>841</v>
      </c>
      <c r="C1044" s="413"/>
      <c r="D1044" s="413"/>
      <c r="E1044" s="413" t="s">
        <v>11112</v>
      </c>
      <c r="F1044" s="411" t="s">
        <v>11113</v>
      </c>
      <c r="G1044" s="411" t="s">
        <v>213</v>
      </c>
      <c r="H1044" s="411" t="s">
        <v>11114</v>
      </c>
      <c r="I1044" s="411" t="s">
        <v>10</v>
      </c>
      <c r="J1044" s="411" t="s">
        <v>9063</v>
      </c>
      <c r="K1044" s="414">
        <v>515</v>
      </c>
      <c r="L1044" s="415">
        <v>0</v>
      </c>
      <c r="M1044" s="414"/>
      <c r="N1044" s="414"/>
      <c r="O1044" s="414"/>
      <c r="P1044" s="414"/>
      <c r="Q1044" s="414"/>
    </row>
    <row r="1045" spans="1:17" s="32" customFormat="1" ht="19.5" customHeight="1">
      <c r="A1045" s="411">
        <v>1238</v>
      </c>
      <c r="B1045" s="412" t="s">
        <v>11091</v>
      </c>
      <c r="C1045" s="413"/>
      <c r="D1045" s="413"/>
      <c r="E1045" s="413" t="s">
        <v>11115</v>
      </c>
      <c r="F1045" s="411" t="s">
        <v>11116</v>
      </c>
      <c r="G1045" s="411" t="s">
        <v>6694</v>
      </c>
      <c r="H1045" s="411" t="s">
        <v>291</v>
      </c>
      <c r="I1045" s="411" t="s">
        <v>11</v>
      </c>
      <c r="J1045" s="411" t="s">
        <v>842</v>
      </c>
      <c r="K1045" s="414">
        <v>145</v>
      </c>
      <c r="L1045" s="415">
        <v>19259</v>
      </c>
      <c r="M1045" s="414"/>
      <c r="N1045" s="414"/>
      <c r="O1045" s="414"/>
      <c r="P1045" s="414"/>
      <c r="Q1045" s="414"/>
    </row>
    <row r="1046" spans="1:17" s="32" customFormat="1" ht="19.5" customHeight="1">
      <c r="A1046" s="411">
        <v>1240</v>
      </c>
      <c r="B1046" s="412" t="s">
        <v>10183</v>
      </c>
      <c r="C1046" s="416"/>
      <c r="D1046" s="416"/>
      <c r="E1046" s="412" t="s">
        <v>11117</v>
      </c>
      <c r="F1046" s="417" t="s">
        <v>11118</v>
      </c>
      <c r="G1046" s="417" t="s">
        <v>5273</v>
      </c>
      <c r="H1046" s="417" t="s">
        <v>232</v>
      </c>
      <c r="I1046" s="417" t="s">
        <v>10</v>
      </c>
      <c r="J1046" s="411" t="s">
        <v>842</v>
      </c>
      <c r="K1046" s="418">
        <v>1950</v>
      </c>
      <c r="L1046" s="419">
        <v>0</v>
      </c>
      <c r="M1046" s="418"/>
      <c r="N1046" s="414"/>
      <c r="O1046" s="414"/>
      <c r="P1046" s="418"/>
      <c r="Q1046" s="418"/>
    </row>
    <row r="1047" spans="1:17" s="32" customFormat="1" ht="19.5" customHeight="1">
      <c r="A1047" s="411">
        <v>1241</v>
      </c>
      <c r="B1047" s="413" t="s">
        <v>555</v>
      </c>
      <c r="C1047" s="413"/>
      <c r="D1047" s="413"/>
      <c r="E1047" s="413" t="s">
        <v>11119</v>
      </c>
      <c r="F1047" s="411" t="s">
        <v>11120</v>
      </c>
      <c r="G1047" s="411" t="s">
        <v>5605</v>
      </c>
      <c r="H1047" s="411" t="s">
        <v>262</v>
      </c>
      <c r="I1047" s="411" t="s">
        <v>11</v>
      </c>
      <c r="J1047" s="411" t="s">
        <v>842</v>
      </c>
      <c r="K1047" s="414">
        <v>3900</v>
      </c>
      <c r="L1047" s="415">
        <v>2611</v>
      </c>
      <c r="M1047" s="414"/>
      <c r="N1047" s="414"/>
      <c r="O1047" s="414"/>
      <c r="P1047" s="414"/>
      <c r="Q1047" s="414"/>
    </row>
    <row r="1048" spans="1:17" s="32" customFormat="1" ht="19.5" customHeight="1">
      <c r="A1048" s="411">
        <v>1242</v>
      </c>
      <c r="B1048" s="412" t="s">
        <v>813</v>
      </c>
      <c r="C1048" s="413"/>
      <c r="D1048" s="413"/>
      <c r="E1048" s="413" t="s">
        <v>3669</v>
      </c>
      <c r="F1048" s="411" t="s">
        <v>3419</v>
      </c>
      <c r="G1048" s="411" t="s">
        <v>213</v>
      </c>
      <c r="H1048" s="411" t="s">
        <v>299</v>
      </c>
      <c r="I1048" s="411" t="s">
        <v>10</v>
      </c>
      <c r="J1048" s="411" t="s">
        <v>842</v>
      </c>
      <c r="K1048" s="414">
        <v>2940</v>
      </c>
      <c r="L1048" s="415">
        <v>0</v>
      </c>
      <c r="M1048" s="414"/>
      <c r="N1048" s="414"/>
      <c r="O1048" s="414"/>
      <c r="P1048" s="414"/>
      <c r="Q1048" s="414"/>
    </row>
    <row r="1049" spans="1:17" s="32" customFormat="1" ht="19.5" customHeight="1">
      <c r="A1049" s="411">
        <v>1243</v>
      </c>
      <c r="B1049" s="412" t="s">
        <v>4208</v>
      </c>
      <c r="C1049" s="413"/>
      <c r="D1049" s="413"/>
      <c r="E1049" s="413" t="s">
        <v>11121</v>
      </c>
      <c r="F1049" s="411" t="s">
        <v>11122</v>
      </c>
      <c r="G1049" s="411" t="s">
        <v>5217</v>
      </c>
      <c r="H1049" s="411" t="s">
        <v>11123</v>
      </c>
      <c r="I1049" s="411" t="s">
        <v>11</v>
      </c>
      <c r="J1049" s="411" t="s">
        <v>842</v>
      </c>
      <c r="K1049" s="414">
        <v>3700</v>
      </c>
      <c r="L1049" s="415">
        <v>52</v>
      </c>
      <c r="M1049" s="414"/>
      <c r="N1049" s="414"/>
      <c r="O1049" s="414"/>
      <c r="P1049" s="414"/>
      <c r="Q1049" s="414"/>
    </row>
    <row r="1050" spans="1:17" s="32" customFormat="1" ht="19.5" customHeight="1">
      <c r="A1050" s="411">
        <v>1244</v>
      </c>
      <c r="B1050" s="412" t="s">
        <v>11124</v>
      </c>
      <c r="C1050" s="413"/>
      <c r="D1050" s="413"/>
      <c r="E1050" s="413" t="s">
        <v>11125</v>
      </c>
      <c r="F1050" s="411" t="s">
        <v>800</v>
      </c>
      <c r="G1050" s="411" t="s">
        <v>5105</v>
      </c>
      <c r="H1050" s="411" t="s">
        <v>799</v>
      </c>
      <c r="I1050" s="411" t="s">
        <v>520</v>
      </c>
      <c r="J1050" s="411" t="s">
        <v>2654</v>
      </c>
      <c r="K1050" s="414">
        <v>16300</v>
      </c>
      <c r="L1050" s="415">
        <v>0</v>
      </c>
      <c r="M1050" s="414"/>
      <c r="N1050" s="414"/>
      <c r="O1050" s="414"/>
      <c r="P1050" s="414"/>
      <c r="Q1050" s="414"/>
    </row>
    <row r="1051" spans="1:17" s="32" customFormat="1" ht="19.5" customHeight="1">
      <c r="A1051" s="411">
        <v>1245</v>
      </c>
      <c r="B1051" s="412" t="s">
        <v>11126</v>
      </c>
      <c r="C1051" s="413"/>
      <c r="D1051" s="413"/>
      <c r="E1051" s="413" t="s">
        <v>11127</v>
      </c>
      <c r="F1051" s="411" t="s">
        <v>11128</v>
      </c>
      <c r="G1051" s="411" t="s">
        <v>213</v>
      </c>
      <c r="H1051" s="411" t="s">
        <v>229</v>
      </c>
      <c r="I1051" s="411" t="s">
        <v>10</v>
      </c>
      <c r="J1051" s="411" t="s">
        <v>11129</v>
      </c>
      <c r="K1051" s="414">
        <v>2790</v>
      </c>
      <c r="L1051" s="415">
        <v>0</v>
      </c>
      <c r="M1051" s="414"/>
      <c r="N1051" s="414"/>
      <c r="O1051" s="414"/>
      <c r="P1051" s="414"/>
      <c r="Q1051" s="414"/>
    </row>
    <row r="1052" spans="1:17" s="32" customFormat="1" ht="19.5" customHeight="1">
      <c r="A1052" s="411">
        <v>1246</v>
      </c>
      <c r="B1052" s="413" t="s">
        <v>11130</v>
      </c>
      <c r="C1052" s="413"/>
      <c r="D1052" s="413"/>
      <c r="E1052" s="413" t="s">
        <v>169</v>
      </c>
      <c r="F1052" s="411" t="s">
        <v>2324</v>
      </c>
      <c r="G1052" s="411" t="s">
        <v>213</v>
      </c>
      <c r="H1052" s="411" t="s">
        <v>171</v>
      </c>
      <c r="I1052" s="411" t="s">
        <v>10</v>
      </c>
      <c r="J1052" s="411" t="s">
        <v>9063</v>
      </c>
      <c r="K1052" s="414">
        <v>3450</v>
      </c>
      <c r="L1052" s="415">
        <v>0</v>
      </c>
      <c r="M1052" s="414"/>
      <c r="N1052" s="414"/>
      <c r="O1052" s="414"/>
      <c r="P1052" s="414"/>
      <c r="Q1052" s="414"/>
    </row>
    <row r="1053" spans="1:17" s="32" customFormat="1" ht="19.5" customHeight="1">
      <c r="A1053" s="411">
        <v>1247</v>
      </c>
      <c r="B1053" s="412" t="s">
        <v>11131</v>
      </c>
      <c r="C1053" s="413"/>
      <c r="D1053" s="413"/>
      <c r="E1053" s="413" t="s">
        <v>11132</v>
      </c>
      <c r="F1053" s="411" t="s">
        <v>11133</v>
      </c>
      <c r="G1053" s="411" t="s">
        <v>5116</v>
      </c>
      <c r="H1053" s="411" t="s">
        <v>1972</v>
      </c>
      <c r="I1053" s="411" t="s">
        <v>11</v>
      </c>
      <c r="J1053" s="411" t="s">
        <v>9063</v>
      </c>
      <c r="K1053" s="414">
        <v>3150</v>
      </c>
      <c r="L1053" s="415">
        <v>0</v>
      </c>
      <c r="M1053" s="414"/>
      <c r="N1053" s="414"/>
      <c r="O1053" s="414"/>
      <c r="P1053" s="414"/>
      <c r="Q1053" s="414"/>
    </row>
    <row r="1054" spans="1:17" s="32" customFormat="1" ht="19.5" customHeight="1">
      <c r="A1054" s="411">
        <v>1248</v>
      </c>
      <c r="B1054" s="413" t="s">
        <v>2038</v>
      </c>
      <c r="C1054" s="413"/>
      <c r="D1054" s="413"/>
      <c r="E1054" s="413" t="s">
        <v>2039</v>
      </c>
      <c r="F1054" s="411" t="s">
        <v>2041</v>
      </c>
      <c r="G1054" s="411" t="s">
        <v>5116</v>
      </c>
      <c r="H1054" s="411" t="s">
        <v>770</v>
      </c>
      <c r="I1054" s="411" t="s">
        <v>520</v>
      </c>
      <c r="J1054" s="411" t="s">
        <v>8990</v>
      </c>
      <c r="K1054" s="414">
        <v>13698</v>
      </c>
      <c r="L1054" s="415">
        <v>446</v>
      </c>
      <c r="M1054" s="414"/>
      <c r="N1054" s="414"/>
      <c r="O1054" s="414"/>
      <c r="P1054" s="414"/>
      <c r="Q1054" s="414"/>
    </row>
    <row r="1055" spans="1:17" s="32" customFormat="1" ht="19.5" customHeight="1">
      <c r="A1055" s="411">
        <v>1249</v>
      </c>
      <c r="B1055" s="412" t="s">
        <v>9991</v>
      </c>
      <c r="C1055" s="413"/>
      <c r="D1055" s="413"/>
      <c r="E1055" s="413" t="s">
        <v>11134</v>
      </c>
      <c r="F1055" s="411" t="s">
        <v>11135</v>
      </c>
      <c r="G1055" s="411" t="s">
        <v>5116</v>
      </c>
      <c r="H1055" s="411" t="s">
        <v>770</v>
      </c>
      <c r="I1055" s="411" t="s">
        <v>628</v>
      </c>
      <c r="J1055" s="411" t="s">
        <v>8990</v>
      </c>
      <c r="K1055" s="414">
        <v>13698</v>
      </c>
      <c r="L1055" s="415">
        <v>0</v>
      </c>
      <c r="M1055" s="414"/>
      <c r="N1055" s="414"/>
      <c r="O1055" s="414"/>
      <c r="P1055" s="414"/>
      <c r="Q1055" s="414"/>
    </row>
    <row r="1056" spans="1:17" s="32" customFormat="1" ht="19.5" customHeight="1">
      <c r="A1056" s="411">
        <v>1250</v>
      </c>
      <c r="B1056" s="420" t="s">
        <v>11136</v>
      </c>
      <c r="C1056" s="421"/>
      <c r="D1056" s="421"/>
      <c r="E1056" s="412" t="s">
        <v>11137</v>
      </c>
      <c r="F1056" s="417" t="s">
        <v>11138</v>
      </c>
      <c r="G1056" s="417" t="s">
        <v>5217</v>
      </c>
      <c r="H1056" s="417" t="s">
        <v>429</v>
      </c>
      <c r="I1056" s="417" t="s">
        <v>658</v>
      </c>
      <c r="J1056" s="417" t="s">
        <v>9180</v>
      </c>
      <c r="K1056" s="418">
        <v>21000</v>
      </c>
      <c r="L1056" s="419">
        <v>34</v>
      </c>
      <c r="M1056" s="418"/>
      <c r="N1056" s="414"/>
      <c r="O1056" s="414"/>
      <c r="P1056" s="418"/>
      <c r="Q1056" s="418"/>
    </row>
    <row r="1057" spans="1:17" s="32" customFormat="1" ht="19.5" customHeight="1">
      <c r="A1057" s="411">
        <v>1251</v>
      </c>
      <c r="B1057" s="412" t="s">
        <v>9297</v>
      </c>
      <c r="C1057" s="413"/>
      <c r="D1057" s="413"/>
      <c r="E1057" s="413" t="s">
        <v>11139</v>
      </c>
      <c r="F1057" s="411" t="s">
        <v>11140</v>
      </c>
      <c r="G1057" s="411" t="s">
        <v>213</v>
      </c>
      <c r="H1057" s="411" t="s">
        <v>965</v>
      </c>
      <c r="I1057" s="411" t="s">
        <v>11</v>
      </c>
      <c r="J1057" s="411" t="s">
        <v>1131</v>
      </c>
      <c r="K1057" s="414">
        <v>3350</v>
      </c>
      <c r="L1057" s="415">
        <v>0</v>
      </c>
      <c r="M1057" s="414"/>
      <c r="N1057" s="414"/>
      <c r="O1057" s="414"/>
      <c r="P1057" s="414"/>
      <c r="Q1057" s="414"/>
    </row>
    <row r="1058" spans="1:17" s="32" customFormat="1" ht="19.5" customHeight="1">
      <c r="A1058" s="411">
        <v>1252</v>
      </c>
      <c r="B1058" s="412" t="s">
        <v>9297</v>
      </c>
      <c r="C1058" s="413"/>
      <c r="D1058" s="413"/>
      <c r="E1058" s="413" t="s">
        <v>11139</v>
      </c>
      <c r="F1058" s="411" t="s">
        <v>9301</v>
      </c>
      <c r="G1058" s="411" t="s">
        <v>213</v>
      </c>
      <c r="H1058" s="411" t="s">
        <v>272</v>
      </c>
      <c r="I1058" s="411" t="s">
        <v>11</v>
      </c>
      <c r="J1058" s="411" t="s">
        <v>1131</v>
      </c>
      <c r="K1058" s="414">
        <v>3780</v>
      </c>
      <c r="L1058" s="415">
        <v>0</v>
      </c>
      <c r="M1058" s="414"/>
      <c r="N1058" s="414"/>
      <c r="O1058" s="414"/>
      <c r="P1058" s="414"/>
      <c r="Q1058" s="414"/>
    </row>
    <row r="1059" spans="1:17" s="32" customFormat="1" ht="19.5" customHeight="1">
      <c r="A1059" s="411">
        <v>1253</v>
      </c>
      <c r="B1059" s="412" t="s">
        <v>9490</v>
      </c>
      <c r="C1059" s="413"/>
      <c r="D1059" s="413"/>
      <c r="E1059" s="413" t="s">
        <v>11141</v>
      </c>
      <c r="F1059" s="411" t="s">
        <v>11142</v>
      </c>
      <c r="G1059" s="411" t="s">
        <v>213</v>
      </c>
      <c r="H1059" s="411" t="s">
        <v>272</v>
      </c>
      <c r="I1059" s="411" t="s">
        <v>11</v>
      </c>
      <c r="J1059" s="411" t="s">
        <v>9063</v>
      </c>
      <c r="K1059" s="414">
        <v>900</v>
      </c>
      <c r="L1059" s="415">
        <v>0</v>
      </c>
      <c r="M1059" s="414"/>
      <c r="N1059" s="414"/>
      <c r="O1059" s="414"/>
      <c r="P1059" s="414"/>
      <c r="Q1059" s="414"/>
    </row>
    <row r="1060" spans="1:17" s="32" customFormat="1" ht="19.5" customHeight="1">
      <c r="A1060" s="411">
        <v>1254</v>
      </c>
      <c r="B1060" s="412" t="s">
        <v>9490</v>
      </c>
      <c r="C1060" s="413"/>
      <c r="D1060" s="413"/>
      <c r="E1060" s="413" t="s">
        <v>11143</v>
      </c>
      <c r="F1060" s="411" t="s">
        <v>11144</v>
      </c>
      <c r="G1060" s="411" t="s">
        <v>213</v>
      </c>
      <c r="H1060" s="411" t="s">
        <v>272</v>
      </c>
      <c r="I1060" s="411" t="s">
        <v>11</v>
      </c>
      <c r="J1060" s="411" t="s">
        <v>1131</v>
      </c>
      <c r="K1060" s="414">
        <v>1344</v>
      </c>
      <c r="L1060" s="415">
        <v>0</v>
      </c>
      <c r="M1060" s="414"/>
      <c r="N1060" s="414"/>
      <c r="O1060" s="414"/>
      <c r="P1060" s="414"/>
      <c r="Q1060" s="414"/>
    </row>
    <row r="1061" spans="1:17" s="32" customFormat="1" ht="19.5" customHeight="1">
      <c r="A1061" s="411">
        <v>1255</v>
      </c>
      <c r="B1061" s="412" t="s">
        <v>9449</v>
      </c>
      <c r="C1061" s="413"/>
      <c r="D1061" s="413"/>
      <c r="E1061" s="413" t="s">
        <v>11145</v>
      </c>
      <c r="F1061" s="411" t="s">
        <v>10853</v>
      </c>
      <c r="G1061" s="411" t="s">
        <v>213</v>
      </c>
      <c r="H1061" s="411" t="s">
        <v>299</v>
      </c>
      <c r="I1061" s="411" t="s">
        <v>11</v>
      </c>
      <c r="J1061" s="411" t="s">
        <v>9063</v>
      </c>
      <c r="K1061" s="414">
        <v>9000</v>
      </c>
      <c r="L1061" s="415">
        <v>0</v>
      </c>
      <c r="M1061" s="414"/>
      <c r="N1061" s="414"/>
      <c r="O1061" s="414"/>
      <c r="P1061" s="414"/>
      <c r="Q1061" s="414"/>
    </row>
    <row r="1062" spans="1:17" s="32" customFormat="1" ht="19.5" customHeight="1">
      <c r="A1062" s="411">
        <v>1256</v>
      </c>
      <c r="B1062" s="412" t="s">
        <v>2687</v>
      </c>
      <c r="C1062" s="413"/>
      <c r="D1062" s="413"/>
      <c r="E1062" s="413" t="s">
        <v>11146</v>
      </c>
      <c r="F1062" s="411" t="s">
        <v>11147</v>
      </c>
      <c r="G1062" s="411" t="s">
        <v>213</v>
      </c>
      <c r="H1062" s="411" t="s">
        <v>291</v>
      </c>
      <c r="I1062" s="411" t="s">
        <v>11</v>
      </c>
      <c r="J1062" s="411" t="s">
        <v>9063</v>
      </c>
      <c r="K1062" s="414">
        <v>680</v>
      </c>
      <c r="L1062" s="415">
        <v>0</v>
      </c>
      <c r="M1062" s="414"/>
      <c r="N1062" s="414"/>
      <c r="O1062" s="414"/>
      <c r="P1062" s="414"/>
      <c r="Q1062" s="414"/>
    </row>
    <row r="1063" spans="1:17" s="32" customFormat="1" ht="19.5" customHeight="1">
      <c r="A1063" s="411">
        <v>1257</v>
      </c>
      <c r="B1063" s="412" t="s">
        <v>11148</v>
      </c>
      <c r="C1063" s="413"/>
      <c r="D1063" s="413"/>
      <c r="E1063" s="413" t="s">
        <v>11149</v>
      </c>
      <c r="F1063" s="411" t="s">
        <v>11150</v>
      </c>
      <c r="G1063" s="411" t="s">
        <v>6694</v>
      </c>
      <c r="H1063" s="411" t="s">
        <v>11151</v>
      </c>
      <c r="I1063" s="411" t="s">
        <v>11</v>
      </c>
      <c r="J1063" s="411" t="s">
        <v>10612</v>
      </c>
      <c r="K1063" s="414">
        <v>388</v>
      </c>
      <c r="L1063" s="415">
        <v>5998</v>
      </c>
      <c r="M1063" s="414"/>
      <c r="N1063" s="414"/>
      <c r="O1063" s="414"/>
      <c r="P1063" s="414"/>
      <c r="Q1063" s="414"/>
    </row>
    <row r="1064" spans="1:17" s="32" customFormat="1" ht="19.5" customHeight="1">
      <c r="A1064" s="411">
        <v>1259</v>
      </c>
      <c r="B1064" s="412" t="s">
        <v>11152</v>
      </c>
      <c r="C1064" s="413"/>
      <c r="D1064" s="413"/>
      <c r="E1064" s="413" t="s">
        <v>11153</v>
      </c>
      <c r="F1064" s="411" t="s">
        <v>11150</v>
      </c>
      <c r="G1064" s="411" t="s">
        <v>213</v>
      </c>
      <c r="H1064" s="411" t="s">
        <v>11151</v>
      </c>
      <c r="I1064" s="411" t="s">
        <v>10</v>
      </c>
      <c r="J1064" s="411" t="s">
        <v>553</v>
      </c>
      <c r="K1064" s="414">
        <v>336</v>
      </c>
      <c r="L1064" s="415">
        <v>55</v>
      </c>
      <c r="M1064" s="414"/>
      <c r="N1064" s="414"/>
      <c r="O1064" s="414"/>
      <c r="P1064" s="414"/>
      <c r="Q1064" s="414"/>
    </row>
    <row r="1065" spans="1:17" s="32" customFormat="1" ht="19.5" customHeight="1">
      <c r="A1065" s="411">
        <v>1260</v>
      </c>
      <c r="B1065" s="413" t="s">
        <v>1938</v>
      </c>
      <c r="C1065" s="413"/>
      <c r="D1065" s="413"/>
      <c r="E1065" s="413" t="s">
        <v>11154</v>
      </c>
      <c r="F1065" s="411" t="s">
        <v>3424</v>
      </c>
      <c r="G1065" s="411" t="s">
        <v>213</v>
      </c>
      <c r="H1065" s="411" t="s">
        <v>2591</v>
      </c>
      <c r="I1065" s="411" t="s">
        <v>10545</v>
      </c>
      <c r="J1065" s="411" t="s">
        <v>10784</v>
      </c>
      <c r="K1065" s="414">
        <v>3570</v>
      </c>
      <c r="L1065" s="415">
        <v>0</v>
      </c>
      <c r="M1065" s="414"/>
      <c r="N1065" s="414"/>
      <c r="O1065" s="414"/>
      <c r="P1065" s="414"/>
      <c r="Q1065" s="414"/>
    </row>
    <row r="1066" spans="1:17" s="32" customFormat="1" ht="19.5" customHeight="1">
      <c r="A1066" s="411">
        <v>1261</v>
      </c>
      <c r="B1066" s="412" t="s">
        <v>2592</v>
      </c>
      <c r="C1066" s="413"/>
      <c r="D1066" s="413"/>
      <c r="E1066" s="413" t="s">
        <v>3426</v>
      </c>
      <c r="F1066" s="411" t="s">
        <v>11155</v>
      </c>
      <c r="G1066" s="411" t="s">
        <v>213</v>
      </c>
      <c r="H1066" s="411" t="s">
        <v>225</v>
      </c>
      <c r="I1066" s="411" t="s">
        <v>11</v>
      </c>
      <c r="J1066" s="411" t="s">
        <v>9063</v>
      </c>
      <c r="K1066" s="414">
        <v>515</v>
      </c>
      <c r="L1066" s="415">
        <v>36</v>
      </c>
      <c r="M1066" s="414"/>
      <c r="N1066" s="414"/>
      <c r="O1066" s="414"/>
      <c r="P1066" s="414"/>
      <c r="Q1066" s="414"/>
    </row>
    <row r="1067" spans="1:17" s="32" customFormat="1" ht="19.5" customHeight="1">
      <c r="A1067" s="411">
        <v>1262</v>
      </c>
      <c r="B1067" s="412" t="s">
        <v>2592</v>
      </c>
      <c r="C1067" s="413"/>
      <c r="D1067" s="413"/>
      <c r="E1067" s="413" t="s">
        <v>11156</v>
      </c>
      <c r="F1067" s="411" t="s">
        <v>1940</v>
      </c>
      <c r="G1067" s="411" t="s">
        <v>6694</v>
      </c>
      <c r="H1067" s="411" t="s">
        <v>225</v>
      </c>
      <c r="I1067" s="411" t="s">
        <v>11</v>
      </c>
      <c r="J1067" s="411" t="s">
        <v>9063</v>
      </c>
      <c r="K1067" s="414">
        <v>504</v>
      </c>
      <c r="L1067" s="415">
        <v>1760</v>
      </c>
      <c r="M1067" s="414"/>
      <c r="N1067" s="414"/>
      <c r="O1067" s="414"/>
      <c r="P1067" s="414"/>
      <c r="Q1067" s="414"/>
    </row>
    <row r="1068" spans="1:17" s="32" customFormat="1" ht="19.5" customHeight="1">
      <c r="A1068" s="411">
        <v>1264</v>
      </c>
      <c r="B1068" s="413" t="s">
        <v>3427</v>
      </c>
      <c r="C1068" s="413"/>
      <c r="D1068" s="413"/>
      <c r="E1068" s="413" t="s">
        <v>3428</v>
      </c>
      <c r="F1068" s="411" t="s">
        <v>2302</v>
      </c>
      <c r="G1068" s="411" t="s">
        <v>213</v>
      </c>
      <c r="H1068" s="411" t="s">
        <v>3429</v>
      </c>
      <c r="I1068" s="411" t="s">
        <v>11</v>
      </c>
      <c r="J1068" s="411" t="s">
        <v>9063</v>
      </c>
      <c r="K1068" s="414">
        <v>780</v>
      </c>
      <c r="L1068" s="415">
        <v>8650</v>
      </c>
      <c r="M1068" s="414"/>
      <c r="N1068" s="414"/>
      <c r="O1068" s="414"/>
      <c r="P1068" s="414"/>
      <c r="Q1068" s="414"/>
    </row>
    <row r="1069" spans="1:17" s="32" customFormat="1" ht="19.5" customHeight="1">
      <c r="A1069" s="411">
        <v>1265</v>
      </c>
      <c r="B1069" s="412" t="s">
        <v>11157</v>
      </c>
      <c r="C1069" s="413"/>
      <c r="D1069" s="413"/>
      <c r="E1069" s="413" t="s">
        <v>11158</v>
      </c>
      <c r="F1069" s="411" t="s">
        <v>11159</v>
      </c>
      <c r="G1069" s="411" t="s">
        <v>213</v>
      </c>
      <c r="H1069" s="436" t="s">
        <v>174</v>
      </c>
      <c r="I1069" s="411" t="s">
        <v>13</v>
      </c>
      <c r="J1069" s="411" t="s">
        <v>11160</v>
      </c>
      <c r="K1069" s="414">
        <v>4350</v>
      </c>
      <c r="L1069" s="415">
        <v>0</v>
      </c>
      <c r="M1069" s="414"/>
      <c r="N1069" s="414"/>
      <c r="O1069" s="414"/>
      <c r="P1069" s="414"/>
      <c r="Q1069" s="414"/>
    </row>
    <row r="1070" spans="1:17" s="32" customFormat="1" ht="19.5" customHeight="1">
      <c r="A1070" s="411">
        <v>1266</v>
      </c>
      <c r="B1070" s="413" t="s">
        <v>3430</v>
      </c>
      <c r="C1070" s="413"/>
      <c r="D1070" s="413"/>
      <c r="E1070" s="413" t="s">
        <v>3431</v>
      </c>
      <c r="F1070" s="411" t="s">
        <v>3432</v>
      </c>
      <c r="G1070" s="411" t="s">
        <v>213</v>
      </c>
      <c r="H1070" s="411" t="s">
        <v>174</v>
      </c>
      <c r="I1070" s="411" t="s">
        <v>11</v>
      </c>
      <c r="J1070" s="411" t="s">
        <v>2204</v>
      </c>
      <c r="K1070" s="414">
        <v>2000</v>
      </c>
      <c r="L1070" s="415">
        <v>0</v>
      </c>
      <c r="M1070" s="414"/>
      <c r="N1070" s="414"/>
      <c r="O1070" s="414"/>
      <c r="P1070" s="414"/>
      <c r="Q1070" s="414"/>
    </row>
    <row r="1071" spans="1:17" s="32" customFormat="1" ht="19.5" customHeight="1">
      <c r="A1071" s="411">
        <v>1267</v>
      </c>
      <c r="B1071" s="412" t="s">
        <v>11157</v>
      </c>
      <c r="C1071" s="413"/>
      <c r="D1071" s="413"/>
      <c r="E1071" s="413" t="s">
        <v>11161</v>
      </c>
      <c r="F1071" s="411" t="s">
        <v>3432</v>
      </c>
      <c r="G1071" s="411" t="s">
        <v>6694</v>
      </c>
      <c r="H1071" s="449" t="s">
        <v>11162</v>
      </c>
      <c r="I1071" s="411" t="s">
        <v>11</v>
      </c>
      <c r="J1071" s="411" t="s">
        <v>2204</v>
      </c>
      <c r="K1071" s="414">
        <v>2050</v>
      </c>
      <c r="L1071" s="415">
        <v>0</v>
      </c>
      <c r="M1071" s="414"/>
      <c r="N1071" s="414"/>
      <c r="O1071" s="414"/>
      <c r="P1071" s="414"/>
      <c r="Q1071" s="414"/>
    </row>
    <row r="1072" spans="1:17" s="32" customFormat="1" ht="19.5" customHeight="1">
      <c r="A1072" s="411">
        <v>1270</v>
      </c>
      <c r="B1072" s="413" t="s">
        <v>1307</v>
      </c>
      <c r="C1072" s="413"/>
      <c r="D1072" s="413"/>
      <c r="E1072" s="413" t="s">
        <v>3671</v>
      </c>
      <c r="F1072" s="411" t="s">
        <v>3434</v>
      </c>
      <c r="G1072" s="411" t="s">
        <v>213</v>
      </c>
      <c r="H1072" s="411" t="s">
        <v>327</v>
      </c>
      <c r="I1072" s="411" t="s">
        <v>11</v>
      </c>
      <c r="J1072" s="411" t="s">
        <v>9063</v>
      </c>
      <c r="K1072" s="414">
        <v>62</v>
      </c>
      <c r="L1072" s="415">
        <v>0</v>
      </c>
      <c r="M1072" s="414"/>
      <c r="N1072" s="414"/>
      <c r="O1072" s="414"/>
      <c r="P1072" s="414"/>
      <c r="Q1072" s="414"/>
    </row>
    <row r="1073" spans="1:17" s="32" customFormat="1" ht="19.5" customHeight="1">
      <c r="A1073" s="411">
        <v>1268</v>
      </c>
      <c r="B1073" s="412" t="s">
        <v>1307</v>
      </c>
      <c r="C1073" s="413"/>
      <c r="D1073" s="413"/>
      <c r="E1073" s="413" t="s">
        <v>3671</v>
      </c>
      <c r="F1073" s="411" t="s">
        <v>11163</v>
      </c>
      <c r="G1073" s="411" t="s">
        <v>213</v>
      </c>
      <c r="H1073" s="411" t="s">
        <v>327</v>
      </c>
      <c r="I1073" s="411" t="s">
        <v>11</v>
      </c>
      <c r="J1073" s="411" t="s">
        <v>9063</v>
      </c>
      <c r="K1073" s="414">
        <v>98</v>
      </c>
      <c r="L1073" s="415">
        <v>0</v>
      </c>
      <c r="M1073" s="414"/>
      <c r="N1073" s="414"/>
      <c r="O1073" s="414"/>
      <c r="P1073" s="414"/>
      <c r="Q1073" s="414"/>
    </row>
    <row r="1074" spans="1:17" s="32" customFormat="1" ht="19.5" customHeight="1">
      <c r="A1074" s="411">
        <v>1269</v>
      </c>
      <c r="B1074" s="412" t="s">
        <v>11164</v>
      </c>
      <c r="C1074" s="416"/>
      <c r="D1074" s="416"/>
      <c r="E1074" s="412" t="s">
        <v>3671</v>
      </c>
      <c r="F1074" s="417" t="s">
        <v>3434</v>
      </c>
      <c r="G1074" s="417" t="s">
        <v>6694</v>
      </c>
      <c r="H1074" s="417" t="s">
        <v>327</v>
      </c>
      <c r="I1074" s="417" t="s">
        <v>11</v>
      </c>
      <c r="J1074" s="417" t="s">
        <v>842</v>
      </c>
      <c r="K1074" s="418">
        <v>68</v>
      </c>
      <c r="L1074" s="419">
        <v>2331</v>
      </c>
      <c r="M1074" s="418"/>
      <c r="N1074" s="414"/>
      <c r="O1074" s="414"/>
      <c r="P1074" s="418"/>
      <c r="Q1074" s="418"/>
    </row>
    <row r="1075" spans="1:17" s="32" customFormat="1" ht="19.5" customHeight="1">
      <c r="A1075" s="411">
        <v>1271</v>
      </c>
      <c r="B1075" s="412" t="s">
        <v>11164</v>
      </c>
      <c r="C1075" s="413"/>
      <c r="D1075" s="413"/>
      <c r="E1075" s="413" t="s">
        <v>11165</v>
      </c>
      <c r="F1075" s="411" t="s">
        <v>11166</v>
      </c>
      <c r="G1075" s="411" t="s">
        <v>10055</v>
      </c>
      <c r="H1075" s="411" t="s">
        <v>1004</v>
      </c>
      <c r="I1075" s="411" t="s">
        <v>11</v>
      </c>
      <c r="J1075" s="417" t="s">
        <v>842</v>
      </c>
      <c r="K1075" s="414">
        <v>110</v>
      </c>
      <c r="L1075" s="415">
        <v>4</v>
      </c>
      <c r="M1075" s="414"/>
      <c r="N1075" s="414"/>
      <c r="O1075" s="414"/>
      <c r="P1075" s="414"/>
      <c r="Q1075" s="414"/>
    </row>
    <row r="1076" spans="1:17" s="32" customFormat="1" ht="19.5" customHeight="1">
      <c r="A1076" s="411">
        <v>1272</v>
      </c>
      <c r="B1076" s="412" t="s">
        <v>4371</v>
      </c>
      <c r="C1076" s="413"/>
      <c r="D1076" s="413"/>
      <c r="E1076" s="413" t="s">
        <v>11167</v>
      </c>
      <c r="F1076" s="411" t="s">
        <v>11168</v>
      </c>
      <c r="G1076" s="411" t="s">
        <v>213</v>
      </c>
      <c r="H1076" s="411" t="s">
        <v>258</v>
      </c>
      <c r="I1076" s="411" t="s">
        <v>10</v>
      </c>
      <c r="J1076" s="417" t="s">
        <v>842</v>
      </c>
      <c r="K1076" s="414">
        <v>200</v>
      </c>
      <c r="L1076" s="415">
        <v>0</v>
      </c>
      <c r="M1076" s="414"/>
      <c r="N1076" s="414"/>
      <c r="O1076" s="414"/>
      <c r="P1076" s="414"/>
      <c r="Q1076" s="414"/>
    </row>
    <row r="1077" spans="1:17" s="32" customFormat="1" ht="19.5" customHeight="1">
      <c r="A1077" s="411">
        <v>1273</v>
      </c>
      <c r="B1077" s="412" t="s">
        <v>11169</v>
      </c>
      <c r="C1077" s="413"/>
      <c r="D1077" s="413"/>
      <c r="E1077" s="413" t="s">
        <v>11170</v>
      </c>
      <c r="F1077" s="411" t="s">
        <v>11171</v>
      </c>
      <c r="G1077" s="411" t="s">
        <v>213</v>
      </c>
      <c r="H1077" s="411" t="s">
        <v>258</v>
      </c>
      <c r="I1077" s="411" t="s">
        <v>11</v>
      </c>
      <c r="J1077" s="411" t="s">
        <v>9063</v>
      </c>
      <c r="K1077" s="414">
        <v>168</v>
      </c>
      <c r="L1077" s="415">
        <v>42</v>
      </c>
      <c r="M1077" s="414"/>
      <c r="N1077" s="414"/>
      <c r="O1077" s="414"/>
      <c r="P1077" s="414"/>
      <c r="Q1077" s="414"/>
    </row>
    <row r="1078" spans="1:17" s="32" customFormat="1" ht="19.5" customHeight="1">
      <c r="A1078" s="411">
        <v>1274</v>
      </c>
      <c r="B1078" s="424" t="s">
        <v>11169</v>
      </c>
      <c r="C1078" s="425"/>
      <c r="D1078" s="426"/>
      <c r="E1078" s="427" t="s">
        <v>11172</v>
      </c>
      <c r="F1078" s="425" t="s">
        <v>11173</v>
      </c>
      <c r="G1078" s="428" t="s">
        <v>5116</v>
      </c>
      <c r="H1078" s="425" t="s">
        <v>258</v>
      </c>
      <c r="I1078" s="425" t="s">
        <v>10</v>
      </c>
      <c r="J1078" s="411" t="s">
        <v>9063</v>
      </c>
      <c r="K1078" s="429">
        <v>1636</v>
      </c>
      <c r="L1078" s="430">
        <v>4304</v>
      </c>
      <c r="M1078" s="429"/>
      <c r="N1078" s="414"/>
      <c r="O1078" s="414"/>
      <c r="P1078" s="431"/>
      <c r="Q1078" s="431"/>
    </row>
    <row r="1079" spans="1:17" s="32" customFormat="1" ht="19.5" customHeight="1">
      <c r="A1079" s="411">
        <v>1276</v>
      </c>
      <c r="B1079" s="413" t="s">
        <v>4374</v>
      </c>
      <c r="C1079" s="413"/>
      <c r="D1079" s="413"/>
      <c r="E1079" s="413" t="s">
        <v>1138</v>
      </c>
      <c r="F1079" s="411" t="s">
        <v>1139</v>
      </c>
      <c r="G1079" s="411" t="s">
        <v>213</v>
      </c>
      <c r="H1079" s="411" t="s">
        <v>248</v>
      </c>
      <c r="I1079" s="411" t="s">
        <v>11</v>
      </c>
      <c r="J1079" s="411" t="s">
        <v>9063</v>
      </c>
      <c r="K1079" s="414">
        <v>157</v>
      </c>
      <c r="L1079" s="415">
        <v>916</v>
      </c>
      <c r="M1079" s="414"/>
      <c r="N1079" s="414"/>
      <c r="O1079" s="414"/>
      <c r="P1079" s="414"/>
      <c r="Q1079" s="414"/>
    </row>
    <row r="1080" spans="1:17" s="32" customFormat="1" ht="19.5" customHeight="1">
      <c r="A1080" s="411">
        <v>1275</v>
      </c>
      <c r="B1080" s="412" t="s">
        <v>11174</v>
      </c>
      <c r="C1080" s="413"/>
      <c r="D1080" s="413"/>
      <c r="E1080" s="413" t="s">
        <v>1138</v>
      </c>
      <c r="F1080" s="411" t="s">
        <v>11175</v>
      </c>
      <c r="G1080" s="411" t="s">
        <v>213</v>
      </c>
      <c r="H1080" s="411" t="s">
        <v>248</v>
      </c>
      <c r="I1080" s="411" t="s">
        <v>11</v>
      </c>
      <c r="J1080" s="411" t="s">
        <v>9063</v>
      </c>
      <c r="K1080" s="414">
        <v>147</v>
      </c>
      <c r="L1080" s="415">
        <v>2</v>
      </c>
      <c r="M1080" s="414"/>
      <c r="N1080" s="414"/>
      <c r="O1080" s="414"/>
      <c r="P1080" s="414"/>
      <c r="Q1080" s="414"/>
    </row>
    <row r="1081" spans="1:17" s="32" customFormat="1" ht="19.5" customHeight="1">
      <c r="A1081" s="411">
        <v>1277</v>
      </c>
      <c r="B1081" s="412" t="s">
        <v>11176</v>
      </c>
      <c r="C1081" s="413"/>
      <c r="D1081" s="413"/>
      <c r="E1081" s="413" t="s">
        <v>11177</v>
      </c>
      <c r="F1081" s="411" t="s">
        <v>11178</v>
      </c>
      <c r="G1081" s="411" t="s">
        <v>212</v>
      </c>
      <c r="H1081" s="417" t="s">
        <v>11179</v>
      </c>
      <c r="I1081" s="411" t="s">
        <v>11</v>
      </c>
      <c r="J1081" s="411" t="s">
        <v>9063</v>
      </c>
      <c r="K1081" s="414">
        <v>460</v>
      </c>
      <c r="L1081" s="415">
        <v>1297</v>
      </c>
      <c r="M1081" s="414"/>
      <c r="N1081" s="414"/>
      <c r="O1081" s="414"/>
      <c r="P1081" s="414"/>
      <c r="Q1081" s="414"/>
    </row>
    <row r="1082" spans="1:17" s="32" customFormat="1" ht="19.5" customHeight="1">
      <c r="A1082" s="411">
        <v>1278</v>
      </c>
      <c r="B1082" s="412" t="s">
        <v>11061</v>
      </c>
      <c r="C1082" s="421"/>
      <c r="D1082" s="421"/>
      <c r="E1082" s="420" t="s">
        <v>11180</v>
      </c>
      <c r="F1082" s="417" t="s">
        <v>11181</v>
      </c>
      <c r="G1082" s="417" t="s">
        <v>6694</v>
      </c>
      <c r="H1082" s="436" t="s">
        <v>11063</v>
      </c>
      <c r="I1082" s="417" t="s">
        <v>9655</v>
      </c>
      <c r="J1082" s="417" t="s">
        <v>10125</v>
      </c>
      <c r="K1082" s="434">
        <v>15450</v>
      </c>
      <c r="L1082" s="435">
        <v>860</v>
      </c>
      <c r="M1082" s="434"/>
      <c r="N1082" s="414"/>
      <c r="O1082" s="414"/>
      <c r="P1082" s="418"/>
      <c r="Q1082" s="418"/>
    </row>
    <row r="1083" spans="1:17" s="32" customFormat="1" ht="19.5" customHeight="1">
      <c r="A1083" s="411">
        <v>1279</v>
      </c>
      <c r="B1083" s="413" t="s">
        <v>11182</v>
      </c>
      <c r="C1083" s="413"/>
      <c r="D1083" s="413"/>
      <c r="E1083" s="413" t="s">
        <v>3436</v>
      </c>
      <c r="F1083" s="411" t="s">
        <v>3437</v>
      </c>
      <c r="G1083" s="411" t="s">
        <v>213</v>
      </c>
      <c r="H1083" s="451" t="s">
        <v>11183</v>
      </c>
      <c r="I1083" s="411" t="s">
        <v>15</v>
      </c>
      <c r="J1083" s="411" t="s">
        <v>10133</v>
      </c>
      <c r="K1083" s="414">
        <v>28500</v>
      </c>
      <c r="L1083" s="415">
        <v>0</v>
      </c>
      <c r="M1083" s="414"/>
      <c r="N1083" s="414"/>
      <c r="O1083" s="414"/>
      <c r="P1083" s="414"/>
      <c r="Q1083" s="414"/>
    </row>
    <row r="1084" spans="1:17" s="32" customFormat="1" ht="19.5" customHeight="1">
      <c r="A1084" s="411">
        <v>1280</v>
      </c>
      <c r="B1084" s="412" t="s">
        <v>11184</v>
      </c>
      <c r="C1084" s="413"/>
      <c r="D1084" s="413"/>
      <c r="E1084" s="413" t="s">
        <v>11185</v>
      </c>
      <c r="F1084" s="411" t="s">
        <v>3440</v>
      </c>
      <c r="G1084" s="411" t="s">
        <v>6694</v>
      </c>
      <c r="H1084" s="436" t="s">
        <v>3399</v>
      </c>
      <c r="I1084" s="411" t="s">
        <v>18</v>
      </c>
      <c r="J1084" s="411" t="s">
        <v>10133</v>
      </c>
      <c r="K1084" s="414">
        <v>21000</v>
      </c>
      <c r="L1084" s="415">
        <v>1245</v>
      </c>
      <c r="M1084" s="414"/>
      <c r="N1084" s="414"/>
      <c r="O1084" s="414"/>
      <c r="P1084" s="414"/>
      <c r="Q1084" s="414"/>
    </row>
    <row r="1085" spans="1:17" s="32" customFormat="1" ht="19.5" customHeight="1">
      <c r="A1085" s="411">
        <v>1282</v>
      </c>
      <c r="B1085" s="412" t="s">
        <v>11184</v>
      </c>
      <c r="C1085" s="413"/>
      <c r="D1085" s="413"/>
      <c r="E1085" s="413" t="s">
        <v>187</v>
      </c>
      <c r="F1085" s="411" t="s">
        <v>2431</v>
      </c>
      <c r="G1085" s="411" t="s">
        <v>6694</v>
      </c>
      <c r="H1085" s="449" t="s">
        <v>11186</v>
      </c>
      <c r="I1085" s="411" t="s">
        <v>18</v>
      </c>
      <c r="J1085" s="411" t="s">
        <v>10133</v>
      </c>
      <c r="K1085" s="414">
        <v>21000</v>
      </c>
      <c r="L1085" s="415">
        <v>1676</v>
      </c>
      <c r="M1085" s="414"/>
      <c r="N1085" s="414"/>
      <c r="O1085" s="414"/>
      <c r="P1085" s="414"/>
      <c r="Q1085" s="414"/>
    </row>
    <row r="1086" spans="1:17" s="32" customFormat="1" ht="19.5" customHeight="1">
      <c r="A1086" s="411">
        <v>1284</v>
      </c>
      <c r="B1086" s="413" t="s">
        <v>11187</v>
      </c>
      <c r="C1086" s="413"/>
      <c r="D1086" s="413"/>
      <c r="E1086" s="413" t="s">
        <v>188</v>
      </c>
      <c r="F1086" s="411" t="s">
        <v>2305</v>
      </c>
      <c r="G1086" s="411" t="s">
        <v>213</v>
      </c>
      <c r="H1086" s="411" t="s">
        <v>11188</v>
      </c>
      <c r="I1086" s="411" t="s">
        <v>11</v>
      </c>
      <c r="J1086" s="411" t="s">
        <v>9063</v>
      </c>
      <c r="K1086" s="414">
        <v>1200</v>
      </c>
      <c r="L1086" s="415">
        <v>9600</v>
      </c>
      <c r="M1086" s="414"/>
      <c r="N1086" s="414"/>
      <c r="O1086" s="414"/>
      <c r="P1086" s="414"/>
      <c r="Q1086" s="414"/>
    </row>
    <row r="1087" spans="1:17" s="32" customFormat="1" ht="19.5" customHeight="1">
      <c r="A1087" s="411">
        <v>1285</v>
      </c>
      <c r="B1087" s="412" t="s">
        <v>11189</v>
      </c>
      <c r="C1087" s="413"/>
      <c r="D1087" s="413"/>
      <c r="E1087" s="413" t="s">
        <v>11190</v>
      </c>
      <c r="F1087" s="411" t="s">
        <v>11191</v>
      </c>
      <c r="G1087" s="411" t="s">
        <v>213</v>
      </c>
      <c r="H1087" s="411" t="s">
        <v>225</v>
      </c>
      <c r="I1087" s="411" t="s">
        <v>11</v>
      </c>
      <c r="J1087" s="411" t="s">
        <v>9063</v>
      </c>
      <c r="K1087" s="414">
        <v>882</v>
      </c>
      <c r="L1087" s="415">
        <v>0</v>
      </c>
      <c r="M1087" s="414"/>
      <c r="N1087" s="414"/>
      <c r="O1087" s="414"/>
      <c r="P1087" s="414"/>
      <c r="Q1087" s="414"/>
    </row>
    <row r="1088" spans="1:17" s="32" customFormat="1" ht="19.5" customHeight="1">
      <c r="A1088" s="411">
        <v>1286</v>
      </c>
      <c r="B1088" s="412" t="s">
        <v>11192</v>
      </c>
      <c r="C1088" s="416"/>
      <c r="D1088" s="416"/>
      <c r="E1088" s="412" t="s">
        <v>11193</v>
      </c>
      <c r="F1088" s="417" t="s">
        <v>11194</v>
      </c>
      <c r="G1088" s="417" t="s">
        <v>6694</v>
      </c>
      <c r="H1088" s="417" t="s">
        <v>2579</v>
      </c>
      <c r="I1088" s="417" t="s">
        <v>10</v>
      </c>
      <c r="J1088" s="417" t="s">
        <v>9063</v>
      </c>
      <c r="K1088" s="418">
        <v>469</v>
      </c>
      <c r="L1088" s="419">
        <v>0</v>
      </c>
      <c r="M1088" s="418"/>
      <c r="N1088" s="414"/>
      <c r="O1088" s="414"/>
      <c r="P1088" s="418"/>
      <c r="Q1088" s="418"/>
    </row>
    <row r="1089" spans="1:17" s="32" customFormat="1" ht="19.5" customHeight="1">
      <c r="A1089" s="411">
        <v>1287</v>
      </c>
      <c r="B1089" s="412" t="s">
        <v>11195</v>
      </c>
      <c r="C1089" s="416"/>
      <c r="D1089" s="416"/>
      <c r="E1089" s="412" t="s">
        <v>191</v>
      </c>
      <c r="F1089" s="417" t="s">
        <v>11196</v>
      </c>
      <c r="G1089" s="417" t="s">
        <v>6694</v>
      </c>
      <c r="H1089" s="436" t="s">
        <v>11197</v>
      </c>
      <c r="I1089" s="417" t="s">
        <v>11</v>
      </c>
      <c r="J1089" s="417" t="s">
        <v>804</v>
      </c>
      <c r="K1089" s="434">
        <v>1930</v>
      </c>
      <c r="L1089" s="435">
        <v>12850</v>
      </c>
      <c r="M1089" s="434"/>
      <c r="N1089" s="414"/>
      <c r="O1089" s="414"/>
      <c r="P1089" s="418"/>
      <c r="Q1089" s="418"/>
    </row>
    <row r="1090" spans="1:17" s="32" customFormat="1" ht="19.5" customHeight="1">
      <c r="A1090" s="411">
        <v>1288</v>
      </c>
      <c r="B1090" s="413" t="s">
        <v>11198</v>
      </c>
      <c r="C1090" s="413"/>
      <c r="D1090" s="413"/>
      <c r="E1090" s="413" t="s">
        <v>191</v>
      </c>
      <c r="F1090" s="411" t="s">
        <v>11196</v>
      </c>
      <c r="G1090" s="411" t="s">
        <v>213</v>
      </c>
      <c r="H1090" s="411" t="s">
        <v>11197</v>
      </c>
      <c r="I1090" s="411" t="s">
        <v>10</v>
      </c>
      <c r="J1090" s="417" t="s">
        <v>804</v>
      </c>
      <c r="K1090" s="414">
        <v>2290</v>
      </c>
      <c r="L1090" s="415">
        <v>0</v>
      </c>
      <c r="M1090" s="414"/>
      <c r="N1090" s="414"/>
      <c r="O1090" s="414"/>
      <c r="P1090" s="414"/>
      <c r="Q1090" s="414"/>
    </row>
    <row r="1091" spans="1:17" s="32" customFormat="1" ht="19.5" customHeight="1">
      <c r="A1091" s="411">
        <v>1289</v>
      </c>
      <c r="B1091" s="420" t="s">
        <v>11199</v>
      </c>
      <c r="C1091" s="421"/>
      <c r="D1091" s="421"/>
      <c r="E1091" s="412" t="s">
        <v>11200</v>
      </c>
      <c r="F1091" s="417" t="s">
        <v>11201</v>
      </c>
      <c r="G1091" s="417" t="s">
        <v>6694</v>
      </c>
      <c r="H1091" s="417" t="s">
        <v>4499</v>
      </c>
      <c r="I1091" s="417" t="s">
        <v>658</v>
      </c>
      <c r="J1091" s="417" t="s">
        <v>11202</v>
      </c>
      <c r="K1091" s="418">
        <v>5460</v>
      </c>
      <c r="L1091" s="419">
        <v>0</v>
      </c>
      <c r="M1091" s="418"/>
      <c r="N1091" s="414"/>
      <c r="O1091" s="414"/>
      <c r="P1091" s="418"/>
      <c r="Q1091" s="418"/>
    </row>
    <row r="1092" spans="1:17" s="32" customFormat="1" ht="19.5" customHeight="1">
      <c r="A1092" s="411">
        <v>1290</v>
      </c>
      <c r="B1092" s="412" t="s">
        <v>3444</v>
      </c>
      <c r="C1092" s="413"/>
      <c r="D1092" s="413"/>
      <c r="E1092" s="413" t="s">
        <v>3445</v>
      </c>
      <c r="F1092" s="411" t="s">
        <v>3446</v>
      </c>
      <c r="G1092" s="411" t="s">
        <v>5188</v>
      </c>
      <c r="H1092" s="411" t="s">
        <v>3448</v>
      </c>
      <c r="I1092" s="411" t="s">
        <v>14</v>
      </c>
      <c r="J1092" s="411" t="s">
        <v>3449</v>
      </c>
      <c r="K1092" s="414">
        <v>45099</v>
      </c>
      <c r="L1092" s="415">
        <v>4</v>
      </c>
      <c r="M1092" s="414"/>
      <c r="N1092" s="414"/>
      <c r="O1092" s="414"/>
      <c r="P1092" s="414"/>
      <c r="Q1092" s="414"/>
    </row>
    <row r="1093" spans="1:17" s="32" customFormat="1" ht="19.5" customHeight="1">
      <c r="A1093" s="411">
        <v>1292</v>
      </c>
      <c r="B1093" s="413" t="s">
        <v>1510</v>
      </c>
      <c r="C1093" s="413"/>
      <c r="D1093" s="413"/>
      <c r="E1093" s="413" t="s">
        <v>11203</v>
      </c>
      <c r="F1093" s="411" t="s">
        <v>3451</v>
      </c>
      <c r="G1093" s="411" t="s">
        <v>5188</v>
      </c>
      <c r="H1093" s="411" t="s">
        <v>3452</v>
      </c>
      <c r="I1093" s="411" t="s">
        <v>658</v>
      </c>
      <c r="J1093" s="411" t="s">
        <v>3449</v>
      </c>
      <c r="K1093" s="414">
        <v>40000</v>
      </c>
      <c r="L1093" s="415">
        <v>60</v>
      </c>
      <c r="M1093" s="414"/>
      <c r="N1093" s="414"/>
      <c r="O1093" s="414"/>
      <c r="P1093" s="414"/>
      <c r="Q1093" s="414"/>
    </row>
    <row r="1094" spans="1:17" s="32" customFormat="1" ht="19.5" customHeight="1">
      <c r="A1094" s="411">
        <v>1293</v>
      </c>
      <c r="B1094" s="412" t="s">
        <v>1220</v>
      </c>
      <c r="C1094" s="413"/>
      <c r="D1094" s="413"/>
      <c r="E1094" s="413" t="s">
        <v>11204</v>
      </c>
      <c r="F1094" s="411" t="s">
        <v>11205</v>
      </c>
      <c r="G1094" s="411" t="s">
        <v>6694</v>
      </c>
      <c r="H1094" s="411" t="s">
        <v>229</v>
      </c>
      <c r="I1094" s="411" t="s">
        <v>11</v>
      </c>
      <c r="J1094" s="411" t="s">
        <v>2917</v>
      </c>
      <c r="K1094" s="414">
        <v>280</v>
      </c>
      <c r="L1094" s="415">
        <v>0</v>
      </c>
      <c r="M1094" s="414"/>
      <c r="N1094" s="414"/>
      <c r="O1094" s="414"/>
      <c r="P1094" s="414"/>
      <c r="Q1094" s="414"/>
    </row>
    <row r="1095" spans="1:17" s="32" customFormat="1" ht="19.5" customHeight="1">
      <c r="A1095" s="411">
        <v>1296</v>
      </c>
      <c r="B1095" s="413" t="s">
        <v>11206</v>
      </c>
      <c r="C1095" s="413"/>
      <c r="D1095" s="413"/>
      <c r="E1095" s="413" t="s">
        <v>827</v>
      </c>
      <c r="F1095" s="411" t="s">
        <v>828</v>
      </c>
      <c r="G1095" s="411" t="s">
        <v>213</v>
      </c>
      <c r="H1095" s="411" t="s">
        <v>11207</v>
      </c>
      <c r="I1095" s="411" t="s">
        <v>11</v>
      </c>
      <c r="J1095" s="411" t="s">
        <v>2204</v>
      </c>
      <c r="K1095" s="414">
        <v>185</v>
      </c>
      <c r="L1095" s="415">
        <v>4800</v>
      </c>
      <c r="M1095" s="414"/>
      <c r="N1095" s="414"/>
      <c r="O1095" s="414"/>
      <c r="P1095" s="414"/>
      <c r="Q1095" s="414"/>
    </row>
    <row r="1096" spans="1:17" s="32" customFormat="1" ht="19.5" customHeight="1">
      <c r="A1096" s="411">
        <v>1295</v>
      </c>
      <c r="B1096" s="412" t="s">
        <v>11208</v>
      </c>
      <c r="C1096" s="416"/>
      <c r="D1096" s="416"/>
      <c r="E1096" s="412" t="s">
        <v>827</v>
      </c>
      <c r="F1096" s="417" t="s">
        <v>828</v>
      </c>
      <c r="G1096" s="417" t="s">
        <v>6694</v>
      </c>
      <c r="H1096" s="417" t="s">
        <v>11209</v>
      </c>
      <c r="I1096" s="417" t="s">
        <v>11</v>
      </c>
      <c r="J1096" s="417" t="s">
        <v>9063</v>
      </c>
      <c r="K1096" s="418">
        <v>193</v>
      </c>
      <c r="L1096" s="419">
        <v>1114</v>
      </c>
      <c r="M1096" s="418"/>
      <c r="N1096" s="414"/>
      <c r="O1096" s="414"/>
      <c r="P1096" s="418"/>
      <c r="Q1096" s="418"/>
    </row>
    <row r="1097" spans="1:17" s="32" customFormat="1" ht="19.5" customHeight="1">
      <c r="A1097" s="411">
        <v>1297</v>
      </c>
      <c r="B1097" s="413" t="s">
        <v>493</v>
      </c>
      <c r="C1097" s="413"/>
      <c r="D1097" s="413"/>
      <c r="E1097" s="413" t="s">
        <v>11210</v>
      </c>
      <c r="F1097" s="411" t="s">
        <v>11211</v>
      </c>
      <c r="G1097" s="411" t="s">
        <v>5121</v>
      </c>
      <c r="H1097" s="411" t="s">
        <v>429</v>
      </c>
      <c r="I1097" s="411" t="s">
        <v>658</v>
      </c>
      <c r="J1097" s="417" t="s">
        <v>9063</v>
      </c>
      <c r="K1097" s="414">
        <v>26500</v>
      </c>
      <c r="L1097" s="415">
        <v>251</v>
      </c>
      <c r="M1097" s="414"/>
      <c r="N1097" s="414"/>
      <c r="O1097" s="414"/>
      <c r="P1097" s="414"/>
      <c r="Q1097" s="414"/>
    </row>
    <row r="1098" spans="1:17" s="32" customFormat="1" ht="19.5" customHeight="1">
      <c r="A1098" s="411">
        <v>1299</v>
      </c>
      <c r="B1098" s="413" t="s">
        <v>365</v>
      </c>
      <c r="C1098" s="413"/>
      <c r="D1098" s="413"/>
      <c r="E1098" s="413" t="s">
        <v>11212</v>
      </c>
      <c r="F1098" s="411" t="s">
        <v>11213</v>
      </c>
      <c r="G1098" s="411" t="s">
        <v>9075</v>
      </c>
      <c r="H1098" s="411" t="s">
        <v>238</v>
      </c>
      <c r="I1098" s="411" t="s">
        <v>11</v>
      </c>
      <c r="J1098" s="417" t="s">
        <v>9063</v>
      </c>
      <c r="K1098" s="414">
        <v>2100</v>
      </c>
      <c r="L1098" s="415">
        <v>0</v>
      </c>
      <c r="M1098" s="414"/>
      <c r="N1098" s="414"/>
      <c r="O1098" s="414"/>
      <c r="P1098" s="414"/>
      <c r="Q1098" s="414"/>
    </row>
    <row r="1099" spans="1:17" s="32" customFormat="1" ht="19.5" customHeight="1">
      <c r="A1099" s="411">
        <v>1298</v>
      </c>
      <c r="B1099" s="420" t="s">
        <v>9223</v>
      </c>
      <c r="C1099" s="421"/>
      <c r="D1099" s="421"/>
      <c r="E1099" s="412" t="s">
        <v>11212</v>
      </c>
      <c r="F1099" s="417" t="s">
        <v>11213</v>
      </c>
      <c r="G1099" s="417" t="s">
        <v>9075</v>
      </c>
      <c r="H1099" s="417" t="s">
        <v>238</v>
      </c>
      <c r="I1099" s="417" t="s">
        <v>10</v>
      </c>
      <c r="J1099" s="417" t="s">
        <v>9063</v>
      </c>
      <c r="K1099" s="418">
        <v>2700</v>
      </c>
      <c r="L1099" s="419">
        <v>4952</v>
      </c>
      <c r="M1099" s="418"/>
      <c r="N1099" s="414"/>
      <c r="O1099" s="414"/>
      <c r="P1099" s="418"/>
      <c r="Q1099" s="418"/>
    </row>
    <row r="1100" spans="1:17" s="32" customFormat="1" ht="19.5" customHeight="1">
      <c r="A1100" s="411">
        <v>1300</v>
      </c>
      <c r="B1100" s="413" t="s">
        <v>11214</v>
      </c>
      <c r="C1100" s="413"/>
      <c r="D1100" s="413"/>
      <c r="E1100" s="413" t="s">
        <v>11215</v>
      </c>
      <c r="F1100" s="411" t="s">
        <v>3458</v>
      </c>
      <c r="G1100" s="411" t="s">
        <v>213</v>
      </c>
      <c r="H1100" s="411" t="s">
        <v>2558</v>
      </c>
      <c r="I1100" s="411" t="s">
        <v>13</v>
      </c>
      <c r="J1100" s="411" t="s">
        <v>11216</v>
      </c>
      <c r="K1100" s="414">
        <v>784</v>
      </c>
      <c r="L1100" s="415">
        <v>3000</v>
      </c>
      <c r="M1100" s="414"/>
      <c r="N1100" s="414"/>
      <c r="O1100" s="414"/>
      <c r="P1100" s="414"/>
      <c r="Q1100" s="414"/>
    </row>
    <row r="1101" spans="1:17" s="32" customFormat="1" ht="19.5" customHeight="1">
      <c r="A1101" s="411">
        <v>1301</v>
      </c>
      <c r="B1101" s="412" t="s">
        <v>11217</v>
      </c>
      <c r="C1101" s="413"/>
      <c r="D1101" s="413"/>
      <c r="E1101" s="413" t="s">
        <v>11218</v>
      </c>
      <c r="F1101" s="411" t="s">
        <v>11219</v>
      </c>
      <c r="G1101" s="411" t="s">
        <v>212</v>
      </c>
      <c r="H1101" s="417" t="s">
        <v>156</v>
      </c>
      <c r="I1101" s="411" t="s">
        <v>13</v>
      </c>
      <c r="J1101" s="411" t="s">
        <v>9063</v>
      </c>
      <c r="K1101" s="414">
        <v>6000</v>
      </c>
      <c r="L1101" s="415">
        <v>0</v>
      </c>
      <c r="M1101" s="414"/>
      <c r="N1101" s="414"/>
      <c r="O1101" s="414"/>
      <c r="P1101" s="414"/>
      <c r="Q1101" s="414"/>
    </row>
    <row r="1102" spans="1:17" s="32" customFormat="1" ht="19.5" customHeight="1">
      <c r="A1102" s="411">
        <v>1302</v>
      </c>
      <c r="B1102" s="420" t="s">
        <v>9321</v>
      </c>
      <c r="C1102" s="421"/>
      <c r="D1102" s="421"/>
      <c r="E1102" s="412" t="s">
        <v>496</v>
      </c>
      <c r="F1102" s="417" t="s">
        <v>497</v>
      </c>
      <c r="G1102" s="417" t="s">
        <v>6694</v>
      </c>
      <c r="H1102" s="417" t="s">
        <v>272</v>
      </c>
      <c r="I1102" s="417" t="s">
        <v>10</v>
      </c>
      <c r="J1102" s="417" t="s">
        <v>538</v>
      </c>
      <c r="K1102" s="418">
        <v>1800</v>
      </c>
      <c r="L1102" s="419">
        <v>3901</v>
      </c>
      <c r="M1102" s="418"/>
      <c r="N1102" s="414"/>
      <c r="O1102" s="414"/>
      <c r="P1102" s="418"/>
      <c r="Q1102" s="418"/>
    </row>
    <row r="1103" spans="1:17" s="32" customFormat="1" ht="19.5" customHeight="1">
      <c r="A1103" s="411">
        <v>1304</v>
      </c>
      <c r="B1103" s="420" t="s">
        <v>9406</v>
      </c>
      <c r="C1103" s="421"/>
      <c r="D1103" s="421"/>
      <c r="E1103" s="412" t="s">
        <v>11220</v>
      </c>
      <c r="F1103" s="417" t="s">
        <v>11221</v>
      </c>
      <c r="G1103" s="417" t="s">
        <v>6527</v>
      </c>
      <c r="H1103" s="417" t="s">
        <v>369</v>
      </c>
      <c r="I1103" s="417" t="s">
        <v>11</v>
      </c>
      <c r="J1103" s="417" t="s">
        <v>642</v>
      </c>
      <c r="K1103" s="418">
        <v>1850</v>
      </c>
      <c r="L1103" s="419">
        <v>0</v>
      </c>
      <c r="M1103" s="418"/>
      <c r="N1103" s="414"/>
      <c r="O1103" s="414"/>
      <c r="P1103" s="418"/>
      <c r="Q1103" s="418"/>
    </row>
    <row r="1104" spans="1:17" s="32" customFormat="1" ht="19.5" customHeight="1">
      <c r="A1104" s="411">
        <v>1303</v>
      </c>
      <c r="B1104" s="412" t="s">
        <v>9406</v>
      </c>
      <c r="C1104" s="413"/>
      <c r="D1104" s="413"/>
      <c r="E1104" s="413" t="s">
        <v>11220</v>
      </c>
      <c r="F1104" s="411" t="s">
        <v>11221</v>
      </c>
      <c r="G1104" s="411" t="s">
        <v>6527</v>
      </c>
      <c r="H1104" s="411" t="s">
        <v>369</v>
      </c>
      <c r="I1104" s="411" t="s">
        <v>11</v>
      </c>
      <c r="J1104" s="411" t="s">
        <v>642</v>
      </c>
      <c r="K1104" s="414">
        <v>2060</v>
      </c>
      <c r="L1104" s="415">
        <v>0</v>
      </c>
      <c r="M1104" s="414"/>
      <c r="N1104" s="414"/>
      <c r="O1104" s="414"/>
      <c r="P1104" s="414"/>
      <c r="Q1104" s="414"/>
    </row>
    <row r="1105" spans="1:17" s="32" customFormat="1" ht="19.5" customHeight="1">
      <c r="A1105" s="411">
        <v>1305</v>
      </c>
      <c r="B1105" s="413" t="s">
        <v>11222</v>
      </c>
      <c r="C1105" s="413"/>
      <c r="D1105" s="413"/>
      <c r="E1105" s="413" t="s">
        <v>11223</v>
      </c>
      <c r="F1105" s="411" t="s">
        <v>11224</v>
      </c>
      <c r="G1105" s="411" t="s">
        <v>213</v>
      </c>
      <c r="H1105" s="411" t="s">
        <v>5053</v>
      </c>
      <c r="I1105" s="411" t="s">
        <v>11</v>
      </c>
      <c r="J1105" s="411" t="s">
        <v>1131</v>
      </c>
      <c r="K1105" s="414">
        <v>428</v>
      </c>
      <c r="L1105" s="415">
        <v>8373</v>
      </c>
      <c r="M1105" s="414"/>
      <c r="N1105" s="414"/>
      <c r="O1105" s="414"/>
      <c r="P1105" s="414"/>
      <c r="Q1105" s="414"/>
    </row>
    <row r="1106" spans="1:17" s="32" customFormat="1" ht="19.5" customHeight="1">
      <c r="A1106" s="411">
        <v>1306</v>
      </c>
      <c r="B1106" s="412" t="s">
        <v>2859</v>
      </c>
      <c r="C1106" s="413"/>
      <c r="D1106" s="413"/>
      <c r="E1106" s="413" t="s">
        <v>11225</v>
      </c>
      <c r="F1106" s="411" t="s">
        <v>11226</v>
      </c>
      <c r="G1106" s="411" t="s">
        <v>213</v>
      </c>
      <c r="H1106" s="411" t="s">
        <v>299</v>
      </c>
      <c r="I1106" s="411" t="s">
        <v>10</v>
      </c>
      <c r="J1106" s="411" t="s">
        <v>2841</v>
      </c>
      <c r="K1106" s="414">
        <v>1199</v>
      </c>
      <c r="L1106" s="415">
        <v>2196</v>
      </c>
      <c r="M1106" s="414"/>
      <c r="N1106" s="414"/>
      <c r="O1106" s="414"/>
      <c r="P1106" s="414"/>
      <c r="Q1106" s="414"/>
    </row>
    <row r="1107" spans="1:17" s="32" customFormat="1" ht="19.5" customHeight="1">
      <c r="A1107" s="411">
        <v>1307</v>
      </c>
      <c r="B1107" s="412" t="s">
        <v>11227</v>
      </c>
      <c r="C1107" s="413"/>
      <c r="D1107" s="413"/>
      <c r="E1107" s="413" t="s">
        <v>4388</v>
      </c>
      <c r="F1107" s="411" t="s">
        <v>11228</v>
      </c>
      <c r="G1107" s="411" t="s">
        <v>6795</v>
      </c>
      <c r="H1107" s="411" t="s">
        <v>11229</v>
      </c>
      <c r="I1107" s="411" t="s">
        <v>12</v>
      </c>
      <c r="J1107" s="411" t="s">
        <v>10042</v>
      </c>
      <c r="K1107" s="414">
        <v>3600</v>
      </c>
      <c r="L1107" s="415">
        <v>8114</v>
      </c>
      <c r="M1107" s="414"/>
      <c r="N1107" s="414"/>
      <c r="O1107" s="414"/>
      <c r="P1107" s="414"/>
      <c r="Q1107" s="414"/>
    </row>
    <row r="1108" spans="1:17" s="32" customFormat="1" ht="19.5" customHeight="1">
      <c r="A1108" s="411">
        <v>1309</v>
      </c>
      <c r="B1108" s="412" t="s">
        <v>3463</v>
      </c>
      <c r="C1108" s="416"/>
      <c r="D1108" s="416"/>
      <c r="E1108" s="412" t="s">
        <v>11230</v>
      </c>
      <c r="F1108" s="417" t="s">
        <v>3465</v>
      </c>
      <c r="G1108" s="417" t="s">
        <v>6694</v>
      </c>
      <c r="H1108" s="417" t="s">
        <v>3467</v>
      </c>
      <c r="I1108" s="417" t="s">
        <v>11</v>
      </c>
      <c r="J1108" s="417" t="s">
        <v>9496</v>
      </c>
      <c r="K1108" s="418">
        <v>2350</v>
      </c>
      <c r="L1108" s="419">
        <v>14</v>
      </c>
      <c r="M1108" s="418"/>
      <c r="N1108" s="414"/>
      <c r="O1108" s="414"/>
      <c r="P1108" s="418"/>
      <c r="Q1108" s="418"/>
    </row>
    <row r="1109" spans="1:17" s="32" customFormat="1" ht="19.5" customHeight="1">
      <c r="A1109" s="411">
        <v>1310</v>
      </c>
      <c r="B1109" s="451" t="s">
        <v>11231</v>
      </c>
      <c r="C1109" s="413"/>
      <c r="D1109" s="413"/>
      <c r="E1109" s="413" t="s">
        <v>11232</v>
      </c>
      <c r="F1109" s="411" t="s">
        <v>11233</v>
      </c>
      <c r="G1109" s="411" t="s">
        <v>213</v>
      </c>
      <c r="H1109" s="451" t="s">
        <v>11234</v>
      </c>
      <c r="I1109" s="411" t="s">
        <v>10</v>
      </c>
      <c r="J1109" s="411" t="s">
        <v>9063</v>
      </c>
      <c r="K1109" s="414">
        <v>1010</v>
      </c>
      <c r="L1109" s="415">
        <v>0</v>
      </c>
      <c r="M1109" s="414"/>
      <c r="N1109" s="414"/>
      <c r="O1109" s="414"/>
      <c r="P1109" s="414"/>
      <c r="Q1109" s="414"/>
    </row>
    <row r="1110" spans="1:17" s="32" customFormat="1" ht="19.5" customHeight="1">
      <c r="A1110" s="411">
        <v>1311</v>
      </c>
      <c r="B1110" s="412" t="s">
        <v>11235</v>
      </c>
      <c r="C1110" s="413"/>
      <c r="D1110" s="413"/>
      <c r="E1110" s="413" t="s">
        <v>11236</v>
      </c>
      <c r="F1110" s="411" t="s">
        <v>11237</v>
      </c>
      <c r="G1110" s="411" t="s">
        <v>213</v>
      </c>
      <c r="H1110" s="411" t="s">
        <v>11238</v>
      </c>
      <c r="I1110" s="411" t="s">
        <v>11</v>
      </c>
      <c r="J1110" s="411" t="s">
        <v>778</v>
      </c>
      <c r="K1110" s="414">
        <v>1750</v>
      </c>
      <c r="L1110" s="415">
        <v>0</v>
      </c>
      <c r="M1110" s="414"/>
      <c r="N1110" s="414"/>
      <c r="O1110" s="414"/>
      <c r="P1110" s="414"/>
      <c r="Q1110" s="414"/>
    </row>
    <row r="1111" spans="1:17" s="32" customFormat="1" ht="19.5" customHeight="1">
      <c r="A1111" s="411">
        <v>1312</v>
      </c>
      <c r="B1111" s="442" t="s">
        <v>9047</v>
      </c>
      <c r="C1111" s="443"/>
      <c r="D1111" s="426"/>
      <c r="E1111" s="427" t="s">
        <v>11239</v>
      </c>
      <c r="F1111" s="425" t="s">
        <v>11240</v>
      </c>
      <c r="G1111" s="428" t="s">
        <v>213</v>
      </c>
      <c r="H1111" s="425" t="s">
        <v>299</v>
      </c>
      <c r="I1111" s="425" t="s">
        <v>10</v>
      </c>
      <c r="J1111" s="428" t="s">
        <v>1517</v>
      </c>
      <c r="K1111" s="429">
        <v>2500</v>
      </c>
      <c r="L1111" s="430">
        <v>400</v>
      </c>
      <c r="M1111" s="429"/>
      <c r="N1111" s="414"/>
      <c r="O1111" s="414"/>
      <c r="P1111" s="431"/>
      <c r="Q1111" s="431"/>
    </row>
    <row r="1112" spans="1:17" s="32" customFormat="1" ht="19.5" customHeight="1">
      <c r="A1112" s="411">
        <v>1313</v>
      </c>
      <c r="B1112" s="412" t="s">
        <v>11241</v>
      </c>
      <c r="C1112" s="416"/>
      <c r="D1112" s="416"/>
      <c r="E1112" s="412" t="s">
        <v>11242</v>
      </c>
      <c r="F1112" s="417" t="s">
        <v>11243</v>
      </c>
      <c r="G1112" s="417" t="s">
        <v>6694</v>
      </c>
      <c r="H1112" s="417" t="s">
        <v>11244</v>
      </c>
      <c r="I1112" s="417" t="s">
        <v>628</v>
      </c>
      <c r="J1112" s="417" t="s">
        <v>11245</v>
      </c>
      <c r="K1112" s="418">
        <v>9828</v>
      </c>
      <c r="L1112" s="419">
        <v>0</v>
      </c>
      <c r="M1112" s="418"/>
      <c r="N1112" s="414"/>
      <c r="O1112" s="414"/>
      <c r="P1112" s="418"/>
      <c r="Q1112" s="418"/>
    </row>
    <row r="1113" spans="1:17" s="32" customFormat="1" ht="19.5" customHeight="1">
      <c r="A1113" s="411">
        <v>1314</v>
      </c>
      <c r="B1113" s="412" t="s">
        <v>11246</v>
      </c>
      <c r="C1113" s="416"/>
      <c r="D1113" s="416"/>
      <c r="E1113" s="412" t="s">
        <v>11247</v>
      </c>
      <c r="F1113" s="417" t="s">
        <v>8916</v>
      </c>
      <c r="G1113" s="417" t="s">
        <v>6694</v>
      </c>
      <c r="H1113" s="417" t="s">
        <v>598</v>
      </c>
      <c r="I1113" s="417" t="s">
        <v>14</v>
      </c>
      <c r="J1113" s="417" t="s">
        <v>11248</v>
      </c>
      <c r="K1113" s="418">
        <v>59808</v>
      </c>
      <c r="L1113" s="419">
        <v>0</v>
      </c>
      <c r="M1113" s="418"/>
      <c r="N1113" s="414"/>
      <c r="O1113" s="414"/>
      <c r="P1113" s="418"/>
      <c r="Q1113" s="418"/>
    </row>
    <row r="1114" spans="1:17" s="32" customFormat="1" ht="19.5" customHeight="1">
      <c r="A1114" s="411">
        <v>1315</v>
      </c>
      <c r="B1114" s="412" t="s">
        <v>11249</v>
      </c>
      <c r="C1114" s="413"/>
      <c r="D1114" s="413"/>
      <c r="E1114" s="413" t="s">
        <v>11250</v>
      </c>
      <c r="F1114" s="411" t="s">
        <v>11251</v>
      </c>
      <c r="G1114" s="411" t="s">
        <v>213</v>
      </c>
      <c r="H1114" s="411" t="s">
        <v>11252</v>
      </c>
      <c r="I1114" s="411" t="s">
        <v>11</v>
      </c>
      <c r="J1114" s="411" t="s">
        <v>2841</v>
      </c>
      <c r="K1114" s="414">
        <v>153</v>
      </c>
      <c r="L1114" s="415">
        <v>91</v>
      </c>
      <c r="M1114" s="414"/>
      <c r="N1114" s="414"/>
      <c r="O1114" s="414"/>
      <c r="P1114" s="414"/>
      <c r="Q1114" s="414"/>
    </row>
    <row r="1115" spans="1:17" s="32" customFormat="1" ht="19.5" customHeight="1">
      <c r="A1115" s="411">
        <v>1316</v>
      </c>
      <c r="B1115" s="412" t="s">
        <v>11253</v>
      </c>
      <c r="C1115" s="413"/>
      <c r="D1115" s="413"/>
      <c r="E1115" s="413" t="s">
        <v>11254</v>
      </c>
      <c r="F1115" s="411" t="s">
        <v>11255</v>
      </c>
      <c r="G1115" s="411" t="s">
        <v>213</v>
      </c>
      <c r="H1115" s="411" t="s">
        <v>11256</v>
      </c>
      <c r="I1115" s="411" t="s">
        <v>11</v>
      </c>
      <c r="J1115" s="411" t="s">
        <v>9063</v>
      </c>
      <c r="K1115" s="414">
        <v>168</v>
      </c>
      <c r="L1115" s="415">
        <v>0</v>
      </c>
      <c r="M1115" s="414"/>
      <c r="N1115" s="414"/>
      <c r="O1115" s="414"/>
      <c r="P1115" s="414"/>
      <c r="Q1115" s="414"/>
    </row>
    <row r="1116" spans="1:17" s="32" customFormat="1" ht="19.5" customHeight="1">
      <c r="A1116" s="411">
        <v>1317</v>
      </c>
      <c r="B1116" s="412" t="s">
        <v>11253</v>
      </c>
      <c r="C1116" s="413"/>
      <c r="D1116" s="413"/>
      <c r="E1116" s="413" t="s">
        <v>11257</v>
      </c>
      <c r="F1116" s="411" t="s">
        <v>11258</v>
      </c>
      <c r="G1116" s="411" t="s">
        <v>6694</v>
      </c>
      <c r="H1116" s="411" t="s">
        <v>11252</v>
      </c>
      <c r="I1116" s="411" t="s">
        <v>10</v>
      </c>
      <c r="J1116" s="411" t="s">
        <v>2917</v>
      </c>
      <c r="K1116" s="414">
        <v>137</v>
      </c>
      <c r="L1116" s="415">
        <v>63</v>
      </c>
      <c r="M1116" s="414"/>
      <c r="N1116" s="414"/>
      <c r="O1116" s="414"/>
      <c r="P1116" s="414"/>
      <c r="Q1116" s="414"/>
    </row>
    <row r="1117" spans="1:17" s="32" customFormat="1" ht="19.5" customHeight="1">
      <c r="A1117" s="411">
        <v>1319</v>
      </c>
      <c r="B1117" s="412" t="s">
        <v>11259</v>
      </c>
      <c r="C1117" s="413"/>
      <c r="D1117" s="413"/>
      <c r="E1117" s="413" t="s">
        <v>11260</v>
      </c>
      <c r="F1117" s="411" t="s">
        <v>11261</v>
      </c>
      <c r="G1117" s="411" t="s">
        <v>213</v>
      </c>
      <c r="H1117" s="411" t="s">
        <v>238</v>
      </c>
      <c r="I1117" s="411" t="s">
        <v>11</v>
      </c>
      <c r="J1117" s="411" t="s">
        <v>9063</v>
      </c>
      <c r="K1117" s="414">
        <v>159</v>
      </c>
      <c r="L1117" s="415">
        <v>0</v>
      </c>
      <c r="M1117" s="414"/>
      <c r="N1117" s="414"/>
      <c r="O1117" s="414"/>
      <c r="P1117" s="414"/>
      <c r="Q1117" s="414"/>
    </row>
    <row r="1118" spans="1:17" s="32" customFormat="1" ht="19.5" customHeight="1">
      <c r="A1118" s="411">
        <v>1320</v>
      </c>
      <c r="B1118" s="442" t="s">
        <v>9047</v>
      </c>
      <c r="C1118" s="443"/>
      <c r="D1118" s="426"/>
      <c r="E1118" s="427" t="s">
        <v>3673</v>
      </c>
      <c r="F1118" s="425" t="s">
        <v>1866</v>
      </c>
      <c r="G1118" s="428" t="s">
        <v>213</v>
      </c>
      <c r="H1118" s="425" t="s">
        <v>258</v>
      </c>
      <c r="I1118" s="425" t="s">
        <v>12</v>
      </c>
      <c r="J1118" s="428" t="s">
        <v>11262</v>
      </c>
      <c r="K1118" s="429">
        <v>419</v>
      </c>
      <c r="L1118" s="430">
        <v>13952</v>
      </c>
      <c r="M1118" s="429"/>
      <c r="N1118" s="414"/>
      <c r="O1118" s="414"/>
      <c r="P1118" s="431"/>
      <c r="Q1118" s="431"/>
    </row>
    <row r="1119" spans="1:17" s="32" customFormat="1" ht="19.5" customHeight="1">
      <c r="A1119" s="411">
        <v>1322</v>
      </c>
      <c r="B1119" s="413" t="s">
        <v>560</v>
      </c>
      <c r="C1119" s="413"/>
      <c r="D1119" s="413"/>
      <c r="E1119" s="413" t="s">
        <v>3674</v>
      </c>
      <c r="F1119" s="411" t="s">
        <v>3471</v>
      </c>
      <c r="G1119" s="411" t="s">
        <v>213</v>
      </c>
      <c r="H1119" s="411" t="s">
        <v>299</v>
      </c>
      <c r="I1119" s="411" t="s">
        <v>13</v>
      </c>
      <c r="J1119" s="428" t="s">
        <v>11262</v>
      </c>
      <c r="K1119" s="414">
        <v>392</v>
      </c>
      <c r="L1119" s="415">
        <v>0</v>
      </c>
      <c r="M1119" s="414"/>
      <c r="N1119" s="414"/>
      <c r="O1119" s="414"/>
      <c r="P1119" s="414"/>
      <c r="Q1119" s="414"/>
    </row>
    <row r="1120" spans="1:17" s="32" customFormat="1" ht="19.5" customHeight="1">
      <c r="A1120" s="411">
        <v>1323</v>
      </c>
      <c r="B1120" s="412" t="s">
        <v>11263</v>
      </c>
      <c r="C1120" s="413"/>
      <c r="D1120" s="413"/>
      <c r="E1120" s="413" t="s">
        <v>11264</v>
      </c>
      <c r="F1120" s="411" t="s">
        <v>3473</v>
      </c>
      <c r="G1120" s="411" t="s">
        <v>213</v>
      </c>
      <c r="H1120" s="411" t="s">
        <v>267</v>
      </c>
      <c r="I1120" s="411" t="s">
        <v>11</v>
      </c>
      <c r="J1120" s="411" t="s">
        <v>1329</v>
      </c>
      <c r="K1120" s="414">
        <v>383</v>
      </c>
      <c r="L1120" s="415">
        <v>0</v>
      </c>
      <c r="M1120" s="414"/>
      <c r="N1120" s="414"/>
      <c r="O1120" s="414"/>
      <c r="P1120" s="414"/>
      <c r="Q1120" s="414"/>
    </row>
    <row r="1121" spans="1:17" s="32" customFormat="1" ht="19.5" customHeight="1">
      <c r="A1121" s="411">
        <v>1324</v>
      </c>
      <c r="B1121" s="412" t="s">
        <v>9814</v>
      </c>
      <c r="C1121" s="416"/>
      <c r="D1121" s="416"/>
      <c r="E1121" s="412" t="s">
        <v>11265</v>
      </c>
      <c r="F1121" s="417" t="s">
        <v>1889</v>
      </c>
      <c r="G1121" s="417" t="s">
        <v>6694</v>
      </c>
      <c r="H1121" s="417" t="s">
        <v>235</v>
      </c>
      <c r="I1121" s="417" t="s">
        <v>10</v>
      </c>
      <c r="J1121" s="417" t="s">
        <v>2204</v>
      </c>
      <c r="K1121" s="418">
        <v>847</v>
      </c>
      <c r="L1121" s="419">
        <v>0</v>
      </c>
      <c r="M1121" s="418"/>
      <c r="N1121" s="414"/>
      <c r="O1121" s="414"/>
      <c r="P1121" s="418"/>
      <c r="Q1121" s="418"/>
    </row>
    <row r="1122" spans="1:17" s="32" customFormat="1" ht="19.5" customHeight="1">
      <c r="A1122" s="411">
        <v>1325</v>
      </c>
      <c r="B1122" s="412" t="s">
        <v>11266</v>
      </c>
      <c r="C1122" s="413"/>
      <c r="D1122" s="413"/>
      <c r="E1122" s="413" t="s">
        <v>11267</v>
      </c>
      <c r="F1122" s="411" t="s">
        <v>11268</v>
      </c>
      <c r="G1122" s="411" t="s">
        <v>213</v>
      </c>
      <c r="H1122" s="411" t="s">
        <v>11269</v>
      </c>
      <c r="I1122" s="411" t="s">
        <v>11</v>
      </c>
      <c r="J1122" s="411" t="s">
        <v>2841</v>
      </c>
      <c r="K1122" s="414">
        <v>220</v>
      </c>
      <c r="L1122" s="415">
        <v>40</v>
      </c>
      <c r="M1122" s="414"/>
      <c r="N1122" s="414"/>
      <c r="O1122" s="414"/>
      <c r="P1122" s="414"/>
      <c r="Q1122" s="414"/>
    </row>
    <row r="1123" spans="1:17" s="32" customFormat="1" ht="19.5" customHeight="1">
      <c r="A1123" s="411">
        <v>1326</v>
      </c>
      <c r="B1123" s="412" t="s">
        <v>11208</v>
      </c>
      <c r="C1123" s="413"/>
      <c r="D1123" s="413"/>
      <c r="E1123" s="413" t="s">
        <v>11270</v>
      </c>
      <c r="F1123" s="411" t="s">
        <v>11271</v>
      </c>
      <c r="G1123" s="411" t="s">
        <v>213</v>
      </c>
      <c r="H1123" s="411" t="s">
        <v>11272</v>
      </c>
      <c r="I1123" s="411" t="s">
        <v>11</v>
      </c>
      <c r="J1123" s="411" t="s">
        <v>1329</v>
      </c>
      <c r="K1123" s="414">
        <v>229</v>
      </c>
      <c r="L1123" s="415">
        <v>808</v>
      </c>
      <c r="M1123" s="414"/>
      <c r="N1123" s="414"/>
      <c r="O1123" s="414"/>
      <c r="P1123" s="414"/>
      <c r="Q1123" s="414"/>
    </row>
    <row r="1124" spans="1:17" s="32" customFormat="1" ht="19.5" customHeight="1">
      <c r="A1124" s="411">
        <v>1327</v>
      </c>
      <c r="B1124" s="412" t="s">
        <v>11273</v>
      </c>
      <c r="C1124" s="413"/>
      <c r="D1124" s="413"/>
      <c r="E1124" s="413" t="s">
        <v>11274</v>
      </c>
      <c r="F1124" s="411" t="s">
        <v>11275</v>
      </c>
      <c r="G1124" s="411" t="s">
        <v>213</v>
      </c>
      <c r="H1124" s="411" t="s">
        <v>11276</v>
      </c>
      <c r="I1124" s="411" t="s">
        <v>11</v>
      </c>
      <c r="J1124" s="411" t="s">
        <v>9063</v>
      </c>
      <c r="K1124" s="414">
        <v>183</v>
      </c>
      <c r="L1124" s="415">
        <v>0</v>
      </c>
      <c r="M1124" s="414"/>
      <c r="N1124" s="414"/>
      <c r="O1124" s="414"/>
      <c r="P1124" s="414"/>
      <c r="Q1124" s="414"/>
    </row>
    <row r="1125" spans="1:17" s="32" customFormat="1" ht="19.5" customHeight="1">
      <c r="A1125" s="411">
        <v>1328</v>
      </c>
      <c r="B1125" s="412" t="s">
        <v>9058</v>
      </c>
      <c r="C1125" s="413"/>
      <c r="D1125" s="413"/>
      <c r="E1125" s="413" t="s">
        <v>11277</v>
      </c>
      <c r="F1125" s="411" t="s">
        <v>11278</v>
      </c>
      <c r="G1125" s="411" t="s">
        <v>6694</v>
      </c>
      <c r="H1125" s="411" t="s">
        <v>225</v>
      </c>
      <c r="I1125" s="411" t="s">
        <v>10</v>
      </c>
      <c r="J1125" s="411" t="s">
        <v>842</v>
      </c>
      <c r="K1125" s="414">
        <v>89</v>
      </c>
      <c r="L1125" s="415">
        <v>111</v>
      </c>
      <c r="M1125" s="414"/>
      <c r="N1125" s="414"/>
      <c r="O1125" s="414"/>
      <c r="P1125" s="414"/>
      <c r="Q1125" s="414"/>
    </row>
    <row r="1126" spans="1:17" s="32" customFormat="1" ht="19.5" customHeight="1">
      <c r="A1126" s="411">
        <v>1329</v>
      </c>
      <c r="B1126" s="442" t="s">
        <v>9058</v>
      </c>
      <c r="C1126" s="443"/>
      <c r="D1126" s="426"/>
      <c r="E1126" s="427" t="s">
        <v>11277</v>
      </c>
      <c r="F1126" s="425" t="s">
        <v>11279</v>
      </c>
      <c r="G1126" s="428" t="s">
        <v>213</v>
      </c>
      <c r="H1126" s="425" t="s">
        <v>225</v>
      </c>
      <c r="I1126" s="425" t="s">
        <v>10</v>
      </c>
      <c r="J1126" s="428" t="s">
        <v>9707</v>
      </c>
      <c r="K1126" s="429">
        <v>89</v>
      </c>
      <c r="L1126" s="430">
        <v>0</v>
      </c>
      <c r="M1126" s="429"/>
      <c r="N1126" s="414"/>
      <c r="O1126" s="414"/>
      <c r="P1126" s="431"/>
      <c r="Q1126" s="431"/>
    </row>
    <row r="1127" spans="1:17" s="32" customFormat="1" ht="19.5" customHeight="1">
      <c r="A1127" s="411">
        <v>1331</v>
      </c>
      <c r="B1127" s="413" t="s">
        <v>11280</v>
      </c>
      <c r="C1127" s="413"/>
      <c r="D1127" s="413"/>
      <c r="E1127" s="413" t="s">
        <v>11281</v>
      </c>
      <c r="F1127" s="411" t="s">
        <v>3476</v>
      </c>
      <c r="G1127" s="411" t="s">
        <v>213</v>
      </c>
      <c r="H1127" s="411" t="s">
        <v>3478</v>
      </c>
      <c r="I1127" s="411" t="s">
        <v>11</v>
      </c>
      <c r="J1127" s="411" t="s">
        <v>10592</v>
      </c>
      <c r="K1127" s="414">
        <v>3750</v>
      </c>
      <c r="L1127" s="415">
        <v>240</v>
      </c>
      <c r="M1127" s="414"/>
      <c r="N1127" s="414"/>
      <c r="O1127" s="414"/>
      <c r="P1127" s="414"/>
      <c r="Q1127" s="414"/>
    </row>
    <row r="1128" spans="1:17" s="32" customFormat="1" ht="19.5" customHeight="1">
      <c r="A1128" s="411">
        <v>1332</v>
      </c>
      <c r="B1128" s="420" t="s">
        <v>9855</v>
      </c>
      <c r="C1128" s="421"/>
      <c r="D1128" s="421"/>
      <c r="E1128" s="412" t="s">
        <v>11282</v>
      </c>
      <c r="F1128" s="417" t="s">
        <v>11283</v>
      </c>
      <c r="G1128" s="417" t="s">
        <v>5717</v>
      </c>
      <c r="H1128" s="417" t="s">
        <v>1304</v>
      </c>
      <c r="I1128" s="417" t="s">
        <v>10</v>
      </c>
      <c r="J1128" s="417" t="s">
        <v>667</v>
      </c>
      <c r="K1128" s="418">
        <v>8400</v>
      </c>
      <c r="L1128" s="419">
        <v>0</v>
      </c>
      <c r="M1128" s="418"/>
      <c r="N1128" s="414"/>
      <c r="O1128" s="414"/>
      <c r="P1128" s="418"/>
      <c r="Q1128" s="418"/>
    </row>
    <row r="1129" spans="1:17" s="32" customFormat="1" ht="19.5" customHeight="1">
      <c r="A1129" s="411">
        <v>1333</v>
      </c>
      <c r="B1129" s="413" t="s">
        <v>1800</v>
      </c>
      <c r="C1129" s="413"/>
      <c r="D1129" s="413"/>
      <c r="E1129" s="413" t="s">
        <v>3675</v>
      </c>
      <c r="F1129" s="411" t="s">
        <v>11284</v>
      </c>
      <c r="G1129" s="411" t="s">
        <v>6012</v>
      </c>
      <c r="H1129" s="411" t="s">
        <v>550</v>
      </c>
      <c r="I1129" s="411" t="s">
        <v>11</v>
      </c>
      <c r="J1129" s="411" t="s">
        <v>815</v>
      </c>
      <c r="K1129" s="414">
        <v>8799</v>
      </c>
      <c r="L1129" s="415">
        <v>2492</v>
      </c>
      <c r="M1129" s="414"/>
      <c r="N1129" s="414"/>
      <c r="O1129" s="414"/>
      <c r="P1129" s="414"/>
      <c r="Q1129" s="414"/>
    </row>
    <row r="1130" spans="1:17" s="32" customFormat="1" ht="19.5" customHeight="1">
      <c r="A1130" s="411">
        <v>1336</v>
      </c>
      <c r="B1130" s="413" t="s">
        <v>1800</v>
      </c>
      <c r="C1130" s="413"/>
      <c r="D1130" s="413"/>
      <c r="E1130" s="413" t="s">
        <v>3676</v>
      </c>
      <c r="F1130" s="411" t="s">
        <v>11285</v>
      </c>
      <c r="G1130" s="411" t="s">
        <v>6012</v>
      </c>
      <c r="H1130" s="411" t="s">
        <v>229</v>
      </c>
      <c r="I1130" s="411" t="s">
        <v>11</v>
      </c>
      <c r="J1130" s="411" t="s">
        <v>815</v>
      </c>
      <c r="K1130" s="414">
        <v>5187</v>
      </c>
      <c r="L1130" s="415">
        <v>4524</v>
      </c>
      <c r="M1130" s="414"/>
      <c r="N1130" s="414"/>
      <c r="O1130" s="414"/>
      <c r="P1130" s="414"/>
      <c r="Q1130" s="414"/>
    </row>
    <row r="1131" spans="1:17" s="32" customFormat="1" ht="19.5" customHeight="1">
      <c r="A1131" s="411">
        <v>1334</v>
      </c>
      <c r="B1131" s="412" t="s">
        <v>11126</v>
      </c>
      <c r="C1131" s="413"/>
      <c r="D1131" s="413"/>
      <c r="E1131" s="413" t="s">
        <v>3676</v>
      </c>
      <c r="F1131" s="411" t="s">
        <v>11286</v>
      </c>
      <c r="G1131" s="411" t="s">
        <v>6012</v>
      </c>
      <c r="H1131" s="411" t="s">
        <v>229</v>
      </c>
      <c r="I1131" s="411" t="s">
        <v>11</v>
      </c>
      <c r="J1131" s="411" t="s">
        <v>815</v>
      </c>
      <c r="K1131" s="414">
        <v>7917</v>
      </c>
      <c r="L1131" s="415">
        <v>0</v>
      </c>
      <c r="M1131" s="414"/>
      <c r="N1131" s="414"/>
      <c r="O1131" s="414"/>
      <c r="P1131" s="414"/>
      <c r="Q1131" s="414"/>
    </row>
    <row r="1132" spans="1:17" s="32" customFormat="1" ht="19.5" customHeight="1">
      <c r="A1132" s="411">
        <v>1337</v>
      </c>
      <c r="B1132" s="412" t="s">
        <v>10840</v>
      </c>
      <c r="C1132" s="413"/>
      <c r="D1132" s="413"/>
      <c r="E1132" s="413" t="s">
        <v>11287</v>
      </c>
      <c r="F1132" s="411" t="s">
        <v>10841</v>
      </c>
      <c r="G1132" s="411" t="s">
        <v>213</v>
      </c>
      <c r="H1132" s="450" t="s">
        <v>10842</v>
      </c>
      <c r="I1132" s="411" t="s">
        <v>11</v>
      </c>
      <c r="J1132" s="411" t="s">
        <v>10592</v>
      </c>
      <c r="K1132" s="414">
        <v>5019</v>
      </c>
      <c r="L1132" s="415">
        <v>0</v>
      </c>
      <c r="M1132" s="414"/>
      <c r="N1132" s="414"/>
      <c r="O1132" s="414"/>
      <c r="P1132" s="414"/>
      <c r="Q1132" s="414"/>
    </row>
    <row r="1133" spans="1:17" s="32" customFormat="1" ht="19.5" customHeight="1">
      <c r="A1133" s="411">
        <v>1338</v>
      </c>
      <c r="B1133" s="412" t="s">
        <v>11288</v>
      </c>
      <c r="C1133" s="413"/>
      <c r="D1133" s="413"/>
      <c r="E1133" s="413" t="s">
        <v>11289</v>
      </c>
      <c r="F1133" s="411" t="s">
        <v>11290</v>
      </c>
      <c r="G1133" s="411" t="s">
        <v>213</v>
      </c>
      <c r="H1133" s="411" t="s">
        <v>235</v>
      </c>
      <c r="I1133" s="411" t="s">
        <v>11</v>
      </c>
      <c r="J1133" s="411" t="s">
        <v>9063</v>
      </c>
      <c r="K1133" s="414">
        <v>420</v>
      </c>
      <c r="L1133" s="415">
        <v>0</v>
      </c>
      <c r="M1133" s="414"/>
      <c r="N1133" s="414"/>
      <c r="O1133" s="414"/>
      <c r="P1133" s="414"/>
      <c r="Q1133" s="414"/>
    </row>
    <row r="1134" spans="1:17" s="32" customFormat="1" ht="19.5" customHeight="1">
      <c r="A1134" s="411">
        <v>1339</v>
      </c>
      <c r="B1134" s="412" t="s">
        <v>11288</v>
      </c>
      <c r="C1134" s="413"/>
      <c r="D1134" s="413"/>
      <c r="E1134" s="413" t="s">
        <v>11291</v>
      </c>
      <c r="F1134" s="411" t="s">
        <v>11292</v>
      </c>
      <c r="G1134" s="411" t="s">
        <v>213</v>
      </c>
      <c r="H1134" s="411" t="s">
        <v>594</v>
      </c>
      <c r="I1134" s="411" t="s">
        <v>11</v>
      </c>
      <c r="J1134" s="411" t="s">
        <v>9063</v>
      </c>
      <c r="K1134" s="414">
        <v>798</v>
      </c>
      <c r="L1134" s="415">
        <v>0</v>
      </c>
      <c r="M1134" s="414"/>
      <c r="N1134" s="414"/>
      <c r="O1134" s="414"/>
      <c r="P1134" s="414"/>
      <c r="Q1134" s="414"/>
    </row>
    <row r="1135" spans="1:17" s="32" customFormat="1" ht="19.5" customHeight="1">
      <c r="A1135" s="411">
        <v>1340</v>
      </c>
      <c r="B1135" s="412" t="s">
        <v>11288</v>
      </c>
      <c r="C1135" s="413"/>
      <c r="D1135" s="413"/>
      <c r="E1135" s="413" t="s">
        <v>11291</v>
      </c>
      <c r="F1135" s="411" t="s">
        <v>11293</v>
      </c>
      <c r="G1135" s="411" t="s">
        <v>213</v>
      </c>
      <c r="H1135" s="411" t="s">
        <v>594</v>
      </c>
      <c r="I1135" s="411" t="s">
        <v>11</v>
      </c>
      <c r="J1135" s="411" t="s">
        <v>9063</v>
      </c>
      <c r="K1135" s="414">
        <v>903</v>
      </c>
      <c r="L1135" s="415">
        <v>0</v>
      </c>
      <c r="M1135" s="414"/>
      <c r="N1135" s="414"/>
      <c r="O1135" s="414"/>
      <c r="P1135" s="414"/>
      <c r="Q1135" s="414"/>
    </row>
    <row r="1136" spans="1:17" s="32" customFormat="1" ht="19.5" customHeight="1">
      <c r="A1136" s="411">
        <v>1341</v>
      </c>
      <c r="B1136" s="413" t="s">
        <v>5042</v>
      </c>
      <c r="C1136" s="413"/>
      <c r="D1136" s="413"/>
      <c r="E1136" s="413" t="s">
        <v>11294</v>
      </c>
      <c r="F1136" s="411" t="s">
        <v>1187</v>
      </c>
      <c r="G1136" s="411" t="s">
        <v>213</v>
      </c>
      <c r="H1136" s="411" t="s">
        <v>1186</v>
      </c>
      <c r="I1136" s="411" t="s">
        <v>11</v>
      </c>
      <c r="J1136" s="411" t="s">
        <v>9063</v>
      </c>
      <c r="K1136" s="414">
        <v>2500</v>
      </c>
      <c r="L1136" s="415">
        <v>0</v>
      </c>
      <c r="M1136" s="414"/>
      <c r="N1136" s="414"/>
      <c r="O1136" s="414"/>
      <c r="P1136" s="414"/>
      <c r="Q1136" s="414"/>
    </row>
    <row r="1137" spans="1:17" s="32" customFormat="1" ht="19.5" customHeight="1">
      <c r="A1137" s="411">
        <v>1342</v>
      </c>
      <c r="B1137" s="412" t="s">
        <v>11295</v>
      </c>
      <c r="C1137" s="416"/>
      <c r="D1137" s="416"/>
      <c r="E1137" s="412" t="s">
        <v>11296</v>
      </c>
      <c r="F1137" s="417" t="s">
        <v>1187</v>
      </c>
      <c r="G1137" s="417" t="s">
        <v>6694</v>
      </c>
      <c r="H1137" s="417" t="s">
        <v>1294</v>
      </c>
      <c r="I1137" s="417" t="s">
        <v>11</v>
      </c>
      <c r="J1137" s="417" t="s">
        <v>11297</v>
      </c>
      <c r="K1137" s="418">
        <v>2490</v>
      </c>
      <c r="L1137" s="419">
        <v>6480</v>
      </c>
      <c r="M1137" s="418"/>
      <c r="N1137" s="414"/>
      <c r="O1137" s="414"/>
      <c r="P1137" s="418"/>
      <c r="Q1137" s="418"/>
    </row>
    <row r="1138" spans="1:17" s="32" customFormat="1" ht="19.5" customHeight="1">
      <c r="A1138" s="411">
        <v>1343</v>
      </c>
      <c r="B1138" s="412" t="s">
        <v>11298</v>
      </c>
      <c r="C1138" s="416"/>
      <c r="D1138" s="416"/>
      <c r="E1138" s="412" t="s">
        <v>1491</v>
      </c>
      <c r="F1138" s="417" t="s">
        <v>1493</v>
      </c>
      <c r="G1138" s="417" t="s">
        <v>6012</v>
      </c>
      <c r="H1138" s="417" t="s">
        <v>429</v>
      </c>
      <c r="I1138" s="417" t="s">
        <v>12</v>
      </c>
      <c r="J1138" s="417" t="s">
        <v>11299</v>
      </c>
      <c r="K1138" s="418">
        <v>4600</v>
      </c>
      <c r="L1138" s="419">
        <v>0</v>
      </c>
      <c r="M1138" s="418"/>
      <c r="N1138" s="414"/>
      <c r="O1138" s="414"/>
      <c r="P1138" s="418"/>
      <c r="Q1138" s="418"/>
    </row>
    <row r="1139" spans="1:17" s="32" customFormat="1" ht="19.5" customHeight="1">
      <c r="A1139" s="411">
        <v>1344</v>
      </c>
      <c r="B1139" s="412" t="s">
        <v>5135</v>
      </c>
      <c r="C1139" s="413"/>
      <c r="D1139" s="413"/>
      <c r="E1139" s="413" t="s">
        <v>11300</v>
      </c>
      <c r="F1139" s="411" t="s">
        <v>11301</v>
      </c>
      <c r="G1139" s="411" t="s">
        <v>5116</v>
      </c>
      <c r="H1139" s="411" t="s">
        <v>10990</v>
      </c>
      <c r="I1139" s="411" t="s">
        <v>658</v>
      </c>
      <c r="J1139" s="411" t="s">
        <v>11302</v>
      </c>
      <c r="K1139" s="414">
        <v>71404</v>
      </c>
      <c r="L1139" s="415">
        <v>0</v>
      </c>
      <c r="M1139" s="414"/>
      <c r="N1139" s="414"/>
      <c r="O1139" s="414"/>
      <c r="P1139" s="414"/>
      <c r="Q1139" s="414"/>
    </row>
    <row r="1140" spans="1:17" s="32" customFormat="1" ht="19.5" customHeight="1">
      <c r="A1140" s="411">
        <v>1345</v>
      </c>
      <c r="B1140" s="412" t="s">
        <v>11303</v>
      </c>
      <c r="C1140" s="413"/>
      <c r="D1140" s="413"/>
      <c r="E1140" s="413" t="s">
        <v>11304</v>
      </c>
      <c r="F1140" s="411" t="s">
        <v>11305</v>
      </c>
      <c r="G1140" s="411" t="s">
        <v>5622</v>
      </c>
      <c r="H1140" s="411" t="s">
        <v>11306</v>
      </c>
      <c r="I1140" s="411" t="s">
        <v>628</v>
      </c>
      <c r="J1140" s="411" t="s">
        <v>11307</v>
      </c>
      <c r="K1140" s="414">
        <v>4575</v>
      </c>
      <c r="L1140" s="415">
        <v>145</v>
      </c>
      <c r="M1140" s="414"/>
      <c r="N1140" s="414"/>
      <c r="O1140" s="414"/>
      <c r="P1140" s="414"/>
      <c r="Q1140" s="414"/>
    </row>
    <row r="1141" spans="1:17" s="32" customFormat="1" ht="19.5" customHeight="1">
      <c r="A1141" s="411">
        <v>1348</v>
      </c>
      <c r="B1141" s="412" t="s">
        <v>11303</v>
      </c>
      <c r="C1141" s="413"/>
      <c r="D1141" s="413"/>
      <c r="E1141" s="413" t="s">
        <v>11308</v>
      </c>
      <c r="F1141" s="411" t="s">
        <v>5627</v>
      </c>
      <c r="G1141" s="411" t="s">
        <v>5622</v>
      </c>
      <c r="H1141" s="411" t="s">
        <v>11309</v>
      </c>
      <c r="I1141" s="411" t="s">
        <v>628</v>
      </c>
      <c r="J1141" s="411" t="s">
        <v>11307</v>
      </c>
      <c r="K1141" s="414">
        <v>8513</v>
      </c>
      <c r="L1141" s="415">
        <v>295</v>
      </c>
      <c r="M1141" s="414"/>
      <c r="N1141" s="414"/>
      <c r="O1141" s="414"/>
      <c r="P1141" s="414"/>
      <c r="Q1141" s="414"/>
    </row>
    <row r="1142" spans="1:17" s="32" customFormat="1" ht="19.5" customHeight="1">
      <c r="A1142" s="411">
        <v>1351</v>
      </c>
      <c r="B1142" s="412" t="s">
        <v>11310</v>
      </c>
      <c r="C1142" s="413"/>
      <c r="D1142" s="413"/>
      <c r="E1142" s="413" t="s">
        <v>247</v>
      </c>
      <c r="F1142" s="411" t="s">
        <v>249</v>
      </c>
      <c r="G1142" s="411" t="s">
        <v>5156</v>
      </c>
      <c r="H1142" s="411" t="s">
        <v>248</v>
      </c>
      <c r="I1142" s="411" t="s">
        <v>11</v>
      </c>
      <c r="J1142" s="411" t="s">
        <v>9288</v>
      </c>
      <c r="K1142" s="414">
        <v>1785</v>
      </c>
      <c r="L1142" s="415">
        <v>2026</v>
      </c>
      <c r="M1142" s="414"/>
      <c r="N1142" s="414"/>
      <c r="O1142" s="414"/>
      <c r="P1142" s="414"/>
      <c r="Q1142" s="414"/>
    </row>
    <row r="1143" spans="1:17" s="32" customFormat="1" ht="19.5" customHeight="1">
      <c r="A1143" s="411">
        <v>1353</v>
      </c>
      <c r="B1143" s="413" t="s">
        <v>246</v>
      </c>
      <c r="C1143" s="413"/>
      <c r="D1143" s="413"/>
      <c r="E1143" s="413" t="s">
        <v>3677</v>
      </c>
      <c r="F1143" s="411" t="s">
        <v>11311</v>
      </c>
      <c r="G1143" s="411" t="s">
        <v>10303</v>
      </c>
      <c r="H1143" s="411" t="s">
        <v>291</v>
      </c>
      <c r="I1143" s="411" t="s">
        <v>11</v>
      </c>
      <c r="J1143" s="411" t="s">
        <v>2204</v>
      </c>
      <c r="K1143" s="414">
        <v>3990</v>
      </c>
      <c r="L1143" s="415">
        <v>990</v>
      </c>
      <c r="M1143" s="414"/>
      <c r="N1143" s="414"/>
      <c r="O1143" s="414"/>
      <c r="P1143" s="414"/>
      <c r="Q1143" s="414"/>
    </row>
    <row r="1144" spans="1:17" s="32" customFormat="1" ht="19.5" customHeight="1">
      <c r="A1144" s="411">
        <v>1354</v>
      </c>
      <c r="B1144" s="412" t="s">
        <v>11312</v>
      </c>
      <c r="C1144" s="413"/>
      <c r="D1144" s="413"/>
      <c r="E1144" s="413" t="s">
        <v>11313</v>
      </c>
      <c r="F1144" s="411" t="s">
        <v>11314</v>
      </c>
      <c r="G1144" s="411" t="s">
        <v>6694</v>
      </c>
      <c r="H1144" s="411" t="s">
        <v>11315</v>
      </c>
      <c r="I1144" s="411" t="s">
        <v>10</v>
      </c>
      <c r="J1144" s="411" t="s">
        <v>11316</v>
      </c>
      <c r="K1144" s="414">
        <v>968</v>
      </c>
      <c r="L1144" s="415">
        <v>14960</v>
      </c>
      <c r="M1144" s="414"/>
      <c r="N1144" s="414"/>
      <c r="O1144" s="414"/>
      <c r="P1144" s="414"/>
      <c r="Q1144" s="414"/>
    </row>
    <row r="1145" spans="1:17" s="32" customFormat="1" ht="19.5" customHeight="1">
      <c r="A1145" s="411">
        <v>1356</v>
      </c>
      <c r="B1145" s="412" t="s">
        <v>428</v>
      </c>
      <c r="C1145" s="416"/>
      <c r="D1145" s="416"/>
      <c r="E1145" s="412" t="s">
        <v>11317</v>
      </c>
      <c r="F1145" s="417" t="s">
        <v>11318</v>
      </c>
      <c r="G1145" s="417" t="s">
        <v>6694</v>
      </c>
      <c r="H1145" s="417" t="s">
        <v>2798</v>
      </c>
      <c r="I1145" s="417" t="s">
        <v>658</v>
      </c>
      <c r="J1145" s="417" t="s">
        <v>9180</v>
      </c>
      <c r="K1145" s="418">
        <v>9600</v>
      </c>
      <c r="L1145" s="419">
        <v>41</v>
      </c>
      <c r="M1145" s="418"/>
      <c r="N1145" s="414"/>
      <c r="O1145" s="414"/>
      <c r="P1145" s="418"/>
      <c r="Q1145" s="418"/>
    </row>
    <row r="1146" spans="1:17" s="32" customFormat="1" ht="19.5" customHeight="1">
      <c r="A1146" s="411">
        <v>1357</v>
      </c>
      <c r="B1146" s="413" t="s">
        <v>1235</v>
      </c>
      <c r="C1146" s="413"/>
      <c r="D1146" s="413"/>
      <c r="E1146" s="413" t="s">
        <v>3484</v>
      </c>
      <c r="F1146" s="411" t="s">
        <v>3485</v>
      </c>
      <c r="G1146" s="411" t="s">
        <v>213</v>
      </c>
      <c r="H1146" s="411" t="s">
        <v>262</v>
      </c>
      <c r="I1146" s="411" t="s">
        <v>11</v>
      </c>
      <c r="J1146" s="411" t="s">
        <v>2204</v>
      </c>
      <c r="K1146" s="414">
        <v>2993</v>
      </c>
      <c r="L1146" s="415">
        <v>0</v>
      </c>
      <c r="M1146" s="414"/>
      <c r="N1146" s="414"/>
      <c r="O1146" s="414"/>
      <c r="P1146" s="414"/>
      <c r="Q1146" s="414"/>
    </row>
    <row r="1147" spans="1:17" s="32" customFormat="1" ht="19.5" customHeight="1">
      <c r="A1147" s="411">
        <v>1358</v>
      </c>
      <c r="B1147" s="412" t="s">
        <v>9464</v>
      </c>
      <c r="C1147" s="413"/>
      <c r="D1147" s="413"/>
      <c r="E1147" s="413" t="s">
        <v>11319</v>
      </c>
      <c r="F1147" s="411" t="s">
        <v>11320</v>
      </c>
      <c r="G1147" s="411" t="s">
        <v>213</v>
      </c>
      <c r="H1147" s="411" t="s">
        <v>262</v>
      </c>
      <c r="I1147" s="411" t="s">
        <v>10</v>
      </c>
      <c r="J1147" s="411" t="s">
        <v>9063</v>
      </c>
      <c r="K1147" s="414">
        <v>5200</v>
      </c>
      <c r="L1147" s="415">
        <v>0</v>
      </c>
      <c r="M1147" s="414"/>
      <c r="N1147" s="414"/>
      <c r="O1147" s="414"/>
      <c r="P1147" s="414"/>
      <c r="Q1147" s="414"/>
    </row>
    <row r="1148" spans="1:17" s="32" customFormat="1" ht="19.5" customHeight="1">
      <c r="A1148" s="411">
        <v>1359</v>
      </c>
      <c r="B1148" s="420" t="s">
        <v>9464</v>
      </c>
      <c r="C1148" s="421"/>
      <c r="D1148" s="421"/>
      <c r="E1148" s="412" t="s">
        <v>11321</v>
      </c>
      <c r="F1148" s="417" t="s">
        <v>3485</v>
      </c>
      <c r="G1148" s="417" t="s">
        <v>6694</v>
      </c>
      <c r="H1148" s="417" t="s">
        <v>262</v>
      </c>
      <c r="I1148" s="417" t="s">
        <v>11</v>
      </c>
      <c r="J1148" s="417" t="s">
        <v>2204</v>
      </c>
      <c r="K1148" s="418">
        <v>3248</v>
      </c>
      <c r="L1148" s="419">
        <v>4</v>
      </c>
      <c r="M1148" s="418"/>
      <c r="N1148" s="414"/>
      <c r="O1148" s="414"/>
      <c r="P1148" s="418"/>
      <c r="Q1148" s="418"/>
    </row>
    <row r="1149" spans="1:17" s="32" customFormat="1" ht="19.5" customHeight="1">
      <c r="A1149" s="411">
        <v>1360</v>
      </c>
      <c r="B1149" s="420" t="s">
        <v>3486</v>
      </c>
      <c r="C1149" s="421"/>
      <c r="D1149" s="421"/>
      <c r="E1149" s="412" t="s">
        <v>3678</v>
      </c>
      <c r="F1149" s="417" t="s">
        <v>818</v>
      </c>
      <c r="G1149" s="417" t="s">
        <v>6694</v>
      </c>
      <c r="H1149" s="417" t="s">
        <v>258</v>
      </c>
      <c r="I1149" s="417" t="s">
        <v>11</v>
      </c>
      <c r="J1149" s="417" t="s">
        <v>2204</v>
      </c>
      <c r="K1149" s="418">
        <v>355</v>
      </c>
      <c r="L1149" s="419">
        <v>3030</v>
      </c>
      <c r="M1149" s="418"/>
      <c r="N1149" s="414"/>
      <c r="O1149" s="414"/>
      <c r="P1149" s="418"/>
      <c r="Q1149" s="418"/>
    </row>
    <row r="1150" spans="1:17" s="32" customFormat="1" ht="19.5" customHeight="1">
      <c r="A1150" s="411">
        <v>1362</v>
      </c>
      <c r="B1150" s="412" t="s">
        <v>3486</v>
      </c>
      <c r="C1150" s="413"/>
      <c r="D1150" s="413"/>
      <c r="E1150" s="413" t="s">
        <v>3679</v>
      </c>
      <c r="F1150" s="411" t="s">
        <v>820</v>
      </c>
      <c r="G1150" s="411" t="s">
        <v>6694</v>
      </c>
      <c r="H1150" s="411" t="s">
        <v>299</v>
      </c>
      <c r="I1150" s="411" t="s">
        <v>11</v>
      </c>
      <c r="J1150" s="411" t="s">
        <v>2204</v>
      </c>
      <c r="K1150" s="414">
        <v>488</v>
      </c>
      <c r="L1150" s="415">
        <v>43</v>
      </c>
      <c r="M1150" s="414"/>
      <c r="N1150" s="414"/>
      <c r="O1150" s="414"/>
      <c r="P1150" s="414"/>
      <c r="Q1150" s="414"/>
    </row>
    <row r="1151" spans="1:17" s="32" customFormat="1" ht="19.5" customHeight="1">
      <c r="A1151" s="411">
        <v>1363</v>
      </c>
      <c r="B1151" s="412" t="s">
        <v>1477</v>
      </c>
      <c r="C1151" s="413"/>
      <c r="D1151" s="413"/>
      <c r="E1151" s="413" t="s">
        <v>11322</v>
      </c>
      <c r="F1151" s="411" t="s">
        <v>11323</v>
      </c>
      <c r="G1151" s="411" t="s">
        <v>10055</v>
      </c>
      <c r="H1151" s="411" t="s">
        <v>739</v>
      </c>
      <c r="I1151" s="411" t="s">
        <v>520</v>
      </c>
      <c r="J1151" s="411" t="s">
        <v>2654</v>
      </c>
      <c r="K1151" s="414">
        <v>10925</v>
      </c>
      <c r="L1151" s="415">
        <v>0</v>
      </c>
      <c r="M1151" s="414"/>
      <c r="N1151" s="414"/>
      <c r="O1151" s="414"/>
      <c r="P1151" s="414"/>
      <c r="Q1151" s="414"/>
    </row>
    <row r="1152" spans="1:17" s="32" customFormat="1" ht="19.5" customHeight="1">
      <c r="A1152" s="411">
        <v>1364</v>
      </c>
      <c r="B1152" s="412" t="s">
        <v>11324</v>
      </c>
      <c r="C1152" s="413"/>
      <c r="D1152" s="413"/>
      <c r="E1152" s="413" t="s">
        <v>4775</v>
      </c>
      <c r="F1152" s="411" t="s">
        <v>11325</v>
      </c>
      <c r="G1152" s="411" t="s">
        <v>6694</v>
      </c>
      <c r="H1152" s="417" t="s">
        <v>11326</v>
      </c>
      <c r="I1152" s="411" t="s">
        <v>11</v>
      </c>
      <c r="J1152" s="411" t="s">
        <v>541</v>
      </c>
      <c r="K1152" s="414">
        <v>1170</v>
      </c>
      <c r="L1152" s="415">
        <v>4370</v>
      </c>
      <c r="M1152" s="414"/>
      <c r="N1152" s="414"/>
      <c r="O1152" s="414"/>
      <c r="P1152" s="414"/>
      <c r="Q1152" s="414"/>
    </row>
    <row r="1153" spans="1:17" s="32" customFormat="1" ht="19.5" customHeight="1">
      <c r="A1153" s="411">
        <v>1365</v>
      </c>
      <c r="B1153" s="413" t="s">
        <v>11327</v>
      </c>
      <c r="C1153" s="413"/>
      <c r="D1153" s="413"/>
      <c r="E1153" s="413" t="s">
        <v>11328</v>
      </c>
      <c r="F1153" s="411" t="s">
        <v>11329</v>
      </c>
      <c r="G1153" s="411" t="s">
        <v>213</v>
      </c>
      <c r="H1153" s="411" t="s">
        <v>11330</v>
      </c>
      <c r="I1153" s="411" t="s">
        <v>10</v>
      </c>
      <c r="J1153" s="411" t="s">
        <v>541</v>
      </c>
      <c r="K1153" s="414">
        <v>6000</v>
      </c>
      <c r="L1153" s="415">
        <v>0</v>
      </c>
      <c r="M1153" s="414"/>
      <c r="N1153" s="414"/>
      <c r="O1153" s="414"/>
      <c r="P1153" s="414"/>
      <c r="Q1153" s="414"/>
    </row>
    <row r="1154" spans="1:17" s="32" customFormat="1" ht="19.5" customHeight="1">
      <c r="A1154" s="411">
        <v>1366</v>
      </c>
      <c r="B1154" s="413" t="s">
        <v>136</v>
      </c>
      <c r="C1154" s="413"/>
      <c r="D1154" s="413"/>
      <c r="E1154" s="413" t="s">
        <v>11331</v>
      </c>
      <c r="F1154" s="411" t="s">
        <v>11332</v>
      </c>
      <c r="G1154" s="411" t="s">
        <v>213</v>
      </c>
      <c r="H1154" s="411" t="s">
        <v>4696</v>
      </c>
      <c r="I1154" s="411" t="s">
        <v>10</v>
      </c>
      <c r="J1154" s="411" t="s">
        <v>541</v>
      </c>
      <c r="K1154" s="414">
        <v>2200</v>
      </c>
      <c r="L1154" s="415">
        <v>0</v>
      </c>
      <c r="M1154" s="414"/>
      <c r="N1154" s="414"/>
      <c r="O1154" s="414"/>
      <c r="P1154" s="414"/>
      <c r="Q1154" s="414"/>
    </row>
    <row r="1155" spans="1:17" s="32" customFormat="1" ht="19.5" customHeight="1">
      <c r="A1155" s="411">
        <v>1367</v>
      </c>
      <c r="B1155" s="412" t="s">
        <v>9487</v>
      </c>
      <c r="C1155" s="413"/>
      <c r="D1155" s="413"/>
      <c r="E1155" s="413" t="s">
        <v>3680</v>
      </c>
      <c r="F1155" s="411" t="s">
        <v>11333</v>
      </c>
      <c r="G1155" s="411" t="s">
        <v>6694</v>
      </c>
      <c r="H1155" s="411" t="s">
        <v>299</v>
      </c>
      <c r="I1155" s="411" t="s">
        <v>11</v>
      </c>
      <c r="J1155" s="411" t="s">
        <v>842</v>
      </c>
      <c r="K1155" s="414">
        <v>2325</v>
      </c>
      <c r="L1155" s="415">
        <v>27</v>
      </c>
      <c r="M1155" s="414"/>
      <c r="N1155" s="414"/>
      <c r="O1155" s="414"/>
      <c r="P1155" s="414"/>
      <c r="Q1155" s="414"/>
    </row>
    <row r="1156" spans="1:17" s="32" customFormat="1" ht="19.5" customHeight="1">
      <c r="A1156" s="411">
        <v>1368</v>
      </c>
      <c r="B1156" s="412" t="s">
        <v>9940</v>
      </c>
      <c r="C1156" s="413"/>
      <c r="D1156" s="413"/>
      <c r="E1156" s="413" t="s">
        <v>1990</v>
      </c>
      <c r="F1156" s="411" t="s">
        <v>9942</v>
      </c>
      <c r="G1156" s="411" t="s">
        <v>6694</v>
      </c>
      <c r="H1156" s="411" t="s">
        <v>390</v>
      </c>
      <c r="I1156" s="411" t="s">
        <v>11</v>
      </c>
      <c r="J1156" s="411" t="s">
        <v>10763</v>
      </c>
      <c r="K1156" s="414">
        <v>734</v>
      </c>
      <c r="L1156" s="415">
        <v>0</v>
      </c>
      <c r="M1156" s="414"/>
      <c r="N1156" s="414"/>
      <c r="O1156" s="414"/>
      <c r="P1156" s="414"/>
      <c r="Q1156" s="414"/>
    </row>
    <row r="1157" spans="1:17" s="32" customFormat="1" ht="19.5" customHeight="1">
      <c r="A1157" s="411">
        <v>1369</v>
      </c>
      <c r="B1157" s="412" t="s">
        <v>9940</v>
      </c>
      <c r="C1157" s="413"/>
      <c r="D1157" s="413"/>
      <c r="E1157" s="413" t="s">
        <v>1990</v>
      </c>
      <c r="F1157" s="411" t="s">
        <v>11334</v>
      </c>
      <c r="G1157" s="411" t="s">
        <v>213</v>
      </c>
      <c r="H1157" s="411" t="s">
        <v>327</v>
      </c>
      <c r="I1157" s="411" t="s">
        <v>11</v>
      </c>
      <c r="J1157" s="411" t="s">
        <v>10763</v>
      </c>
      <c r="K1157" s="414">
        <v>1050</v>
      </c>
      <c r="L1157" s="415">
        <v>0</v>
      </c>
      <c r="M1157" s="414"/>
      <c r="N1157" s="414"/>
      <c r="O1157" s="414"/>
      <c r="P1157" s="414"/>
      <c r="Q1157" s="414"/>
    </row>
    <row r="1158" spans="1:17" s="32" customFormat="1" ht="19.5" customHeight="1">
      <c r="A1158" s="411">
        <v>1370</v>
      </c>
      <c r="B1158" s="420" t="s">
        <v>11136</v>
      </c>
      <c r="C1158" s="421"/>
      <c r="D1158" s="421"/>
      <c r="E1158" s="412" t="s">
        <v>11335</v>
      </c>
      <c r="F1158" s="417" t="s">
        <v>11336</v>
      </c>
      <c r="G1158" s="417" t="s">
        <v>6694</v>
      </c>
      <c r="H1158" s="417" t="s">
        <v>429</v>
      </c>
      <c r="I1158" s="417" t="s">
        <v>658</v>
      </c>
      <c r="J1158" s="417" t="s">
        <v>9180</v>
      </c>
      <c r="K1158" s="418">
        <v>6900</v>
      </c>
      <c r="L1158" s="419">
        <v>0</v>
      </c>
      <c r="M1158" s="418"/>
      <c r="N1158" s="414"/>
      <c r="O1158" s="414"/>
      <c r="P1158" s="418"/>
      <c r="Q1158" s="418"/>
    </row>
    <row r="1159" spans="1:17" s="32" customFormat="1" ht="19.5" customHeight="1">
      <c r="A1159" s="411">
        <v>1371</v>
      </c>
      <c r="B1159" s="412" t="s">
        <v>11337</v>
      </c>
      <c r="C1159" s="413"/>
      <c r="D1159" s="413"/>
      <c r="E1159" s="413" t="s">
        <v>11338</v>
      </c>
      <c r="F1159" s="411" t="s">
        <v>11339</v>
      </c>
      <c r="G1159" s="411" t="s">
        <v>6694</v>
      </c>
      <c r="H1159" s="411" t="s">
        <v>581</v>
      </c>
      <c r="I1159" s="411" t="s">
        <v>11</v>
      </c>
      <c r="J1159" s="411" t="s">
        <v>2204</v>
      </c>
      <c r="K1159" s="414">
        <v>239</v>
      </c>
      <c r="L1159" s="415">
        <v>0</v>
      </c>
      <c r="M1159" s="414"/>
      <c r="N1159" s="414"/>
      <c r="O1159" s="414"/>
      <c r="P1159" s="414"/>
      <c r="Q1159" s="414"/>
    </row>
    <row r="1160" spans="1:17" s="32" customFormat="1" ht="19.5" customHeight="1">
      <c r="A1160" s="411">
        <v>1373</v>
      </c>
      <c r="B1160" s="412" t="s">
        <v>579</v>
      </c>
      <c r="C1160" s="413"/>
      <c r="D1160" s="413"/>
      <c r="E1160" s="413" t="s">
        <v>11340</v>
      </c>
      <c r="F1160" s="411" t="s">
        <v>11341</v>
      </c>
      <c r="G1160" s="411" t="s">
        <v>213</v>
      </c>
      <c r="H1160" s="411" t="s">
        <v>11342</v>
      </c>
      <c r="I1160" s="411" t="s">
        <v>11</v>
      </c>
      <c r="J1160" s="411" t="s">
        <v>9063</v>
      </c>
      <c r="K1160" s="414">
        <v>200</v>
      </c>
      <c r="L1160" s="415">
        <v>141</v>
      </c>
      <c r="M1160" s="414"/>
      <c r="N1160" s="414"/>
      <c r="O1160" s="414"/>
      <c r="P1160" s="414"/>
      <c r="Q1160" s="414"/>
    </row>
    <row r="1161" spans="1:17" s="32" customFormat="1" ht="19.5" customHeight="1">
      <c r="A1161" s="411">
        <v>1375</v>
      </c>
      <c r="B1161" s="412" t="s">
        <v>2830</v>
      </c>
      <c r="C1161" s="413"/>
      <c r="D1161" s="413"/>
      <c r="E1161" s="413" t="s">
        <v>11343</v>
      </c>
      <c r="F1161" s="411" t="s">
        <v>11344</v>
      </c>
      <c r="G1161" s="411" t="s">
        <v>213</v>
      </c>
      <c r="H1161" s="411" t="s">
        <v>272</v>
      </c>
      <c r="I1161" s="411" t="s">
        <v>11</v>
      </c>
      <c r="J1161" s="411" t="s">
        <v>9063</v>
      </c>
      <c r="K1161" s="414">
        <v>225</v>
      </c>
      <c r="L1161" s="415">
        <v>0</v>
      </c>
      <c r="M1161" s="414"/>
      <c r="N1161" s="414"/>
      <c r="O1161" s="414"/>
      <c r="P1161" s="414"/>
      <c r="Q1161" s="414"/>
    </row>
    <row r="1162" spans="1:17" s="32" customFormat="1" ht="19.5" customHeight="1">
      <c r="A1162" s="411">
        <v>1376</v>
      </c>
      <c r="B1162" s="412" t="s">
        <v>2830</v>
      </c>
      <c r="C1162" s="413"/>
      <c r="D1162" s="413"/>
      <c r="E1162" s="413" t="s">
        <v>11343</v>
      </c>
      <c r="F1162" s="411" t="s">
        <v>11345</v>
      </c>
      <c r="G1162" s="411" t="s">
        <v>213</v>
      </c>
      <c r="H1162" s="411" t="s">
        <v>272</v>
      </c>
      <c r="I1162" s="411" t="s">
        <v>11</v>
      </c>
      <c r="J1162" s="411" t="s">
        <v>9063</v>
      </c>
      <c r="K1162" s="414">
        <v>230</v>
      </c>
      <c r="L1162" s="415">
        <v>64</v>
      </c>
      <c r="M1162" s="414"/>
      <c r="N1162" s="414"/>
      <c r="O1162" s="414"/>
      <c r="P1162" s="414"/>
      <c r="Q1162" s="414"/>
    </row>
    <row r="1163" spans="1:17" s="32" customFormat="1" ht="19.5" customHeight="1">
      <c r="A1163" s="411">
        <v>1377</v>
      </c>
      <c r="B1163" s="412" t="s">
        <v>2830</v>
      </c>
      <c r="C1163" s="416"/>
      <c r="D1163" s="416"/>
      <c r="E1163" s="412" t="s">
        <v>7146</v>
      </c>
      <c r="F1163" s="417" t="s">
        <v>11346</v>
      </c>
      <c r="G1163" s="417" t="s">
        <v>6694</v>
      </c>
      <c r="H1163" s="417" t="s">
        <v>291</v>
      </c>
      <c r="I1163" s="417" t="s">
        <v>11</v>
      </c>
      <c r="J1163" s="417" t="s">
        <v>842</v>
      </c>
      <c r="K1163" s="418">
        <v>73</v>
      </c>
      <c r="L1163" s="419">
        <v>0</v>
      </c>
      <c r="M1163" s="418"/>
      <c r="N1163" s="414"/>
      <c r="O1163" s="414"/>
      <c r="P1163" s="418"/>
      <c r="Q1163" s="418"/>
    </row>
    <row r="1164" spans="1:17" s="32" customFormat="1" ht="19.5" customHeight="1">
      <c r="A1164" s="411">
        <v>1379</v>
      </c>
      <c r="B1164" s="412" t="s">
        <v>11347</v>
      </c>
      <c r="C1164" s="413"/>
      <c r="D1164" s="413"/>
      <c r="E1164" s="413" t="s">
        <v>11348</v>
      </c>
      <c r="F1164" s="411" t="s">
        <v>11349</v>
      </c>
      <c r="G1164" s="411" t="s">
        <v>213</v>
      </c>
      <c r="H1164" s="411" t="s">
        <v>11350</v>
      </c>
      <c r="I1164" s="411" t="s">
        <v>11</v>
      </c>
      <c r="J1164" s="411" t="s">
        <v>9063</v>
      </c>
      <c r="K1164" s="414">
        <v>178</v>
      </c>
      <c r="L1164" s="415">
        <v>14</v>
      </c>
      <c r="M1164" s="414"/>
      <c r="N1164" s="414"/>
      <c r="O1164" s="414"/>
      <c r="P1164" s="414"/>
      <c r="Q1164" s="414"/>
    </row>
    <row r="1165" spans="1:17" s="32" customFormat="1" ht="19.5" customHeight="1">
      <c r="A1165" s="411">
        <v>1380</v>
      </c>
      <c r="B1165" s="412" t="s">
        <v>10431</v>
      </c>
      <c r="C1165" s="413"/>
      <c r="D1165" s="413"/>
      <c r="E1165" s="413" t="s">
        <v>11222</v>
      </c>
      <c r="F1165" s="411" t="s">
        <v>11351</v>
      </c>
      <c r="G1165" s="411" t="s">
        <v>6694</v>
      </c>
      <c r="H1165" s="411" t="s">
        <v>5046</v>
      </c>
      <c r="I1165" s="411" t="s">
        <v>11</v>
      </c>
      <c r="J1165" s="411" t="s">
        <v>842</v>
      </c>
      <c r="K1165" s="414">
        <v>275</v>
      </c>
      <c r="L1165" s="415">
        <v>93</v>
      </c>
      <c r="M1165" s="414"/>
      <c r="N1165" s="414"/>
      <c r="O1165" s="414"/>
      <c r="P1165" s="414"/>
      <c r="Q1165" s="414"/>
    </row>
    <row r="1166" spans="1:17" s="32" customFormat="1" ht="19.5" customHeight="1">
      <c r="A1166" s="411">
        <v>1383</v>
      </c>
      <c r="B1166" s="412" t="s">
        <v>11352</v>
      </c>
      <c r="C1166" s="413"/>
      <c r="D1166" s="413"/>
      <c r="E1166" s="413" t="s">
        <v>1444</v>
      </c>
      <c r="F1166" s="411" t="s">
        <v>11353</v>
      </c>
      <c r="G1166" s="411" t="s">
        <v>6694</v>
      </c>
      <c r="H1166" s="411" t="s">
        <v>272</v>
      </c>
      <c r="I1166" s="411" t="s">
        <v>10</v>
      </c>
      <c r="J1166" s="411" t="s">
        <v>2917</v>
      </c>
      <c r="K1166" s="414">
        <v>260</v>
      </c>
      <c r="L1166" s="415">
        <v>202</v>
      </c>
      <c r="M1166" s="414"/>
      <c r="N1166" s="414"/>
      <c r="O1166" s="414"/>
      <c r="P1166" s="414"/>
      <c r="Q1166" s="414"/>
    </row>
    <row r="1167" spans="1:17" s="32" customFormat="1" ht="19.5" customHeight="1">
      <c r="A1167" s="411">
        <v>1384</v>
      </c>
      <c r="B1167" s="412" t="s">
        <v>11352</v>
      </c>
      <c r="C1167" s="413"/>
      <c r="D1167" s="413"/>
      <c r="E1167" s="413" t="s">
        <v>1444</v>
      </c>
      <c r="F1167" s="411" t="s">
        <v>11354</v>
      </c>
      <c r="G1167" s="411" t="s">
        <v>213</v>
      </c>
      <c r="H1167" s="411" t="s">
        <v>272</v>
      </c>
      <c r="I1167" s="411" t="s">
        <v>11</v>
      </c>
      <c r="J1167" s="411" t="s">
        <v>9063</v>
      </c>
      <c r="K1167" s="414">
        <v>270</v>
      </c>
      <c r="L1167" s="415">
        <v>0</v>
      </c>
      <c r="M1167" s="414"/>
      <c r="N1167" s="414"/>
      <c r="O1167" s="414"/>
      <c r="P1167" s="414"/>
      <c r="Q1167" s="414"/>
    </row>
    <row r="1168" spans="1:17" s="32" customFormat="1" ht="19.5" customHeight="1">
      <c r="A1168" s="411">
        <v>1385</v>
      </c>
      <c r="B1168" s="412" t="s">
        <v>11352</v>
      </c>
      <c r="C1168" s="413"/>
      <c r="D1168" s="413"/>
      <c r="E1168" s="413" t="s">
        <v>1444</v>
      </c>
      <c r="F1168" s="411" t="s">
        <v>11355</v>
      </c>
      <c r="G1168" s="411" t="s">
        <v>213</v>
      </c>
      <c r="H1168" s="411" t="s">
        <v>272</v>
      </c>
      <c r="I1168" s="411" t="s">
        <v>9115</v>
      </c>
      <c r="J1168" s="411" t="s">
        <v>9063</v>
      </c>
      <c r="K1168" s="414">
        <v>280</v>
      </c>
      <c r="L1168" s="415">
        <v>58</v>
      </c>
      <c r="M1168" s="414"/>
      <c r="N1168" s="414"/>
      <c r="O1168" s="414"/>
      <c r="P1168" s="414"/>
      <c r="Q1168" s="414"/>
    </row>
    <row r="1169" spans="1:17" s="32" customFormat="1" ht="19.5" customHeight="1">
      <c r="A1169" s="411">
        <v>1387</v>
      </c>
      <c r="B1169" s="412" t="s">
        <v>9208</v>
      </c>
      <c r="C1169" s="413"/>
      <c r="D1169" s="413"/>
      <c r="E1169" s="413" t="s">
        <v>3494</v>
      </c>
      <c r="F1169" s="411" t="s">
        <v>11356</v>
      </c>
      <c r="G1169" s="411" t="s">
        <v>213</v>
      </c>
      <c r="H1169" s="411" t="s">
        <v>272</v>
      </c>
      <c r="I1169" s="411" t="s">
        <v>9115</v>
      </c>
      <c r="J1169" s="411" t="s">
        <v>9063</v>
      </c>
      <c r="K1169" s="414">
        <v>163</v>
      </c>
      <c r="L1169" s="415">
        <v>195</v>
      </c>
      <c r="M1169" s="414"/>
      <c r="N1169" s="414"/>
      <c r="O1169" s="414"/>
      <c r="P1169" s="414"/>
      <c r="Q1169" s="414"/>
    </row>
    <row r="1170" spans="1:17" s="32" customFormat="1" ht="19.5" customHeight="1">
      <c r="A1170" s="411">
        <v>1388</v>
      </c>
      <c r="B1170" s="412" t="s">
        <v>9208</v>
      </c>
      <c r="C1170" s="413"/>
      <c r="D1170" s="413"/>
      <c r="E1170" s="413" t="s">
        <v>11357</v>
      </c>
      <c r="F1170" s="411" t="s">
        <v>11358</v>
      </c>
      <c r="G1170" s="411" t="s">
        <v>6694</v>
      </c>
      <c r="H1170" s="411" t="s">
        <v>272</v>
      </c>
      <c r="I1170" s="411" t="s">
        <v>10</v>
      </c>
      <c r="J1170" s="411" t="s">
        <v>2917</v>
      </c>
      <c r="K1170" s="414">
        <v>123</v>
      </c>
      <c r="L1170" s="415">
        <v>9931</v>
      </c>
      <c r="M1170" s="414"/>
      <c r="N1170" s="414"/>
      <c r="O1170" s="414"/>
      <c r="P1170" s="414"/>
      <c r="Q1170" s="414"/>
    </row>
    <row r="1171" spans="1:17" s="32" customFormat="1" ht="19.5" customHeight="1">
      <c r="A1171" s="411">
        <v>1390</v>
      </c>
      <c r="B1171" s="412" t="s">
        <v>9208</v>
      </c>
      <c r="C1171" s="413"/>
      <c r="D1171" s="413"/>
      <c r="E1171" s="413" t="s">
        <v>11359</v>
      </c>
      <c r="F1171" s="411" t="s">
        <v>11360</v>
      </c>
      <c r="G1171" s="411" t="s">
        <v>213</v>
      </c>
      <c r="H1171" s="411" t="s">
        <v>225</v>
      </c>
      <c r="I1171" s="411" t="s">
        <v>11</v>
      </c>
      <c r="J1171" s="411" t="s">
        <v>9063</v>
      </c>
      <c r="K1171" s="414">
        <v>168</v>
      </c>
      <c r="L1171" s="415">
        <v>7</v>
      </c>
      <c r="M1171" s="414"/>
      <c r="N1171" s="414"/>
      <c r="O1171" s="414"/>
      <c r="P1171" s="414"/>
      <c r="Q1171" s="414"/>
    </row>
    <row r="1172" spans="1:17" s="32" customFormat="1" ht="19.5" customHeight="1">
      <c r="A1172" s="411">
        <v>1391</v>
      </c>
      <c r="B1172" s="412" t="s">
        <v>9208</v>
      </c>
      <c r="C1172" s="413"/>
      <c r="D1172" s="413"/>
      <c r="E1172" s="413" t="s">
        <v>11361</v>
      </c>
      <c r="F1172" s="411" t="s">
        <v>11362</v>
      </c>
      <c r="G1172" s="411" t="s">
        <v>10663</v>
      </c>
      <c r="H1172" s="411" t="s">
        <v>272</v>
      </c>
      <c r="I1172" s="411" t="s">
        <v>11</v>
      </c>
      <c r="J1172" s="411" t="s">
        <v>9063</v>
      </c>
      <c r="K1172" s="414">
        <v>149</v>
      </c>
      <c r="L1172" s="415">
        <v>0</v>
      </c>
      <c r="M1172" s="414"/>
      <c r="N1172" s="414"/>
      <c r="O1172" s="414"/>
      <c r="P1172" s="414"/>
      <c r="Q1172" s="414"/>
    </row>
    <row r="1173" spans="1:17" s="32" customFormat="1" ht="19.5" customHeight="1">
      <c r="A1173" s="411">
        <v>1392</v>
      </c>
      <c r="B1173" s="412" t="s">
        <v>1860</v>
      </c>
      <c r="C1173" s="413"/>
      <c r="D1173" s="413"/>
      <c r="E1173" s="413" t="s">
        <v>11363</v>
      </c>
      <c r="F1173" s="411" t="s">
        <v>9611</v>
      </c>
      <c r="G1173" s="411" t="s">
        <v>213</v>
      </c>
      <c r="H1173" s="411" t="s">
        <v>1862</v>
      </c>
      <c r="I1173" s="411" t="s">
        <v>11</v>
      </c>
      <c r="J1173" s="411" t="s">
        <v>9063</v>
      </c>
      <c r="K1173" s="414">
        <v>756</v>
      </c>
      <c r="L1173" s="415">
        <v>0</v>
      </c>
      <c r="M1173" s="414"/>
      <c r="N1173" s="414"/>
      <c r="O1173" s="414"/>
      <c r="P1173" s="414"/>
      <c r="Q1173" s="414"/>
    </row>
    <row r="1174" spans="1:17" s="32" customFormat="1" ht="19.5" customHeight="1">
      <c r="A1174" s="411">
        <v>1393</v>
      </c>
      <c r="B1174" s="412" t="s">
        <v>11364</v>
      </c>
      <c r="C1174" s="413"/>
      <c r="D1174" s="413"/>
      <c r="E1174" s="413" t="s">
        <v>11365</v>
      </c>
      <c r="F1174" s="411" t="s">
        <v>11366</v>
      </c>
      <c r="G1174" s="411" t="s">
        <v>213</v>
      </c>
      <c r="H1174" s="411" t="s">
        <v>1862</v>
      </c>
      <c r="I1174" s="411" t="s">
        <v>10</v>
      </c>
      <c r="J1174" s="411" t="s">
        <v>1675</v>
      </c>
      <c r="K1174" s="414">
        <v>651</v>
      </c>
      <c r="L1174" s="415">
        <v>0</v>
      </c>
      <c r="M1174" s="414"/>
      <c r="N1174" s="414"/>
      <c r="O1174" s="414"/>
      <c r="P1174" s="414"/>
      <c r="Q1174" s="414"/>
    </row>
    <row r="1175" spans="1:17" s="32" customFormat="1" ht="19.5" customHeight="1">
      <c r="A1175" s="411">
        <v>1394</v>
      </c>
      <c r="B1175" s="420" t="s">
        <v>11367</v>
      </c>
      <c r="C1175" s="421"/>
      <c r="D1175" s="421"/>
      <c r="E1175" s="412" t="s">
        <v>3681</v>
      </c>
      <c r="F1175" s="417" t="s">
        <v>11368</v>
      </c>
      <c r="G1175" s="417" t="s">
        <v>6330</v>
      </c>
      <c r="H1175" s="417" t="s">
        <v>739</v>
      </c>
      <c r="I1175" s="417" t="s">
        <v>520</v>
      </c>
      <c r="J1175" s="417" t="s">
        <v>10167</v>
      </c>
      <c r="K1175" s="418">
        <v>11400</v>
      </c>
      <c r="L1175" s="419">
        <v>185</v>
      </c>
      <c r="M1175" s="418"/>
      <c r="N1175" s="414"/>
      <c r="O1175" s="414"/>
      <c r="P1175" s="418"/>
      <c r="Q1175" s="418"/>
    </row>
    <row r="1176" spans="1:17" s="32" customFormat="1" ht="19.5" customHeight="1">
      <c r="A1176" s="411">
        <v>1395</v>
      </c>
      <c r="B1176" s="412" t="s">
        <v>11369</v>
      </c>
      <c r="C1176" s="413"/>
      <c r="D1176" s="413"/>
      <c r="E1176" s="413" t="s">
        <v>11370</v>
      </c>
      <c r="F1176" s="411" t="s">
        <v>11368</v>
      </c>
      <c r="G1176" s="411" t="s">
        <v>213</v>
      </c>
      <c r="H1176" s="411" t="s">
        <v>739</v>
      </c>
      <c r="I1176" s="411" t="s">
        <v>520</v>
      </c>
      <c r="J1176" s="417" t="s">
        <v>10167</v>
      </c>
      <c r="K1176" s="414">
        <v>3800</v>
      </c>
      <c r="L1176" s="415">
        <v>20</v>
      </c>
      <c r="M1176" s="414"/>
      <c r="N1176" s="414"/>
      <c r="O1176" s="414"/>
      <c r="P1176" s="414"/>
      <c r="Q1176" s="414"/>
    </row>
    <row r="1177" spans="1:17" s="32" customFormat="1" ht="19.5" customHeight="1">
      <c r="A1177" s="411">
        <v>1399</v>
      </c>
      <c r="B1177" s="413" t="s">
        <v>1402</v>
      </c>
      <c r="C1177" s="413"/>
      <c r="D1177" s="413"/>
      <c r="E1177" s="413" t="s">
        <v>3682</v>
      </c>
      <c r="F1177" s="411" t="s">
        <v>11371</v>
      </c>
      <c r="G1177" s="411" t="s">
        <v>213</v>
      </c>
      <c r="H1177" s="411" t="s">
        <v>225</v>
      </c>
      <c r="I1177" s="411" t="s">
        <v>11</v>
      </c>
      <c r="J1177" s="411" t="s">
        <v>9063</v>
      </c>
      <c r="K1177" s="414">
        <v>165</v>
      </c>
      <c r="L1177" s="415">
        <v>9209</v>
      </c>
      <c r="M1177" s="414"/>
      <c r="N1177" s="414"/>
      <c r="O1177" s="414"/>
      <c r="P1177" s="414"/>
      <c r="Q1177" s="414"/>
    </row>
    <row r="1178" spans="1:17" s="32" customFormat="1" ht="19.5" customHeight="1">
      <c r="A1178" s="411">
        <v>1396</v>
      </c>
      <c r="B1178" s="412" t="s">
        <v>11372</v>
      </c>
      <c r="C1178" s="413"/>
      <c r="D1178" s="413"/>
      <c r="E1178" s="413" t="s">
        <v>3682</v>
      </c>
      <c r="F1178" s="411" t="s">
        <v>11371</v>
      </c>
      <c r="G1178" s="411" t="s">
        <v>6694</v>
      </c>
      <c r="H1178" s="411" t="s">
        <v>225</v>
      </c>
      <c r="I1178" s="411" t="s">
        <v>11</v>
      </c>
      <c r="J1178" s="411" t="s">
        <v>842</v>
      </c>
      <c r="K1178" s="414">
        <v>189</v>
      </c>
      <c r="L1178" s="415">
        <v>305</v>
      </c>
      <c r="M1178" s="414"/>
      <c r="N1178" s="414"/>
      <c r="O1178" s="414"/>
      <c r="P1178" s="414"/>
      <c r="Q1178" s="414"/>
    </row>
    <row r="1179" spans="1:17" s="32" customFormat="1" ht="19.5" customHeight="1">
      <c r="A1179" s="411">
        <v>1397</v>
      </c>
      <c r="B1179" s="412" t="s">
        <v>11372</v>
      </c>
      <c r="C1179" s="413"/>
      <c r="D1179" s="413"/>
      <c r="E1179" s="413" t="s">
        <v>3682</v>
      </c>
      <c r="F1179" s="411" t="s">
        <v>11373</v>
      </c>
      <c r="G1179" s="411" t="s">
        <v>213</v>
      </c>
      <c r="H1179" s="411" t="s">
        <v>225</v>
      </c>
      <c r="I1179" s="411" t="s">
        <v>11</v>
      </c>
      <c r="J1179" s="411" t="s">
        <v>9063</v>
      </c>
      <c r="K1179" s="414">
        <v>248</v>
      </c>
      <c r="L1179" s="415">
        <v>50</v>
      </c>
      <c r="M1179" s="414"/>
      <c r="N1179" s="414"/>
      <c r="O1179" s="414"/>
      <c r="P1179" s="414"/>
      <c r="Q1179" s="414"/>
    </row>
    <row r="1180" spans="1:17" s="32" customFormat="1" ht="19.5" customHeight="1">
      <c r="A1180" s="411">
        <v>1400</v>
      </c>
      <c r="B1180" s="413" t="s">
        <v>1402</v>
      </c>
      <c r="C1180" s="413"/>
      <c r="D1180" s="413"/>
      <c r="E1180" s="413" t="s">
        <v>11374</v>
      </c>
      <c r="F1180" s="411" t="s">
        <v>11375</v>
      </c>
      <c r="G1180" s="411" t="s">
        <v>213</v>
      </c>
      <c r="H1180" s="411" t="s">
        <v>2444</v>
      </c>
      <c r="I1180" s="411" t="s">
        <v>11</v>
      </c>
      <c r="J1180" s="411" t="s">
        <v>9063</v>
      </c>
      <c r="K1180" s="414">
        <v>95</v>
      </c>
      <c r="L1180" s="415">
        <v>0</v>
      </c>
      <c r="M1180" s="414"/>
      <c r="N1180" s="414"/>
      <c r="O1180" s="414"/>
      <c r="P1180" s="414"/>
      <c r="Q1180" s="414"/>
    </row>
    <row r="1181" spans="1:17" s="32" customFormat="1" ht="19.5" customHeight="1">
      <c r="A1181" s="411">
        <v>1401</v>
      </c>
      <c r="B1181" s="412" t="s">
        <v>3361</v>
      </c>
      <c r="C1181" s="413"/>
      <c r="D1181" s="413"/>
      <c r="E1181" s="413" t="s">
        <v>3683</v>
      </c>
      <c r="F1181" s="411" t="s">
        <v>11376</v>
      </c>
      <c r="G1181" s="411" t="s">
        <v>213</v>
      </c>
      <c r="H1181" s="411" t="s">
        <v>1200</v>
      </c>
      <c r="I1181" s="411" t="s">
        <v>13</v>
      </c>
      <c r="J1181" s="411" t="s">
        <v>11377</v>
      </c>
      <c r="K1181" s="414">
        <v>2499</v>
      </c>
      <c r="L1181" s="415">
        <v>3255</v>
      </c>
      <c r="M1181" s="414"/>
      <c r="N1181" s="414"/>
      <c r="O1181" s="414"/>
      <c r="P1181" s="414"/>
      <c r="Q1181" s="414"/>
    </row>
    <row r="1182" spans="1:17" s="32" customFormat="1" ht="19.5" customHeight="1">
      <c r="A1182" s="411">
        <v>1402</v>
      </c>
      <c r="B1182" s="412" t="s">
        <v>9696</v>
      </c>
      <c r="C1182" s="413"/>
      <c r="D1182" s="413"/>
      <c r="E1182" s="413" t="s">
        <v>3684</v>
      </c>
      <c r="F1182" s="411" t="s">
        <v>11378</v>
      </c>
      <c r="G1182" s="411" t="s">
        <v>5105</v>
      </c>
      <c r="H1182" s="411" t="s">
        <v>1580</v>
      </c>
      <c r="I1182" s="411" t="s">
        <v>520</v>
      </c>
      <c r="J1182" s="411" t="s">
        <v>11379</v>
      </c>
      <c r="K1182" s="414">
        <v>7900</v>
      </c>
      <c r="L1182" s="415">
        <v>58</v>
      </c>
      <c r="M1182" s="414"/>
      <c r="N1182" s="414"/>
      <c r="O1182" s="414"/>
      <c r="P1182" s="414"/>
      <c r="Q1182" s="414"/>
    </row>
    <row r="1183" spans="1:17" s="32" customFormat="1" ht="19.5" customHeight="1">
      <c r="A1183" s="411">
        <v>1403</v>
      </c>
      <c r="B1183" s="412" t="s">
        <v>9696</v>
      </c>
      <c r="C1183" s="413"/>
      <c r="D1183" s="413"/>
      <c r="E1183" s="413" t="s">
        <v>3685</v>
      </c>
      <c r="F1183" s="411" t="s">
        <v>3497</v>
      </c>
      <c r="G1183" s="411" t="s">
        <v>9817</v>
      </c>
      <c r="H1183" s="411" t="s">
        <v>291</v>
      </c>
      <c r="I1183" s="411" t="s">
        <v>10</v>
      </c>
      <c r="J1183" s="411" t="s">
        <v>11380</v>
      </c>
      <c r="K1183" s="414">
        <v>3477</v>
      </c>
      <c r="L1183" s="415">
        <v>10194</v>
      </c>
      <c r="M1183" s="414"/>
      <c r="N1183" s="414"/>
      <c r="O1183" s="414"/>
      <c r="P1183" s="414"/>
      <c r="Q1183" s="414"/>
    </row>
    <row r="1184" spans="1:17" s="32" customFormat="1" ht="19.5" customHeight="1">
      <c r="A1184" s="411">
        <v>1406</v>
      </c>
      <c r="B1184" s="420" t="s">
        <v>10022</v>
      </c>
      <c r="C1184" s="421"/>
      <c r="D1184" s="421"/>
      <c r="E1184" s="412" t="s">
        <v>3686</v>
      </c>
      <c r="F1184" s="417" t="s">
        <v>3500</v>
      </c>
      <c r="G1184" s="417" t="s">
        <v>6694</v>
      </c>
      <c r="H1184" s="417" t="s">
        <v>225</v>
      </c>
      <c r="I1184" s="417" t="s">
        <v>11</v>
      </c>
      <c r="J1184" s="417" t="s">
        <v>815</v>
      </c>
      <c r="K1184" s="418">
        <v>1288</v>
      </c>
      <c r="L1184" s="419">
        <v>15</v>
      </c>
      <c r="M1184" s="418"/>
      <c r="N1184" s="414"/>
      <c r="O1184" s="414"/>
      <c r="P1184" s="418"/>
      <c r="Q1184" s="418"/>
    </row>
    <row r="1185" spans="1:17" s="32" customFormat="1" ht="19.5" customHeight="1">
      <c r="A1185" s="411">
        <v>1407</v>
      </c>
      <c r="B1185" s="413" t="s">
        <v>3502</v>
      </c>
      <c r="C1185" s="413"/>
      <c r="D1185" s="413"/>
      <c r="E1185" s="413" t="s">
        <v>3503</v>
      </c>
      <c r="F1185" s="411" t="s">
        <v>3504</v>
      </c>
      <c r="G1185" s="411" t="s">
        <v>213</v>
      </c>
      <c r="H1185" s="411" t="s">
        <v>3505</v>
      </c>
      <c r="I1185" s="411" t="s">
        <v>10</v>
      </c>
      <c r="J1185" s="411" t="s">
        <v>9063</v>
      </c>
      <c r="K1185" s="414">
        <v>4700</v>
      </c>
      <c r="L1185" s="415">
        <v>18630</v>
      </c>
      <c r="M1185" s="414"/>
      <c r="N1185" s="414"/>
      <c r="O1185" s="414"/>
      <c r="P1185" s="414"/>
      <c r="Q1185" s="414"/>
    </row>
    <row r="1186" spans="1:17" s="32" customFormat="1" ht="19.5" customHeight="1">
      <c r="A1186" s="411">
        <v>1408</v>
      </c>
      <c r="B1186" s="413" t="s">
        <v>3793</v>
      </c>
      <c r="C1186" s="413"/>
      <c r="D1186" s="413"/>
      <c r="E1186" s="413" t="s">
        <v>11381</v>
      </c>
      <c r="F1186" s="411" t="s">
        <v>11382</v>
      </c>
      <c r="G1186" s="411" t="s">
        <v>213</v>
      </c>
      <c r="H1186" s="411" t="s">
        <v>11383</v>
      </c>
      <c r="I1186" s="411" t="s">
        <v>13</v>
      </c>
      <c r="J1186" s="411" t="s">
        <v>2919</v>
      </c>
      <c r="K1186" s="414">
        <v>800</v>
      </c>
      <c r="L1186" s="415">
        <v>0</v>
      </c>
      <c r="M1186" s="414"/>
      <c r="N1186" s="414"/>
      <c r="O1186" s="414"/>
      <c r="P1186" s="414"/>
      <c r="Q1186" s="414"/>
    </row>
    <row r="1187" spans="1:17" s="32" customFormat="1" ht="19.5" customHeight="1">
      <c r="A1187" s="411">
        <v>1409</v>
      </c>
      <c r="B1187" s="412" t="s">
        <v>765</v>
      </c>
      <c r="C1187" s="413"/>
      <c r="D1187" s="413"/>
      <c r="E1187" s="413" t="s">
        <v>11384</v>
      </c>
      <c r="F1187" s="411" t="s">
        <v>11385</v>
      </c>
      <c r="G1187" s="411" t="s">
        <v>213</v>
      </c>
      <c r="H1187" s="411" t="s">
        <v>767</v>
      </c>
      <c r="I1187" s="411" t="s">
        <v>520</v>
      </c>
      <c r="J1187" s="411" t="s">
        <v>2654</v>
      </c>
      <c r="K1187" s="414">
        <v>7350</v>
      </c>
      <c r="L1187" s="415">
        <v>0</v>
      </c>
      <c r="M1187" s="414"/>
      <c r="N1187" s="414"/>
      <c r="O1187" s="414"/>
      <c r="P1187" s="414"/>
      <c r="Q1187" s="414"/>
    </row>
    <row r="1188" spans="1:17" s="32" customFormat="1" ht="19.5" customHeight="1">
      <c r="A1188" s="411"/>
      <c r="B1188" s="412"/>
      <c r="C1188" s="413"/>
      <c r="D1188" s="413"/>
      <c r="E1188" s="413" t="s">
        <v>11386</v>
      </c>
      <c r="F1188" s="422" t="s">
        <v>3511</v>
      </c>
      <c r="G1188" s="411" t="s">
        <v>11387</v>
      </c>
      <c r="H1188" s="411" t="s">
        <v>238</v>
      </c>
      <c r="I1188" s="411" t="s">
        <v>11</v>
      </c>
      <c r="J1188" s="411" t="s">
        <v>9063</v>
      </c>
      <c r="K1188" s="414">
        <v>6097</v>
      </c>
      <c r="L1188" s="415">
        <v>30</v>
      </c>
      <c r="M1188" s="414"/>
      <c r="N1188" s="414"/>
      <c r="O1188" s="414"/>
      <c r="P1188" s="414"/>
      <c r="Q1188" s="414"/>
    </row>
    <row r="1189" spans="1:17" s="32" customFormat="1" ht="19.5" customHeight="1">
      <c r="A1189" s="411"/>
      <c r="B1189" s="412"/>
      <c r="C1189" s="413"/>
      <c r="D1189" s="413"/>
      <c r="E1189" s="413" t="s">
        <v>11388</v>
      </c>
      <c r="F1189" s="422" t="s">
        <v>11389</v>
      </c>
      <c r="G1189" s="411" t="s">
        <v>11387</v>
      </c>
      <c r="H1189" s="411" t="s">
        <v>327</v>
      </c>
      <c r="I1189" s="411" t="s">
        <v>10</v>
      </c>
      <c r="J1189" s="411" t="s">
        <v>1131</v>
      </c>
      <c r="K1189" s="414">
        <v>4534</v>
      </c>
      <c r="L1189" s="415">
        <v>28</v>
      </c>
      <c r="M1189" s="414"/>
      <c r="N1189" s="414"/>
      <c r="O1189" s="414"/>
      <c r="P1189" s="414"/>
      <c r="Q1189" s="414"/>
    </row>
    <row r="1190" spans="1:17" s="32" customFormat="1" ht="19.5" customHeight="1">
      <c r="A1190" s="411">
        <v>1410</v>
      </c>
      <c r="B1190" s="412" t="s">
        <v>9073</v>
      </c>
      <c r="C1190" s="413"/>
      <c r="D1190" s="413"/>
      <c r="E1190" s="413" t="s">
        <v>11390</v>
      </c>
      <c r="F1190" s="411" t="s">
        <v>11391</v>
      </c>
      <c r="G1190" s="411" t="s">
        <v>6694</v>
      </c>
      <c r="H1190" s="411" t="s">
        <v>267</v>
      </c>
      <c r="I1190" s="411" t="s">
        <v>11</v>
      </c>
      <c r="J1190" s="411" t="s">
        <v>842</v>
      </c>
      <c r="K1190" s="414">
        <v>1280</v>
      </c>
      <c r="L1190" s="415">
        <v>8</v>
      </c>
      <c r="M1190" s="414"/>
      <c r="N1190" s="414"/>
      <c r="O1190" s="414"/>
      <c r="P1190" s="414"/>
      <c r="Q1190" s="414"/>
    </row>
    <row r="1191" spans="1:17" s="32" customFormat="1" ht="19.5" customHeight="1">
      <c r="A1191" s="411">
        <v>1411</v>
      </c>
      <c r="B1191" s="413" t="s">
        <v>3513</v>
      </c>
      <c r="C1191" s="413"/>
      <c r="D1191" s="413"/>
      <c r="E1191" s="413" t="s">
        <v>11392</v>
      </c>
      <c r="F1191" s="411" t="s">
        <v>3515</v>
      </c>
      <c r="G1191" s="411" t="s">
        <v>213</v>
      </c>
      <c r="H1191" s="411" t="s">
        <v>3516</v>
      </c>
      <c r="I1191" s="411" t="s">
        <v>15</v>
      </c>
      <c r="J1191" s="411" t="s">
        <v>3049</v>
      </c>
      <c r="K1191" s="414">
        <v>23990</v>
      </c>
      <c r="L1191" s="415">
        <v>70</v>
      </c>
      <c r="M1191" s="414"/>
      <c r="N1191" s="414"/>
      <c r="O1191" s="414"/>
      <c r="P1191" s="414"/>
      <c r="Q1191" s="414"/>
    </row>
    <row r="1192" spans="1:17" s="32" customFormat="1" ht="19.5" customHeight="1">
      <c r="A1192" s="411">
        <v>1412</v>
      </c>
      <c r="B1192" s="413" t="s">
        <v>779</v>
      </c>
      <c r="C1192" s="413"/>
      <c r="D1192" s="413"/>
      <c r="E1192" s="413" t="s">
        <v>3687</v>
      </c>
      <c r="F1192" s="411" t="s">
        <v>3517</v>
      </c>
      <c r="G1192" s="411" t="s">
        <v>6527</v>
      </c>
      <c r="H1192" s="411" t="s">
        <v>2562</v>
      </c>
      <c r="I1192" s="411" t="s">
        <v>15</v>
      </c>
      <c r="J1192" s="411" t="s">
        <v>3049</v>
      </c>
      <c r="K1192" s="414">
        <v>25150</v>
      </c>
      <c r="L1192" s="415">
        <v>0</v>
      </c>
      <c r="M1192" s="414"/>
      <c r="N1192" s="414"/>
      <c r="O1192" s="414"/>
      <c r="P1192" s="414"/>
      <c r="Q1192" s="414"/>
    </row>
    <row r="1193" spans="1:17" s="32" customFormat="1" ht="19.5" customHeight="1">
      <c r="A1193" s="411">
        <v>1413</v>
      </c>
      <c r="B1193" s="412" t="s">
        <v>11393</v>
      </c>
      <c r="C1193" s="413"/>
      <c r="D1193" s="413"/>
      <c r="E1193" s="413" t="s">
        <v>11394</v>
      </c>
      <c r="F1193" s="411" t="s">
        <v>11395</v>
      </c>
      <c r="G1193" s="411" t="s">
        <v>213</v>
      </c>
      <c r="H1193" s="411" t="s">
        <v>11396</v>
      </c>
      <c r="I1193" s="411" t="s">
        <v>11</v>
      </c>
      <c r="J1193" s="411" t="s">
        <v>9063</v>
      </c>
      <c r="K1193" s="414">
        <v>1155</v>
      </c>
      <c r="L1193" s="415">
        <v>10</v>
      </c>
      <c r="M1193" s="414"/>
      <c r="N1193" s="414"/>
      <c r="O1193" s="414"/>
      <c r="P1193" s="414"/>
      <c r="Q1193" s="414"/>
    </row>
    <row r="1194" spans="1:17" s="32" customFormat="1" ht="19.5" customHeight="1">
      <c r="A1194" s="411">
        <v>1414</v>
      </c>
      <c r="B1194" s="412" t="s">
        <v>3361</v>
      </c>
      <c r="C1194" s="413"/>
      <c r="D1194" s="413"/>
      <c r="E1194" s="413" t="s">
        <v>11397</v>
      </c>
      <c r="F1194" s="411" t="s">
        <v>11398</v>
      </c>
      <c r="G1194" s="411" t="s">
        <v>6694</v>
      </c>
      <c r="H1194" s="411" t="s">
        <v>225</v>
      </c>
      <c r="I1194" s="411" t="s">
        <v>10</v>
      </c>
      <c r="J1194" s="411" t="s">
        <v>845</v>
      </c>
      <c r="K1194" s="414">
        <v>6500</v>
      </c>
      <c r="L1194" s="415">
        <v>40</v>
      </c>
      <c r="M1194" s="414"/>
      <c r="N1194" s="414"/>
      <c r="O1194" s="414"/>
      <c r="P1194" s="414"/>
      <c r="Q1194" s="414"/>
    </row>
    <row r="1195" spans="1:17" s="32" customFormat="1" ht="19.5" customHeight="1">
      <c r="A1195" s="411">
        <v>1415</v>
      </c>
      <c r="B1195" s="412" t="s">
        <v>11399</v>
      </c>
      <c r="C1195" s="413"/>
      <c r="D1195" s="413"/>
      <c r="E1195" s="413" t="s">
        <v>11400</v>
      </c>
      <c r="F1195" s="411" t="s">
        <v>11401</v>
      </c>
      <c r="G1195" s="411" t="s">
        <v>6694</v>
      </c>
      <c r="H1195" s="411" t="s">
        <v>3761</v>
      </c>
      <c r="I1195" s="411" t="s">
        <v>14</v>
      </c>
      <c r="J1195" s="411" t="s">
        <v>268</v>
      </c>
      <c r="K1195" s="414">
        <v>5691</v>
      </c>
      <c r="L1195" s="415">
        <v>0</v>
      </c>
      <c r="M1195" s="414"/>
      <c r="N1195" s="414"/>
      <c r="O1195" s="414"/>
      <c r="P1195" s="414"/>
      <c r="Q1195" s="414"/>
    </row>
    <row r="1196" spans="1:17" ht="19.5" customHeight="1">
      <c r="A1196" s="452"/>
      <c r="B1196" s="453"/>
      <c r="C1196" s="453"/>
      <c r="D1196" s="453"/>
      <c r="E1196" s="453"/>
      <c r="F1196" s="452"/>
      <c r="G1196" s="452"/>
      <c r="H1196" s="452"/>
      <c r="I1196" s="452"/>
      <c r="J1196" s="452"/>
      <c r="K1196" s="454"/>
      <c r="L1196" s="455"/>
      <c r="M1196" s="454"/>
      <c r="N1196" s="454"/>
      <c r="O1196" s="454"/>
      <c r="P1196" s="454"/>
      <c r="Q1196" s="454"/>
    </row>
    <row r="1197" spans="1:17" ht="19.5" customHeight="1"/>
    <row r="1198" spans="1:17" ht="19.5" customHeight="1"/>
    <row r="1199" spans="1:17" ht="19.5" customHeight="1"/>
    <row r="1200" spans="1:17" ht="19.5" customHeight="1"/>
    <row r="1201" spans="12:12" s="456" customFormat="1">
      <c r="L1201" s="460"/>
    </row>
    <row r="1202" spans="12:12" s="456" customFormat="1">
      <c r="L1202" s="460"/>
    </row>
    <row r="1203" spans="12:12" s="456" customFormat="1">
      <c r="L1203" s="460"/>
    </row>
    <row r="1204" spans="12:12" s="456" customFormat="1">
      <c r="L1204" s="460"/>
    </row>
    <row r="1205" spans="12:12" s="456" customFormat="1">
      <c r="L1205" s="460"/>
    </row>
    <row r="1206" spans="12:12" s="456" customFormat="1">
      <c r="L1206" s="460"/>
    </row>
    <row r="1207" spans="12:12" s="456" customFormat="1">
      <c r="L1207" s="460"/>
    </row>
    <row r="1208" spans="12:12" s="456" customFormat="1">
      <c r="L1208" s="460"/>
    </row>
    <row r="1209" spans="12:12" s="456" customFormat="1">
      <c r="L1209" s="460"/>
    </row>
    <row r="1210" spans="12:12" s="456" customFormat="1">
      <c r="L1210" s="460"/>
    </row>
    <row r="1211" spans="12:12" s="456" customFormat="1">
      <c r="L1211" s="460"/>
    </row>
    <row r="1212" spans="12:12" s="456" customFormat="1">
      <c r="L1212" s="460"/>
    </row>
    <row r="1213" spans="12:12" s="456" customFormat="1">
      <c r="L1213" s="460"/>
    </row>
    <row r="1214" spans="12:12" s="456" customFormat="1">
      <c r="L1214" s="460"/>
    </row>
    <row r="1215" spans="12:12" s="456" customFormat="1">
      <c r="L1215" s="460"/>
    </row>
    <row r="1216" spans="12:12" s="456" customFormat="1">
      <c r="L1216" s="460"/>
    </row>
    <row r="1217" spans="12:12" s="456" customFormat="1">
      <c r="L1217" s="460"/>
    </row>
    <row r="1218" spans="12:12" s="456" customFormat="1">
      <c r="L1218" s="460"/>
    </row>
    <row r="1219" spans="12:12" s="456" customFormat="1">
      <c r="L1219" s="460"/>
    </row>
    <row r="1220" spans="12:12" s="456" customFormat="1">
      <c r="L1220" s="460"/>
    </row>
    <row r="1221" spans="12:12" s="456" customFormat="1">
      <c r="L1221" s="460"/>
    </row>
    <row r="1222" spans="12:12" s="456" customFormat="1">
      <c r="L1222" s="460"/>
    </row>
    <row r="1223" spans="12:12" s="456" customFormat="1">
      <c r="L1223" s="460"/>
    </row>
    <row r="1224" spans="12:12" s="456" customFormat="1">
      <c r="L1224" s="460"/>
    </row>
    <row r="1225" spans="12:12" s="456" customFormat="1">
      <c r="L1225" s="460"/>
    </row>
    <row r="1226" spans="12:12" s="456" customFormat="1">
      <c r="L1226" s="460"/>
    </row>
    <row r="1227" spans="12:12" s="456" customFormat="1">
      <c r="L1227" s="460"/>
    </row>
    <row r="1228" spans="12:12" s="456" customFormat="1">
      <c r="L1228" s="460"/>
    </row>
    <row r="1229" spans="12:12" s="456" customFormat="1">
      <c r="L1229" s="460"/>
    </row>
    <row r="1230" spans="12:12" s="456" customFormat="1">
      <c r="L1230" s="460"/>
    </row>
    <row r="1231" spans="12:12" s="456" customFormat="1">
      <c r="L1231" s="460"/>
    </row>
    <row r="1232" spans="12:12" s="456" customFormat="1">
      <c r="L1232" s="460"/>
    </row>
    <row r="1233" spans="12:12" s="456" customFormat="1">
      <c r="L1233" s="460"/>
    </row>
    <row r="1234" spans="12:12" s="456" customFormat="1">
      <c r="L1234" s="460"/>
    </row>
    <row r="1235" spans="12:12" s="456" customFormat="1">
      <c r="L1235" s="460"/>
    </row>
    <row r="1236" spans="12:12" s="456" customFormat="1">
      <c r="L1236" s="460"/>
    </row>
    <row r="1237" spans="12:12" s="456" customFormat="1">
      <c r="L1237" s="460"/>
    </row>
    <row r="1238" spans="12:12" s="456" customFormat="1">
      <c r="L1238" s="460"/>
    </row>
    <row r="1239" spans="12:12" s="456" customFormat="1">
      <c r="L1239" s="460"/>
    </row>
    <row r="1240" spans="12:12" s="456" customFormat="1">
      <c r="L1240" s="460"/>
    </row>
    <row r="1241" spans="12:12" s="456" customFormat="1">
      <c r="L1241" s="460"/>
    </row>
    <row r="1242" spans="12:12" s="456" customFormat="1">
      <c r="L1242" s="460"/>
    </row>
    <row r="1243" spans="12:12" s="456" customFormat="1">
      <c r="L1243" s="460"/>
    </row>
    <row r="1244" spans="12:12" s="456" customFormat="1">
      <c r="L1244" s="460"/>
    </row>
    <row r="1245" spans="12:12" s="456" customFormat="1">
      <c r="L1245" s="460"/>
    </row>
    <row r="1246" spans="12:12" s="456" customFormat="1">
      <c r="L1246" s="460"/>
    </row>
    <row r="1247" spans="12:12" s="456" customFormat="1">
      <c r="L1247" s="460"/>
    </row>
    <row r="1248" spans="12:12" s="456" customFormat="1">
      <c r="L1248" s="460"/>
    </row>
    <row r="1249" spans="12:12" s="456" customFormat="1">
      <c r="L1249" s="460"/>
    </row>
    <row r="1250" spans="12:12" s="456" customFormat="1">
      <c r="L1250" s="460"/>
    </row>
    <row r="1251" spans="12:12" s="456" customFormat="1">
      <c r="L1251" s="460"/>
    </row>
    <row r="1252" spans="12:12" s="456" customFormat="1">
      <c r="L1252" s="460"/>
    </row>
    <row r="1253" spans="12:12" s="456" customFormat="1">
      <c r="L1253" s="460"/>
    </row>
    <row r="1254" spans="12:12" s="456" customFormat="1">
      <c r="L1254" s="460"/>
    </row>
    <row r="1255" spans="12:12" s="456" customFormat="1">
      <c r="L1255" s="460"/>
    </row>
    <row r="1256" spans="12:12" s="456" customFormat="1">
      <c r="L1256" s="460"/>
    </row>
    <row r="1257" spans="12:12" s="456" customFormat="1">
      <c r="L1257" s="460"/>
    </row>
    <row r="1258" spans="12:12" s="456" customFormat="1">
      <c r="L1258" s="460"/>
    </row>
    <row r="1259" spans="12:12" s="456" customFormat="1">
      <c r="L1259" s="460"/>
    </row>
    <row r="1260" spans="12:12" s="456" customFormat="1">
      <c r="L1260" s="460"/>
    </row>
    <row r="1261" spans="12:12" s="456" customFormat="1">
      <c r="L1261" s="460"/>
    </row>
    <row r="1262" spans="12:12" s="456" customFormat="1">
      <c r="L1262" s="460"/>
    </row>
    <row r="1263" spans="12:12" s="456" customFormat="1">
      <c r="L1263" s="460"/>
    </row>
    <row r="1264" spans="12:12" s="456" customFormat="1">
      <c r="L1264" s="460"/>
    </row>
    <row r="1265" spans="12:12" s="456" customFormat="1">
      <c r="L1265" s="460"/>
    </row>
    <row r="1266" spans="12:12" s="456" customFormat="1">
      <c r="L1266" s="460"/>
    </row>
    <row r="1267" spans="12:12" s="456" customFormat="1">
      <c r="L1267" s="460"/>
    </row>
    <row r="1268" spans="12:12" s="456" customFormat="1">
      <c r="L1268" s="460"/>
    </row>
    <row r="1269" spans="12:12" s="456" customFormat="1">
      <c r="L1269" s="460"/>
    </row>
    <row r="1270" spans="12:12" s="456" customFormat="1">
      <c r="L1270" s="460"/>
    </row>
    <row r="1271" spans="12:12" s="456" customFormat="1">
      <c r="L1271" s="460"/>
    </row>
    <row r="1272" spans="12:12" s="456" customFormat="1">
      <c r="L1272" s="460"/>
    </row>
    <row r="1273" spans="12:12" s="456" customFormat="1">
      <c r="L1273" s="460"/>
    </row>
    <row r="1274" spans="12:12" s="456" customFormat="1">
      <c r="L1274" s="460"/>
    </row>
    <row r="1275" spans="12:12" s="456" customFormat="1">
      <c r="L1275" s="460"/>
    </row>
    <row r="1276" spans="12:12" s="456" customFormat="1">
      <c r="L1276" s="460"/>
    </row>
    <row r="1277" spans="12:12" s="456" customFormat="1">
      <c r="L1277" s="460"/>
    </row>
    <row r="1278" spans="12:12" s="456" customFormat="1">
      <c r="L1278" s="460"/>
    </row>
    <row r="1279" spans="12:12" s="456" customFormat="1">
      <c r="L1279" s="460"/>
    </row>
    <row r="1280" spans="12:12" s="456" customFormat="1">
      <c r="L1280" s="460"/>
    </row>
    <row r="1281" spans="12:12" s="456" customFormat="1">
      <c r="L1281" s="460"/>
    </row>
    <row r="1282" spans="12:12" s="456" customFormat="1">
      <c r="L1282" s="460"/>
    </row>
    <row r="1283" spans="12:12" s="456" customFormat="1">
      <c r="L1283" s="460"/>
    </row>
    <row r="1284" spans="12:12" s="456" customFormat="1">
      <c r="L1284" s="460"/>
    </row>
    <row r="1285" spans="12:12" s="456" customFormat="1">
      <c r="L1285" s="460"/>
    </row>
    <row r="1286" spans="12:12" s="456" customFormat="1">
      <c r="L1286" s="460"/>
    </row>
    <row r="1287" spans="12:12" s="456" customFormat="1">
      <c r="L1287" s="460"/>
    </row>
    <row r="1288" spans="12:12" s="456" customFormat="1">
      <c r="L1288" s="460"/>
    </row>
    <row r="1289" spans="12:12" s="456" customFormat="1">
      <c r="L1289" s="460"/>
    </row>
    <row r="1290" spans="12:12" s="456" customFormat="1">
      <c r="L1290" s="460"/>
    </row>
    <row r="1291" spans="12:12" s="456" customFormat="1">
      <c r="L1291" s="460"/>
    </row>
    <row r="1292" spans="12:12" s="456" customFormat="1">
      <c r="L1292" s="460"/>
    </row>
    <row r="1293" spans="12:12" s="456" customFormat="1">
      <c r="L1293" s="460"/>
    </row>
    <row r="1294" spans="12:12" s="456" customFormat="1">
      <c r="L1294" s="460"/>
    </row>
    <row r="1295" spans="12:12" s="456" customFormat="1">
      <c r="L1295" s="460"/>
    </row>
    <row r="1296" spans="12:12" s="456" customFormat="1">
      <c r="L1296" s="460"/>
    </row>
    <row r="1297" spans="12:12" s="456" customFormat="1">
      <c r="L1297" s="460"/>
    </row>
    <row r="1298" spans="12:12" s="456" customFormat="1">
      <c r="L1298" s="460"/>
    </row>
    <row r="1299" spans="12:12" s="456" customFormat="1">
      <c r="L1299" s="460"/>
    </row>
    <row r="1300" spans="12:12" s="456" customFormat="1">
      <c r="L1300" s="460"/>
    </row>
    <row r="1301" spans="12:12" s="456" customFormat="1">
      <c r="L1301" s="460"/>
    </row>
    <row r="1302" spans="12:12" s="456" customFormat="1">
      <c r="L1302" s="460"/>
    </row>
    <row r="1303" spans="12:12" s="456" customFormat="1">
      <c r="L1303" s="460"/>
    </row>
    <row r="1304" spans="12:12" s="456" customFormat="1">
      <c r="L1304" s="460"/>
    </row>
    <row r="1305" spans="12:12" s="456" customFormat="1">
      <c r="L1305" s="460"/>
    </row>
    <row r="1306" spans="12:12" s="456" customFormat="1">
      <c r="L1306" s="460"/>
    </row>
    <row r="1307" spans="12:12" s="456" customFormat="1">
      <c r="L1307" s="460"/>
    </row>
    <row r="1308" spans="12:12" s="456" customFormat="1">
      <c r="L1308" s="460"/>
    </row>
    <row r="1309" spans="12:12" s="456" customFormat="1">
      <c r="L1309" s="460"/>
    </row>
    <row r="1310" spans="12:12" s="456" customFormat="1">
      <c r="L1310" s="460"/>
    </row>
    <row r="1311" spans="12:12" s="456" customFormat="1">
      <c r="L1311" s="460"/>
    </row>
    <row r="1312" spans="12:12" s="456" customFormat="1">
      <c r="L1312" s="460"/>
    </row>
    <row r="1313" spans="12:12" s="456" customFormat="1">
      <c r="L1313" s="460"/>
    </row>
    <row r="1314" spans="12:12" s="456" customFormat="1">
      <c r="L1314" s="460"/>
    </row>
    <row r="1315" spans="12:12" s="456" customFormat="1">
      <c r="L1315" s="460"/>
    </row>
    <row r="1316" spans="12:12" s="456" customFormat="1">
      <c r="L1316" s="460"/>
    </row>
    <row r="1317" spans="12:12" s="456" customFormat="1">
      <c r="L1317" s="460"/>
    </row>
    <row r="1318" spans="12:12" s="456" customFormat="1">
      <c r="L1318" s="460"/>
    </row>
    <row r="1319" spans="12:12" s="456" customFormat="1">
      <c r="L1319" s="460"/>
    </row>
    <row r="1320" spans="12:12" s="456" customFormat="1">
      <c r="L1320" s="460"/>
    </row>
    <row r="1321" spans="12:12" s="456" customFormat="1">
      <c r="L1321" s="460"/>
    </row>
    <row r="1322" spans="12:12" s="456" customFormat="1">
      <c r="L1322" s="460"/>
    </row>
    <row r="1323" spans="12:12" s="456" customFormat="1">
      <c r="L1323" s="460"/>
    </row>
    <row r="1324" spans="12:12" s="456" customFormat="1">
      <c r="L1324" s="460"/>
    </row>
    <row r="1325" spans="12:12" s="456" customFormat="1">
      <c r="L1325" s="460"/>
    </row>
    <row r="1326" spans="12:12" s="456" customFormat="1">
      <c r="L1326" s="460"/>
    </row>
    <row r="1327" spans="12:12" s="456" customFormat="1">
      <c r="L1327" s="460"/>
    </row>
    <row r="1328" spans="12:12" s="456" customFormat="1">
      <c r="L1328" s="460"/>
    </row>
    <row r="1329" spans="12:12" s="456" customFormat="1">
      <c r="L1329" s="460"/>
    </row>
    <row r="1330" spans="12:12" s="456" customFormat="1">
      <c r="L1330" s="460"/>
    </row>
    <row r="1331" spans="12:12" s="456" customFormat="1">
      <c r="L1331" s="460"/>
    </row>
    <row r="1332" spans="12:12" s="456" customFormat="1">
      <c r="L1332" s="460"/>
    </row>
    <row r="1333" spans="12:12" s="456" customFormat="1">
      <c r="L1333" s="460"/>
    </row>
    <row r="1334" spans="12:12" s="456" customFormat="1">
      <c r="L1334" s="460"/>
    </row>
    <row r="1335" spans="12:12" s="456" customFormat="1">
      <c r="L1335" s="460"/>
    </row>
    <row r="1336" spans="12:12" s="456" customFormat="1">
      <c r="L1336" s="460"/>
    </row>
    <row r="1337" spans="12:12" s="456" customFormat="1">
      <c r="L1337" s="460"/>
    </row>
    <row r="1338" spans="12:12" s="456" customFormat="1">
      <c r="L1338" s="460"/>
    </row>
    <row r="1339" spans="12:12" s="456" customFormat="1">
      <c r="L1339" s="460"/>
    </row>
    <row r="1340" spans="12:12" s="456" customFormat="1">
      <c r="L1340" s="460"/>
    </row>
    <row r="1341" spans="12:12" s="456" customFormat="1">
      <c r="L1341" s="460"/>
    </row>
    <row r="1342" spans="12:12" s="456" customFormat="1">
      <c r="L1342" s="460"/>
    </row>
    <row r="1343" spans="12:12" s="456" customFormat="1">
      <c r="L1343" s="460"/>
    </row>
    <row r="1344" spans="12:12" s="456" customFormat="1">
      <c r="L1344" s="460"/>
    </row>
    <row r="1345" spans="12:12" s="456" customFormat="1">
      <c r="L1345" s="460"/>
    </row>
    <row r="1346" spans="12:12" s="456" customFormat="1">
      <c r="L1346" s="460"/>
    </row>
    <row r="1347" spans="12:12" s="456" customFormat="1">
      <c r="L1347" s="460"/>
    </row>
    <row r="1348" spans="12:12" s="456" customFormat="1">
      <c r="L1348" s="460"/>
    </row>
    <row r="1349" spans="12:12" s="456" customFormat="1">
      <c r="L1349" s="460"/>
    </row>
    <row r="1350" spans="12:12" s="456" customFormat="1">
      <c r="L1350" s="460"/>
    </row>
    <row r="1351" spans="12:12" s="456" customFormat="1">
      <c r="L1351" s="460"/>
    </row>
    <row r="1352" spans="12:12" s="456" customFormat="1">
      <c r="L1352" s="460"/>
    </row>
    <row r="1353" spans="12:12" s="456" customFormat="1">
      <c r="L1353" s="460"/>
    </row>
    <row r="1354" spans="12:12" s="456" customFormat="1">
      <c r="L1354" s="460"/>
    </row>
    <row r="1355" spans="12:12" s="456" customFormat="1">
      <c r="L1355" s="460"/>
    </row>
    <row r="1356" spans="12:12" s="456" customFormat="1">
      <c r="L1356" s="460"/>
    </row>
    <row r="1357" spans="12:12" s="456" customFormat="1">
      <c r="L1357" s="460"/>
    </row>
    <row r="1358" spans="12:12" s="456" customFormat="1">
      <c r="L1358" s="460"/>
    </row>
    <row r="1359" spans="12:12" s="456" customFormat="1">
      <c r="L1359" s="460"/>
    </row>
    <row r="1360" spans="12:12" s="456" customFormat="1">
      <c r="L1360" s="460"/>
    </row>
    <row r="1361" spans="12:12" s="456" customFormat="1">
      <c r="L1361" s="460"/>
    </row>
    <row r="1362" spans="12:12" s="456" customFormat="1">
      <c r="L1362" s="460"/>
    </row>
    <row r="1363" spans="12:12" s="456" customFormat="1">
      <c r="L1363" s="460"/>
    </row>
    <row r="1364" spans="12:12" s="456" customFormat="1">
      <c r="L1364" s="460"/>
    </row>
    <row r="1365" spans="12:12" s="456" customFormat="1">
      <c r="L1365" s="460"/>
    </row>
    <row r="1366" spans="12:12" s="456" customFormat="1">
      <c r="L1366" s="460"/>
    </row>
    <row r="1367" spans="12:12" s="456" customFormat="1">
      <c r="L1367" s="460"/>
    </row>
    <row r="1368" spans="12:12" s="456" customFormat="1">
      <c r="L1368" s="460"/>
    </row>
    <row r="1369" spans="12:12" s="456" customFormat="1">
      <c r="L1369" s="460"/>
    </row>
    <row r="1370" spans="12:12" s="456" customFormat="1">
      <c r="L1370" s="460"/>
    </row>
    <row r="1371" spans="12:12" s="456" customFormat="1">
      <c r="L1371" s="460"/>
    </row>
    <row r="1372" spans="12:12" s="456" customFormat="1">
      <c r="L1372" s="460"/>
    </row>
    <row r="1373" spans="12:12" s="456" customFormat="1">
      <c r="L1373" s="460"/>
    </row>
    <row r="1374" spans="12:12" s="456" customFormat="1">
      <c r="L1374" s="460"/>
    </row>
    <row r="1375" spans="12:12" s="456" customFormat="1">
      <c r="L1375" s="460"/>
    </row>
    <row r="1376" spans="12:12" s="456" customFormat="1">
      <c r="L1376" s="460"/>
    </row>
    <row r="1377" spans="12:12" s="456" customFormat="1">
      <c r="L1377" s="460"/>
    </row>
    <row r="1378" spans="12:12" s="456" customFormat="1">
      <c r="L1378" s="460"/>
    </row>
    <row r="1379" spans="12:12" s="456" customFormat="1">
      <c r="L1379" s="460"/>
    </row>
    <row r="1380" spans="12:12" s="456" customFormat="1">
      <c r="L1380" s="460"/>
    </row>
    <row r="1381" spans="12:12" s="456" customFormat="1">
      <c r="L1381" s="460"/>
    </row>
    <row r="1382" spans="12:12" s="456" customFormat="1">
      <c r="L1382" s="460"/>
    </row>
    <row r="1383" spans="12:12" s="456" customFormat="1">
      <c r="L1383" s="460"/>
    </row>
    <row r="1384" spans="12:12" s="456" customFormat="1">
      <c r="L1384" s="460"/>
    </row>
    <row r="1385" spans="12:12" s="456" customFormat="1">
      <c r="L1385" s="460"/>
    </row>
    <row r="1386" spans="12:12" s="456" customFormat="1">
      <c r="L1386" s="460"/>
    </row>
    <row r="1387" spans="12:12" s="456" customFormat="1">
      <c r="L1387" s="460"/>
    </row>
    <row r="1388" spans="12:12" s="456" customFormat="1">
      <c r="L1388" s="460"/>
    </row>
    <row r="1389" spans="12:12" s="456" customFormat="1">
      <c r="L1389" s="460"/>
    </row>
    <row r="1390" spans="12:12" s="456" customFormat="1">
      <c r="L1390" s="460"/>
    </row>
    <row r="1391" spans="12:12" s="456" customFormat="1">
      <c r="L1391" s="460"/>
    </row>
    <row r="1392" spans="12:12" s="456" customFormat="1">
      <c r="L1392" s="460"/>
    </row>
    <row r="1393" spans="12:12" s="456" customFormat="1">
      <c r="L1393" s="460"/>
    </row>
    <row r="1394" spans="12:12" s="456" customFormat="1">
      <c r="L1394" s="460"/>
    </row>
    <row r="1395" spans="12:12" s="456" customFormat="1">
      <c r="L1395" s="460"/>
    </row>
    <row r="1396" spans="12:12" s="456" customFormat="1">
      <c r="L1396" s="460"/>
    </row>
    <row r="1397" spans="12:12" s="456" customFormat="1">
      <c r="L1397" s="460"/>
    </row>
    <row r="1398" spans="12:12" s="456" customFormat="1">
      <c r="L1398" s="460"/>
    </row>
    <row r="1399" spans="12:12" s="456" customFormat="1">
      <c r="L1399" s="460"/>
    </row>
    <row r="1400" spans="12:12" s="456" customFormat="1">
      <c r="L1400" s="460"/>
    </row>
    <row r="1401" spans="12:12" s="456" customFormat="1">
      <c r="L1401" s="460"/>
    </row>
    <row r="1402" spans="12:12" s="456" customFormat="1">
      <c r="L1402" s="460"/>
    </row>
    <row r="1403" spans="12:12" s="456" customFormat="1">
      <c r="L1403" s="460"/>
    </row>
    <row r="1404" spans="12:12" s="456" customFormat="1">
      <c r="L1404" s="460"/>
    </row>
    <row r="1405" spans="12:12" s="456" customFormat="1">
      <c r="L1405" s="460"/>
    </row>
    <row r="1406" spans="12:12" s="456" customFormat="1">
      <c r="L1406" s="460"/>
    </row>
    <row r="1407" spans="12:12" s="456" customFormat="1">
      <c r="L1407" s="460"/>
    </row>
    <row r="1408" spans="12:12" s="456" customFormat="1">
      <c r="L1408" s="460"/>
    </row>
    <row r="1409" spans="12:12" s="456" customFormat="1">
      <c r="L1409" s="460"/>
    </row>
    <row r="1410" spans="12:12" s="456" customFormat="1">
      <c r="L1410" s="460"/>
    </row>
    <row r="1411" spans="12:12" s="456" customFormat="1">
      <c r="L1411" s="460"/>
    </row>
    <row r="1412" spans="12:12" s="456" customFormat="1">
      <c r="L1412" s="460"/>
    </row>
    <row r="1413" spans="12:12" s="456" customFormat="1">
      <c r="L1413" s="460"/>
    </row>
    <row r="1414" spans="12:12" s="456" customFormat="1">
      <c r="L1414" s="460"/>
    </row>
    <row r="1415" spans="12:12" s="456" customFormat="1">
      <c r="L1415" s="460"/>
    </row>
    <row r="1416" spans="12:12" s="456" customFormat="1">
      <c r="L1416" s="460"/>
    </row>
    <row r="1417" spans="12:12" s="456" customFormat="1">
      <c r="L1417" s="460"/>
    </row>
    <row r="1418" spans="12:12" s="456" customFormat="1">
      <c r="L1418" s="460"/>
    </row>
    <row r="1419" spans="12:12" s="456" customFormat="1">
      <c r="L1419" s="460"/>
    </row>
    <row r="1420" spans="12:12" s="456" customFormat="1">
      <c r="L1420" s="460"/>
    </row>
    <row r="1421" spans="12:12" s="456" customFormat="1">
      <c r="L1421" s="460"/>
    </row>
    <row r="1422" spans="12:12" s="456" customFormat="1">
      <c r="L1422" s="460"/>
    </row>
    <row r="1423" spans="12:12" s="456" customFormat="1">
      <c r="L1423" s="460"/>
    </row>
    <row r="1424" spans="12:12" s="456" customFormat="1">
      <c r="L1424" s="460"/>
    </row>
    <row r="1425" spans="12:12" s="456" customFormat="1">
      <c r="L1425" s="460"/>
    </row>
    <row r="1426" spans="12:12" s="456" customFormat="1">
      <c r="L1426" s="460"/>
    </row>
    <row r="1427" spans="12:12" s="456" customFormat="1">
      <c r="L1427" s="460"/>
    </row>
    <row r="1428" spans="12:12" s="456" customFormat="1">
      <c r="L1428" s="460"/>
    </row>
    <row r="1429" spans="12:12" s="456" customFormat="1">
      <c r="L1429" s="460"/>
    </row>
    <row r="1430" spans="12:12" s="456" customFormat="1">
      <c r="L1430" s="460"/>
    </row>
    <row r="1431" spans="12:12" s="456" customFormat="1">
      <c r="L1431" s="460"/>
    </row>
    <row r="1432" spans="12:12" s="456" customFormat="1">
      <c r="L1432" s="460"/>
    </row>
    <row r="1433" spans="12:12" s="456" customFormat="1">
      <c r="L1433" s="460"/>
    </row>
    <row r="1434" spans="12:12" s="456" customFormat="1">
      <c r="L1434" s="460"/>
    </row>
    <row r="1435" spans="12:12" s="456" customFormat="1">
      <c r="L1435" s="460"/>
    </row>
    <row r="1436" spans="12:12" s="456" customFormat="1">
      <c r="L1436" s="460"/>
    </row>
    <row r="1437" spans="12:12" s="456" customFormat="1">
      <c r="L1437" s="460"/>
    </row>
    <row r="1438" spans="12:12" s="456" customFormat="1">
      <c r="L1438" s="460"/>
    </row>
    <row r="1439" spans="12:12" s="456" customFormat="1">
      <c r="L1439" s="460"/>
    </row>
    <row r="1440" spans="12:12" s="456" customFormat="1">
      <c r="L1440" s="460"/>
    </row>
    <row r="1441" spans="12:12" s="456" customFormat="1">
      <c r="L1441" s="460"/>
    </row>
    <row r="1442" spans="12:12" s="456" customFormat="1">
      <c r="L1442" s="460"/>
    </row>
    <row r="1443" spans="12:12" s="456" customFormat="1">
      <c r="L1443" s="460"/>
    </row>
    <row r="1444" spans="12:12" s="456" customFormat="1">
      <c r="L1444" s="460"/>
    </row>
    <row r="1445" spans="12:12" s="456" customFormat="1">
      <c r="L1445" s="460"/>
    </row>
    <row r="1446" spans="12:12" s="456" customFormat="1">
      <c r="L1446" s="460"/>
    </row>
    <row r="1447" spans="12:12" s="456" customFormat="1">
      <c r="L1447" s="460"/>
    </row>
    <row r="1448" spans="12:12" s="456" customFormat="1">
      <c r="L1448" s="460"/>
    </row>
    <row r="1449" spans="12:12" s="456" customFormat="1">
      <c r="L1449" s="460"/>
    </row>
    <row r="1450" spans="12:12" s="456" customFormat="1">
      <c r="L1450" s="460"/>
    </row>
    <row r="1451" spans="12:12" s="456" customFormat="1">
      <c r="L1451" s="460"/>
    </row>
    <row r="1452" spans="12:12" s="456" customFormat="1">
      <c r="L1452" s="460"/>
    </row>
    <row r="1453" spans="12:12" s="456" customFormat="1">
      <c r="L1453" s="460"/>
    </row>
    <row r="1454" spans="12:12" s="456" customFormat="1">
      <c r="L1454" s="460"/>
    </row>
    <row r="1455" spans="12:12" s="456" customFormat="1">
      <c r="L1455" s="460"/>
    </row>
    <row r="1456" spans="12:12" s="456" customFormat="1">
      <c r="L1456" s="460"/>
    </row>
    <row r="1457" spans="12:12" s="456" customFormat="1">
      <c r="L1457" s="460"/>
    </row>
    <row r="1458" spans="12:12" s="456" customFormat="1">
      <c r="L1458" s="460"/>
    </row>
    <row r="1459" spans="12:12" s="456" customFormat="1">
      <c r="L1459" s="460"/>
    </row>
    <row r="1460" spans="12:12" s="456" customFormat="1">
      <c r="L1460" s="460"/>
    </row>
    <row r="1461" spans="12:12" s="456" customFormat="1">
      <c r="L1461" s="460"/>
    </row>
    <row r="1462" spans="12:12" s="456" customFormat="1">
      <c r="L1462" s="460"/>
    </row>
    <row r="1463" spans="12:12" s="456" customFormat="1">
      <c r="L1463" s="460"/>
    </row>
    <row r="1464" spans="12:12" s="456" customFormat="1">
      <c r="L1464" s="460"/>
    </row>
    <row r="1465" spans="12:12" s="456" customFormat="1">
      <c r="L1465" s="460"/>
    </row>
    <row r="1466" spans="12:12" s="456" customFormat="1">
      <c r="L1466" s="460"/>
    </row>
    <row r="1467" spans="12:12" s="456" customFormat="1">
      <c r="L1467" s="460"/>
    </row>
    <row r="1468" spans="12:12" s="456" customFormat="1">
      <c r="L1468" s="460"/>
    </row>
    <row r="1469" spans="12:12" s="456" customFormat="1">
      <c r="L1469" s="460"/>
    </row>
    <row r="1470" spans="12:12" s="456" customFormat="1">
      <c r="L1470" s="460"/>
    </row>
    <row r="1471" spans="12:12" s="456" customFormat="1">
      <c r="L1471" s="460"/>
    </row>
    <row r="1472" spans="12:12" s="456" customFormat="1">
      <c r="L1472" s="460"/>
    </row>
    <row r="1473" spans="12:12" s="456" customFormat="1">
      <c r="L1473" s="460"/>
    </row>
    <row r="1474" spans="12:12" s="456" customFormat="1">
      <c r="L1474" s="460"/>
    </row>
    <row r="1475" spans="12:12" s="456" customFormat="1">
      <c r="L1475" s="460"/>
    </row>
    <row r="1476" spans="12:12" s="456" customFormat="1">
      <c r="L1476" s="460"/>
    </row>
    <row r="1477" spans="12:12" s="456" customFormat="1">
      <c r="L1477" s="460"/>
    </row>
    <row r="1478" spans="12:12" s="456" customFormat="1">
      <c r="L1478" s="460"/>
    </row>
    <row r="1479" spans="12:12" s="456" customFormat="1">
      <c r="L1479" s="460"/>
    </row>
    <row r="1480" spans="12:12" s="456" customFormat="1">
      <c r="L1480" s="460"/>
    </row>
    <row r="1481" spans="12:12" s="456" customFormat="1">
      <c r="L1481" s="460"/>
    </row>
    <row r="1482" spans="12:12" s="456" customFormat="1">
      <c r="L1482" s="460"/>
    </row>
    <row r="1483" spans="12:12" s="456" customFormat="1">
      <c r="L1483" s="460"/>
    </row>
    <row r="1484" spans="12:12" s="456" customFormat="1">
      <c r="L1484" s="460"/>
    </row>
    <row r="1485" spans="12:12" s="456" customFormat="1">
      <c r="L1485" s="460"/>
    </row>
    <row r="1486" spans="12:12" s="456" customFormat="1">
      <c r="L1486" s="460"/>
    </row>
    <row r="1487" spans="12:12" s="456" customFormat="1">
      <c r="L1487" s="460"/>
    </row>
    <row r="1488" spans="12:12" s="456" customFormat="1">
      <c r="L1488" s="460"/>
    </row>
    <row r="1489" spans="12:12" s="456" customFormat="1">
      <c r="L1489" s="460"/>
    </row>
    <row r="1490" spans="12:12" s="456" customFormat="1">
      <c r="L1490" s="460"/>
    </row>
    <row r="1491" spans="12:12" s="456" customFormat="1">
      <c r="L1491" s="460"/>
    </row>
    <row r="1492" spans="12:12" s="456" customFormat="1">
      <c r="L1492" s="460"/>
    </row>
    <row r="1493" spans="12:12" s="456" customFormat="1">
      <c r="L1493" s="460"/>
    </row>
    <row r="1494" spans="12:12" s="456" customFormat="1">
      <c r="L1494" s="460"/>
    </row>
    <row r="1495" spans="12:12" s="456" customFormat="1">
      <c r="L1495" s="460"/>
    </row>
    <row r="1496" spans="12:12" s="456" customFormat="1">
      <c r="L1496" s="460"/>
    </row>
    <row r="1497" spans="12:12" s="456" customFormat="1">
      <c r="L1497" s="460"/>
    </row>
    <row r="1498" spans="12:12" s="456" customFormat="1">
      <c r="L1498" s="460"/>
    </row>
    <row r="1499" spans="12:12" s="456" customFormat="1">
      <c r="L1499" s="460"/>
    </row>
    <row r="1500" spans="12:12" s="456" customFormat="1">
      <c r="L1500" s="460"/>
    </row>
    <row r="1501" spans="12:12" s="456" customFormat="1">
      <c r="L1501" s="460"/>
    </row>
    <row r="1502" spans="12:12" s="456" customFormat="1">
      <c r="L1502" s="460"/>
    </row>
    <row r="1503" spans="12:12" s="456" customFormat="1">
      <c r="L1503" s="460"/>
    </row>
    <row r="1504" spans="12:12" s="456" customFormat="1">
      <c r="L1504" s="460"/>
    </row>
    <row r="1505" spans="12:12" s="456" customFormat="1">
      <c r="L1505" s="460"/>
    </row>
    <row r="1506" spans="12:12" s="456" customFormat="1">
      <c r="L1506" s="460"/>
    </row>
    <row r="1507" spans="12:12" s="456" customFormat="1">
      <c r="L1507" s="460"/>
    </row>
    <row r="1508" spans="12:12" s="456" customFormat="1">
      <c r="L1508" s="460"/>
    </row>
    <row r="1509" spans="12:12" s="456" customFormat="1">
      <c r="L1509" s="460"/>
    </row>
    <row r="1510" spans="12:12" s="456" customFormat="1">
      <c r="L1510" s="460"/>
    </row>
    <row r="1511" spans="12:12" s="456" customFormat="1">
      <c r="L1511" s="460"/>
    </row>
    <row r="1512" spans="12:12" s="456" customFormat="1">
      <c r="L1512" s="460"/>
    </row>
    <row r="1513" spans="12:12" s="456" customFormat="1">
      <c r="L1513" s="460"/>
    </row>
    <row r="1514" spans="12:12" s="456" customFormat="1">
      <c r="L1514" s="460"/>
    </row>
    <row r="1515" spans="12:12" s="456" customFormat="1">
      <c r="L1515" s="460"/>
    </row>
    <row r="1516" spans="12:12" s="456" customFormat="1">
      <c r="L1516" s="460"/>
    </row>
    <row r="1517" spans="12:12" s="456" customFormat="1">
      <c r="L1517" s="460"/>
    </row>
    <row r="1518" spans="12:12" s="456" customFormat="1">
      <c r="L1518" s="460"/>
    </row>
    <row r="1519" spans="12:12" s="456" customFormat="1">
      <c r="L1519" s="460"/>
    </row>
    <row r="1520" spans="12:12" s="456" customFormat="1">
      <c r="L1520" s="460"/>
    </row>
  </sheetData>
  <mergeCells count="2">
    <mergeCell ref="A1:D1"/>
    <mergeCell ref="A2:D2"/>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M1159"/>
  <sheetViews>
    <sheetView workbookViewId="0">
      <selection activeCell="I12" sqref="I12"/>
    </sheetView>
  </sheetViews>
  <sheetFormatPr defaultRowHeight="15.75"/>
  <cols>
    <col min="1" max="1" width="3.5" customWidth="1"/>
    <col min="2" max="2" width="10" customWidth="1"/>
    <col min="3" max="5" width="15.5" customWidth="1"/>
    <col min="6" max="6" width="8.125" customWidth="1"/>
    <col min="7" max="9" width="8.375" customWidth="1"/>
    <col min="10" max="10" width="12.25" customWidth="1"/>
    <col min="11" max="11" width="9.875" customWidth="1"/>
    <col min="12" max="12" width="9.375" style="575" customWidth="1"/>
    <col min="13" max="14" width="15.5" customWidth="1"/>
    <col min="233" max="233" width="2.625" customWidth="1"/>
    <col min="234" max="268" width="2.5" customWidth="1"/>
    <col min="489" max="489" width="2.625" customWidth="1"/>
    <col min="490" max="524" width="2.5" customWidth="1"/>
    <col min="745" max="745" width="2.625" customWidth="1"/>
    <col min="746" max="780" width="2.5" customWidth="1"/>
    <col min="1001" max="1001" width="2.625" customWidth="1"/>
    <col min="1002" max="1036" width="2.5" customWidth="1"/>
    <col min="1257" max="1257" width="2.625" customWidth="1"/>
    <col min="1258" max="1292" width="2.5" customWidth="1"/>
    <col min="1513" max="1513" width="2.625" customWidth="1"/>
    <col min="1514" max="1548" width="2.5" customWidth="1"/>
    <col min="1769" max="1769" width="2.625" customWidth="1"/>
    <col min="1770" max="1804" width="2.5" customWidth="1"/>
    <col min="2025" max="2025" width="2.625" customWidth="1"/>
    <col min="2026" max="2060" width="2.5" customWidth="1"/>
    <col min="2281" max="2281" width="2.625" customWidth="1"/>
    <col min="2282" max="2316" width="2.5" customWidth="1"/>
    <col min="2537" max="2537" width="2.625" customWidth="1"/>
    <col min="2538" max="2572" width="2.5" customWidth="1"/>
    <col min="2793" max="2793" width="2.625" customWidth="1"/>
    <col min="2794" max="2828" width="2.5" customWidth="1"/>
    <col min="3049" max="3049" width="2.625" customWidth="1"/>
    <col min="3050" max="3084" width="2.5" customWidth="1"/>
    <col min="3305" max="3305" width="2.625" customWidth="1"/>
    <col min="3306" max="3340" width="2.5" customWidth="1"/>
    <col min="3561" max="3561" width="2.625" customWidth="1"/>
    <col min="3562" max="3596" width="2.5" customWidth="1"/>
    <col min="3817" max="3817" width="2.625" customWidth="1"/>
    <col min="3818" max="3852" width="2.5" customWidth="1"/>
    <col min="4073" max="4073" width="2.625" customWidth="1"/>
    <col min="4074" max="4108" width="2.5" customWidth="1"/>
    <col min="4329" max="4329" width="2.625" customWidth="1"/>
    <col min="4330" max="4364" width="2.5" customWidth="1"/>
    <col min="4585" max="4585" width="2.625" customWidth="1"/>
    <col min="4586" max="4620" width="2.5" customWidth="1"/>
    <col min="4841" max="4841" width="2.625" customWidth="1"/>
    <col min="4842" max="4876" width="2.5" customWidth="1"/>
    <col min="5097" max="5097" width="2.625" customWidth="1"/>
    <col min="5098" max="5132" width="2.5" customWidth="1"/>
    <col min="5353" max="5353" width="2.625" customWidth="1"/>
    <col min="5354" max="5388" width="2.5" customWidth="1"/>
    <col min="5609" max="5609" width="2.625" customWidth="1"/>
    <col min="5610" max="5644" width="2.5" customWidth="1"/>
    <col min="5865" max="5865" width="2.625" customWidth="1"/>
    <col min="5866" max="5900" width="2.5" customWidth="1"/>
    <col min="6121" max="6121" width="2.625" customWidth="1"/>
    <col min="6122" max="6156" width="2.5" customWidth="1"/>
    <col min="6377" max="6377" width="2.625" customWidth="1"/>
    <col min="6378" max="6412" width="2.5" customWidth="1"/>
    <col min="6633" max="6633" width="2.625" customWidth="1"/>
    <col min="6634" max="6668" width="2.5" customWidth="1"/>
    <col min="6889" max="6889" width="2.625" customWidth="1"/>
    <col min="6890" max="6924" width="2.5" customWidth="1"/>
    <col min="7145" max="7145" width="2.625" customWidth="1"/>
    <col min="7146" max="7180" width="2.5" customWidth="1"/>
    <col min="7401" max="7401" width="2.625" customWidth="1"/>
    <col min="7402" max="7436" width="2.5" customWidth="1"/>
    <col min="7657" max="7657" width="2.625" customWidth="1"/>
    <col min="7658" max="7692" width="2.5" customWidth="1"/>
    <col min="7913" max="7913" width="2.625" customWidth="1"/>
    <col min="7914" max="7948" width="2.5" customWidth="1"/>
    <col min="8169" max="8169" width="2.625" customWidth="1"/>
    <col min="8170" max="8204" width="2.5" customWidth="1"/>
    <col min="8425" max="8425" width="2.625" customWidth="1"/>
    <col min="8426" max="8460" width="2.5" customWidth="1"/>
    <col min="8681" max="8681" width="2.625" customWidth="1"/>
    <col min="8682" max="8716" width="2.5" customWidth="1"/>
    <col min="8937" max="8937" width="2.625" customWidth="1"/>
    <col min="8938" max="8972" width="2.5" customWidth="1"/>
    <col min="9193" max="9193" width="2.625" customWidth="1"/>
    <col min="9194" max="9228" width="2.5" customWidth="1"/>
    <col min="9449" max="9449" width="2.625" customWidth="1"/>
    <col min="9450" max="9484" width="2.5" customWidth="1"/>
    <col min="9705" max="9705" width="2.625" customWidth="1"/>
    <col min="9706" max="9740" width="2.5" customWidth="1"/>
    <col min="9961" max="9961" width="2.625" customWidth="1"/>
    <col min="9962" max="9996" width="2.5" customWidth="1"/>
    <col min="10217" max="10217" width="2.625" customWidth="1"/>
    <col min="10218" max="10252" width="2.5" customWidth="1"/>
    <col min="10473" max="10473" width="2.625" customWidth="1"/>
    <col min="10474" max="10508" width="2.5" customWidth="1"/>
    <col min="10729" max="10729" width="2.625" customWidth="1"/>
    <col min="10730" max="10764" width="2.5" customWidth="1"/>
    <col min="10985" max="10985" width="2.625" customWidth="1"/>
    <col min="10986" max="11020" width="2.5" customWidth="1"/>
    <col min="11241" max="11241" width="2.625" customWidth="1"/>
    <col min="11242" max="11276" width="2.5" customWidth="1"/>
    <col min="11497" max="11497" width="2.625" customWidth="1"/>
    <col min="11498" max="11532" width="2.5" customWidth="1"/>
    <col min="11753" max="11753" width="2.625" customWidth="1"/>
    <col min="11754" max="11788" width="2.5" customWidth="1"/>
    <col min="12009" max="12009" width="2.625" customWidth="1"/>
    <col min="12010" max="12044" width="2.5" customWidth="1"/>
    <col min="12265" max="12265" width="2.625" customWidth="1"/>
    <col min="12266" max="12300" width="2.5" customWidth="1"/>
    <col min="12521" max="12521" width="2.625" customWidth="1"/>
    <col min="12522" max="12556" width="2.5" customWidth="1"/>
    <col min="12777" max="12777" width="2.625" customWidth="1"/>
    <col min="12778" max="12812" width="2.5" customWidth="1"/>
    <col min="13033" max="13033" width="2.625" customWidth="1"/>
    <col min="13034" max="13068" width="2.5" customWidth="1"/>
    <col min="13289" max="13289" width="2.625" customWidth="1"/>
    <col min="13290" max="13324" width="2.5" customWidth="1"/>
    <col min="13545" max="13545" width="2.625" customWidth="1"/>
    <col min="13546" max="13580" width="2.5" customWidth="1"/>
    <col min="13801" max="13801" width="2.625" customWidth="1"/>
    <col min="13802" max="13836" width="2.5" customWidth="1"/>
    <col min="14057" max="14057" width="2.625" customWidth="1"/>
    <col min="14058" max="14092" width="2.5" customWidth="1"/>
    <col min="14313" max="14313" width="2.625" customWidth="1"/>
    <col min="14314" max="14348" width="2.5" customWidth="1"/>
    <col min="14569" max="14569" width="2.625" customWidth="1"/>
    <col min="14570" max="14604" width="2.5" customWidth="1"/>
    <col min="14825" max="14825" width="2.625" customWidth="1"/>
    <col min="14826" max="14860" width="2.5" customWidth="1"/>
    <col min="15081" max="15081" width="2.625" customWidth="1"/>
    <col min="15082" max="15116" width="2.5" customWidth="1"/>
    <col min="15337" max="15337" width="2.625" customWidth="1"/>
    <col min="15338" max="15372" width="2.5" customWidth="1"/>
    <col min="15593" max="15593" width="2.625" customWidth="1"/>
    <col min="15594" max="15628" width="2.5" customWidth="1"/>
    <col min="15849" max="15849" width="2.625" customWidth="1"/>
    <col min="15850" max="15884" width="2.5" customWidth="1"/>
    <col min="16105" max="16105" width="2.625" customWidth="1"/>
    <col min="16106" max="16140" width="2.5" customWidth="1"/>
  </cols>
  <sheetData>
    <row r="1" spans="1:13" ht="21.75" customHeight="1">
      <c r="A1" s="572" t="s">
        <v>11470</v>
      </c>
      <c r="B1" s="573" t="s">
        <v>3688</v>
      </c>
      <c r="C1" s="573" t="s">
        <v>3689</v>
      </c>
      <c r="D1" s="573" t="s">
        <v>3690</v>
      </c>
      <c r="E1" s="573" t="s">
        <v>3691</v>
      </c>
      <c r="F1" s="573" t="s">
        <v>3692</v>
      </c>
      <c r="G1" s="573" t="s">
        <v>4</v>
      </c>
      <c r="H1" s="573" t="s">
        <v>11475</v>
      </c>
      <c r="I1" s="573" t="s">
        <v>11476</v>
      </c>
      <c r="J1" s="573" t="s">
        <v>11477</v>
      </c>
      <c r="K1" s="573" t="s">
        <v>3705</v>
      </c>
      <c r="L1" s="573" t="s">
        <v>2642</v>
      </c>
      <c r="M1" s="573" t="s">
        <v>11478</v>
      </c>
    </row>
    <row r="2" spans="1:13" ht="13.7" customHeight="1">
      <c r="A2" s="557"/>
      <c r="B2" s="550" t="s">
        <v>4973</v>
      </c>
      <c r="C2" s="550" t="s">
        <v>4974</v>
      </c>
      <c r="D2" s="550" t="s">
        <v>702</v>
      </c>
      <c r="E2" s="550" t="s">
        <v>262</v>
      </c>
      <c r="F2" s="550" t="s">
        <v>11</v>
      </c>
      <c r="G2" s="552">
        <v>1490</v>
      </c>
      <c r="H2" s="552"/>
      <c r="I2" s="548">
        <v>5000</v>
      </c>
      <c r="J2" s="548">
        <v>0</v>
      </c>
      <c r="K2" s="552">
        <v>0</v>
      </c>
      <c r="L2" s="574">
        <v>0</v>
      </c>
      <c r="M2" s="548">
        <v>5000</v>
      </c>
    </row>
    <row r="3" spans="1:13" ht="15.95" customHeight="1">
      <c r="A3" s="547"/>
      <c r="B3" s="550" t="s">
        <v>4973</v>
      </c>
      <c r="C3" s="550" t="s">
        <v>4974</v>
      </c>
      <c r="D3" s="550" t="s">
        <v>702</v>
      </c>
      <c r="E3" s="550" t="s">
        <v>262</v>
      </c>
      <c r="F3" s="550" t="s">
        <v>11</v>
      </c>
      <c r="G3" s="552">
        <v>1490</v>
      </c>
      <c r="H3" s="552"/>
      <c r="I3" s="548">
        <v>2500</v>
      </c>
      <c r="J3" s="548">
        <v>2500</v>
      </c>
      <c r="K3" s="552">
        <v>2500</v>
      </c>
      <c r="L3" s="574">
        <v>0</v>
      </c>
      <c r="M3" s="548">
        <v>0</v>
      </c>
    </row>
    <row r="4" spans="1:13" ht="15.95" customHeight="1">
      <c r="A4" s="547"/>
      <c r="B4" s="550" t="s">
        <v>7116</v>
      </c>
      <c r="C4" s="550" t="s">
        <v>7118</v>
      </c>
      <c r="D4" s="550" t="s">
        <v>5013</v>
      </c>
      <c r="E4" s="550" t="s">
        <v>7117</v>
      </c>
      <c r="F4" s="550" t="s">
        <v>520</v>
      </c>
      <c r="G4" s="552">
        <v>1407</v>
      </c>
      <c r="H4" s="552"/>
      <c r="I4" s="548">
        <v>6300</v>
      </c>
      <c r="J4" s="548">
        <v>6300</v>
      </c>
      <c r="K4" s="552">
        <v>0</v>
      </c>
      <c r="L4" s="574">
        <v>6300</v>
      </c>
      <c r="M4" s="548">
        <v>0</v>
      </c>
    </row>
    <row r="5" spans="1:13" ht="15.95" customHeight="1">
      <c r="A5" s="547"/>
      <c r="B5" s="550" t="s">
        <v>7116</v>
      </c>
      <c r="C5" s="550" t="s">
        <v>7118</v>
      </c>
      <c r="D5" s="550" t="s">
        <v>5013</v>
      </c>
      <c r="E5" s="550" t="s">
        <v>7117</v>
      </c>
      <c r="F5" s="550" t="s">
        <v>520</v>
      </c>
      <c r="G5" s="552">
        <v>1407</v>
      </c>
      <c r="H5" s="552"/>
      <c r="I5" s="548">
        <v>9990</v>
      </c>
      <c r="J5" s="548">
        <v>2162</v>
      </c>
      <c r="K5" s="552">
        <v>0</v>
      </c>
      <c r="L5" s="574">
        <v>2162</v>
      </c>
      <c r="M5" s="548">
        <v>7828</v>
      </c>
    </row>
    <row r="6" spans="1:13" ht="15.95" customHeight="1">
      <c r="A6" s="547"/>
      <c r="B6" s="550" t="s">
        <v>3715</v>
      </c>
      <c r="C6" s="550" t="s">
        <v>630</v>
      </c>
      <c r="D6" s="550" t="s">
        <v>1333</v>
      </c>
      <c r="E6" s="550" t="s">
        <v>3716</v>
      </c>
      <c r="F6" s="550" t="s">
        <v>15</v>
      </c>
      <c r="G6" s="552">
        <v>6132</v>
      </c>
      <c r="H6" s="552">
        <v>10</v>
      </c>
      <c r="I6" s="548">
        <v>0</v>
      </c>
      <c r="J6" s="548">
        <v>10</v>
      </c>
      <c r="K6" s="552">
        <v>10</v>
      </c>
      <c r="L6" s="574">
        <v>0</v>
      </c>
      <c r="M6" s="548">
        <v>0</v>
      </c>
    </row>
    <row r="7" spans="1:13" ht="15.95" customHeight="1">
      <c r="A7" s="547"/>
      <c r="B7" s="550" t="s">
        <v>3715</v>
      </c>
      <c r="C7" s="550" t="s">
        <v>630</v>
      </c>
      <c r="D7" s="550" t="s">
        <v>1333</v>
      </c>
      <c r="E7" s="550" t="s">
        <v>3716</v>
      </c>
      <c r="F7" s="550" t="s">
        <v>15</v>
      </c>
      <c r="G7" s="552">
        <v>6132</v>
      </c>
      <c r="H7" s="552"/>
      <c r="I7" s="548">
        <v>80</v>
      </c>
      <c r="J7" s="548">
        <v>70</v>
      </c>
      <c r="K7" s="552">
        <v>70</v>
      </c>
      <c r="L7" s="574">
        <v>0</v>
      </c>
      <c r="M7" s="548">
        <v>10</v>
      </c>
    </row>
    <row r="8" spans="1:13" ht="15.95" customHeight="1">
      <c r="A8" s="547"/>
      <c r="B8" s="550" t="s">
        <v>8462</v>
      </c>
      <c r="C8" s="550" t="s">
        <v>630</v>
      </c>
      <c r="D8" s="550" t="s">
        <v>1333</v>
      </c>
      <c r="E8" s="550" t="s">
        <v>3716</v>
      </c>
      <c r="F8" s="550" t="s">
        <v>15</v>
      </c>
      <c r="G8" s="552">
        <v>6132</v>
      </c>
      <c r="H8" s="552"/>
      <c r="I8" s="548">
        <v>90</v>
      </c>
      <c r="J8" s="548">
        <v>90</v>
      </c>
      <c r="K8" s="552">
        <v>90</v>
      </c>
      <c r="L8" s="574">
        <v>0</v>
      </c>
      <c r="M8" s="548">
        <v>0</v>
      </c>
    </row>
    <row r="9" spans="1:13" ht="15.95" customHeight="1">
      <c r="A9" s="547"/>
      <c r="B9" s="550" t="s">
        <v>4784</v>
      </c>
      <c r="C9" s="550" t="s">
        <v>4785</v>
      </c>
      <c r="D9" s="550" t="s">
        <v>438</v>
      </c>
      <c r="E9" s="550" t="s">
        <v>229</v>
      </c>
      <c r="F9" s="550" t="s">
        <v>628</v>
      </c>
      <c r="G9" s="552">
        <v>1190</v>
      </c>
      <c r="H9" s="552">
        <v>112</v>
      </c>
      <c r="I9" s="548">
        <v>0</v>
      </c>
      <c r="J9" s="548">
        <v>112</v>
      </c>
      <c r="K9" s="552">
        <v>112</v>
      </c>
      <c r="L9" s="574">
        <v>0</v>
      </c>
      <c r="M9" s="548">
        <v>0</v>
      </c>
    </row>
    <row r="10" spans="1:13" ht="15.95" customHeight="1">
      <c r="A10" s="547"/>
      <c r="B10" s="550" t="s">
        <v>4978</v>
      </c>
      <c r="C10" s="550" t="s">
        <v>4979</v>
      </c>
      <c r="D10" s="550" t="s">
        <v>3513</v>
      </c>
      <c r="E10" s="550" t="s">
        <v>4980</v>
      </c>
      <c r="F10" s="550" t="s">
        <v>15</v>
      </c>
      <c r="G10" s="552">
        <v>16590</v>
      </c>
      <c r="H10" s="552">
        <v>105</v>
      </c>
      <c r="I10" s="548">
        <v>0</v>
      </c>
      <c r="J10" s="548">
        <v>97</v>
      </c>
      <c r="K10" s="552">
        <v>1</v>
      </c>
      <c r="L10" s="574">
        <v>96</v>
      </c>
      <c r="M10" s="548">
        <v>8</v>
      </c>
    </row>
    <row r="11" spans="1:13" ht="15.95" customHeight="1">
      <c r="A11" s="547"/>
      <c r="B11" s="550" t="s">
        <v>4978</v>
      </c>
      <c r="C11" s="550" t="s">
        <v>4979</v>
      </c>
      <c r="D11" s="550" t="s">
        <v>3513</v>
      </c>
      <c r="E11" s="550" t="s">
        <v>4980</v>
      </c>
      <c r="F11" s="550" t="s">
        <v>15</v>
      </c>
      <c r="G11" s="552">
        <v>16590</v>
      </c>
      <c r="H11" s="552">
        <v>220</v>
      </c>
      <c r="I11" s="548">
        <v>0</v>
      </c>
      <c r="J11" s="548">
        <v>9</v>
      </c>
      <c r="K11" s="552">
        <v>0</v>
      </c>
      <c r="L11" s="574">
        <v>9</v>
      </c>
      <c r="M11" s="548">
        <v>211</v>
      </c>
    </row>
    <row r="12" spans="1:13" ht="15.95" customHeight="1">
      <c r="A12" s="547"/>
      <c r="B12" s="550" t="s">
        <v>3717</v>
      </c>
      <c r="C12" s="550" t="s">
        <v>3718</v>
      </c>
      <c r="D12" s="550" t="s">
        <v>560</v>
      </c>
      <c r="E12" s="550" t="s">
        <v>299</v>
      </c>
      <c r="F12" s="550" t="s">
        <v>13</v>
      </c>
      <c r="G12" s="552">
        <v>2009</v>
      </c>
      <c r="H12" s="552"/>
      <c r="I12" s="548">
        <v>3000</v>
      </c>
      <c r="J12" s="548">
        <v>2995</v>
      </c>
      <c r="K12" s="552">
        <v>2000</v>
      </c>
      <c r="L12" s="574">
        <v>995</v>
      </c>
      <c r="M12" s="548">
        <v>5</v>
      </c>
    </row>
    <row r="13" spans="1:13" ht="15.95" customHeight="1">
      <c r="A13" s="547"/>
      <c r="B13" s="550" t="s">
        <v>3717</v>
      </c>
      <c r="C13" s="550" t="s">
        <v>3718</v>
      </c>
      <c r="D13" s="550" t="s">
        <v>560</v>
      </c>
      <c r="E13" s="550" t="s">
        <v>299</v>
      </c>
      <c r="F13" s="550" t="s">
        <v>13</v>
      </c>
      <c r="G13" s="552">
        <v>2009</v>
      </c>
      <c r="H13" s="552">
        <v>3</v>
      </c>
      <c r="I13" s="548">
        <v>0</v>
      </c>
      <c r="J13" s="548">
        <v>3</v>
      </c>
      <c r="K13" s="552">
        <v>0</v>
      </c>
      <c r="L13" s="574">
        <v>3</v>
      </c>
      <c r="M13" s="548">
        <v>0</v>
      </c>
    </row>
    <row r="14" spans="1:13" ht="15.95" customHeight="1">
      <c r="A14" s="547"/>
      <c r="B14" s="550" t="s">
        <v>6988</v>
      </c>
      <c r="C14" s="550" t="s">
        <v>939</v>
      </c>
      <c r="D14" s="550" t="s">
        <v>560</v>
      </c>
      <c r="E14" s="550" t="s">
        <v>299</v>
      </c>
      <c r="F14" s="550" t="s">
        <v>12</v>
      </c>
      <c r="G14" s="552">
        <v>370</v>
      </c>
      <c r="H14" s="552"/>
      <c r="I14" s="548">
        <v>1000</v>
      </c>
      <c r="J14" s="548">
        <v>1000</v>
      </c>
      <c r="K14" s="552">
        <v>1000</v>
      </c>
      <c r="L14" s="574">
        <v>0</v>
      </c>
      <c r="M14" s="548">
        <v>0</v>
      </c>
    </row>
    <row r="15" spans="1:13" ht="15.95" customHeight="1">
      <c r="A15" s="547"/>
      <c r="B15" s="550" t="s">
        <v>6988</v>
      </c>
      <c r="C15" s="550" t="s">
        <v>939</v>
      </c>
      <c r="D15" s="550" t="s">
        <v>560</v>
      </c>
      <c r="E15" s="550" t="s">
        <v>299</v>
      </c>
      <c r="F15" s="550" t="s">
        <v>12</v>
      </c>
      <c r="G15" s="552">
        <v>370</v>
      </c>
      <c r="H15" s="552"/>
      <c r="I15" s="548">
        <v>700</v>
      </c>
      <c r="J15" s="548">
        <v>700</v>
      </c>
      <c r="K15" s="552">
        <v>700</v>
      </c>
      <c r="L15" s="574">
        <v>0</v>
      </c>
      <c r="M15" s="548">
        <v>0</v>
      </c>
    </row>
    <row r="16" spans="1:13" ht="15.95" customHeight="1">
      <c r="A16" s="547"/>
      <c r="B16" s="550" t="s">
        <v>6988</v>
      </c>
      <c r="C16" s="550" t="s">
        <v>939</v>
      </c>
      <c r="D16" s="550" t="s">
        <v>560</v>
      </c>
      <c r="E16" s="550" t="s">
        <v>299</v>
      </c>
      <c r="F16" s="550" t="s">
        <v>12</v>
      </c>
      <c r="G16" s="552">
        <v>370</v>
      </c>
      <c r="H16" s="552"/>
      <c r="I16" s="548">
        <v>3300</v>
      </c>
      <c r="J16" s="548">
        <v>3300</v>
      </c>
      <c r="K16" s="552">
        <v>3300</v>
      </c>
      <c r="L16" s="574">
        <v>0</v>
      </c>
      <c r="M16" s="548">
        <v>0</v>
      </c>
    </row>
    <row r="17" spans="1:13" ht="15.95" customHeight="1">
      <c r="A17" s="547"/>
      <c r="B17" s="550" t="s">
        <v>6998</v>
      </c>
      <c r="C17" s="550" t="s">
        <v>939</v>
      </c>
      <c r="D17" s="550" t="s">
        <v>560</v>
      </c>
      <c r="E17" s="550" t="s">
        <v>299</v>
      </c>
      <c r="F17" s="550" t="s">
        <v>11</v>
      </c>
      <c r="G17" s="552">
        <v>210</v>
      </c>
      <c r="H17" s="552"/>
      <c r="I17" s="548">
        <v>14000</v>
      </c>
      <c r="J17" s="548">
        <v>14000</v>
      </c>
      <c r="K17" s="552">
        <v>14000</v>
      </c>
      <c r="L17" s="574">
        <v>0</v>
      </c>
      <c r="M17" s="548">
        <v>0</v>
      </c>
    </row>
    <row r="18" spans="1:13" ht="15.95" customHeight="1">
      <c r="A18" s="547"/>
      <c r="B18" s="550" t="s">
        <v>6998</v>
      </c>
      <c r="C18" s="550" t="s">
        <v>939</v>
      </c>
      <c r="D18" s="550" t="s">
        <v>560</v>
      </c>
      <c r="E18" s="550" t="s">
        <v>299</v>
      </c>
      <c r="F18" s="550" t="s">
        <v>11</v>
      </c>
      <c r="G18" s="552">
        <v>210</v>
      </c>
      <c r="H18" s="552"/>
      <c r="I18" s="548">
        <v>31000</v>
      </c>
      <c r="J18" s="548">
        <v>23000</v>
      </c>
      <c r="K18" s="552">
        <v>23000</v>
      </c>
      <c r="L18" s="574">
        <v>0</v>
      </c>
      <c r="M18" s="548">
        <v>8000</v>
      </c>
    </row>
    <row r="19" spans="1:13" ht="15.95" customHeight="1">
      <c r="A19" s="547"/>
      <c r="B19" s="550" t="s">
        <v>3721</v>
      </c>
      <c r="C19" s="550" t="s">
        <v>3722</v>
      </c>
      <c r="D19" s="550" t="s">
        <v>639</v>
      </c>
      <c r="E19" s="550" t="s">
        <v>641</v>
      </c>
      <c r="F19" s="550" t="s">
        <v>10</v>
      </c>
      <c r="G19" s="552">
        <v>1099</v>
      </c>
      <c r="H19" s="552">
        <v>35</v>
      </c>
      <c r="I19" s="548">
        <v>0</v>
      </c>
      <c r="J19" s="548">
        <v>35</v>
      </c>
      <c r="K19" s="552">
        <v>35</v>
      </c>
      <c r="L19" s="574">
        <v>0</v>
      </c>
      <c r="M19" s="548">
        <v>0</v>
      </c>
    </row>
    <row r="20" spans="1:13" ht="15.95" customHeight="1">
      <c r="A20" s="547"/>
      <c r="B20" s="550" t="s">
        <v>8757</v>
      </c>
      <c r="C20" s="550" t="s">
        <v>8760</v>
      </c>
      <c r="D20" s="550" t="s">
        <v>8758</v>
      </c>
      <c r="E20" s="550" t="s">
        <v>12262</v>
      </c>
      <c r="F20" s="550" t="s">
        <v>15</v>
      </c>
      <c r="G20" s="552">
        <v>27405</v>
      </c>
      <c r="H20" s="552"/>
      <c r="I20" s="548">
        <v>510</v>
      </c>
      <c r="J20" s="548">
        <v>208</v>
      </c>
      <c r="K20" s="552">
        <v>82</v>
      </c>
      <c r="L20" s="574">
        <v>126</v>
      </c>
      <c r="M20" s="548">
        <v>302</v>
      </c>
    </row>
    <row r="21" spans="1:13" ht="15.95" customHeight="1">
      <c r="A21" s="547"/>
      <c r="B21" s="550" t="s">
        <v>8757</v>
      </c>
      <c r="C21" s="550" t="s">
        <v>8760</v>
      </c>
      <c r="D21" s="550" t="s">
        <v>8758</v>
      </c>
      <c r="E21" s="550" t="s">
        <v>12262</v>
      </c>
      <c r="F21" s="550" t="s">
        <v>15</v>
      </c>
      <c r="G21" s="552">
        <v>27405</v>
      </c>
      <c r="H21" s="552"/>
      <c r="I21" s="548">
        <v>240</v>
      </c>
      <c r="J21" s="548">
        <v>0</v>
      </c>
      <c r="K21" s="552">
        <v>0</v>
      </c>
      <c r="L21" s="574">
        <v>0</v>
      </c>
      <c r="M21" s="548">
        <v>240</v>
      </c>
    </row>
    <row r="22" spans="1:13" ht="15.95" customHeight="1">
      <c r="A22" s="547"/>
      <c r="B22" s="550" t="s">
        <v>8196</v>
      </c>
      <c r="C22" s="550" t="s">
        <v>8197</v>
      </c>
      <c r="D22" s="550" t="s">
        <v>1352</v>
      </c>
      <c r="E22" s="550" t="s">
        <v>238</v>
      </c>
      <c r="F22" s="550" t="s">
        <v>11</v>
      </c>
      <c r="G22" s="552">
        <v>3100</v>
      </c>
      <c r="H22" s="552"/>
      <c r="I22" s="548">
        <v>4980</v>
      </c>
      <c r="J22" s="548">
        <v>0</v>
      </c>
      <c r="K22" s="552">
        <v>0</v>
      </c>
      <c r="L22" s="574">
        <v>0</v>
      </c>
      <c r="M22" s="548">
        <v>4980</v>
      </c>
    </row>
    <row r="23" spans="1:13" ht="15.95" customHeight="1">
      <c r="A23" s="547"/>
      <c r="B23" s="550" t="s">
        <v>3728</v>
      </c>
      <c r="C23" s="550" t="s">
        <v>1410</v>
      </c>
      <c r="D23" s="550" t="s">
        <v>588</v>
      </c>
      <c r="E23" s="550" t="s">
        <v>267</v>
      </c>
      <c r="F23" s="550" t="s">
        <v>10</v>
      </c>
      <c r="G23" s="552">
        <v>3840</v>
      </c>
      <c r="H23" s="552"/>
      <c r="I23" s="548">
        <v>5600</v>
      </c>
      <c r="J23" s="548">
        <v>2548</v>
      </c>
      <c r="K23" s="552">
        <v>0</v>
      </c>
      <c r="L23" s="574">
        <v>2548</v>
      </c>
      <c r="M23" s="548">
        <v>3052</v>
      </c>
    </row>
    <row r="24" spans="1:13" ht="15.95" customHeight="1">
      <c r="A24" s="547"/>
      <c r="B24" s="550" t="s">
        <v>3729</v>
      </c>
      <c r="C24" s="550" t="s">
        <v>3730</v>
      </c>
      <c r="D24" s="550" t="s">
        <v>1999</v>
      </c>
      <c r="E24" s="550" t="s">
        <v>2001</v>
      </c>
      <c r="F24" s="550" t="s">
        <v>11</v>
      </c>
      <c r="G24" s="552">
        <v>9800</v>
      </c>
      <c r="H24" s="552">
        <v>298</v>
      </c>
      <c r="I24" s="548">
        <v>0</v>
      </c>
      <c r="J24" s="548">
        <v>298</v>
      </c>
      <c r="K24" s="552">
        <v>0</v>
      </c>
      <c r="L24" s="574">
        <v>298</v>
      </c>
      <c r="M24" s="548">
        <v>0</v>
      </c>
    </row>
    <row r="25" spans="1:13" ht="15.95" customHeight="1">
      <c r="A25" s="547"/>
      <c r="B25" s="550"/>
      <c r="C25" s="550" t="s">
        <v>1717</v>
      </c>
      <c r="D25" s="550" t="s">
        <v>639</v>
      </c>
      <c r="E25" s="550" t="s">
        <v>299</v>
      </c>
      <c r="F25" s="550" t="s">
        <v>11</v>
      </c>
      <c r="G25" s="552">
        <v>1200</v>
      </c>
      <c r="H25" s="552">
        <v>786</v>
      </c>
      <c r="I25" s="548">
        <v>0</v>
      </c>
      <c r="J25" s="548">
        <v>635</v>
      </c>
      <c r="K25" s="552">
        <v>49</v>
      </c>
      <c r="L25" s="574">
        <v>586</v>
      </c>
      <c r="M25" s="548">
        <v>151</v>
      </c>
    </row>
    <row r="26" spans="1:13" ht="15.95" customHeight="1">
      <c r="A26" s="547"/>
      <c r="B26" s="550" t="s">
        <v>4982</v>
      </c>
      <c r="C26" s="550" t="s">
        <v>1776</v>
      </c>
      <c r="D26" s="550" t="s">
        <v>1550</v>
      </c>
      <c r="E26" s="550" t="s">
        <v>1777</v>
      </c>
      <c r="F26" s="550" t="s">
        <v>11</v>
      </c>
      <c r="G26" s="552">
        <v>240</v>
      </c>
      <c r="H26" s="552">
        <v>24</v>
      </c>
      <c r="I26" s="548">
        <v>0</v>
      </c>
      <c r="J26" s="548">
        <v>24</v>
      </c>
      <c r="K26" s="552">
        <v>24</v>
      </c>
      <c r="L26" s="574">
        <v>0</v>
      </c>
      <c r="M26" s="548">
        <v>0</v>
      </c>
    </row>
    <row r="27" spans="1:13" ht="15.95" customHeight="1">
      <c r="A27" s="547"/>
      <c r="B27" s="550" t="s">
        <v>3733</v>
      </c>
      <c r="C27" s="550" t="s">
        <v>2594</v>
      </c>
      <c r="D27" s="550" t="s">
        <v>724</v>
      </c>
      <c r="E27" s="550" t="s">
        <v>733</v>
      </c>
      <c r="F27" s="550" t="s">
        <v>520</v>
      </c>
      <c r="G27" s="552">
        <v>1701</v>
      </c>
      <c r="H27" s="552">
        <v>600</v>
      </c>
      <c r="I27" s="548">
        <v>0</v>
      </c>
      <c r="J27" s="548">
        <v>469</v>
      </c>
      <c r="K27" s="552">
        <v>0</v>
      </c>
      <c r="L27" s="574">
        <v>469</v>
      </c>
      <c r="M27" s="548">
        <v>131</v>
      </c>
    </row>
    <row r="28" spans="1:13" ht="15.95" customHeight="1">
      <c r="A28" s="547"/>
      <c r="B28" s="550" t="s">
        <v>3733</v>
      </c>
      <c r="C28" s="550" t="s">
        <v>2594</v>
      </c>
      <c r="D28" s="550" t="s">
        <v>724</v>
      </c>
      <c r="E28" s="550" t="s">
        <v>733</v>
      </c>
      <c r="F28" s="550" t="s">
        <v>520</v>
      </c>
      <c r="G28" s="552">
        <v>1701</v>
      </c>
      <c r="H28" s="552">
        <v>279</v>
      </c>
      <c r="I28" s="548">
        <v>0</v>
      </c>
      <c r="J28" s="548">
        <v>214</v>
      </c>
      <c r="K28" s="552">
        <v>79</v>
      </c>
      <c r="L28" s="574">
        <v>135</v>
      </c>
      <c r="M28" s="548">
        <v>65</v>
      </c>
    </row>
    <row r="29" spans="1:13" ht="15.95" customHeight="1">
      <c r="A29" s="547"/>
      <c r="B29" s="550" t="s">
        <v>3735</v>
      </c>
      <c r="C29" s="550" t="s">
        <v>3736</v>
      </c>
      <c r="D29" s="550" t="s">
        <v>1727</v>
      </c>
      <c r="E29" s="550" t="s">
        <v>238</v>
      </c>
      <c r="F29" s="550" t="s">
        <v>11</v>
      </c>
      <c r="G29" s="552">
        <v>1250</v>
      </c>
      <c r="H29" s="552">
        <v>699</v>
      </c>
      <c r="I29" s="548">
        <v>0</v>
      </c>
      <c r="J29" s="548">
        <v>699</v>
      </c>
      <c r="K29" s="552">
        <v>0</v>
      </c>
      <c r="L29" s="574">
        <v>699</v>
      </c>
      <c r="M29" s="548">
        <v>0</v>
      </c>
    </row>
    <row r="30" spans="1:13" ht="15.95" customHeight="1">
      <c r="A30" s="547"/>
      <c r="B30" s="550" t="s">
        <v>3738</v>
      </c>
      <c r="C30" s="550" t="s">
        <v>1885</v>
      </c>
      <c r="D30" s="550" t="s">
        <v>3739</v>
      </c>
      <c r="E30" s="550" t="s">
        <v>235</v>
      </c>
      <c r="F30" s="550" t="s">
        <v>11</v>
      </c>
      <c r="G30" s="552">
        <v>2980</v>
      </c>
      <c r="H30" s="552">
        <v>17477</v>
      </c>
      <c r="I30" s="548">
        <v>0</v>
      </c>
      <c r="J30" s="548">
        <v>17477</v>
      </c>
      <c r="K30" s="552">
        <v>0</v>
      </c>
      <c r="L30" s="574">
        <v>17477</v>
      </c>
      <c r="M30" s="548">
        <v>0</v>
      </c>
    </row>
    <row r="31" spans="1:13" ht="15.95" customHeight="1">
      <c r="A31" s="547"/>
      <c r="B31" s="550" t="s">
        <v>3738</v>
      </c>
      <c r="C31" s="550" t="s">
        <v>1885</v>
      </c>
      <c r="D31" s="550" t="s">
        <v>3739</v>
      </c>
      <c r="E31" s="550" t="s">
        <v>235</v>
      </c>
      <c r="F31" s="550" t="s">
        <v>11</v>
      </c>
      <c r="G31" s="552">
        <v>2980</v>
      </c>
      <c r="H31" s="552"/>
      <c r="I31" s="548">
        <v>29970</v>
      </c>
      <c r="J31" s="548">
        <v>8590</v>
      </c>
      <c r="K31" s="552">
        <v>0</v>
      </c>
      <c r="L31" s="574">
        <v>8590</v>
      </c>
      <c r="M31" s="548">
        <v>21380</v>
      </c>
    </row>
    <row r="32" spans="1:13" ht="15.95" customHeight="1">
      <c r="A32" s="547"/>
      <c r="B32" s="550" t="s">
        <v>3741</v>
      </c>
      <c r="C32" s="550" t="s">
        <v>3742</v>
      </c>
      <c r="D32" s="550" t="s">
        <v>639</v>
      </c>
      <c r="E32" s="550" t="s">
        <v>299</v>
      </c>
      <c r="F32" s="550" t="s">
        <v>11</v>
      </c>
      <c r="G32" s="552">
        <v>340</v>
      </c>
      <c r="H32" s="552"/>
      <c r="I32" s="548">
        <v>800</v>
      </c>
      <c r="J32" s="548">
        <v>780</v>
      </c>
      <c r="K32" s="552">
        <v>780</v>
      </c>
      <c r="L32" s="574">
        <v>0</v>
      </c>
      <c r="M32" s="548">
        <v>20</v>
      </c>
    </row>
    <row r="33" spans="1:13" ht="15.95" customHeight="1">
      <c r="A33" s="547"/>
      <c r="B33" s="550" t="s">
        <v>3741</v>
      </c>
      <c r="C33" s="550" t="s">
        <v>3742</v>
      </c>
      <c r="D33" s="550" t="s">
        <v>639</v>
      </c>
      <c r="E33" s="550" t="s">
        <v>299</v>
      </c>
      <c r="F33" s="550" t="s">
        <v>11</v>
      </c>
      <c r="G33" s="552">
        <v>340</v>
      </c>
      <c r="H33" s="552">
        <v>20</v>
      </c>
      <c r="I33" s="548">
        <v>0</v>
      </c>
      <c r="J33" s="548">
        <v>20</v>
      </c>
      <c r="K33" s="552">
        <v>20</v>
      </c>
      <c r="L33" s="574">
        <v>0</v>
      </c>
      <c r="M33" s="548">
        <v>0</v>
      </c>
    </row>
    <row r="34" spans="1:13" ht="15.95" customHeight="1">
      <c r="A34" s="547"/>
      <c r="B34" s="550" t="s">
        <v>7720</v>
      </c>
      <c r="C34" s="550" t="s">
        <v>7721</v>
      </c>
      <c r="D34" s="550" t="s">
        <v>645</v>
      </c>
      <c r="E34" s="550" t="s">
        <v>291</v>
      </c>
      <c r="F34" s="550" t="s">
        <v>11</v>
      </c>
      <c r="G34" s="552">
        <v>199</v>
      </c>
      <c r="H34" s="552"/>
      <c r="I34" s="548">
        <v>2240</v>
      </c>
      <c r="J34" s="548">
        <v>1480</v>
      </c>
      <c r="K34" s="552">
        <v>1480</v>
      </c>
      <c r="L34" s="574">
        <v>0</v>
      </c>
      <c r="M34" s="548">
        <v>760</v>
      </c>
    </row>
    <row r="35" spans="1:13" ht="15.95" customHeight="1">
      <c r="A35" s="547"/>
      <c r="B35" s="550" t="s">
        <v>3746</v>
      </c>
      <c r="C35" s="550" t="s">
        <v>3747</v>
      </c>
      <c r="D35" s="550" t="s">
        <v>556</v>
      </c>
      <c r="E35" s="550" t="s">
        <v>327</v>
      </c>
      <c r="F35" s="550" t="s">
        <v>11</v>
      </c>
      <c r="G35" s="552">
        <v>272</v>
      </c>
      <c r="H35" s="552"/>
      <c r="I35" s="548">
        <v>990</v>
      </c>
      <c r="J35" s="548">
        <v>990</v>
      </c>
      <c r="K35" s="552">
        <v>990</v>
      </c>
      <c r="L35" s="574">
        <v>0</v>
      </c>
      <c r="M35" s="548">
        <v>0</v>
      </c>
    </row>
    <row r="36" spans="1:13" ht="15.95" customHeight="1">
      <c r="A36" s="547"/>
      <c r="B36" s="550"/>
      <c r="C36" s="550" t="s">
        <v>4787</v>
      </c>
      <c r="D36" s="550" t="s">
        <v>227</v>
      </c>
      <c r="E36" s="550" t="s">
        <v>232</v>
      </c>
      <c r="F36" s="550" t="s">
        <v>12</v>
      </c>
      <c r="G36" s="552">
        <v>365</v>
      </c>
      <c r="H36" s="552">
        <v>266</v>
      </c>
      <c r="I36" s="548">
        <v>0</v>
      </c>
      <c r="J36" s="548">
        <v>266</v>
      </c>
      <c r="K36" s="552">
        <v>0</v>
      </c>
      <c r="L36" s="574">
        <v>266</v>
      </c>
      <c r="M36" s="548">
        <v>0</v>
      </c>
    </row>
    <row r="37" spans="1:13" ht="15.95" customHeight="1">
      <c r="A37" s="547"/>
      <c r="B37" s="550"/>
      <c r="C37" s="550" t="s">
        <v>4787</v>
      </c>
      <c r="D37" s="550" t="s">
        <v>227</v>
      </c>
      <c r="E37" s="550" t="s">
        <v>232</v>
      </c>
      <c r="F37" s="550" t="s">
        <v>12</v>
      </c>
      <c r="G37" s="552">
        <v>365</v>
      </c>
      <c r="H37" s="552"/>
      <c r="I37" s="548">
        <v>10740</v>
      </c>
      <c r="J37" s="548">
        <v>10713</v>
      </c>
      <c r="K37" s="552">
        <v>117</v>
      </c>
      <c r="L37" s="574">
        <v>10596</v>
      </c>
      <c r="M37" s="548">
        <v>27</v>
      </c>
    </row>
    <row r="38" spans="1:13" ht="15.95" customHeight="1">
      <c r="A38" s="547"/>
      <c r="B38" s="550"/>
      <c r="C38" s="550" t="s">
        <v>4787</v>
      </c>
      <c r="D38" s="550" t="s">
        <v>227</v>
      </c>
      <c r="E38" s="550" t="s">
        <v>232</v>
      </c>
      <c r="F38" s="550" t="s">
        <v>12</v>
      </c>
      <c r="G38" s="552">
        <v>365</v>
      </c>
      <c r="H38" s="552"/>
      <c r="I38" s="548">
        <v>9319</v>
      </c>
      <c r="J38" s="548">
        <v>9188</v>
      </c>
      <c r="K38" s="552">
        <v>2188</v>
      </c>
      <c r="L38" s="574">
        <v>7000</v>
      </c>
      <c r="M38" s="548">
        <v>131</v>
      </c>
    </row>
    <row r="39" spans="1:13" ht="15.95" customHeight="1">
      <c r="A39" s="547"/>
      <c r="B39" s="550" t="s">
        <v>3750</v>
      </c>
      <c r="C39" s="550" t="s">
        <v>3751</v>
      </c>
      <c r="D39" s="550" t="s">
        <v>629</v>
      </c>
      <c r="E39" s="550" t="s">
        <v>631</v>
      </c>
      <c r="F39" s="550" t="s">
        <v>15</v>
      </c>
      <c r="G39" s="552">
        <v>11270</v>
      </c>
      <c r="H39" s="552">
        <v>10</v>
      </c>
      <c r="I39" s="548">
        <v>0</v>
      </c>
      <c r="J39" s="548">
        <v>10</v>
      </c>
      <c r="K39" s="552">
        <v>10</v>
      </c>
      <c r="L39" s="574">
        <v>0</v>
      </c>
      <c r="M39" s="548">
        <v>0</v>
      </c>
    </row>
    <row r="40" spans="1:13" ht="15.95" customHeight="1">
      <c r="A40" s="547"/>
      <c r="B40" s="550" t="s">
        <v>3750</v>
      </c>
      <c r="C40" s="550" t="s">
        <v>3751</v>
      </c>
      <c r="D40" s="550" t="s">
        <v>629</v>
      </c>
      <c r="E40" s="550" t="s">
        <v>631</v>
      </c>
      <c r="F40" s="550" t="s">
        <v>15</v>
      </c>
      <c r="G40" s="552">
        <v>11270</v>
      </c>
      <c r="H40" s="552"/>
      <c r="I40" s="548">
        <v>100</v>
      </c>
      <c r="J40" s="548">
        <v>53</v>
      </c>
      <c r="K40" s="552">
        <v>53</v>
      </c>
      <c r="L40" s="574">
        <v>0</v>
      </c>
      <c r="M40" s="548">
        <v>47</v>
      </c>
    </row>
    <row r="41" spans="1:13" ht="15.95" customHeight="1">
      <c r="A41" s="547"/>
      <c r="B41" s="550" t="s">
        <v>4457</v>
      </c>
      <c r="C41" s="550" t="s">
        <v>4458</v>
      </c>
      <c r="D41" s="550" t="s">
        <v>4459</v>
      </c>
      <c r="E41" s="550" t="s">
        <v>4460</v>
      </c>
      <c r="F41" s="550" t="s">
        <v>11</v>
      </c>
      <c r="G41" s="552">
        <v>1090</v>
      </c>
      <c r="H41" s="552"/>
      <c r="I41" s="548">
        <v>3240</v>
      </c>
      <c r="J41" s="548">
        <v>300</v>
      </c>
      <c r="K41" s="552">
        <v>300</v>
      </c>
      <c r="L41" s="574">
        <v>0</v>
      </c>
      <c r="M41" s="548">
        <v>2940</v>
      </c>
    </row>
    <row r="42" spans="1:13" ht="15.95" customHeight="1">
      <c r="A42" s="547"/>
      <c r="B42" s="550" t="s">
        <v>4457</v>
      </c>
      <c r="C42" s="550" t="s">
        <v>4458</v>
      </c>
      <c r="D42" s="550" t="s">
        <v>4459</v>
      </c>
      <c r="E42" s="550" t="s">
        <v>4460</v>
      </c>
      <c r="F42" s="550" t="s">
        <v>11</v>
      </c>
      <c r="G42" s="552">
        <v>1090</v>
      </c>
      <c r="H42" s="552"/>
      <c r="I42" s="548">
        <v>60</v>
      </c>
      <c r="J42" s="548">
        <v>60</v>
      </c>
      <c r="K42" s="552">
        <v>60</v>
      </c>
      <c r="L42" s="574">
        <v>0</v>
      </c>
      <c r="M42" s="548">
        <v>0</v>
      </c>
    </row>
    <row r="43" spans="1:13" ht="15.95" customHeight="1">
      <c r="A43" s="547"/>
      <c r="B43" s="550" t="s">
        <v>4983</v>
      </c>
      <c r="C43" s="550" t="s">
        <v>580</v>
      </c>
      <c r="D43" s="550" t="s">
        <v>579</v>
      </c>
      <c r="E43" s="550" t="s">
        <v>581</v>
      </c>
      <c r="F43" s="550" t="s">
        <v>11</v>
      </c>
      <c r="G43" s="552">
        <v>245</v>
      </c>
      <c r="H43" s="552"/>
      <c r="I43" s="548">
        <v>3000</v>
      </c>
      <c r="J43" s="548">
        <v>2347</v>
      </c>
      <c r="K43" s="552">
        <v>1000</v>
      </c>
      <c r="L43" s="574">
        <v>1347</v>
      </c>
      <c r="M43" s="548">
        <v>653</v>
      </c>
    </row>
    <row r="44" spans="1:13" ht="15.95" customHeight="1">
      <c r="A44" s="547"/>
      <c r="B44" s="550" t="s">
        <v>4983</v>
      </c>
      <c r="C44" s="550" t="s">
        <v>580</v>
      </c>
      <c r="D44" s="550" t="s">
        <v>579</v>
      </c>
      <c r="E44" s="550" t="s">
        <v>581</v>
      </c>
      <c r="F44" s="550" t="s">
        <v>11</v>
      </c>
      <c r="G44" s="552">
        <v>245</v>
      </c>
      <c r="H44" s="552">
        <v>1664</v>
      </c>
      <c r="I44" s="548">
        <v>0</v>
      </c>
      <c r="J44" s="548">
        <v>1664</v>
      </c>
      <c r="K44" s="552">
        <v>0</v>
      </c>
      <c r="L44" s="574">
        <v>1664</v>
      </c>
      <c r="M44" s="548">
        <v>0</v>
      </c>
    </row>
    <row r="45" spans="1:13" ht="15.95" customHeight="1">
      <c r="A45" s="547"/>
      <c r="B45" s="550" t="s">
        <v>4983</v>
      </c>
      <c r="C45" s="550" t="s">
        <v>580</v>
      </c>
      <c r="D45" s="550" t="s">
        <v>579</v>
      </c>
      <c r="E45" s="550" t="s">
        <v>581</v>
      </c>
      <c r="F45" s="550" t="s">
        <v>11</v>
      </c>
      <c r="G45" s="552">
        <v>245</v>
      </c>
      <c r="H45" s="552"/>
      <c r="I45" s="548">
        <v>1000</v>
      </c>
      <c r="J45" s="548">
        <v>0</v>
      </c>
      <c r="K45" s="552">
        <v>0</v>
      </c>
      <c r="L45" s="574">
        <v>0</v>
      </c>
      <c r="M45" s="548">
        <v>1000</v>
      </c>
    </row>
    <row r="46" spans="1:13" ht="15.95" customHeight="1">
      <c r="A46" s="547"/>
      <c r="B46" s="550" t="s">
        <v>3753</v>
      </c>
      <c r="C46" s="550" t="s">
        <v>577</v>
      </c>
      <c r="D46" s="550" t="s">
        <v>576</v>
      </c>
      <c r="E46" s="550" t="s">
        <v>299</v>
      </c>
      <c r="F46" s="550" t="s">
        <v>11</v>
      </c>
      <c r="G46" s="552">
        <v>600</v>
      </c>
      <c r="H46" s="552"/>
      <c r="I46" s="548">
        <v>500</v>
      </c>
      <c r="J46" s="548">
        <v>500</v>
      </c>
      <c r="K46" s="552">
        <v>500</v>
      </c>
      <c r="L46" s="574">
        <v>0</v>
      </c>
      <c r="M46" s="548">
        <v>0</v>
      </c>
    </row>
    <row r="47" spans="1:13" ht="15.95" customHeight="1">
      <c r="A47" s="547"/>
      <c r="B47" s="550" t="s">
        <v>3754</v>
      </c>
      <c r="C47" s="550" t="s">
        <v>1856</v>
      </c>
      <c r="D47" s="550" t="s">
        <v>1780</v>
      </c>
      <c r="E47" s="550" t="s">
        <v>1340</v>
      </c>
      <c r="F47" s="550" t="s">
        <v>11</v>
      </c>
      <c r="G47" s="552">
        <v>365</v>
      </c>
      <c r="H47" s="552"/>
      <c r="I47" s="548">
        <v>1</v>
      </c>
      <c r="J47" s="548">
        <v>0</v>
      </c>
      <c r="K47" s="552">
        <v>0</v>
      </c>
      <c r="L47" s="574">
        <v>0</v>
      </c>
      <c r="M47" s="548">
        <v>1</v>
      </c>
    </row>
    <row r="48" spans="1:13" ht="15.95" customHeight="1">
      <c r="A48" s="547"/>
      <c r="B48" s="550" t="s">
        <v>3754</v>
      </c>
      <c r="C48" s="550" t="s">
        <v>1856</v>
      </c>
      <c r="D48" s="550" t="s">
        <v>1780</v>
      </c>
      <c r="E48" s="550" t="s">
        <v>1340</v>
      </c>
      <c r="F48" s="550" t="s">
        <v>11</v>
      </c>
      <c r="G48" s="552">
        <v>1365</v>
      </c>
      <c r="H48" s="552">
        <v>5917</v>
      </c>
      <c r="I48" s="548">
        <v>0</v>
      </c>
      <c r="J48" s="548">
        <v>5915</v>
      </c>
      <c r="K48" s="552">
        <v>740</v>
      </c>
      <c r="L48" s="574">
        <v>5175</v>
      </c>
      <c r="M48" s="548">
        <v>2</v>
      </c>
    </row>
    <row r="49" spans="1:13" ht="15.95" customHeight="1">
      <c r="A49" s="547"/>
      <c r="B49" s="550" t="s">
        <v>3754</v>
      </c>
      <c r="C49" s="550" t="s">
        <v>1856</v>
      </c>
      <c r="D49" s="550" t="s">
        <v>1780</v>
      </c>
      <c r="E49" s="550" t="s">
        <v>1340</v>
      </c>
      <c r="F49" s="550" t="s">
        <v>11</v>
      </c>
      <c r="G49" s="552">
        <v>1365</v>
      </c>
      <c r="H49" s="552">
        <v>2000</v>
      </c>
      <c r="I49" s="548">
        <v>0</v>
      </c>
      <c r="J49" s="548">
        <v>2000</v>
      </c>
      <c r="K49" s="552">
        <v>0</v>
      </c>
      <c r="L49" s="574">
        <v>2000</v>
      </c>
      <c r="M49" s="548">
        <v>0</v>
      </c>
    </row>
    <row r="50" spans="1:13" ht="15.95" customHeight="1">
      <c r="A50" s="547"/>
      <c r="B50" s="550" t="s">
        <v>3754</v>
      </c>
      <c r="C50" s="550" t="s">
        <v>1856</v>
      </c>
      <c r="D50" s="550" t="s">
        <v>1780</v>
      </c>
      <c r="E50" s="550" t="s">
        <v>1340</v>
      </c>
      <c r="F50" s="550" t="s">
        <v>11</v>
      </c>
      <c r="G50" s="552">
        <v>1365</v>
      </c>
      <c r="H50" s="552"/>
      <c r="I50" s="548">
        <v>20027</v>
      </c>
      <c r="J50" s="548">
        <v>20018</v>
      </c>
      <c r="K50" s="552">
        <v>7818</v>
      </c>
      <c r="L50" s="574">
        <v>12200</v>
      </c>
      <c r="M50" s="548">
        <v>9</v>
      </c>
    </row>
    <row r="51" spans="1:13" ht="15.95" customHeight="1">
      <c r="A51" s="547"/>
      <c r="B51" s="550" t="s">
        <v>3754</v>
      </c>
      <c r="C51" s="550" t="s">
        <v>1856</v>
      </c>
      <c r="D51" s="550" t="s">
        <v>1780</v>
      </c>
      <c r="E51" s="550" t="s">
        <v>1340</v>
      </c>
      <c r="F51" s="550" t="s">
        <v>11</v>
      </c>
      <c r="G51" s="552">
        <v>1365</v>
      </c>
      <c r="H51" s="552"/>
      <c r="I51" s="548">
        <v>20153</v>
      </c>
      <c r="J51" s="548">
        <v>9280</v>
      </c>
      <c r="K51" s="552">
        <v>5148</v>
      </c>
      <c r="L51" s="574">
        <v>4132</v>
      </c>
      <c r="M51" s="548">
        <v>10873</v>
      </c>
    </row>
    <row r="52" spans="1:13" ht="15.95" customHeight="1">
      <c r="A52" s="547"/>
      <c r="B52" s="550" t="s">
        <v>3756</v>
      </c>
      <c r="C52" s="550" t="s">
        <v>3757</v>
      </c>
      <c r="D52" s="550" t="s">
        <v>1780</v>
      </c>
      <c r="E52" s="550" t="s">
        <v>229</v>
      </c>
      <c r="F52" s="550" t="s">
        <v>11</v>
      </c>
      <c r="G52" s="552">
        <v>840</v>
      </c>
      <c r="H52" s="552">
        <v>4000</v>
      </c>
      <c r="I52" s="548">
        <v>0</v>
      </c>
      <c r="J52" s="548">
        <v>4000</v>
      </c>
      <c r="K52" s="552">
        <v>4000</v>
      </c>
      <c r="L52" s="574">
        <v>0</v>
      </c>
      <c r="M52" s="548">
        <v>0</v>
      </c>
    </row>
    <row r="53" spans="1:13" ht="15.95" customHeight="1">
      <c r="A53" s="547"/>
      <c r="B53" s="550" t="s">
        <v>3756</v>
      </c>
      <c r="C53" s="550" t="s">
        <v>3757</v>
      </c>
      <c r="D53" s="550" t="s">
        <v>1780</v>
      </c>
      <c r="E53" s="550" t="s">
        <v>229</v>
      </c>
      <c r="F53" s="550" t="s">
        <v>11</v>
      </c>
      <c r="G53" s="552">
        <v>840</v>
      </c>
      <c r="H53" s="552">
        <v>17000</v>
      </c>
      <c r="I53" s="548">
        <v>0</v>
      </c>
      <c r="J53" s="548">
        <v>14623</v>
      </c>
      <c r="K53" s="552">
        <v>12000</v>
      </c>
      <c r="L53" s="574">
        <v>2623</v>
      </c>
      <c r="M53" s="548">
        <v>2377</v>
      </c>
    </row>
    <row r="54" spans="1:13" ht="15.95" customHeight="1">
      <c r="A54" s="547"/>
      <c r="B54" s="550" t="s">
        <v>3756</v>
      </c>
      <c r="C54" s="550" t="s">
        <v>3757</v>
      </c>
      <c r="D54" s="550" t="s">
        <v>1780</v>
      </c>
      <c r="E54" s="550" t="s">
        <v>229</v>
      </c>
      <c r="F54" s="550" t="s">
        <v>11</v>
      </c>
      <c r="G54" s="552">
        <v>840</v>
      </c>
      <c r="H54" s="552">
        <v>1500</v>
      </c>
      <c r="I54" s="548">
        <v>0</v>
      </c>
      <c r="J54" s="548">
        <v>1500</v>
      </c>
      <c r="K54" s="552">
        <v>1500</v>
      </c>
      <c r="L54" s="574">
        <v>0</v>
      </c>
      <c r="M54" s="548">
        <v>0</v>
      </c>
    </row>
    <row r="55" spans="1:13" ht="15.95" customHeight="1">
      <c r="A55" s="547"/>
      <c r="B55" s="550" t="s">
        <v>3756</v>
      </c>
      <c r="C55" s="550" t="s">
        <v>3757</v>
      </c>
      <c r="D55" s="550" t="s">
        <v>1780</v>
      </c>
      <c r="E55" s="550" t="s">
        <v>229</v>
      </c>
      <c r="F55" s="550" t="s">
        <v>11</v>
      </c>
      <c r="G55" s="552">
        <v>840</v>
      </c>
      <c r="H55" s="552">
        <v>4500</v>
      </c>
      <c r="I55" s="548">
        <v>0</v>
      </c>
      <c r="J55" s="548">
        <v>500</v>
      </c>
      <c r="K55" s="552">
        <v>500</v>
      </c>
      <c r="L55" s="574">
        <v>0</v>
      </c>
      <c r="M55" s="548">
        <v>4000</v>
      </c>
    </row>
    <row r="56" spans="1:13" ht="15.95" customHeight="1">
      <c r="A56" s="547"/>
      <c r="B56" s="550" t="s">
        <v>3756</v>
      </c>
      <c r="C56" s="550" t="s">
        <v>3757</v>
      </c>
      <c r="D56" s="550" t="s">
        <v>1780</v>
      </c>
      <c r="E56" s="550" t="s">
        <v>229</v>
      </c>
      <c r="F56" s="550" t="s">
        <v>11</v>
      </c>
      <c r="G56" s="552">
        <v>840</v>
      </c>
      <c r="H56" s="552"/>
      <c r="I56" s="548">
        <v>5000</v>
      </c>
      <c r="J56" s="548">
        <v>0</v>
      </c>
      <c r="K56" s="552">
        <v>0</v>
      </c>
      <c r="L56" s="574">
        <v>0</v>
      </c>
      <c r="M56" s="548">
        <v>5000</v>
      </c>
    </row>
    <row r="57" spans="1:13" ht="15.95" customHeight="1">
      <c r="A57" s="547"/>
      <c r="B57" s="550" t="s">
        <v>3756</v>
      </c>
      <c r="C57" s="550" t="s">
        <v>3757</v>
      </c>
      <c r="D57" s="550" t="s">
        <v>1780</v>
      </c>
      <c r="E57" s="550" t="s">
        <v>229</v>
      </c>
      <c r="F57" s="550" t="s">
        <v>11</v>
      </c>
      <c r="G57" s="552">
        <v>840</v>
      </c>
      <c r="H57" s="552"/>
      <c r="I57" s="548">
        <v>10000</v>
      </c>
      <c r="J57" s="548">
        <v>0</v>
      </c>
      <c r="K57" s="552">
        <v>0</v>
      </c>
      <c r="L57" s="574">
        <v>0</v>
      </c>
      <c r="M57" s="548">
        <v>10000</v>
      </c>
    </row>
    <row r="58" spans="1:13" ht="15.95" customHeight="1">
      <c r="A58" s="547"/>
      <c r="B58" s="550" t="s">
        <v>3762</v>
      </c>
      <c r="C58" s="550" t="s">
        <v>3763</v>
      </c>
      <c r="D58" s="550" t="s">
        <v>2038</v>
      </c>
      <c r="E58" s="550" t="s">
        <v>225</v>
      </c>
      <c r="F58" s="550" t="s">
        <v>11</v>
      </c>
      <c r="G58" s="552">
        <v>420</v>
      </c>
      <c r="H58" s="552">
        <v>15276</v>
      </c>
      <c r="I58" s="548">
        <v>0</v>
      </c>
      <c r="J58" s="548">
        <v>15276</v>
      </c>
      <c r="K58" s="552">
        <v>7410</v>
      </c>
      <c r="L58" s="574">
        <v>7866</v>
      </c>
      <c r="M58" s="548">
        <v>0</v>
      </c>
    </row>
    <row r="59" spans="1:13" ht="15.95" customHeight="1">
      <c r="A59" s="547"/>
      <c r="B59" s="550" t="s">
        <v>3762</v>
      </c>
      <c r="C59" s="550" t="s">
        <v>3763</v>
      </c>
      <c r="D59" s="550" t="s">
        <v>2038</v>
      </c>
      <c r="E59" s="550" t="s">
        <v>225</v>
      </c>
      <c r="F59" s="550" t="s">
        <v>11</v>
      </c>
      <c r="G59" s="552">
        <v>420</v>
      </c>
      <c r="H59" s="552">
        <v>47490</v>
      </c>
      <c r="I59" s="548">
        <v>0</v>
      </c>
      <c r="J59" s="548">
        <v>21555</v>
      </c>
      <c r="K59" s="552">
        <v>15300</v>
      </c>
      <c r="L59" s="574">
        <v>6255</v>
      </c>
      <c r="M59" s="548">
        <v>25935</v>
      </c>
    </row>
    <row r="60" spans="1:13" ht="15.95" customHeight="1">
      <c r="A60" s="547"/>
      <c r="B60" s="550" t="s">
        <v>3762</v>
      </c>
      <c r="C60" s="550" t="s">
        <v>3763</v>
      </c>
      <c r="D60" s="550" t="s">
        <v>2038</v>
      </c>
      <c r="E60" s="550" t="s">
        <v>225</v>
      </c>
      <c r="F60" s="550" t="s">
        <v>11</v>
      </c>
      <c r="G60" s="552">
        <v>420</v>
      </c>
      <c r="H60" s="552"/>
      <c r="I60" s="548">
        <v>12000</v>
      </c>
      <c r="J60" s="548">
        <v>0</v>
      </c>
      <c r="K60" s="552">
        <v>0</v>
      </c>
      <c r="L60" s="574">
        <v>0</v>
      </c>
      <c r="M60" s="548">
        <v>12000</v>
      </c>
    </row>
    <row r="61" spans="1:13" ht="15.95" customHeight="1">
      <c r="A61" s="547"/>
      <c r="B61" s="550" t="s">
        <v>3766</v>
      </c>
      <c r="C61" s="550" t="s">
        <v>3767</v>
      </c>
      <c r="D61" s="550" t="s">
        <v>1315</v>
      </c>
      <c r="E61" s="550" t="s">
        <v>267</v>
      </c>
      <c r="F61" s="550" t="s">
        <v>11</v>
      </c>
      <c r="G61" s="552">
        <v>100</v>
      </c>
      <c r="H61" s="552">
        <v>38438</v>
      </c>
      <c r="I61" s="548">
        <v>291</v>
      </c>
      <c r="J61" s="548">
        <v>20943</v>
      </c>
      <c r="K61" s="552">
        <v>16964</v>
      </c>
      <c r="L61" s="574">
        <v>3979</v>
      </c>
      <c r="M61" s="548">
        <v>17786</v>
      </c>
    </row>
    <row r="62" spans="1:13" ht="15.95" customHeight="1">
      <c r="A62" s="547"/>
      <c r="B62" s="550" t="s">
        <v>6802</v>
      </c>
      <c r="C62" s="550" t="s">
        <v>6804</v>
      </c>
      <c r="D62" s="550" t="s">
        <v>2445</v>
      </c>
      <c r="E62" s="550" t="s">
        <v>6803</v>
      </c>
      <c r="F62" s="550" t="s">
        <v>11</v>
      </c>
      <c r="G62" s="552">
        <v>2380</v>
      </c>
      <c r="H62" s="552"/>
      <c r="I62" s="548">
        <v>7000</v>
      </c>
      <c r="J62" s="548">
        <v>2211</v>
      </c>
      <c r="K62" s="552">
        <v>2000</v>
      </c>
      <c r="L62" s="574">
        <v>211</v>
      </c>
      <c r="M62" s="548">
        <v>4789</v>
      </c>
    </row>
    <row r="63" spans="1:13" ht="15.95" customHeight="1">
      <c r="A63" s="547"/>
      <c r="B63" s="550" t="s">
        <v>3768</v>
      </c>
      <c r="C63" s="550" t="s">
        <v>3769</v>
      </c>
      <c r="D63" s="550" t="s">
        <v>1480</v>
      </c>
      <c r="E63" s="550" t="s">
        <v>310</v>
      </c>
      <c r="F63" s="550" t="s">
        <v>11</v>
      </c>
      <c r="G63" s="552">
        <v>127</v>
      </c>
      <c r="H63" s="552"/>
      <c r="I63" s="548">
        <v>3200</v>
      </c>
      <c r="J63" s="548">
        <v>3200</v>
      </c>
      <c r="K63" s="552">
        <v>3200</v>
      </c>
      <c r="L63" s="574">
        <v>0</v>
      </c>
      <c r="M63" s="548">
        <v>0</v>
      </c>
    </row>
    <row r="64" spans="1:13" ht="15.95" customHeight="1">
      <c r="A64" s="547"/>
      <c r="B64" s="550" t="s">
        <v>5796</v>
      </c>
      <c r="C64" s="550" t="s">
        <v>2438</v>
      </c>
      <c r="D64" s="550" t="s">
        <v>2439</v>
      </c>
      <c r="E64" s="550" t="s">
        <v>2440</v>
      </c>
      <c r="F64" s="550" t="s">
        <v>15</v>
      </c>
      <c r="G64" s="552">
        <v>67725</v>
      </c>
      <c r="H64" s="552"/>
      <c r="I64" s="548">
        <v>30</v>
      </c>
      <c r="J64" s="548">
        <v>20</v>
      </c>
      <c r="K64" s="552">
        <v>0</v>
      </c>
      <c r="L64" s="574">
        <v>20</v>
      </c>
      <c r="M64" s="548">
        <v>10</v>
      </c>
    </row>
    <row r="65" spans="1:13" ht="15.95" customHeight="1">
      <c r="A65" s="547"/>
      <c r="B65" s="550" t="s">
        <v>3771</v>
      </c>
      <c r="C65" s="550" t="s">
        <v>3772</v>
      </c>
      <c r="D65" s="550" t="s">
        <v>347</v>
      </c>
      <c r="E65" s="550" t="s">
        <v>238</v>
      </c>
      <c r="F65" s="550" t="s">
        <v>11</v>
      </c>
      <c r="G65" s="552">
        <v>1009</v>
      </c>
      <c r="H65" s="552">
        <v>9620</v>
      </c>
      <c r="I65" s="548">
        <v>0</v>
      </c>
      <c r="J65" s="548">
        <v>9620</v>
      </c>
      <c r="K65" s="552">
        <v>900</v>
      </c>
      <c r="L65" s="574">
        <v>8720</v>
      </c>
      <c r="M65" s="548">
        <v>0</v>
      </c>
    </row>
    <row r="66" spans="1:13" ht="15.95" customHeight="1">
      <c r="A66" s="547"/>
      <c r="B66" s="550" t="s">
        <v>3771</v>
      </c>
      <c r="C66" s="550" t="s">
        <v>3772</v>
      </c>
      <c r="D66" s="550" t="s">
        <v>347</v>
      </c>
      <c r="E66" s="550" t="s">
        <v>238</v>
      </c>
      <c r="F66" s="550" t="s">
        <v>11</v>
      </c>
      <c r="G66" s="552">
        <v>1009</v>
      </c>
      <c r="H66" s="552"/>
      <c r="I66" s="548">
        <v>9990</v>
      </c>
      <c r="J66" s="548">
        <v>0</v>
      </c>
      <c r="K66" s="552">
        <v>0</v>
      </c>
      <c r="L66" s="574">
        <v>0</v>
      </c>
      <c r="M66" s="548">
        <v>9990</v>
      </c>
    </row>
    <row r="67" spans="1:13" ht="15.95" customHeight="1">
      <c r="A67" s="547"/>
      <c r="B67" s="550" t="s">
        <v>3771</v>
      </c>
      <c r="C67" s="550" t="s">
        <v>3772</v>
      </c>
      <c r="D67" s="550" t="s">
        <v>347</v>
      </c>
      <c r="E67" s="550" t="s">
        <v>238</v>
      </c>
      <c r="F67" s="550" t="s">
        <v>11</v>
      </c>
      <c r="G67" s="552">
        <v>1009</v>
      </c>
      <c r="H67" s="552"/>
      <c r="I67" s="548">
        <v>10980</v>
      </c>
      <c r="J67" s="548">
        <v>3700</v>
      </c>
      <c r="K67" s="552">
        <v>0</v>
      </c>
      <c r="L67" s="574">
        <v>3700</v>
      </c>
      <c r="M67" s="548">
        <v>7280</v>
      </c>
    </row>
    <row r="68" spans="1:13" ht="15.95" customHeight="1">
      <c r="A68" s="547"/>
      <c r="B68" s="550" t="s">
        <v>4789</v>
      </c>
      <c r="C68" s="550" t="s">
        <v>4790</v>
      </c>
      <c r="D68" s="550" t="s">
        <v>347</v>
      </c>
      <c r="E68" s="550" t="s">
        <v>327</v>
      </c>
      <c r="F68" s="550" t="s">
        <v>10</v>
      </c>
      <c r="G68" s="552">
        <v>254</v>
      </c>
      <c r="H68" s="552">
        <v>293</v>
      </c>
      <c r="I68" s="548">
        <v>4</v>
      </c>
      <c r="J68" s="548">
        <v>297</v>
      </c>
      <c r="K68" s="552">
        <v>297</v>
      </c>
      <c r="L68" s="574">
        <v>0</v>
      </c>
      <c r="M68" s="548">
        <v>0</v>
      </c>
    </row>
    <row r="69" spans="1:13" ht="15.95" customHeight="1">
      <c r="A69" s="547"/>
      <c r="B69" s="550" t="s">
        <v>4789</v>
      </c>
      <c r="C69" s="550" t="s">
        <v>4790</v>
      </c>
      <c r="D69" s="550" t="s">
        <v>347</v>
      </c>
      <c r="E69" s="550" t="s">
        <v>327</v>
      </c>
      <c r="F69" s="550" t="s">
        <v>10</v>
      </c>
      <c r="G69" s="552">
        <v>254</v>
      </c>
      <c r="H69" s="552">
        <v>12684</v>
      </c>
      <c r="I69" s="548">
        <v>20</v>
      </c>
      <c r="J69" s="548">
        <v>12661</v>
      </c>
      <c r="K69" s="552">
        <v>1255</v>
      </c>
      <c r="L69" s="574">
        <v>11406</v>
      </c>
      <c r="M69" s="548">
        <v>43</v>
      </c>
    </row>
    <row r="70" spans="1:13" ht="15.95" customHeight="1">
      <c r="A70" s="547"/>
      <c r="B70" s="550" t="s">
        <v>4793</v>
      </c>
      <c r="C70" s="550" t="s">
        <v>412</v>
      </c>
      <c r="D70" s="550" t="s">
        <v>411</v>
      </c>
      <c r="E70" s="550" t="s">
        <v>225</v>
      </c>
      <c r="F70" s="550" t="s">
        <v>10</v>
      </c>
      <c r="G70" s="552">
        <v>484</v>
      </c>
      <c r="H70" s="552">
        <v>66</v>
      </c>
      <c r="I70" s="548">
        <v>0</v>
      </c>
      <c r="J70" s="548">
        <v>66</v>
      </c>
      <c r="K70" s="552">
        <v>0</v>
      </c>
      <c r="L70" s="574">
        <v>66</v>
      </c>
      <c r="M70" s="548">
        <v>0</v>
      </c>
    </row>
    <row r="71" spans="1:13" ht="15.95" customHeight="1">
      <c r="A71" s="547"/>
      <c r="B71" s="550" t="s">
        <v>4592</v>
      </c>
      <c r="C71" s="550" t="s">
        <v>4593</v>
      </c>
      <c r="D71" s="550" t="s">
        <v>4594</v>
      </c>
      <c r="E71" s="550" t="s">
        <v>4595</v>
      </c>
      <c r="F71" s="550" t="s">
        <v>11</v>
      </c>
      <c r="G71" s="552">
        <v>1600</v>
      </c>
      <c r="H71" s="552"/>
      <c r="I71" s="548">
        <v>10000</v>
      </c>
      <c r="J71" s="548">
        <v>10000</v>
      </c>
      <c r="K71" s="552">
        <v>0</v>
      </c>
      <c r="L71" s="574">
        <v>10000</v>
      </c>
      <c r="M71" s="548">
        <v>0</v>
      </c>
    </row>
    <row r="72" spans="1:13" ht="15.95" customHeight="1">
      <c r="A72" s="547"/>
      <c r="B72" s="550" t="s">
        <v>4592</v>
      </c>
      <c r="C72" s="550" t="s">
        <v>4593</v>
      </c>
      <c r="D72" s="550" t="s">
        <v>4594</v>
      </c>
      <c r="E72" s="550" t="s">
        <v>4595</v>
      </c>
      <c r="F72" s="550" t="s">
        <v>11</v>
      </c>
      <c r="G72" s="552">
        <v>1600</v>
      </c>
      <c r="H72" s="552"/>
      <c r="I72" s="548">
        <v>5500</v>
      </c>
      <c r="J72" s="548">
        <v>5096</v>
      </c>
      <c r="K72" s="552">
        <v>500</v>
      </c>
      <c r="L72" s="574">
        <v>4596</v>
      </c>
      <c r="M72" s="548">
        <v>404</v>
      </c>
    </row>
    <row r="73" spans="1:13" ht="15.95" customHeight="1">
      <c r="A73" s="547"/>
      <c r="B73" s="550" t="s">
        <v>3777</v>
      </c>
      <c r="C73" s="550" t="s">
        <v>3778</v>
      </c>
      <c r="D73" s="550" t="s">
        <v>3779</v>
      </c>
      <c r="E73" s="550" t="s">
        <v>1915</v>
      </c>
      <c r="F73" s="550" t="s">
        <v>11</v>
      </c>
      <c r="G73" s="552">
        <v>72</v>
      </c>
      <c r="H73" s="552">
        <v>83</v>
      </c>
      <c r="I73" s="548">
        <v>1</v>
      </c>
      <c r="J73" s="548">
        <v>84</v>
      </c>
      <c r="K73" s="552">
        <v>84</v>
      </c>
      <c r="L73" s="574">
        <v>0</v>
      </c>
      <c r="M73" s="548">
        <v>0</v>
      </c>
    </row>
    <row r="74" spans="1:13" ht="15.95" customHeight="1">
      <c r="A74" s="547"/>
      <c r="B74" s="550" t="s">
        <v>3777</v>
      </c>
      <c r="C74" s="550" t="s">
        <v>3778</v>
      </c>
      <c r="D74" s="550" t="s">
        <v>3779</v>
      </c>
      <c r="E74" s="550" t="s">
        <v>1915</v>
      </c>
      <c r="F74" s="550" t="s">
        <v>11</v>
      </c>
      <c r="G74" s="552">
        <v>72</v>
      </c>
      <c r="H74" s="552"/>
      <c r="I74" s="548">
        <v>7000</v>
      </c>
      <c r="J74" s="548">
        <v>2080</v>
      </c>
      <c r="K74" s="552">
        <v>2080</v>
      </c>
      <c r="L74" s="574">
        <v>0</v>
      </c>
      <c r="M74" s="548">
        <v>4920</v>
      </c>
    </row>
    <row r="75" spans="1:13" ht="15.95" customHeight="1">
      <c r="A75" s="547"/>
      <c r="B75" s="550" t="s">
        <v>3777</v>
      </c>
      <c r="C75" s="550" t="s">
        <v>3778</v>
      </c>
      <c r="D75" s="550" t="s">
        <v>3779</v>
      </c>
      <c r="E75" s="550" t="s">
        <v>1915</v>
      </c>
      <c r="F75" s="550" t="s">
        <v>11</v>
      </c>
      <c r="G75" s="552">
        <v>72</v>
      </c>
      <c r="H75" s="552">
        <v>46145</v>
      </c>
      <c r="I75" s="548">
        <v>4</v>
      </c>
      <c r="J75" s="548">
        <v>41373</v>
      </c>
      <c r="K75" s="552">
        <v>12695</v>
      </c>
      <c r="L75" s="574">
        <v>28678</v>
      </c>
      <c r="M75" s="548">
        <v>4776</v>
      </c>
    </row>
    <row r="76" spans="1:13" ht="15.95" customHeight="1">
      <c r="A76" s="547"/>
      <c r="B76" s="550" t="s">
        <v>6698</v>
      </c>
      <c r="C76" s="550" t="s">
        <v>2442</v>
      </c>
      <c r="D76" s="550" t="s">
        <v>706</v>
      </c>
      <c r="E76" s="550" t="s">
        <v>369</v>
      </c>
      <c r="F76" s="550" t="s">
        <v>11</v>
      </c>
      <c r="G76" s="552">
        <v>2680</v>
      </c>
      <c r="H76" s="552"/>
      <c r="I76" s="548">
        <v>9996</v>
      </c>
      <c r="J76" s="548">
        <v>602</v>
      </c>
      <c r="K76" s="552">
        <v>0</v>
      </c>
      <c r="L76" s="574">
        <v>602</v>
      </c>
      <c r="M76" s="548">
        <v>9394</v>
      </c>
    </row>
    <row r="77" spans="1:13" ht="15.95" customHeight="1">
      <c r="A77" s="547"/>
      <c r="B77" s="550" t="s">
        <v>3782</v>
      </c>
      <c r="C77" s="550" t="s">
        <v>2443</v>
      </c>
      <c r="D77" s="550" t="s">
        <v>363</v>
      </c>
      <c r="E77" s="550" t="s">
        <v>2444</v>
      </c>
      <c r="F77" s="550" t="s">
        <v>11</v>
      </c>
      <c r="G77" s="552">
        <v>900</v>
      </c>
      <c r="H77" s="552">
        <v>20</v>
      </c>
      <c r="I77" s="548">
        <v>0</v>
      </c>
      <c r="J77" s="548">
        <v>20</v>
      </c>
      <c r="K77" s="552">
        <v>0</v>
      </c>
      <c r="L77" s="574">
        <v>20</v>
      </c>
      <c r="M77" s="548">
        <v>0</v>
      </c>
    </row>
    <row r="78" spans="1:13" ht="15.95" customHeight="1">
      <c r="A78" s="547"/>
      <c r="B78" s="550"/>
      <c r="C78" s="550" t="s">
        <v>3539</v>
      </c>
      <c r="D78" s="550" t="s">
        <v>363</v>
      </c>
      <c r="E78" s="550" t="s">
        <v>291</v>
      </c>
      <c r="F78" s="550" t="s">
        <v>10</v>
      </c>
      <c r="G78" s="552">
        <v>750</v>
      </c>
      <c r="H78" s="552">
        <v>5000</v>
      </c>
      <c r="I78" s="548">
        <v>0</v>
      </c>
      <c r="J78" s="548">
        <v>84</v>
      </c>
      <c r="K78" s="552">
        <v>0</v>
      </c>
      <c r="L78" s="574">
        <v>84</v>
      </c>
      <c r="M78" s="548">
        <v>4916</v>
      </c>
    </row>
    <row r="79" spans="1:13" ht="15.95" customHeight="1">
      <c r="A79" s="547"/>
      <c r="B79" s="550" t="s">
        <v>4596</v>
      </c>
      <c r="C79" s="550" t="s">
        <v>4597</v>
      </c>
      <c r="D79" s="550" t="s">
        <v>4598</v>
      </c>
      <c r="E79" s="550" t="s">
        <v>4599</v>
      </c>
      <c r="F79" s="550" t="s">
        <v>11</v>
      </c>
      <c r="G79" s="552">
        <v>1945</v>
      </c>
      <c r="H79" s="552">
        <v>100</v>
      </c>
      <c r="I79" s="548">
        <v>0</v>
      </c>
      <c r="J79" s="548">
        <v>100</v>
      </c>
      <c r="K79" s="552">
        <v>0</v>
      </c>
      <c r="L79" s="574">
        <v>100</v>
      </c>
      <c r="M79" s="548">
        <v>0</v>
      </c>
    </row>
    <row r="80" spans="1:13" ht="15.95" customHeight="1">
      <c r="A80" s="547"/>
      <c r="B80" s="550" t="s">
        <v>4596</v>
      </c>
      <c r="C80" s="550" t="s">
        <v>4597</v>
      </c>
      <c r="D80" s="550" t="s">
        <v>4598</v>
      </c>
      <c r="E80" s="550" t="s">
        <v>4599</v>
      </c>
      <c r="F80" s="550" t="s">
        <v>11</v>
      </c>
      <c r="G80" s="552">
        <v>1945</v>
      </c>
      <c r="H80" s="552"/>
      <c r="I80" s="548">
        <v>4000</v>
      </c>
      <c r="J80" s="548">
        <v>4000</v>
      </c>
      <c r="K80" s="552">
        <v>2000</v>
      </c>
      <c r="L80" s="574">
        <v>2000</v>
      </c>
      <c r="M80" s="548">
        <v>0</v>
      </c>
    </row>
    <row r="81" spans="1:13" ht="15.95" customHeight="1">
      <c r="A81" s="547"/>
      <c r="B81" s="550" t="s">
        <v>4596</v>
      </c>
      <c r="C81" s="550" t="s">
        <v>4597</v>
      </c>
      <c r="D81" s="550" t="s">
        <v>4598</v>
      </c>
      <c r="E81" s="550" t="s">
        <v>4599</v>
      </c>
      <c r="F81" s="550" t="s">
        <v>11</v>
      </c>
      <c r="G81" s="552">
        <v>1945</v>
      </c>
      <c r="H81" s="552"/>
      <c r="I81" s="548">
        <v>3000</v>
      </c>
      <c r="J81" s="548">
        <v>1642</v>
      </c>
      <c r="K81" s="552">
        <v>0</v>
      </c>
      <c r="L81" s="574">
        <v>1642</v>
      </c>
      <c r="M81" s="548">
        <v>1358</v>
      </c>
    </row>
    <row r="82" spans="1:13" ht="15.95" customHeight="1">
      <c r="A82" s="547"/>
      <c r="B82" s="550" t="s">
        <v>4108</v>
      </c>
      <c r="C82" s="550" t="s">
        <v>11543</v>
      </c>
      <c r="D82" s="550" t="s">
        <v>1982</v>
      </c>
      <c r="E82" s="550" t="s">
        <v>7881</v>
      </c>
      <c r="F82" s="550" t="s">
        <v>12</v>
      </c>
      <c r="G82" s="552">
        <v>2690</v>
      </c>
      <c r="H82" s="552"/>
      <c r="I82" s="548">
        <v>10000</v>
      </c>
      <c r="J82" s="548">
        <v>6653</v>
      </c>
      <c r="K82" s="552">
        <v>200</v>
      </c>
      <c r="L82" s="574">
        <v>6453</v>
      </c>
      <c r="M82" s="548">
        <v>3347</v>
      </c>
    </row>
    <row r="83" spans="1:13" ht="15.95" customHeight="1">
      <c r="A83" s="547"/>
      <c r="B83" s="550" t="s">
        <v>3784</v>
      </c>
      <c r="C83" s="550" t="s">
        <v>3785</v>
      </c>
      <c r="D83" s="550" t="s">
        <v>365</v>
      </c>
      <c r="E83" s="550" t="s">
        <v>238</v>
      </c>
      <c r="F83" s="550" t="s">
        <v>11</v>
      </c>
      <c r="G83" s="552">
        <v>128</v>
      </c>
      <c r="H83" s="552"/>
      <c r="I83" s="548">
        <v>5000</v>
      </c>
      <c r="J83" s="548">
        <v>4996</v>
      </c>
      <c r="K83" s="552">
        <v>0</v>
      </c>
      <c r="L83" s="574">
        <v>4996</v>
      </c>
      <c r="M83" s="548">
        <v>4</v>
      </c>
    </row>
    <row r="84" spans="1:13" ht="15.95" customHeight="1">
      <c r="A84" s="547"/>
      <c r="B84" s="550" t="s">
        <v>4796</v>
      </c>
      <c r="C84" s="550" t="s">
        <v>366</v>
      </c>
      <c r="D84" s="550" t="s">
        <v>365</v>
      </c>
      <c r="E84" s="550" t="s">
        <v>235</v>
      </c>
      <c r="F84" s="550" t="s">
        <v>10</v>
      </c>
      <c r="G84" s="552">
        <v>232</v>
      </c>
      <c r="H84" s="552">
        <v>5</v>
      </c>
      <c r="I84" s="548">
        <v>0</v>
      </c>
      <c r="J84" s="548">
        <v>0</v>
      </c>
      <c r="K84" s="552">
        <v>0</v>
      </c>
      <c r="L84" s="574">
        <v>0</v>
      </c>
      <c r="M84" s="548">
        <v>5</v>
      </c>
    </row>
    <row r="85" spans="1:13" ht="15.95" customHeight="1">
      <c r="A85" s="547"/>
      <c r="B85" s="550" t="s">
        <v>4796</v>
      </c>
      <c r="C85" s="550" t="s">
        <v>366</v>
      </c>
      <c r="D85" s="550" t="s">
        <v>365</v>
      </c>
      <c r="E85" s="550" t="s">
        <v>235</v>
      </c>
      <c r="F85" s="550" t="s">
        <v>10</v>
      </c>
      <c r="G85" s="552">
        <v>232</v>
      </c>
      <c r="H85" s="552">
        <v>464</v>
      </c>
      <c r="I85" s="548">
        <v>0</v>
      </c>
      <c r="J85" s="548">
        <v>237</v>
      </c>
      <c r="K85" s="552">
        <v>237</v>
      </c>
      <c r="L85" s="574">
        <v>0</v>
      </c>
      <c r="M85" s="548">
        <v>227</v>
      </c>
    </row>
    <row r="86" spans="1:13" ht="15.95" customHeight="1">
      <c r="A86" s="547"/>
      <c r="B86" s="550" t="s">
        <v>3786</v>
      </c>
      <c r="C86" s="550" t="s">
        <v>1722</v>
      </c>
      <c r="D86" s="550" t="s">
        <v>3787</v>
      </c>
      <c r="E86" s="550" t="s">
        <v>1723</v>
      </c>
      <c r="F86" s="550" t="s">
        <v>520</v>
      </c>
      <c r="G86" s="552">
        <v>500</v>
      </c>
      <c r="H86" s="552">
        <v>2430</v>
      </c>
      <c r="I86" s="548">
        <v>0</v>
      </c>
      <c r="J86" s="548">
        <v>2430</v>
      </c>
      <c r="K86" s="552">
        <v>43</v>
      </c>
      <c r="L86" s="574">
        <v>2387</v>
      </c>
      <c r="M86" s="548">
        <v>0</v>
      </c>
    </row>
    <row r="87" spans="1:13" ht="15.95" customHeight="1">
      <c r="A87" s="547"/>
      <c r="B87" s="550" t="s">
        <v>4462</v>
      </c>
      <c r="C87" s="550" t="s">
        <v>4463</v>
      </c>
      <c r="D87" s="550" t="s">
        <v>683</v>
      </c>
      <c r="E87" s="550" t="s">
        <v>1452</v>
      </c>
      <c r="F87" s="550" t="s">
        <v>11</v>
      </c>
      <c r="G87" s="552">
        <v>1900</v>
      </c>
      <c r="H87" s="552"/>
      <c r="I87" s="548">
        <v>18200</v>
      </c>
      <c r="J87" s="548">
        <v>18200</v>
      </c>
      <c r="K87" s="552">
        <v>9500</v>
      </c>
      <c r="L87" s="574">
        <v>8700</v>
      </c>
      <c r="M87" s="548">
        <v>0</v>
      </c>
    </row>
    <row r="88" spans="1:13" ht="15.95" customHeight="1">
      <c r="A88" s="547"/>
      <c r="B88" s="550" t="s">
        <v>4800</v>
      </c>
      <c r="C88" s="550" t="s">
        <v>4801</v>
      </c>
      <c r="D88" s="550" t="s">
        <v>683</v>
      </c>
      <c r="E88" s="550" t="s">
        <v>219</v>
      </c>
      <c r="F88" s="550" t="s">
        <v>10</v>
      </c>
      <c r="G88" s="552">
        <v>2375</v>
      </c>
      <c r="H88" s="552">
        <v>1576</v>
      </c>
      <c r="I88" s="548">
        <v>12</v>
      </c>
      <c r="J88" s="548">
        <v>1546</v>
      </c>
      <c r="K88" s="552">
        <v>1509</v>
      </c>
      <c r="L88" s="574">
        <v>37</v>
      </c>
      <c r="M88" s="548">
        <v>42</v>
      </c>
    </row>
    <row r="89" spans="1:13" ht="15.95" customHeight="1">
      <c r="A89" s="547"/>
      <c r="B89" s="550" t="s">
        <v>3789</v>
      </c>
      <c r="C89" s="550" t="s">
        <v>1847</v>
      </c>
      <c r="D89" s="550" t="s">
        <v>3790</v>
      </c>
      <c r="E89" s="550" t="s">
        <v>272</v>
      </c>
      <c r="F89" s="550" t="s">
        <v>11</v>
      </c>
      <c r="G89" s="552">
        <v>2550</v>
      </c>
      <c r="H89" s="552"/>
      <c r="I89" s="548">
        <v>300</v>
      </c>
      <c r="J89" s="548">
        <v>300</v>
      </c>
      <c r="K89" s="552">
        <v>300</v>
      </c>
      <c r="L89" s="574">
        <v>0</v>
      </c>
      <c r="M89" s="548">
        <v>0</v>
      </c>
    </row>
    <row r="90" spans="1:13" ht="15.95" customHeight="1">
      <c r="A90" s="547"/>
      <c r="B90" s="550" t="s">
        <v>7731</v>
      </c>
      <c r="C90" s="550" t="s">
        <v>1124</v>
      </c>
      <c r="D90" s="550" t="s">
        <v>313</v>
      </c>
      <c r="E90" s="550" t="s">
        <v>310</v>
      </c>
      <c r="F90" s="550" t="s">
        <v>11</v>
      </c>
      <c r="G90" s="552">
        <v>6490</v>
      </c>
      <c r="H90" s="552"/>
      <c r="I90" s="548">
        <v>420</v>
      </c>
      <c r="J90" s="548">
        <v>420</v>
      </c>
      <c r="K90" s="552">
        <v>420</v>
      </c>
      <c r="L90" s="574">
        <v>0</v>
      </c>
      <c r="M90" s="548">
        <v>0</v>
      </c>
    </row>
    <row r="91" spans="1:13" ht="15.95" customHeight="1">
      <c r="A91" s="547"/>
      <c r="B91" s="550" t="s">
        <v>4464</v>
      </c>
      <c r="C91" s="550" t="s">
        <v>4465</v>
      </c>
      <c r="D91" s="550" t="s">
        <v>683</v>
      </c>
      <c r="E91" s="550" t="s">
        <v>2554</v>
      </c>
      <c r="F91" s="550" t="s">
        <v>658</v>
      </c>
      <c r="G91" s="552">
        <v>38997</v>
      </c>
      <c r="H91" s="552">
        <v>31</v>
      </c>
      <c r="I91" s="548">
        <v>0</v>
      </c>
      <c r="J91" s="548">
        <v>31</v>
      </c>
      <c r="K91" s="552">
        <v>31</v>
      </c>
      <c r="L91" s="574">
        <v>0</v>
      </c>
      <c r="M91" s="548">
        <v>0</v>
      </c>
    </row>
    <row r="92" spans="1:13" ht="15.95" customHeight="1">
      <c r="A92" s="547"/>
      <c r="B92" s="550" t="s">
        <v>4464</v>
      </c>
      <c r="C92" s="550" t="s">
        <v>4465</v>
      </c>
      <c r="D92" s="550" t="s">
        <v>683</v>
      </c>
      <c r="E92" s="550" t="s">
        <v>2554</v>
      </c>
      <c r="F92" s="550" t="s">
        <v>658</v>
      </c>
      <c r="G92" s="552">
        <v>38997</v>
      </c>
      <c r="H92" s="552"/>
      <c r="I92" s="548">
        <v>262</v>
      </c>
      <c r="J92" s="548">
        <v>259</v>
      </c>
      <c r="K92" s="552">
        <v>258</v>
      </c>
      <c r="L92" s="574">
        <v>1</v>
      </c>
      <c r="M92" s="548">
        <v>3</v>
      </c>
    </row>
    <row r="93" spans="1:13" ht="15.95" customHeight="1">
      <c r="A93" s="547"/>
      <c r="B93" s="550" t="s">
        <v>4342</v>
      </c>
      <c r="C93" s="550" t="s">
        <v>7652</v>
      </c>
      <c r="D93" s="550" t="s">
        <v>750</v>
      </c>
      <c r="E93" s="550" t="s">
        <v>7651</v>
      </c>
      <c r="F93" s="550" t="s">
        <v>12</v>
      </c>
      <c r="G93" s="552">
        <v>1800</v>
      </c>
      <c r="H93" s="552"/>
      <c r="I93" s="548">
        <v>150</v>
      </c>
      <c r="J93" s="548">
        <v>150</v>
      </c>
      <c r="K93" s="552">
        <v>150</v>
      </c>
      <c r="L93" s="574">
        <v>0</v>
      </c>
      <c r="M93" s="548">
        <v>0</v>
      </c>
    </row>
    <row r="94" spans="1:13" ht="15.95" customHeight="1">
      <c r="A94" s="547"/>
      <c r="B94" s="550" t="s">
        <v>4342</v>
      </c>
      <c r="C94" s="550" t="s">
        <v>7652</v>
      </c>
      <c r="D94" s="550" t="s">
        <v>750</v>
      </c>
      <c r="E94" s="550" t="s">
        <v>7651</v>
      </c>
      <c r="F94" s="550" t="s">
        <v>12</v>
      </c>
      <c r="G94" s="552">
        <v>1800</v>
      </c>
      <c r="H94" s="552"/>
      <c r="I94" s="548">
        <v>450</v>
      </c>
      <c r="J94" s="548">
        <v>450</v>
      </c>
      <c r="K94" s="552">
        <v>450</v>
      </c>
      <c r="L94" s="574">
        <v>0</v>
      </c>
      <c r="M94" s="548">
        <v>0</v>
      </c>
    </row>
    <row r="95" spans="1:13" ht="15.95" customHeight="1">
      <c r="A95" s="547"/>
      <c r="B95" s="550" t="s">
        <v>7187</v>
      </c>
      <c r="C95" s="550" t="s">
        <v>7189</v>
      </c>
      <c r="D95" s="550" t="s">
        <v>1785</v>
      </c>
      <c r="E95" s="550" t="s">
        <v>12564</v>
      </c>
      <c r="F95" s="550" t="s">
        <v>15</v>
      </c>
      <c r="G95" s="552">
        <v>36000</v>
      </c>
      <c r="H95" s="552"/>
      <c r="I95" s="548">
        <v>50</v>
      </c>
      <c r="J95" s="548">
        <v>12</v>
      </c>
      <c r="K95" s="552">
        <v>0</v>
      </c>
      <c r="L95" s="574">
        <v>12</v>
      </c>
      <c r="M95" s="548">
        <v>38</v>
      </c>
    </row>
    <row r="96" spans="1:13" ht="15.95" customHeight="1">
      <c r="A96" s="547"/>
      <c r="B96" s="550" t="s">
        <v>4600</v>
      </c>
      <c r="C96" s="550" t="s">
        <v>4601</v>
      </c>
      <c r="D96" s="550" t="s">
        <v>2233</v>
      </c>
      <c r="E96" s="550" t="s">
        <v>4602</v>
      </c>
      <c r="F96" s="550" t="s">
        <v>15</v>
      </c>
      <c r="G96" s="552">
        <v>55000</v>
      </c>
      <c r="H96" s="552">
        <v>104</v>
      </c>
      <c r="I96" s="548">
        <v>1310</v>
      </c>
      <c r="J96" s="548">
        <v>1079</v>
      </c>
      <c r="K96" s="552">
        <v>160</v>
      </c>
      <c r="L96" s="574">
        <v>919</v>
      </c>
      <c r="M96" s="548">
        <v>335</v>
      </c>
    </row>
    <row r="97" spans="1:13" ht="15.95" customHeight="1">
      <c r="A97" s="547"/>
      <c r="B97" s="550" t="s">
        <v>4604</v>
      </c>
      <c r="C97" s="550" t="s">
        <v>21</v>
      </c>
      <c r="D97" s="550" t="s">
        <v>4605</v>
      </c>
      <c r="E97" s="550" t="s">
        <v>4606</v>
      </c>
      <c r="F97" s="550" t="s">
        <v>11</v>
      </c>
      <c r="G97" s="552">
        <v>1260</v>
      </c>
      <c r="H97" s="552"/>
      <c r="I97" s="548">
        <v>10000</v>
      </c>
      <c r="J97" s="548">
        <v>0</v>
      </c>
      <c r="K97" s="552">
        <v>0</v>
      </c>
      <c r="L97" s="574">
        <v>0</v>
      </c>
      <c r="M97" s="548">
        <v>10000</v>
      </c>
    </row>
    <row r="98" spans="1:13" ht="15.95" customHeight="1">
      <c r="A98" s="547"/>
      <c r="B98" s="550" t="s">
        <v>4604</v>
      </c>
      <c r="C98" s="550" t="s">
        <v>21</v>
      </c>
      <c r="D98" s="550" t="s">
        <v>4605</v>
      </c>
      <c r="E98" s="550" t="s">
        <v>4606</v>
      </c>
      <c r="F98" s="550" t="s">
        <v>11</v>
      </c>
      <c r="G98" s="552">
        <v>1260</v>
      </c>
      <c r="H98" s="552">
        <v>26825</v>
      </c>
      <c r="I98" s="548">
        <v>0</v>
      </c>
      <c r="J98" s="548">
        <v>26825</v>
      </c>
      <c r="K98" s="552">
        <v>6000</v>
      </c>
      <c r="L98" s="574">
        <v>20825</v>
      </c>
      <c r="M98" s="548">
        <v>0</v>
      </c>
    </row>
    <row r="99" spans="1:13" ht="15.95" customHeight="1">
      <c r="A99" s="547"/>
      <c r="B99" s="550" t="s">
        <v>4604</v>
      </c>
      <c r="C99" s="550" t="s">
        <v>21</v>
      </c>
      <c r="D99" s="550" t="s">
        <v>4605</v>
      </c>
      <c r="E99" s="550" t="s">
        <v>4606</v>
      </c>
      <c r="F99" s="550" t="s">
        <v>11</v>
      </c>
      <c r="G99" s="552">
        <v>1260</v>
      </c>
      <c r="H99" s="552"/>
      <c r="I99" s="548">
        <v>1500</v>
      </c>
      <c r="J99" s="548">
        <v>503</v>
      </c>
      <c r="K99" s="552">
        <v>0</v>
      </c>
      <c r="L99" s="574">
        <v>503</v>
      </c>
      <c r="M99" s="548">
        <v>997</v>
      </c>
    </row>
    <row r="100" spans="1:13" ht="15.95" customHeight="1">
      <c r="A100" s="547"/>
      <c r="B100" s="550" t="s">
        <v>3794</v>
      </c>
      <c r="C100" s="550" t="s">
        <v>3795</v>
      </c>
      <c r="D100" s="550" t="s">
        <v>2449</v>
      </c>
      <c r="E100" s="550" t="s">
        <v>238</v>
      </c>
      <c r="F100" s="550" t="s">
        <v>11</v>
      </c>
      <c r="G100" s="552">
        <v>490</v>
      </c>
      <c r="H100" s="552">
        <v>2547</v>
      </c>
      <c r="I100" s="548">
        <v>0</v>
      </c>
      <c r="J100" s="548">
        <v>2547</v>
      </c>
      <c r="K100" s="552">
        <v>0</v>
      </c>
      <c r="L100" s="574">
        <v>2547</v>
      </c>
      <c r="M100" s="548">
        <v>0</v>
      </c>
    </row>
    <row r="101" spans="1:13" ht="15.95" customHeight="1">
      <c r="A101" s="547"/>
      <c r="B101" s="550" t="s">
        <v>3794</v>
      </c>
      <c r="C101" s="550" t="s">
        <v>3795</v>
      </c>
      <c r="D101" s="550" t="s">
        <v>2449</v>
      </c>
      <c r="E101" s="550" t="s">
        <v>238</v>
      </c>
      <c r="F101" s="550" t="s">
        <v>11</v>
      </c>
      <c r="G101" s="552">
        <v>490</v>
      </c>
      <c r="H101" s="552">
        <v>1440</v>
      </c>
      <c r="I101" s="548">
        <v>0</v>
      </c>
      <c r="J101" s="548">
        <v>272</v>
      </c>
      <c r="K101" s="552">
        <v>0</v>
      </c>
      <c r="L101" s="574">
        <v>272</v>
      </c>
      <c r="M101" s="548">
        <v>1168</v>
      </c>
    </row>
    <row r="102" spans="1:13" ht="15.95" customHeight="1">
      <c r="A102" s="547"/>
      <c r="B102" s="550" t="s">
        <v>6950</v>
      </c>
      <c r="C102" s="550" t="s">
        <v>6951</v>
      </c>
      <c r="D102" s="550" t="s">
        <v>695</v>
      </c>
      <c r="E102" s="550" t="s">
        <v>697</v>
      </c>
      <c r="F102" s="550" t="s">
        <v>520</v>
      </c>
      <c r="G102" s="552">
        <v>2440</v>
      </c>
      <c r="H102" s="552"/>
      <c r="I102" s="548">
        <v>1000</v>
      </c>
      <c r="J102" s="548">
        <v>1000</v>
      </c>
      <c r="K102" s="552">
        <v>1000</v>
      </c>
      <c r="L102" s="574">
        <v>0</v>
      </c>
      <c r="M102" s="548">
        <v>0</v>
      </c>
    </row>
    <row r="103" spans="1:13" ht="15.95" customHeight="1">
      <c r="A103" s="547"/>
      <c r="B103" s="550" t="s">
        <v>3800</v>
      </c>
      <c r="C103" s="550" t="s">
        <v>3801</v>
      </c>
      <c r="D103" s="550" t="s">
        <v>2454</v>
      </c>
      <c r="E103" s="550" t="s">
        <v>3802</v>
      </c>
      <c r="F103" s="550" t="s">
        <v>3803</v>
      </c>
      <c r="G103" s="552">
        <v>132323</v>
      </c>
      <c r="H103" s="552"/>
      <c r="I103" s="548">
        <v>200</v>
      </c>
      <c r="J103" s="548">
        <v>62</v>
      </c>
      <c r="K103" s="552">
        <v>0</v>
      </c>
      <c r="L103" s="574">
        <v>62</v>
      </c>
      <c r="M103" s="548">
        <v>138</v>
      </c>
    </row>
    <row r="104" spans="1:13" ht="15.95" customHeight="1">
      <c r="A104" s="547"/>
      <c r="B104" s="550" t="s">
        <v>3800</v>
      </c>
      <c r="C104" s="550" t="s">
        <v>3801</v>
      </c>
      <c r="D104" s="550" t="s">
        <v>2454</v>
      </c>
      <c r="E104" s="550" t="s">
        <v>3802</v>
      </c>
      <c r="F104" s="550" t="s">
        <v>3803</v>
      </c>
      <c r="G104" s="552">
        <v>132323</v>
      </c>
      <c r="H104" s="552">
        <v>147</v>
      </c>
      <c r="I104" s="548">
        <v>1</v>
      </c>
      <c r="J104" s="548">
        <v>148</v>
      </c>
      <c r="K104" s="552">
        <v>2</v>
      </c>
      <c r="L104" s="574">
        <v>146</v>
      </c>
      <c r="M104" s="548">
        <v>0</v>
      </c>
    </row>
    <row r="105" spans="1:13" ht="15.95" customHeight="1">
      <c r="A105" s="547"/>
      <c r="B105" s="550" t="s">
        <v>8360</v>
      </c>
      <c r="C105" s="550" t="s">
        <v>8362</v>
      </c>
      <c r="D105" s="550" t="s">
        <v>2454</v>
      </c>
      <c r="E105" s="550" t="s">
        <v>8361</v>
      </c>
      <c r="F105" s="550" t="s">
        <v>658</v>
      </c>
      <c r="G105" s="552">
        <v>96870</v>
      </c>
      <c r="H105" s="552"/>
      <c r="I105" s="548">
        <v>50</v>
      </c>
      <c r="J105" s="548">
        <v>0</v>
      </c>
      <c r="K105" s="552">
        <v>0</v>
      </c>
      <c r="L105" s="574">
        <v>0</v>
      </c>
      <c r="M105" s="548">
        <v>50</v>
      </c>
    </row>
    <row r="106" spans="1:13" ht="15.95" customHeight="1">
      <c r="A106" s="547"/>
      <c r="B106" s="550" t="s">
        <v>3806</v>
      </c>
      <c r="C106" s="550" t="s">
        <v>1495</v>
      </c>
      <c r="D106" s="550" t="s">
        <v>1494</v>
      </c>
      <c r="E106" s="550" t="s">
        <v>1496</v>
      </c>
      <c r="F106" s="550" t="s">
        <v>10</v>
      </c>
      <c r="G106" s="552">
        <v>3780</v>
      </c>
      <c r="H106" s="552">
        <v>81</v>
      </c>
      <c r="I106" s="548">
        <v>0</v>
      </c>
      <c r="J106" s="548">
        <v>81</v>
      </c>
      <c r="K106" s="552">
        <v>81</v>
      </c>
      <c r="L106" s="574">
        <v>0</v>
      </c>
      <c r="M106" s="548">
        <v>0</v>
      </c>
    </row>
    <row r="107" spans="1:13" ht="15.95" customHeight="1">
      <c r="A107" s="547"/>
      <c r="B107" s="550" t="s">
        <v>3808</v>
      </c>
      <c r="C107" s="550" t="s">
        <v>1133</v>
      </c>
      <c r="D107" s="550" t="s">
        <v>1132</v>
      </c>
      <c r="E107" s="550" t="s">
        <v>291</v>
      </c>
      <c r="F107" s="550" t="s">
        <v>10</v>
      </c>
      <c r="G107" s="552">
        <v>343</v>
      </c>
      <c r="H107" s="552">
        <v>872</v>
      </c>
      <c r="I107" s="548">
        <v>0</v>
      </c>
      <c r="J107" s="548">
        <v>872</v>
      </c>
      <c r="K107" s="552">
        <v>0</v>
      </c>
      <c r="L107" s="574">
        <v>872</v>
      </c>
      <c r="M107" s="548">
        <v>0</v>
      </c>
    </row>
    <row r="108" spans="1:13" ht="15.95" customHeight="1">
      <c r="A108" s="547"/>
      <c r="B108" s="550" t="s">
        <v>6465</v>
      </c>
      <c r="C108" s="550" t="s">
        <v>6466</v>
      </c>
      <c r="D108" s="550" t="s">
        <v>1494</v>
      </c>
      <c r="E108" s="550" t="s">
        <v>2050</v>
      </c>
      <c r="F108" s="550" t="s">
        <v>11</v>
      </c>
      <c r="G108" s="552">
        <v>5962</v>
      </c>
      <c r="H108" s="552"/>
      <c r="I108" s="548">
        <v>2000</v>
      </c>
      <c r="J108" s="548">
        <v>0</v>
      </c>
      <c r="K108" s="552">
        <v>0</v>
      </c>
      <c r="L108" s="574">
        <v>0</v>
      </c>
      <c r="M108" s="548">
        <v>2000</v>
      </c>
    </row>
    <row r="109" spans="1:13" ht="15.95" customHeight="1">
      <c r="A109" s="547"/>
      <c r="B109" s="550" t="s">
        <v>4467</v>
      </c>
      <c r="C109" s="550" t="s">
        <v>4468</v>
      </c>
      <c r="D109" s="550" t="s">
        <v>802</v>
      </c>
      <c r="E109" s="550" t="s">
        <v>225</v>
      </c>
      <c r="F109" s="550" t="s">
        <v>16</v>
      </c>
      <c r="G109" s="552">
        <v>9620</v>
      </c>
      <c r="H109" s="552">
        <v>160</v>
      </c>
      <c r="I109" s="548">
        <v>0</v>
      </c>
      <c r="J109" s="548">
        <v>0</v>
      </c>
      <c r="K109" s="552">
        <v>0</v>
      </c>
      <c r="L109" s="574">
        <v>0</v>
      </c>
      <c r="M109" s="548">
        <v>160</v>
      </c>
    </row>
    <row r="110" spans="1:13" ht="15.95" customHeight="1">
      <c r="A110" s="547"/>
      <c r="B110" s="550" t="s">
        <v>3814</v>
      </c>
      <c r="C110" s="550" t="s">
        <v>3815</v>
      </c>
      <c r="D110" s="550" t="s">
        <v>695</v>
      </c>
      <c r="E110" s="550" t="s">
        <v>3816</v>
      </c>
      <c r="F110" s="550" t="s">
        <v>12</v>
      </c>
      <c r="G110" s="552">
        <v>1806</v>
      </c>
      <c r="H110" s="552">
        <v>277</v>
      </c>
      <c r="I110" s="548">
        <v>0</v>
      </c>
      <c r="J110" s="548">
        <v>277</v>
      </c>
      <c r="K110" s="552">
        <v>0</v>
      </c>
      <c r="L110" s="574">
        <v>277</v>
      </c>
      <c r="M110" s="548">
        <v>0</v>
      </c>
    </row>
    <row r="111" spans="1:13" ht="15.95" customHeight="1">
      <c r="A111" s="547"/>
      <c r="B111" s="550" t="s">
        <v>3814</v>
      </c>
      <c r="C111" s="550" t="s">
        <v>3815</v>
      </c>
      <c r="D111" s="550" t="s">
        <v>695</v>
      </c>
      <c r="E111" s="550" t="s">
        <v>3816</v>
      </c>
      <c r="F111" s="550" t="s">
        <v>12</v>
      </c>
      <c r="G111" s="552">
        <v>1806</v>
      </c>
      <c r="H111" s="552"/>
      <c r="I111" s="548">
        <v>1880</v>
      </c>
      <c r="J111" s="548">
        <v>1880</v>
      </c>
      <c r="K111" s="552">
        <v>700</v>
      </c>
      <c r="L111" s="574">
        <v>1180</v>
      </c>
      <c r="M111" s="548">
        <v>0</v>
      </c>
    </row>
    <row r="112" spans="1:13" ht="15.95" customHeight="1">
      <c r="A112" s="547"/>
      <c r="B112" s="550" t="s">
        <v>3814</v>
      </c>
      <c r="C112" s="550" t="s">
        <v>3815</v>
      </c>
      <c r="D112" s="550" t="s">
        <v>695</v>
      </c>
      <c r="E112" s="550" t="s">
        <v>3816</v>
      </c>
      <c r="F112" s="550" t="s">
        <v>12</v>
      </c>
      <c r="G112" s="552">
        <v>1806</v>
      </c>
      <c r="H112" s="552"/>
      <c r="I112" s="548">
        <v>5123</v>
      </c>
      <c r="J112" s="548">
        <v>413</v>
      </c>
      <c r="K112" s="552">
        <v>9</v>
      </c>
      <c r="L112" s="574">
        <v>404</v>
      </c>
      <c r="M112" s="548">
        <v>4710</v>
      </c>
    </row>
    <row r="113" spans="1:13" ht="15.95" customHeight="1">
      <c r="A113" s="547"/>
      <c r="B113" s="550" t="s">
        <v>4470</v>
      </c>
      <c r="C113" s="550" t="s">
        <v>2725</v>
      </c>
      <c r="D113" s="550" t="s">
        <v>1368</v>
      </c>
      <c r="E113" s="550" t="s">
        <v>1941</v>
      </c>
      <c r="F113" s="550" t="s">
        <v>658</v>
      </c>
      <c r="G113" s="552">
        <v>2394</v>
      </c>
      <c r="H113" s="552">
        <v>7</v>
      </c>
      <c r="I113" s="548">
        <v>0</v>
      </c>
      <c r="J113" s="548">
        <v>7</v>
      </c>
      <c r="K113" s="552">
        <v>0</v>
      </c>
      <c r="L113" s="574">
        <v>7</v>
      </c>
      <c r="M113" s="548">
        <v>0</v>
      </c>
    </row>
    <row r="114" spans="1:13" ht="15.95" customHeight="1">
      <c r="A114" s="547"/>
      <c r="B114" s="550" t="s">
        <v>4470</v>
      </c>
      <c r="C114" s="550" t="s">
        <v>2725</v>
      </c>
      <c r="D114" s="550" t="s">
        <v>1368</v>
      </c>
      <c r="E114" s="550" t="s">
        <v>1941</v>
      </c>
      <c r="F114" s="550" t="s">
        <v>658</v>
      </c>
      <c r="G114" s="552">
        <v>2394</v>
      </c>
      <c r="H114" s="552">
        <v>100</v>
      </c>
      <c r="I114" s="548">
        <v>0</v>
      </c>
      <c r="J114" s="548">
        <v>75</v>
      </c>
      <c r="K114" s="552">
        <v>50</v>
      </c>
      <c r="L114" s="574">
        <v>25</v>
      </c>
      <c r="M114" s="548">
        <v>25</v>
      </c>
    </row>
    <row r="115" spans="1:13" ht="15.95" customHeight="1">
      <c r="A115" s="547"/>
      <c r="B115" s="550" t="s">
        <v>4470</v>
      </c>
      <c r="C115" s="550" t="s">
        <v>2725</v>
      </c>
      <c r="D115" s="550" t="s">
        <v>1368</v>
      </c>
      <c r="E115" s="550" t="s">
        <v>1941</v>
      </c>
      <c r="F115" s="550" t="s">
        <v>658</v>
      </c>
      <c r="G115" s="552">
        <v>2394</v>
      </c>
      <c r="H115" s="552"/>
      <c r="I115" s="548">
        <v>100</v>
      </c>
      <c r="J115" s="548">
        <v>50</v>
      </c>
      <c r="K115" s="552">
        <v>50</v>
      </c>
      <c r="L115" s="574">
        <v>0</v>
      </c>
      <c r="M115" s="548">
        <v>50</v>
      </c>
    </row>
    <row r="116" spans="1:13" ht="15.95" customHeight="1">
      <c r="A116" s="547"/>
      <c r="B116" s="550" t="s">
        <v>4470</v>
      </c>
      <c r="C116" s="550" t="s">
        <v>2725</v>
      </c>
      <c r="D116" s="550" t="s">
        <v>1368</v>
      </c>
      <c r="E116" s="550" t="s">
        <v>1941</v>
      </c>
      <c r="F116" s="550" t="s">
        <v>658</v>
      </c>
      <c r="G116" s="552">
        <v>2394</v>
      </c>
      <c r="H116" s="552"/>
      <c r="I116" s="548">
        <v>100</v>
      </c>
      <c r="J116" s="548">
        <v>0</v>
      </c>
      <c r="K116" s="552">
        <v>0</v>
      </c>
      <c r="L116" s="574">
        <v>0</v>
      </c>
      <c r="M116" s="548">
        <v>100</v>
      </c>
    </row>
    <row r="117" spans="1:13" ht="15.95" customHeight="1">
      <c r="A117" s="547"/>
      <c r="B117" s="550" t="s">
        <v>3818</v>
      </c>
      <c r="C117" s="550" t="s">
        <v>3819</v>
      </c>
      <c r="D117" s="550" t="s">
        <v>750</v>
      </c>
      <c r="E117" s="550" t="s">
        <v>232</v>
      </c>
      <c r="F117" s="550" t="s">
        <v>11</v>
      </c>
      <c r="G117" s="552">
        <v>1554</v>
      </c>
      <c r="H117" s="552">
        <v>133</v>
      </c>
      <c r="I117" s="548">
        <v>0</v>
      </c>
      <c r="J117" s="548">
        <v>81</v>
      </c>
      <c r="K117" s="552">
        <v>81</v>
      </c>
      <c r="L117" s="574">
        <v>0</v>
      </c>
      <c r="M117" s="548">
        <v>52</v>
      </c>
    </row>
    <row r="118" spans="1:13" ht="15.95" customHeight="1">
      <c r="A118" s="547"/>
      <c r="B118" s="550" t="s">
        <v>3821</v>
      </c>
      <c r="C118" s="550" t="s">
        <v>3822</v>
      </c>
      <c r="D118" s="550" t="s">
        <v>750</v>
      </c>
      <c r="E118" s="550" t="s">
        <v>262</v>
      </c>
      <c r="F118" s="550" t="s">
        <v>11</v>
      </c>
      <c r="G118" s="552">
        <v>1869</v>
      </c>
      <c r="H118" s="552"/>
      <c r="I118" s="548">
        <v>100</v>
      </c>
      <c r="J118" s="548">
        <v>100</v>
      </c>
      <c r="K118" s="552">
        <v>100</v>
      </c>
      <c r="L118" s="574">
        <v>0</v>
      </c>
      <c r="M118" s="548">
        <v>0</v>
      </c>
    </row>
    <row r="119" spans="1:13" ht="15.95" customHeight="1">
      <c r="A119" s="547"/>
      <c r="B119" s="550" t="s">
        <v>3823</v>
      </c>
      <c r="C119" s="550" t="s">
        <v>1196</v>
      </c>
      <c r="D119" s="550" t="s">
        <v>1195</v>
      </c>
      <c r="E119" s="550" t="s">
        <v>327</v>
      </c>
      <c r="F119" s="550" t="s">
        <v>11</v>
      </c>
      <c r="G119" s="552">
        <v>250</v>
      </c>
      <c r="H119" s="552">
        <v>500</v>
      </c>
      <c r="I119" s="548">
        <v>0</v>
      </c>
      <c r="J119" s="548">
        <v>500</v>
      </c>
      <c r="K119" s="552">
        <v>500</v>
      </c>
      <c r="L119" s="574">
        <v>0</v>
      </c>
      <c r="M119" s="548">
        <v>0</v>
      </c>
    </row>
    <row r="120" spans="1:13" ht="15.95" customHeight="1">
      <c r="A120" s="547"/>
      <c r="B120" s="550" t="s">
        <v>3823</v>
      </c>
      <c r="C120" s="550" t="s">
        <v>1196</v>
      </c>
      <c r="D120" s="550" t="s">
        <v>1195</v>
      </c>
      <c r="E120" s="550" t="s">
        <v>327</v>
      </c>
      <c r="F120" s="550" t="s">
        <v>11</v>
      </c>
      <c r="G120" s="552">
        <v>250</v>
      </c>
      <c r="H120" s="552"/>
      <c r="I120" s="548">
        <v>900</v>
      </c>
      <c r="J120" s="548">
        <v>900</v>
      </c>
      <c r="K120" s="552">
        <v>900</v>
      </c>
      <c r="L120" s="574">
        <v>0</v>
      </c>
      <c r="M120" s="548">
        <v>0</v>
      </c>
    </row>
    <row r="121" spans="1:13" ht="15.95" customHeight="1">
      <c r="A121" s="547"/>
      <c r="B121" s="550" t="s">
        <v>3823</v>
      </c>
      <c r="C121" s="550" t="s">
        <v>1196</v>
      </c>
      <c r="D121" s="550" t="s">
        <v>1195</v>
      </c>
      <c r="E121" s="550" t="s">
        <v>327</v>
      </c>
      <c r="F121" s="550" t="s">
        <v>11</v>
      </c>
      <c r="G121" s="552">
        <v>250</v>
      </c>
      <c r="H121" s="552"/>
      <c r="I121" s="548">
        <v>2700</v>
      </c>
      <c r="J121" s="548">
        <v>2200</v>
      </c>
      <c r="K121" s="552">
        <v>2200</v>
      </c>
      <c r="L121" s="574">
        <v>0</v>
      </c>
      <c r="M121" s="548">
        <v>500</v>
      </c>
    </row>
    <row r="122" spans="1:13" ht="15.95" customHeight="1">
      <c r="A122" s="547"/>
      <c r="B122" s="550" t="s">
        <v>3824</v>
      </c>
      <c r="C122" s="550" t="s">
        <v>3825</v>
      </c>
      <c r="D122" s="550" t="s">
        <v>624</v>
      </c>
      <c r="E122" s="550" t="s">
        <v>625</v>
      </c>
      <c r="F122" s="550" t="s">
        <v>11</v>
      </c>
      <c r="G122" s="552">
        <v>380</v>
      </c>
      <c r="H122" s="552"/>
      <c r="I122" s="548">
        <v>4480</v>
      </c>
      <c r="J122" s="548">
        <v>4480</v>
      </c>
      <c r="K122" s="552">
        <v>280</v>
      </c>
      <c r="L122" s="574">
        <v>4200</v>
      </c>
      <c r="M122" s="548">
        <v>0</v>
      </c>
    </row>
    <row r="123" spans="1:13" ht="15.95" customHeight="1">
      <c r="A123" s="547"/>
      <c r="B123" s="550" t="s">
        <v>3824</v>
      </c>
      <c r="C123" s="550" t="s">
        <v>3825</v>
      </c>
      <c r="D123" s="550" t="s">
        <v>624</v>
      </c>
      <c r="E123" s="550" t="s">
        <v>625</v>
      </c>
      <c r="F123" s="550" t="s">
        <v>11</v>
      </c>
      <c r="G123" s="552">
        <v>380</v>
      </c>
      <c r="H123" s="552"/>
      <c r="I123" s="548">
        <v>27777</v>
      </c>
      <c r="J123" s="548">
        <v>27581</v>
      </c>
      <c r="K123" s="552">
        <v>84</v>
      </c>
      <c r="L123" s="574">
        <v>27497</v>
      </c>
      <c r="M123" s="548">
        <v>196</v>
      </c>
    </row>
    <row r="124" spans="1:13" ht="15.95" customHeight="1">
      <c r="A124" s="547"/>
      <c r="B124" s="550" t="s">
        <v>3824</v>
      </c>
      <c r="C124" s="550" t="s">
        <v>3825</v>
      </c>
      <c r="D124" s="550" t="s">
        <v>624</v>
      </c>
      <c r="E124" s="550" t="s">
        <v>625</v>
      </c>
      <c r="F124" s="550" t="s">
        <v>11</v>
      </c>
      <c r="G124" s="552">
        <v>380</v>
      </c>
      <c r="H124" s="552">
        <v>57</v>
      </c>
      <c r="I124" s="548">
        <v>0</v>
      </c>
      <c r="J124" s="548">
        <v>57</v>
      </c>
      <c r="K124" s="552">
        <v>57</v>
      </c>
      <c r="L124" s="574">
        <v>0</v>
      </c>
      <c r="M124" s="548">
        <v>0</v>
      </c>
    </row>
    <row r="125" spans="1:13" ht="15.95" customHeight="1">
      <c r="A125" s="547"/>
      <c r="B125" s="550" t="s">
        <v>3824</v>
      </c>
      <c r="C125" s="550" t="s">
        <v>3825</v>
      </c>
      <c r="D125" s="550" t="s">
        <v>624</v>
      </c>
      <c r="E125" s="550" t="s">
        <v>625</v>
      </c>
      <c r="F125" s="550" t="s">
        <v>11</v>
      </c>
      <c r="G125" s="552">
        <v>380</v>
      </c>
      <c r="H125" s="552">
        <v>11990</v>
      </c>
      <c r="I125" s="548">
        <v>5</v>
      </c>
      <c r="J125" s="548">
        <v>11908</v>
      </c>
      <c r="K125" s="552">
        <v>81</v>
      </c>
      <c r="L125" s="574">
        <v>11827</v>
      </c>
      <c r="M125" s="548">
        <v>87</v>
      </c>
    </row>
    <row r="126" spans="1:13" ht="15.95" customHeight="1">
      <c r="A126" s="547"/>
      <c r="B126" s="550" t="s">
        <v>3812</v>
      </c>
      <c r="C126" s="550" t="s">
        <v>3827</v>
      </c>
      <c r="D126" s="550" t="s">
        <v>624</v>
      </c>
      <c r="E126" s="550" t="s">
        <v>327</v>
      </c>
      <c r="F126" s="550" t="s">
        <v>11</v>
      </c>
      <c r="G126" s="552">
        <v>480</v>
      </c>
      <c r="H126" s="552"/>
      <c r="I126" s="548">
        <v>6120</v>
      </c>
      <c r="J126" s="548">
        <v>6119</v>
      </c>
      <c r="K126" s="552">
        <v>120</v>
      </c>
      <c r="L126" s="574">
        <v>5999</v>
      </c>
      <c r="M126" s="548">
        <v>1</v>
      </c>
    </row>
    <row r="127" spans="1:13" ht="15.95" customHeight="1">
      <c r="A127" s="547"/>
      <c r="B127" s="550" t="s">
        <v>3812</v>
      </c>
      <c r="C127" s="550" t="s">
        <v>3827</v>
      </c>
      <c r="D127" s="550" t="s">
        <v>624</v>
      </c>
      <c r="E127" s="550" t="s">
        <v>327</v>
      </c>
      <c r="F127" s="550" t="s">
        <v>11</v>
      </c>
      <c r="G127" s="552">
        <v>480</v>
      </c>
      <c r="H127" s="552">
        <v>2998</v>
      </c>
      <c r="I127" s="548">
        <v>0</v>
      </c>
      <c r="J127" s="548">
        <v>2945</v>
      </c>
      <c r="K127" s="552">
        <v>84</v>
      </c>
      <c r="L127" s="574">
        <v>2861</v>
      </c>
      <c r="M127" s="548">
        <v>53</v>
      </c>
    </row>
    <row r="128" spans="1:13" ht="15.95" customHeight="1">
      <c r="A128" s="547"/>
      <c r="B128" s="550" t="s">
        <v>3830</v>
      </c>
      <c r="C128" s="550" t="s">
        <v>3831</v>
      </c>
      <c r="D128" s="550" t="s">
        <v>1096</v>
      </c>
      <c r="E128" s="550" t="s">
        <v>1098</v>
      </c>
      <c r="F128" s="550" t="s">
        <v>11</v>
      </c>
      <c r="G128" s="552">
        <v>1800</v>
      </c>
      <c r="H128" s="552">
        <v>5346</v>
      </c>
      <c r="I128" s="548">
        <v>0</v>
      </c>
      <c r="J128" s="548">
        <v>2736</v>
      </c>
      <c r="K128" s="552">
        <v>0</v>
      </c>
      <c r="L128" s="574">
        <v>2736</v>
      </c>
      <c r="M128" s="548">
        <v>2610</v>
      </c>
    </row>
    <row r="129" spans="1:13" ht="15.95" customHeight="1">
      <c r="A129" s="547"/>
      <c r="B129" s="550" t="s">
        <v>3830</v>
      </c>
      <c r="C129" s="550" t="s">
        <v>3831</v>
      </c>
      <c r="D129" s="550" t="s">
        <v>1096</v>
      </c>
      <c r="E129" s="550" t="s">
        <v>1098</v>
      </c>
      <c r="F129" s="550" t="s">
        <v>11</v>
      </c>
      <c r="G129" s="552">
        <v>1800</v>
      </c>
      <c r="H129" s="552"/>
      <c r="I129" s="548">
        <v>3000</v>
      </c>
      <c r="J129" s="548">
        <v>0</v>
      </c>
      <c r="K129" s="552">
        <v>0</v>
      </c>
      <c r="L129" s="574">
        <v>0</v>
      </c>
      <c r="M129" s="548">
        <v>3000</v>
      </c>
    </row>
    <row r="130" spans="1:13" ht="15.95" customHeight="1">
      <c r="A130" s="547"/>
      <c r="B130" s="550" t="s">
        <v>6084</v>
      </c>
      <c r="C130" s="550" t="s">
        <v>6085</v>
      </c>
      <c r="D130" s="550" t="s">
        <v>624</v>
      </c>
      <c r="E130" s="550" t="s">
        <v>327</v>
      </c>
      <c r="F130" s="550" t="s">
        <v>11</v>
      </c>
      <c r="G130" s="552">
        <v>1407</v>
      </c>
      <c r="H130" s="552"/>
      <c r="I130" s="548">
        <v>9990</v>
      </c>
      <c r="J130" s="548">
        <v>0</v>
      </c>
      <c r="K130" s="552">
        <v>0</v>
      </c>
      <c r="L130" s="574">
        <v>0</v>
      </c>
      <c r="M130" s="548">
        <v>9990</v>
      </c>
    </row>
    <row r="131" spans="1:13" ht="15.95" customHeight="1">
      <c r="A131" s="547"/>
      <c r="B131" s="550" t="s">
        <v>4608</v>
      </c>
      <c r="C131" s="550" t="s">
        <v>4609</v>
      </c>
      <c r="D131" s="550" t="s">
        <v>4610</v>
      </c>
      <c r="E131" s="550" t="s">
        <v>4611</v>
      </c>
      <c r="F131" s="550" t="s">
        <v>11</v>
      </c>
      <c r="G131" s="552">
        <v>1850</v>
      </c>
      <c r="H131" s="552">
        <v>1990</v>
      </c>
      <c r="I131" s="548">
        <v>500</v>
      </c>
      <c r="J131" s="548">
        <v>2490</v>
      </c>
      <c r="K131" s="552">
        <v>500</v>
      </c>
      <c r="L131" s="574">
        <v>1990</v>
      </c>
      <c r="M131" s="548">
        <v>0</v>
      </c>
    </row>
    <row r="132" spans="1:13" ht="15.95" customHeight="1">
      <c r="A132" s="547"/>
      <c r="B132" s="550" t="s">
        <v>4608</v>
      </c>
      <c r="C132" s="550" t="s">
        <v>4609</v>
      </c>
      <c r="D132" s="550" t="s">
        <v>4610</v>
      </c>
      <c r="E132" s="550" t="s">
        <v>4611</v>
      </c>
      <c r="F132" s="550" t="s">
        <v>11</v>
      </c>
      <c r="G132" s="552">
        <v>1850</v>
      </c>
      <c r="H132" s="552"/>
      <c r="I132" s="548">
        <v>2000</v>
      </c>
      <c r="J132" s="548">
        <v>76</v>
      </c>
      <c r="K132" s="552">
        <v>0</v>
      </c>
      <c r="L132" s="574">
        <v>76</v>
      </c>
      <c r="M132" s="548">
        <v>1924</v>
      </c>
    </row>
    <row r="133" spans="1:13" ht="15.95" customHeight="1">
      <c r="A133" s="547"/>
      <c r="B133" s="550" t="s">
        <v>4612</v>
      </c>
      <c r="C133" s="550" t="s">
        <v>30</v>
      </c>
      <c r="D133" s="550" t="s">
        <v>31</v>
      </c>
      <c r="E133" s="550" t="s">
        <v>4613</v>
      </c>
      <c r="F133" s="550" t="s">
        <v>11</v>
      </c>
      <c r="G133" s="552">
        <v>1600</v>
      </c>
      <c r="H133" s="552">
        <v>8586</v>
      </c>
      <c r="I133" s="548">
        <v>1000</v>
      </c>
      <c r="J133" s="548">
        <v>9586</v>
      </c>
      <c r="K133" s="552">
        <v>4650</v>
      </c>
      <c r="L133" s="574">
        <v>4936</v>
      </c>
      <c r="M133" s="548">
        <v>0</v>
      </c>
    </row>
    <row r="134" spans="1:13" ht="15.95" customHeight="1">
      <c r="A134" s="547"/>
      <c r="B134" s="550" t="s">
        <v>4616</v>
      </c>
      <c r="C134" s="550" t="s">
        <v>4617</v>
      </c>
      <c r="D134" s="550" t="s">
        <v>4618</v>
      </c>
      <c r="E134" s="550" t="s">
        <v>4619</v>
      </c>
      <c r="F134" s="550" t="s">
        <v>658</v>
      </c>
      <c r="G134" s="552">
        <v>56900</v>
      </c>
      <c r="H134" s="552">
        <v>72</v>
      </c>
      <c r="I134" s="548">
        <v>0</v>
      </c>
      <c r="J134" s="548">
        <v>72</v>
      </c>
      <c r="K134" s="552">
        <v>0</v>
      </c>
      <c r="L134" s="574">
        <v>72</v>
      </c>
      <c r="M134" s="548">
        <v>0</v>
      </c>
    </row>
    <row r="135" spans="1:13" ht="15.95" customHeight="1">
      <c r="A135" s="547"/>
      <c r="B135" s="550" t="s">
        <v>6534</v>
      </c>
      <c r="C135" s="550" t="s">
        <v>1231</v>
      </c>
      <c r="D135" s="550" t="s">
        <v>843</v>
      </c>
      <c r="E135" s="550" t="s">
        <v>1232</v>
      </c>
      <c r="F135" s="550" t="s">
        <v>11</v>
      </c>
      <c r="G135" s="552">
        <v>1150</v>
      </c>
      <c r="H135" s="552"/>
      <c r="I135" s="548">
        <v>700</v>
      </c>
      <c r="J135" s="548">
        <v>700</v>
      </c>
      <c r="K135" s="552">
        <v>700</v>
      </c>
      <c r="L135" s="574">
        <v>0</v>
      </c>
      <c r="M135" s="548">
        <v>0</v>
      </c>
    </row>
    <row r="136" spans="1:13" ht="15.95" customHeight="1">
      <c r="A136" s="547"/>
      <c r="B136" s="550" t="s">
        <v>6534</v>
      </c>
      <c r="C136" s="550" t="s">
        <v>1231</v>
      </c>
      <c r="D136" s="550" t="s">
        <v>843</v>
      </c>
      <c r="E136" s="550" t="s">
        <v>1232</v>
      </c>
      <c r="F136" s="550" t="s">
        <v>11</v>
      </c>
      <c r="G136" s="552">
        <v>1150</v>
      </c>
      <c r="H136" s="552">
        <v>700</v>
      </c>
      <c r="I136" s="548">
        <v>0</v>
      </c>
      <c r="J136" s="548">
        <v>700</v>
      </c>
      <c r="K136" s="552">
        <v>700</v>
      </c>
      <c r="L136" s="574">
        <v>0</v>
      </c>
      <c r="M136" s="548">
        <v>0</v>
      </c>
    </row>
    <row r="137" spans="1:13" ht="15.95" customHeight="1">
      <c r="A137" s="547"/>
      <c r="B137" s="550" t="s">
        <v>6534</v>
      </c>
      <c r="C137" s="550" t="s">
        <v>1231</v>
      </c>
      <c r="D137" s="550" t="s">
        <v>843</v>
      </c>
      <c r="E137" s="550" t="s">
        <v>1232</v>
      </c>
      <c r="F137" s="550" t="s">
        <v>11</v>
      </c>
      <c r="G137" s="552">
        <v>1150</v>
      </c>
      <c r="H137" s="552"/>
      <c r="I137" s="548">
        <v>2620</v>
      </c>
      <c r="J137" s="548">
        <v>2620</v>
      </c>
      <c r="K137" s="552">
        <v>1000</v>
      </c>
      <c r="L137" s="574">
        <v>1620</v>
      </c>
      <c r="M137" s="548">
        <v>0</v>
      </c>
    </row>
    <row r="138" spans="1:13" ht="15.95" customHeight="1">
      <c r="A138" s="547"/>
      <c r="B138" s="550" t="s">
        <v>6534</v>
      </c>
      <c r="C138" s="550" t="s">
        <v>1231</v>
      </c>
      <c r="D138" s="550" t="s">
        <v>843</v>
      </c>
      <c r="E138" s="550" t="s">
        <v>1232</v>
      </c>
      <c r="F138" s="550" t="s">
        <v>11</v>
      </c>
      <c r="G138" s="552">
        <v>1150</v>
      </c>
      <c r="H138" s="552"/>
      <c r="I138" s="548">
        <v>2380</v>
      </c>
      <c r="J138" s="548">
        <v>1469</v>
      </c>
      <c r="K138" s="552">
        <v>0</v>
      </c>
      <c r="L138" s="574">
        <v>1469</v>
      </c>
      <c r="M138" s="548">
        <v>911</v>
      </c>
    </row>
    <row r="139" spans="1:13" ht="15.95" customHeight="1">
      <c r="A139" s="547"/>
      <c r="B139" s="550" t="s">
        <v>4807</v>
      </c>
      <c r="C139" s="550" t="s">
        <v>368</v>
      </c>
      <c r="D139" s="550" t="s">
        <v>695</v>
      </c>
      <c r="E139" s="550" t="s">
        <v>369</v>
      </c>
      <c r="F139" s="550" t="s">
        <v>10</v>
      </c>
      <c r="G139" s="552">
        <v>34</v>
      </c>
      <c r="H139" s="552">
        <v>111</v>
      </c>
      <c r="I139" s="548">
        <v>6</v>
      </c>
      <c r="J139" s="548">
        <v>117</v>
      </c>
      <c r="K139" s="552">
        <v>117</v>
      </c>
      <c r="L139" s="574">
        <v>0</v>
      </c>
      <c r="M139" s="548">
        <v>0</v>
      </c>
    </row>
    <row r="140" spans="1:13" ht="15.95" customHeight="1">
      <c r="A140" s="547"/>
      <c r="B140" s="550" t="s">
        <v>4807</v>
      </c>
      <c r="C140" s="550" t="s">
        <v>368</v>
      </c>
      <c r="D140" s="550" t="s">
        <v>695</v>
      </c>
      <c r="E140" s="550" t="s">
        <v>369</v>
      </c>
      <c r="F140" s="550" t="s">
        <v>10</v>
      </c>
      <c r="G140" s="552">
        <v>34</v>
      </c>
      <c r="H140" s="552">
        <v>40000</v>
      </c>
      <c r="I140" s="548">
        <v>21</v>
      </c>
      <c r="J140" s="548">
        <v>5336</v>
      </c>
      <c r="K140" s="552">
        <v>5336</v>
      </c>
      <c r="L140" s="574">
        <v>0</v>
      </c>
      <c r="M140" s="548">
        <v>34685</v>
      </c>
    </row>
    <row r="141" spans="1:13" ht="15.95" customHeight="1">
      <c r="A141" s="547"/>
      <c r="B141" s="550" t="s">
        <v>4807</v>
      </c>
      <c r="C141" s="550" t="s">
        <v>368</v>
      </c>
      <c r="D141" s="550" t="s">
        <v>695</v>
      </c>
      <c r="E141" s="550" t="s">
        <v>369</v>
      </c>
      <c r="F141" s="550" t="s">
        <v>10</v>
      </c>
      <c r="G141" s="552">
        <v>34</v>
      </c>
      <c r="H141" s="552">
        <v>2757</v>
      </c>
      <c r="I141" s="548">
        <v>0</v>
      </c>
      <c r="J141" s="548">
        <v>2757</v>
      </c>
      <c r="K141" s="552">
        <v>0</v>
      </c>
      <c r="L141" s="574">
        <v>2757</v>
      </c>
      <c r="M141" s="548">
        <v>0</v>
      </c>
    </row>
    <row r="142" spans="1:13" ht="15.95" customHeight="1">
      <c r="A142" s="547"/>
      <c r="B142" s="550" t="s">
        <v>4810</v>
      </c>
      <c r="C142" s="550" t="s">
        <v>368</v>
      </c>
      <c r="D142" s="550" t="s">
        <v>695</v>
      </c>
      <c r="E142" s="550" t="s">
        <v>369</v>
      </c>
      <c r="F142" s="550" t="s">
        <v>10</v>
      </c>
      <c r="G142" s="552">
        <v>34</v>
      </c>
      <c r="H142" s="552">
        <v>18200</v>
      </c>
      <c r="I142" s="548">
        <v>77</v>
      </c>
      <c r="J142" s="548">
        <v>5775</v>
      </c>
      <c r="K142" s="552">
        <v>5634</v>
      </c>
      <c r="L142" s="574">
        <v>141</v>
      </c>
      <c r="M142" s="548">
        <v>12502</v>
      </c>
    </row>
    <row r="143" spans="1:13" ht="15.95" customHeight="1">
      <c r="A143" s="547"/>
      <c r="B143" s="550" t="s">
        <v>4810</v>
      </c>
      <c r="C143" s="550" t="s">
        <v>368</v>
      </c>
      <c r="D143" s="550" t="s">
        <v>695</v>
      </c>
      <c r="E143" s="550" t="s">
        <v>369</v>
      </c>
      <c r="F143" s="550" t="s">
        <v>10</v>
      </c>
      <c r="G143" s="552">
        <v>34</v>
      </c>
      <c r="H143" s="552">
        <v>347</v>
      </c>
      <c r="I143" s="548">
        <v>6</v>
      </c>
      <c r="J143" s="548">
        <v>353</v>
      </c>
      <c r="K143" s="552">
        <v>353</v>
      </c>
      <c r="L143" s="574">
        <v>0</v>
      </c>
      <c r="M143" s="548">
        <v>0</v>
      </c>
    </row>
    <row r="144" spans="1:13" ht="15.95" customHeight="1">
      <c r="A144" s="547"/>
      <c r="B144" s="550" t="s">
        <v>3835</v>
      </c>
      <c r="C144" s="550" t="s">
        <v>3552</v>
      </c>
      <c r="D144" s="550" t="s">
        <v>695</v>
      </c>
      <c r="E144" s="550" t="s">
        <v>390</v>
      </c>
      <c r="F144" s="550" t="s">
        <v>11</v>
      </c>
      <c r="G144" s="552">
        <v>49</v>
      </c>
      <c r="H144" s="552"/>
      <c r="I144" s="548">
        <v>5600</v>
      </c>
      <c r="J144" s="548">
        <v>5600</v>
      </c>
      <c r="K144" s="552">
        <v>5600</v>
      </c>
      <c r="L144" s="574">
        <v>0</v>
      </c>
      <c r="M144" s="548">
        <v>0</v>
      </c>
    </row>
    <row r="145" spans="1:13" ht="15.95" customHeight="1">
      <c r="A145" s="547"/>
      <c r="B145" s="550" t="s">
        <v>3835</v>
      </c>
      <c r="C145" s="550" t="s">
        <v>3552</v>
      </c>
      <c r="D145" s="550" t="s">
        <v>695</v>
      </c>
      <c r="E145" s="550" t="s">
        <v>390</v>
      </c>
      <c r="F145" s="550" t="s">
        <v>11</v>
      </c>
      <c r="G145" s="552">
        <v>49</v>
      </c>
      <c r="H145" s="552">
        <v>5000</v>
      </c>
      <c r="I145" s="548">
        <v>0</v>
      </c>
      <c r="J145" s="548">
        <v>4986</v>
      </c>
      <c r="K145" s="552">
        <v>2000</v>
      </c>
      <c r="L145" s="574">
        <v>2986</v>
      </c>
      <c r="M145" s="548">
        <v>14</v>
      </c>
    </row>
    <row r="146" spans="1:13" ht="15.95" customHeight="1">
      <c r="A146" s="547"/>
      <c r="B146" s="550" t="s">
        <v>3835</v>
      </c>
      <c r="C146" s="550" t="s">
        <v>3552</v>
      </c>
      <c r="D146" s="550" t="s">
        <v>695</v>
      </c>
      <c r="E146" s="550" t="s">
        <v>390</v>
      </c>
      <c r="F146" s="550" t="s">
        <v>11</v>
      </c>
      <c r="G146" s="552">
        <v>49</v>
      </c>
      <c r="H146" s="552">
        <v>2000</v>
      </c>
      <c r="I146" s="548">
        <v>0</v>
      </c>
      <c r="J146" s="548">
        <v>2000</v>
      </c>
      <c r="K146" s="552">
        <v>2000</v>
      </c>
      <c r="L146" s="574">
        <v>0</v>
      </c>
      <c r="M146" s="548">
        <v>0</v>
      </c>
    </row>
    <row r="147" spans="1:13" ht="15.95" customHeight="1">
      <c r="A147" s="547"/>
      <c r="B147" s="550" t="s">
        <v>3835</v>
      </c>
      <c r="C147" s="550" t="s">
        <v>3552</v>
      </c>
      <c r="D147" s="550" t="s">
        <v>695</v>
      </c>
      <c r="E147" s="550" t="s">
        <v>390</v>
      </c>
      <c r="F147" s="550" t="s">
        <v>11</v>
      </c>
      <c r="G147" s="552">
        <v>49</v>
      </c>
      <c r="H147" s="552"/>
      <c r="I147" s="548">
        <v>7400</v>
      </c>
      <c r="J147" s="548">
        <v>7400</v>
      </c>
      <c r="K147" s="552">
        <v>7400</v>
      </c>
      <c r="L147" s="574">
        <v>0</v>
      </c>
      <c r="M147" s="548">
        <v>0</v>
      </c>
    </row>
    <row r="148" spans="1:13" ht="15.95" customHeight="1">
      <c r="A148" s="547"/>
      <c r="B148" s="550" t="s">
        <v>4812</v>
      </c>
      <c r="C148" s="550" t="s">
        <v>4813</v>
      </c>
      <c r="D148" s="550" t="s">
        <v>695</v>
      </c>
      <c r="E148" s="550" t="s">
        <v>369</v>
      </c>
      <c r="F148" s="550" t="s">
        <v>10</v>
      </c>
      <c r="G148" s="552">
        <v>786</v>
      </c>
      <c r="H148" s="552">
        <v>5000</v>
      </c>
      <c r="I148" s="548">
        <v>0</v>
      </c>
      <c r="J148" s="548">
        <v>4601</v>
      </c>
      <c r="K148" s="552">
        <v>722</v>
      </c>
      <c r="L148" s="574">
        <v>3879</v>
      </c>
      <c r="M148" s="548">
        <v>399</v>
      </c>
    </row>
    <row r="149" spans="1:13" ht="15.95" customHeight="1">
      <c r="A149" s="547"/>
      <c r="B149" s="550" t="s">
        <v>4812</v>
      </c>
      <c r="C149" s="550" t="s">
        <v>4813</v>
      </c>
      <c r="D149" s="550" t="s">
        <v>695</v>
      </c>
      <c r="E149" s="550" t="s">
        <v>369</v>
      </c>
      <c r="F149" s="550" t="s">
        <v>10</v>
      </c>
      <c r="G149" s="552">
        <v>786</v>
      </c>
      <c r="H149" s="552">
        <v>5000</v>
      </c>
      <c r="I149" s="548">
        <v>0</v>
      </c>
      <c r="J149" s="548">
        <v>5000</v>
      </c>
      <c r="K149" s="552">
        <v>0</v>
      </c>
      <c r="L149" s="574">
        <v>5000</v>
      </c>
      <c r="M149" s="548">
        <v>0</v>
      </c>
    </row>
    <row r="150" spans="1:13" ht="15.95" customHeight="1">
      <c r="A150" s="547"/>
      <c r="B150" s="550" t="s">
        <v>4812</v>
      </c>
      <c r="C150" s="550" t="s">
        <v>4813</v>
      </c>
      <c r="D150" s="550" t="s">
        <v>695</v>
      </c>
      <c r="E150" s="550" t="s">
        <v>369</v>
      </c>
      <c r="F150" s="550" t="s">
        <v>10</v>
      </c>
      <c r="G150" s="552">
        <v>786</v>
      </c>
      <c r="H150" s="552">
        <v>1700</v>
      </c>
      <c r="I150" s="548">
        <v>0</v>
      </c>
      <c r="J150" s="548">
        <v>1700</v>
      </c>
      <c r="K150" s="552">
        <v>0</v>
      </c>
      <c r="L150" s="574">
        <v>1700</v>
      </c>
      <c r="M150" s="548">
        <v>0</v>
      </c>
    </row>
    <row r="151" spans="1:13" ht="15.95" customHeight="1">
      <c r="A151" s="547"/>
      <c r="B151" s="550" t="s">
        <v>3837</v>
      </c>
      <c r="C151" s="550" t="s">
        <v>3838</v>
      </c>
      <c r="D151" s="550" t="s">
        <v>695</v>
      </c>
      <c r="E151" s="550" t="s">
        <v>2474</v>
      </c>
      <c r="F151" s="550" t="s">
        <v>15</v>
      </c>
      <c r="G151" s="552">
        <v>9345</v>
      </c>
      <c r="H151" s="552">
        <v>140</v>
      </c>
      <c r="I151" s="548">
        <v>0</v>
      </c>
      <c r="J151" s="548">
        <v>85</v>
      </c>
      <c r="K151" s="552">
        <v>30</v>
      </c>
      <c r="L151" s="574">
        <v>55</v>
      </c>
      <c r="M151" s="548">
        <v>55</v>
      </c>
    </row>
    <row r="152" spans="1:13" ht="15.95" customHeight="1">
      <c r="A152" s="547"/>
      <c r="B152" s="550" t="s">
        <v>4816</v>
      </c>
      <c r="C152" s="550" t="s">
        <v>516</v>
      </c>
      <c r="D152" s="550" t="s">
        <v>515</v>
      </c>
      <c r="E152" s="550" t="s">
        <v>517</v>
      </c>
      <c r="F152" s="550" t="s">
        <v>520</v>
      </c>
      <c r="G152" s="552">
        <v>8376</v>
      </c>
      <c r="H152" s="552">
        <v>1</v>
      </c>
      <c r="I152" s="548">
        <v>0</v>
      </c>
      <c r="J152" s="548">
        <v>1</v>
      </c>
      <c r="K152" s="552">
        <v>1</v>
      </c>
      <c r="L152" s="574">
        <v>0</v>
      </c>
      <c r="M152" s="548">
        <v>0</v>
      </c>
    </row>
    <row r="153" spans="1:13" ht="15.95" customHeight="1">
      <c r="A153" s="547"/>
      <c r="B153" s="550" t="s">
        <v>4816</v>
      </c>
      <c r="C153" s="550" t="s">
        <v>516</v>
      </c>
      <c r="D153" s="550" t="s">
        <v>515</v>
      </c>
      <c r="E153" s="550" t="s">
        <v>517</v>
      </c>
      <c r="F153" s="550" t="s">
        <v>520</v>
      </c>
      <c r="G153" s="552">
        <v>8376</v>
      </c>
      <c r="H153" s="552">
        <v>228</v>
      </c>
      <c r="I153" s="548">
        <v>5</v>
      </c>
      <c r="J153" s="548">
        <v>231</v>
      </c>
      <c r="K153" s="552">
        <v>231</v>
      </c>
      <c r="L153" s="574">
        <v>0</v>
      </c>
      <c r="M153" s="548">
        <v>2</v>
      </c>
    </row>
    <row r="154" spans="1:13" ht="15.95" customHeight="1">
      <c r="A154" s="547"/>
      <c r="B154" s="550" t="s">
        <v>4816</v>
      </c>
      <c r="C154" s="550" t="s">
        <v>516</v>
      </c>
      <c r="D154" s="550" t="s">
        <v>515</v>
      </c>
      <c r="E154" s="550" t="s">
        <v>517</v>
      </c>
      <c r="F154" s="550" t="s">
        <v>520</v>
      </c>
      <c r="G154" s="552">
        <v>8376</v>
      </c>
      <c r="H154" s="552">
        <v>600</v>
      </c>
      <c r="I154" s="548">
        <v>0</v>
      </c>
      <c r="J154" s="548">
        <v>244</v>
      </c>
      <c r="K154" s="552">
        <v>234</v>
      </c>
      <c r="L154" s="574">
        <v>10</v>
      </c>
      <c r="M154" s="548">
        <v>356</v>
      </c>
    </row>
    <row r="155" spans="1:13" ht="15.95" customHeight="1">
      <c r="A155" s="547"/>
      <c r="B155" s="550" t="s">
        <v>4819</v>
      </c>
      <c r="C155" s="550" t="s">
        <v>521</v>
      </c>
      <c r="D155" s="550" t="s">
        <v>515</v>
      </c>
      <c r="E155" s="550" t="s">
        <v>238</v>
      </c>
      <c r="F155" s="550" t="s">
        <v>10</v>
      </c>
      <c r="G155" s="552">
        <v>1120</v>
      </c>
      <c r="H155" s="552">
        <v>330</v>
      </c>
      <c r="I155" s="548">
        <v>9</v>
      </c>
      <c r="J155" s="548">
        <v>339</v>
      </c>
      <c r="K155" s="552">
        <v>339</v>
      </c>
      <c r="L155" s="574">
        <v>0</v>
      </c>
      <c r="M155" s="548">
        <v>0</v>
      </c>
    </row>
    <row r="156" spans="1:13" ht="15.95" customHeight="1">
      <c r="A156" s="547"/>
      <c r="B156" s="550" t="s">
        <v>4819</v>
      </c>
      <c r="C156" s="550" t="s">
        <v>521</v>
      </c>
      <c r="D156" s="550" t="s">
        <v>515</v>
      </c>
      <c r="E156" s="550" t="s">
        <v>238</v>
      </c>
      <c r="F156" s="550" t="s">
        <v>10</v>
      </c>
      <c r="G156" s="552">
        <v>1120</v>
      </c>
      <c r="H156" s="552">
        <v>9865</v>
      </c>
      <c r="I156" s="548">
        <v>22</v>
      </c>
      <c r="J156" s="548">
        <v>7962</v>
      </c>
      <c r="K156" s="552">
        <v>504</v>
      </c>
      <c r="L156" s="574">
        <v>7458</v>
      </c>
      <c r="M156" s="548">
        <v>1925</v>
      </c>
    </row>
    <row r="157" spans="1:13" ht="15.95" customHeight="1">
      <c r="A157" s="547"/>
      <c r="B157" s="550" t="s">
        <v>4819</v>
      </c>
      <c r="C157" s="550" t="s">
        <v>521</v>
      </c>
      <c r="D157" s="550" t="s">
        <v>515</v>
      </c>
      <c r="E157" s="550" t="s">
        <v>238</v>
      </c>
      <c r="F157" s="550" t="s">
        <v>10</v>
      </c>
      <c r="G157" s="552">
        <v>1120</v>
      </c>
      <c r="H157" s="552">
        <v>10000</v>
      </c>
      <c r="I157" s="548">
        <v>0</v>
      </c>
      <c r="J157" s="548">
        <v>100</v>
      </c>
      <c r="K157" s="552">
        <v>100</v>
      </c>
      <c r="L157" s="574">
        <v>0</v>
      </c>
      <c r="M157" s="548">
        <v>9900</v>
      </c>
    </row>
    <row r="158" spans="1:13" ht="15.95" customHeight="1">
      <c r="A158" s="547"/>
      <c r="B158" s="550" t="s">
        <v>7753</v>
      </c>
      <c r="C158" s="550" t="s">
        <v>7754</v>
      </c>
      <c r="D158" s="550" t="s">
        <v>1999</v>
      </c>
      <c r="E158" s="550" t="s">
        <v>2001</v>
      </c>
      <c r="F158" s="550" t="s">
        <v>11</v>
      </c>
      <c r="G158" s="552">
        <v>1278</v>
      </c>
      <c r="H158" s="552">
        <v>6000</v>
      </c>
      <c r="I158" s="548">
        <v>0</v>
      </c>
      <c r="J158" s="548">
        <v>6000</v>
      </c>
      <c r="K158" s="552">
        <v>0</v>
      </c>
      <c r="L158" s="574">
        <v>6000</v>
      </c>
      <c r="M158" s="548">
        <v>0</v>
      </c>
    </row>
    <row r="159" spans="1:13" ht="15.95" customHeight="1">
      <c r="A159" s="547"/>
      <c r="B159" s="550" t="s">
        <v>7753</v>
      </c>
      <c r="C159" s="550" t="s">
        <v>7754</v>
      </c>
      <c r="D159" s="550" t="s">
        <v>1999</v>
      </c>
      <c r="E159" s="550" t="s">
        <v>2001</v>
      </c>
      <c r="F159" s="550" t="s">
        <v>11</v>
      </c>
      <c r="G159" s="552">
        <v>1278</v>
      </c>
      <c r="H159" s="552"/>
      <c r="I159" s="548">
        <v>12000</v>
      </c>
      <c r="J159" s="548">
        <v>1585</v>
      </c>
      <c r="K159" s="552">
        <v>0</v>
      </c>
      <c r="L159" s="574">
        <v>1585</v>
      </c>
      <c r="M159" s="548">
        <v>10415</v>
      </c>
    </row>
    <row r="160" spans="1:13" ht="15.95" customHeight="1">
      <c r="A160" s="547"/>
      <c r="B160" s="550" t="s">
        <v>4986</v>
      </c>
      <c r="C160" s="550" t="s">
        <v>1962</v>
      </c>
      <c r="D160" s="550" t="s">
        <v>1961</v>
      </c>
      <c r="E160" s="550" t="s">
        <v>1963</v>
      </c>
      <c r="F160" s="550" t="s">
        <v>11</v>
      </c>
      <c r="G160" s="552">
        <v>1197</v>
      </c>
      <c r="H160" s="552"/>
      <c r="I160" s="548">
        <v>18000</v>
      </c>
      <c r="J160" s="548">
        <v>18000</v>
      </c>
      <c r="K160" s="552">
        <v>0</v>
      </c>
      <c r="L160" s="574">
        <v>18000</v>
      </c>
      <c r="M160" s="548">
        <v>0</v>
      </c>
    </row>
    <row r="161" spans="1:13" ht="15.95" customHeight="1">
      <c r="A161" s="547"/>
      <c r="B161" s="550" t="s">
        <v>4986</v>
      </c>
      <c r="C161" s="550" t="s">
        <v>1962</v>
      </c>
      <c r="D161" s="550" t="s">
        <v>1961</v>
      </c>
      <c r="E161" s="550" t="s">
        <v>1963</v>
      </c>
      <c r="F161" s="550" t="s">
        <v>11</v>
      </c>
      <c r="G161" s="552">
        <v>1197</v>
      </c>
      <c r="H161" s="552">
        <v>8799</v>
      </c>
      <c r="I161" s="548">
        <v>0</v>
      </c>
      <c r="J161" s="548">
        <v>8799</v>
      </c>
      <c r="K161" s="552">
        <v>0</v>
      </c>
      <c r="L161" s="574">
        <v>8799</v>
      </c>
      <c r="M161" s="548">
        <v>0</v>
      </c>
    </row>
    <row r="162" spans="1:13" ht="15.95" customHeight="1">
      <c r="A162" s="547"/>
      <c r="B162" s="550" t="s">
        <v>4986</v>
      </c>
      <c r="C162" s="550" t="s">
        <v>1962</v>
      </c>
      <c r="D162" s="550" t="s">
        <v>1961</v>
      </c>
      <c r="E162" s="550" t="s">
        <v>1963</v>
      </c>
      <c r="F162" s="550" t="s">
        <v>11</v>
      </c>
      <c r="G162" s="552">
        <v>1197</v>
      </c>
      <c r="H162" s="552"/>
      <c r="I162" s="548">
        <v>14994</v>
      </c>
      <c r="J162" s="548">
        <v>8606</v>
      </c>
      <c r="K162" s="552">
        <v>0</v>
      </c>
      <c r="L162" s="574">
        <v>8606</v>
      </c>
      <c r="M162" s="548">
        <v>6388</v>
      </c>
    </row>
    <row r="163" spans="1:13" ht="15.95" customHeight="1">
      <c r="A163" s="547"/>
      <c r="B163" s="550" t="s">
        <v>4991</v>
      </c>
      <c r="C163" s="550" t="s">
        <v>4992</v>
      </c>
      <c r="D163" s="550" t="s">
        <v>4993</v>
      </c>
      <c r="E163" s="550" t="s">
        <v>4994</v>
      </c>
      <c r="F163" s="550" t="s">
        <v>628</v>
      </c>
      <c r="G163" s="552">
        <v>13860</v>
      </c>
      <c r="H163" s="552">
        <v>76</v>
      </c>
      <c r="I163" s="548">
        <v>0</v>
      </c>
      <c r="J163" s="548">
        <v>76</v>
      </c>
      <c r="K163" s="552">
        <v>6</v>
      </c>
      <c r="L163" s="574">
        <v>70</v>
      </c>
      <c r="M163" s="548">
        <v>0</v>
      </c>
    </row>
    <row r="164" spans="1:13" ht="15.95" customHeight="1">
      <c r="A164" s="547"/>
      <c r="B164" s="550" t="s">
        <v>4996</v>
      </c>
      <c r="C164" s="550" t="s">
        <v>4997</v>
      </c>
      <c r="D164" s="550" t="s">
        <v>4998</v>
      </c>
      <c r="E164" s="550" t="s">
        <v>4999</v>
      </c>
      <c r="F164" s="550" t="s">
        <v>11</v>
      </c>
      <c r="G164" s="552">
        <v>1785</v>
      </c>
      <c r="H164" s="552"/>
      <c r="I164" s="548">
        <v>3600</v>
      </c>
      <c r="J164" s="548">
        <v>3600</v>
      </c>
      <c r="K164" s="552">
        <v>3600</v>
      </c>
      <c r="L164" s="574">
        <v>0</v>
      </c>
      <c r="M164" s="548">
        <v>0</v>
      </c>
    </row>
    <row r="165" spans="1:13" ht="15.95" customHeight="1">
      <c r="A165" s="547"/>
      <c r="B165" s="550" t="s">
        <v>4996</v>
      </c>
      <c r="C165" s="550" t="s">
        <v>4997</v>
      </c>
      <c r="D165" s="550" t="s">
        <v>4998</v>
      </c>
      <c r="E165" s="550" t="s">
        <v>4999</v>
      </c>
      <c r="F165" s="550" t="s">
        <v>11</v>
      </c>
      <c r="G165" s="552">
        <v>1785</v>
      </c>
      <c r="H165" s="552"/>
      <c r="I165" s="548">
        <v>19992</v>
      </c>
      <c r="J165" s="548">
        <v>6180</v>
      </c>
      <c r="K165" s="552">
        <v>6180</v>
      </c>
      <c r="L165" s="574">
        <v>0</v>
      </c>
      <c r="M165" s="548">
        <v>13812</v>
      </c>
    </row>
    <row r="166" spans="1:13" ht="15.95" customHeight="1">
      <c r="A166" s="547"/>
      <c r="B166" s="550" t="s">
        <v>4996</v>
      </c>
      <c r="C166" s="550" t="s">
        <v>4997</v>
      </c>
      <c r="D166" s="550" t="s">
        <v>4998</v>
      </c>
      <c r="E166" s="550" t="s">
        <v>4999</v>
      </c>
      <c r="F166" s="550" t="s">
        <v>11</v>
      </c>
      <c r="G166" s="552">
        <v>1785</v>
      </c>
      <c r="H166" s="552">
        <v>12706</v>
      </c>
      <c r="I166" s="548">
        <v>0</v>
      </c>
      <c r="J166" s="548">
        <v>12706</v>
      </c>
      <c r="K166" s="552">
        <v>2400</v>
      </c>
      <c r="L166" s="574">
        <v>10306</v>
      </c>
      <c r="M166" s="548">
        <v>0</v>
      </c>
    </row>
    <row r="167" spans="1:13" ht="15.95" customHeight="1">
      <c r="A167" s="547"/>
      <c r="B167" s="550" t="s">
        <v>4996</v>
      </c>
      <c r="C167" s="550" t="s">
        <v>4997</v>
      </c>
      <c r="D167" s="550" t="s">
        <v>4998</v>
      </c>
      <c r="E167" s="550" t="s">
        <v>4999</v>
      </c>
      <c r="F167" s="550" t="s">
        <v>11</v>
      </c>
      <c r="G167" s="552">
        <v>1785</v>
      </c>
      <c r="H167" s="552">
        <v>3192</v>
      </c>
      <c r="I167" s="548">
        <v>0</v>
      </c>
      <c r="J167" s="548">
        <v>3192</v>
      </c>
      <c r="K167" s="552">
        <v>240</v>
      </c>
      <c r="L167" s="574">
        <v>2952</v>
      </c>
      <c r="M167" s="548">
        <v>0</v>
      </c>
    </row>
    <row r="168" spans="1:13" ht="15.95" customHeight="1">
      <c r="A168" s="547"/>
      <c r="B168" s="550" t="s">
        <v>5816</v>
      </c>
      <c r="C168" s="550" t="s">
        <v>5817</v>
      </c>
      <c r="D168" s="550" t="s">
        <v>702</v>
      </c>
      <c r="E168" s="550" t="s">
        <v>262</v>
      </c>
      <c r="F168" s="550" t="s">
        <v>11</v>
      </c>
      <c r="G168" s="552">
        <v>2000</v>
      </c>
      <c r="H168" s="552"/>
      <c r="I168" s="548">
        <v>3000</v>
      </c>
      <c r="J168" s="548">
        <v>215</v>
      </c>
      <c r="K168" s="552">
        <v>0</v>
      </c>
      <c r="L168" s="574">
        <v>215</v>
      </c>
      <c r="M168" s="548">
        <v>2785</v>
      </c>
    </row>
    <row r="169" spans="1:13" ht="15.95" customHeight="1">
      <c r="A169" s="547"/>
      <c r="B169" s="550" t="s">
        <v>5000</v>
      </c>
      <c r="C169" s="550" t="s">
        <v>5001</v>
      </c>
      <c r="D169" s="550" t="s">
        <v>4998</v>
      </c>
      <c r="E169" s="550" t="s">
        <v>1959</v>
      </c>
      <c r="F169" s="550" t="s">
        <v>11</v>
      </c>
      <c r="G169" s="552">
        <v>3500</v>
      </c>
      <c r="H169" s="552">
        <v>144</v>
      </c>
      <c r="I169" s="548">
        <v>4</v>
      </c>
      <c r="J169" s="548">
        <v>148</v>
      </c>
      <c r="K169" s="552">
        <v>148</v>
      </c>
      <c r="L169" s="574">
        <v>0</v>
      </c>
      <c r="M169" s="548">
        <v>0</v>
      </c>
    </row>
    <row r="170" spans="1:13" ht="15.95" customHeight="1">
      <c r="A170" s="547"/>
      <c r="B170" s="550" t="s">
        <v>5000</v>
      </c>
      <c r="C170" s="550" t="s">
        <v>12468</v>
      </c>
      <c r="D170" s="550" t="s">
        <v>4998</v>
      </c>
      <c r="E170" s="550" t="s">
        <v>1959</v>
      </c>
      <c r="F170" s="550" t="s">
        <v>11</v>
      </c>
      <c r="G170" s="552">
        <v>3500</v>
      </c>
      <c r="H170" s="552"/>
      <c r="I170" s="548">
        <v>1800</v>
      </c>
      <c r="J170" s="548">
        <v>1800</v>
      </c>
      <c r="K170" s="552">
        <v>600</v>
      </c>
      <c r="L170" s="574">
        <v>1200</v>
      </c>
      <c r="M170" s="548">
        <v>0</v>
      </c>
    </row>
    <row r="171" spans="1:13" ht="15.95" customHeight="1">
      <c r="A171" s="547"/>
      <c r="B171" s="550" t="s">
        <v>5000</v>
      </c>
      <c r="C171" s="550" t="s">
        <v>12468</v>
      </c>
      <c r="D171" s="550" t="s">
        <v>4998</v>
      </c>
      <c r="E171" s="550" t="s">
        <v>1959</v>
      </c>
      <c r="F171" s="550" t="s">
        <v>11</v>
      </c>
      <c r="G171" s="552">
        <v>3500</v>
      </c>
      <c r="H171" s="552"/>
      <c r="I171" s="548">
        <v>7825</v>
      </c>
      <c r="J171" s="548">
        <v>7477</v>
      </c>
      <c r="K171" s="552">
        <v>5082</v>
      </c>
      <c r="L171" s="574">
        <v>2395</v>
      </c>
      <c r="M171" s="548">
        <v>348</v>
      </c>
    </row>
    <row r="172" spans="1:13" ht="15.95" customHeight="1">
      <c r="A172" s="547"/>
      <c r="B172" s="550" t="s">
        <v>5000</v>
      </c>
      <c r="C172" s="550" t="s">
        <v>12468</v>
      </c>
      <c r="D172" s="550" t="s">
        <v>4998</v>
      </c>
      <c r="E172" s="550" t="s">
        <v>1959</v>
      </c>
      <c r="F172" s="550" t="s">
        <v>11</v>
      </c>
      <c r="G172" s="552">
        <v>3500</v>
      </c>
      <c r="H172" s="552"/>
      <c r="I172" s="548">
        <v>800</v>
      </c>
      <c r="J172" s="548">
        <v>800</v>
      </c>
      <c r="K172" s="552">
        <v>0</v>
      </c>
      <c r="L172" s="574">
        <v>800</v>
      </c>
      <c r="M172" s="548">
        <v>0</v>
      </c>
    </row>
    <row r="173" spans="1:13" ht="15.95" customHeight="1">
      <c r="A173" s="547"/>
      <c r="B173" s="550" t="s">
        <v>5000</v>
      </c>
      <c r="C173" s="550" t="s">
        <v>12468</v>
      </c>
      <c r="D173" s="550" t="s">
        <v>4998</v>
      </c>
      <c r="E173" s="550" t="s">
        <v>1959</v>
      </c>
      <c r="F173" s="550" t="s">
        <v>11</v>
      </c>
      <c r="G173" s="552">
        <v>3500</v>
      </c>
      <c r="H173" s="552"/>
      <c r="I173" s="548">
        <v>5400</v>
      </c>
      <c r="J173" s="548">
        <v>1196</v>
      </c>
      <c r="K173" s="552">
        <v>629</v>
      </c>
      <c r="L173" s="574">
        <v>567</v>
      </c>
      <c r="M173" s="548">
        <v>4204</v>
      </c>
    </row>
    <row r="174" spans="1:13" ht="15.95" customHeight="1">
      <c r="A174" s="547"/>
      <c r="B174" s="550" t="s">
        <v>5000</v>
      </c>
      <c r="C174" s="550" t="s">
        <v>12468</v>
      </c>
      <c r="D174" s="550" t="s">
        <v>4998</v>
      </c>
      <c r="E174" s="550" t="s">
        <v>1959</v>
      </c>
      <c r="F174" s="550" t="s">
        <v>11</v>
      </c>
      <c r="G174" s="552">
        <v>3500</v>
      </c>
      <c r="H174" s="552"/>
      <c r="I174" s="548">
        <v>6000</v>
      </c>
      <c r="J174" s="548">
        <v>0</v>
      </c>
      <c r="K174" s="552">
        <v>0</v>
      </c>
      <c r="L174" s="574">
        <v>0</v>
      </c>
      <c r="M174" s="548">
        <v>6000</v>
      </c>
    </row>
    <row r="175" spans="1:13" ht="15.95" customHeight="1">
      <c r="A175" s="547"/>
      <c r="B175" s="550" t="s">
        <v>5000</v>
      </c>
      <c r="C175" s="550" t="s">
        <v>12468</v>
      </c>
      <c r="D175" s="550" t="s">
        <v>4998</v>
      </c>
      <c r="E175" s="550" t="s">
        <v>1959</v>
      </c>
      <c r="F175" s="550" t="s">
        <v>11</v>
      </c>
      <c r="G175" s="552">
        <v>3500</v>
      </c>
      <c r="H175" s="552"/>
      <c r="I175" s="548">
        <v>8200</v>
      </c>
      <c r="J175" s="548">
        <v>0</v>
      </c>
      <c r="K175" s="552">
        <v>0</v>
      </c>
      <c r="L175" s="574">
        <v>0</v>
      </c>
      <c r="M175" s="548">
        <v>8200</v>
      </c>
    </row>
    <row r="176" spans="1:13" ht="15.95" customHeight="1">
      <c r="A176" s="547"/>
      <c r="B176" s="550" t="s">
        <v>5000</v>
      </c>
      <c r="C176" s="550" t="s">
        <v>12468</v>
      </c>
      <c r="D176" s="550" t="s">
        <v>4998</v>
      </c>
      <c r="E176" s="550" t="s">
        <v>1959</v>
      </c>
      <c r="F176" s="550" t="s">
        <v>11</v>
      </c>
      <c r="G176" s="552">
        <v>3500</v>
      </c>
      <c r="H176" s="552"/>
      <c r="I176" s="548">
        <v>11900</v>
      </c>
      <c r="J176" s="548">
        <v>0</v>
      </c>
      <c r="K176" s="552">
        <v>0</v>
      </c>
      <c r="L176" s="574">
        <v>0</v>
      </c>
      <c r="M176" s="548">
        <v>11900</v>
      </c>
    </row>
    <row r="177" spans="1:13" ht="15.95" customHeight="1">
      <c r="A177" s="547"/>
      <c r="B177" s="550" t="s">
        <v>5000</v>
      </c>
      <c r="C177" s="550" t="s">
        <v>12468</v>
      </c>
      <c r="D177" s="550" t="s">
        <v>4998</v>
      </c>
      <c r="E177" s="550" t="s">
        <v>1959</v>
      </c>
      <c r="F177" s="550" t="s">
        <v>11</v>
      </c>
      <c r="G177" s="552">
        <v>3500</v>
      </c>
      <c r="H177" s="552"/>
      <c r="I177" s="548">
        <v>10000</v>
      </c>
      <c r="J177" s="548">
        <v>0</v>
      </c>
      <c r="K177" s="552">
        <v>0</v>
      </c>
      <c r="L177" s="574">
        <v>0</v>
      </c>
      <c r="M177" s="548">
        <v>10000</v>
      </c>
    </row>
    <row r="178" spans="1:13" ht="15.95" customHeight="1">
      <c r="A178" s="547"/>
      <c r="B178" s="550" t="s">
        <v>5000</v>
      </c>
      <c r="C178" s="550" t="s">
        <v>12468</v>
      </c>
      <c r="D178" s="550" t="s">
        <v>4998</v>
      </c>
      <c r="E178" s="550" t="s">
        <v>1959</v>
      </c>
      <c r="F178" s="550" t="s">
        <v>11</v>
      </c>
      <c r="G178" s="552">
        <v>3500</v>
      </c>
      <c r="H178" s="552"/>
      <c r="I178" s="548">
        <v>10006</v>
      </c>
      <c r="J178" s="548">
        <v>9996</v>
      </c>
      <c r="K178" s="552">
        <v>3406</v>
      </c>
      <c r="L178" s="574">
        <v>6590</v>
      </c>
      <c r="M178" s="548">
        <v>10</v>
      </c>
    </row>
    <row r="179" spans="1:13" ht="15.95" customHeight="1">
      <c r="A179" s="547"/>
      <c r="B179" s="550" t="s">
        <v>5003</v>
      </c>
      <c r="C179" s="550" t="s">
        <v>5004</v>
      </c>
      <c r="D179" s="550" t="s">
        <v>702</v>
      </c>
      <c r="E179" s="550" t="s">
        <v>225</v>
      </c>
      <c r="F179" s="550" t="s">
        <v>11</v>
      </c>
      <c r="G179" s="552">
        <v>2150</v>
      </c>
      <c r="H179" s="552">
        <v>1762</v>
      </c>
      <c r="I179" s="548">
        <v>0</v>
      </c>
      <c r="J179" s="548">
        <v>1762</v>
      </c>
      <c r="K179" s="552">
        <v>0</v>
      </c>
      <c r="L179" s="574">
        <v>1762</v>
      </c>
      <c r="M179" s="548">
        <v>0</v>
      </c>
    </row>
    <row r="180" spans="1:13" ht="15.95" customHeight="1">
      <c r="A180" s="547"/>
      <c r="B180" s="550" t="s">
        <v>5003</v>
      </c>
      <c r="C180" s="550" t="s">
        <v>5004</v>
      </c>
      <c r="D180" s="550" t="s">
        <v>702</v>
      </c>
      <c r="E180" s="550" t="s">
        <v>225</v>
      </c>
      <c r="F180" s="550" t="s">
        <v>11</v>
      </c>
      <c r="G180" s="552">
        <v>2150</v>
      </c>
      <c r="H180" s="552"/>
      <c r="I180" s="548">
        <v>20000</v>
      </c>
      <c r="J180" s="548">
        <v>3804</v>
      </c>
      <c r="K180" s="552">
        <v>0</v>
      </c>
      <c r="L180" s="574">
        <v>3804</v>
      </c>
      <c r="M180" s="548">
        <v>16196</v>
      </c>
    </row>
    <row r="181" spans="1:13" ht="15.95" customHeight="1">
      <c r="A181" s="547"/>
      <c r="B181" s="550" t="s">
        <v>4621</v>
      </c>
      <c r="C181" s="550" t="s">
        <v>38</v>
      </c>
      <c r="D181" s="550" t="s">
        <v>39</v>
      </c>
      <c r="E181" s="550" t="s">
        <v>40</v>
      </c>
      <c r="F181" s="550" t="s">
        <v>11</v>
      </c>
      <c r="G181" s="552">
        <v>1150</v>
      </c>
      <c r="H181" s="552"/>
      <c r="I181" s="548">
        <v>7000</v>
      </c>
      <c r="J181" s="548">
        <v>5175</v>
      </c>
      <c r="K181" s="552">
        <v>0</v>
      </c>
      <c r="L181" s="574">
        <v>5175</v>
      </c>
      <c r="M181" s="548">
        <v>1825</v>
      </c>
    </row>
    <row r="182" spans="1:13" ht="15.95" customHeight="1">
      <c r="A182" s="547"/>
      <c r="B182" s="550" t="s">
        <v>4621</v>
      </c>
      <c r="C182" s="550" t="s">
        <v>38</v>
      </c>
      <c r="D182" s="550" t="s">
        <v>39</v>
      </c>
      <c r="E182" s="550" t="s">
        <v>40</v>
      </c>
      <c r="F182" s="550" t="s">
        <v>11</v>
      </c>
      <c r="G182" s="552">
        <v>1150</v>
      </c>
      <c r="H182" s="552">
        <v>3536</v>
      </c>
      <c r="I182" s="548">
        <v>0</v>
      </c>
      <c r="J182" s="548">
        <v>3536</v>
      </c>
      <c r="K182" s="552">
        <v>0</v>
      </c>
      <c r="L182" s="574">
        <v>3536</v>
      </c>
      <c r="M182" s="548">
        <v>0</v>
      </c>
    </row>
    <row r="183" spans="1:13" ht="15.95" customHeight="1">
      <c r="A183" s="547"/>
      <c r="B183" s="550" t="s">
        <v>4621</v>
      </c>
      <c r="C183" s="550" t="s">
        <v>38</v>
      </c>
      <c r="D183" s="550" t="s">
        <v>39</v>
      </c>
      <c r="E183" s="550" t="s">
        <v>40</v>
      </c>
      <c r="F183" s="550" t="s">
        <v>11</v>
      </c>
      <c r="G183" s="552">
        <v>1150</v>
      </c>
      <c r="H183" s="552"/>
      <c r="I183" s="548">
        <v>7000</v>
      </c>
      <c r="J183" s="548">
        <v>7000</v>
      </c>
      <c r="K183" s="552">
        <v>0</v>
      </c>
      <c r="L183" s="574">
        <v>7000</v>
      </c>
      <c r="M183" s="548">
        <v>0</v>
      </c>
    </row>
    <row r="184" spans="1:13" ht="15.95" customHeight="1">
      <c r="A184" s="547"/>
      <c r="B184" s="550" t="s">
        <v>3845</v>
      </c>
      <c r="C184" s="550" t="s">
        <v>6370</v>
      </c>
      <c r="D184" s="550" t="s">
        <v>583</v>
      </c>
      <c r="E184" s="550" t="s">
        <v>222</v>
      </c>
      <c r="F184" s="550" t="s">
        <v>11</v>
      </c>
      <c r="G184" s="552">
        <v>1677</v>
      </c>
      <c r="H184" s="552"/>
      <c r="I184" s="548">
        <v>21000</v>
      </c>
      <c r="J184" s="548">
        <v>15320</v>
      </c>
      <c r="K184" s="552">
        <v>1500</v>
      </c>
      <c r="L184" s="574">
        <v>13820</v>
      </c>
      <c r="M184" s="548">
        <v>5680</v>
      </c>
    </row>
    <row r="185" spans="1:13" ht="15.95" customHeight="1">
      <c r="A185" s="547"/>
      <c r="B185" s="550" t="s">
        <v>3846</v>
      </c>
      <c r="C185" s="550" t="s">
        <v>3847</v>
      </c>
      <c r="D185" s="550" t="s">
        <v>583</v>
      </c>
      <c r="E185" s="550" t="s">
        <v>390</v>
      </c>
      <c r="F185" s="550" t="s">
        <v>11</v>
      </c>
      <c r="G185" s="552">
        <v>2754</v>
      </c>
      <c r="H185" s="552">
        <v>12000</v>
      </c>
      <c r="I185" s="548">
        <v>0</v>
      </c>
      <c r="J185" s="548">
        <v>11997</v>
      </c>
      <c r="K185" s="552">
        <v>0</v>
      </c>
      <c r="L185" s="574">
        <v>11997</v>
      </c>
      <c r="M185" s="548">
        <v>3</v>
      </c>
    </row>
    <row r="186" spans="1:13" ht="15.95" customHeight="1">
      <c r="A186" s="547"/>
      <c r="B186" s="550" t="s">
        <v>3846</v>
      </c>
      <c r="C186" s="550" t="s">
        <v>3847</v>
      </c>
      <c r="D186" s="550" t="s">
        <v>583</v>
      </c>
      <c r="E186" s="550" t="s">
        <v>390</v>
      </c>
      <c r="F186" s="550" t="s">
        <v>11</v>
      </c>
      <c r="G186" s="552">
        <v>2754</v>
      </c>
      <c r="H186" s="552"/>
      <c r="I186" s="548">
        <v>18000</v>
      </c>
      <c r="J186" s="548">
        <v>0</v>
      </c>
      <c r="K186" s="552">
        <v>0</v>
      </c>
      <c r="L186" s="574">
        <v>0</v>
      </c>
      <c r="M186" s="548">
        <v>18000</v>
      </c>
    </row>
    <row r="187" spans="1:13" ht="15.95" customHeight="1">
      <c r="A187" s="547"/>
      <c r="B187" s="550" t="s">
        <v>4622</v>
      </c>
      <c r="C187" s="550" t="s">
        <v>51</v>
      </c>
      <c r="D187" s="550" t="s">
        <v>52</v>
      </c>
      <c r="E187" s="550" t="s">
        <v>53</v>
      </c>
      <c r="F187" s="550" t="s">
        <v>50</v>
      </c>
      <c r="G187" s="552">
        <v>60000</v>
      </c>
      <c r="H187" s="552">
        <v>416</v>
      </c>
      <c r="I187" s="548">
        <v>0</v>
      </c>
      <c r="J187" s="548">
        <v>416</v>
      </c>
      <c r="K187" s="552">
        <v>70</v>
      </c>
      <c r="L187" s="574">
        <v>346</v>
      </c>
      <c r="M187" s="548">
        <v>0</v>
      </c>
    </row>
    <row r="188" spans="1:13" ht="15.95" customHeight="1">
      <c r="A188" s="547"/>
      <c r="B188" s="550" t="s">
        <v>8691</v>
      </c>
      <c r="C188" s="550" t="s">
        <v>8694</v>
      </c>
      <c r="D188" s="550" t="s">
        <v>12279</v>
      </c>
      <c r="E188" s="550" t="s">
        <v>12280</v>
      </c>
      <c r="F188" s="550" t="s">
        <v>658</v>
      </c>
      <c r="G188" s="552">
        <v>68000</v>
      </c>
      <c r="H188" s="552">
        <v>188</v>
      </c>
      <c r="I188" s="548">
        <v>0</v>
      </c>
      <c r="J188" s="548">
        <v>36</v>
      </c>
      <c r="K188" s="552">
        <v>0</v>
      </c>
      <c r="L188" s="574">
        <v>36</v>
      </c>
      <c r="M188" s="548">
        <v>152</v>
      </c>
    </row>
    <row r="189" spans="1:13" ht="15.95" customHeight="1">
      <c r="A189" s="547"/>
      <c r="B189" s="550" t="s">
        <v>4624</v>
      </c>
      <c r="C189" s="550" t="s">
        <v>4625</v>
      </c>
      <c r="D189" s="550" t="s">
        <v>4626</v>
      </c>
      <c r="E189" s="550" t="s">
        <v>4627</v>
      </c>
      <c r="F189" s="550" t="s">
        <v>15</v>
      </c>
      <c r="G189" s="552">
        <v>55000</v>
      </c>
      <c r="H189" s="552">
        <v>440</v>
      </c>
      <c r="I189" s="548">
        <v>950</v>
      </c>
      <c r="J189" s="548">
        <v>1020</v>
      </c>
      <c r="K189" s="552">
        <v>60</v>
      </c>
      <c r="L189" s="574">
        <v>960</v>
      </c>
      <c r="M189" s="548">
        <v>370</v>
      </c>
    </row>
    <row r="190" spans="1:13" ht="15.95" customHeight="1">
      <c r="A190" s="547"/>
      <c r="B190" s="550" t="s">
        <v>4623</v>
      </c>
      <c r="C190" s="550" t="s">
        <v>54</v>
      </c>
      <c r="D190" s="550" t="s">
        <v>55</v>
      </c>
      <c r="E190" s="550" t="s">
        <v>56</v>
      </c>
      <c r="F190" s="550" t="s">
        <v>15</v>
      </c>
      <c r="G190" s="552">
        <v>31000</v>
      </c>
      <c r="H190" s="552"/>
      <c r="I190" s="548">
        <v>1500</v>
      </c>
      <c r="J190" s="548">
        <v>70</v>
      </c>
      <c r="K190" s="552">
        <v>0</v>
      </c>
      <c r="L190" s="574">
        <v>70</v>
      </c>
      <c r="M190" s="548">
        <v>1430</v>
      </c>
    </row>
    <row r="191" spans="1:13" ht="15.95" customHeight="1">
      <c r="A191" s="547"/>
      <c r="B191" s="550" t="s">
        <v>3849</v>
      </c>
      <c r="C191" s="550" t="s">
        <v>3850</v>
      </c>
      <c r="D191" s="550" t="s">
        <v>3851</v>
      </c>
      <c r="E191" s="550" t="s">
        <v>1967</v>
      </c>
      <c r="F191" s="550" t="s">
        <v>11</v>
      </c>
      <c r="G191" s="552">
        <v>599</v>
      </c>
      <c r="H191" s="552">
        <v>405</v>
      </c>
      <c r="I191" s="548">
        <v>7</v>
      </c>
      <c r="J191" s="548">
        <v>412</v>
      </c>
      <c r="K191" s="552">
        <v>411</v>
      </c>
      <c r="L191" s="574">
        <v>1</v>
      </c>
      <c r="M191" s="548">
        <v>0</v>
      </c>
    </row>
    <row r="192" spans="1:13" ht="15.95" customHeight="1">
      <c r="A192" s="547"/>
      <c r="B192" s="550" t="s">
        <v>3849</v>
      </c>
      <c r="C192" s="550" t="s">
        <v>3850</v>
      </c>
      <c r="D192" s="550" t="s">
        <v>3851</v>
      </c>
      <c r="E192" s="550" t="s">
        <v>1967</v>
      </c>
      <c r="F192" s="550" t="s">
        <v>11</v>
      </c>
      <c r="G192" s="552">
        <v>599</v>
      </c>
      <c r="H192" s="552"/>
      <c r="I192" s="548">
        <v>10001</v>
      </c>
      <c r="J192" s="548">
        <v>2038</v>
      </c>
      <c r="K192" s="552">
        <v>2038</v>
      </c>
      <c r="L192" s="574">
        <v>0</v>
      </c>
      <c r="M192" s="548">
        <v>7963</v>
      </c>
    </row>
    <row r="193" spans="1:13" ht="15.95" customHeight="1">
      <c r="A193" s="547"/>
      <c r="B193" s="550" t="s">
        <v>3849</v>
      </c>
      <c r="C193" s="550" t="s">
        <v>3850</v>
      </c>
      <c r="D193" s="550" t="s">
        <v>3851</v>
      </c>
      <c r="E193" s="550" t="s">
        <v>1967</v>
      </c>
      <c r="F193" s="550" t="s">
        <v>11</v>
      </c>
      <c r="G193" s="552">
        <v>599</v>
      </c>
      <c r="H193" s="552">
        <v>4900</v>
      </c>
      <c r="I193" s="548">
        <v>9</v>
      </c>
      <c r="J193" s="548">
        <v>4905</v>
      </c>
      <c r="K193" s="552">
        <v>2305</v>
      </c>
      <c r="L193" s="574">
        <v>2600</v>
      </c>
      <c r="M193" s="548">
        <v>4</v>
      </c>
    </row>
    <row r="194" spans="1:13" ht="15.95" customHeight="1">
      <c r="A194" s="547"/>
      <c r="B194" s="550" t="s">
        <v>3849</v>
      </c>
      <c r="C194" s="550" t="s">
        <v>3850</v>
      </c>
      <c r="D194" s="550" t="s">
        <v>3851</v>
      </c>
      <c r="E194" s="550" t="s">
        <v>1967</v>
      </c>
      <c r="F194" s="550" t="s">
        <v>11</v>
      </c>
      <c r="G194" s="552">
        <v>599</v>
      </c>
      <c r="H194" s="552"/>
      <c r="I194" s="548">
        <v>7500</v>
      </c>
      <c r="J194" s="548">
        <v>6260</v>
      </c>
      <c r="K194" s="552">
        <v>6200</v>
      </c>
      <c r="L194" s="574">
        <v>60</v>
      </c>
      <c r="M194" s="548">
        <v>1240</v>
      </c>
    </row>
    <row r="195" spans="1:13" ht="15.95" customHeight="1">
      <c r="A195" s="547"/>
      <c r="B195" s="550" t="s">
        <v>4821</v>
      </c>
      <c r="C195" s="550" t="s">
        <v>371</v>
      </c>
      <c r="D195" s="550" t="s">
        <v>371</v>
      </c>
      <c r="E195" s="550" t="s">
        <v>248</v>
      </c>
      <c r="F195" s="550" t="s">
        <v>10</v>
      </c>
      <c r="G195" s="552">
        <v>76</v>
      </c>
      <c r="H195" s="552">
        <v>100000</v>
      </c>
      <c r="I195" s="548">
        <v>141</v>
      </c>
      <c r="J195" s="548">
        <v>50213</v>
      </c>
      <c r="K195" s="552">
        <v>48903</v>
      </c>
      <c r="L195" s="574">
        <v>1310</v>
      </c>
      <c r="M195" s="548">
        <v>49928</v>
      </c>
    </row>
    <row r="196" spans="1:13" ht="15.95" customHeight="1">
      <c r="A196" s="547"/>
      <c r="B196" s="550" t="s">
        <v>3853</v>
      </c>
      <c r="C196" s="550" t="s">
        <v>1601</v>
      </c>
      <c r="D196" s="550" t="s">
        <v>708</v>
      </c>
      <c r="E196" s="550" t="s">
        <v>965</v>
      </c>
      <c r="F196" s="550" t="s">
        <v>11</v>
      </c>
      <c r="G196" s="552">
        <v>1250</v>
      </c>
      <c r="H196" s="552">
        <v>1</v>
      </c>
      <c r="I196" s="548">
        <v>0</v>
      </c>
      <c r="J196" s="548">
        <v>1</v>
      </c>
      <c r="K196" s="552">
        <v>0</v>
      </c>
      <c r="L196" s="574">
        <v>1</v>
      </c>
      <c r="M196" s="548">
        <v>0</v>
      </c>
    </row>
    <row r="197" spans="1:13" ht="15.95" customHeight="1">
      <c r="A197" s="547"/>
      <c r="B197" s="550" t="s">
        <v>3853</v>
      </c>
      <c r="C197" s="550" t="s">
        <v>1601</v>
      </c>
      <c r="D197" s="550" t="s">
        <v>708</v>
      </c>
      <c r="E197" s="550" t="s">
        <v>965</v>
      </c>
      <c r="F197" s="550" t="s">
        <v>11</v>
      </c>
      <c r="G197" s="552">
        <v>798</v>
      </c>
      <c r="H197" s="552">
        <v>3540</v>
      </c>
      <c r="I197" s="548">
        <v>0</v>
      </c>
      <c r="J197" s="548">
        <v>3138</v>
      </c>
      <c r="K197" s="552">
        <v>0</v>
      </c>
      <c r="L197" s="574">
        <v>3138</v>
      </c>
      <c r="M197" s="548">
        <v>402</v>
      </c>
    </row>
    <row r="198" spans="1:13" ht="15.95" customHeight="1">
      <c r="A198" s="547"/>
      <c r="B198" s="550" t="s">
        <v>3853</v>
      </c>
      <c r="C198" s="550" t="s">
        <v>1601</v>
      </c>
      <c r="D198" s="550" t="s">
        <v>708</v>
      </c>
      <c r="E198" s="550" t="s">
        <v>965</v>
      </c>
      <c r="F198" s="550" t="s">
        <v>11</v>
      </c>
      <c r="G198" s="552">
        <v>798</v>
      </c>
      <c r="H198" s="552">
        <v>6480</v>
      </c>
      <c r="I198" s="548">
        <v>0</v>
      </c>
      <c r="J198" s="548">
        <v>0</v>
      </c>
      <c r="K198" s="552">
        <v>0</v>
      </c>
      <c r="L198" s="574">
        <v>0</v>
      </c>
      <c r="M198" s="548">
        <v>6480</v>
      </c>
    </row>
    <row r="199" spans="1:13" ht="15.95" customHeight="1">
      <c r="A199" s="547"/>
      <c r="B199" s="550" t="s">
        <v>3855</v>
      </c>
      <c r="C199" s="550" t="s">
        <v>1254</v>
      </c>
      <c r="D199" s="550" t="s">
        <v>3856</v>
      </c>
      <c r="E199" s="550" t="s">
        <v>1255</v>
      </c>
      <c r="F199" s="550" t="s">
        <v>1258</v>
      </c>
      <c r="G199" s="552">
        <v>3550</v>
      </c>
      <c r="H199" s="552">
        <v>1</v>
      </c>
      <c r="I199" s="548">
        <v>0</v>
      </c>
      <c r="J199" s="548">
        <v>1</v>
      </c>
      <c r="K199" s="552">
        <v>1</v>
      </c>
      <c r="L199" s="574">
        <v>0</v>
      </c>
      <c r="M199" s="548">
        <v>0</v>
      </c>
    </row>
    <row r="200" spans="1:13" ht="15.95" customHeight="1">
      <c r="A200" s="547"/>
      <c r="B200" s="550" t="s">
        <v>3858</v>
      </c>
      <c r="C200" s="550" t="s">
        <v>671</v>
      </c>
      <c r="D200" s="550" t="s">
        <v>668</v>
      </c>
      <c r="E200" s="550" t="s">
        <v>327</v>
      </c>
      <c r="F200" s="550" t="s">
        <v>11</v>
      </c>
      <c r="G200" s="552">
        <v>2436</v>
      </c>
      <c r="H200" s="552">
        <v>1297</v>
      </c>
      <c r="I200" s="548">
        <v>0</v>
      </c>
      <c r="J200" s="548">
        <v>1113</v>
      </c>
      <c r="K200" s="552">
        <v>0</v>
      </c>
      <c r="L200" s="574">
        <v>1113</v>
      </c>
      <c r="M200" s="548">
        <v>184</v>
      </c>
    </row>
    <row r="201" spans="1:13" ht="15.95" customHeight="1">
      <c r="A201" s="547"/>
      <c r="B201" s="550" t="s">
        <v>3858</v>
      </c>
      <c r="C201" s="550" t="s">
        <v>671</v>
      </c>
      <c r="D201" s="550" t="s">
        <v>668</v>
      </c>
      <c r="E201" s="550" t="s">
        <v>327</v>
      </c>
      <c r="F201" s="550" t="s">
        <v>11</v>
      </c>
      <c r="G201" s="552">
        <v>2436</v>
      </c>
      <c r="H201" s="552">
        <v>4000</v>
      </c>
      <c r="I201" s="548">
        <v>0</v>
      </c>
      <c r="J201" s="548">
        <v>10</v>
      </c>
      <c r="K201" s="552">
        <v>0</v>
      </c>
      <c r="L201" s="574">
        <v>10</v>
      </c>
      <c r="M201" s="548">
        <v>3990</v>
      </c>
    </row>
    <row r="202" spans="1:13" ht="15.95" customHeight="1">
      <c r="A202" s="547"/>
      <c r="B202" s="550" t="s">
        <v>3861</v>
      </c>
      <c r="C202" s="550" t="s">
        <v>669</v>
      </c>
      <c r="D202" s="550" t="s">
        <v>668</v>
      </c>
      <c r="E202" s="550" t="s">
        <v>238</v>
      </c>
      <c r="F202" s="550" t="s">
        <v>11</v>
      </c>
      <c r="G202" s="552">
        <v>4116</v>
      </c>
      <c r="H202" s="552">
        <v>1252</v>
      </c>
      <c r="I202" s="548">
        <v>0</v>
      </c>
      <c r="J202" s="548">
        <v>1252</v>
      </c>
      <c r="K202" s="552">
        <v>0</v>
      </c>
      <c r="L202" s="574">
        <v>1252</v>
      </c>
      <c r="M202" s="548">
        <v>0</v>
      </c>
    </row>
    <row r="203" spans="1:13" ht="15.95" customHeight="1">
      <c r="A203" s="547"/>
      <c r="B203" s="550" t="s">
        <v>4474</v>
      </c>
      <c r="C203" s="550" t="s">
        <v>1455</v>
      </c>
      <c r="D203" s="550" t="s">
        <v>802</v>
      </c>
      <c r="E203" s="550" t="s">
        <v>1200</v>
      </c>
      <c r="F203" s="550" t="s">
        <v>12</v>
      </c>
      <c r="G203" s="552">
        <v>1186</v>
      </c>
      <c r="H203" s="552"/>
      <c r="I203" s="548">
        <v>1100</v>
      </c>
      <c r="J203" s="548">
        <v>100</v>
      </c>
      <c r="K203" s="552">
        <v>100</v>
      </c>
      <c r="L203" s="574">
        <v>0</v>
      </c>
      <c r="M203" s="548">
        <v>1000</v>
      </c>
    </row>
    <row r="204" spans="1:13" ht="15.95" customHeight="1">
      <c r="A204" s="547"/>
      <c r="B204" s="550" t="s">
        <v>4472</v>
      </c>
      <c r="C204" s="550" t="s">
        <v>1455</v>
      </c>
      <c r="D204" s="550" t="s">
        <v>802</v>
      </c>
      <c r="E204" s="550" t="s">
        <v>1200</v>
      </c>
      <c r="F204" s="550" t="s">
        <v>12</v>
      </c>
      <c r="G204" s="552">
        <v>1186</v>
      </c>
      <c r="H204" s="552">
        <v>1</v>
      </c>
      <c r="I204" s="548">
        <v>0</v>
      </c>
      <c r="J204" s="548">
        <v>0</v>
      </c>
      <c r="K204" s="552">
        <v>0</v>
      </c>
      <c r="L204" s="574">
        <v>0</v>
      </c>
      <c r="M204" s="548">
        <v>1</v>
      </c>
    </row>
    <row r="205" spans="1:13" ht="15.95" customHeight="1">
      <c r="A205" s="547"/>
      <c r="B205" s="550" t="s">
        <v>4475</v>
      </c>
      <c r="C205" s="550" t="s">
        <v>4476</v>
      </c>
      <c r="D205" s="550" t="s">
        <v>802</v>
      </c>
      <c r="E205" s="550" t="s">
        <v>272</v>
      </c>
      <c r="F205" s="550" t="s">
        <v>11</v>
      </c>
      <c r="G205" s="552">
        <v>1742</v>
      </c>
      <c r="H205" s="552"/>
      <c r="I205" s="548">
        <v>4000</v>
      </c>
      <c r="J205" s="548">
        <v>0</v>
      </c>
      <c r="K205" s="552">
        <v>0</v>
      </c>
      <c r="L205" s="574">
        <v>0</v>
      </c>
      <c r="M205" s="548">
        <v>4000</v>
      </c>
    </row>
    <row r="206" spans="1:13" ht="15.95" customHeight="1">
      <c r="A206" s="547"/>
      <c r="B206" s="550" t="s">
        <v>7258</v>
      </c>
      <c r="C206" s="550" t="s">
        <v>1819</v>
      </c>
      <c r="D206" s="550" t="s">
        <v>847</v>
      </c>
      <c r="E206" s="550" t="s">
        <v>225</v>
      </c>
      <c r="F206" s="550" t="s">
        <v>11</v>
      </c>
      <c r="G206" s="552">
        <v>783</v>
      </c>
      <c r="H206" s="552"/>
      <c r="I206" s="548">
        <v>30000</v>
      </c>
      <c r="J206" s="548">
        <v>15000</v>
      </c>
      <c r="K206" s="552">
        <v>15000</v>
      </c>
      <c r="L206" s="574">
        <v>0</v>
      </c>
      <c r="M206" s="548">
        <v>15000</v>
      </c>
    </row>
    <row r="207" spans="1:13" ht="15.95" customHeight="1">
      <c r="A207" s="547"/>
      <c r="B207" s="550" t="s">
        <v>4479</v>
      </c>
      <c r="C207" s="550" t="s">
        <v>4480</v>
      </c>
      <c r="D207" s="550" t="s">
        <v>847</v>
      </c>
      <c r="E207" s="550" t="s">
        <v>272</v>
      </c>
      <c r="F207" s="550" t="s">
        <v>11</v>
      </c>
      <c r="G207" s="552">
        <v>1380</v>
      </c>
      <c r="H207" s="552">
        <v>920</v>
      </c>
      <c r="I207" s="548">
        <v>0</v>
      </c>
      <c r="J207" s="548">
        <v>920</v>
      </c>
      <c r="K207" s="552">
        <v>920</v>
      </c>
      <c r="L207" s="574">
        <v>0</v>
      </c>
      <c r="M207" s="548">
        <v>0</v>
      </c>
    </row>
    <row r="208" spans="1:13" ht="15.95" customHeight="1">
      <c r="A208" s="547"/>
      <c r="B208" s="550" t="s">
        <v>4479</v>
      </c>
      <c r="C208" s="550" t="s">
        <v>4480</v>
      </c>
      <c r="D208" s="550" t="s">
        <v>847</v>
      </c>
      <c r="E208" s="550" t="s">
        <v>272</v>
      </c>
      <c r="F208" s="550" t="s">
        <v>11</v>
      </c>
      <c r="G208" s="552">
        <v>1380</v>
      </c>
      <c r="H208" s="552"/>
      <c r="I208" s="548">
        <v>2500</v>
      </c>
      <c r="J208" s="548">
        <v>2500</v>
      </c>
      <c r="K208" s="552">
        <v>2500</v>
      </c>
      <c r="L208" s="574">
        <v>0</v>
      </c>
      <c r="M208" s="548">
        <v>0</v>
      </c>
    </row>
    <row r="209" spans="1:13" ht="15.95" customHeight="1">
      <c r="A209" s="547"/>
      <c r="B209" s="550" t="s">
        <v>4479</v>
      </c>
      <c r="C209" s="550" t="s">
        <v>4480</v>
      </c>
      <c r="D209" s="550" t="s">
        <v>847</v>
      </c>
      <c r="E209" s="550" t="s">
        <v>272</v>
      </c>
      <c r="F209" s="550" t="s">
        <v>11</v>
      </c>
      <c r="G209" s="552">
        <v>1380</v>
      </c>
      <c r="H209" s="552"/>
      <c r="I209" s="548">
        <v>4000</v>
      </c>
      <c r="J209" s="548">
        <v>4000</v>
      </c>
      <c r="K209" s="552">
        <v>4000</v>
      </c>
      <c r="L209" s="574">
        <v>0</v>
      </c>
      <c r="M209" s="548">
        <v>0</v>
      </c>
    </row>
    <row r="210" spans="1:13" ht="15.95" customHeight="1">
      <c r="A210" s="547"/>
      <c r="B210" s="550" t="s">
        <v>6573</v>
      </c>
      <c r="C210" s="550" t="s">
        <v>6574</v>
      </c>
      <c r="D210" s="550" t="s">
        <v>847</v>
      </c>
      <c r="E210" s="550" t="s">
        <v>225</v>
      </c>
      <c r="F210" s="550" t="s">
        <v>11</v>
      </c>
      <c r="G210" s="552">
        <v>2300</v>
      </c>
      <c r="H210" s="552"/>
      <c r="I210" s="548">
        <v>1000</v>
      </c>
      <c r="J210" s="548">
        <v>1000</v>
      </c>
      <c r="K210" s="552">
        <v>1000</v>
      </c>
      <c r="L210" s="574">
        <v>0</v>
      </c>
      <c r="M210" s="548">
        <v>0</v>
      </c>
    </row>
    <row r="211" spans="1:13" ht="15.95" customHeight="1">
      <c r="A211" s="547"/>
      <c r="B211" s="550" t="s">
        <v>4822</v>
      </c>
      <c r="C211" s="550" t="s">
        <v>494</v>
      </c>
      <c r="D211" s="550" t="s">
        <v>493</v>
      </c>
      <c r="E211" s="550" t="s">
        <v>429</v>
      </c>
      <c r="F211" s="550" t="s">
        <v>14</v>
      </c>
      <c r="G211" s="552">
        <v>5838</v>
      </c>
      <c r="H211" s="552">
        <v>413</v>
      </c>
      <c r="I211" s="548">
        <v>4</v>
      </c>
      <c r="J211" s="548">
        <v>413</v>
      </c>
      <c r="K211" s="552">
        <v>413</v>
      </c>
      <c r="L211" s="574">
        <v>0</v>
      </c>
      <c r="M211" s="548">
        <v>4</v>
      </c>
    </row>
    <row r="212" spans="1:13" ht="15.95" customHeight="1">
      <c r="A212" s="547"/>
      <c r="B212" s="550" t="s">
        <v>6577</v>
      </c>
      <c r="C212" s="550" t="s">
        <v>1610</v>
      </c>
      <c r="D212" s="550" t="s">
        <v>1235</v>
      </c>
      <c r="E212" s="550" t="s">
        <v>900</v>
      </c>
      <c r="F212" s="550" t="s">
        <v>11</v>
      </c>
      <c r="G212" s="552">
        <v>8900</v>
      </c>
      <c r="H212" s="552"/>
      <c r="I212" s="548">
        <v>5224</v>
      </c>
      <c r="J212" s="548">
        <v>4662</v>
      </c>
      <c r="K212" s="552">
        <v>1262</v>
      </c>
      <c r="L212" s="574">
        <v>3400</v>
      </c>
      <c r="M212" s="548">
        <v>562</v>
      </c>
    </row>
    <row r="213" spans="1:13" ht="15.95" customHeight="1">
      <c r="A213" s="547"/>
      <c r="B213" s="550" t="s">
        <v>6577</v>
      </c>
      <c r="C213" s="550" t="s">
        <v>1610</v>
      </c>
      <c r="D213" s="550" t="s">
        <v>1235</v>
      </c>
      <c r="E213" s="550" t="s">
        <v>900</v>
      </c>
      <c r="F213" s="550" t="s">
        <v>11</v>
      </c>
      <c r="G213" s="552">
        <v>8900</v>
      </c>
      <c r="H213" s="552"/>
      <c r="I213" s="548">
        <v>5000</v>
      </c>
      <c r="J213" s="548">
        <v>323</v>
      </c>
      <c r="K213" s="552">
        <v>323</v>
      </c>
      <c r="L213" s="574">
        <v>0</v>
      </c>
      <c r="M213" s="548">
        <v>4677</v>
      </c>
    </row>
    <row r="214" spans="1:13" ht="15.95" customHeight="1">
      <c r="A214" s="547"/>
      <c r="B214" s="550" t="s">
        <v>4482</v>
      </c>
      <c r="C214" s="550" t="s">
        <v>1463</v>
      </c>
      <c r="D214" s="550" t="s">
        <v>433</v>
      </c>
      <c r="E214" s="550" t="s">
        <v>1200</v>
      </c>
      <c r="F214" s="550" t="s">
        <v>12</v>
      </c>
      <c r="G214" s="552">
        <v>1323</v>
      </c>
      <c r="H214" s="552"/>
      <c r="I214" s="548">
        <v>1247</v>
      </c>
      <c r="J214" s="548">
        <v>350</v>
      </c>
      <c r="K214" s="552">
        <v>350</v>
      </c>
      <c r="L214" s="574">
        <v>0</v>
      </c>
      <c r="M214" s="548">
        <v>897</v>
      </c>
    </row>
    <row r="215" spans="1:13" ht="15.95" customHeight="1">
      <c r="A215" s="547"/>
      <c r="B215" s="550" t="s">
        <v>3863</v>
      </c>
      <c r="C215" s="550" t="s">
        <v>3864</v>
      </c>
      <c r="D215" s="550" t="s">
        <v>816</v>
      </c>
      <c r="E215" s="550" t="s">
        <v>299</v>
      </c>
      <c r="F215" s="550" t="s">
        <v>11</v>
      </c>
      <c r="G215" s="552">
        <v>830</v>
      </c>
      <c r="H215" s="552">
        <v>5760</v>
      </c>
      <c r="I215" s="548">
        <v>0</v>
      </c>
      <c r="J215" s="548">
        <v>5760</v>
      </c>
      <c r="K215" s="552">
        <v>0</v>
      </c>
      <c r="L215" s="574">
        <v>5760</v>
      </c>
      <c r="M215" s="548">
        <v>0</v>
      </c>
    </row>
    <row r="216" spans="1:13" ht="15.95" customHeight="1">
      <c r="A216" s="547"/>
      <c r="B216" s="550" t="s">
        <v>3863</v>
      </c>
      <c r="C216" s="550" t="s">
        <v>3864</v>
      </c>
      <c r="D216" s="550" t="s">
        <v>816</v>
      </c>
      <c r="E216" s="550" t="s">
        <v>299</v>
      </c>
      <c r="F216" s="550" t="s">
        <v>11</v>
      </c>
      <c r="G216" s="552">
        <v>830</v>
      </c>
      <c r="H216" s="552"/>
      <c r="I216" s="548">
        <v>9990</v>
      </c>
      <c r="J216" s="548">
        <v>0</v>
      </c>
      <c r="K216" s="552">
        <v>0</v>
      </c>
      <c r="L216" s="574">
        <v>0</v>
      </c>
      <c r="M216" s="548">
        <v>9990</v>
      </c>
    </row>
    <row r="217" spans="1:13" ht="15.95" customHeight="1">
      <c r="A217" s="547"/>
      <c r="B217" s="550" t="s">
        <v>4484</v>
      </c>
      <c r="C217" s="550" t="s">
        <v>1458</v>
      </c>
      <c r="D217" s="550" t="s">
        <v>809</v>
      </c>
      <c r="E217" s="550" t="s">
        <v>272</v>
      </c>
      <c r="F217" s="550" t="s">
        <v>11</v>
      </c>
      <c r="G217" s="552">
        <v>476</v>
      </c>
      <c r="H217" s="552"/>
      <c r="I217" s="548">
        <v>3000</v>
      </c>
      <c r="J217" s="548">
        <v>3000</v>
      </c>
      <c r="K217" s="552">
        <v>3000</v>
      </c>
      <c r="L217" s="574">
        <v>0</v>
      </c>
      <c r="M217" s="548">
        <v>0</v>
      </c>
    </row>
    <row r="218" spans="1:13" ht="15.95" customHeight="1">
      <c r="A218" s="547"/>
      <c r="B218" s="550" t="s">
        <v>3866</v>
      </c>
      <c r="C218" s="550" t="s">
        <v>3562</v>
      </c>
      <c r="D218" s="550" t="s">
        <v>784</v>
      </c>
      <c r="E218" s="550" t="s">
        <v>422</v>
      </c>
      <c r="F218" s="550" t="s">
        <v>520</v>
      </c>
      <c r="G218" s="552">
        <v>101430</v>
      </c>
      <c r="H218" s="552">
        <v>24</v>
      </c>
      <c r="I218" s="548">
        <v>1</v>
      </c>
      <c r="J218" s="548">
        <v>25</v>
      </c>
      <c r="K218" s="552">
        <v>25</v>
      </c>
      <c r="L218" s="574">
        <v>0</v>
      </c>
      <c r="M218" s="548">
        <v>0</v>
      </c>
    </row>
    <row r="219" spans="1:13" ht="15.95" customHeight="1">
      <c r="A219" s="547"/>
      <c r="B219" s="550" t="s">
        <v>3868</v>
      </c>
      <c r="C219" s="550" t="s">
        <v>2809</v>
      </c>
      <c r="D219" s="550" t="s">
        <v>1318</v>
      </c>
      <c r="E219" s="550" t="s">
        <v>238</v>
      </c>
      <c r="F219" s="550" t="s">
        <v>11</v>
      </c>
      <c r="G219" s="552">
        <v>51</v>
      </c>
      <c r="H219" s="552">
        <v>100</v>
      </c>
      <c r="I219" s="548">
        <v>0</v>
      </c>
      <c r="J219" s="548">
        <v>100</v>
      </c>
      <c r="K219" s="552">
        <v>50</v>
      </c>
      <c r="L219" s="574">
        <v>50</v>
      </c>
      <c r="M219" s="548">
        <v>0</v>
      </c>
    </row>
    <row r="220" spans="1:13" ht="15.95" customHeight="1">
      <c r="A220" s="547"/>
      <c r="B220" s="550" t="s">
        <v>3868</v>
      </c>
      <c r="C220" s="550" t="s">
        <v>2809</v>
      </c>
      <c r="D220" s="550" t="s">
        <v>1318</v>
      </c>
      <c r="E220" s="550" t="s">
        <v>238</v>
      </c>
      <c r="F220" s="550" t="s">
        <v>11</v>
      </c>
      <c r="G220" s="552">
        <v>51</v>
      </c>
      <c r="H220" s="552"/>
      <c r="I220" s="548">
        <v>22500</v>
      </c>
      <c r="J220" s="548">
        <v>22500</v>
      </c>
      <c r="K220" s="552">
        <v>22500</v>
      </c>
      <c r="L220" s="574">
        <v>0</v>
      </c>
      <c r="M220" s="548">
        <v>0</v>
      </c>
    </row>
    <row r="221" spans="1:13" ht="15.95" customHeight="1">
      <c r="A221" s="547"/>
      <c r="B221" s="550" t="s">
        <v>3868</v>
      </c>
      <c r="C221" s="550" t="s">
        <v>2809</v>
      </c>
      <c r="D221" s="550" t="s">
        <v>1318</v>
      </c>
      <c r="E221" s="550" t="s">
        <v>238</v>
      </c>
      <c r="F221" s="550" t="s">
        <v>11</v>
      </c>
      <c r="G221" s="552">
        <v>51</v>
      </c>
      <c r="H221" s="552"/>
      <c r="I221" s="548">
        <v>4000</v>
      </c>
      <c r="J221" s="548">
        <v>4000</v>
      </c>
      <c r="K221" s="552">
        <v>4000</v>
      </c>
      <c r="L221" s="574">
        <v>0</v>
      </c>
      <c r="M221" s="548">
        <v>0</v>
      </c>
    </row>
    <row r="222" spans="1:13" ht="15.95" customHeight="1">
      <c r="A222" s="547"/>
      <c r="B222" s="550" t="s">
        <v>12241</v>
      </c>
      <c r="C222" s="550" t="s">
        <v>12242</v>
      </c>
      <c r="D222" s="550" t="s">
        <v>12243</v>
      </c>
      <c r="E222" s="550" t="s">
        <v>12243</v>
      </c>
      <c r="F222" s="550" t="s">
        <v>12244</v>
      </c>
      <c r="G222" s="552">
        <v>17000</v>
      </c>
      <c r="H222" s="552">
        <v>4</v>
      </c>
      <c r="I222" s="548">
        <v>0</v>
      </c>
      <c r="J222" s="548">
        <v>0</v>
      </c>
      <c r="K222" s="552">
        <v>0</v>
      </c>
      <c r="L222" s="574">
        <v>0</v>
      </c>
      <c r="M222" s="548">
        <v>4</v>
      </c>
    </row>
    <row r="223" spans="1:13" ht="15.95" customHeight="1">
      <c r="A223" s="547"/>
      <c r="B223" s="550" t="s">
        <v>12241</v>
      </c>
      <c r="C223" s="550" t="s">
        <v>12242</v>
      </c>
      <c r="D223" s="550" t="s">
        <v>12243</v>
      </c>
      <c r="E223" s="550" t="s">
        <v>12243</v>
      </c>
      <c r="F223" s="550" t="s">
        <v>12244</v>
      </c>
      <c r="G223" s="552">
        <v>17000</v>
      </c>
      <c r="H223" s="552">
        <v>1</v>
      </c>
      <c r="I223" s="548">
        <v>0</v>
      </c>
      <c r="J223" s="548">
        <v>0</v>
      </c>
      <c r="K223" s="552">
        <v>0</v>
      </c>
      <c r="L223" s="574">
        <v>0</v>
      </c>
      <c r="M223" s="548">
        <v>1</v>
      </c>
    </row>
    <row r="224" spans="1:13" ht="15.95" customHeight="1">
      <c r="A224" s="547"/>
      <c r="B224" s="550" t="s">
        <v>12241</v>
      </c>
      <c r="C224" s="550" t="s">
        <v>12242</v>
      </c>
      <c r="D224" s="550" t="s">
        <v>12243</v>
      </c>
      <c r="E224" s="550" t="s">
        <v>12243</v>
      </c>
      <c r="F224" s="550" t="s">
        <v>12244</v>
      </c>
      <c r="G224" s="552">
        <v>17000</v>
      </c>
      <c r="H224" s="552">
        <v>1</v>
      </c>
      <c r="I224" s="548">
        <v>0</v>
      </c>
      <c r="J224" s="548">
        <v>0</v>
      </c>
      <c r="K224" s="552">
        <v>0</v>
      </c>
      <c r="L224" s="574">
        <v>0</v>
      </c>
      <c r="M224" s="548">
        <v>1</v>
      </c>
    </row>
    <row r="225" spans="1:13" ht="15.95" customHeight="1">
      <c r="A225" s="547"/>
      <c r="B225" s="550" t="s">
        <v>4824</v>
      </c>
      <c r="C225" s="550" t="s">
        <v>4825</v>
      </c>
      <c r="D225" s="550" t="s">
        <v>274</v>
      </c>
      <c r="E225" s="550" t="s">
        <v>305</v>
      </c>
      <c r="F225" s="550" t="s">
        <v>14</v>
      </c>
      <c r="G225" s="552">
        <v>69000</v>
      </c>
      <c r="H225" s="552">
        <v>70</v>
      </c>
      <c r="I225" s="548">
        <v>0</v>
      </c>
      <c r="J225" s="548">
        <v>70</v>
      </c>
      <c r="K225" s="552">
        <v>0</v>
      </c>
      <c r="L225" s="574">
        <v>70</v>
      </c>
      <c r="M225" s="548">
        <v>0</v>
      </c>
    </row>
    <row r="226" spans="1:13" ht="15.95" customHeight="1">
      <c r="A226" s="547"/>
      <c r="B226" s="550" t="s">
        <v>3870</v>
      </c>
      <c r="C226" s="550" t="s">
        <v>1321</v>
      </c>
      <c r="D226" s="550" t="s">
        <v>1321</v>
      </c>
      <c r="E226" s="550" t="s">
        <v>248</v>
      </c>
      <c r="F226" s="550" t="s">
        <v>11</v>
      </c>
      <c r="G226" s="552">
        <v>47</v>
      </c>
      <c r="H226" s="552">
        <v>203</v>
      </c>
      <c r="I226" s="548">
        <v>3</v>
      </c>
      <c r="J226" s="548">
        <v>206</v>
      </c>
      <c r="K226" s="552">
        <v>204</v>
      </c>
      <c r="L226" s="574">
        <v>2</v>
      </c>
      <c r="M226" s="548">
        <v>0</v>
      </c>
    </row>
    <row r="227" spans="1:13" ht="15.95" customHeight="1">
      <c r="A227" s="547"/>
      <c r="B227" s="550" t="s">
        <v>11603</v>
      </c>
      <c r="C227" s="550" t="s">
        <v>11604</v>
      </c>
      <c r="D227" s="550" t="s">
        <v>11605</v>
      </c>
      <c r="E227" s="550" t="s">
        <v>258</v>
      </c>
      <c r="F227" s="550" t="s">
        <v>14</v>
      </c>
      <c r="G227" s="552">
        <v>0</v>
      </c>
      <c r="H227" s="552"/>
      <c r="I227" s="548">
        <v>80</v>
      </c>
      <c r="J227" s="548">
        <v>80</v>
      </c>
      <c r="K227" s="552">
        <v>28</v>
      </c>
      <c r="L227" s="574">
        <v>52</v>
      </c>
      <c r="M227" s="548">
        <v>0</v>
      </c>
    </row>
    <row r="228" spans="1:13" ht="15.95" customHeight="1">
      <c r="A228" s="547"/>
      <c r="B228" s="550" t="s">
        <v>4828</v>
      </c>
      <c r="C228" s="550" t="s">
        <v>274</v>
      </c>
      <c r="D228" s="550" t="s">
        <v>274</v>
      </c>
      <c r="E228" s="550" t="s">
        <v>225</v>
      </c>
      <c r="F228" s="550" t="s">
        <v>10</v>
      </c>
      <c r="G228" s="552">
        <v>394</v>
      </c>
      <c r="H228" s="552">
        <v>139</v>
      </c>
      <c r="I228" s="548">
        <v>3</v>
      </c>
      <c r="J228" s="548">
        <v>142</v>
      </c>
      <c r="K228" s="552">
        <v>142</v>
      </c>
      <c r="L228" s="574">
        <v>0</v>
      </c>
      <c r="M228" s="548">
        <v>0</v>
      </c>
    </row>
    <row r="229" spans="1:13" ht="15.95" customHeight="1">
      <c r="A229" s="547"/>
      <c r="B229" s="550" t="s">
        <v>4828</v>
      </c>
      <c r="C229" s="550" t="s">
        <v>274</v>
      </c>
      <c r="D229" s="550" t="s">
        <v>274</v>
      </c>
      <c r="E229" s="550" t="s">
        <v>225</v>
      </c>
      <c r="F229" s="550" t="s">
        <v>10</v>
      </c>
      <c r="G229" s="552">
        <v>394</v>
      </c>
      <c r="H229" s="552">
        <v>5000</v>
      </c>
      <c r="I229" s="548">
        <v>0</v>
      </c>
      <c r="J229" s="548">
        <v>5000</v>
      </c>
      <c r="K229" s="552">
        <v>4600</v>
      </c>
      <c r="L229" s="574">
        <v>400</v>
      </c>
      <c r="M229" s="548">
        <v>0</v>
      </c>
    </row>
    <row r="230" spans="1:13" ht="15.95" customHeight="1">
      <c r="A230" s="547"/>
      <c r="B230" s="550" t="s">
        <v>4828</v>
      </c>
      <c r="C230" s="550" t="s">
        <v>274</v>
      </c>
      <c r="D230" s="550" t="s">
        <v>274</v>
      </c>
      <c r="E230" s="550" t="s">
        <v>225</v>
      </c>
      <c r="F230" s="550" t="s">
        <v>10</v>
      </c>
      <c r="G230" s="552">
        <v>394</v>
      </c>
      <c r="H230" s="552">
        <v>4796</v>
      </c>
      <c r="I230" s="548">
        <v>61</v>
      </c>
      <c r="J230" s="548">
        <v>4714</v>
      </c>
      <c r="K230" s="552">
        <v>1511</v>
      </c>
      <c r="L230" s="574">
        <v>3203</v>
      </c>
      <c r="M230" s="548">
        <v>143</v>
      </c>
    </row>
    <row r="231" spans="1:13" ht="15.95" customHeight="1">
      <c r="A231" s="547"/>
      <c r="B231" s="550" t="s">
        <v>4832</v>
      </c>
      <c r="C231" s="550" t="s">
        <v>4833</v>
      </c>
      <c r="D231" s="550" t="s">
        <v>274</v>
      </c>
      <c r="E231" s="550" t="s">
        <v>435</v>
      </c>
      <c r="F231" s="550" t="s">
        <v>18</v>
      </c>
      <c r="G231" s="552">
        <v>18480</v>
      </c>
      <c r="H231" s="552">
        <v>39</v>
      </c>
      <c r="I231" s="548">
        <v>1</v>
      </c>
      <c r="J231" s="548">
        <v>40</v>
      </c>
      <c r="K231" s="552">
        <v>40</v>
      </c>
      <c r="L231" s="574">
        <v>0</v>
      </c>
      <c r="M231" s="548">
        <v>0</v>
      </c>
    </row>
    <row r="232" spans="1:13" ht="15.95" customHeight="1">
      <c r="A232" s="547"/>
      <c r="B232" s="550" t="s">
        <v>4832</v>
      </c>
      <c r="C232" s="550" t="s">
        <v>4833</v>
      </c>
      <c r="D232" s="550" t="s">
        <v>274</v>
      </c>
      <c r="E232" s="550" t="s">
        <v>435</v>
      </c>
      <c r="F232" s="550" t="s">
        <v>18</v>
      </c>
      <c r="G232" s="552">
        <v>18480</v>
      </c>
      <c r="H232" s="552">
        <v>200</v>
      </c>
      <c r="I232" s="548">
        <v>0</v>
      </c>
      <c r="J232" s="548">
        <v>13</v>
      </c>
      <c r="K232" s="552">
        <v>13</v>
      </c>
      <c r="L232" s="574">
        <v>0</v>
      </c>
      <c r="M232" s="548">
        <v>187</v>
      </c>
    </row>
    <row r="233" spans="1:13" ht="15.95" customHeight="1">
      <c r="A233" s="547"/>
      <c r="B233" s="550" t="s">
        <v>4486</v>
      </c>
      <c r="C233" s="550" t="s">
        <v>5870</v>
      </c>
      <c r="D233" s="550" t="s">
        <v>411</v>
      </c>
      <c r="E233" s="550" t="s">
        <v>272</v>
      </c>
      <c r="F233" s="550" t="s">
        <v>13</v>
      </c>
      <c r="G233" s="552">
        <v>5090</v>
      </c>
      <c r="H233" s="552"/>
      <c r="I233" s="548">
        <v>1200</v>
      </c>
      <c r="J233" s="548">
        <v>583</v>
      </c>
      <c r="K233" s="552">
        <v>240</v>
      </c>
      <c r="L233" s="574">
        <v>343</v>
      </c>
      <c r="M233" s="548">
        <v>617</v>
      </c>
    </row>
    <row r="234" spans="1:13" ht="15.95" customHeight="1">
      <c r="A234" s="547"/>
      <c r="B234" s="550" t="s">
        <v>4253</v>
      </c>
      <c r="C234" s="550" t="s">
        <v>7764</v>
      </c>
      <c r="D234" s="550" t="s">
        <v>11608</v>
      </c>
      <c r="E234" s="550" t="s">
        <v>1165</v>
      </c>
      <c r="F234" s="550" t="s">
        <v>11</v>
      </c>
      <c r="G234" s="552">
        <v>3675</v>
      </c>
      <c r="H234" s="552"/>
      <c r="I234" s="548">
        <v>3270</v>
      </c>
      <c r="J234" s="548">
        <v>0</v>
      </c>
      <c r="K234" s="552">
        <v>0</v>
      </c>
      <c r="L234" s="574">
        <v>0</v>
      </c>
      <c r="M234" s="548">
        <v>3270</v>
      </c>
    </row>
    <row r="235" spans="1:13" ht="15.95" customHeight="1">
      <c r="A235" s="547"/>
      <c r="B235" s="550" t="s">
        <v>4253</v>
      </c>
      <c r="C235" s="550" t="s">
        <v>7764</v>
      </c>
      <c r="D235" s="550" t="s">
        <v>11608</v>
      </c>
      <c r="E235" s="550" t="s">
        <v>1165</v>
      </c>
      <c r="F235" s="550" t="s">
        <v>11</v>
      </c>
      <c r="G235" s="552">
        <v>3675</v>
      </c>
      <c r="H235" s="552"/>
      <c r="I235" s="548">
        <v>2730</v>
      </c>
      <c r="J235" s="548">
        <v>0</v>
      </c>
      <c r="K235" s="552">
        <v>0</v>
      </c>
      <c r="L235" s="574">
        <v>0</v>
      </c>
      <c r="M235" s="548">
        <v>2730</v>
      </c>
    </row>
    <row r="236" spans="1:13" ht="15.95" customHeight="1">
      <c r="A236" s="547"/>
      <c r="B236" s="550" t="s">
        <v>3873</v>
      </c>
      <c r="C236" s="550" t="s">
        <v>1324</v>
      </c>
      <c r="D236" s="550" t="s">
        <v>2466</v>
      </c>
      <c r="E236" s="550" t="s">
        <v>390</v>
      </c>
      <c r="F236" s="550" t="s">
        <v>11</v>
      </c>
      <c r="G236" s="552">
        <v>27</v>
      </c>
      <c r="H236" s="552">
        <v>1</v>
      </c>
      <c r="I236" s="548">
        <v>0</v>
      </c>
      <c r="J236" s="548">
        <v>1</v>
      </c>
      <c r="K236" s="552">
        <v>0</v>
      </c>
      <c r="L236" s="574">
        <v>1</v>
      </c>
      <c r="M236" s="548">
        <v>0</v>
      </c>
    </row>
    <row r="237" spans="1:13" ht="15.95" customHeight="1">
      <c r="A237" s="547"/>
      <c r="B237" s="550" t="s">
        <v>3873</v>
      </c>
      <c r="C237" s="550" t="s">
        <v>1324</v>
      </c>
      <c r="D237" s="550" t="s">
        <v>2466</v>
      </c>
      <c r="E237" s="550" t="s">
        <v>390</v>
      </c>
      <c r="F237" s="550" t="s">
        <v>11</v>
      </c>
      <c r="G237" s="552">
        <v>27</v>
      </c>
      <c r="H237" s="552">
        <v>19895</v>
      </c>
      <c r="I237" s="548">
        <v>0</v>
      </c>
      <c r="J237" s="548">
        <v>18504</v>
      </c>
      <c r="K237" s="552">
        <v>15000</v>
      </c>
      <c r="L237" s="574">
        <v>3504</v>
      </c>
      <c r="M237" s="548">
        <v>1391</v>
      </c>
    </row>
    <row r="238" spans="1:13" ht="15.95" customHeight="1">
      <c r="A238" s="547"/>
      <c r="B238" s="550" t="s">
        <v>3873</v>
      </c>
      <c r="C238" s="550" t="s">
        <v>1324</v>
      </c>
      <c r="D238" s="550" t="s">
        <v>2466</v>
      </c>
      <c r="E238" s="550" t="s">
        <v>390</v>
      </c>
      <c r="F238" s="550" t="s">
        <v>11</v>
      </c>
      <c r="G238" s="552">
        <v>27</v>
      </c>
      <c r="H238" s="552"/>
      <c r="I238" s="548">
        <v>30168</v>
      </c>
      <c r="J238" s="548">
        <v>13593</v>
      </c>
      <c r="K238" s="552">
        <v>13548</v>
      </c>
      <c r="L238" s="574">
        <v>45</v>
      </c>
      <c r="M238" s="548">
        <v>16575</v>
      </c>
    </row>
    <row r="239" spans="1:13" ht="15.95" customHeight="1">
      <c r="A239" s="547"/>
      <c r="B239" s="550" t="s">
        <v>3873</v>
      </c>
      <c r="C239" s="550" t="s">
        <v>1324</v>
      </c>
      <c r="D239" s="550" t="s">
        <v>2466</v>
      </c>
      <c r="E239" s="550" t="s">
        <v>390</v>
      </c>
      <c r="F239" s="550" t="s">
        <v>11</v>
      </c>
      <c r="G239" s="552">
        <v>27</v>
      </c>
      <c r="H239" s="552"/>
      <c r="I239" s="548">
        <v>29003</v>
      </c>
      <c r="J239" s="548">
        <v>28935</v>
      </c>
      <c r="K239" s="552">
        <v>28935</v>
      </c>
      <c r="L239" s="574">
        <v>0</v>
      </c>
      <c r="M239" s="548">
        <v>68</v>
      </c>
    </row>
    <row r="240" spans="1:13" ht="15.95" customHeight="1">
      <c r="A240" s="547"/>
      <c r="B240" s="550" t="s">
        <v>4835</v>
      </c>
      <c r="C240" s="550" t="s">
        <v>261</v>
      </c>
      <c r="D240" s="550" t="s">
        <v>260</v>
      </c>
      <c r="E240" s="550" t="s">
        <v>262</v>
      </c>
      <c r="F240" s="550" t="s">
        <v>10</v>
      </c>
      <c r="G240" s="552">
        <v>1638</v>
      </c>
      <c r="H240" s="552">
        <v>1000</v>
      </c>
      <c r="I240" s="548">
        <v>0</v>
      </c>
      <c r="J240" s="548">
        <v>358</v>
      </c>
      <c r="K240" s="552">
        <v>61</v>
      </c>
      <c r="L240" s="574">
        <v>297</v>
      </c>
      <c r="M240" s="548">
        <v>642</v>
      </c>
    </row>
    <row r="241" spans="1:13" ht="15.95" customHeight="1">
      <c r="A241" s="547"/>
      <c r="B241" s="550" t="s">
        <v>4835</v>
      </c>
      <c r="C241" s="550" t="s">
        <v>261</v>
      </c>
      <c r="D241" s="550" t="s">
        <v>260</v>
      </c>
      <c r="E241" s="550" t="s">
        <v>262</v>
      </c>
      <c r="F241" s="550" t="s">
        <v>10</v>
      </c>
      <c r="G241" s="552">
        <v>1638</v>
      </c>
      <c r="H241" s="552">
        <v>600</v>
      </c>
      <c r="I241" s="548">
        <v>0</v>
      </c>
      <c r="J241" s="548">
        <v>0</v>
      </c>
      <c r="K241" s="552">
        <v>0</v>
      </c>
      <c r="L241" s="574">
        <v>0</v>
      </c>
      <c r="M241" s="548">
        <v>600</v>
      </c>
    </row>
    <row r="242" spans="1:13" ht="15.95" customHeight="1">
      <c r="A242" s="547"/>
      <c r="B242" s="550" t="s">
        <v>3876</v>
      </c>
      <c r="C242" s="550" t="s">
        <v>544</v>
      </c>
      <c r="D242" s="550" t="s">
        <v>544</v>
      </c>
      <c r="E242" s="550" t="s">
        <v>546</v>
      </c>
      <c r="F242" s="550" t="s">
        <v>11</v>
      </c>
      <c r="G242" s="552">
        <v>252</v>
      </c>
      <c r="H242" s="552">
        <v>1000</v>
      </c>
      <c r="I242" s="548">
        <v>0</v>
      </c>
      <c r="J242" s="548">
        <v>275</v>
      </c>
      <c r="K242" s="552">
        <v>0</v>
      </c>
      <c r="L242" s="574">
        <v>275</v>
      </c>
      <c r="M242" s="548">
        <v>725</v>
      </c>
    </row>
    <row r="243" spans="1:13" ht="15.95" customHeight="1">
      <c r="A243" s="547"/>
      <c r="B243" s="550" t="s">
        <v>8500</v>
      </c>
      <c r="C243" s="550" t="s">
        <v>2838</v>
      </c>
      <c r="D243" s="550" t="s">
        <v>2837</v>
      </c>
      <c r="E243" s="550" t="s">
        <v>12285</v>
      </c>
      <c r="F243" s="550" t="s">
        <v>11</v>
      </c>
      <c r="G243" s="552">
        <v>2500</v>
      </c>
      <c r="H243" s="552"/>
      <c r="I243" s="548">
        <v>4980</v>
      </c>
      <c r="J243" s="548">
        <v>0</v>
      </c>
      <c r="K243" s="552">
        <v>0</v>
      </c>
      <c r="L243" s="574">
        <v>0</v>
      </c>
      <c r="M243" s="548">
        <v>4980</v>
      </c>
    </row>
    <row r="244" spans="1:13" ht="15.95" customHeight="1">
      <c r="A244" s="547"/>
      <c r="B244" s="550" t="s">
        <v>3880</v>
      </c>
      <c r="C244" s="550" t="s">
        <v>3881</v>
      </c>
      <c r="D244" s="550" t="s">
        <v>1488</v>
      </c>
      <c r="E244" s="550" t="s">
        <v>1173</v>
      </c>
      <c r="F244" s="550" t="s">
        <v>11</v>
      </c>
      <c r="G244" s="552">
        <v>4053</v>
      </c>
      <c r="H244" s="552">
        <v>142</v>
      </c>
      <c r="I244" s="548">
        <v>0</v>
      </c>
      <c r="J244" s="548">
        <v>142</v>
      </c>
      <c r="K244" s="552">
        <v>132</v>
      </c>
      <c r="L244" s="574">
        <v>10</v>
      </c>
      <c r="M244" s="548">
        <v>0</v>
      </c>
    </row>
    <row r="245" spans="1:13" ht="15.95" customHeight="1">
      <c r="A245" s="547"/>
      <c r="B245" s="550" t="s">
        <v>3880</v>
      </c>
      <c r="C245" s="550" t="s">
        <v>3881</v>
      </c>
      <c r="D245" s="550" t="s">
        <v>1488</v>
      </c>
      <c r="E245" s="550" t="s">
        <v>1173</v>
      </c>
      <c r="F245" s="550" t="s">
        <v>11</v>
      </c>
      <c r="G245" s="552">
        <v>4053</v>
      </c>
      <c r="H245" s="552">
        <v>3357</v>
      </c>
      <c r="I245" s="548">
        <v>0</v>
      </c>
      <c r="J245" s="548">
        <v>3357</v>
      </c>
      <c r="K245" s="552">
        <v>0</v>
      </c>
      <c r="L245" s="574">
        <v>3357</v>
      </c>
      <c r="M245" s="548">
        <v>0</v>
      </c>
    </row>
    <row r="246" spans="1:13" ht="15.95" customHeight="1">
      <c r="A246" s="547"/>
      <c r="B246" s="550" t="s">
        <v>3880</v>
      </c>
      <c r="C246" s="550" t="s">
        <v>3881</v>
      </c>
      <c r="D246" s="550" t="s">
        <v>1488</v>
      </c>
      <c r="E246" s="550" t="s">
        <v>1173</v>
      </c>
      <c r="F246" s="550" t="s">
        <v>11</v>
      </c>
      <c r="G246" s="552">
        <v>4053</v>
      </c>
      <c r="H246" s="552"/>
      <c r="I246" s="548">
        <v>25620</v>
      </c>
      <c r="J246" s="548">
        <v>25441</v>
      </c>
      <c r="K246" s="552">
        <v>0</v>
      </c>
      <c r="L246" s="574">
        <v>25441</v>
      </c>
      <c r="M246" s="548">
        <v>179</v>
      </c>
    </row>
    <row r="247" spans="1:13" ht="15.95" customHeight="1">
      <c r="A247" s="547"/>
      <c r="B247" s="550" t="s">
        <v>3885</v>
      </c>
      <c r="C247" s="550" t="s">
        <v>1977</v>
      </c>
      <c r="D247" s="550" t="s">
        <v>1976</v>
      </c>
      <c r="E247" s="550" t="s">
        <v>1978</v>
      </c>
      <c r="F247" s="550" t="s">
        <v>11</v>
      </c>
      <c r="G247" s="552">
        <v>2499</v>
      </c>
      <c r="H247" s="552">
        <v>189</v>
      </c>
      <c r="I247" s="548">
        <v>0</v>
      </c>
      <c r="J247" s="548">
        <v>28</v>
      </c>
      <c r="K247" s="552">
        <v>28</v>
      </c>
      <c r="L247" s="574">
        <v>0</v>
      </c>
      <c r="M247" s="548">
        <v>161</v>
      </c>
    </row>
    <row r="248" spans="1:13" ht="15.95" customHeight="1">
      <c r="A248" s="547"/>
      <c r="B248" s="550" t="s">
        <v>3885</v>
      </c>
      <c r="C248" s="550" t="s">
        <v>1977</v>
      </c>
      <c r="D248" s="550" t="s">
        <v>1976</v>
      </c>
      <c r="E248" s="550" t="s">
        <v>1978</v>
      </c>
      <c r="F248" s="550" t="s">
        <v>11</v>
      </c>
      <c r="G248" s="552">
        <v>2499</v>
      </c>
      <c r="H248" s="552">
        <v>40329</v>
      </c>
      <c r="I248" s="548">
        <v>0</v>
      </c>
      <c r="J248" s="548">
        <v>40029</v>
      </c>
      <c r="K248" s="552">
        <v>0</v>
      </c>
      <c r="L248" s="574">
        <v>40029</v>
      </c>
      <c r="M248" s="548">
        <v>300</v>
      </c>
    </row>
    <row r="249" spans="1:13" ht="15.95" customHeight="1">
      <c r="A249" s="547"/>
      <c r="B249" s="550" t="s">
        <v>3887</v>
      </c>
      <c r="C249" s="550" t="s">
        <v>7810</v>
      </c>
      <c r="D249" s="550" t="s">
        <v>3888</v>
      </c>
      <c r="E249" s="550" t="s">
        <v>7809</v>
      </c>
      <c r="F249" s="550" t="s">
        <v>15</v>
      </c>
      <c r="G249" s="552">
        <v>6300</v>
      </c>
      <c r="H249" s="552"/>
      <c r="I249" s="548">
        <v>10</v>
      </c>
      <c r="J249" s="548">
        <v>10</v>
      </c>
      <c r="K249" s="552">
        <v>0</v>
      </c>
      <c r="L249" s="574">
        <v>10</v>
      </c>
      <c r="M249" s="548">
        <v>0</v>
      </c>
    </row>
    <row r="250" spans="1:13" ht="15.95" customHeight="1">
      <c r="A250" s="547"/>
      <c r="B250" s="550" t="s">
        <v>3889</v>
      </c>
      <c r="C250" s="550" t="s">
        <v>3891</v>
      </c>
      <c r="D250" s="550" t="s">
        <v>3890</v>
      </c>
      <c r="E250" s="550" t="s">
        <v>3892</v>
      </c>
      <c r="F250" s="550" t="s">
        <v>520</v>
      </c>
      <c r="G250" s="552">
        <v>30048</v>
      </c>
      <c r="H250" s="552">
        <v>7</v>
      </c>
      <c r="I250" s="548">
        <v>0</v>
      </c>
      <c r="J250" s="548">
        <v>7</v>
      </c>
      <c r="K250" s="552">
        <v>7</v>
      </c>
      <c r="L250" s="574">
        <v>0</v>
      </c>
      <c r="M250" s="548">
        <v>0</v>
      </c>
    </row>
    <row r="251" spans="1:13" ht="15.95" customHeight="1">
      <c r="A251" s="547"/>
      <c r="B251" s="550" t="s">
        <v>3889</v>
      </c>
      <c r="C251" s="550" t="s">
        <v>3891</v>
      </c>
      <c r="D251" s="550" t="s">
        <v>3890</v>
      </c>
      <c r="E251" s="550" t="s">
        <v>3892</v>
      </c>
      <c r="F251" s="550" t="s">
        <v>520</v>
      </c>
      <c r="G251" s="552">
        <v>30048</v>
      </c>
      <c r="H251" s="552"/>
      <c r="I251" s="548">
        <v>30</v>
      </c>
      <c r="J251" s="548">
        <v>12</v>
      </c>
      <c r="K251" s="552">
        <v>12</v>
      </c>
      <c r="L251" s="574">
        <v>0</v>
      </c>
      <c r="M251" s="548">
        <v>18</v>
      </c>
    </row>
    <row r="252" spans="1:13" ht="15.95" customHeight="1">
      <c r="A252" s="547"/>
      <c r="B252" s="550" t="s">
        <v>3889</v>
      </c>
      <c r="C252" s="550" t="s">
        <v>3891</v>
      </c>
      <c r="D252" s="550" t="s">
        <v>3890</v>
      </c>
      <c r="E252" s="550" t="s">
        <v>3892</v>
      </c>
      <c r="F252" s="550" t="s">
        <v>520</v>
      </c>
      <c r="G252" s="552">
        <v>30048</v>
      </c>
      <c r="H252" s="552"/>
      <c r="I252" s="548">
        <v>30</v>
      </c>
      <c r="J252" s="548">
        <v>0</v>
      </c>
      <c r="K252" s="552">
        <v>0</v>
      </c>
      <c r="L252" s="574">
        <v>0</v>
      </c>
      <c r="M252" s="548">
        <v>30</v>
      </c>
    </row>
    <row r="253" spans="1:13" ht="15.95" customHeight="1">
      <c r="A253" s="547"/>
      <c r="B253" s="550" t="s">
        <v>4836</v>
      </c>
      <c r="C253" s="550" t="s">
        <v>4837</v>
      </c>
      <c r="D253" s="550" t="s">
        <v>3890</v>
      </c>
      <c r="E253" s="550" t="s">
        <v>296</v>
      </c>
      <c r="F253" s="550" t="s">
        <v>10</v>
      </c>
      <c r="G253" s="552">
        <v>6750</v>
      </c>
      <c r="H253" s="552">
        <v>75</v>
      </c>
      <c r="I253" s="548">
        <v>0</v>
      </c>
      <c r="J253" s="548">
        <v>75</v>
      </c>
      <c r="K253" s="552">
        <v>5</v>
      </c>
      <c r="L253" s="574">
        <v>70</v>
      </c>
      <c r="M253" s="548">
        <v>0</v>
      </c>
    </row>
    <row r="254" spans="1:13" ht="15.95" customHeight="1">
      <c r="A254" s="547"/>
      <c r="B254" s="550" t="s">
        <v>4487</v>
      </c>
      <c r="C254" s="550" t="s">
        <v>4488</v>
      </c>
      <c r="D254" s="550" t="s">
        <v>841</v>
      </c>
      <c r="E254" s="550" t="s">
        <v>4489</v>
      </c>
      <c r="F254" s="550" t="s">
        <v>11</v>
      </c>
      <c r="G254" s="552">
        <v>215</v>
      </c>
      <c r="H254" s="552"/>
      <c r="I254" s="548">
        <v>800</v>
      </c>
      <c r="J254" s="548">
        <v>800</v>
      </c>
      <c r="K254" s="552">
        <v>800</v>
      </c>
      <c r="L254" s="574">
        <v>0</v>
      </c>
      <c r="M254" s="548">
        <v>0</v>
      </c>
    </row>
    <row r="255" spans="1:13" ht="15.95" customHeight="1">
      <c r="A255" s="547"/>
      <c r="B255" s="550" t="s">
        <v>3896</v>
      </c>
      <c r="C255" s="550" t="s">
        <v>3897</v>
      </c>
      <c r="D255" s="550" t="s">
        <v>3898</v>
      </c>
      <c r="E255" s="550" t="s">
        <v>3899</v>
      </c>
      <c r="F255" s="550" t="s">
        <v>11</v>
      </c>
      <c r="G255" s="552">
        <v>6589</v>
      </c>
      <c r="H255" s="552">
        <v>2710</v>
      </c>
      <c r="I255" s="548">
        <v>0</v>
      </c>
      <c r="J255" s="548">
        <v>2710</v>
      </c>
      <c r="K255" s="552">
        <v>0</v>
      </c>
      <c r="L255" s="574">
        <v>2710</v>
      </c>
      <c r="M255" s="548">
        <v>0</v>
      </c>
    </row>
    <row r="256" spans="1:13" ht="15.95" customHeight="1">
      <c r="A256" s="547"/>
      <c r="B256" s="550" t="s">
        <v>3896</v>
      </c>
      <c r="C256" s="550" t="s">
        <v>3897</v>
      </c>
      <c r="D256" s="550" t="s">
        <v>3898</v>
      </c>
      <c r="E256" s="550" t="s">
        <v>3899</v>
      </c>
      <c r="F256" s="550" t="s">
        <v>11</v>
      </c>
      <c r="G256" s="552">
        <v>6589</v>
      </c>
      <c r="H256" s="552"/>
      <c r="I256" s="548">
        <v>3000</v>
      </c>
      <c r="J256" s="548">
        <v>2941</v>
      </c>
      <c r="K256" s="552">
        <v>1</v>
      </c>
      <c r="L256" s="574">
        <v>2940</v>
      </c>
      <c r="M256" s="548">
        <v>59</v>
      </c>
    </row>
    <row r="257" spans="1:13" ht="15.95" customHeight="1">
      <c r="A257" s="547"/>
      <c r="B257" s="550" t="s">
        <v>3896</v>
      </c>
      <c r="C257" s="550" t="s">
        <v>3897</v>
      </c>
      <c r="D257" s="550" t="s">
        <v>3898</v>
      </c>
      <c r="E257" s="550" t="s">
        <v>3899</v>
      </c>
      <c r="F257" s="550" t="s">
        <v>11</v>
      </c>
      <c r="G257" s="552">
        <v>6589</v>
      </c>
      <c r="H257" s="552"/>
      <c r="I257" s="548">
        <v>6000</v>
      </c>
      <c r="J257" s="548">
        <v>5987</v>
      </c>
      <c r="K257" s="552">
        <v>0</v>
      </c>
      <c r="L257" s="574">
        <v>5987</v>
      </c>
      <c r="M257" s="548">
        <v>13</v>
      </c>
    </row>
    <row r="258" spans="1:13" ht="15.95" customHeight="1">
      <c r="A258" s="547"/>
      <c r="B258" s="550" t="s">
        <v>3896</v>
      </c>
      <c r="C258" s="550" t="s">
        <v>1007</v>
      </c>
      <c r="D258" s="550" t="s">
        <v>3898</v>
      </c>
      <c r="E258" s="550" t="s">
        <v>1008</v>
      </c>
      <c r="F258" s="550" t="s">
        <v>10</v>
      </c>
      <c r="G258" s="552">
        <v>6589</v>
      </c>
      <c r="H258" s="552">
        <v>58</v>
      </c>
      <c r="I258" s="548">
        <v>0</v>
      </c>
      <c r="J258" s="548">
        <v>58</v>
      </c>
      <c r="K258" s="552">
        <v>0</v>
      </c>
      <c r="L258" s="574">
        <v>58</v>
      </c>
      <c r="M258" s="548">
        <v>0</v>
      </c>
    </row>
    <row r="259" spans="1:13" ht="15.95" customHeight="1">
      <c r="A259" s="547"/>
      <c r="B259" s="550" t="s">
        <v>3901</v>
      </c>
      <c r="C259" s="550" t="s">
        <v>1003</v>
      </c>
      <c r="D259" s="550" t="s">
        <v>788</v>
      </c>
      <c r="E259" s="550" t="s">
        <v>1004</v>
      </c>
      <c r="F259" s="550" t="s">
        <v>10</v>
      </c>
      <c r="G259" s="552">
        <v>5650</v>
      </c>
      <c r="H259" s="552">
        <v>50</v>
      </c>
      <c r="I259" s="548">
        <v>0</v>
      </c>
      <c r="J259" s="548">
        <v>50</v>
      </c>
      <c r="K259" s="552">
        <v>5</v>
      </c>
      <c r="L259" s="574">
        <v>45</v>
      </c>
      <c r="M259" s="548">
        <v>0</v>
      </c>
    </row>
    <row r="260" spans="1:13" ht="15.95" customHeight="1">
      <c r="A260" s="547"/>
      <c r="B260" s="550" t="s">
        <v>3903</v>
      </c>
      <c r="C260" s="550" t="s">
        <v>3904</v>
      </c>
      <c r="D260" s="550" t="s">
        <v>1245</v>
      </c>
      <c r="E260" s="550" t="s">
        <v>3905</v>
      </c>
      <c r="F260" s="550" t="s">
        <v>11</v>
      </c>
      <c r="G260" s="552">
        <v>6500</v>
      </c>
      <c r="H260" s="552">
        <v>255</v>
      </c>
      <c r="I260" s="548">
        <v>0</v>
      </c>
      <c r="J260" s="548">
        <v>255</v>
      </c>
      <c r="K260" s="552">
        <v>0</v>
      </c>
      <c r="L260" s="574">
        <v>255</v>
      </c>
      <c r="M260" s="548">
        <v>0</v>
      </c>
    </row>
    <row r="261" spans="1:13" ht="15.95" customHeight="1">
      <c r="A261" s="547"/>
      <c r="B261" s="550" t="s">
        <v>3903</v>
      </c>
      <c r="C261" s="550" t="s">
        <v>3904</v>
      </c>
      <c r="D261" s="550" t="s">
        <v>1245</v>
      </c>
      <c r="E261" s="550" t="s">
        <v>3905</v>
      </c>
      <c r="F261" s="550" t="s">
        <v>11</v>
      </c>
      <c r="G261" s="552">
        <v>6500</v>
      </c>
      <c r="H261" s="552"/>
      <c r="I261" s="548">
        <v>3000</v>
      </c>
      <c r="J261" s="548">
        <v>750</v>
      </c>
      <c r="K261" s="552">
        <v>0</v>
      </c>
      <c r="L261" s="574">
        <v>750</v>
      </c>
      <c r="M261" s="548">
        <v>2250</v>
      </c>
    </row>
    <row r="262" spans="1:13" ht="15.95" customHeight="1">
      <c r="A262" s="547"/>
      <c r="B262" s="550" t="s">
        <v>3903</v>
      </c>
      <c r="C262" s="550" t="s">
        <v>3904</v>
      </c>
      <c r="D262" s="550" t="s">
        <v>1245</v>
      </c>
      <c r="E262" s="550" t="s">
        <v>3905</v>
      </c>
      <c r="F262" s="550" t="s">
        <v>11</v>
      </c>
      <c r="G262" s="552">
        <v>6500</v>
      </c>
      <c r="H262" s="552">
        <v>3000</v>
      </c>
      <c r="I262" s="548">
        <v>3000</v>
      </c>
      <c r="J262" s="548">
        <v>5226</v>
      </c>
      <c r="K262" s="552">
        <v>0</v>
      </c>
      <c r="L262" s="574">
        <v>5226</v>
      </c>
      <c r="M262" s="548">
        <v>774</v>
      </c>
    </row>
    <row r="263" spans="1:13" ht="15.95" customHeight="1">
      <c r="A263" s="547"/>
      <c r="B263" s="550" t="s">
        <v>4629</v>
      </c>
      <c r="C263" s="550" t="s">
        <v>4630</v>
      </c>
      <c r="D263" s="550" t="s">
        <v>4631</v>
      </c>
      <c r="E263" s="550" t="s">
        <v>272</v>
      </c>
      <c r="F263" s="550" t="s">
        <v>11</v>
      </c>
      <c r="G263" s="552">
        <v>3600</v>
      </c>
      <c r="H263" s="552">
        <v>7687</v>
      </c>
      <c r="I263" s="548">
        <v>0</v>
      </c>
      <c r="J263" s="548">
        <v>7099</v>
      </c>
      <c r="K263" s="552">
        <v>0</v>
      </c>
      <c r="L263" s="574">
        <v>7099</v>
      </c>
      <c r="M263" s="548">
        <v>588</v>
      </c>
    </row>
    <row r="264" spans="1:13" ht="15.95" customHeight="1">
      <c r="A264" s="547"/>
      <c r="B264" s="550" t="s">
        <v>5881</v>
      </c>
      <c r="C264" s="550" t="s">
        <v>5883</v>
      </c>
      <c r="D264" s="550" t="s">
        <v>683</v>
      </c>
      <c r="E264" s="550" t="s">
        <v>5882</v>
      </c>
      <c r="F264" s="550" t="s">
        <v>15</v>
      </c>
      <c r="G264" s="552">
        <v>83000</v>
      </c>
      <c r="H264" s="552"/>
      <c r="I264" s="548">
        <v>100</v>
      </c>
      <c r="J264" s="548">
        <v>2</v>
      </c>
      <c r="K264" s="552">
        <v>0</v>
      </c>
      <c r="L264" s="574">
        <v>2</v>
      </c>
      <c r="M264" s="548">
        <v>98</v>
      </c>
    </row>
    <row r="265" spans="1:13" ht="15.95" customHeight="1">
      <c r="A265" s="547"/>
      <c r="B265" s="550" t="s">
        <v>3907</v>
      </c>
      <c r="C265" s="550" t="s">
        <v>3908</v>
      </c>
      <c r="D265" s="550" t="s">
        <v>1481</v>
      </c>
      <c r="E265" s="550" t="s">
        <v>1690</v>
      </c>
      <c r="F265" s="550" t="s">
        <v>11</v>
      </c>
      <c r="G265" s="552">
        <v>3450</v>
      </c>
      <c r="H265" s="552">
        <v>7137</v>
      </c>
      <c r="I265" s="548">
        <v>0</v>
      </c>
      <c r="J265" s="548">
        <v>3197</v>
      </c>
      <c r="K265" s="552">
        <v>0</v>
      </c>
      <c r="L265" s="574">
        <v>3197</v>
      </c>
      <c r="M265" s="548">
        <v>3940</v>
      </c>
    </row>
    <row r="266" spans="1:13" ht="15.95" customHeight="1">
      <c r="A266" s="547"/>
      <c r="B266" s="550" t="s">
        <v>3907</v>
      </c>
      <c r="C266" s="550" t="s">
        <v>3908</v>
      </c>
      <c r="D266" s="550" t="s">
        <v>1481</v>
      </c>
      <c r="E266" s="550" t="s">
        <v>1690</v>
      </c>
      <c r="F266" s="550" t="s">
        <v>11</v>
      </c>
      <c r="G266" s="552">
        <v>3450</v>
      </c>
      <c r="H266" s="552">
        <v>4980</v>
      </c>
      <c r="I266" s="548">
        <v>0</v>
      </c>
      <c r="J266" s="548">
        <v>0</v>
      </c>
      <c r="K266" s="552">
        <v>0</v>
      </c>
      <c r="L266" s="574">
        <v>0</v>
      </c>
      <c r="M266" s="548">
        <v>4980</v>
      </c>
    </row>
    <row r="267" spans="1:13" ht="15.95" customHeight="1">
      <c r="A267" s="547"/>
      <c r="B267" s="550" t="s">
        <v>4633</v>
      </c>
      <c r="C267" s="550" t="s">
        <v>4634</v>
      </c>
      <c r="D267" s="550" t="s">
        <v>2276</v>
      </c>
      <c r="E267" s="550" t="s">
        <v>4635</v>
      </c>
      <c r="F267" s="550" t="s">
        <v>11</v>
      </c>
      <c r="G267" s="552">
        <v>1150</v>
      </c>
      <c r="H267" s="552">
        <v>549</v>
      </c>
      <c r="I267" s="548">
        <v>0</v>
      </c>
      <c r="J267" s="548">
        <v>549</v>
      </c>
      <c r="K267" s="552">
        <v>0</v>
      </c>
      <c r="L267" s="574">
        <v>549</v>
      </c>
      <c r="M267" s="548">
        <v>0</v>
      </c>
    </row>
    <row r="268" spans="1:13" ht="15.95" customHeight="1">
      <c r="A268" s="547"/>
      <c r="B268" s="550" t="s">
        <v>3910</v>
      </c>
      <c r="C268" s="550" t="s">
        <v>1013</v>
      </c>
      <c r="D268" s="550" t="s">
        <v>1215</v>
      </c>
      <c r="E268" s="550" t="s">
        <v>1014</v>
      </c>
      <c r="F268" s="550" t="s">
        <v>10</v>
      </c>
      <c r="G268" s="552">
        <v>3258</v>
      </c>
      <c r="H268" s="552">
        <v>118</v>
      </c>
      <c r="I268" s="548">
        <v>0</v>
      </c>
      <c r="J268" s="548">
        <v>56</v>
      </c>
      <c r="K268" s="552">
        <v>56</v>
      </c>
      <c r="L268" s="574">
        <v>0</v>
      </c>
      <c r="M268" s="548">
        <v>62</v>
      </c>
    </row>
    <row r="269" spans="1:13" ht="15.95" customHeight="1">
      <c r="A269" s="547"/>
      <c r="B269" s="550" t="s">
        <v>4637</v>
      </c>
      <c r="C269" s="550" t="s">
        <v>4638</v>
      </c>
      <c r="D269" s="550" t="s">
        <v>4639</v>
      </c>
      <c r="E269" s="550" t="s">
        <v>4640</v>
      </c>
      <c r="F269" s="550" t="s">
        <v>11</v>
      </c>
      <c r="G269" s="552">
        <v>1000</v>
      </c>
      <c r="H269" s="552">
        <v>4090</v>
      </c>
      <c r="I269" s="548">
        <v>0</v>
      </c>
      <c r="J269" s="548">
        <v>4090</v>
      </c>
      <c r="K269" s="552">
        <v>0</v>
      </c>
      <c r="L269" s="574">
        <v>4090</v>
      </c>
      <c r="M269" s="548">
        <v>0</v>
      </c>
    </row>
    <row r="270" spans="1:13" ht="15.95" customHeight="1">
      <c r="A270" s="547"/>
      <c r="B270" s="550" t="s">
        <v>5006</v>
      </c>
      <c r="C270" s="550" t="s">
        <v>1895</v>
      </c>
      <c r="D270" s="550" t="s">
        <v>1636</v>
      </c>
      <c r="E270" s="550" t="s">
        <v>5007</v>
      </c>
      <c r="F270" s="550" t="s">
        <v>11</v>
      </c>
      <c r="G270" s="552">
        <v>2600</v>
      </c>
      <c r="H270" s="552"/>
      <c r="I270" s="548">
        <v>6110</v>
      </c>
      <c r="J270" s="548">
        <v>0</v>
      </c>
      <c r="K270" s="552">
        <v>0</v>
      </c>
      <c r="L270" s="574">
        <v>0</v>
      </c>
      <c r="M270" s="548">
        <v>6110</v>
      </c>
    </row>
    <row r="271" spans="1:13" ht="15.95" customHeight="1">
      <c r="A271" s="547"/>
      <c r="B271" s="550" t="s">
        <v>5006</v>
      </c>
      <c r="C271" s="550" t="s">
        <v>1895</v>
      </c>
      <c r="D271" s="550" t="s">
        <v>1636</v>
      </c>
      <c r="E271" s="550" t="s">
        <v>5007</v>
      </c>
      <c r="F271" s="550" t="s">
        <v>11</v>
      </c>
      <c r="G271" s="552">
        <v>2600</v>
      </c>
      <c r="H271" s="552"/>
      <c r="I271" s="548">
        <v>4390</v>
      </c>
      <c r="J271" s="548">
        <v>0</v>
      </c>
      <c r="K271" s="552">
        <v>0</v>
      </c>
      <c r="L271" s="574">
        <v>0</v>
      </c>
      <c r="M271" s="548">
        <v>4390</v>
      </c>
    </row>
    <row r="272" spans="1:13" ht="15.95" customHeight="1">
      <c r="A272" s="547"/>
      <c r="B272" s="550" t="s">
        <v>4781</v>
      </c>
      <c r="C272" s="550" t="s">
        <v>2469</v>
      </c>
      <c r="D272" s="550" t="s">
        <v>2469</v>
      </c>
      <c r="E272" s="550" t="s">
        <v>4782</v>
      </c>
      <c r="F272" s="550" t="s">
        <v>11</v>
      </c>
      <c r="G272" s="552">
        <v>100</v>
      </c>
      <c r="H272" s="552">
        <v>1000</v>
      </c>
      <c r="I272" s="548">
        <v>0</v>
      </c>
      <c r="J272" s="548">
        <v>1000</v>
      </c>
      <c r="K272" s="552">
        <v>1000</v>
      </c>
      <c r="L272" s="574">
        <v>0</v>
      </c>
      <c r="M272" s="548">
        <v>0</v>
      </c>
    </row>
    <row r="273" spans="1:13" ht="15.95" customHeight="1">
      <c r="A273" s="547"/>
      <c r="B273" s="550" t="s">
        <v>12543</v>
      </c>
      <c r="C273" s="550" t="s">
        <v>12544</v>
      </c>
      <c r="D273" s="550" t="s">
        <v>12545</v>
      </c>
      <c r="E273" s="550" t="s">
        <v>390</v>
      </c>
      <c r="F273" s="550" t="s">
        <v>628</v>
      </c>
      <c r="G273" s="552">
        <v>0</v>
      </c>
      <c r="H273" s="552"/>
      <c r="I273" s="548">
        <v>200</v>
      </c>
      <c r="J273" s="548">
        <v>12</v>
      </c>
      <c r="K273" s="552">
        <v>12</v>
      </c>
      <c r="L273" s="574">
        <v>0</v>
      </c>
      <c r="M273" s="548">
        <v>188</v>
      </c>
    </row>
    <row r="274" spans="1:13" ht="15.95" customHeight="1">
      <c r="A274" s="547"/>
      <c r="B274" s="550" t="s">
        <v>4490</v>
      </c>
      <c r="C274" s="550" t="s">
        <v>2123</v>
      </c>
      <c r="D274" s="550" t="s">
        <v>4491</v>
      </c>
      <c r="E274" s="550" t="s">
        <v>4492</v>
      </c>
      <c r="F274" s="550" t="s">
        <v>658</v>
      </c>
      <c r="G274" s="552">
        <v>43919</v>
      </c>
      <c r="H274" s="552">
        <v>79</v>
      </c>
      <c r="I274" s="548">
        <v>0</v>
      </c>
      <c r="J274" s="548">
        <v>46</v>
      </c>
      <c r="K274" s="552">
        <v>0</v>
      </c>
      <c r="L274" s="574">
        <v>46</v>
      </c>
      <c r="M274" s="548">
        <v>33</v>
      </c>
    </row>
    <row r="275" spans="1:13" ht="15.95" customHeight="1">
      <c r="A275" s="547"/>
      <c r="B275" s="550" t="s">
        <v>4490</v>
      </c>
      <c r="C275" s="550" t="s">
        <v>2123</v>
      </c>
      <c r="D275" s="550" t="s">
        <v>4491</v>
      </c>
      <c r="E275" s="550" t="s">
        <v>4492</v>
      </c>
      <c r="F275" s="550" t="s">
        <v>658</v>
      </c>
      <c r="G275" s="552">
        <v>43919</v>
      </c>
      <c r="H275" s="552"/>
      <c r="I275" s="548">
        <v>100</v>
      </c>
      <c r="J275" s="548">
        <v>0</v>
      </c>
      <c r="K275" s="552">
        <v>0</v>
      </c>
      <c r="L275" s="574">
        <v>0</v>
      </c>
      <c r="M275" s="548">
        <v>100</v>
      </c>
    </row>
    <row r="276" spans="1:13" ht="15.95" customHeight="1">
      <c r="A276" s="547"/>
      <c r="B276" s="550" t="s">
        <v>3914</v>
      </c>
      <c r="C276" s="550" t="s">
        <v>6981</v>
      </c>
      <c r="D276" s="550" t="s">
        <v>2470</v>
      </c>
      <c r="E276" s="550" t="s">
        <v>384</v>
      </c>
      <c r="F276" s="550" t="s">
        <v>11</v>
      </c>
      <c r="G276" s="552">
        <v>129</v>
      </c>
      <c r="H276" s="552"/>
      <c r="I276" s="548">
        <v>20000</v>
      </c>
      <c r="J276" s="548">
        <v>9200</v>
      </c>
      <c r="K276" s="552">
        <v>9200</v>
      </c>
      <c r="L276" s="574">
        <v>0</v>
      </c>
      <c r="M276" s="548">
        <v>10800</v>
      </c>
    </row>
    <row r="277" spans="1:13" ht="15.95" customHeight="1">
      <c r="A277" s="547"/>
      <c r="B277" s="550" t="s">
        <v>3914</v>
      </c>
      <c r="C277" s="550" t="s">
        <v>6981</v>
      </c>
      <c r="D277" s="550" t="s">
        <v>2470</v>
      </c>
      <c r="E277" s="550" t="s">
        <v>384</v>
      </c>
      <c r="F277" s="550" t="s">
        <v>11</v>
      </c>
      <c r="G277" s="552">
        <v>129</v>
      </c>
      <c r="H277" s="552"/>
      <c r="I277" s="548">
        <v>27000</v>
      </c>
      <c r="J277" s="548">
        <v>26800</v>
      </c>
      <c r="K277" s="552">
        <v>26800</v>
      </c>
      <c r="L277" s="574">
        <v>0</v>
      </c>
      <c r="M277" s="548">
        <v>200</v>
      </c>
    </row>
    <row r="278" spans="1:13" ht="15.95" customHeight="1">
      <c r="A278" s="547"/>
      <c r="B278" s="550" t="s">
        <v>3914</v>
      </c>
      <c r="C278" s="550" t="s">
        <v>1065</v>
      </c>
      <c r="D278" s="550" t="s">
        <v>2470</v>
      </c>
      <c r="E278" s="550" t="s">
        <v>384</v>
      </c>
      <c r="F278" s="550" t="s">
        <v>10</v>
      </c>
      <c r="G278" s="552">
        <v>120</v>
      </c>
      <c r="H278" s="552">
        <v>1017</v>
      </c>
      <c r="I278" s="548">
        <v>0</v>
      </c>
      <c r="J278" s="548">
        <v>1017</v>
      </c>
      <c r="K278" s="552">
        <v>0</v>
      </c>
      <c r="L278" s="574">
        <v>1017</v>
      </c>
      <c r="M278" s="548">
        <v>0</v>
      </c>
    </row>
    <row r="279" spans="1:13" ht="15.95" customHeight="1">
      <c r="A279" s="547"/>
      <c r="B279" s="550" t="s">
        <v>3916</v>
      </c>
      <c r="C279" s="550" t="s">
        <v>1065</v>
      </c>
      <c r="D279" s="550" t="s">
        <v>2470</v>
      </c>
      <c r="E279" s="550" t="s">
        <v>384</v>
      </c>
      <c r="F279" s="550" t="s">
        <v>10</v>
      </c>
      <c r="G279" s="552">
        <v>120</v>
      </c>
      <c r="H279" s="552">
        <v>233</v>
      </c>
      <c r="I279" s="548">
        <v>0</v>
      </c>
      <c r="J279" s="548">
        <v>233</v>
      </c>
      <c r="K279" s="552">
        <v>9</v>
      </c>
      <c r="L279" s="574">
        <v>224</v>
      </c>
      <c r="M279" s="548">
        <v>0</v>
      </c>
    </row>
    <row r="280" spans="1:13" ht="15.95" customHeight="1">
      <c r="A280" s="547"/>
      <c r="B280" s="550" t="s">
        <v>5112</v>
      </c>
      <c r="C280" s="550" t="s">
        <v>5113</v>
      </c>
      <c r="D280" s="550" t="s">
        <v>309</v>
      </c>
      <c r="E280" s="550" t="s">
        <v>310</v>
      </c>
      <c r="F280" s="550" t="s">
        <v>10</v>
      </c>
      <c r="G280" s="552">
        <v>2765</v>
      </c>
      <c r="H280" s="552">
        <v>9600</v>
      </c>
      <c r="I280" s="548">
        <v>0</v>
      </c>
      <c r="J280" s="548">
        <v>0</v>
      </c>
      <c r="K280" s="552">
        <v>0</v>
      </c>
      <c r="L280" s="574">
        <v>0</v>
      </c>
      <c r="M280" s="548">
        <v>9600</v>
      </c>
    </row>
    <row r="281" spans="1:13" ht="15.95" customHeight="1">
      <c r="A281" s="547"/>
      <c r="B281" s="550" t="s">
        <v>5112</v>
      </c>
      <c r="C281" s="550" t="s">
        <v>5113</v>
      </c>
      <c r="D281" s="550" t="s">
        <v>309</v>
      </c>
      <c r="E281" s="550" t="s">
        <v>310</v>
      </c>
      <c r="F281" s="550" t="s">
        <v>10</v>
      </c>
      <c r="G281" s="552">
        <v>2765</v>
      </c>
      <c r="H281" s="552">
        <v>4800</v>
      </c>
      <c r="I281" s="548">
        <v>0</v>
      </c>
      <c r="J281" s="548">
        <v>1690</v>
      </c>
      <c r="K281" s="552">
        <v>0</v>
      </c>
      <c r="L281" s="574">
        <v>1690</v>
      </c>
      <c r="M281" s="548">
        <v>3110</v>
      </c>
    </row>
    <row r="282" spans="1:13" ht="15.95" customHeight="1">
      <c r="A282" s="547"/>
      <c r="B282" s="550" t="s">
        <v>5112</v>
      </c>
      <c r="C282" s="550" t="s">
        <v>5113</v>
      </c>
      <c r="D282" s="550" t="s">
        <v>309</v>
      </c>
      <c r="E282" s="550" t="s">
        <v>310</v>
      </c>
      <c r="F282" s="550" t="s">
        <v>10</v>
      </c>
      <c r="G282" s="552">
        <v>2765</v>
      </c>
      <c r="H282" s="552">
        <v>1200</v>
      </c>
      <c r="I282" s="548">
        <v>0</v>
      </c>
      <c r="J282" s="548">
        <v>1200</v>
      </c>
      <c r="K282" s="552">
        <v>0</v>
      </c>
      <c r="L282" s="574">
        <v>1200</v>
      </c>
      <c r="M282" s="548">
        <v>0</v>
      </c>
    </row>
    <row r="283" spans="1:13" ht="15.95" customHeight="1">
      <c r="A283" s="547"/>
      <c r="B283" s="550" t="s">
        <v>5112</v>
      </c>
      <c r="C283" s="550" t="s">
        <v>5113</v>
      </c>
      <c r="D283" s="550" t="s">
        <v>309</v>
      </c>
      <c r="E283" s="550" t="s">
        <v>310</v>
      </c>
      <c r="F283" s="550" t="s">
        <v>10</v>
      </c>
      <c r="G283" s="552">
        <v>2765</v>
      </c>
      <c r="H283" s="552">
        <v>360</v>
      </c>
      <c r="I283" s="548">
        <v>0</v>
      </c>
      <c r="J283" s="548">
        <v>0</v>
      </c>
      <c r="K283" s="552">
        <v>0</v>
      </c>
      <c r="L283" s="574">
        <v>0</v>
      </c>
      <c r="M283" s="548">
        <v>360</v>
      </c>
    </row>
    <row r="284" spans="1:13" ht="15.95" customHeight="1">
      <c r="A284" s="547"/>
      <c r="B284" s="550" t="s">
        <v>3919</v>
      </c>
      <c r="C284" s="550" t="s">
        <v>3920</v>
      </c>
      <c r="D284" s="550" t="s">
        <v>583</v>
      </c>
      <c r="E284" s="550" t="s">
        <v>390</v>
      </c>
      <c r="F284" s="550" t="s">
        <v>11</v>
      </c>
      <c r="G284" s="552">
        <v>1575</v>
      </c>
      <c r="H284" s="552"/>
      <c r="I284" s="548">
        <v>5400</v>
      </c>
      <c r="J284" s="548">
        <v>0</v>
      </c>
      <c r="K284" s="552">
        <v>0</v>
      </c>
      <c r="L284" s="574">
        <v>0</v>
      </c>
      <c r="M284" s="548">
        <v>5400</v>
      </c>
    </row>
    <row r="285" spans="1:13" ht="15.95" customHeight="1">
      <c r="A285" s="547"/>
      <c r="B285" s="550" t="s">
        <v>3919</v>
      </c>
      <c r="C285" s="550" t="s">
        <v>3920</v>
      </c>
      <c r="D285" s="550" t="s">
        <v>583</v>
      </c>
      <c r="E285" s="550" t="s">
        <v>390</v>
      </c>
      <c r="F285" s="550" t="s">
        <v>11</v>
      </c>
      <c r="G285" s="552">
        <v>1575</v>
      </c>
      <c r="H285" s="552">
        <v>4815</v>
      </c>
      <c r="I285" s="548">
        <v>2100</v>
      </c>
      <c r="J285" s="548">
        <v>6915</v>
      </c>
      <c r="K285" s="552">
        <v>0</v>
      </c>
      <c r="L285" s="574">
        <v>6915</v>
      </c>
      <c r="M285" s="548">
        <v>0</v>
      </c>
    </row>
    <row r="286" spans="1:13" ht="15.95" customHeight="1">
      <c r="A286" s="547"/>
      <c r="B286" s="550" t="s">
        <v>3919</v>
      </c>
      <c r="C286" s="550" t="s">
        <v>3920</v>
      </c>
      <c r="D286" s="550" t="s">
        <v>583</v>
      </c>
      <c r="E286" s="550" t="s">
        <v>390</v>
      </c>
      <c r="F286" s="550" t="s">
        <v>11</v>
      </c>
      <c r="G286" s="552">
        <v>1575</v>
      </c>
      <c r="H286" s="552"/>
      <c r="I286" s="548">
        <v>27900</v>
      </c>
      <c r="J286" s="548">
        <v>27870</v>
      </c>
      <c r="K286" s="552">
        <v>0</v>
      </c>
      <c r="L286" s="574">
        <v>27870</v>
      </c>
      <c r="M286" s="548">
        <v>30</v>
      </c>
    </row>
    <row r="287" spans="1:13" ht="15.95" customHeight="1">
      <c r="A287" s="547"/>
      <c r="B287" s="550" t="s">
        <v>3919</v>
      </c>
      <c r="C287" s="550" t="s">
        <v>3920</v>
      </c>
      <c r="D287" s="550" t="s">
        <v>583</v>
      </c>
      <c r="E287" s="550" t="s">
        <v>390</v>
      </c>
      <c r="F287" s="550" t="s">
        <v>11</v>
      </c>
      <c r="G287" s="552">
        <v>1575</v>
      </c>
      <c r="H287" s="552"/>
      <c r="I287" s="548">
        <v>4800</v>
      </c>
      <c r="J287" s="548">
        <v>908</v>
      </c>
      <c r="K287" s="552">
        <v>0</v>
      </c>
      <c r="L287" s="574">
        <v>908</v>
      </c>
      <c r="M287" s="548">
        <v>3892</v>
      </c>
    </row>
    <row r="288" spans="1:13" ht="15.95" customHeight="1">
      <c r="A288" s="547"/>
      <c r="B288" s="550" t="s">
        <v>3919</v>
      </c>
      <c r="C288" s="550" t="s">
        <v>3920</v>
      </c>
      <c r="D288" s="550" t="s">
        <v>583</v>
      </c>
      <c r="E288" s="550" t="s">
        <v>390</v>
      </c>
      <c r="F288" s="550" t="s">
        <v>11</v>
      </c>
      <c r="G288" s="552">
        <v>1575</v>
      </c>
      <c r="H288" s="552"/>
      <c r="I288" s="548">
        <v>9780</v>
      </c>
      <c r="J288" s="548">
        <v>0</v>
      </c>
      <c r="K288" s="552">
        <v>0</v>
      </c>
      <c r="L288" s="574">
        <v>0</v>
      </c>
      <c r="M288" s="548">
        <v>9780</v>
      </c>
    </row>
    <row r="289" spans="1:13" ht="15.95" customHeight="1">
      <c r="A289" s="547"/>
      <c r="B289" s="550" t="s">
        <v>3919</v>
      </c>
      <c r="C289" s="550" t="s">
        <v>3920</v>
      </c>
      <c r="D289" s="550" t="s">
        <v>583</v>
      </c>
      <c r="E289" s="550" t="s">
        <v>390</v>
      </c>
      <c r="F289" s="550" t="s">
        <v>11</v>
      </c>
      <c r="G289" s="552">
        <v>1575</v>
      </c>
      <c r="H289" s="552">
        <v>43</v>
      </c>
      <c r="I289" s="548">
        <v>1</v>
      </c>
      <c r="J289" s="548">
        <v>22</v>
      </c>
      <c r="K289" s="552">
        <v>22</v>
      </c>
      <c r="L289" s="574">
        <v>0</v>
      </c>
      <c r="M289" s="548">
        <v>22</v>
      </c>
    </row>
    <row r="290" spans="1:13" ht="15.95" customHeight="1">
      <c r="A290" s="547"/>
      <c r="B290" s="550" t="s">
        <v>4961</v>
      </c>
      <c r="C290" s="550" t="s">
        <v>714</v>
      </c>
      <c r="D290" s="550" t="s">
        <v>713</v>
      </c>
      <c r="E290" s="550" t="s">
        <v>1767</v>
      </c>
      <c r="F290" s="550" t="s">
        <v>520</v>
      </c>
      <c r="G290" s="552">
        <v>7707</v>
      </c>
      <c r="H290" s="552">
        <v>10</v>
      </c>
      <c r="I290" s="548">
        <v>0</v>
      </c>
      <c r="J290" s="548">
        <v>10</v>
      </c>
      <c r="K290" s="552">
        <v>10</v>
      </c>
      <c r="L290" s="574">
        <v>0</v>
      </c>
      <c r="M290" s="548">
        <v>0</v>
      </c>
    </row>
    <row r="291" spans="1:13" ht="15.95" customHeight="1">
      <c r="A291" s="547"/>
      <c r="B291" s="550" t="s">
        <v>4961</v>
      </c>
      <c r="C291" s="550" t="s">
        <v>714</v>
      </c>
      <c r="D291" s="550" t="s">
        <v>713</v>
      </c>
      <c r="E291" s="550" t="s">
        <v>1767</v>
      </c>
      <c r="F291" s="550" t="s">
        <v>520</v>
      </c>
      <c r="G291" s="552">
        <v>7707</v>
      </c>
      <c r="H291" s="552">
        <v>20</v>
      </c>
      <c r="I291" s="548">
        <v>10</v>
      </c>
      <c r="J291" s="548">
        <v>30</v>
      </c>
      <c r="K291" s="552">
        <v>4</v>
      </c>
      <c r="L291" s="574">
        <v>26</v>
      </c>
      <c r="M291" s="548">
        <v>0</v>
      </c>
    </row>
    <row r="292" spans="1:13" ht="15.95" customHeight="1">
      <c r="A292" s="547"/>
      <c r="B292" s="550" t="s">
        <v>3922</v>
      </c>
      <c r="C292" s="550" t="s">
        <v>2600</v>
      </c>
      <c r="D292" s="550" t="s">
        <v>568</v>
      </c>
      <c r="E292" s="550" t="s">
        <v>570</v>
      </c>
      <c r="F292" s="550" t="s">
        <v>11</v>
      </c>
      <c r="G292" s="552">
        <v>252</v>
      </c>
      <c r="H292" s="552"/>
      <c r="I292" s="548">
        <v>26000</v>
      </c>
      <c r="J292" s="548">
        <v>15120</v>
      </c>
      <c r="K292" s="552">
        <v>15120</v>
      </c>
      <c r="L292" s="574">
        <v>0</v>
      </c>
      <c r="M292" s="548">
        <v>10880</v>
      </c>
    </row>
    <row r="293" spans="1:13" ht="15.95" customHeight="1">
      <c r="A293" s="547"/>
      <c r="B293" s="550" t="s">
        <v>3922</v>
      </c>
      <c r="C293" s="550" t="s">
        <v>2600</v>
      </c>
      <c r="D293" s="550" t="s">
        <v>568</v>
      </c>
      <c r="E293" s="550" t="s">
        <v>570</v>
      </c>
      <c r="F293" s="550" t="s">
        <v>11</v>
      </c>
      <c r="G293" s="552">
        <v>252</v>
      </c>
      <c r="H293" s="552">
        <v>10214</v>
      </c>
      <c r="I293" s="548">
        <v>1000</v>
      </c>
      <c r="J293" s="548">
        <v>10952</v>
      </c>
      <c r="K293" s="552">
        <v>3880</v>
      </c>
      <c r="L293" s="574">
        <v>7072</v>
      </c>
      <c r="M293" s="548">
        <v>262</v>
      </c>
    </row>
    <row r="294" spans="1:13" ht="15.95" customHeight="1">
      <c r="A294" s="547"/>
      <c r="B294" s="550" t="s">
        <v>3924</v>
      </c>
      <c r="C294" s="550" t="s">
        <v>1330</v>
      </c>
      <c r="D294" s="550" t="s">
        <v>1330</v>
      </c>
      <c r="E294" s="550" t="s">
        <v>291</v>
      </c>
      <c r="F294" s="550" t="s">
        <v>11</v>
      </c>
      <c r="G294" s="552">
        <v>100</v>
      </c>
      <c r="H294" s="552"/>
      <c r="I294" s="548">
        <v>7500</v>
      </c>
      <c r="J294" s="548">
        <v>5500</v>
      </c>
      <c r="K294" s="552">
        <v>5500</v>
      </c>
      <c r="L294" s="574">
        <v>0</v>
      </c>
      <c r="M294" s="548">
        <v>2000</v>
      </c>
    </row>
    <row r="295" spans="1:13" ht="15.95" customHeight="1">
      <c r="A295" s="547"/>
      <c r="B295" s="550" t="s">
        <v>3924</v>
      </c>
      <c r="C295" s="550" t="s">
        <v>1330</v>
      </c>
      <c r="D295" s="550" t="s">
        <v>1330</v>
      </c>
      <c r="E295" s="550" t="s">
        <v>291</v>
      </c>
      <c r="F295" s="550" t="s">
        <v>11</v>
      </c>
      <c r="G295" s="552">
        <v>100</v>
      </c>
      <c r="H295" s="552"/>
      <c r="I295" s="548">
        <v>51500</v>
      </c>
      <c r="J295" s="548">
        <v>22500</v>
      </c>
      <c r="K295" s="552">
        <v>22500</v>
      </c>
      <c r="L295" s="574">
        <v>0</v>
      </c>
      <c r="M295" s="548">
        <v>29000</v>
      </c>
    </row>
    <row r="296" spans="1:13" ht="15.95" customHeight="1">
      <c r="A296" s="547"/>
      <c r="B296" s="550" t="s">
        <v>3924</v>
      </c>
      <c r="C296" s="550" t="s">
        <v>1330</v>
      </c>
      <c r="D296" s="550" t="s">
        <v>1330</v>
      </c>
      <c r="E296" s="550" t="s">
        <v>291</v>
      </c>
      <c r="F296" s="550" t="s">
        <v>11</v>
      </c>
      <c r="G296" s="552">
        <v>100</v>
      </c>
      <c r="H296" s="552">
        <v>10000</v>
      </c>
      <c r="I296" s="548">
        <v>12</v>
      </c>
      <c r="J296" s="548">
        <v>9706</v>
      </c>
      <c r="K296" s="552">
        <v>2459</v>
      </c>
      <c r="L296" s="574">
        <v>7247</v>
      </c>
      <c r="M296" s="548">
        <v>306</v>
      </c>
    </row>
    <row r="297" spans="1:13" ht="15.95" customHeight="1">
      <c r="A297" s="547"/>
      <c r="B297" s="550" t="s">
        <v>3924</v>
      </c>
      <c r="C297" s="550" t="s">
        <v>1330</v>
      </c>
      <c r="D297" s="550" t="s">
        <v>1330</v>
      </c>
      <c r="E297" s="550" t="s">
        <v>291</v>
      </c>
      <c r="F297" s="550" t="s">
        <v>11</v>
      </c>
      <c r="G297" s="552">
        <v>100</v>
      </c>
      <c r="H297" s="552">
        <v>500</v>
      </c>
      <c r="I297" s="548">
        <v>0</v>
      </c>
      <c r="J297" s="548">
        <v>500</v>
      </c>
      <c r="K297" s="552">
        <v>0</v>
      </c>
      <c r="L297" s="574">
        <v>500</v>
      </c>
      <c r="M297" s="548">
        <v>0</v>
      </c>
    </row>
    <row r="298" spans="1:13" ht="15.95" customHeight="1">
      <c r="A298" s="547"/>
      <c r="B298" s="550" t="s">
        <v>3924</v>
      </c>
      <c r="C298" s="550" t="s">
        <v>1330</v>
      </c>
      <c r="D298" s="550" t="s">
        <v>1330</v>
      </c>
      <c r="E298" s="550" t="s">
        <v>291</v>
      </c>
      <c r="F298" s="550" t="s">
        <v>11</v>
      </c>
      <c r="G298" s="552">
        <v>100</v>
      </c>
      <c r="H298" s="552">
        <v>401</v>
      </c>
      <c r="I298" s="548">
        <v>3</v>
      </c>
      <c r="J298" s="548">
        <v>404</v>
      </c>
      <c r="K298" s="552">
        <v>404</v>
      </c>
      <c r="L298" s="574">
        <v>0</v>
      </c>
      <c r="M298" s="548">
        <v>0</v>
      </c>
    </row>
    <row r="299" spans="1:13" ht="15.95" customHeight="1">
      <c r="A299" s="547"/>
      <c r="B299" s="550" t="s">
        <v>3928</v>
      </c>
      <c r="C299" s="550" t="s">
        <v>3929</v>
      </c>
      <c r="D299" s="550" t="s">
        <v>1330</v>
      </c>
      <c r="E299" s="550" t="s">
        <v>1580</v>
      </c>
      <c r="F299" s="550" t="s">
        <v>11</v>
      </c>
      <c r="G299" s="552">
        <v>140</v>
      </c>
      <c r="H299" s="552"/>
      <c r="I299" s="548">
        <v>30000</v>
      </c>
      <c r="J299" s="548">
        <v>0</v>
      </c>
      <c r="K299" s="552">
        <v>0</v>
      </c>
      <c r="L299" s="574">
        <v>0</v>
      </c>
      <c r="M299" s="548">
        <v>30000</v>
      </c>
    </row>
    <row r="300" spans="1:13" ht="15.95" customHeight="1">
      <c r="A300" s="547"/>
      <c r="B300" s="550" t="s">
        <v>3928</v>
      </c>
      <c r="C300" s="550" t="s">
        <v>3929</v>
      </c>
      <c r="D300" s="550" t="s">
        <v>1330</v>
      </c>
      <c r="E300" s="550" t="s">
        <v>1580</v>
      </c>
      <c r="F300" s="550" t="s">
        <v>11</v>
      </c>
      <c r="G300" s="552">
        <v>140</v>
      </c>
      <c r="H300" s="552">
        <v>400</v>
      </c>
      <c r="I300" s="548">
        <v>0</v>
      </c>
      <c r="J300" s="548">
        <v>400</v>
      </c>
      <c r="K300" s="552">
        <v>400</v>
      </c>
      <c r="L300" s="574">
        <v>0</v>
      </c>
      <c r="M300" s="548">
        <v>0</v>
      </c>
    </row>
    <row r="301" spans="1:13" ht="15.95" customHeight="1">
      <c r="A301" s="547"/>
      <c r="B301" s="550" t="s">
        <v>3928</v>
      </c>
      <c r="C301" s="550" t="s">
        <v>3929</v>
      </c>
      <c r="D301" s="550" t="s">
        <v>1330</v>
      </c>
      <c r="E301" s="550" t="s">
        <v>1580</v>
      </c>
      <c r="F301" s="550" t="s">
        <v>11</v>
      </c>
      <c r="G301" s="552">
        <v>140</v>
      </c>
      <c r="H301" s="552">
        <v>1000</v>
      </c>
      <c r="I301" s="548">
        <v>0</v>
      </c>
      <c r="J301" s="548">
        <v>1000</v>
      </c>
      <c r="K301" s="552">
        <v>1000</v>
      </c>
      <c r="L301" s="574">
        <v>0</v>
      </c>
      <c r="M301" s="548">
        <v>0</v>
      </c>
    </row>
    <row r="302" spans="1:13" ht="15.95" customHeight="1">
      <c r="A302" s="547"/>
      <c r="B302" s="550" t="s">
        <v>4642</v>
      </c>
      <c r="C302" s="550" t="s">
        <v>68</v>
      </c>
      <c r="D302" s="550" t="s">
        <v>68</v>
      </c>
      <c r="E302" s="550" t="s">
        <v>69</v>
      </c>
      <c r="F302" s="550" t="s">
        <v>11</v>
      </c>
      <c r="G302" s="552">
        <v>294</v>
      </c>
      <c r="H302" s="552">
        <v>4862</v>
      </c>
      <c r="I302" s="548">
        <v>0</v>
      </c>
      <c r="J302" s="548">
        <v>4862</v>
      </c>
      <c r="K302" s="552">
        <v>900</v>
      </c>
      <c r="L302" s="574">
        <v>3962</v>
      </c>
      <c r="M302" s="548">
        <v>0</v>
      </c>
    </row>
    <row r="303" spans="1:13" ht="15.95" customHeight="1">
      <c r="A303" s="547"/>
      <c r="B303" s="550" t="s">
        <v>8750</v>
      </c>
      <c r="C303" s="550" t="s">
        <v>68</v>
      </c>
      <c r="D303" s="550" t="s">
        <v>68</v>
      </c>
      <c r="E303" s="550" t="s">
        <v>429</v>
      </c>
      <c r="F303" s="550" t="s">
        <v>11</v>
      </c>
      <c r="G303" s="552">
        <v>300</v>
      </c>
      <c r="H303" s="552"/>
      <c r="I303" s="548">
        <v>5000</v>
      </c>
      <c r="J303" s="548">
        <v>0</v>
      </c>
      <c r="K303" s="552">
        <v>0</v>
      </c>
      <c r="L303" s="574">
        <v>0</v>
      </c>
      <c r="M303" s="548">
        <v>5000</v>
      </c>
    </row>
    <row r="304" spans="1:13" ht="15.95" customHeight="1">
      <c r="A304" s="547"/>
      <c r="B304" s="550" t="s">
        <v>8753</v>
      </c>
      <c r="C304" s="550" t="s">
        <v>8755</v>
      </c>
      <c r="D304" s="550" t="s">
        <v>68</v>
      </c>
      <c r="E304" s="550" t="s">
        <v>10395</v>
      </c>
      <c r="F304" s="550" t="s">
        <v>11</v>
      </c>
      <c r="G304" s="552">
        <v>370</v>
      </c>
      <c r="H304" s="552"/>
      <c r="I304" s="548">
        <v>1500</v>
      </c>
      <c r="J304" s="548">
        <v>1500</v>
      </c>
      <c r="K304" s="552">
        <v>1500</v>
      </c>
      <c r="L304" s="574">
        <v>0</v>
      </c>
      <c r="M304" s="548">
        <v>0</v>
      </c>
    </row>
    <row r="305" spans="1:13" ht="15.95" customHeight="1">
      <c r="A305" s="547"/>
      <c r="B305" s="550" t="s">
        <v>8856</v>
      </c>
      <c r="C305" s="550" t="s">
        <v>8859</v>
      </c>
      <c r="D305" s="550" t="s">
        <v>12292</v>
      </c>
      <c r="E305" s="550" t="s">
        <v>12293</v>
      </c>
      <c r="F305" s="550" t="s">
        <v>13</v>
      </c>
      <c r="G305" s="552">
        <v>6800</v>
      </c>
      <c r="H305" s="552"/>
      <c r="I305" s="548">
        <v>1000</v>
      </c>
      <c r="J305" s="548">
        <v>1000</v>
      </c>
      <c r="K305" s="552">
        <v>0</v>
      </c>
      <c r="L305" s="574">
        <v>1000</v>
      </c>
      <c r="M305" s="548">
        <v>0</v>
      </c>
    </row>
    <row r="306" spans="1:13" ht="15.95" customHeight="1">
      <c r="A306" s="547"/>
      <c r="B306" s="550" t="s">
        <v>8856</v>
      </c>
      <c r="C306" s="550" t="s">
        <v>8859</v>
      </c>
      <c r="D306" s="550" t="s">
        <v>12292</v>
      </c>
      <c r="E306" s="550" t="s">
        <v>12293</v>
      </c>
      <c r="F306" s="550" t="s">
        <v>13</v>
      </c>
      <c r="G306" s="552">
        <v>6800</v>
      </c>
      <c r="H306" s="552"/>
      <c r="I306" s="548">
        <v>5000</v>
      </c>
      <c r="J306" s="548">
        <v>1507</v>
      </c>
      <c r="K306" s="552">
        <v>0</v>
      </c>
      <c r="L306" s="574">
        <v>1507</v>
      </c>
      <c r="M306" s="548">
        <v>3493</v>
      </c>
    </row>
    <row r="307" spans="1:13" ht="15.95" customHeight="1">
      <c r="A307" s="547"/>
      <c r="B307" s="550" t="s">
        <v>8060</v>
      </c>
      <c r="C307" s="550" t="s">
        <v>1216</v>
      </c>
      <c r="D307" s="550" t="s">
        <v>1215</v>
      </c>
      <c r="E307" s="550" t="s">
        <v>1217</v>
      </c>
      <c r="F307" s="550" t="s">
        <v>11</v>
      </c>
      <c r="G307" s="552">
        <v>720</v>
      </c>
      <c r="H307" s="552"/>
      <c r="I307" s="548">
        <v>600</v>
      </c>
      <c r="J307" s="548">
        <v>600</v>
      </c>
      <c r="K307" s="552">
        <v>600</v>
      </c>
      <c r="L307" s="574">
        <v>0</v>
      </c>
      <c r="M307" s="548">
        <v>0</v>
      </c>
    </row>
    <row r="308" spans="1:13" ht="15.95" customHeight="1">
      <c r="A308" s="547"/>
      <c r="B308" s="550" t="s">
        <v>8060</v>
      </c>
      <c r="C308" s="550" t="s">
        <v>1216</v>
      </c>
      <c r="D308" s="550" t="s">
        <v>1215</v>
      </c>
      <c r="E308" s="550" t="s">
        <v>1217</v>
      </c>
      <c r="F308" s="550" t="s">
        <v>11</v>
      </c>
      <c r="G308" s="552">
        <v>720</v>
      </c>
      <c r="H308" s="552">
        <v>3000</v>
      </c>
      <c r="I308" s="548">
        <v>0</v>
      </c>
      <c r="J308" s="548">
        <v>3000</v>
      </c>
      <c r="K308" s="552">
        <v>0</v>
      </c>
      <c r="L308" s="574">
        <v>3000</v>
      </c>
      <c r="M308" s="548">
        <v>0</v>
      </c>
    </row>
    <row r="309" spans="1:13" ht="15.95" customHeight="1">
      <c r="A309" s="547"/>
      <c r="B309" s="550" t="s">
        <v>6664</v>
      </c>
      <c r="C309" s="550" t="s">
        <v>6666</v>
      </c>
      <c r="D309" s="550" t="s">
        <v>6665</v>
      </c>
      <c r="E309" s="550" t="s">
        <v>869</v>
      </c>
      <c r="F309" s="550" t="s">
        <v>11</v>
      </c>
      <c r="G309" s="552">
        <v>1200</v>
      </c>
      <c r="H309" s="552"/>
      <c r="I309" s="548">
        <v>1980</v>
      </c>
      <c r="J309" s="548">
        <v>147</v>
      </c>
      <c r="K309" s="552">
        <v>0</v>
      </c>
      <c r="L309" s="574">
        <v>147</v>
      </c>
      <c r="M309" s="548">
        <v>1833</v>
      </c>
    </row>
    <row r="310" spans="1:13" ht="15.95" customHeight="1">
      <c r="A310" s="547"/>
      <c r="B310" s="550" t="s">
        <v>8164</v>
      </c>
      <c r="C310" s="550" t="s">
        <v>2471</v>
      </c>
      <c r="D310" s="550" t="s">
        <v>8165</v>
      </c>
      <c r="E310" s="550" t="s">
        <v>8166</v>
      </c>
      <c r="F310" s="550" t="s">
        <v>520</v>
      </c>
      <c r="G310" s="552">
        <v>567</v>
      </c>
      <c r="H310" s="552"/>
      <c r="I310" s="548">
        <v>100</v>
      </c>
      <c r="J310" s="548">
        <v>90</v>
      </c>
      <c r="K310" s="552">
        <v>0</v>
      </c>
      <c r="L310" s="574">
        <v>90</v>
      </c>
      <c r="M310" s="548">
        <v>10</v>
      </c>
    </row>
    <row r="311" spans="1:13" ht="15.95" customHeight="1">
      <c r="A311" s="547"/>
      <c r="B311" s="550" t="s">
        <v>3932</v>
      </c>
      <c r="C311" s="550" t="s">
        <v>2471</v>
      </c>
      <c r="D311" s="550" t="s">
        <v>2472</v>
      </c>
      <c r="E311" s="550" t="s">
        <v>1016</v>
      </c>
      <c r="F311" s="550" t="s">
        <v>628</v>
      </c>
      <c r="G311" s="552">
        <v>630</v>
      </c>
      <c r="H311" s="552">
        <v>270</v>
      </c>
      <c r="I311" s="548">
        <v>0</v>
      </c>
      <c r="J311" s="548">
        <v>255</v>
      </c>
      <c r="K311" s="552">
        <v>1</v>
      </c>
      <c r="L311" s="574">
        <v>254</v>
      </c>
      <c r="M311" s="548">
        <v>15</v>
      </c>
    </row>
    <row r="312" spans="1:13" ht="15.95" customHeight="1">
      <c r="A312" s="547"/>
      <c r="B312" s="550" t="s">
        <v>4644</v>
      </c>
      <c r="C312" s="550" t="s">
        <v>70</v>
      </c>
      <c r="D312" s="550" t="s">
        <v>71</v>
      </c>
      <c r="E312" s="550" t="s">
        <v>72</v>
      </c>
      <c r="F312" s="550" t="s">
        <v>11</v>
      </c>
      <c r="G312" s="552">
        <v>1490</v>
      </c>
      <c r="H312" s="552">
        <v>3984</v>
      </c>
      <c r="I312" s="548">
        <v>0</v>
      </c>
      <c r="J312" s="548">
        <v>3984</v>
      </c>
      <c r="K312" s="552">
        <v>0</v>
      </c>
      <c r="L312" s="574">
        <v>3984</v>
      </c>
      <c r="M312" s="548">
        <v>0</v>
      </c>
    </row>
    <row r="313" spans="1:13" ht="15.95" customHeight="1">
      <c r="A313" s="547"/>
      <c r="B313" s="550" t="s">
        <v>3934</v>
      </c>
      <c r="C313" s="550" t="s">
        <v>3935</v>
      </c>
      <c r="D313" s="550" t="s">
        <v>3936</v>
      </c>
      <c r="E313" s="550" t="s">
        <v>3937</v>
      </c>
      <c r="F313" s="550" t="s">
        <v>16</v>
      </c>
      <c r="G313" s="552">
        <v>5950</v>
      </c>
      <c r="H313" s="552">
        <v>3600</v>
      </c>
      <c r="I313" s="548">
        <v>0</v>
      </c>
      <c r="J313" s="548">
        <v>2008</v>
      </c>
      <c r="K313" s="552">
        <v>0</v>
      </c>
      <c r="L313" s="574">
        <v>2008</v>
      </c>
      <c r="M313" s="548">
        <v>1592</v>
      </c>
    </row>
    <row r="314" spans="1:13" ht="15.95" customHeight="1">
      <c r="A314" s="547"/>
      <c r="B314" s="550" t="s">
        <v>3939</v>
      </c>
      <c r="C314" s="550" t="s">
        <v>1148</v>
      </c>
      <c r="D314" s="550" t="s">
        <v>560</v>
      </c>
      <c r="E314" s="550" t="s">
        <v>1149</v>
      </c>
      <c r="F314" s="550" t="s">
        <v>520</v>
      </c>
      <c r="G314" s="552">
        <v>3675</v>
      </c>
      <c r="H314" s="552"/>
      <c r="I314" s="548">
        <v>5253</v>
      </c>
      <c r="J314" s="548">
        <v>1751</v>
      </c>
      <c r="K314" s="552">
        <v>200</v>
      </c>
      <c r="L314" s="574">
        <v>1551</v>
      </c>
      <c r="M314" s="548">
        <v>3502</v>
      </c>
    </row>
    <row r="315" spans="1:13" ht="15.95" customHeight="1">
      <c r="A315" s="547"/>
      <c r="B315" s="550" t="s">
        <v>3939</v>
      </c>
      <c r="C315" s="550" t="s">
        <v>1148</v>
      </c>
      <c r="D315" s="550" t="s">
        <v>560</v>
      </c>
      <c r="E315" s="550" t="s">
        <v>1149</v>
      </c>
      <c r="F315" s="550" t="s">
        <v>520</v>
      </c>
      <c r="G315" s="552">
        <v>3675</v>
      </c>
      <c r="H315" s="552"/>
      <c r="I315" s="548">
        <v>5200</v>
      </c>
      <c r="J315" s="548">
        <v>4473</v>
      </c>
      <c r="K315" s="552">
        <v>0</v>
      </c>
      <c r="L315" s="574">
        <v>4473</v>
      </c>
      <c r="M315" s="548">
        <v>727</v>
      </c>
    </row>
    <row r="316" spans="1:13" ht="15.95" customHeight="1">
      <c r="A316" s="547"/>
      <c r="B316" s="550" t="s">
        <v>4646</v>
      </c>
      <c r="C316" s="550" t="s">
        <v>2283</v>
      </c>
      <c r="D316" s="550" t="s">
        <v>4647</v>
      </c>
      <c r="E316" s="550" t="s">
        <v>4648</v>
      </c>
      <c r="F316" s="550" t="s">
        <v>11</v>
      </c>
      <c r="G316" s="552">
        <v>750</v>
      </c>
      <c r="H316" s="552"/>
      <c r="I316" s="548">
        <v>42000</v>
      </c>
      <c r="J316" s="548">
        <v>42000</v>
      </c>
      <c r="K316" s="552">
        <v>2000</v>
      </c>
      <c r="L316" s="574">
        <v>40000</v>
      </c>
      <c r="M316" s="548">
        <v>0</v>
      </c>
    </row>
    <row r="317" spans="1:13" ht="15.95" customHeight="1">
      <c r="A317" s="547"/>
      <c r="B317" s="550" t="s">
        <v>4646</v>
      </c>
      <c r="C317" s="550" t="s">
        <v>2283</v>
      </c>
      <c r="D317" s="550" t="s">
        <v>4647</v>
      </c>
      <c r="E317" s="550" t="s">
        <v>4648</v>
      </c>
      <c r="F317" s="550" t="s">
        <v>11</v>
      </c>
      <c r="G317" s="552">
        <v>750</v>
      </c>
      <c r="H317" s="552">
        <v>29665</v>
      </c>
      <c r="I317" s="548">
        <v>0</v>
      </c>
      <c r="J317" s="548">
        <v>29665</v>
      </c>
      <c r="K317" s="552">
        <v>2000</v>
      </c>
      <c r="L317" s="574">
        <v>27665</v>
      </c>
      <c r="M317" s="548">
        <v>0</v>
      </c>
    </row>
    <row r="318" spans="1:13" ht="15.95" customHeight="1">
      <c r="A318" s="547"/>
      <c r="B318" s="550" t="s">
        <v>4646</v>
      </c>
      <c r="C318" s="550" t="s">
        <v>2283</v>
      </c>
      <c r="D318" s="550" t="s">
        <v>4647</v>
      </c>
      <c r="E318" s="550" t="s">
        <v>4648</v>
      </c>
      <c r="F318" s="550" t="s">
        <v>11</v>
      </c>
      <c r="G318" s="552">
        <v>750</v>
      </c>
      <c r="H318" s="552"/>
      <c r="I318" s="548">
        <v>25000</v>
      </c>
      <c r="J318" s="548">
        <v>0</v>
      </c>
      <c r="K318" s="552">
        <v>0</v>
      </c>
      <c r="L318" s="574">
        <v>0</v>
      </c>
      <c r="M318" s="548">
        <v>25000</v>
      </c>
    </row>
    <row r="319" spans="1:13" ht="15.95" customHeight="1">
      <c r="A319" s="547"/>
      <c r="B319" s="550" t="s">
        <v>3941</v>
      </c>
      <c r="C319" s="550" t="s">
        <v>1398</v>
      </c>
      <c r="D319" s="550" t="s">
        <v>1397</v>
      </c>
      <c r="E319" s="550" t="s">
        <v>291</v>
      </c>
      <c r="F319" s="550" t="s">
        <v>11</v>
      </c>
      <c r="G319" s="552">
        <v>120</v>
      </c>
      <c r="H319" s="552">
        <v>6219</v>
      </c>
      <c r="I319" s="548">
        <v>4</v>
      </c>
      <c r="J319" s="548">
        <v>5531</v>
      </c>
      <c r="K319" s="552">
        <v>129</v>
      </c>
      <c r="L319" s="574">
        <v>5402</v>
      </c>
      <c r="M319" s="548">
        <v>692</v>
      </c>
    </row>
    <row r="320" spans="1:13" ht="15.95" customHeight="1">
      <c r="A320" s="547"/>
      <c r="B320" s="550" t="s">
        <v>3941</v>
      </c>
      <c r="C320" s="550" t="s">
        <v>1398</v>
      </c>
      <c r="D320" s="550" t="s">
        <v>1397</v>
      </c>
      <c r="E320" s="550" t="s">
        <v>291</v>
      </c>
      <c r="F320" s="550" t="s">
        <v>11</v>
      </c>
      <c r="G320" s="552">
        <v>120</v>
      </c>
      <c r="H320" s="552">
        <v>6000</v>
      </c>
      <c r="I320" s="548">
        <v>0</v>
      </c>
      <c r="J320" s="548">
        <v>0</v>
      </c>
      <c r="K320" s="552">
        <v>0</v>
      </c>
      <c r="L320" s="574">
        <v>0</v>
      </c>
      <c r="M320" s="548">
        <v>6000</v>
      </c>
    </row>
    <row r="321" spans="1:13" ht="15.95" customHeight="1">
      <c r="A321" s="547"/>
      <c r="B321" s="550" t="s">
        <v>3947</v>
      </c>
      <c r="C321" s="550" t="s">
        <v>3945</v>
      </c>
      <c r="D321" s="550" t="s">
        <v>1333</v>
      </c>
      <c r="E321" s="550" t="s">
        <v>238</v>
      </c>
      <c r="F321" s="550" t="s">
        <v>11</v>
      </c>
      <c r="G321" s="552">
        <v>53</v>
      </c>
      <c r="H321" s="552"/>
      <c r="I321" s="548">
        <v>500</v>
      </c>
      <c r="J321" s="548">
        <v>500</v>
      </c>
      <c r="K321" s="552">
        <v>500</v>
      </c>
      <c r="L321" s="574">
        <v>0</v>
      </c>
      <c r="M321" s="548">
        <v>0</v>
      </c>
    </row>
    <row r="322" spans="1:13" ht="15.95" customHeight="1">
      <c r="A322" s="547"/>
      <c r="B322" s="550" t="s">
        <v>3944</v>
      </c>
      <c r="C322" s="550" t="s">
        <v>3945</v>
      </c>
      <c r="D322" s="550" t="s">
        <v>1333</v>
      </c>
      <c r="E322" s="550" t="s">
        <v>238</v>
      </c>
      <c r="F322" s="550" t="s">
        <v>11</v>
      </c>
      <c r="G322" s="552">
        <v>53</v>
      </c>
      <c r="H322" s="552">
        <v>1993</v>
      </c>
      <c r="I322" s="548">
        <v>0</v>
      </c>
      <c r="J322" s="548">
        <v>1733</v>
      </c>
      <c r="K322" s="552">
        <v>0</v>
      </c>
      <c r="L322" s="574">
        <v>1733</v>
      </c>
      <c r="M322" s="548">
        <v>260</v>
      </c>
    </row>
    <row r="323" spans="1:13" ht="15.95" customHeight="1">
      <c r="A323" s="547"/>
      <c r="B323" s="550" t="s">
        <v>3948</v>
      </c>
      <c r="C323" s="550" t="s">
        <v>1538</v>
      </c>
      <c r="D323" s="550" t="s">
        <v>1333</v>
      </c>
      <c r="E323" s="550" t="s">
        <v>238</v>
      </c>
      <c r="F323" s="550" t="s">
        <v>11</v>
      </c>
      <c r="G323" s="552">
        <v>980</v>
      </c>
      <c r="H323" s="552">
        <v>9000</v>
      </c>
      <c r="I323" s="548">
        <v>0</v>
      </c>
      <c r="J323" s="548">
        <v>3000</v>
      </c>
      <c r="K323" s="552">
        <v>3000</v>
      </c>
      <c r="L323" s="574">
        <v>0</v>
      </c>
      <c r="M323" s="548">
        <v>6000</v>
      </c>
    </row>
    <row r="324" spans="1:13" ht="15.95" customHeight="1">
      <c r="A324" s="547"/>
      <c r="B324" s="550" t="s">
        <v>3948</v>
      </c>
      <c r="C324" s="550" t="s">
        <v>1538</v>
      </c>
      <c r="D324" s="550" t="s">
        <v>1333</v>
      </c>
      <c r="E324" s="550" t="s">
        <v>238</v>
      </c>
      <c r="F324" s="550" t="s">
        <v>11</v>
      </c>
      <c r="G324" s="552">
        <v>980</v>
      </c>
      <c r="H324" s="552"/>
      <c r="I324" s="548">
        <v>1000</v>
      </c>
      <c r="J324" s="548">
        <v>0</v>
      </c>
      <c r="K324" s="552">
        <v>0</v>
      </c>
      <c r="L324" s="574">
        <v>0</v>
      </c>
      <c r="M324" s="548">
        <v>1000</v>
      </c>
    </row>
    <row r="325" spans="1:13" ht="15.95" customHeight="1">
      <c r="A325" s="547"/>
      <c r="B325" s="550" t="s">
        <v>3948</v>
      </c>
      <c r="C325" s="550" t="s">
        <v>1538</v>
      </c>
      <c r="D325" s="550" t="s">
        <v>1333</v>
      </c>
      <c r="E325" s="550" t="s">
        <v>238</v>
      </c>
      <c r="F325" s="550" t="s">
        <v>10</v>
      </c>
      <c r="G325" s="552">
        <v>980</v>
      </c>
      <c r="H325" s="552">
        <v>300</v>
      </c>
      <c r="I325" s="548">
        <v>3</v>
      </c>
      <c r="J325" s="548">
        <v>24</v>
      </c>
      <c r="K325" s="552">
        <v>24</v>
      </c>
      <c r="L325" s="574">
        <v>0</v>
      </c>
      <c r="M325" s="548">
        <v>279</v>
      </c>
    </row>
    <row r="326" spans="1:13" ht="15.95" customHeight="1">
      <c r="A326" s="547"/>
      <c r="B326" s="550" t="s">
        <v>3951</v>
      </c>
      <c r="C326" s="550" t="s">
        <v>3952</v>
      </c>
      <c r="D326" s="550" t="s">
        <v>3953</v>
      </c>
      <c r="E326" s="550" t="s">
        <v>3954</v>
      </c>
      <c r="F326" s="550" t="s">
        <v>520</v>
      </c>
      <c r="G326" s="552">
        <v>5500</v>
      </c>
      <c r="H326" s="552"/>
      <c r="I326" s="548">
        <v>22000</v>
      </c>
      <c r="J326" s="548">
        <v>0</v>
      </c>
      <c r="K326" s="552">
        <v>0</v>
      </c>
      <c r="L326" s="574">
        <v>0</v>
      </c>
      <c r="M326" s="548">
        <v>22000</v>
      </c>
    </row>
    <row r="327" spans="1:13" ht="15.95" customHeight="1">
      <c r="A327" s="547"/>
      <c r="B327" s="550" t="s">
        <v>3951</v>
      </c>
      <c r="C327" s="550" t="s">
        <v>3952</v>
      </c>
      <c r="D327" s="550" t="s">
        <v>3953</v>
      </c>
      <c r="E327" s="550" t="s">
        <v>3954</v>
      </c>
      <c r="F327" s="550" t="s">
        <v>520</v>
      </c>
      <c r="G327" s="552">
        <v>5500</v>
      </c>
      <c r="H327" s="552">
        <v>932</v>
      </c>
      <c r="I327" s="548">
        <v>0</v>
      </c>
      <c r="J327" s="548">
        <v>932</v>
      </c>
      <c r="K327" s="552">
        <v>0</v>
      </c>
      <c r="L327" s="574">
        <v>932</v>
      </c>
      <c r="M327" s="548">
        <v>0</v>
      </c>
    </row>
    <row r="328" spans="1:13" ht="15.95" customHeight="1">
      <c r="A328" s="547"/>
      <c r="B328" s="550" t="s">
        <v>3951</v>
      </c>
      <c r="C328" s="550" t="s">
        <v>3952</v>
      </c>
      <c r="D328" s="550" t="s">
        <v>3953</v>
      </c>
      <c r="E328" s="550" t="s">
        <v>3954</v>
      </c>
      <c r="F328" s="550" t="s">
        <v>520</v>
      </c>
      <c r="G328" s="552">
        <v>5500</v>
      </c>
      <c r="H328" s="552"/>
      <c r="I328" s="548">
        <v>3600</v>
      </c>
      <c r="J328" s="548">
        <v>3000</v>
      </c>
      <c r="K328" s="552">
        <v>0</v>
      </c>
      <c r="L328" s="574">
        <v>3000</v>
      </c>
      <c r="M328" s="548">
        <v>600</v>
      </c>
    </row>
    <row r="329" spans="1:13" ht="15.95" customHeight="1">
      <c r="A329" s="547"/>
      <c r="B329" s="550" t="s">
        <v>6582</v>
      </c>
      <c r="C329" s="550" t="s">
        <v>6585</v>
      </c>
      <c r="D329" s="550" t="s">
        <v>6583</v>
      </c>
      <c r="E329" s="550" t="s">
        <v>6584</v>
      </c>
      <c r="F329" s="550" t="s">
        <v>11</v>
      </c>
      <c r="G329" s="552">
        <v>2500</v>
      </c>
      <c r="H329" s="552"/>
      <c r="I329" s="548">
        <v>5010</v>
      </c>
      <c r="J329" s="548">
        <v>0</v>
      </c>
      <c r="K329" s="552">
        <v>0</v>
      </c>
      <c r="L329" s="574">
        <v>0</v>
      </c>
      <c r="M329" s="548">
        <v>5010</v>
      </c>
    </row>
    <row r="330" spans="1:13" ht="15.95" customHeight="1">
      <c r="A330" s="547"/>
      <c r="B330" s="550" t="s">
        <v>3956</v>
      </c>
      <c r="C330" s="550" t="s">
        <v>2604</v>
      </c>
      <c r="D330" s="550" t="s">
        <v>2605</v>
      </c>
      <c r="E330" s="550" t="s">
        <v>3957</v>
      </c>
      <c r="F330" s="550" t="s">
        <v>520</v>
      </c>
      <c r="G330" s="552">
        <v>23940</v>
      </c>
      <c r="H330" s="552">
        <v>20</v>
      </c>
      <c r="I330" s="548">
        <v>0</v>
      </c>
      <c r="J330" s="548">
        <v>20</v>
      </c>
      <c r="K330" s="552">
        <v>0</v>
      </c>
      <c r="L330" s="574">
        <v>20</v>
      </c>
      <c r="M330" s="548">
        <v>0</v>
      </c>
    </row>
    <row r="331" spans="1:13" ht="15.95" customHeight="1">
      <c r="A331" s="547"/>
      <c r="B331" s="550" t="s">
        <v>3959</v>
      </c>
      <c r="C331" s="550" t="s">
        <v>3960</v>
      </c>
      <c r="D331" s="550" t="s">
        <v>3961</v>
      </c>
      <c r="E331" s="550" t="s">
        <v>3962</v>
      </c>
      <c r="F331" s="550" t="s">
        <v>11</v>
      </c>
      <c r="G331" s="552">
        <v>3129</v>
      </c>
      <c r="H331" s="552">
        <v>4770</v>
      </c>
      <c r="I331" s="548">
        <v>0</v>
      </c>
      <c r="J331" s="548">
        <v>3108</v>
      </c>
      <c r="K331" s="552">
        <v>0</v>
      </c>
      <c r="L331" s="574">
        <v>3108</v>
      </c>
      <c r="M331" s="548">
        <v>1662</v>
      </c>
    </row>
    <row r="332" spans="1:13" ht="15.95" customHeight="1">
      <c r="A332" s="547"/>
      <c r="B332" s="550" t="s">
        <v>3964</v>
      </c>
      <c r="C332" s="550" t="s">
        <v>1052</v>
      </c>
      <c r="D332" s="550" t="s">
        <v>3965</v>
      </c>
      <c r="E332" s="550" t="s">
        <v>2005</v>
      </c>
      <c r="F332" s="550" t="s">
        <v>11</v>
      </c>
      <c r="G332" s="552">
        <v>1743</v>
      </c>
      <c r="H332" s="552">
        <v>7380</v>
      </c>
      <c r="I332" s="548">
        <v>0</v>
      </c>
      <c r="J332" s="548">
        <v>7380</v>
      </c>
      <c r="K332" s="552">
        <v>0</v>
      </c>
      <c r="L332" s="574">
        <v>7380</v>
      </c>
      <c r="M332" s="548">
        <v>0</v>
      </c>
    </row>
    <row r="333" spans="1:13" ht="15.95" customHeight="1">
      <c r="A333" s="547"/>
      <c r="B333" s="550" t="s">
        <v>3964</v>
      </c>
      <c r="C333" s="550" t="s">
        <v>1052</v>
      </c>
      <c r="D333" s="550" t="s">
        <v>3965</v>
      </c>
      <c r="E333" s="550" t="s">
        <v>2005</v>
      </c>
      <c r="F333" s="550" t="s">
        <v>11</v>
      </c>
      <c r="G333" s="552">
        <v>1743</v>
      </c>
      <c r="H333" s="552">
        <v>10000</v>
      </c>
      <c r="I333" s="548">
        <v>0</v>
      </c>
      <c r="J333" s="548">
        <v>10000</v>
      </c>
      <c r="K333" s="552">
        <v>0</v>
      </c>
      <c r="L333" s="574">
        <v>10000</v>
      </c>
      <c r="M333" s="548">
        <v>0</v>
      </c>
    </row>
    <row r="334" spans="1:13" ht="15.95" customHeight="1">
      <c r="A334" s="547"/>
      <c r="B334" s="550" t="s">
        <v>3964</v>
      </c>
      <c r="C334" s="550" t="s">
        <v>1052</v>
      </c>
      <c r="D334" s="550" t="s">
        <v>3965</v>
      </c>
      <c r="E334" s="550" t="s">
        <v>2005</v>
      </c>
      <c r="F334" s="550" t="s">
        <v>11</v>
      </c>
      <c r="G334" s="552">
        <v>1743</v>
      </c>
      <c r="H334" s="552"/>
      <c r="I334" s="548">
        <v>7540</v>
      </c>
      <c r="J334" s="548">
        <v>2800</v>
      </c>
      <c r="K334" s="552">
        <v>0</v>
      </c>
      <c r="L334" s="574">
        <v>2800</v>
      </c>
      <c r="M334" s="548">
        <v>4740</v>
      </c>
    </row>
    <row r="335" spans="1:13" ht="15.95" customHeight="1">
      <c r="A335" s="547"/>
      <c r="B335" s="550" t="s">
        <v>3964</v>
      </c>
      <c r="C335" s="550" t="s">
        <v>1052</v>
      </c>
      <c r="D335" s="550" t="s">
        <v>3965</v>
      </c>
      <c r="E335" s="550" t="s">
        <v>2005</v>
      </c>
      <c r="F335" s="550" t="s">
        <v>11</v>
      </c>
      <c r="G335" s="552">
        <v>1743</v>
      </c>
      <c r="H335" s="552"/>
      <c r="I335" s="548">
        <v>19360</v>
      </c>
      <c r="J335" s="548">
        <v>2400</v>
      </c>
      <c r="K335" s="552">
        <v>0</v>
      </c>
      <c r="L335" s="574">
        <v>2400</v>
      </c>
      <c r="M335" s="548">
        <v>16960</v>
      </c>
    </row>
    <row r="336" spans="1:13" ht="15.95" customHeight="1">
      <c r="A336" s="547"/>
      <c r="B336" s="550" t="s">
        <v>3964</v>
      </c>
      <c r="C336" s="550" t="s">
        <v>1052</v>
      </c>
      <c r="D336" s="550" t="s">
        <v>3965</v>
      </c>
      <c r="E336" s="550" t="s">
        <v>2005</v>
      </c>
      <c r="F336" s="550" t="s">
        <v>11</v>
      </c>
      <c r="G336" s="552">
        <v>1743</v>
      </c>
      <c r="H336" s="552"/>
      <c r="I336" s="548">
        <v>10540</v>
      </c>
      <c r="J336" s="548">
        <v>8242</v>
      </c>
      <c r="K336" s="552">
        <v>1306</v>
      </c>
      <c r="L336" s="574">
        <v>6936</v>
      </c>
      <c r="M336" s="548">
        <v>2298</v>
      </c>
    </row>
    <row r="337" spans="1:13" ht="15.95" customHeight="1">
      <c r="A337" s="547"/>
      <c r="B337" s="550" t="s">
        <v>3964</v>
      </c>
      <c r="C337" s="550" t="s">
        <v>1052</v>
      </c>
      <c r="D337" s="550" t="s">
        <v>3965</v>
      </c>
      <c r="E337" s="550" t="s">
        <v>2005</v>
      </c>
      <c r="F337" s="550" t="s">
        <v>11</v>
      </c>
      <c r="G337" s="552">
        <v>1743</v>
      </c>
      <c r="H337" s="552"/>
      <c r="I337" s="548">
        <v>33100</v>
      </c>
      <c r="J337" s="548">
        <v>0</v>
      </c>
      <c r="K337" s="552">
        <v>0</v>
      </c>
      <c r="L337" s="574">
        <v>0</v>
      </c>
      <c r="M337" s="548">
        <v>33100</v>
      </c>
    </row>
    <row r="338" spans="1:13" ht="15.95" customHeight="1">
      <c r="A338" s="547"/>
      <c r="B338" s="550" t="s">
        <v>3970</v>
      </c>
      <c r="C338" s="550" t="s">
        <v>3971</v>
      </c>
      <c r="D338" s="550" t="s">
        <v>1480</v>
      </c>
      <c r="E338" s="550" t="s">
        <v>1512</v>
      </c>
      <c r="F338" s="550" t="s">
        <v>520</v>
      </c>
      <c r="G338" s="552">
        <v>3350</v>
      </c>
      <c r="H338" s="552"/>
      <c r="I338" s="548">
        <v>1900</v>
      </c>
      <c r="J338" s="548">
        <v>0</v>
      </c>
      <c r="K338" s="552">
        <v>0</v>
      </c>
      <c r="L338" s="574">
        <v>0</v>
      </c>
      <c r="M338" s="548">
        <v>1900</v>
      </c>
    </row>
    <row r="339" spans="1:13" ht="15.95" customHeight="1">
      <c r="A339" s="547"/>
      <c r="B339" s="550" t="s">
        <v>3970</v>
      </c>
      <c r="C339" s="550" t="s">
        <v>3971</v>
      </c>
      <c r="D339" s="550" t="s">
        <v>1480</v>
      </c>
      <c r="E339" s="550" t="s">
        <v>1512</v>
      </c>
      <c r="F339" s="550" t="s">
        <v>520</v>
      </c>
      <c r="G339" s="552">
        <v>3350</v>
      </c>
      <c r="H339" s="552">
        <v>2000</v>
      </c>
      <c r="I339" s="548">
        <v>0</v>
      </c>
      <c r="J339" s="548">
        <v>1991</v>
      </c>
      <c r="K339" s="552">
        <v>600</v>
      </c>
      <c r="L339" s="574">
        <v>1391</v>
      </c>
      <c r="M339" s="548">
        <v>9</v>
      </c>
    </row>
    <row r="340" spans="1:13" ht="15.95" customHeight="1">
      <c r="A340" s="547"/>
      <c r="B340" s="550" t="s">
        <v>3972</v>
      </c>
      <c r="C340" s="550" t="s">
        <v>3973</v>
      </c>
      <c r="D340" s="550" t="s">
        <v>3974</v>
      </c>
      <c r="E340" s="550" t="s">
        <v>229</v>
      </c>
      <c r="F340" s="550" t="s">
        <v>11</v>
      </c>
      <c r="G340" s="552">
        <v>1050</v>
      </c>
      <c r="H340" s="552"/>
      <c r="I340" s="548">
        <v>2018</v>
      </c>
      <c r="J340" s="548">
        <v>150</v>
      </c>
      <c r="K340" s="552">
        <v>150</v>
      </c>
      <c r="L340" s="574">
        <v>0</v>
      </c>
      <c r="M340" s="548">
        <v>1868</v>
      </c>
    </row>
    <row r="341" spans="1:13" ht="15.95" customHeight="1">
      <c r="A341" s="547"/>
      <c r="B341" s="550" t="s">
        <v>3972</v>
      </c>
      <c r="C341" s="550" t="s">
        <v>3973</v>
      </c>
      <c r="D341" s="550" t="s">
        <v>3974</v>
      </c>
      <c r="E341" s="550" t="s">
        <v>229</v>
      </c>
      <c r="F341" s="550" t="s">
        <v>11</v>
      </c>
      <c r="G341" s="552">
        <v>1050</v>
      </c>
      <c r="H341" s="552">
        <v>3020</v>
      </c>
      <c r="I341" s="548">
        <v>17</v>
      </c>
      <c r="J341" s="548">
        <v>2761</v>
      </c>
      <c r="K341" s="552">
        <v>792</v>
      </c>
      <c r="L341" s="574">
        <v>1969</v>
      </c>
      <c r="M341" s="548">
        <v>276</v>
      </c>
    </row>
    <row r="342" spans="1:13" ht="15.95" customHeight="1">
      <c r="A342" s="547"/>
      <c r="B342" s="550" t="s">
        <v>4650</v>
      </c>
      <c r="C342" s="550" t="s">
        <v>4651</v>
      </c>
      <c r="D342" s="550" t="s">
        <v>78</v>
      </c>
      <c r="E342" s="550" t="s">
        <v>79</v>
      </c>
      <c r="F342" s="550" t="s">
        <v>4652</v>
      </c>
      <c r="G342" s="552">
        <v>3500</v>
      </c>
      <c r="H342" s="552"/>
      <c r="I342" s="548">
        <v>11522</v>
      </c>
      <c r="J342" s="548">
        <v>11520</v>
      </c>
      <c r="K342" s="552">
        <v>4500</v>
      </c>
      <c r="L342" s="574">
        <v>7020</v>
      </c>
      <c r="M342" s="548">
        <v>2</v>
      </c>
    </row>
    <row r="343" spans="1:13" ht="15.95" customHeight="1">
      <c r="A343" s="547"/>
      <c r="B343" s="550" t="s">
        <v>4650</v>
      </c>
      <c r="C343" s="550" t="s">
        <v>4651</v>
      </c>
      <c r="D343" s="550" t="s">
        <v>78</v>
      </c>
      <c r="E343" s="550" t="s">
        <v>79</v>
      </c>
      <c r="F343" s="550" t="s">
        <v>4652</v>
      </c>
      <c r="G343" s="552">
        <v>3500</v>
      </c>
      <c r="H343" s="552">
        <v>3541</v>
      </c>
      <c r="I343" s="548">
        <v>478</v>
      </c>
      <c r="J343" s="548">
        <v>4019</v>
      </c>
      <c r="K343" s="552">
        <v>0</v>
      </c>
      <c r="L343" s="574">
        <v>4019</v>
      </c>
      <c r="M343" s="548">
        <v>0</v>
      </c>
    </row>
    <row r="344" spans="1:13" ht="15.95" customHeight="1">
      <c r="A344" s="547"/>
      <c r="B344" s="550" t="s">
        <v>4650</v>
      </c>
      <c r="C344" s="550" t="s">
        <v>4651</v>
      </c>
      <c r="D344" s="550" t="s">
        <v>78</v>
      </c>
      <c r="E344" s="550" t="s">
        <v>79</v>
      </c>
      <c r="F344" s="550" t="s">
        <v>4652</v>
      </c>
      <c r="G344" s="552">
        <v>3500</v>
      </c>
      <c r="H344" s="552"/>
      <c r="I344" s="548">
        <v>9000</v>
      </c>
      <c r="J344" s="548">
        <v>0</v>
      </c>
      <c r="K344" s="552">
        <v>0</v>
      </c>
      <c r="L344" s="574">
        <v>0</v>
      </c>
      <c r="M344" s="548">
        <v>9000</v>
      </c>
    </row>
    <row r="345" spans="1:13" ht="15.95" customHeight="1">
      <c r="A345" s="547"/>
      <c r="B345" s="550" t="s">
        <v>4650</v>
      </c>
      <c r="C345" s="550" t="s">
        <v>4651</v>
      </c>
      <c r="D345" s="550" t="s">
        <v>78</v>
      </c>
      <c r="E345" s="550" t="s">
        <v>79</v>
      </c>
      <c r="F345" s="550" t="s">
        <v>4652</v>
      </c>
      <c r="G345" s="552">
        <v>3500</v>
      </c>
      <c r="H345" s="552">
        <v>2000</v>
      </c>
      <c r="I345" s="548">
        <v>0</v>
      </c>
      <c r="J345" s="548">
        <v>2000</v>
      </c>
      <c r="K345" s="552">
        <v>0</v>
      </c>
      <c r="L345" s="574">
        <v>2000</v>
      </c>
      <c r="M345" s="548">
        <v>0</v>
      </c>
    </row>
    <row r="346" spans="1:13" ht="15.95" customHeight="1">
      <c r="A346" s="547"/>
      <c r="B346" s="550" t="s">
        <v>4650</v>
      </c>
      <c r="C346" s="550" t="s">
        <v>4651</v>
      </c>
      <c r="D346" s="550" t="s">
        <v>78</v>
      </c>
      <c r="E346" s="550" t="s">
        <v>79</v>
      </c>
      <c r="F346" s="550" t="s">
        <v>4652</v>
      </c>
      <c r="G346" s="552">
        <v>3500</v>
      </c>
      <c r="H346" s="552"/>
      <c r="I346" s="548">
        <v>10400</v>
      </c>
      <c r="J346" s="548">
        <v>10400</v>
      </c>
      <c r="K346" s="552">
        <v>1500</v>
      </c>
      <c r="L346" s="574">
        <v>8900</v>
      </c>
      <c r="M346" s="548">
        <v>0</v>
      </c>
    </row>
    <row r="347" spans="1:13" ht="15.95" customHeight="1">
      <c r="A347" s="547"/>
      <c r="B347" s="550" t="s">
        <v>4654</v>
      </c>
      <c r="C347" s="550" t="s">
        <v>85</v>
      </c>
      <c r="D347" s="550" t="s">
        <v>4655</v>
      </c>
      <c r="E347" s="550" t="s">
        <v>4656</v>
      </c>
      <c r="F347" s="550" t="s">
        <v>11</v>
      </c>
      <c r="G347" s="552">
        <v>1260</v>
      </c>
      <c r="H347" s="552"/>
      <c r="I347" s="548">
        <v>19980</v>
      </c>
      <c r="J347" s="548">
        <v>0</v>
      </c>
      <c r="K347" s="552">
        <v>0</v>
      </c>
      <c r="L347" s="574">
        <v>0</v>
      </c>
      <c r="M347" s="548">
        <v>19980</v>
      </c>
    </row>
    <row r="348" spans="1:13" ht="15.95" customHeight="1">
      <c r="A348" s="547"/>
      <c r="B348" s="550" t="s">
        <v>4654</v>
      </c>
      <c r="C348" s="550" t="s">
        <v>85</v>
      </c>
      <c r="D348" s="550" t="s">
        <v>4655</v>
      </c>
      <c r="E348" s="550" t="s">
        <v>4656</v>
      </c>
      <c r="F348" s="550" t="s">
        <v>11</v>
      </c>
      <c r="G348" s="552">
        <v>1260</v>
      </c>
      <c r="H348" s="552"/>
      <c r="I348" s="548">
        <v>9990</v>
      </c>
      <c r="J348" s="548">
        <v>9990</v>
      </c>
      <c r="K348" s="552">
        <v>300</v>
      </c>
      <c r="L348" s="574">
        <v>9690</v>
      </c>
      <c r="M348" s="548">
        <v>0</v>
      </c>
    </row>
    <row r="349" spans="1:13" ht="15.95" customHeight="1">
      <c r="A349" s="547"/>
      <c r="B349" s="550" t="s">
        <v>4654</v>
      </c>
      <c r="C349" s="550" t="s">
        <v>85</v>
      </c>
      <c r="D349" s="550" t="s">
        <v>4655</v>
      </c>
      <c r="E349" s="550" t="s">
        <v>4656</v>
      </c>
      <c r="F349" s="550" t="s">
        <v>11</v>
      </c>
      <c r="G349" s="552">
        <v>1260</v>
      </c>
      <c r="H349" s="552">
        <v>3</v>
      </c>
      <c r="I349" s="548">
        <v>0</v>
      </c>
      <c r="J349" s="548">
        <v>3</v>
      </c>
      <c r="K349" s="552">
        <v>0</v>
      </c>
      <c r="L349" s="574">
        <v>3</v>
      </c>
      <c r="M349" s="548">
        <v>0</v>
      </c>
    </row>
    <row r="350" spans="1:13" ht="15.95" customHeight="1">
      <c r="A350" s="547"/>
      <c r="B350" s="550" t="s">
        <v>4654</v>
      </c>
      <c r="C350" s="550" t="s">
        <v>85</v>
      </c>
      <c r="D350" s="550" t="s">
        <v>4655</v>
      </c>
      <c r="E350" s="550" t="s">
        <v>4656</v>
      </c>
      <c r="F350" s="550" t="s">
        <v>11</v>
      </c>
      <c r="G350" s="552">
        <v>1260</v>
      </c>
      <c r="H350" s="552"/>
      <c r="I350" s="548">
        <v>15990</v>
      </c>
      <c r="J350" s="548">
        <v>15981</v>
      </c>
      <c r="K350" s="552">
        <v>3090</v>
      </c>
      <c r="L350" s="574">
        <v>12891</v>
      </c>
      <c r="M350" s="548">
        <v>9</v>
      </c>
    </row>
    <row r="351" spans="1:13" ht="15.95" customHeight="1">
      <c r="A351" s="547"/>
      <c r="B351" s="550" t="s">
        <v>3979</v>
      </c>
      <c r="C351" s="550" t="s">
        <v>1278</v>
      </c>
      <c r="D351" s="550" t="s">
        <v>3980</v>
      </c>
      <c r="E351" s="550" t="s">
        <v>3981</v>
      </c>
      <c r="F351" s="550" t="s">
        <v>11</v>
      </c>
      <c r="G351" s="552">
        <v>3485</v>
      </c>
      <c r="H351" s="552"/>
      <c r="I351" s="548">
        <v>15000</v>
      </c>
      <c r="J351" s="548">
        <v>15000</v>
      </c>
      <c r="K351" s="552">
        <v>2000</v>
      </c>
      <c r="L351" s="574">
        <v>13000</v>
      </c>
      <c r="M351" s="548">
        <v>0</v>
      </c>
    </row>
    <row r="352" spans="1:13" ht="15.95" customHeight="1">
      <c r="A352" s="547"/>
      <c r="B352" s="550" t="s">
        <v>3979</v>
      </c>
      <c r="C352" s="550" t="s">
        <v>1278</v>
      </c>
      <c r="D352" s="550" t="s">
        <v>3980</v>
      </c>
      <c r="E352" s="550" t="s">
        <v>3981</v>
      </c>
      <c r="F352" s="550" t="s">
        <v>11</v>
      </c>
      <c r="G352" s="552">
        <v>3485</v>
      </c>
      <c r="H352" s="552">
        <v>15</v>
      </c>
      <c r="I352" s="548">
        <v>0</v>
      </c>
      <c r="J352" s="548">
        <v>15</v>
      </c>
      <c r="K352" s="552">
        <v>0</v>
      </c>
      <c r="L352" s="574">
        <v>15</v>
      </c>
      <c r="M352" s="548">
        <v>0</v>
      </c>
    </row>
    <row r="353" spans="1:13" ht="15.95" customHeight="1">
      <c r="A353" s="547"/>
      <c r="B353" s="550" t="s">
        <v>3977</v>
      </c>
      <c r="C353" s="550" t="s">
        <v>1278</v>
      </c>
      <c r="D353" s="550" t="s">
        <v>3980</v>
      </c>
      <c r="E353" s="550" t="s">
        <v>3981</v>
      </c>
      <c r="F353" s="550" t="s">
        <v>11</v>
      </c>
      <c r="G353" s="552">
        <v>3485</v>
      </c>
      <c r="H353" s="552">
        <v>2874</v>
      </c>
      <c r="I353" s="548">
        <v>0</v>
      </c>
      <c r="J353" s="548">
        <v>2874</v>
      </c>
      <c r="K353" s="552">
        <v>0</v>
      </c>
      <c r="L353" s="574">
        <v>2874</v>
      </c>
      <c r="M353" s="548">
        <v>0</v>
      </c>
    </row>
    <row r="354" spans="1:13" ht="15.95" customHeight="1">
      <c r="A354" s="547"/>
      <c r="B354" s="550" t="s">
        <v>3977</v>
      </c>
      <c r="C354" s="550" t="s">
        <v>1278</v>
      </c>
      <c r="D354" s="550" t="s">
        <v>3980</v>
      </c>
      <c r="E354" s="550" t="s">
        <v>3981</v>
      </c>
      <c r="F354" s="550" t="s">
        <v>11</v>
      </c>
      <c r="G354" s="552">
        <v>3485</v>
      </c>
      <c r="H354" s="552"/>
      <c r="I354" s="548">
        <v>15000</v>
      </c>
      <c r="J354" s="548">
        <v>11946</v>
      </c>
      <c r="K354" s="552">
        <v>4000</v>
      </c>
      <c r="L354" s="574">
        <v>7946</v>
      </c>
      <c r="M354" s="548">
        <v>3054</v>
      </c>
    </row>
    <row r="355" spans="1:13" ht="15.95" customHeight="1">
      <c r="A355" s="547"/>
      <c r="B355" s="550" t="s">
        <v>4842</v>
      </c>
      <c r="C355" s="550" t="s">
        <v>4843</v>
      </c>
      <c r="D355" s="550" t="s">
        <v>227</v>
      </c>
      <c r="E355" s="550" t="s">
        <v>225</v>
      </c>
      <c r="F355" s="550" t="s">
        <v>410</v>
      </c>
      <c r="G355" s="552">
        <v>790</v>
      </c>
      <c r="H355" s="552">
        <v>1307</v>
      </c>
      <c r="I355" s="548">
        <v>0</v>
      </c>
      <c r="J355" s="548">
        <v>1307</v>
      </c>
      <c r="K355" s="552">
        <v>0</v>
      </c>
      <c r="L355" s="574">
        <v>1307</v>
      </c>
      <c r="M355" s="548">
        <v>0</v>
      </c>
    </row>
    <row r="356" spans="1:13" ht="15.95" customHeight="1">
      <c r="A356" s="547"/>
      <c r="B356" s="550" t="s">
        <v>4842</v>
      </c>
      <c r="C356" s="550" t="s">
        <v>4843</v>
      </c>
      <c r="D356" s="550" t="s">
        <v>227</v>
      </c>
      <c r="E356" s="550" t="s">
        <v>225</v>
      </c>
      <c r="F356" s="550" t="s">
        <v>410</v>
      </c>
      <c r="G356" s="552">
        <v>790</v>
      </c>
      <c r="H356" s="552">
        <v>4608</v>
      </c>
      <c r="I356" s="548">
        <v>0</v>
      </c>
      <c r="J356" s="548">
        <v>4608</v>
      </c>
      <c r="K356" s="552">
        <v>0</v>
      </c>
      <c r="L356" s="574">
        <v>4608</v>
      </c>
      <c r="M356" s="548">
        <v>0</v>
      </c>
    </row>
    <row r="357" spans="1:13" ht="15.95" customHeight="1">
      <c r="A357" s="547"/>
      <c r="B357" s="550" t="s">
        <v>4842</v>
      </c>
      <c r="C357" s="550" t="s">
        <v>4843</v>
      </c>
      <c r="D357" s="550" t="s">
        <v>227</v>
      </c>
      <c r="E357" s="550" t="s">
        <v>225</v>
      </c>
      <c r="F357" s="550" t="s">
        <v>410</v>
      </c>
      <c r="G357" s="552">
        <v>790</v>
      </c>
      <c r="H357" s="552">
        <v>23616</v>
      </c>
      <c r="I357" s="548">
        <v>0</v>
      </c>
      <c r="J357" s="548">
        <v>6800</v>
      </c>
      <c r="K357" s="552">
        <v>480</v>
      </c>
      <c r="L357" s="574">
        <v>6320</v>
      </c>
      <c r="M357" s="548">
        <v>16816</v>
      </c>
    </row>
    <row r="358" spans="1:13" ht="15.95" customHeight="1">
      <c r="A358" s="547"/>
      <c r="B358" s="550" t="s">
        <v>4842</v>
      </c>
      <c r="C358" s="550" t="s">
        <v>4843</v>
      </c>
      <c r="D358" s="550" t="s">
        <v>227</v>
      </c>
      <c r="E358" s="550" t="s">
        <v>225</v>
      </c>
      <c r="F358" s="550" t="s">
        <v>410</v>
      </c>
      <c r="G358" s="552">
        <v>790</v>
      </c>
      <c r="H358" s="552">
        <v>26384</v>
      </c>
      <c r="I358" s="548">
        <v>0</v>
      </c>
      <c r="J358" s="548">
        <v>0</v>
      </c>
      <c r="K358" s="552">
        <v>0</v>
      </c>
      <c r="L358" s="574">
        <v>0</v>
      </c>
      <c r="M358" s="548">
        <v>26384</v>
      </c>
    </row>
    <row r="359" spans="1:13" ht="15.95" customHeight="1">
      <c r="A359" s="547"/>
      <c r="B359" s="550" t="s">
        <v>3983</v>
      </c>
      <c r="C359" s="550" t="s">
        <v>1944</v>
      </c>
      <c r="D359" s="550" t="s">
        <v>560</v>
      </c>
      <c r="E359" s="550" t="s">
        <v>258</v>
      </c>
      <c r="F359" s="550" t="s">
        <v>11</v>
      </c>
      <c r="G359" s="552">
        <v>1092</v>
      </c>
      <c r="H359" s="552"/>
      <c r="I359" s="548">
        <v>2000</v>
      </c>
      <c r="J359" s="548">
        <v>0</v>
      </c>
      <c r="K359" s="552">
        <v>0</v>
      </c>
      <c r="L359" s="574">
        <v>0</v>
      </c>
      <c r="M359" s="548">
        <v>2000</v>
      </c>
    </row>
    <row r="360" spans="1:13" ht="15.95" customHeight="1">
      <c r="A360" s="547"/>
      <c r="B360" s="550" t="s">
        <v>3983</v>
      </c>
      <c r="C360" s="550" t="s">
        <v>1944</v>
      </c>
      <c r="D360" s="550" t="s">
        <v>560</v>
      </c>
      <c r="E360" s="550" t="s">
        <v>258</v>
      </c>
      <c r="F360" s="550" t="s">
        <v>11</v>
      </c>
      <c r="G360" s="552">
        <v>1092</v>
      </c>
      <c r="H360" s="552">
        <v>2274</v>
      </c>
      <c r="I360" s="548">
        <v>0</v>
      </c>
      <c r="J360" s="548">
        <v>2274</v>
      </c>
      <c r="K360" s="552">
        <v>1000</v>
      </c>
      <c r="L360" s="574">
        <v>1274</v>
      </c>
      <c r="M360" s="548">
        <v>0</v>
      </c>
    </row>
    <row r="361" spans="1:13" ht="15.95" customHeight="1">
      <c r="A361" s="547"/>
      <c r="B361" s="550" t="s">
        <v>3983</v>
      </c>
      <c r="C361" s="550" t="s">
        <v>1944</v>
      </c>
      <c r="D361" s="550" t="s">
        <v>560</v>
      </c>
      <c r="E361" s="550" t="s">
        <v>258</v>
      </c>
      <c r="F361" s="550" t="s">
        <v>11</v>
      </c>
      <c r="G361" s="552">
        <v>1092</v>
      </c>
      <c r="H361" s="552">
        <v>200</v>
      </c>
      <c r="I361" s="548">
        <v>0</v>
      </c>
      <c r="J361" s="548">
        <v>200</v>
      </c>
      <c r="K361" s="552">
        <v>0</v>
      </c>
      <c r="L361" s="574">
        <v>200</v>
      </c>
      <c r="M361" s="548">
        <v>0</v>
      </c>
    </row>
    <row r="362" spans="1:13" ht="15.95" customHeight="1">
      <c r="A362" s="547"/>
      <c r="B362" s="550" t="s">
        <v>7678</v>
      </c>
      <c r="C362" s="550" t="s">
        <v>7680</v>
      </c>
      <c r="D362" s="550" t="s">
        <v>836</v>
      </c>
      <c r="E362" s="550" t="s">
        <v>7679</v>
      </c>
      <c r="F362" s="550" t="s">
        <v>7684</v>
      </c>
      <c r="G362" s="552">
        <v>1850</v>
      </c>
      <c r="H362" s="552"/>
      <c r="I362" s="548">
        <v>500</v>
      </c>
      <c r="J362" s="548">
        <v>500</v>
      </c>
      <c r="K362" s="552">
        <v>0</v>
      </c>
      <c r="L362" s="574">
        <v>500</v>
      </c>
      <c r="M362" s="548">
        <v>0</v>
      </c>
    </row>
    <row r="363" spans="1:13" ht="15.95" customHeight="1">
      <c r="A363" s="547"/>
      <c r="B363" s="550" t="s">
        <v>7678</v>
      </c>
      <c r="C363" s="550" t="s">
        <v>7680</v>
      </c>
      <c r="D363" s="550" t="s">
        <v>836</v>
      </c>
      <c r="E363" s="550" t="s">
        <v>7679</v>
      </c>
      <c r="F363" s="550" t="s">
        <v>7684</v>
      </c>
      <c r="G363" s="552">
        <v>1850</v>
      </c>
      <c r="H363" s="552">
        <v>200</v>
      </c>
      <c r="I363" s="548">
        <v>0</v>
      </c>
      <c r="J363" s="548">
        <v>200</v>
      </c>
      <c r="K363" s="552">
        <v>0</v>
      </c>
      <c r="L363" s="574">
        <v>200</v>
      </c>
      <c r="M363" s="548">
        <v>0</v>
      </c>
    </row>
    <row r="364" spans="1:13" ht="15.95" customHeight="1">
      <c r="A364" s="547"/>
      <c r="B364" s="550" t="s">
        <v>3986</v>
      </c>
      <c r="C364" s="550" t="s">
        <v>3987</v>
      </c>
      <c r="D364" s="550" t="s">
        <v>750</v>
      </c>
      <c r="E364" s="550" t="s">
        <v>232</v>
      </c>
      <c r="F364" s="550" t="s">
        <v>11</v>
      </c>
      <c r="G364" s="552">
        <v>2258</v>
      </c>
      <c r="H364" s="552">
        <v>100</v>
      </c>
      <c r="I364" s="548">
        <v>0</v>
      </c>
      <c r="J364" s="548">
        <v>100</v>
      </c>
      <c r="K364" s="552">
        <v>90</v>
      </c>
      <c r="L364" s="574">
        <v>10</v>
      </c>
      <c r="M364" s="548">
        <v>0</v>
      </c>
    </row>
    <row r="365" spans="1:13" ht="15.95" customHeight="1">
      <c r="A365" s="547"/>
      <c r="B365" s="550" t="s">
        <v>3986</v>
      </c>
      <c r="C365" s="550" t="s">
        <v>3987</v>
      </c>
      <c r="D365" s="550" t="s">
        <v>750</v>
      </c>
      <c r="E365" s="550" t="s">
        <v>232</v>
      </c>
      <c r="F365" s="550" t="s">
        <v>11</v>
      </c>
      <c r="G365" s="552">
        <v>2258</v>
      </c>
      <c r="H365" s="552">
        <v>60</v>
      </c>
      <c r="I365" s="548">
        <v>0</v>
      </c>
      <c r="J365" s="548">
        <v>36</v>
      </c>
      <c r="K365" s="552">
        <v>16</v>
      </c>
      <c r="L365" s="574">
        <v>20</v>
      </c>
      <c r="M365" s="548">
        <v>24</v>
      </c>
    </row>
    <row r="366" spans="1:13" ht="15.95" customHeight="1">
      <c r="A366" s="547"/>
      <c r="B366" s="550" t="s">
        <v>3986</v>
      </c>
      <c r="C366" s="550" t="s">
        <v>3987</v>
      </c>
      <c r="D366" s="550" t="s">
        <v>750</v>
      </c>
      <c r="E366" s="550" t="s">
        <v>232</v>
      </c>
      <c r="F366" s="550" t="s">
        <v>11</v>
      </c>
      <c r="G366" s="552">
        <v>2258</v>
      </c>
      <c r="H366" s="552"/>
      <c r="I366" s="548">
        <v>100</v>
      </c>
      <c r="J366" s="548">
        <v>100</v>
      </c>
      <c r="K366" s="552">
        <v>100</v>
      </c>
      <c r="L366" s="574">
        <v>0</v>
      </c>
      <c r="M366" s="548">
        <v>0</v>
      </c>
    </row>
    <row r="367" spans="1:13" ht="15.95" customHeight="1">
      <c r="A367" s="547"/>
      <c r="B367" s="550" t="s">
        <v>3986</v>
      </c>
      <c r="C367" s="550" t="s">
        <v>3987</v>
      </c>
      <c r="D367" s="550" t="s">
        <v>750</v>
      </c>
      <c r="E367" s="550" t="s">
        <v>232</v>
      </c>
      <c r="F367" s="550" t="s">
        <v>11</v>
      </c>
      <c r="G367" s="552">
        <v>2258</v>
      </c>
      <c r="H367" s="552"/>
      <c r="I367" s="548">
        <v>300</v>
      </c>
      <c r="J367" s="548">
        <v>30</v>
      </c>
      <c r="K367" s="552">
        <v>0</v>
      </c>
      <c r="L367" s="574">
        <v>30</v>
      </c>
      <c r="M367" s="548">
        <v>270</v>
      </c>
    </row>
    <row r="368" spans="1:13" ht="15.95" customHeight="1">
      <c r="A368" s="547"/>
      <c r="B368" s="550" t="s">
        <v>3990</v>
      </c>
      <c r="C368" s="550" t="s">
        <v>2481</v>
      </c>
      <c r="D368" s="550" t="s">
        <v>1330</v>
      </c>
      <c r="E368" s="550" t="s">
        <v>1580</v>
      </c>
      <c r="F368" s="550" t="s">
        <v>520</v>
      </c>
      <c r="G368" s="552">
        <v>8900</v>
      </c>
      <c r="H368" s="552">
        <v>100</v>
      </c>
      <c r="I368" s="548">
        <v>3</v>
      </c>
      <c r="J368" s="548">
        <v>103</v>
      </c>
      <c r="K368" s="552">
        <v>103</v>
      </c>
      <c r="L368" s="574">
        <v>0</v>
      </c>
      <c r="M368" s="548">
        <v>0</v>
      </c>
    </row>
    <row r="369" spans="1:13" ht="15.95" customHeight="1">
      <c r="A369" s="547"/>
      <c r="B369" s="550" t="s">
        <v>3990</v>
      </c>
      <c r="C369" s="550" t="s">
        <v>2481</v>
      </c>
      <c r="D369" s="550" t="s">
        <v>1330</v>
      </c>
      <c r="E369" s="550" t="s">
        <v>1580</v>
      </c>
      <c r="F369" s="550" t="s">
        <v>520</v>
      </c>
      <c r="G369" s="552">
        <v>8900</v>
      </c>
      <c r="H369" s="552"/>
      <c r="I369" s="548">
        <v>500</v>
      </c>
      <c r="J369" s="548">
        <v>44</v>
      </c>
      <c r="K369" s="552">
        <v>39</v>
      </c>
      <c r="L369" s="574">
        <v>5</v>
      </c>
      <c r="M369" s="548">
        <v>456</v>
      </c>
    </row>
    <row r="370" spans="1:13" ht="15.95" customHeight="1">
      <c r="A370" s="547"/>
      <c r="B370" s="550" t="s">
        <v>3990</v>
      </c>
      <c r="C370" s="550" t="s">
        <v>2481</v>
      </c>
      <c r="D370" s="550" t="s">
        <v>1330</v>
      </c>
      <c r="E370" s="550" t="s">
        <v>1580</v>
      </c>
      <c r="F370" s="550" t="s">
        <v>520</v>
      </c>
      <c r="G370" s="552">
        <v>8900</v>
      </c>
      <c r="H370" s="552">
        <v>171</v>
      </c>
      <c r="I370" s="548">
        <v>0</v>
      </c>
      <c r="J370" s="548">
        <v>171</v>
      </c>
      <c r="K370" s="552">
        <v>171</v>
      </c>
      <c r="L370" s="574">
        <v>0</v>
      </c>
      <c r="M370" s="548">
        <v>0</v>
      </c>
    </row>
    <row r="371" spans="1:13" ht="15.95" customHeight="1">
      <c r="A371" s="547"/>
      <c r="B371" s="550" t="s">
        <v>3990</v>
      </c>
      <c r="C371" s="550" t="s">
        <v>2481</v>
      </c>
      <c r="D371" s="550" t="s">
        <v>1330</v>
      </c>
      <c r="E371" s="550" t="s">
        <v>1580</v>
      </c>
      <c r="F371" s="550" t="s">
        <v>520</v>
      </c>
      <c r="G371" s="552">
        <v>8900</v>
      </c>
      <c r="H371" s="552">
        <v>64</v>
      </c>
      <c r="I371" s="548">
        <v>0</v>
      </c>
      <c r="J371" s="548">
        <v>63</v>
      </c>
      <c r="K371" s="552">
        <v>63</v>
      </c>
      <c r="L371" s="574">
        <v>0</v>
      </c>
      <c r="M371" s="548">
        <v>1</v>
      </c>
    </row>
    <row r="372" spans="1:13" ht="15.95" customHeight="1">
      <c r="A372" s="547"/>
      <c r="B372" s="550" t="s">
        <v>4846</v>
      </c>
      <c r="C372" s="550" t="s">
        <v>236</v>
      </c>
      <c r="D372" s="550" t="s">
        <v>236</v>
      </c>
      <c r="E372" s="550" t="s">
        <v>327</v>
      </c>
      <c r="F372" s="550" t="s">
        <v>10</v>
      </c>
      <c r="G372" s="552">
        <v>77</v>
      </c>
      <c r="H372" s="552">
        <v>12813</v>
      </c>
      <c r="I372" s="548">
        <v>0</v>
      </c>
      <c r="J372" s="548">
        <v>12813</v>
      </c>
      <c r="K372" s="552">
        <v>1100</v>
      </c>
      <c r="L372" s="574">
        <v>11713</v>
      </c>
      <c r="M372" s="548">
        <v>0</v>
      </c>
    </row>
    <row r="373" spans="1:13" ht="15.95" customHeight="1">
      <c r="A373" s="547"/>
      <c r="B373" s="550" t="s">
        <v>4847</v>
      </c>
      <c r="C373" s="550" t="s">
        <v>236</v>
      </c>
      <c r="D373" s="550" t="s">
        <v>236</v>
      </c>
      <c r="E373" s="550" t="s">
        <v>327</v>
      </c>
      <c r="F373" s="550" t="s">
        <v>10</v>
      </c>
      <c r="G373" s="552">
        <v>77</v>
      </c>
      <c r="H373" s="552">
        <v>100000</v>
      </c>
      <c r="I373" s="548">
        <v>0</v>
      </c>
      <c r="J373" s="548">
        <v>48425</v>
      </c>
      <c r="K373" s="552">
        <v>39940</v>
      </c>
      <c r="L373" s="574">
        <v>8485</v>
      </c>
      <c r="M373" s="548">
        <v>51575</v>
      </c>
    </row>
    <row r="374" spans="1:13" ht="15.95" customHeight="1">
      <c r="A374" s="547"/>
      <c r="B374" s="550" t="s">
        <v>8009</v>
      </c>
      <c r="C374" s="550" t="s">
        <v>2950</v>
      </c>
      <c r="D374" s="550" t="s">
        <v>2482</v>
      </c>
      <c r="E374" s="550" t="s">
        <v>2483</v>
      </c>
      <c r="F374" s="550" t="s">
        <v>13</v>
      </c>
      <c r="G374" s="552">
        <v>5460</v>
      </c>
      <c r="H374" s="552"/>
      <c r="I374" s="548">
        <v>11250</v>
      </c>
      <c r="J374" s="548">
        <v>550</v>
      </c>
      <c r="K374" s="552">
        <v>550</v>
      </c>
      <c r="L374" s="574">
        <v>0</v>
      </c>
      <c r="M374" s="548">
        <v>10700</v>
      </c>
    </row>
    <row r="375" spans="1:13" ht="15.95" customHeight="1">
      <c r="A375" s="547"/>
      <c r="B375" s="550" t="s">
        <v>11698</v>
      </c>
      <c r="C375" s="550" t="s">
        <v>1152</v>
      </c>
      <c r="D375" s="550" t="s">
        <v>9825</v>
      </c>
      <c r="E375" s="550" t="s">
        <v>9828</v>
      </c>
      <c r="F375" s="550" t="s">
        <v>11</v>
      </c>
      <c r="G375" s="552">
        <v>1600</v>
      </c>
      <c r="H375" s="552">
        <v>1713</v>
      </c>
      <c r="I375" s="548">
        <v>0</v>
      </c>
      <c r="J375" s="548">
        <v>1712</v>
      </c>
      <c r="K375" s="552">
        <v>0</v>
      </c>
      <c r="L375" s="574">
        <v>1712</v>
      </c>
      <c r="M375" s="548">
        <v>1</v>
      </c>
    </row>
    <row r="376" spans="1:13" ht="15.95" customHeight="1">
      <c r="A376" s="547"/>
      <c r="B376" s="550" t="s">
        <v>11698</v>
      </c>
      <c r="C376" s="550" t="s">
        <v>1152</v>
      </c>
      <c r="D376" s="550" t="s">
        <v>9825</v>
      </c>
      <c r="E376" s="550" t="s">
        <v>9828</v>
      </c>
      <c r="F376" s="550" t="s">
        <v>11</v>
      </c>
      <c r="G376" s="552">
        <v>1600</v>
      </c>
      <c r="H376" s="552">
        <v>204</v>
      </c>
      <c r="I376" s="548">
        <v>0</v>
      </c>
      <c r="J376" s="548">
        <v>204</v>
      </c>
      <c r="K376" s="552">
        <v>0</v>
      </c>
      <c r="L376" s="574">
        <v>204</v>
      </c>
      <c r="M376" s="548">
        <v>0</v>
      </c>
    </row>
    <row r="377" spans="1:13" ht="15.95" customHeight="1">
      <c r="A377" s="547"/>
      <c r="B377" s="550" t="s">
        <v>3994</v>
      </c>
      <c r="C377" s="550" t="s">
        <v>3995</v>
      </c>
      <c r="D377" s="550" t="s">
        <v>634</v>
      </c>
      <c r="E377" s="550" t="s">
        <v>235</v>
      </c>
      <c r="F377" s="550" t="s">
        <v>11</v>
      </c>
      <c r="G377" s="552">
        <v>1590</v>
      </c>
      <c r="H377" s="552">
        <v>2043</v>
      </c>
      <c r="I377" s="548">
        <v>23</v>
      </c>
      <c r="J377" s="548">
        <v>2065</v>
      </c>
      <c r="K377" s="552">
        <v>1365</v>
      </c>
      <c r="L377" s="574">
        <v>700</v>
      </c>
      <c r="M377" s="548">
        <v>1</v>
      </c>
    </row>
    <row r="378" spans="1:13" ht="15.95" customHeight="1">
      <c r="A378" s="547"/>
      <c r="B378" s="550" t="s">
        <v>3994</v>
      </c>
      <c r="C378" s="550" t="s">
        <v>3995</v>
      </c>
      <c r="D378" s="550" t="s">
        <v>634</v>
      </c>
      <c r="E378" s="550" t="s">
        <v>235</v>
      </c>
      <c r="F378" s="550" t="s">
        <v>11</v>
      </c>
      <c r="G378" s="552">
        <v>1590</v>
      </c>
      <c r="H378" s="552"/>
      <c r="I378" s="548">
        <v>6010</v>
      </c>
      <c r="J378" s="548">
        <v>6008</v>
      </c>
      <c r="K378" s="552">
        <v>6008</v>
      </c>
      <c r="L378" s="574">
        <v>0</v>
      </c>
      <c r="M378" s="548">
        <v>2</v>
      </c>
    </row>
    <row r="379" spans="1:13" ht="15.95" customHeight="1">
      <c r="A379" s="547"/>
      <c r="B379" s="550" t="s">
        <v>3994</v>
      </c>
      <c r="C379" s="550" t="s">
        <v>3995</v>
      </c>
      <c r="D379" s="550" t="s">
        <v>634</v>
      </c>
      <c r="E379" s="550" t="s">
        <v>235</v>
      </c>
      <c r="F379" s="550" t="s">
        <v>11</v>
      </c>
      <c r="G379" s="552">
        <v>1590</v>
      </c>
      <c r="H379" s="552"/>
      <c r="I379" s="548">
        <v>8001</v>
      </c>
      <c r="J379" s="548">
        <v>503</v>
      </c>
      <c r="K379" s="552">
        <v>494</v>
      </c>
      <c r="L379" s="574">
        <v>9</v>
      </c>
      <c r="M379" s="548">
        <v>7498</v>
      </c>
    </row>
    <row r="380" spans="1:13" ht="15.95" customHeight="1">
      <c r="A380" s="547"/>
      <c r="B380" s="550"/>
      <c r="C380" s="550" t="s">
        <v>1335</v>
      </c>
      <c r="D380" s="550" t="s">
        <v>1335</v>
      </c>
      <c r="E380" s="550" t="s">
        <v>225</v>
      </c>
      <c r="F380" s="550" t="s">
        <v>11</v>
      </c>
      <c r="G380" s="552">
        <v>1185</v>
      </c>
      <c r="H380" s="552">
        <v>2</v>
      </c>
      <c r="I380" s="548">
        <v>0</v>
      </c>
      <c r="J380" s="548">
        <v>2</v>
      </c>
      <c r="K380" s="552">
        <v>0</v>
      </c>
      <c r="L380" s="574">
        <v>2</v>
      </c>
      <c r="M380" s="548">
        <v>0</v>
      </c>
    </row>
    <row r="381" spans="1:13" ht="15.95" customHeight="1">
      <c r="A381" s="547"/>
      <c r="B381" s="550" t="s">
        <v>4493</v>
      </c>
      <c r="C381" s="550" t="s">
        <v>1335</v>
      </c>
      <c r="D381" s="550" t="s">
        <v>1335</v>
      </c>
      <c r="E381" s="550" t="s">
        <v>225</v>
      </c>
      <c r="F381" s="550" t="s">
        <v>11</v>
      </c>
      <c r="G381" s="552">
        <v>1153</v>
      </c>
      <c r="H381" s="552"/>
      <c r="I381" s="548">
        <v>3000</v>
      </c>
      <c r="J381" s="548">
        <v>3000</v>
      </c>
      <c r="K381" s="552">
        <v>3000</v>
      </c>
      <c r="L381" s="574">
        <v>0</v>
      </c>
      <c r="M381" s="548">
        <v>0</v>
      </c>
    </row>
    <row r="382" spans="1:13" ht="15.95" customHeight="1">
      <c r="A382" s="547"/>
      <c r="B382" s="550" t="s">
        <v>4493</v>
      </c>
      <c r="C382" s="550" t="s">
        <v>1335</v>
      </c>
      <c r="D382" s="550" t="s">
        <v>1335</v>
      </c>
      <c r="E382" s="550" t="s">
        <v>225</v>
      </c>
      <c r="F382" s="550" t="s">
        <v>11</v>
      </c>
      <c r="G382" s="552">
        <v>1153</v>
      </c>
      <c r="H382" s="552"/>
      <c r="I382" s="548">
        <v>3000</v>
      </c>
      <c r="J382" s="548">
        <v>3000</v>
      </c>
      <c r="K382" s="552">
        <v>3000</v>
      </c>
      <c r="L382" s="574">
        <v>0</v>
      </c>
      <c r="M382" s="548">
        <v>0</v>
      </c>
    </row>
    <row r="383" spans="1:13" ht="15.95" customHeight="1">
      <c r="A383" s="547"/>
      <c r="B383" s="550" t="s">
        <v>3997</v>
      </c>
      <c r="C383" s="550" t="s">
        <v>3998</v>
      </c>
      <c r="D383" s="550" t="s">
        <v>634</v>
      </c>
      <c r="E383" s="550" t="s">
        <v>235</v>
      </c>
      <c r="F383" s="550" t="s">
        <v>11</v>
      </c>
      <c r="G383" s="552">
        <v>315</v>
      </c>
      <c r="H383" s="552"/>
      <c r="I383" s="548">
        <v>6800</v>
      </c>
      <c r="J383" s="548">
        <v>6800</v>
      </c>
      <c r="K383" s="552">
        <v>6800</v>
      </c>
      <c r="L383" s="574">
        <v>0</v>
      </c>
      <c r="M383" s="548">
        <v>0</v>
      </c>
    </row>
    <row r="384" spans="1:13" ht="15.95" customHeight="1">
      <c r="A384" s="547"/>
      <c r="B384" s="550" t="s">
        <v>3999</v>
      </c>
      <c r="C384" s="550" t="s">
        <v>4000</v>
      </c>
      <c r="D384" s="550" t="s">
        <v>1780</v>
      </c>
      <c r="E384" s="550" t="s">
        <v>267</v>
      </c>
      <c r="F384" s="550" t="s">
        <v>11</v>
      </c>
      <c r="G384" s="552">
        <v>838</v>
      </c>
      <c r="H384" s="552">
        <v>409</v>
      </c>
      <c r="I384" s="548">
        <v>6</v>
      </c>
      <c r="J384" s="548">
        <v>415</v>
      </c>
      <c r="K384" s="552">
        <v>415</v>
      </c>
      <c r="L384" s="574">
        <v>0</v>
      </c>
      <c r="M384" s="548">
        <v>0</v>
      </c>
    </row>
    <row r="385" spans="1:13" ht="15.95" customHeight="1">
      <c r="A385" s="547"/>
      <c r="B385" s="550" t="s">
        <v>3999</v>
      </c>
      <c r="C385" s="550" t="s">
        <v>1025</v>
      </c>
      <c r="D385" s="550" t="s">
        <v>1780</v>
      </c>
      <c r="E385" s="550" t="s">
        <v>267</v>
      </c>
      <c r="F385" s="550" t="s">
        <v>10</v>
      </c>
      <c r="G385" s="552">
        <v>838</v>
      </c>
      <c r="H385" s="552">
        <v>2657</v>
      </c>
      <c r="I385" s="548">
        <v>0</v>
      </c>
      <c r="J385" s="548">
        <v>2657</v>
      </c>
      <c r="K385" s="552">
        <v>0</v>
      </c>
      <c r="L385" s="574">
        <v>2657</v>
      </c>
      <c r="M385" s="548">
        <v>0</v>
      </c>
    </row>
    <row r="386" spans="1:13" ht="15.95" customHeight="1">
      <c r="A386" s="547"/>
      <c r="B386" s="550" t="s">
        <v>4003</v>
      </c>
      <c r="C386" s="550" t="s">
        <v>1020</v>
      </c>
      <c r="D386" s="550" t="s">
        <v>1780</v>
      </c>
      <c r="E386" s="550" t="s">
        <v>1021</v>
      </c>
      <c r="F386" s="550" t="s">
        <v>18</v>
      </c>
      <c r="G386" s="552">
        <v>53300</v>
      </c>
      <c r="H386" s="552">
        <v>578</v>
      </c>
      <c r="I386" s="548">
        <v>0</v>
      </c>
      <c r="J386" s="548">
        <v>578</v>
      </c>
      <c r="K386" s="552">
        <v>192</v>
      </c>
      <c r="L386" s="574">
        <v>386</v>
      </c>
      <c r="M386" s="548">
        <v>0</v>
      </c>
    </row>
    <row r="387" spans="1:13" ht="15.95" customHeight="1">
      <c r="A387" s="547"/>
      <c r="B387" s="550" t="s">
        <v>4497</v>
      </c>
      <c r="C387" s="550" t="s">
        <v>4498</v>
      </c>
      <c r="D387" s="550" t="s">
        <v>1510</v>
      </c>
      <c r="E387" s="550" t="s">
        <v>4499</v>
      </c>
      <c r="F387" s="550" t="s">
        <v>658</v>
      </c>
      <c r="G387" s="552">
        <v>38493</v>
      </c>
      <c r="H387" s="552">
        <v>66</v>
      </c>
      <c r="I387" s="548">
        <v>0</v>
      </c>
      <c r="J387" s="548">
        <v>20</v>
      </c>
      <c r="K387" s="552">
        <v>0</v>
      </c>
      <c r="L387" s="574">
        <v>20</v>
      </c>
      <c r="M387" s="548">
        <v>46</v>
      </c>
    </row>
    <row r="388" spans="1:13" ht="15.95" customHeight="1">
      <c r="A388" s="547"/>
      <c r="B388" s="550" t="s">
        <v>4009</v>
      </c>
      <c r="C388" s="550" t="s">
        <v>4010</v>
      </c>
      <c r="D388" s="550" t="s">
        <v>4011</v>
      </c>
      <c r="E388" s="550" t="s">
        <v>4012</v>
      </c>
      <c r="F388" s="550" t="s">
        <v>3670</v>
      </c>
      <c r="G388" s="552">
        <v>47500</v>
      </c>
      <c r="H388" s="552"/>
      <c r="I388" s="548">
        <v>200</v>
      </c>
      <c r="J388" s="548">
        <v>24</v>
      </c>
      <c r="K388" s="552">
        <v>0</v>
      </c>
      <c r="L388" s="574">
        <v>24</v>
      </c>
      <c r="M388" s="548">
        <v>176</v>
      </c>
    </row>
    <row r="389" spans="1:13" ht="15.95" customHeight="1">
      <c r="A389" s="547"/>
      <c r="B389" s="550" t="s">
        <v>5011</v>
      </c>
      <c r="C389" s="550" t="s">
        <v>5012</v>
      </c>
      <c r="D389" s="550" t="s">
        <v>5013</v>
      </c>
      <c r="E389" s="550" t="s">
        <v>5014</v>
      </c>
      <c r="F389" s="550" t="s">
        <v>520</v>
      </c>
      <c r="G389" s="552">
        <v>5163</v>
      </c>
      <c r="H389" s="552">
        <v>4278</v>
      </c>
      <c r="I389" s="548">
        <v>0</v>
      </c>
      <c r="J389" s="548">
        <v>4278</v>
      </c>
      <c r="K389" s="552">
        <v>0</v>
      </c>
      <c r="L389" s="574">
        <v>4278</v>
      </c>
      <c r="M389" s="548">
        <v>0</v>
      </c>
    </row>
    <row r="390" spans="1:13" ht="15.95" customHeight="1">
      <c r="A390" s="547"/>
      <c r="B390" s="550" t="s">
        <v>5011</v>
      </c>
      <c r="C390" s="550" t="s">
        <v>5012</v>
      </c>
      <c r="D390" s="550" t="s">
        <v>5013</v>
      </c>
      <c r="E390" s="550" t="s">
        <v>5014</v>
      </c>
      <c r="F390" s="550" t="s">
        <v>520</v>
      </c>
      <c r="G390" s="552">
        <v>5163</v>
      </c>
      <c r="H390" s="552"/>
      <c r="I390" s="548">
        <v>10000</v>
      </c>
      <c r="J390" s="548">
        <v>900</v>
      </c>
      <c r="K390" s="552">
        <v>0</v>
      </c>
      <c r="L390" s="574">
        <v>900</v>
      </c>
      <c r="M390" s="548">
        <v>9100</v>
      </c>
    </row>
    <row r="391" spans="1:13" ht="15.95" customHeight="1">
      <c r="A391" s="547"/>
      <c r="B391" s="550" t="s">
        <v>4013</v>
      </c>
      <c r="C391" s="550" t="s">
        <v>1338</v>
      </c>
      <c r="D391" s="550" t="s">
        <v>868</v>
      </c>
      <c r="E391" s="550" t="s">
        <v>869</v>
      </c>
      <c r="F391" s="550" t="s">
        <v>11</v>
      </c>
      <c r="G391" s="552">
        <v>263</v>
      </c>
      <c r="H391" s="552">
        <v>13700</v>
      </c>
      <c r="I391" s="548">
        <v>0</v>
      </c>
      <c r="J391" s="548">
        <v>13611</v>
      </c>
      <c r="K391" s="552">
        <v>16</v>
      </c>
      <c r="L391" s="574">
        <v>13595</v>
      </c>
      <c r="M391" s="548">
        <v>89</v>
      </c>
    </row>
    <row r="392" spans="1:13" ht="15.95" customHeight="1">
      <c r="A392" s="547"/>
      <c r="B392" s="550" t="s">
        <v>8353</v>
      </c>
      <c r="C392" s="550" t="s">
        <v>8354</v>
      </c>
      <c r="D392" s="550" t="s">
        <v>868</v>
      </c>
      <c r="E392" s="550" t="s">
        <v>1343</v>
      </c>
      <c r="F392" s="550" t="s">
        <v>11</v>
      </c>
      <c r="G392" s="552">
        <v>4900</v>
      </c>
      <c r="H392" s="552"/>
      <c r="I392" s="548">
        <v>5000</v>
      </c>
      <c r="J392" s="548">
        <v>0</v>
      </c>
      <c r="K392" s="552">
        <v>0</v>
      </c>
      <c r="L392" s="574">
        <v>0</v>
      </c>
      <c r="M392" s="548">
        <v>5000</v>
      </c>
    </row>
    <row r="393" spans="1:13" ht="15.95" customHeight="1">
      <c r="A393" s="547"/>
      <c r="B393" s="550" t="s">
        <v>4015</v>
      </c>
      <c r="C393" s="550" t="s">
        <v>4016</v>
      </c>
      <c r="D393" s="550" t="s">
        <v>4017</v>
      </c>
      <c r="E393" s="550" t="s">
        <v>327</v>
      </c>
      <c r="F393" s="550" t="s">
        <v>11</v>
      </c>
      <c r="G393" s="552">
        <v>1400</v>
      </c>
      <c r="H393" s="552"/>
      <c r="I393" s="548">
        <v>3000</v>
      </c>
      <c r="J393" s="548">
        <v>0</v>
      </c>
      <c r="K393" s="552">
        <v>0</v>
      </c>
      <c r="L393" s="574">
        <v>0</v>
      </c>
      <c r="M393" s="548">
        <v>3000</v>
      </c>
    </row>
    <row r="394" spans="1:13" ht="15.95" customHeight="1">
      <c r="A394" s="547"/>
      <c r="B394" s="550" t="s">
        <v>4015</v>
      </c>
      <c r="C394" s="550" t="s">
        <v>4016</v>
      </c>
      <c r="D394" s="550" t="s">
        <v>4017</v>
      </c>
      <c r="E394" s="550" t="s">
        <v>327</v>
      </c>
      <c r="F394" s="550" t="s">
        <v>11</v>
      </c>
      <c r="G394" s="552">
        <v>1400</v>
      </c>
      <c r="H394" s="552">
        <v>5000</v>
      </c>
      <c r="I394" s="548">
        <v>0</v>
      </c>
      <c r="J394" s="548">
        <v>5000</v>
      </c>
      <c r="K394" s="552">
        <v>0</v>
      </c>
      <c r="L394" s="574">
        <v>5000</v>
      </c>
      <c r="M394" s="548">
        <v>0</v>
      </c>
    </row>
    <row r="395" spans="1:13" ht="15.95" customHeight="1">
      <c r="A395" s="547"/>
      <c r="B395" s="550" t="s">
        <v>3878</v>
      </c>
      <c r="C395" s="550" t="s">
        <v>6760</v>
      </c>
      <c r="D395" s="550" t="s">
        <v>376</v>
      </c>
      <c r="E395" s="550" t="s">
        <v>550</v>
      </c>
      <c r="F395" s="550" t="s">
        <v>11</v>
      </c>
      <c r="G395" s="552">
        <v>2000</v>
      </c>
      <c r="H395" s="552"/>
      <c r="I395" s="548">
        <v>19980</v>
      </c>
      <c r="J395" s="548">
        <v>0</v>
      </c>
      <c r="K395" s="552">
        <v>0</v>
      </c>
      <c r="L395" s="574">
        <v>0</v>
      </c>
      <c r="M395" s="548">
        <v>19980</v>
      </c>
    </row>
    <row r="396" spans="1:13" ht="15.95" customHeight="1">
      <c r="A396" s="547"/>
      <c r="B396" s="550" t="s">
        <v>4020</v>
      </c>
      <c r="C396" s="550" t="s">
        <v>1654</v>
      </c>
      <c r="D396" s="550" t="s">
        <v>868</v>
      </c>
      <c r="E396" s="550" t="s">
        <v>1340</v>
      </c>
      <c r="F396" s="550" t="s">
        <v>11</v>
      </c>
      <c r="G396" s="552">
        <v>875</v>
      </c>
      <c r="H396" s="552"/>
      <c r="I396" s="548">
        <v>10169</v>
      </c>
      <c r="J396" s="548">
        <v>745</v>
      </c>
      <c r="K396" s="552">
        <v>318</v>
      </c>
      <c r="L396" s="574">
        <v>427</v>
      </c>
      <c r="M396" s="548">
        <v>9424</v>
      </c>
    </row>
    <row r="397" spans="1:13" ht="15.95" customHeight="1">
      <c r="A397" s="547"/>
      <c r="B397" s="550" t="s">
        <v>4020</v>
      </c>
      <c r="C397" s="550" t="s">
        <v>1654</v>
      </c>
      <c r="D397" s="550" t="s">
        <v>1650</v>
      </c>
      <c r="E397" s="550" t="s">
        <v>1340</v>
      </c>
      <c r="F397" s="550" t="s">
        <v>10</v>
      </c>
      <c r="G397" s="552">
        <v>1400</v>
      </c>
      <c r="H397" s="552">
        <v>536</v>
      </c>
      <c r="I397" s="548">
        <v>2</v>
      </c>
      <c r="J397" s="548">
        <v>538</v>
      </c>
      <c r="K397" s="552">
        <v>86</v>
      </c>
      <c r="L397" s="574">
        <v>452</v>
      </c>
      <c r="M397" s="548">
        <v>0</v>
      </c>
    </row>
    <row r="398" spans="1:13" ht="15.95" customHeight="1">
      <c r="A398" s="547"/>
      <c r="B398" s="550" t="s">
        <v>4020</v>
      </c>
      <c r="C398" s="550" t="s">
        <v>1654</v>
      </c>
      <c r="D398" s="550" t="s">
        <v>1650</v>
      </c>
      <c r="E398" s="550" t="s">
        <v>1340</v>
      </c>
      <c r="F398" s="550" t="s">
        <v>10</v>
      </c>
      <c r="G398" s="552">
        <v>1400</v>
      </c>
      <c r="H398" s="552">
        <v>3949</v>
      </c>
      <c r="I398" s="548">
        <v>0</v>
      </c>
      <c r="J398" s="548">
        <v>3949</v>
      </c>
      <c r="K398" s="552">
        <v>0</v>
      </c>
      <c r="L398" s="574">
        <v>3949</v>
      </c>
      <c r="M398" s="548">
        <v>0</v>
      </c>
    </row>
    <row r="399" spans="1:13" ht="15.95" customHeight="1">
      <c r="A399" s="547"/>
      <c r="B399" s="550" t="s">
        <v>4023</v>
      </c>
      <c r="C399" s="550" t="s">
        <v>1656</v>
      </c>
      <c r="D399" s="550" t="s">
        <v>1650</v>
      </c>
      <c r="E399" s="550" t="s">
        <v>1343</v>
      </c>
      <c r="F399" s="550" t="s">
        <v>10</v>
      </c>
      <c r="G399" s="552">
        <v>2690</v>
      </c>
      <c r="H399" s="552">
        <v>134</v>
      </c>
      <c r="I399" s="548">
        <v>0</v>
      </c>
      <c r="J399" s="548">
        <v>134</v>
      </c>
      <c r="K399" s="552">
        <v>0</v>
      </c>
      <c r="L399" s="574">
        <v>134</v>
      </c>
      <c r="M399" s="548">
        <v>0</v>
      </c>
    </row>
    <row r="400" spans="1:13" ht="15.95" customHeight="1">
      <c r="A400" s="547"/>
      <c r="B400" s="550" t="s">
        <v>4023</v>
      </c>
      <c r="C400" s="550" t="s">
        <v>1656</v>
      </c>
      <c r="D400" s="550" t="s">
        <v>1650</v>
      </c>
      <c r="E400" s="550" t="s">
        <v>1343</v>
      </c>
      <c r="F400" s="550" t="s">
        <v>10</v>
      </c>
      <c r="G400" s="552">
        <v>2690</v>
      </c>
      <c r="H400" s="552">
        <v>5850</v>
      </c>
      <c r="I400" s="548">
        <v>0</v>
      </c>
      <c r="J400" s="548">
        <v>5850</v>
      </c>
      <c r="K400" s="552">
        <v>0</v>
      </c>
      <c r="L400" s="574">
        <v>5850</v>
      </c>
      <c r="M400" s="548">
        <v>0</v>
      </c>
    </row>
    <row r="401" spans="1:13" ht="15.95" customHeight="1">
      <c r="A401" s="547"/>
      <c r="B401" s="550" t="s">
        <v>4657</v>
      </c>
      <c r="C401" s="550" t="s">
        <v>4658</v>
      </c>
      <c r="D401" s="550" t="s">
        <v>4659</v>
      </c>
      <c r="E401" s="550" t="s">
        <v>4660</v>
      </c>
      <c r="F401" s="550" t="s">
        <v>15</v>
      </c>
      <c r="G401" s="552">
        <v>34000</v>
      </c>
      <c r="H401" s="552">
        <v>120</v>
      </c>
      <c r="I401" s="548">
        <v>0</v>
      </c>
      <c r="J401" s="548">
        <v>120</v>
      </c>
      <c r="K401" s="552">
        <v>0</v>
      </c>
      <c r="L401" s="574">
        <v>120</v>
      </c>
      <c r="M401" s="548">
        <v>0</v>
      </c>
    </row>
    <row r="402" spans="1:13" ht="15.95" customHeight="1">
      <c r="A402" s="547"/>
      <c r="B402" s="550" t="s">
        <v>4657</v>
      </c>
      <c r="C402" s="550" t="s">
        <v>4658</v>
      </c>
      <c r="D402" s="550" t="s">
        <v>4659</v>
      </c>
      <c r="E402" s="550" t="s">
        <v>4660</v>
      </c>
      <c r="F402" s="550" t="s">
        <v>15</v>
      </c>
      <c r="G402" s="552">
        <v>34000</v>
      </c>
      <c r="H402" s="552"/>
      <c r="I402" s="548">
        <v>300</v>
      </c>
      <c r="J402" s="548">
        <v>26</v>
      </c>
      <c r="K402" s="552">
        <v>0</v>
      </c>
      <c r="L402" s="574">
        <v>26</v>
      </c>
      <c r="M402" s="548">
        <v>274</v>
      </c>
    </row>
    <row r="403" spans="1:13" ht="15.95" customHeight="1">
      <c r="A403" s="547"/>
      <c r="B403" s="550" t="s">
        <v>4661</v>
      </c>
      <c r="C403" s="550" t="s">
        <v>90</v>
      </c>
      <c r="D403" s="550" t="s">
        <v>4662</v>
      </c>
      <c r="E403" s="550" t="s">
        <v>4663</v>
      </c>
      <c r="F403" s="550" t="s">
        <v>11</v>
      </c>
      <c r="G403" s="552">
        <v>1200</v>
      </c>
      <c r="H403" s="552">
        <v>200</v>
      </c>
      <c r="I403" s="548">
        <v>0</v>
      </c>
      <c r="J403" s="548">
        <v>200</v>
      </c>
      <c r="K403" s="552">
        <v>0</v>
      </c>
      <c r="L403" s="574">
        <v>200</v>
      </c>
      <c r="M403" s="548">
        <v>0</v>
      </c>
    </row>
    <row r="404" spans="1:13" ht="15.95" customHeight="1">
      <c r="A404" s="547"/>
      <c r="B404" s="550" t="s">
        <v>4661</v>
      </c>
      <c r="C404" s="550" t="s">
        <v>90</v>
      </c>
      <c r="D404" s="550" t="s">
        <v>4662</v>
      </c>
      <c r="E404" s="550" t="s">
        <v>4663</v>
      </c>
      <c r="F404" s="550" t="s">
        <v>11</v>
      </c>
      <c r="G404" s="552">
        <v>1200</v>
      </c>
      <c r="H404" s="552"/>
      <c r="I404" s="548">
        <v>5000</v>
      </c>
      <c r="J404" s="548">
        <v>5000</v>
      </c>
      <c r="K404" s="552">
        <v>0</v>
      </c>
      <c r="L404" s="574">
        <v>5000</v>
      </c>
      <c r="M404" s="548">
        <v>0</v>
      </c>
    </row>
    <row r="405" spans="1:13" ht="15.95" customHeight="1">
      <c r="A405" s="547"/>
      <c r="B405" s="550" t="s">
        <v>4661</v>
      </c>
      <c r="C405" s="550" t="s">
        <v>90</v>
      </c>
      <c r="D405" s="550" t="s">
        <v>4662</v>
      </c>
      <c r="E405" s="550" t="s">
        <v>4663</v>
      </c>
      <c r="F405" s="550" t="s">
        <v>11</v>
      </c>
      <c r="G405" s="552">
        <v>1200</v>
      </c>
      <c r="H405" s="552"/>
      <c r="I405" s="548">
        <v>10000</v>
      </c>
      <c r="J405" s="548">
        <v>370</v>
      </c>
      <c r="K405" s="552">
        <v>0</v>
      </c>
      <c r="L405" s="574">
        <v>370</v>
      </c>
      <c r="M405" s="548">
        <v>9630</v>
      </c>
    </row>
    <row r="406" spans="1:13" ht="15.95" customHeight="1">
      <c r="A406" s="547"/>
      <c r="B406" s="550" t="s">
        <v>4664</v>
      </c>
      <c r="C406" s="550" t="s">
        <v>93</v>
      </c>
      <c r="D406" s="550" t="s">
        <v>94</v>
      </c>
      <c r="E406" s="550" t="s">
        <v>95</v>
      </c>
      <c r="F406" s="550" t="s">
        <v>11</v>
      </c>
      <c r="G406" s="552">
        <v>4200</v>
      </c>
      <c r="H406" s="552"/>
      <c r="I406" s="548">
        <v>5000</v>
      </c>
      <c r="J406" s="548">
        <v>5000</v>
      </c>
      <c r="K406" s="552">
        <v>0</v>
      </c>
      <c r="L406" s="574">
        <v>5000</v>
      </c>
      <c r="M406" s="548">
        <v>0</v>
      </c>
    </row>
    <row r="407" spans="1:13" ht="15.95" customHeight="1">
      <c r="A407" s="547"/>
      <c r="B407" s="550" t="s">
        <v>4664</v>
      </c>
      <c r="C407" s="550" t="s">
        <v>93</v>
      </c>
      <c r="D407" s="550" t="s">
        <v>94</v>
      </c>
      <c r="E407" s="550" t="s">
        <v>95</v>
      </c>
      <c r="F407" s="550" t="s">
        <v>11</v>
      </c>
      <c r="G407" s="552">
        <v>4200</v>
      </c>
      <c r="H407" s="552">
        <v>8809</v>
      </c>
      <c r="I407" s="548">
        <v>0</v>
      </c>
      <c r="J407" s="548">
        <v>8809</v>
      </c>
      <c r="K407" s="552">
        <v>0</v>
      </c>
      <c r="L407" s="574">
        <v>8809</v>
      </c>
      <c r="M407" s="548">
        <v>0</v>
      </c>
    </row>
    <row r="408" spans="1:13" ht="15.95" customHeight="1">
      <c r="A408" s="547"/>
      <c r="B408" s="550" t="s">
        <v>4664</v>
      </c>
      <c r="C408" s="550" t="s">
        <v>93</v>
      </c>
      <c r="D408" s="550" t="s">
        <v>94</v>
      </c>
      <c r="E408" s="550" t="s">
        <v>95</v>
      </c>
      <c r="F408" s="550" t="s">
        <v>11</v>
      </c>
      <c r="G408" s="552">
        <v>4200</v>
      </c>
      <c r="H408" s="552"/>
      <c r="I408" s="548">
        <v>4000</v>
      </c>
      <c r="J408" s="548">
        <v>4000</v>
      </c>
      <c r="K408" s="552">
        <v>0</v>
      </c>
      <c r="L408" s="574">
        <v>4000</v>
      </c>
      <c r="M408" s="548">
        <v>0</v>
      </c>
    </row>
    <row r="409" spans="1:13" ht="15.95" customHeight="1">
      <c r="A409" s="547"/>
      <c r="B409" s="550" t="s">
        <v>4666</v>
      </c>
      <c r="C409" s="550" t="s">
        <v>4667</v>
      </c>
      <c r="D409" s="550" t="s">
        <v>4668</v>
      </c>
      <c r="E409" s="550" t="s">
        <v>4669</v>
      </c>
      <c r="F409" s="550" t="s">
        <v>11</v>
      </c>
      <c r="G409" s="552">
        <v>1150</v>
      </c>
      <c r="H409" s="552">
        <v>9600</v>
      </c>
      <c r="I409" s="548">
        <v>0</v>
      </c>
      <c r="J409" s="548">
        <v>7543</v>
      </c>
      <c r="K409" s="552">
        <v>0</v>
      </c>
      <c r="L409" s="574">
        <v>7543</v>
      </c>
      <c r="M409" s="548">
        <v>2057</v>
      </c>
    </row>
    <row r="410" spans="1:13" ht="15.95" customHeight="1">
      <c r="A410" s="547"/>
      <c r="B410" s="550" t="s">
        <v>4026</v>
      </c>
      <c r="C410" s="550" t="s">
        <v>4027</v>
      </c>
      <c r="D410" s="550" t="s">
        <v>1780</v>
      </c>
      <c r="E410" s="550" t="s">
        <v>1782</v>
      </c>
      <c r="F410" s="550" t="s">
        <v>15</v>
      </c>
      <c r="G410" s="552">
        <v>13650</v>
      </c>
      <c r="H410" s="552">
        <v>80</v>
      </c>
      <c r="I410" s="548">
        <v>0</v>
      </c>
      <c r="J410" s="548">
        <v>28</v>
      </c>
      <c r="K410" s="552">
        <v>0</v>
      </c>
      <c r="L410" s="574">
        <v>28</v>
      </c>
      <c r="M410" s="548">
        <v>52</v>
      </c>
    </row>
    <row r="411" spans="1:13" ht="15.95" customHeight="1">
      <c r="A411" s="547"/>
      <c r="B411" s="550" t="s">
        <v>7503</v>
      </c>
      <c r="C411" s="550" t="s">
        <v>7504</v>
      </c>
      <c r="D411" s="550" t="s">
        <v>1702</v>
      </c>
      <c r="E411" s="550" t="s">
        <v>327</v>
      </c>
      <c r="F411" s="550" t="s">
        <v>16</v>
      </c>
      <c r="G411" s="552">
        <v>248</v>
      </c>
      <c r="H411" s="552"/>
      <c r="I411" s="548">
        <v>3000</v>
      </c>
      <c r="J411" s="548">
        <v>3000</v>
      </c>
      <c r="K411" s="552">
        <v>0</v>
      </c>
      <c r="L411" s="574">
        <v>3000</v>
      </c>
      <c r="M411" s="548">
        <v>0</v>
      </c>
    </row>
    <row r="412" spans="1:13" ht="15.95" customHeight="1">
      <c r="A412" s="547"/>
      <c r="B412" s="550" t="s">
        <v>7503</v>
      </c>
      <c r="C412" s="550" t="s">
        <v>7504</v>
      </c>
      <c r="D412" s="550" t="s">
        <v>1702</v>
      </c>
      <c r="E412" s="550" t="s">
        <v>327</v>
      </c>
      <c r="F412" s="550" t="s">
        <v>16</v>
      </c>
      <c r="G412" s="552">
        <v>248</v>
      </c>
      <c r="H412" s="552"/>
      <c r="I412" s="548">
        <v>9600</v>
      </c>
      <c r="J412" s="548">
        <v>9600</v>
      </c>
      <c r="K412" s="552">
        <v>3300</v>
      </c>
      <c r="L412" s="574">
        <v>6300</v>
      </c>
      <c r="M412" s="548">
        <v>0</v>
      </c>
    </row>
    <row r="413" spans="1:13" ht="15.95" customHeight="1">
      <c r="A413" s="547"/>
      <c r="B413" s="550" t="s">
        <v>7503</v>
      </c>
      <c r="C413" s="550" t="s">
        <v>7504</v>
      </c>
      <c r="D413" s="550" t="s">
        <v>1702</v>
      </c>
      <c r="E413" s="550" t="s">
        <v>327</v>
      </c>
      <c r="F413" s="550" t="s">
        <v>16</v>
      </c>
      <c r="G413" s="552">
        <v>248</v>
      </c>
      <c r="H413" s="552"/>
      <c r="I413" s="548">
        <v>17402</v>
      </c>
      <c r="J413" s="548">
        <v>12669</v>
      </c>
      <c r="K413" s="552">
        <v>4999</v>
      </c>
      <c r="L413" s="574">
        <v>7670</v>
      </c>
      <c r="M413" s="548">
        <v>4733</v>
      </c>
    </row>
    <row r="414" spans="1:13" ht="15.95" customHeight="1">
      <c r="A414" s="547"/>
      <c r="B414" s="550" t="s">
        <v>4029</v>
      </c>
      <c r="C414" s="550" t="s">
        <v>1759</v>
      </c>
      <c r="D414" s="550" t="s">
        <v>1702</v>
      </c>
      <c r="E414" s="550" t="s">
        <v>327</v>
      </c>
      <c r="F414" s="550" t="s">
        <v>11</v>
      </c>
      <c r="G414" s="552">
        <v>1500</v>
      </c>
      <c r="H414" s="552">
        <v>13971</v>
      </c>
      <c r="I414" s="548">
        <v>0</v>
      </c>
      <c r="J414" s="548">
        <v>13971</v>
      </c>
      <c r="K414" s="552">
        <v>0</v>
      </c>
      <c r="L414" s="574">
        <v>13971</v>
      </c>
      <c r="M414" s="548">
        <v>0</v>
      </c>
    </row>
    <row r="415" spans="1:13" ht="15.95" customHeight="1">
      <c r="A415" s="547"/>
      <c r="B415" s="550" t="s">
        <v>4029</v>
      </c>
      <c r="C415" s="550" t="s">
        <v>6636</v>
      </c>
      <c r="D415" s="550" t="s">
        <v>1702</v>
      </c>
      <c r="E415" s="550" t="s">
        <v>327</v>
      </c>
      <c r="F415" s="550" t="s">
        <v>11</v>
      </c>
      <c r="G415" s="552">
        <v>1100</v>
      </c>
      <c r="H415" s="552"/>
      <c r="I415" s="548">
        <v>13016</v>
      </c>
      <c r="J415" s="548">
        <v>4920</v>
      </c>
      <c r="K415" s="552">
        <v>0</v>
      </c>
      <c r="L415" s="574">
        <v>4920</v>
      </c>
      <c r="M415" s="548">
        <v>8096</v>
      </c>
    </row>
    <row r="416" spans="1:13" ht="15.95" customHeight="1">
      <c r="A416" s="547"/>
      <c r="B416" s="550" t="s">
        <v>4031</v>
      </c>
      <c r="C416" s="550" t="s">
        <v>4032</v>
      </c>
      <c r="D416" s="550" t="s">
        <v>4033</v>
      </c>
      <c r="E416" s="550" t="s">
        <v>903</v>
      </c>
      <c r="F416" s="550" t="s">
        <v>18</v>
      </c>
      <c r="G416" s="552">
        <v>487253</v>
      </c>
      <c r="H416" s="552">
        <v>5</v>
      </c>
      <c r="I416" s="548">
        <v>0</v>
      </c>
      <c r="J416" s="548">
        <v>5</v>
      </c>
      <c r="K416" s="552">
        <v>0</v>
      </c>
      <c r="L416" s="574">
        <v>5</v>
      </c>
      <c r="M416" s="548">
        <v>0</v>
      </c>
    </row>
    <row r="417" spans="1:13" ht="15.95" customHeight="1">
      <c r="A417" s="547"/>
      <c r="B417" s="550" t="s">
        <v>4035</v>
      </c>
      <c r="C417" s="550" t="s">
        <v>989</v>
      </c>
      <c r="D417" s="550" t="s">
        <v>4036</v>
      </c>
      <c r="E417" s="550" t="s">
        <v>6301</v>
      </c>
      <c r="F417" s="550" t="s">
        <v>12</v>
      </c>
      <c r="G417" s="552">
        <v>4275</v>
      </c>
      <c r="H417" s="552"/>
      <c r="I417" s="548">
        <v>1000</v>
      </c>
      <c r="J417" s="548">
        <v>0</v>
      </c>
      <c r="K417" s="552">
        <v>0</v>
      </c>
      <c r="L417" s="574">
        <v>0</v>
      </c>
      <c r="M417" s="548">
        <v>1000</v>
      </c>
    </row>
    <row r="418" spans="1:13" ht="15.95" customHeight="1">
      <c r="A418" s="547"/>
      <c r="B418" s="550" t="s">
        <v>4670</v>
      </c>
      <c r="C418" s="550" t="s">
        <v>99</v>
      </c>
      <c r="D418" s="550" t="s">
        <v>100</v>
      </c>
      <c r="E418" s="550" t="s">
        <v>101</v>
      </c>
      <c r="F418" s="550" t="s">
        <v>10</v>
      </c>
      <c r="G418" s="552">
        <v>840</v>
      </c>
      <c r="H418" s="552">
        <v>79</v>
      </c>
      <c r="I418" s="548">
        <v>0</v>
      </c>
      <c r="J418" s="548">
        <v>79</v>
      </c>
      <c r="K418" s="552">
        <v>0</v>
      </c>
      <c r="L418" s="574">
        <v>79</v>
      </c>
      <c r="M418" s="548">
        <v>0</v>
      </c>
    </row>
    <row r="419" spans="1:13" ht="15.95" customHeight="1">
      <c r="A419" s="547"/>
      <c r="B419" s="550" t="s">
        <v>7907</v>
      </c>
      <c r="C419" s="550" t="s">
        <v>7909</v>
      </c>
      <c r="D419" s="550" t="s">
        <v>736</v>
      </c>
      <c r="E419" s="550" t="s">
        <v>7908</v>
      </c>
      <c r="F419" s="550" t="s">
        <v>12</v>
      </c>
      <c r="G419" s="552">
        <v>2540</v>
      </c>
      <c r="H419" s="552"/>
      <c r="I419" s="548">
        <v>2490</v>
      </c>
      <c r="J419" s="548">
        <v>2490</v>
      </c>
      <c r="K419" s="552">
        <v>2490</v>
      </c>
      <c r="L419" s="574">
        <v>0</v>
      </c>
      <c r="M419" s="548">
        <v>0</v>
      </c>
    </row>
    <row r="420" spans="1:13" ht="15.95" customHeight="1">
      <c r="A420" s="547"/>
      <c r="B420" s="550" t="s">
        <v>6431</v>
      </c>
      <c r="C420" s="550" t="s">
        <v>6432</v>
      </c>
      <c r="D420" s="550" t="s">
        <v>611</v>
      </c>
      <c r="E420" s="550" t="s">
        <v>291</v>
      </c>
      <c r="F420" s="550" t="s">
        <v>11</v>
      </c>
      <c r="G420" s="552">
        <v>8225</v>
      </c>
      <c r="H420" s="552"/>
      <c r="I420" s="548">
        <v>2996</v>
      </c>
      <c r="J420" s="548">
        <v>2916</v>
      </c>
      <c r="K420" s="552">
        <v>31</v>
      </c>
      <c r="L420" s="574">
        <v>2885</v>
      </c>
      <c r="M420" s="548">
        <v>80</v>
      </c>
    </row>
    <row r="421" spans="1:13" ht="15.95" customHeight="1">
      <c r="A421" s="547"/>
      <c r="B421" s="550" t="s">
        <v>4849</v>
      </c>
      <c r="C421" s="550" t="s">
        <v>4850</v>
      </c>
      <c r="D421" s="550" t="s">
        <v>506</v>
      </c>
      <c r="E421" s="550" t="s">
        <v>258</v>
      </c>
      <c r="F421" s="550" t="s">
        <v>14</v>
      </c>
      <c r="G421" s="552">
        <v>7849</v>
      </c>
      <c r="H421" s="552">
        <v>6</v>
      </c>
      <c r="I421" s="548">
        <v>0</v>
      </c>
      <c r="J421" s="548">
        <v>6</v>
      </c>
      <c r="K421" s="552">
        <v>6</v>
      </c>
      <c r="L421" s="574">
        <v>0</v>
      </c>
      <c r="M421" s="548">
        <v>0</v>
      </c>
    </row>
    <row r="422" spans="1:13" ht="15.95" customHeight="1">
      <c r="A422" s="547"/>
      <c r="B422" s="550" t="s">
        <v>4038</v>
      </c>
      <c r="C422" s="550" t="s">
        <v>1486</v>
      </c>
      <c r="D422" s="550" t="s">
        <v>1109</v>
      </c>
      <c r="E422" s="550" t="s">
        <v>310</v>
      </c>
      <c r="F422" s="550" t="s">
        <v>10</v>
      </c>
      <c r="G422" s="552">
        <v>9000</v>
      </c>
      <c r="H422" s="552">
        <v>6</v>
      </c>
      <c r="I422" s="548">
        <v>0</v>
      </c>
      <c r="J422" s="548">
        <v>6</v>
      </c>
      <c r="K422" s="552">
        <v>0</v>
      </c>
      <c r="L422" s="574">
        <v>6</v>
      </c>
      <c r="M422" s="548">
        <v>0</v>
      </c>
    </row>
    <row r="423" spans="1:13" ht="15.95" customHeight="1">
      <c r="A423" s="547"/>
      <c r="B423" s="550" t="s">
        <v>4038</v>
      </c>
      <c r="C423" s="550" t="s">
        <v>1486</v>
      </c>
      <c r="D423" s="550" t="s">
        <v>1109</v>
      </c>
      <c r="E423" s="550" t="s">
        <v>4040</v>
      </c>
      <c r="F423" s="550" t="s">
        <v>11</v>
      </c>
      <c r="G423" s="552">
        <v>9500</v>
      </c>
      <c r="H423" s="552">
        <v>134</v>
      </c>
      <c r="I423" s="548">
        <v>0</v>
      </c>
      <c r="J423" s="548">
        <v>16</v>
      </c>
      <c r="K423" s="552">
        <v>1</v>
      </c>
      <c r="L423" s="574">
        <v>15</v>
      </c>
      <c r="M423" s="548">
        <v>118</v>
      </c>
    </row>
    <row r="424" spans="1:13" ht="15.95" customHeight="1">
      <c r="A424" s="547"/>
      <c r="B424" s="550" t="s">
        <v>4038</v>
      </c>
      <c r="C424" s="550" t="s">
        <v>1486</v>
      </c>
      <c r="D424" s="550" t="s">
        <v>1109</v>
      </c>
      <c r="E424" s="550" t="s">
        <v>4040</v>
      </c>
      <c r="F424" s="550" t="s">
        <v>11</v>
      </c>
      <c r="G424" s="552">
        <v>9500</v>
      </c>
      <c r="H424" s="552"/>
      <c r="I424" s="548">
        <v>7588</v>
      </c>
      <c r="J424" s="548">
        <v>3456</v>
      </c>
      <c r="K424" s="552">
        <v>0</v>
      </c>
      <c r="L424" s="574">
        <v>3456</v>
      </c>
      <c r="M424" s="548">
        <v>4132</v>
      </c>
    </row>
    <row r="425" spans="1:13" ht="15.95" customHeight="1">
      <c r="A425" s="547"/>
      <c r="B425" s="550" t="s">
        <v>4042</v>
      </c>
      <c r="C425" s="550" t="s">
        <v>961</v>
      </c>
      <c r="D425" s="550" t="s">
        <v>4043</v>
      </c>
      <c r="E425" s="550" t="s">
        <v>962</v>
      </c>
      <c r="F425" s="550" t="s">
        <v>12</v>
      </c>
      <c r="G425" s="552">
        <v>3053</v>
      </c>
      <c r="H425" s="552">
        <v>1033</v>
      </c>
      <c r="I425" s="548">
        <v>0</v>
      </c>
      <c r="J425" s="548">
        <v>1033</v>
      </c>
      <c r="K425" s="552">
        <v>0</v>
      </c>
      <c r="L425" s="574">
        <v>1033</v>
      </c>
      <c r="M425" s="548">
        <v>0</v>
      </c>
    </row>
    <row r="426" spans="1:13" ht="15.95" customHeight="1">
      <c r="A426" s="547"/>
      <c r="B426" s="550" t="s">
        <v>4045</v>
      </c>
      <c r="C426" s="550" t="s">
        <v>1983</v>
      </c>
      <c r="D426" s="550" t="s">
        <v>1982</v>
      </c>
      <c r="E426" s="550" t="s">
        <v>1984</v>
      </c>
      <c r="F426" s="550" t="s">
        <v>12</v>
      </c>
      <c r="G426" s="552">
        <v>2394</v>
      </c>
      <c r="H426" s="552"/>
      <c r="I426" s="548">
        <v>10307</v>
      </c>
      <c r="J426" s="548">
        <v>7399</v>
      </c>
      <c r="K426" s="552">
        <v>6679</v>
      </c>
      <c r="L426" s="574">
        <v>720</v>
      </c>
      <c r="M426" s="548">
        <v>2908</v>
      </c>
    </row>
    <row r="427" spans="1:13" ht="15.95" customHeight="1">
      <c r="A427" s="547"/>
      <c r="B427" s="550" t="s">
        <v>4046</v>
      </c>
      <c r="C427" s="550" t="s">
        <v>4047</v>
      </c>
      <c r="D427" s="550" t="s">
        <v>736</v>
      </c>
      <c r="E427" s="550" t="s">
        <v>4048</v>
      </c>
      <c r="F427" s="550" t="s">
        <v>12</v>
      </c>
      <c r="G427" s="552">
        <v>2900</v>
      </c>
      <c r="H427" s="552">
        <v>4726</v>
      </c>
      <c r="I427" s="548">
        <v>26</v>
      </c>
      <c r="J427" s="548">
        <v>4749</v>
      </c>
      <c r="K427" s="552">
        <v>3603</v>
      </c>
      <c r="L427" s="574">
        <v>1146</v>
      </c>
      <c r="M427" s="548">
        <v>3</v>
      </c>
    </row>
    <row r="428" spans="1:13" ht="15.95" customHeight="1">
      <c r="A428" s="547"/>
      <c r="B428" s="550" t="s">
        <v>4050</v>
      </c>
      <c r="C428" s="550" t="s">
        <v>4051</v>
      </c>
      <c r="D428" s="550" t="s">
        <v>2513</v>
      </c>
      <c r="E428" s="550" t="s">
        <v>4052</v>
      </c>
      <c r="F428" s="550" t="s">
        <v>891</v>
      </c>
      <c r="G428" s="552">
        <v>94999</v>
      </c>
      <c r="H428" s="552">
        <v>11</v>
      </c>
      <c r="I428" s="548">
        <v>0</v>
      </c>
      <c r="J428" s="548">
        <v>11</v>
      </c>
      <c r="K428" s="552">
        <v>11</v>
      </c>
      <c r="L428" s="574">
        <v>0</v>
      </c>
      <c r="M428" s="548">
        <v>0</v>
      </c>
    </row>
    <row r="429" spans="1:13" ht="15.95" customHeight="1">
      <c r="A429" s="547"/>
      <c r="B429" s="550" t="s">
        <v>4050</v>
      </c>
      <c r="C429" s="550" t="s">
        <v>4051</v>
      </c>
      <c r="D429" s="550" t="s">
        <v>2513</v>
      </c>
      <c r="E429" s="550" t="s">
        <v>4052</v>
      </c>
      <c r="F429" s="550" t="s">
        <v>891</v>
      </c>
      <c r="G429" s="552">
        <v>94999</v>
      </c>
      <c r="H429" s="552"/>
      <c r="I429" s="548">
        <v>12</v>
      </c>
      <c r="J429" s="548">
        <v>12</v>
      </c>
      <c r="K429" s="552">
        <v>12</v>
      </c>
      <c r="L429" s="574">
        <v>0</v>
      </c>
      <c r="M429" s="548">
        <v>0</v>
      </c>
    </row>
    <row r="430" spans="1:13" ht="15.95" customHeight="1">
      <c r="A430" s="547"/>
      <c r="B430" s="550" t="s">
        <v>4671</v>
      </c>
      <c r="C430" s="550" t="s">
        <v>104</v>
      </c>
      <c r="D430" s="550" t="s">
        <v>105</v>
      </c>
      <c r="E430" s="550" t="s">
        <v>106</v>
      </c>
      <c r="F430" s="550" t="s">
        <v>10</v>
      </c>
      <c r="G430" s="552">
        <v>2783</v>
      </c>
      <c r="H430" s="552">
        <v>3</v>
      </c>
      <c r="I430" s="548">
        <v>0</v>
      </c>
      <c r="J430" s="548">
        <v>3</v>
      </c>
      <c r="K430" s="552">
        <v>0</v>
      </c>
      <c r="L430" s="574">
        <v>3</v>
      </c>
      <c r="M430" s="548">
        <v>0</v>
      </c>
    </row>
    <row r="431" spans="1:13" ht="15.95" customHeight="1">
      <c r="A431" s="547"/>
      <c r="B431" s="550" t="s">
        <v>8790</v>
      </c>
      <c r="C431" s="550" t="s">
        <v>104</v>
      </c>
      <c r="D431" s="550" t="s">
        <v>105</v>
      </c>
      <c r="E431" s="550" t="s">
        <v>12310</v>
      </c>
      <c r="F431" s="550" t="s">
        <v>11</v>
      </c>
      <c r="G431" s="552">
        <v>2780</v>
      </c>
      <c r="H431" s="552"/>
      <c r="I431" s="548">
        <v>5000</v>
      </c>
      <c r="J431" s="548">
        <v>0</v>
      </c>
      <c r="K431" s="552">
        <v>0</v>
      </c>
      <c r="L431" s="574">
        <v>0</v>
      </c>
      <c r="M431" s="548">
        <v>5000</v>
      </c>
    </row>
    <row r="432" spans="1:13" ht="15.95" customHeight="1">
      <c r="A432" s="547"/>
      <c r="B432" s="550" t="s">
        <v>8790</v>
      </c>
      <c r="C432" s="550" t="s">
        <v>104</v>
      </c>
      <c r="D432" s="550" t="s">
        <v>105</v>
      </c>
      <c r="E432" s="550" t="s">
        <v>12310</v>
      </c>
      <c r="F432" s="550" t="s">
        <v>11</v>
      </c>
      <c r="G432" s="552">
        <v>2780</v>
      </c>
      <c r="H432" s="552"/>
      <c r="I432" s="548">
        <v>5000</v>
      </c>
      <c r="J432" s="548">
        <v>5000</v>
      </c>
      <c r="K432" s="552">
        <v>0</v>
      </c>
      <c r="L432" s="574">
        <v>5000</v>
      </c>
      <c r="M432" s="548">
        <v>0</v>
      </c>
    </row>
    <row r="433" spans="1:13" ht="15.95" customHeight="1">
      <c r="A433" s="547"/>
      <c r="B433" s="550" t="s">
        <v>4056</v>
      </c>
      <c r="C433" s="550" t="s">
        <v>4057</v>
      </c>
      <c r="D433" s="550" t="s">
        <v>3961</v>
      </c>
      <c r="E433" s="550" t="s">
        <v>3962</v>
      </c>
      <c r="F433" s="550" t="s">
        <v>11</v>
      </c>
      <c r="G433" s="552">
        <v>3238</v>
      </c>
      <c r="H433" s="552">
        <v>8</v>
      </c>
      <c r="I433" s="548">
        <v>0</v>
      </c>
      <c r="J433" s="548">
        <v>8</v>
      </c>
      <c r="K433" s="552">
        <v>0</v>
      </c>
      <c r="L433" s="574">
        <v>8</v>
      </c>
      <c r="M433" s="548">
        <v>0</v>
      </c>
    </row>
    <row r="434" spans="1:13" ht="15.95" customHeight="1">
      <c r="A434" s="547"/>
      <c r="B434" s="550" t="s">
        <v>4056</v>
      </c>
      <c r="C434" s="550" t="s">
        <v>4057</v>
      </c>
      <c r="D434" s="550" t="s">
        <v>3961</v>
      </c>
      <c r="E434" s="550" t="s">
        <v>3962</v>
      </c>
      <c r="F434" s="550" t="s">
        <v>11</v>
      </c>
      <c r="G434" s="552">
        <v>3238</v>
      </c>
      <c r="H434" s="552"/>
      <c r="I434" s="548">
        <v>1980</v>
      </c>
      <c r="J434" s="548">
        <v>152</v>
      </c>
      <c r="K434" s="552">
        <v>0</v>
      </c>
      <c r="L434" s="574">
        <v>152</v>
      </c>
      <c r="M434" s="548">
        <v>1828</v>
      </c>
    </row>
    <row r="435" spans="1:13" ht="15.95" customHeight="1">
      <c r="A435" s="547"/>
      <c r="B435" s="550" t="s">
        <v>4054</v>
      </c>
      <c r="C435" s="550" t="s">
        <v>4059</v>
      </c>
      <c r="D435" s="550" t="s">
        <v>1220</v>
      </c>
      <c r="E435" s="550" t="s">
        <v>267</v>
      </c>
      <c r="F435" s="550" t="s">
        <v>16</v>
      </c>
      <c r="G435" s="552">
        <v>2600</v>
      </c>
      <c r="H435" s="552">
        <v>6000</v>
      </c>
      <c r="I435" s="548">
        <v>0</v>
      </c>
      <c r="J435" s="548">
        <v>1694</v>
      </c>
      <c r="K435" s="552">
        <v>44</v>
      </c>
      <c r="L435" s="574">
        <v>1650</v>
      </c>
      <c r="M435" s="548">
        <v>4306</v>
      </c>
    </row>
    <row r="436" spans="1:13" ht="15.95" customHeight="1">
      <c r="A436" s="547"/>
      <c r="B436" s="550" t="s">
        <v>4063</v>
      </c>
      <c r="C436" s="550" t="s">
        <v>4064</v>
      </c>
      <c r="D436" s="550" t="s">
        <v>583</v>
      </c>
      <c r="E436" s="550" t="s">
        <v>222</v>
      </c>
      <c r="F436" s="550" t="s">
        <v>11</v>
      </c>
      <c r="G436" s="552">
        <v>245</v>
      </c>
      <c r="H436" s="552">
        <v>7594</v>
      </c>
      <c r="I436" s="548">
        <v>0</v>
      </c>
      <c r="J436" s="548">
        <v>7536</v>
      </c>
      <c r="K436" s="552">
        <v>0</v>
      </c>
      <c r="L436" s="574">
        <v>7536</v>
      </c>
      <c r="M436" s="548">
        <v>58</v>
      </c>
    </row>
    <row r="437" spans="1:13" ht="15.95" customHeight="1">
      <c r="A437" s="547"/>
      <c r="B437" s="550" t="s">
        <v>8339</v>
      </c>
      <c r="C437" s="550" t="s">
        <v>8340</v>
      </c>
      <c r="D437" s="550" t="s">
        <v>1240</v>
      </c>
      <c r="E437" s="550" t="s">
        <v>1988</v>
      </c>
      <c r="F437" s="550" t="s">
        <v>11</v>
      </c>
      <c r="G437" s="552">
        <v>2500</v>
      </c>
      <c r="H437" s="552"/>
      <c r="I437" s="548">
        <v>49980</v>
      </c>
      <c r="J437" s="548">
        <v>2644</v>
      </c>
      <c r="K437" s="552">
        <v>0</v>
      </c>
      <c r="L437" s="574">
        <v>2644</v>
      </c>
      <c r="M437" s="548">
        <v>47336</v>
      </c>
    </row>
    <row r="438" spans="1:13" ht="15.95" customHeight="1">
      <c r="A438" s="547"/>
      <c r="B438" s="550" t="s">
        <v>8339</v>
      </c>
      <c r="C438" s="550" t="s">
        <v>8340</v>
      </c>
      <c r="D438" s="550" t="s">
        <v>1240</v>
      </c>
      <c r="E438" s="550" t="s">
        <v>1988</v>
      </c>
      <c r="F438" s="550" t="s">
        <v>11</v>
      </c>
      <c r="G438" s="552">
        <v>2500</v>
      </c>
      <c r="H438" s="552">
        <v>1228</v>
      </c>
      <c r="I438" s="548">
        <v>0</v>
      </c>
      <c r="J438" s="548">
        <v>1228</v>
      </c>
      <c r="K438" s="552">
        <v>0</v>
      </c>
      <c r="L438" s="574">
        <v>1228</v>
      </c>
      <c r="M438" s="548">
        <v>0</v>
      </c>
    </row>
    <row r="439" spans="1:13" ht="15.95" customHeight="1">
      <c r="A439" s="547"/>
      <c r="B439" s="550" t="s">
        <v>8339</v>
      </c>
      <c r="C439" s="550" t="s">
        <v>8340</v>
      </c>
      <c r="D439" s="550" t="s">
        <v>1240</v>
      </c>
      <c r="E439" s="550" t="s">
        <v>1988</v>
      </c>
      <c r="F439" s="550" t="s">
        <v>11</v>
      </c>
      <c r="G439" s="552">
        <v>2500</v>
      </c>
      <c r="H439" s="552">
        <v>6480</v>
      </c>
      <c r="I439" s="548">
        <v>0</v>
      </c>
      <c r="J439" s="548">
        <v>6480</v>
      </c>
      <c r="K439" s="552">
        <v>0</v>
      </c>
      <c r="L439" s="574">
        <v>6480</v>
      </c>
      <c r="M439" s="548">
        <v>0</v>
      </c>
    </row>
    <row r="440" spans="1:13" ht="15.95" customHeight="1">
      <c r="A440" s="547"/>
      <c r="B440" s="550" t="s">
        <v>4066</v>
      </c>
      <c r="C440" s="550" t="s">
        <v>4067</v>
      </c>
      <c r="D440" s="550" t="s">
        <v>1240</v>
      </c>
      <c r="E440" s="550" t="s">
        <v>4068</v>
      </c>
      <c r="F440" s="550" t="s">
        <v>11</v>
      </c>
      <c r="G440" s="552">
        <v>2690</v>
      </c>
      <c r="H440" s="552">
        <v>30000</v>
      </c>
      <c r="I440" s="548">
        <v>0</v>
      </c>
      <c r="J440" s="548">
        <v>30000</v>
      </c>
      <c r="K440" s="552">
        <v>0</v>
      </c>
      <c r="L440" s="574">
        <v>30000</v>
      </c>
      <c r="M440" s="548">
        <v>0</v>
      </c>
    </row>
    <row r="441" spans="1:13" ht="15.95" customHeight="1">
      <c r="A441" s="547"/>
      <c r="B441" s="550" t="s">
        <v>4066</v>
      </c>
      <c r="C441" s="550" t="s">
        <v>4067</v>
      </c>
      <c r="D441" s="550" t="s">
        <v>1240</v>
      </c>
      <c r="E441" s="550" t="s">
        <v>4068</v>
      </c>
      <c r="F441" s="550" t="s">
        <v>11</v>
      </c>
      <c r="G441" s="552">
        <v>2690</v>
      </c>
      <c r="H441" s="552"/>
      <c r="I441" s="548">
        <v>20214</v>
      </c>
      <c r="J441" s="548">
        <v>11045</v>
      </c>
      <c r="K441" s="552">
        <v>302</v>
      </c>
      <c r="L441" s="574">
        <v>10743</v>
      </c>
      <c r="M441" s="548">
        <v>9169</v>
      </c>
    </row>
    <row r="442" spans="1:13" ht="15.95" customHeight="1">
      <c r="A442" s="547"/>
      <c r="B442" s="550" t="s">
        <v>4066</v>
      </c>
      <c r="C442" s="550" t="s">
        <v>4067</v>
      </c>
      <c r="D442" s="550" t="s">
        <v>1240</v>
      </c>
      <c r="E442" s="550" t="s">
        <v>4068</v>
      </c>
      <c r="F442" s="550" t="s">
        <v>11</v>
      </c>
      <c r="G442" s="552">
        <v>2690</v>
      </c>
      <c r="H442" s="552">
        <v>8121</v>
      </c>
      <c r="I442" s="548">
        <v>14</v>
      </c>
      <c r="J442" s="548">
        <v>8125</v>
      </c>
      <c r="K442" s="552">
        <v>362</v>
      </c>
      <c r="L442" s="574">
        <v>7763</v>
      </c>
      <c r="M442" s="548">
        <v>10</v>
      </c>
    </row>
    <row r="443" spans="1:13" ht="15.95" customHeight="1">
      <c r="A443" s="547"/>
      <c r="B443" s="550" t="s">
        <v>4069</v>
      </c>
      <c r="C443" s="550" t="s">
        <v>4070</v>
      </c>
      <c r="D443" s="550" t="s">
        <v>1618</v>
      </c>
      <c r="E443" s="550" t="s">
        <v>225</v>
      </c>
      <c r="F443" s="550" t="s">
        <v>11</v>
      </c>
      <c r="G443" s="552">
        <v>154</v>
      </c>
      <c r="H443" s="552">
        <v>12899</v>
      </c>
      <c r="I443" s="548">
        <v>4</v>
      </c>
      <c r="J443" s="548">
        <v>12850</v>
      </c>
      <c r="K443" s="552">
        <v>28</v>
      </c>
      <c r="L443" s="574">
        <v>12822</v>
      </c>
      <c r="M443" s="548">
        <v>53</v>
      </c>
    </row>
    <row r="444" spans="1:13" ht="15.95" customHeight="1">
      <c r="A444" s="547"/>
      <c r="B444" s="550" t="s">
        <v>4069</v>
      </c>
      <c r="C444" s="550" t="s">
        <v>4070</v>
      </c>
      <c r="D444" s="550" t="s">
        <v>1618</v>
      </c>
      <c r="E444" s="550" t="s">
        <v>225</v>
      </c>
      <c r="F444" s="550" t="s">
        <v>11</v>
      </c>
      <c r="G444" s="552">
        <v>154</v>
      </c>
      <c r="H444" s="552"/>
      <c r="I444" s="548">
        <v>30000</v>
      </c>
      <c r="J444" s="548">
        <v>30000</v>
      </c>
      <c r="K444" s="552">
        <v>0</v>
      </c>
      <c r="L444" s="574">
        <v>30000</v>
      </c>
      <c r="M444" s="548">
        <v>0</v>
      </c>
    </row>
    <row r="445" spans="1:13" ht="15.95" customHeight="1">
      <c r="A445" s="547"/>
      <c r="B445" s="550" t="s">
        <v>8486</v>
      </c>
      <c r="C445" s="550" t="s">
        <v>4070</v>
      </c>
      <c r="D445" s="550" t="s">
        <v>1618</v>
      </c>
      <c r="E445" s="550" t="s">
        <v>225</v>
      </c>
      <c r="F445" s="550" t="s">
        <v>11</v>
      </c>
      <c r="G445" s="552">
        <v>154</v>
      </c>
      <c r="H445" s="552"/>
      <c r="I445" s="548">
        <v>19980</v>
      </c>
      <c r="J445" s="548">
        <v>19980</v>
      </c>
      <c r="K445" s="552">
        <v>0</v>
      </c>
      <c r="L445" s="574">
        <v>19980</v>
      </c>
      <c r="M445" s="548">
        <v>0</v>
      </c>
    </row>
    <row r="446" spans="1:13" ht="15.95" customHeight="1">
      <c r="A446" s="547"/>
      <c r="B446" s="550" t="s">
        <v>4072</v>
      </c>
      <c r="C446" s="550" t="s">
        <v>4073</v>
      </c>
      <c r="D446" s="550" t="s">
        <v>1618</v>
      </c>
      <c r="E446" s="550" t="s">
        <v>994</v>
      </c>
      <c r="F446" s="550" t="s">
        <v>11</v>
      </c>
      <c r="G446" s="552">
        <v>204</v>
      </c>
      <c r="H446" s="552">
        <v>40845</v>
      </c>
      <c r="I446" s="548">
        <v>0</v>
      </c>
      <c r="J446" s="548">
        <v>40845</v>
      </c>
      <c r="K446" s="552">
        <v>55</v>
      </c>
      <c r="L446" s="574">
        <v>40790</v>
      </c>
      <c r="M446" s="548">
        <v>0</v>
      </c>
    </row>
    <row r="447" spans="1:13" ht="15.95" customHeight="1">
      <c r="A447" s="547"/>
      <c r="B447" s="550" t="s">
        <v>4072</v>
      </c>
      <c r="C447" s="550" t="s">
        <v>4073</v>
      </c>
      <c r="D447" s="550" t="s">
        <v>1618</v>
      </c>
      <c r="E447" s="550" t="s">
        <v>994</v>
      </c>
      <c r="F447" s="550" t="s">
        <v>11</v>
      </c>
      <c r="G447" s="552">
        <v>204</v>
      </c>
      <c r="H447" s="552"/>
      <c r="I447" s="548">
        <v>19984</v>
      </c>
      <c r="J447" s="548">
        <v>19941</v>
      </c>
      <c r="K447" s="552">
        <v>21</v>
      </c>
      <c r="L447" s="574">
        <v>19920</v>
      </c>
      <c r="M447" s="548">
        <v>43</v>
      </c>
    </row>
    <row r="448" spans="1:13" ht="15.95" customHeight="1">
      <c r="A448" s="547"/>
      <c r="B448" s="550" t="s">
        <v>4076</v>
      </c>
      <c r="C448" s="550" t="s">
        <v>4077</v>
      </c>
      <c r="D448" s="550" t="s">
        <v>513</v>
      </c>
      <c r="E448" s="550" t="s">
        <v>4078</v>
      </c>
      <c r="F448" s="550" t="s">
        <v>520</v>
      </c>
      <c r="G448" s="552">
        <v>966</v>
      </c>
      <c r="H448" s="552">
        <v>1400</v>
      </c>
      <c r="I448" s="548">
        <v>0</v>
      </c>
      <c r="J448" s="548">
        <v>559</v>
      </c>
      <c r="K448" s="552">
        <v>494</v>
      </c>
      <c r="L448" s="574">
        <v>65</v>
      </c>
      <c r="M448" s="548">
        <v>841</v>
      </c>
    </row>
    <row r="449" spans="1:13" ht="15.95" customHeight="1">
      <c r="A449" s="547"/>
      <c r="B449" s="550" t="s">
        <v>4076</v>
      </c>
      <c r="C449" s="550" t="s">
        <v>4077</v>
      </c>
      <c r="D449" s="550" t="s">
        <v>513</v>
      </c>
      <c r="E449" s="550" t="s">
        <v>4078</v>
      </c>
      <c r="F449" s="550" t="s">
        <v>520</v>
      </c>
      <c r="G449" s="552">
        <v>966</v>
      </c>
      <c r="H449" s="552">
        <v>32</v>
      </c>
      <c r="I449" s="548">
        <v>0</v>
      </c>
      <c r="J449" s="548">
        <v>32</v>
      </c>
      <c r="K449" s="552">
        <v>32</v>
      </c>
      <c r="L449" s="574">
        <v>0</v>
      </c>
      <c r="M449" s="548">
        <v>0</v>
      </c>
    </row>
    <row r="450" spans="1:13" ht="15.95" customHeight="1">
      <c r="A450" s="547"/>
      <c r="B450" s="550" t="s">
        <v>7036</v>
      </c>
      <c r="C450" s="550" t="s">
        <v>2565</v>
      </c>
      <c r="D450" s="550" t="s">
        <v>513</v>
      </c>
      <c r="E450" s="550" t="s">
        <v>7037</v>
      </c>
      <c r="F450" s="550" t="s">
        <v>15</v>
      </c>
      <c r="G450" s="552">
        <v>8190</v>
      </c>
      <c r="H450" s="552"/>
      <c r="I450" s="548">
        <v>300</v>
      </c>
      <c r="J450" s="548">
        <v>0</v>
      </c>
      <c r="K450" s="552">
        <v>0</v>
      </c>
      <c r="L450" s="574">
        <v>0</v>
      </c>
      <c r="M450" s="548">
        <v>300</v>
      </c>
    </row>
    <row r="451" spans="1:13" ht="15.95" customHeight="1">
      <c r="A451" s="547"/>
      <c r="B451" s="550" t="s">
        <v>4444</v>
      </c>
      <c r="C451" s="550" t="s">
        <v>3604</v>
      </c>
      <c r="D451" s="550" t="s">
        <v>513</v>
      </c>
      <c r="E451" s="550" t="s">
        <v>4445</v>
      </c>
      <c r="F451" s="550" t="s">
        <v>18</v>
      </c>
      <c r="G451" s="552">
        <v>8715</v>
      </c>
      <c r="H451" s="552">
        <v>200</v>
      </c>
      <c r="I451" s="548">
        <v>1</v>
      </c>
      <c r="J451" s="548">
        <v>196</v>
      </c>
      <c r="K451" s="552">
        <v>201</v>
      </c>
      <c r="L451" s="574">
        <v>-5</v>
      </c>
      <c r="M451" s="548">
        <v>5</v>
      </c>
    </row>
    <row r="452" spans="1:13" ht="15.95" customHeight="1">
      <c r="A452" s="547"/>
      <c r="B452" s="550" t="s">
        <v>4444</v>
      </c>
      <c r="C452" s="550" t="s">
        <v>3604</v>
      </c>
      <c r="D452" s="550" t="s">
        <v>513</v>
      </c>
      <c r="E452" s="550" t="s">
        <v>4445</v>
      </c>
      <c r="F452" s="550" t="s">
        <v>18</v>
      </c>
      <c r="G452" s="552">
        <v>8715</v>
      </c>
      <c r="H452" s="552">
        <v>440</v>
      </c>
      <c r="I452" s="548">
        <v>5</v>
      </c>
      <c r="J452" s="548">
        <v>252</v>
      </c>
      <c r="K452" s="552">
        <v>187</v>
      </c>
      <c r="L452" s="574">
        <v>65</v>
      </c>
      <c r="M452" s="548">
        <v>193</v>
      </c>
    </row>
    <row r="453" spans="1:13" ht="15.95" customHeight="1">
      <c r="A453" s="547"/>
      <c r="B453" s="550" t="s">
        <v>4082</v>
      </c>
      <c r="C453" s="550" t="s">
        <v>2494</v>
      </c>
      <c r="D453" s="550" t="s">
        <v>1618</v>
      </c>
      <c r="E453" s="550" t="s">
        <v>994</v>
      </c>
      <c r="F453" s="550" t="s">
        <v>11</v>
      </c>
      <c r="G453" s="552">
        <v>204</v>
      </c>
      <c r="H453" s="552"/>
      <c r="I453" s="548">
        <v>36000</v>
      </c>
      <c r="J453" s="548">
        <v>10400</v>
      </c>
      <c r="K453" s="552">
        <v>0</v>
      </c>
      <c r="L453" s="574">
        <v>10400</v>
      </c>
      <c r="M453" s="548">
        <v>25600</v>
      </c>
    </row>
    <row r="454" spans="1:13" ht="15.95" customHeight="1">
      <c r="A454" s="547"/>
      <c r="B454" s="550" t="s">
        <v>4083</v>
      </c>
      <c r="C454" s="550" t="s">
        <v>1892</v>
      </c>
      <c r="D454" s="550" t="s">
        <v>4084</v>
      </c>
      <c r="E454" s="550" t="s">
        <v>327</v>
      </c>
      <c r="F454" s="550" t="s">
        <v>10</v>
      </c>
      <c r="G454" s="552">
        <v>5500</v>
      </c>
      <c r="H454" s="552">
        <v>5</v>
      </c>
      <c r="I454" s="548">
        <v>0</v>
      </c>
      <c r="J454" s="548">
        <v>5</v>
      </c>
      <c r="K454" s="552">
        <v>0</v>
      </c>
      <c r="L454" s="574">
        <v>5</v>
      </c>
      <c r="M454" s="548">
        <v>0</v>
      </c>
    </row>
    <row r="455" spans="1:13" ht="15.95" customHeight="1">
      <c r="A455" s="547"/>
      <c r="B455" s="550" t="s">
        <v>4086</v>
      </c>
      <c r="C455" s="550" t="s">
        <v>732</v>
      </c>
      <c r="D455" s="550" t="s">
        <v>731</v>
      </c>
      <c r="E455" s="550" t="s">
        <v>733</v>
      </c>
      <c r="F455" s="550" t="s">
        <v>628</v>
      </c>
      <c r="G455" s="552">
        <v>72975</v>
      </c>
      <c r="H455" s="552">
        <v>10</v>
      </c>
      <c r="I455" s="548">
        <v>0</v>
      </c>
      <c r="J455" s="548">
        <v>10</v>
      </c>
      <c r="K455" s="552">
        <v>0</v>
      </c>
      <c r="L455" s="574">
        <v>10</v>
      </c>
      <c r="M455" s="548">
        <v>0</v>
      </c>
    </row>
    <row r="456" spans="1:13" ht="15.95" customHeight="1">
      <c r="A456" s="547"/>
      <c r="B456" s="550" t="s">
        <v>4088</v>
      </c>
      <c r="C456" s="550" t="s">
        <v>732</v>
      </c>
      <c r="D456" s="550" t="s">
        <v>731</v>
      </c>
      <c r="E456" s="550" t="s">
        <v>733</v>
      </c>
      <c r="F456" s="550" t="s">
        <v>628</v>
      </c>
      <c r="G456" s="552">
        <v>72975</v>
      </c>
      <c r="H456" s="552">
        <v>10</v>
      </c>
      <c r="I456" s="548">
        <v>0</v>
      </c>
      <c r="J456" s="548">
        <v>10</v>
      </c>
      <c r="K456" s="552">
        <v>0</v>
      </c>
      <c r="L456" s="574">
        <v>10</v>
      </c>
      <c r="M456" s="548">
        <v>0</v>
      </c>
    </row>
    <row r="457" spans="1:13" ht="15.95" customHeight="1">
      <c r="A457" s="547"/>
      <c r="B457" s="550" t="s">
        <v>4086</v>
      </c>
      <c r="C457" s="550" t="s">
        <v>732</v>
      </c>
      <c r="D457" s="550" t="s">
        <v>11756</v>
      </c>
      <c r="E457" s="550" t="s">
        <v>6045</v>
      </c>
      <c r="F457" s="550" t="s">
        <v>520</v>
      </c>
      <c r="G457" s="552">
        <v>80283</v>
      </c>
      <c r="H457" s="552"/>
      <c r="I457" s="548">
        <v>10</v>
      </c>
      <c r="J457" s="548">
        <v>0</v>
      </c>
      <c r="K457" s="552">
        <v>0</v>
      </c>
      <c r="L457" s="574">
        <v>0</v>
      </c>
      <c r="M457" s="548">
        <v>10</v>
      </c>
    </row>
    <row r="458" spans="1:13" ht="15.95" customHeight="1">
      <c r="A458" s="547"/>
      <c r="B458" s="550" t="s">
        <v>4090</v>
      </c>
      <c r="C458" s="550" t="s">
        <v>4091</v>
      </c>
      <c r="D458" s="550" t="s">
        <v>309</v>
      </c>
      <c r="E458" s="550" t="s">
        <v>229</v>
      </c>
      <c r="F458" s="550" t="s">
        <v>11</v>
      </c>
      <c r="G458" s="552">
        <v>2880</v>
      </c>
      <c r="H458" s="552">
        <v>21830</v>
      </c>
      <c r="I458" s="548">
        <v>0</v>
      </c>
      <c r="J458" s="548">
        <v>7148</v>
      </c>
      <c r="K458" s="552">
        <v>4</v>
      </c>
      <c r="L458" s="574">
        <v>7144</v>
      </c>
      <c r="M458" s="548">
        <v>14682</v>
      </c>
    </row>
    <row r="459" spans="1:13" ht="15.95" customHeight="1">
      <c r="A459" s="547"/>
      <c r="B459" s="550" t="s">
        <v>11759</v>
      </c>
      <c r="C459" s="550" t="s">
        <v>11760</v>
      </c>
      <c r="D459" s="550" t="s">
        <v>11761</v>
      </c>
      <c r="E459" s="550" t="s">
        <v>387</v>
      </c>
      <c r="F459" s="550" t="s">
        <v>11</v>
      </c>
      <c r="G459" s="552">
        <v>0</v>
      </c>
      <c r="H459" s="552"/>
      <c r="I459" s="548">
        <v>2002</v>
      </c>
      <c r="J459" s="548">
        <v>2002</v>
      </c>
      <c r="K459" s="552">
        <v>8</v>
      </c>
      <c r="L459" s="574">
        <v>1994</v>
      </c>
      <c r="M459" s="548">
        <v>0</v>
      </c>
    </row>
    <row r="460" spans="1:13" ht="15.95" customHeight="1">
      <c r="A460" s="547"/>
      <c r="B460" s="550" t="s">
        <v>3876</v>
      </c>
      <c r="C460" s="550" t="s">
        <v>545</v>
      </c>
      <c r="D460" s="550" t="s">
        <v>544</v>
      </c>
      <c r="E460" s="550" t="s">
        <v>546</v>
      </c>
      <c r="F460" s="550" t="s">
        <v>11</v>
      </c>
      <c r="G460" s="552">
        <v>210</v>
      </c>
      <c r="H460" s="552">
        <v>406</v>
      </c>
      <c r="I460" s="548">
        <v>0</v>
      </c>
      <c r="J460" s="548">
        <v>406</v>
      </c>
      <c r="K460" s="552">
        <v>0</v>
      </c>
      <c r="L460" s="574">
        <v>406</v>
      </c>
      <c r="M460" s="548">
        <v>0</v>
      </c>
    </row>
    <row r="461" spans="1:13" ht="15.95" customHeight="1">
      <c r="A461" s="547"/>
      <c r="B461" s="550" t="s">
        <v>4094</v>
      </c>
      <c r="C461" s="550" t="s">
        <v>1586</v>
      </c>
      <c r="D461" s="550" t="s">
        <v>1585</v>
      </c>
      <c r="E461" s="550" t="s">
        <v>1587</v>
      </c>
      <c r="F461" s="550" t="s">
        <v>13</v>
      </c>
      <c r="G461" s="552">
        <v>7900</v>
      </c>
      <c r="H461" s="552">
        <v>2539</v>
      </c>
      <c r="I461" s="548">
        <v>300</v>
      </c>
      <c r="J461" s="548">
        <v>2838</v>
      </c>
      <c r="K461" s="552">
        <v>1036</v>
      </c>
      <c r="L461" s="574">
        <v>1802</v>
      </c>
      <c r="M461" s="548">
        <v>1</v>
      </c>
    </row>
    <row r="462" spans="1:13" ht="15.95" customHeight="1">
      <c r="A462" s="547"/>
      <c r="B462" s="550" t="s">
        <v>4094</v>
      </c>
      <c r="C462" s="550" t="s">
        <v>1586</v>
      </c>
      <c r="D462" s="550" t="s">
        <v>1585</v>
      </c>
      <c r="E462" s="550" t="s">
        <v>1587</v>
      </c>
      <c r="F462" s="550" t="s">
        <v>13</v>
      </c>
      <c r="G462" s="552">
        <v>7750</v>
      </c>
      <c r="H462" s="552"/>
      <c r="I462" s="548">
        <v>1000</v>
      </c>
      <c r="J462" s="548">
        <v>0</v>
      </c>
      <c r="K462" s="552">
        <v>0</v>
      </c>
      <c r="L462" s="574">
        <v>0</v>
      </c>
      <c r="M462" s="548">
        <v>1000</v>
      </c>
    </row>
    <row r="463" spans="1:13" ht="15.95" customHeight="1">
      <c r="A463" s="547"/>
      <c r="B463" s="550" t="s">
        <v>4501</v>
      </c>
      <c r="C463" s="550" t="s">
        <v>1440</v>
      </c>
      <c r="D463" s="550" t="s">
        <v>1439</v>
      </c>
      <c r="E463" s="550" t="s">
        <v>4502</v>
      </c>
      <c r="F463" s="550" t="s">
        <v>1144</v>
      </c>
      <c r="G463" s="552">
        <v>7320</v>
      </c>
      <c r="H463" s="552">
        <v>3</v>
      </c>
      <c r="I463" s="548">
        <v>0</v>
      </c>
      <c r="J463" s="548">
        <v>3</v>
      </c>
      <c r="K463" s="552">
        <v>0</v>
      </c>
      <c r="L463" s="574">
        <v>3</v>
      </c>
      <c r="M463" s="548">
        <v>0</v>
      </c>
    </row>
    <row r="464" spans="1:13" ht="15.95" customHeight="1">
      <c r="A464" s="547"/>
      <c r="B464" s="550" t="s">
        <v>4504</v>
      </c>
      <c r="C464" s="550" t="s">
        <v>1923</v>
      </c>
      <c r="D464" s="550" t="s">
        <v>1439</v>
      </c>
      <c r="E464" s="550" t="s">
        <v>225</v>
      </c>
      <c r="F464" s="550" t="s">
        <v>11</v>
      </c>
      <c r="G464" s="552">
        <v>1197</v>
      </c>
      <c r="H464" s="552">
        <v>266</v>
      </c>
      <c r="I464" s="548">
        <v>0</v>
      </c>
      <c r="J464" s="548">
        <v>266</v>
      </c>
      <c r="K464" s="552">
        <v>0</v>
      </c>
      <c r="L464" s="574">
        <v>266</v>
      </c>
      <c r="M464" s="548">
        <v>0</v>
      </c>
    </row>
    <row r="465" spans="1:13" ht="15.95" customHeight="1">
      <c r="A465" s="547"/>
      <c r="B465" s="550" t="s">
        <v>4504</v>
      </c>
      <c r="C465" s="550" t="s">
        <v>1923</v>
      </c>
      <c r="D465" s="550" t="s">
        <v>1439</v>
      </c>
      <c r="E465" s="550" t="s">
        <v>225</v>
      </c>
      <c r="F465" s="550" t="s">
        <v>11</v>
      </c>
      <c r="G465" s="552">
        <v>1208</v>
      </c>
      <c r="H465" s="552">
        <v>400</v>
      </c>
      <c r="I465" s="548">
        <v>0</v>
      </c>
      <c r="J465" s="548">
        <v>400</v>
      </c>
      <c r="K465" s="552">
        <v>100</v>
      </c>
      <c r="L465" s="574">
        <v>300</v>
      </c>
      <c r="M465" s="548">
        <v>0</v>
      </c>
    </row>
    <row r="466" spans="1:13" ht="15.95" customHeight="1">
      <c r="A466" s="547"/>
      <c r="B466" s="550" t="s">
        <v>8358</v>
      </c>
      <c r="C466" s="550" t="s">
        <v>1471</v>
      </c>
      <c r="D466" s="550" t="s">
        <v>4993</v>
      </c>
      <c r="E466" s="550" t="s">
        <v>1472</v>
      </c>
      <c r="F466" s="550" t="s">
        <v>520</v>
      </c>
      <c r="G466" s="552">
        <v>13300</v>
      </c>
      <c r="H466" s="552"/>
      <c r="I466" s="548">
        <v>100</v>
      </c>
      <c r="J466" s="548">
        <v>100</v>
      </c>
      <c r="K466" s="552">
        <v>10</v>
      </c>
      <c r="L466" s="574">
        <v>90</v>
      </c>
      <c r="M466" s="548">
        <v>0</v>
      </c>
    </row>
    <row r="467" spans="1:13" ht="15.95" customHeight="1">
      <c r="A467" s="547"/>
      <c r="B467" s="550" t="s">
        <v>4507</v>
      </c>
      <c r="C467" s="550" t="s">
        <v>4508</v>
      </c>
      <c r="D467" s="550" t="s">
        <v>4509</v>
      </c>
      <c r="E467" s="550" t="s">
        <v>232</v>
      </c>
      <c r="F467" s="550" t="s">
        <v>10</v>
      </c>
      <c r="G467" s="552">
        <v>34350</v>
      </c>
      <c r="H467" s="552">
        <v>145</v>
      </c>
      <c r="I467" s="548">
        <v>0</v>
      </c>
      <c r="J467" s="548">
        <v>145</v>
      </c>
      <c r="K467" s="552">
        <v>0</v>
      </c>
      <c r="L467" s="574">
        <v>145</v>
      </c>
      <c r="M467" s="548">
        <v>0</v>
      </c>
    </row>
    <row r="468" spans="1:13" ht="15.95" customHeight="1">
      <c r="A468" s="547"/>
      <c r="B468" s="550" t="s">
        <v>4101</v>
      </c>
      <c r="C468" s="550" t="s">
        <v>4102</v>
      </c>
      <c r="D468" s="550" t="s">
        <v>376</v>
      </c>
      <c r="E468" s="550" t="s">
        <v>4103</v>
      </c>
      <c r="F468" s="550" t="s">
        <v>11</v>
      </c>
      <c r="G468" s="552">
        <v>3150</v>
      </c>
      <c r="H468" s="552">
        <v>1915</v>
      </c>
      <c r="I468" s="548">
        <v>1</v>
      </c>
      <c r="J468" s="548">
        <v>1898</v>
      </c>
      <c r="K468" s="552">
        <v>32</v>
      </c>
      <c r="L468" s="574">
        <v>1866</v>
      </c>
      <c r="M468" s="548">
        <v>18</v>
      </c>
    </row>
    <row r="469" spans="1:13" ht="15.95" customHeight="1">
      <c r="A469" s="547"/>
      <c r="B469" s="550" t="s">
        <v>4101</v>
      </c>
      <c r="C469" s="550" t="s">
        <v>4102</v>
      </c>
      <c r="D469" s="550" t="s">
        <v>376</v>
      </c>
      <c r="E469" s="550" t="s">
        <v>4103</v>
      </c>
      <c r="F469" s="550" t="s">
        <v>11</v>
      </c>
      <c r="G469" s="552">
        <v>3150</v>
      </c>
      <c r="H469" s="552"/>
      <c r="I469" s="548">
        <v>9000</v>
      </c>
      <c r="J469" s="548">
        <v>7094</v>
      </c>
      <c r="K469" s="552">
        <v>0</v>
      </c>
      <c r="L469" s="574">
        <v>7094</v>
      </c>
      <c r="M469" s="548">
        <v>1906</v>
      </c>
    </row>
    <row r="470" spans="1:13" ht="15.95" customHeight="1">
      <c r="A470" s="547"/>
      <c r="B470" s="550" t="s">
        <v>4101</v>
      </c>
      <c r="C470" s="550" t="s">
        <v>4102</v>
      </c>
      <c r="D470" s="550" t="s">
        <v>376</v>
      </c>
      <c r="E470" s="550" t="s">
        <v>4103</v>
      </c>
      <c r="F470" s="550" t="s">
        <v>11</v>
      </c>
      <c r="G470" s="552">
        <v>3150</v>
      </c>
      <c r="H470" s="552">
        <v>3000</v>
      </c>
      <c r="I470" s="548">
        <v>0</v>
      </c>
      <c r="J470" s="548">
        <v>3000</v>
      </c>
      <c r="K470" s="552">
        <v>0</v>
      </c>
      <c r="L470" s="574">
        <v>3000</v>
      </c>
      <c r="M470" s="548">
        <v>0</v>
      </c>
    </row>
    <row r="471" spans="1:13" ht="15.95" customHeight="1">
      <c r="A471" s="547"/>
      <c r="B471" s="550" t="s">
        <v>4101</v>
      </c>
      <c r="C471" s="550" t="s">
        <v>4102</v>
      </c>
      <c r="D471" s="550" t="s">
        <v>376</v>
      </c>
      <c r="E471" s="550" t="s">
        <v>4103</v>
      </c>
      <c r="F471" s="550" t="s">
        <v>11</v>
      </c>
      <c r="G471" s="552">
        <v>3150</v>
      </c>
      <c r="H471" s="552"/>
      <c r="I471" s="548">
        <v>29970</v>
      </c>
      <c r="J471" s="548">
        <v>29914</v>
      </c>
      <c r="K471" s="552">
        <v>0</v>
      </c>
      <c r="L471" s="574">
        <v>29914</v>
      </c>
      <c r="M471" s="548">
        <v>56</v>
      </c>
    </row>
    <row r="472" spans="1:13" ht="15.95" customHeight="1">
      <c r="A472" s="547"/>
      <c r="B472" s="550" t="s">
        <v>4511</v>
      </c>
      <c r="C472" s="550" t="s">
        <v>1192</v>
      </c>
      <c r="D472" s="550" t="s">
        <v>411</v>
      </c>
      <c r="E472" s="550" t="s">
        <v>272</v>
      </c>
      <c r="F472" s="550" t="s">
        <v>13</v>
      </c>
      <c r="G472" s="552">
        <v>536</v>
      </c>
      <c r="H472" s="552"/>
      <c r="I472" s="548">
        <v>3120</v>
      </c>
      <c r="J472" s="548">
        <v>3120</v>
      </c>
      <c r="K472" s="552">
        <v>3120</v>
      </c>
      <c r="L472" s="574">
        <v>0</v>
      </c>
      <c r="M472" s="548">
        <v>0</v>
      </c>
    </row>
    <row r="473" spans="1:13" ht="15.95" customHeight="1">
      <c r="A473" s="547"/>
      <c r="B473" s="550" t="s">
        <v>4511</v>
      </c>
      <c r="C473" s="550" t="s">
        <v>1192</v>
      </c>
      <c r="D473" s="550" t="s">
        <v>411</v>
      </c>
      <c r="E473" s="550" t="s">
        <v>272</v>
      </c>
      <c r="F473" s="550" t="s">
        <v>13</v>
      </c>
      <c r="G473" s="552">
        <v>536</v>
      </c>
      <c r="H473" s="552"/>
      <c r="I473" s="548">
        <v>3960</v>
      </c>
      <c r="J473" s="548">
        <v>3120</v>
      </c>
      <c r="K473" s="552">
        <v>3120</v>
      </c>
      <c r="L473" s="574">
        <v>0</v>
      </c>
      <c r="M473" s="548">
        <v>840</v>
      </c>
    </row>
    <row r="474" spans="1:13" ht="15.95" customHeight="1">
      <c r="A474" s="547"/>
      <c r="B474" s="550" t="s">
        <v>4511</v>
      </c>
      <c r="C474" s="550" t="s">
        <v>1192</v>
      </c>
      <c r="D474" s="550" t="s">
        <v>411</v>
      </c>
      <c r="E474" s="550" t="s">
        <v>272</v>
      </c>
      <c r="F474" s="550" t="s">
        <v>13</v>
      </c>
      <c r="G474" s="552">
        <v>536</v>
      </c>
      <c r="H474" s="552">
        <v>3360</v>
      </c>
      <c r="I474" s="548">
        <v>0</v>
      </c>
      <c r="J474" s="548">
        <v>3119</v>
      </c>
      <c r="K474" s="552">
        <v>2640</v>
      </c>
      <c r="L474" s="574">
        <v>479</v>
      </c>
      <c r="M474" s="548">
        <v>241</v>
      </c>
    </row>
    <row r="475" spans="1:13" ht="15.95" customHeight="1">
      <c r="A475" s="547"/>
      <c r="B475" s="550" t="s">
        <v>5769</v>
      </c>
      <c r="C475" s="550" t="s">
        <v>5770</v>
      </c>
      <c r="D475" s="550" t="s">
        <v>1480</v>
      </c>
      <c r="E475" s="550" t="s">
        <v>310</v>
      </c>
      <c r="F475" s="550" t="s">
        <v>11</v>
      </c>
      <c r="G475" s="552">
        <v>1100</v>
      </c>
      <c r="H475" s="552"/>
      <c r="I475" s="548">
        <v>14900</v>
      </c>
      <c r="J475" s="548">
        <v>8100</v>
      </c>
      <c r="K475" s="552">
        <v>8100</v>
      </c>
      <c r="L475" s="574">
        <v>0</v>
      </c>
      <c r="M475" s="548">
        <v>6800</v>
      </c>
    </row>
    <row r="476" spans="1:13" ht="15.95" customHeight="1">
      <c r="A476" s="547"/>
      <c r="B476" s="550" t="s">
        <v>5769</v>
      </c>
      <c r="C476" s="550" t="s">
        <v>5770</v>
      </c>
      <c r="D476" s="550" t="s">
        <v>1480</v>
      </c>
      <c r="E476" s="550" t="s">
        <v>310</v>
      </c>
      <c r="F476" s="550" t="s">
        <v>11</v>
      </c>
      <c r="G476" s="552">
        <v>1100</v>
      </c>
      <c r="H476" s="552">
        <v>2000</v>
      </c>
      <c r="I476" s="548">
        <v>0</v>
      </c>
      <c r="J476" s="548">
        <v>2000</v>
      </c>
      <c r="K476" s="552">
        <v>0</v>
      </c>
      <c r="L476" s="574">
        <v>2000</v>
      </c>
      <c r="M476" s="548">
        <v>0</v>
      </c>
    </row>
    <row r="477" spans="1:13" ht="15.95" customHeight="1">
      <c r="A477" s="547"/>
      <c r="B477" s="550" t="s">
        <v>5769</v>
      </c>
      <c r="C477" s="550" t="s">
        <v>5770</v>
      </c>
      <c r="D477" s="550" t="s">
        <v>1480</v>
      </c>
      <c r="E477" s="550" t="s">
        <v>310</v>
      </c>
      <c r="F477" s="550" t="s">
        <v>11</v>
      </c>
      <c r="G477" s="552">
        <v>1100</v>
      </c>
      <c r="H477" s="552"/>
      <c r="I477" s="548">
        <v>6200</v>
      </c>
      <c r="J477" s="548">
        <v>0</v>
      </c>
      <c r="K477" s="552">
        <v>0</v>
      </c>
      <c r="L477" s="574">
        <v>0</v>
      </c>
      <c r="M477" s="548">
        <v>6200</v>
      </c>
    </row>
    <row r="478" spans="1:13" ht="15.95" customHeight="1">
      <c r="A478" s="547"/>
      <c r="B478" s="550" t="s">
        <v>5769</v>
      </c>
      <c r="C478" s="550" t="s">
        <v>5770</v>
      </c>
      <c r="D478" s="550" t="s">
        <v>1480</v>
      </c>
      <c r="E478" s="550" t="s">
        <v>310</v>
      </c>
      <c r="F478" s="550" t="s">
        <v>11</v>
      </c>
      <c r="G478" s="552">
        <v>1100</v>
      </c>
      <c r="H478" s="552">
        <v>899</v>
      </c>
      <c r="I478" s="548">
        <v>0</v>
      </c>
      <c r="J478" s="548">
        <v>899</v>
      </c>
      <c r="K478" s="552">
        <v>0</v>
      </c>
      <c r="L478" s="574">
        <v>899</v>
      </c>
      <c r="M478" s="548">
        <v>0</v>
      </c>
    </row>
    <row r="479" spans="1:13" ht="15.95" customHeight="1">
      <c r="A479" s="547"/>
      <c r="B479" s="550" t="s">
        <v>7886</v>
      </c>
      <c r="C479" s="550" t="s">
        <v>7888</v>
      </c>
      <c r="D479" s="550" t="s">
        <v>736</v>
      </c>
      <c r="E479" s="550" t="s">
        <v>7887</v>
      </c>
      <c r="F479" s="550" t="s">
        <v>1258</v>
      </c>
      <c r="G479" s="552">
        <v>3486</v>
      </c>
      <c r="H479" s="552"/>
      <c r="I479" s="548">
        <v>4980</v>
      </c>
      <c r="J479" s="548">
        <v>4050</v>
      </c>
      <c r="K479" s="552">
        <v>4050</v>
      </c>
      <c r="L479" s="574">
        <v>0</v>
      </c>
      <c r="M479" s="548">
        <v>930</v>
      </c>
    </row>
    <row r="480" spans="1:13" ht="15.95" customHeight="1">
      <c r="A480" s="547"/>
      <c r="B480" s="550" t="s">
        <v>4672</v>
      </c>
      <c r="C480" s="550" t="s">
        <v>107</v>
      </c>
      <c r="D480" s="550" t="s">
        <v>108</v>
      </c>
      <c r="E480" s="550" t="s">
        <v>4673</v>
      </c>
      <c r="F480" s="550" t="s">
        <v>11</v>
      </c>
      <c r="G480" s="552">
        <v>830</v>
      </c>
      <c r="H480" s="552">
        <v>4</v>
      </c>
      <c r="I480" s="548">
        <v>0</v>
      </c>
      <c r="J480" s="548">
        <v>4</v>
      </c>
      <c r="K480" s="552">
        <v>0</v>
      </c>
      <c r="L480" s="574">
        <v>4</v>
      </c>
      <c r="M480" s="548">
        <v>0</v>
      </c>
    </row>
    <row r="481" spans="1:13" ht="15.95" customHeight="1">
      <c r="A481" s="547"/>
      <c r="B481" s="550" t="s">
        <v>4672</v>
      </c>
      <c r="C481" s="550" t="s">
        <v>107</v>
      </c>
      <c r="D481" s="550" t="s">
        <v>108</v>
      </c>
      <c r="E481" s="550" t="s">
        <v>4673</v>
      </c>
      <c r="F481" s="550" t="s">
        <v>11</v>
      </c>
      <c r="G481" s="552">
        <v>830</v>
      </c>
      <c r="H481" s="552">
        <v>10000</v>
      </c>
      <c r="I481" s="548">
        <v>0</v>
      </c>
      <c r="J481" s="548">
        <v>10000</v>
      </c>
      <c r="K481" s="552">
        <v>0</v>
      </c>
      <c r="L481" s="574">
        <v>10000</v>
      </c>
      <c r="M481" s="548">
        <v>0</v>
      </c>
    </row>
    <row r="482" spans="1:13" ht="15.95" customHeight="1">
      <c r="A482" s="547"/>
      <c r="B482" s="550" t="s">
        <v>4672</v>
      </c>
      <c r="C482" s="550" t="s">
        <v>107</v>
      </c>
      <c r="D482" s="550" t="s">
        <v>108</v>
      </c>
      <c r="E482" s="550" t="s">
        <v>4673</v>
      </c>
      <c r="F482" s="550" t="s">
        <v>11</v>
      </c>
      <c r="G482" s="552">
        <v>830</v>
      </c>
      <c r="H482" s="552"/>
      <c r="I482" s="548">
        <v>10000</v>
      </c>
      <c r="J482" s="548">
        <v>9996</v>
      </c>
      <c r="K482" s="552">
        <v>0</v>
      </c>
      <c r="L482" s="574">
        <v>9996</v>
      </c>
      <c r="M482" s="548">
        <v>4</v>
      </c>
    </row>
    <row r="483" spans="1:13" ht="15.95" customHeight="1">
      <c r="A483" s="547"/>
      <c r="B483" s="550" t="s">
        <v>4096</v>
      </c>
      <c r="C483" s="550" t="s">
        <v>3042</v>
      </c>
      <c r="D483" s="550" t="s">
        <v>1562</v>
      </c>
      <c r="E483" s="550" t="s">
        <v>7663</v>
      </c>
      <c r="F483" s="550" t="s">
        <v>13</v>
      </c>
      <c r="G483" s="552">
        <v>1050</v>
      </c>
      <c r="H483" s="552">
        <v>3960</v>
      </c>
      <c r="I483" s="548">
        <v>0</v>
      </c>
      <c r="J483" s="548">
        <v>3729</v>
      </c>
      <c r="K483" s="552">
        <v>3729</v>
      </c>
      <c r="L483" s="574">
        <v>0</v>
      </c>
      <c r="M483" s="548">
        <v>231</v>
      </c>
    </row>
    <row r="484" spans="1:13" ht="15.95" customHeight="1">
      <c r="A484" s="547"/>
      <c r="B484" s="550" t="s">
        <v>4096</v>
      </c>
      <c r="C484" s="550" t="s">
        <v>3042</v>
      </c>
      <c r="D484" s="550" t="s">
        <v>1562</v>
      </c>
      <c r="E484" s="550" t="s">
        <v>7663</v>
      </c>
      <c r="F484" s="550" t="s">
        <v>13</v>
      </c>
      <c r="G484" s="552">
        <v>1050</v>
      </c>
      <c r="H484" s="552"/>
      <c r="I484" s="548">
        <v>3960</v>
      </c>
      <c r="J484" s="548">
        <v>3960</v>
      </c>
      <c r="K484" s="552">
        <v>3960</v>
      </c>
      <c r="L484" s="574">
        <v>0</v>
      </c>
      <c r="M484" s="548">
        <v>0</v>
      </c>
    </row>
    <row r="485" spans="1:13" ht="15.95" customHeight="1">
      <c r="A485" s="547"/>
      <c r="B485" s="550" t="s">
        <v>4096</v>
      </c>
      <c r="C485" s="550" t="s">
        <v>3042</v>
      </c>
      <c r="D485" s="550" t="s">
        <v>1562</v>
      </c>
      <c r="E485" s="550" t="s">
        <v>7663</v>
      </c>
      <c r="F485" s="550" t="s">
        <v>13</v>
      </c>
      <c r="G485" s="552">
        <v>1050</v>
      </c>
      <c r="H485" s="552"/>
      <c r="I485" s="548">
        <v>8472</v>
      </c>
      <c r="J485" s="548">
        <v>4702</v>
      </c>
      <c r="K485" s="552">
        <v>912</v>
      </c>
      <c r="L485" s="574">
        <v>3790</v>
      </c>
      <c r="M485" s="548">
        <v>3770</v>
      </c>
    </row>
    <row r="486" spans="1:13" ht="15.95" customHeight="1">
      <c r="A486" s="547"/>
      <c r="B486" s="550" t="s">
        <v>7262</v>
      </c>
      <c r="C486" s="550" t="s">
        <v>1210</v>
      </c>
      <c r="D486" s="550" t="s">
        <v>809</v>
      </c>
      <c r="E486" s="550" t="s">
        <v>272</v>
      </c>
      <c r="F486" s="550" t="s">
        <v>13</v>
      </c>
      <c r="G486" s="552">
        <v>689</v>
      </c>
      <c r="H486" s="552"/>
      <c r="I486" s="548">
        <v>720</v>
      </c>
      <c r="J486" s="548">
        <v>720</v>
      </c>
      <c r="K486" s="552">
        <v>720</v>
      </c>
      <c r="L486" s="574">
        <v>0</v>
      </c>
      <c r="M486" s="548">
        <v>0</v>
      </c>
    </row>
    <row r="487" spans="1:13" ht="15.95" customHeight="1">
      <c r="A487" s="547"/>
      <c r="B487" s="550" t="s">
        <v>7262</v>
      </c>
      <c r="C487" s="550" t="s">
        <v>1210</v>
      </c>
      <c r="D487" s="550" t="s">
        <v>809</v>
      </c>
      <c r="E487" s="550" t="s">
        <v>272</v>
      </c>
      <c r="F487" s="550" t="s">
        <v>13</v>
      </c>
      <c r="G487" s="552">
        <v>689</v>
      </c>
      <c r="H487" s="552">
        <v>960</v>
      </c>
      <c r="I487" s="548">
        <v>0</v>
      </c>
      <c r="J487" s="548">
        <v>960</v>
      </c>
      <c r="K487" s="552">
        <v>960</v>
      </c>
      <c r="L487" s="574">
        <v>0</v>
      </c>
      <c r="M487" s="548">
        <v>0</v>
      </c>
    </row>
    <row r="488" spans="1:13" ht="15.95" customHeight="1">
      <c r="A488" s="547"/>
      <c r="B488" s="550" t="s">
        <v>7267</v>
      </c>
      <c r="C488" s="550" t="s">
        <v>7268</v>
      </c>
      <c r="D488" s="550" t="s">
        <v>809</v>
      </c>
      <c r="E488" s="550" t="s">
        <v>225</v>
      </c>
      <c r="F488" s="550" t="s">
        <v>11</v>
      </c>
      <c r="G488" s="552">
        <v>670</v>
      </c>
      <c r="H488" s="552"/>
      <c r="I488" s="548">
        <v>2100</v>
      </c>
      <c r="J488" s="548">
        <v>2100</v>
      </c>
      <c r="K488" s="552">
        <v>2100</v>
      </c>
      <c r="L488" s="574">
        <v>0</v>
      </c>
      <c r="M488" s="548">
        <v>0</v>
      </c>
    </row>
    <row r="489" spans="1:13" ht="15.95" customHeight="1">
      <c r="A489" s="547"/>
      <c r="B489" s="550" t="s">
        <v>7267</v>
      </c>
      <c r="C489" s="550" t="s">
        <v>7268</v>
      </c>
      <c r="D489" s="550" t="s">
        <v>809</v>
      </c>
      <c r="E489" s="550" t="s">
        <v>225</v>
      </c>
      <c r="F489" s="550" t="s">
        <v>11</v>
      </c>
      <c r="G489" s="552">
        <v>670</v>
      </c>
      <c r="H489" s="552">
        <v>4000</v>
      </c>
      <c r="I489" s="548">
        <v>0</v>
      </c>
      <c r="J489" s="548">
        <v>4000</v>
      </c>
      <c r="K489" s="552">
        <v>4000</v>
      </c>
      <c r="L489" s="574">
        <v>0</v>
      </c>
      <c r="M489" s="548">
        <v>0</v>
      </c>
    </row>
    <row r="490" spans="1:13" ht="15.95" customHeight="1">
      <c r="A490" s="547"/>
      <c r="B490" s="550" t="s">
        <v>7267</v>
      </c>
      <c r="C490" s="550" t="s">
        <v>7268</v>
      </c>
      <c r="D490" s="550" t="s">
        <v>809</v>
      </c>
      <c r="E490" s="550" t="s">
        <v>225</v>
      </c>
      <c r="F490" s="550" t="s">
        <v>11</v>
      </c>
      <c r="G490" s="552">
        <v>670</v>
      </c>
      <c r="H490" s="552"/>
      <c r="I490" s="548">
        <v>28000</v>
      </c>
      <c r="J490" s="548">
        <v>28000</v>
      </c>
      <c r="K490" s="552">
        <v>28000</v>
      </c>
      <c r="L490" s="574">
        <v>0</v>
      </c>
      <c r="M490" s="548">
        <v>0</v>
      </c>
    </row>
    <row r="491" spans="1:13" ht="15.95" customHeight="1">
      <c r="A491" s="547"/>
      <c r="B491" s="550" t="s">
        <v>4853</v>
      </c>
      <c r="C491" s="550" t="s">
        <v>500</v>
      </c>
      <c r="D491" s="550" t="s">
        <v>289</v>
      </c>
      <c r="E491" s="550" t="s">
        <v>291</v>
      </c>
      <c r="F491" s="550" t="s">
        <v>10</v>
      </c>
      <c r="G491" s="552">
        <v>798</v>
      </c>
      <c r="H491" s="552">
        <v>175</v>
      </c>
      <c r="I491" s="548">
        <v>10</v>
      </c>
      <c r="J491" s="548">
        <v>117</v>
      </c>
      <c r="K491" s="552">
        <v>117</v>
      </c>
      <c r="L491" s="574">
        <v>0</v>
      </c>
      <c r="M491" s="548">
        <v>68</v>
      </c>
    </row>
    <row r="492" spans="1:13" ht="15.95" customHeight="1">
      <c r="A492" s="547"/>
      <c r="B492" s="550" t="s">
        <v>4853</v>
      </c>
      <c r="C492" s="550" t="s">
        <v>500</v>
      </c>
      <c r="D492" s="550" t="s">
        <v>289</v>
      </c>
      <c r="E492" s="550" t="s">
        <v>291</v>
      </c>
      <c r="F492" s="550" t="s">
        <v>10</v>
      </c>
      <c r="G492" s="552">
        <v>798</v>
      </c>
      <c r="H492" s="552">
        <v>12423</v>
      </c>
      <c r="I492" s="548">
        <v>0</v>
      </c>
      <c r="J492" s="548">
        <v>11923</v>
      </c>
      <c r="K492" s="552">
        <v>0</v>
      </c>
      <c r="L492" s="574">
        <v>11923</v>
      </c>
      <c r="M492" s="548">
        <v>500</v>
      </c>
    </row>
    <row r="493" spans="1:13" ht="15.95" customHeight="1">
      <c r="A493" s="547"/>
      <c r="B493" s="550" t="s">
        <v>4106</v>
      </c>
      <c r="C493" s="550" t="s">
        <v>1400</v>
      </c>
      <c r="D493" s="550" t="s">
        <v>592</v>
      </c>
      <c r="E493" s="550" t="s">
        <v>235</v>
      </c>
      <c r="F493" s="550" t="s">
        <v>11</v>
      </c>
      <c r="G493" s="552">
        <v>95</v>
      </c>
      <c r="H493" s="552">
        <v>13110</v>
      </c>
      <c r="I493" s="548">
        <v>0</v>
      </c>
      <c r="J493" s="548">
        <v>12622</v>
      </c>
      <c r="K493" s="552">
        <v>112</v>
      </c>
      <c r="L493" s="574">
        <v>12510</v>
      </c>
      <c r="M493" s="548">
        <v>488</v>
      </c>
    </row>
    <row r="494" spans="1:13" ht="15.95" customHeight="1">
      <c r="A494" s="547"/>
      <c r="B494" s="550" t="s">
        <v>4106</v>
      </c>
      <c r="C494" s="550" t="s">
        <v>1400</v>
      </c>
      <c r="D494" s="550" t="s">
        <v>592</v>
      </c>
      <c r="E494" s="550" t="s">
        <v>235</v>
      </c>
      <c r="F494" s="550" t="s">
        <v>11</v>
      </c>
      <c r="G494" s="552">
        <v>95</v>
      </c>
      <c r="H494" s="552"/>
      <c r="I494" s="548">
        <v>51600</v>
      </c>
      <c r="J494" s="548">
        <v>50799</v>
      </c>
      <c r="K494" s="552">
        <v>14000</v>
      </c>
      <c r="L494" s="574">
        <v>36799</v>
      </c>
      <c r="M494" s="548">
        <v>801</v>
      </c>
    </row>
    <row r="495" spans="1:13" ht="15.95" customHeight="1">
      <c r="A495" s="547"/>
      <c r="B495" s="550" t="s">
        <v>4106</v>
      </c>
      <c r="C495" s="550" t="s">
        <v>1400</v>
      </c>
      <c r="D495" s="550" t="s">
        <v>592</v>
      </c>
      <c r="E495" s="550" t="s">
        <v>235</v>
      </c>
      <c r="F495" s="550" t="s">
        <v>11</v>
      </c>
      <c r="G495" s="552">
        <v>95</v>
      </c>
      <c r="H495" s="552">
        <v>38420</v>
      </c>
      <c r="I495" s="548">
        <v>0</v>
      </c>
      <c r="J495" s="548">
        <v>38420</v>
      </c>
      <c r="K495" s="552">
        <v>4000</v>
      </c>
      <c r="L495" s="574">
        <v>34420</v>
      </c>
      <c r="M495" s="548">
        <v>0</v>
      </c>
    </row>
    <row r="496" spans="1:13" ht="15.95" customHeight="1">
      <c r="A496" s="547"/>
      <c r="B496" s="550" t="s">
        <v>4106</v>
      </c>
      <c r="C496" s="550" t="s">
        <v>1400</v>
      </c>
      <c r="D496" s="550" t="s">
        <v>592</v>
      </c>
      <c r="E496" s="550" t="s">
        <v>235</v>
      </c>
      <c r="F496" s="550" t="s">
        <v>11</v>
      </c>
      <c r="G496" s="552">
        <v>95</v>
      </c>
      <c r="H496" s="552"/>
      <c r="I496" s="548">
        <v>20800</v>
      </c>
      <c r="J496" s="548">
        <v>20800</v>
      </c>
      <c r="K496" s="552">
        <v>10800</v>
      </c>
      <c r="L496" s="574">
        <v>10000</v>
      </c>
      <c r="M496" s="548">
        <v>0</v>
      </c>
    </row>
    <row r="497" spans="1:13" ht="15.95" customHeight="1">
      <c r="A497" s="547"/>
      <c r="B497" s="550" t="s">
        <v>4674</v>
      </c>
      <c r="C497" s="550" t="s">
        <v>4675</v>
      </c>
      <c r="D497" s="550" t="s">
        <v>111</v>
      </c>
      <c r="E497" s="550" t="s">
        <v>4676</v>
      </c>
      <c r="F497" s="550" t="s">
        <v>13</v>
      </c>
      <c r="G497" s="552">
        <v>12000</v>
      </c>
      <c r="H497" s="552"/>
      <c r="I497" s="548">
        <v>4550</v>
      </c>
      <c r="J497" s="548">
        <v>442</v>
      </c>
      <c r="K497" s="552">
        <v>0</v>
      </c>
      <c r="L497" s="574">
        <v>442</v>
      </c>
      <c r="M497" s="548">
        <v>4108</v>
      </c>
    </row>
    <row r="498" spans="1:13" ht="15.95" customHeight="1">
      <c r="A498" s="547"/>
      <c r="B498" s="550" t="s">
        <v>4674</v>
      </c>
      <c r="C498" s="550" t="s">
        <v>4675</v>
      </c>
      <c r="D498" s="550" t="s">
        <v>111</v>
      </c>
      <c r="E498" s="550" t="s">
        <v>4676</v>
      </c>
      <c r="F498" s="550" t="s">
        <v>13</v>
      </c>
      <c r="G498" s="552">
        <v>12000</v>
      </c>
      <c r="H498" s="552"/>
      <c r="I498" s="548">
        <v>2000</v>
      </c>
      <c r="J498" s="548">
        <v>0</v>
      </c>
      <c r="K498" s="552">
        <v>0</v>
      </c>
      <c r="L498" s="574">
        <v>0</v>
      </c>
      <c r="M498" s="548">
        <v>2000</v>
      </c>
    </row>
    <row r="499" spans="1:13" ht="15.95" customHeight="1">
      <c r="A499" s="547"/>
      <c r="B499" s="550" t="s">
        <v>4674</v>
      </c>
      <c r="C499" s="550" t="s">
        <v>4675</v>
      </c>
      <c r="D499" s="550" t="s">
        <v>111</v>
      </c>
      <c r="E499" s="550" t="s">
        <v>4676</v>
      </c>
      <c r="F499" s="550" t="s">
        <v>13</v>
      </c>
      <c r="G499" s="552">
        <v>12000</v>
      </c>
      <c r="H499" s="552">
        <v>1815</v>
      </c>
      <c r="I499" s="548">
        <v>0</v>
      </c>
      <c r="J499" s="548">
        <v>1815</v>
      </c>
      <c r="K499" s="552">
        <v>0</v>
      </c>
      <c r="L499" s="574">
        <v>1815</v>
      </c>
      <c r="M499" s="548">
        <v>0</v>
      </c>
    </row>
    <row r="500" spans="1:13" ht="15.95" customHeight="1">
      <c r="A500" s="547"/>
      <c r="B500" s="550" t="s">
        <v>4674</v>
      </c>
      <c r="C500" s="550" t="s">
        <v>4675</v>
      </c>
      <c r="D500" s="550" t="s">
        <v>111</v>
      </c>
      <c r="E500" s="550" t="s">
        <v>4676</v>
      </c>
      <c r="F500" s="550" t="s">
        <v>13</v>
      </c>
      <c r="G500" s="552">
        <v>12000</v>
      </c>
      <c r="H500" s="552"/>
      <c r="I500" s="548">
        <v>2000</v>
      </c>
      <c r="J500" s="548">
        <v>2000</v>
      </c>
      <c r="K500" s="552">
        <v>0</v>
      </c>
      <c r="L500" s="574">
        <v>2000</v>
      </c>
      <c r="M500" s="548">
        <v>0</v>
      </c>
    </row>
    <row r="501" spans="1:13" ht="15.95" customHeight="1">
      <c r="A501" s="547"/>
      <c r="B501" s="550" t="s">
        <v>4674</v>
      </c>
      <c r="C501" s="550" t="s">
        <v>4675</v>
      </c>
      <c r="D501" s="550" t="s">
        <v>111</v>
      </c>
      <c r="E501" s="550" t="s">
        <v>4676</v>
      </c>
      <c r="F501" s="550" t="s">
        <v>13</v>
      </c>
      <c r="G501" s="552">
        <v>12000</v>
      </c>
      <c r="H501" s="552"/>
      <c r="I501" s="548">
        <v>1450</v>
      </c>
      <c r="J501" s="548">
        <v>1450</v>
      </c>
      <c r="K501" s="552">
        <v>0</v>
      </c>
      <c r="L501" s="574">
        <v>1450</v>
      </c>
      <c r="M501" s="548">
        <v>0</v>
      </c>
    </row>
    <row r="502" spans="1:13" ht="15.95" customHeight="1">
      <c r="A502" s="547"/>
      <c r="B502" s="550" t="s">
        <v>4677</v>
      </c>
      <c r="C502" s="550" t="s">
        <v>4678</v>
      </c>
      <c r="D502" s="550" t="s">
        <v>119</v>
      </c>
      <c r="E502" s="550" t="s">
        <v>4679</v>
      </c>
      <c r="F502" s="550" t="s">
        <v>11</v>
      </c>
      <c r="G502" s="552">
        <v>175</v>
      </c>
      <c r="H502" s="552">
        <v>47800</v>
      </c>
      <c r="I502" s="548">
        <v>0</v>
      </c>
      <c r="J502" s="548">
        <v>30480</v>
      </c>
      <c r="K502" s="552">
        <v>0</v>
      </c>
      <c r="L502" s="574">
        <v>30480</v>
      </c>
      <c r="M502" s="548">
        <v>17320</v>
      </c>
    </row>
    <row r="503" spans="1:13" ht="15.95" customHeight="1">
      <c r="A503" s="547"/>
      <c r="B503" s="550" t="s">
        <v>8683</v>
      </c>
      <c r="C503" s="550" t="s">
        <v>12323</v>
      </c>
      <c r="D503" s="550" t="s">
        <v>119</v>
      </c>
      <c r="E503" s="550" t="s">
        <v>8685</v>
      </c>
      <c r="F503" s="550" t="s">
        <v>11</v>
      </c>
      <c r="G503" s="552">
        <v>4000</v>
      </c>
      <c r="H503" s="552"/>
      <c r="I503" s="548">
        <v>6000</v>
      </c>
      <c r="J503" s="548">
        <v>0</v>
      </c>
      <c r="K503" s="552">
        <v>0</v>
      </c>
      <c r="L503" s="574">
        <v>0</v>
      </c>
      <c r="M503" s="548">
        <v>6000</v>
      </c>
    </row>
    <row r="504" spans="1:13" ht="15.95" customHeight="1">
      <c r="A504" s="547"/>
      <c r="B504" s="550" t="s">
        <v>4680</v>
      </c>
      <c r="C504" s="550" t="s">
        <v>4681</v>
      </c>
      <c r="D504" s="550" t="s">
        <v>124</v>
      </c>
      <c r="E504" s="550" t="s">
        <v>4682</v>
      </c>
      <c r="F504" s="550" t="s">
        <v>15</v>
      </c>
      <c r="G504" s="552">
        <v>33075</v>
      </c>
      <c r="H504" s="552">
        <v>106</v>
      </c>
      <c r="I504" s="548">
        <v>0</v>
      </c>
      <c r="J504" s="548">
        <v>106</v>
      </c>
      <c r="K504" s="552">
        <v>34</v>
      </c>
      <c r="L504" s="574">
        <v>72</v>
      </c>
      <c r="M504" s="548">
        <v>0</v>
      </c>
    </row>
    <row r="505" spans="1:13" ht="15.95" customHeight="1">
      <c r="A505" s="547"/>
      <c r="B505" s="550" t="s">
        <v>4680</v>
      </c>
      <c r="C505" s="550" t="s">
        <v>4681</v>
      </c>
      <c r="D505" s="550" t="s">
        <v>124</v>
      </c>
      <c r="E505" s="550" t="s">
        <v>4682</v>
      </c>
      <c r="F505" s="550" t="s">
        <v>15</v>
      </c>
      <c r="G505" s="552">
        <v>33075</v>
      </c>
      <c r="H505" s="552">
        <v>380</v>
      </c>
      <c r="I505" s="548">
        <v>0</v>
      </c>
      <c r="J505" s="548">
        <v>343</v>
      </c>
      <c r="K505" s="552">
        <v>123</v>
      </c>
      <c r="L505" s="574">
        <v>220</v>
      </c>
      <c r="M505" s="548">
        <v>37</v>
      </c>
    </row>
    <row r="506" spans="1:13" ht="15.95" customHeight="1">
      <c r="A506" s="547"/>
      <c r="B506" s="550" t="s">
        <v>4680</v>
      </c>
      <c r="C506" s="550" t="s">
        <v>4681</v>
      </c>
      <c r="D506" s="550" t="s">
        <v>124</v>
      </c>
      <c r="E506" s="550" t="s">
        <v>4682</v>
      </c>
      <c r="F506" s="550" t="s">
        <v>15</v>
      </c>
      <c r="G506" s="552">
        <v>33075</v>
      </c>
      <c r="H506" s="552"/>
      <c r="I506" s="548">
        <v>800</v>
      </c>
      <c r="J506" s="548">
        <v>800</v>
      </c>
      <c r="K506" s="552">
        <v>480</v>
      </c>
      <c r="L506" s="574">
        <v>320</v>
      </c>
      <c r="M506" s="548">
        <v>0</v>
      </c>
    </row>
    <row r="507" spans="1:13" ht="15.95" customHeight="1">
      <c r="A507" s="547"/>
      <c r="B507" s="550" t="s">
        <v>4680</v>
      </c>
      <c r="C507" s="550" t="s">
        <v>4681</v>
      </c>
      <c r="D507" s="550" t="s">
        <v>124</v>
      </c>
      <c r="E507" s="550" t="s">
        <v>4682</v>
      </c>
      <c r="F507" s="550" t="s">
        <v>15</v>
      </c>
      <c r="G507" s="552">
        <v>33075</v>
      </c>
      <c r="H507" s="552"/>
      <c r="I507" s="548">
        <v>400</v>
      </c>
      <c r="J507" s="548">
        <v>400</v>
      </c>
      <c r="K507" s="552">
        <v>400</v>
      </c>
      <c r="L507" s="574">
        <v>0</v>
      </c>
      <c r="M507" s="548">
        <v>0</v>
      </c>
    </row>
    <row r="508" spans="1:13" ht="15.95" customHeight="1">
      <c r="A508" s="547"/>
      <c r="B508" s="550" t="s">
        <v>4680</v>
      </c>
      <c r="C508" s="550" t="s">
        <v>4681</v>
      </c>
      <c r="D508" s="550" t="s">
        <v>124</v>
      </c>
      <c r="E508" s="550" t="s">
        <v>4682</v>
      </c>
      <c r="F508" s="550" t="s">
        <v>15</v>
      </c>
      <c r="G508" s="552">
        <v>33075</v>
      </c>
      <c r="H508" s="552"/>
      <c r="I508" s="548">
        <v>511</v>
      </c>
      <c r="J508" s="548">
        <v>63</v>
      </c>
      <c r="K508" s="552">
        <v>55</v>
      </c>
      <c r="L508" s="574">
        <v>8</v>
      </c>
      <c r="M508" s="548">
        <v>448</v>
      </c>
    </row>
    <row r="509" spans="1:13" ht="15.95" customHeight="1">
      <c r="A509" s="547"/>
      <c r="B509" s="550" t="s">
        <v>4680</v>
      </c>
      <c r="C509" s="550" t="s">
        <v>4681</v>
      </c>
      <c r="D509" s="550" t="s">
        <v>124</v>
      </c>
      <c r="E509" s="550" t="s">
        <v>4682</v>
      </c>
      <c r="F509" s="550" t="s">
        <v>15</v>
      </c>
      <c r="G509" s="552">
        <v>33075</v>
      </c>
      <c r="H509" s="552"/>
      <c r="I509" s="548">
        <v>1000</v>
      </c>
      <c r="J509" s="548">
        <v>0</v>
      </c>
      <c r="K509" s="552">
        <v>0</v>
      </c>
      <c r="L509" s="574">
        <v>0</v>
      </c>
      <c r="M509" s="548">
        <v>1000</v>
      </c>
    </row>
    <row r="510" spans="1:13" ht="15.95" customHeight="1">
      <c r="A510" s="547"/>
      <c r="B510" s="550" t="s">
        <v>4684</v>
      </c>
      <c r="C510" s="550" t="s">
        <v>4685</v>
      </c>
      <c r="D510" s="550" t="s">
        <v>127</v>
      </c>
      <c r="E510" s="550" t="s">
        <v>4686</v>
      </c>
      <c r="F510" s="550" t="s">
        <v>11</v>
      </c>
      <c r="G510" s="552">
        <v>580</v>
      </c>
      <c r="H510" s="552">
        <v>7486</v>
      </c>
      <c r="I510" s="548">
        <v>0</v>
      </c>
      <c r="J510" s="548">
        <v>7486</v>
      </c>
      <c r="K510" s="552">
        <v>0</v>
      </c>
      <c r="L510" s="574">
        <v>7486</v>
      </c>
      <c r="M510" s="548">
        <v>0</v>
      </c>
    </row>
    <row r="511" spans="1:13" ht="15.95" customHeight="1">
      <c r="A511" s="547"/>
      <c r="B511" s="550" t="s">
        <v>4684</v>
      </c>
      <c r="C511" s="550" t="s">
        <v>4685</v>
      </c>
      <c r="D511" s="550" t="s">
        <v>127</v>
      </c>
      <c r="E511" s="550" t="s">
        <v>4686</v>
      </c>
      <c r="F511" s="550" t="s">
        <v>11</v>
      </c>
      <c r="G511" s="552">
        <v>580</v>
      </c>
      <c r="H511" s="552">
        <v>14000</v>
      </c>
      <c r="I511" s="548">
        <v>0</v>
      </c>
      <c r="J511" s="548">
        <v>14000</v>
      </c>
      <c r="K511" s="552">
        <v>0</v>
      </c>
      <c r="L511" s="574">
        <v>14000</v>
      </c>
      <c r="M511" s="548">
        <v>0</v>
      </c>
    </row>
    <row r="512" spans="1:13" ht="15.95" customHeight="1">
      <c r="A512" s="547"/>
      <c r="B512" s="550" t="s">
        <v>4687</v>
      </c>
      <c r="C512" s="550" t="s">
        <v>4688</v>
      </c>
      <c r="D512" s="550" t="s">
        <v>127</v>
      </c>
      <c r="E512" s="550" t="s">
        <v>4689</v>
      </c>
      <c r="F512" s="550" t="s">
        <v>11</v>
      </c>
      <c r="G512" s="552">
        <v>315</v>
      </c>
      <c r="H512" s="552"/>
      <c r="I512" s="548">
        <v>2200</v>
      </c>
      <c r="J512" s="548">
        <v>2200</v>
      </c>
      <c r="K512" s="552">
        <v>2200</v>
      </c>
      <c r="L512" s="574">
        <v>0</v>
      </c>
      <c r="M512" s="548">
        <v>0</v>
      </c>
    </row>
    <row r="513" spans="1:13" ht="15.95" customHeight="1">
      <c r="A513" s="547"/>
      <c r="B513" s="550" t="s">
        <v>4687</v>
      </c>
      <c r="C513" s="550" t="s">
        <v>4688</v>
      </c>
      <c r="D513" s="550" t="s">
        <v>127</v>
      </c>
      <c r="E513" s="550" t="s">
        <v>4689</v>
      </c>
      <c r="F513" s="550" t="s">
        <v>11</v>
      </c>
      <c r="G513" s="552">
        <v>315</v>
      </c>
      <c r="H513" s="552"/>
      <c r="I513" s="548">
        <v>7800</v>
      </c>
      <c r="J513" s="548">
        <v>7800</v>
      </c>
      <c r="K513" s="552">
        <v>7800</v>
      </c>
      <c r="L513" s="574">
        <v>0</v>
      </c>
      <c r="M513" s="548">
        <v>0</v>
      </c>
    </row>
    <row r="514" spans="1:13" ht="15.95" customHeight="1">
      <c r="A514" s="547"/>
      <c r="B514" s="550" t="s">
        <v>4687</v>
      </c>
      <c r="C514" s="550" t="s">
        <v>4688</v>
      </c>
      <c r="D514" s="550" t="s">
        <v>127</v>
      </c>
      <c r="E514" s="550" t="s">
        <v>4689</v>
      </c>
      <c r="F514" s="550" t="s">
        <v>11</v>
      </c>
      <c r="G514" s="552">
        <v>315</v>
      </c>
      <c r="H514" s="552"/>
      <c r="I514" s="548">
        <v>15000</v>
      </c>
      <c r="J514" s="548">
        <v>15000</v>
      </c>
      <c r="K514" s="552">
        <v>10000</v>
      </c>
      <c r="L514" s="574">
        <v>5000</v>
      </c>
      <c r="M514" s="548">
        <v>0</v>
      </c>
    </row>
    <row r="515" spans="1:13" ht="15.95" customHeight="1">
      <c r="A515" s="547"/>
      <c r="B515" s="550" t="s">
        <v>4687</v>
      </c>
      <c r="C515" s="550" t="s">
        <v>4688</v>
      </c>
      <c r="D515" s="550" t="s">
        <v>127</v>
      </c>
      <c r="E515" s="550" t="s">
        <v>4689</v>
      </c>
      <c r="F515" s="550" t="s">
        <v>11</v>
      </c>
      <c r="G515" s="552">
        <v>315</v>
      </c>
      <c r="H515" s="552">
        <v>19700</v>
      </c>
      <c r="I515" s="548">
        <v>0</v>
      </c>
      <c r="J515" s="548">
        <v>19700</v>
      </c>
      <c r="K515" s="552">
        <v>9000</v>
      </c>
      <c r="L515" s="574">
        <v>10700</v>
      </c>
      <c r="M515" s="548">
        <v>0</v>
      </c>
    </row>
    <row r="516" spans="1:13" ht="15.95" customHeight="1">
      <c r="A516" s="547"/>
      <c r="B516" s="550" t="s">
        <v>8548</v>
      </c>
      <c r="C516" s="550" t="s">
        <v>8551</v>
      </c>
      <c r="D516" s="550" t="s">
        <v>127</v>
      </c>
      <c r="E516" s="550" t="s">
        <v>12337</v>
      </c>
      <c r="F516" s="550" t="s">
        <v>11</v>
      </c>
      <c r="G516" s="552">
        <v>720</v>
      </c>
      <c r="H516" s="552"/>
      <c r="I516" s="548">
        <v>18000</v>
      </c>
      <c r="J516" s="548">
        <v>18000</v>
      </c>
      <c r="K516" s="552">
        <v>0</v>
      </c>
      <c r="L516" s="574">
        <v>18000</v>
      </c>
      <c r="M516" s="548">
        <v>0</v>
      </c>
    </row>
    <row r="517" spans="1:13" ht="15.95" customHeight="1">
      <c r="A517" s="547"/>
      <c r="B517" s="550" t="s">
        <v>8548</v>
      </c>
      <c r="C517" s="550" t="s">
        <v>8551</v>
      </c>
      <c r="D517" s="550" t="s">
        <v>127</v>
      </c>
      <c r="E517" s="550" t="s">
        <v>12337</v>
      </c>
      <c r="F517" s="550" t="s">
        <v>11</v>
      </c>
      <c r="G517" s="552">
        <v>720</v>
      </c>
      <c r="H517" s="552"/>
      <c r="I517" s="548">
        <v>2000</v>
      </c>
      <c r="J517" s="548">
        <v>2000</v>
      </c>
      <c r="K517" s="552">
        <v>0</v>
      </c>
      <c r="L517" s="574">
        <v>2000</v>
      </c>
      <c r="M517" s="548">
        <v>0</v>
      </c>
    </row>
    <row r="518" spans="1:13" ht="15.95" customHeight="1">
      <c r="A518" s="547"/>
      <c r="B518" s="550" t="s">
        <v>8554</v>
      </c>
      <c r="C518" s="550" t="s">
        <v>12340</v>
      </c>
      <c r="D518" s="550" t="s">
        <v>12341</v>
      </c>
      <c r="E518" s="550" t="s">
        <v>12342</v>
      </c>
      <c r="F518" s="550" t="s">
        <v>11</v>
      </c>
      <c r="G518" s="552">
        <v>6000</v>
      </c>
      <c r="H518" s="552"/>
      <c r="I518" s="548">
        <v>270</v>
      </c>
      <c r="J518" s="548">
        <v>0</v>
      </c>
      <c r="K518" s="552">
        <v>0</v>
      </c>
      <c r="L518" s="574">
        <v>0</v>
      </c>
      <c r="M518" s="548">
        <v>270</v>
      </c>
    </row>
    <row r="519" spans="1:13" ht="15.95" customHeight="1">
      <c r="A519" s="547"/>
      <c r="B519" s="550" t="s">
        <v>8554</v>
      </c>
      <c r="C519" s="550" t="s">
        <v>12340</v>
      </c>
      <c r="D519" s="550" t="s">
        <v>12341</v>
      </c>
      <c r="E519" s="550" t="s">
        <v>12342</v>
      </c>
      <c r="F519" s="550" t="s">
        <v>11</v>
      </c>
      <c r="G519" s="552">
        <v>6000</v>
      </c>
      <c r="H519" s="552"/>
      <c r="I519" s="548">
        <v>9720</v>
      </c>
      <c r="J519" s="548">
        <v>0</v>
      </c>
      <c r="K519" s="552">
        <v>0</v>
      </c>
      <c r="L519" s="574">
        <v>0</v>
      </c>
      <c r="M519" s="548">
        <v>9720</v>
      </c>
    </row>
    <row r="520" spans="1:13" ht="15.95" customHeight="1">
      <c r="A520" s="547"/>
      <c r="B520" s="550" t="s">
        <v>8554</v>
      </c>
      <c r="C520" s="550" t="s">
        <v>12340</v>
      </c>
      <c r="D520" s="550" t="s">
        <v>12341</v>
      </c>
      <c r="E520" s="550" t="s">
        <v>12342</v>
      </c>
      <c r="F520" s="550" t="s">
        <v>11</v>
      </c>
      <c r="G520" s="552">
        <v>6000</v>
      </c>
      <c r="H520" s="552"/>
      <c r="I520" s="548">
        <v>6000</v>
      </c>
      <c r="J520" s="548">
        <v>6000</v>
      </c>
      <c r="K520" s="552">
        <v>0</v>
      </c>
      <c r="L520" s="574">
        <v>6000</v>
      </c>
      <c r="M520" s="548">
        <v>0</v>
      </c>
    </row>
    <row r="521" spans="1:13" ht="15.95" customHeight="1">
      <c r="A521" s="547"/>
      <c r="B521" s="550" t="s">
        <v>8554</v>
      </c>
      <c r="C521" s="550" t="s">
        <v>12340</v>
      </c>
      <c r="D521" s="550" t="s">
        <v>12341</v>
      </c>
      <c r="E521" s="550" t="s">
        <v>12342</v>
      </c>
      <c r="F521" s="550" t="s">
        <v>11</v>
      </c>
      <c r="G521" s="552">
        <v>6000</v>
      </c>
      <c r="H521" s="552"/>
      <c r="I521" s="548">
        <v>4980</v>
      </c>
      <c r="J521" s="548">
        <v>4980</v>
      </c>
      <c r="K521" s="552">
        <v>0</v>
      </c>
      <c r="L521" s="574">
        <v>4980</v>
      </c>
      <c r="M521" s="548">
        <v>0</v>
      </c>
    </row>
    <row r="522" spans="1:13" ht="15.95" customHeight="1">
      <c r="A522" s="547"/>
      <c r="B522" s="550" t="s">
        <v>4690</v>
      </c>
      <c r="C522" s="550" t="s">
        <v>129</v>
      </c>
      <c r="D522" s="550" t="s">
        <v>130</v>
      </c>
      <c r="E522" s="550" t="s">
        <v>4691</v>
      </c>
      <c r="F522" s="550" t="s">
        <v>15</v>
      </c>
      <c r="G522" s="552">
        <v>44000</v>
      </c>
      <c r="H522" s="552">
        <v>162</v>
      </c>
      <c r="I522" s="548">
        <v>0</v>
      </c>
      <c r="J522" s="548">
        <v>162</v>
      </c>
      <c r="K522" s="552">
        <v>0</v>
      </c>
      <c r="L522" s="574">
        <v>162</v>
      </c>
      <c r="M522" s="548">
        <v>0</v>
      </c>
    </row>
    <row r="523" spans="1:13" ht="15.95" customHeight="1">
      <c r="A523" s="547"/>
      <c r="B523" s="550" t="s">
        <v>4690</v>
      </c>
      <c r="C523" s="550" t="s">
        <v>129</v>
      </c>
      <c r="D523" s="550" t="s">
        <v>130</v>
      </c>
      <c r="E523" s="550" t="s">
        <v>4691</v>
      </c>
      <c r="F523" s="550" t="s">
        <v>15</v>
      </c>
      <c r="G523" s="552">
        <v>44000</v>
      </c>
      <c r="H523" s="552">
        <v>50</v>
      </c>
      <c r="I523" s="548">
        <v>0</v>
      </c>
      <c r="J523" s="548">
        <v>39</v>
      </c>
      <c r="K523" s="552">
        <v>0</v>
      </c>
      <c r="L523" s="574">
        <v>39</v>
      </c>
      <c r="M523" s="548">
        <v>11</v>
      </c>
    </row>
    <row r="524" spans="1:13" ht="15.95" customHeight="1">
      <c r="A524" s="547"/>
      <c r="B524" s="550" t="s">
        <v>5019</v>
      </c>
      <c r="C524" s="550" t="s">
        <v>5020</v>
      </c>
      <c r="D524" s="550" t="s">
        <v>1550</v>
      </c>
      <c r="E524" s="550" t="s">
        <v>5021</v>
      </c>
      <c r="F524" s="550" t="s">
        <v>11</v>
      </c>
      <c r="G524" s="552">
        <v>470</v>
      </c>
      <c r="H524" s="552"/>
      <c r="I524" s="548">
        <v>1200</v>
      </c>
      <c r="J524" s="548">
        <v>1200</v>
      </c>
      <c r="K524" s="552">
        <v>1200</v>
      </c>
      <c r="L524" s="574">
        <v>0</v>
      </c>
      <c r="M524" s="548">
        <v>0</v>
      </c>
    </row>
    <row r="525" spans="1:13" ht="15.95" customHeight="1">
      <c r="A525" s="547"/>
      <c r="B525" s="550" t="s">
        <v>4109</v>
      </c>
      <c r="C525" s="550" t="s">
        <v>403</v>
      </c>
      <c r="D525" s="550" t="s">
        <v>4110</v>
      </c>
      <c r="E525" s="550" t="s">
        <v>327</v>
      </c>
      <c r="F525" s="550" t="s">
        <v>11</v>
      </c>
      <c r="G525" s="552">
        <v>102</v>
      </c>
      <c r="H525" s="552">
        <v>430</v>
      </c>
      <c r="I525" s="548">
        <v>0</v>
      </c>
      <c r="J525" s="548">
        <v>19</v>
      </c>
      <c r="K525" s="552">
        <v>19</v>
      </c>
      <c r="L525" s="574">
        <v>0</v>
      </c>
      <c r="M525" s="548">
        <v>411</v>
      </c>
    </row>
    <row r="526" spans="1:13" ht="15.95" customHeight="1">
      <c r="A526" s="547"/>
      <c r="B526" s="550" t="s">
        <v>4109</v>
      </c>
      <c r="C526" s="550" t="s">
        <v>403</v>
      </c>
      <c r="D526" s="550" t="s">
        <v>4110</v>
      </c>
      <c r="E526" s="550" t="s">
        <v>327</v>
      </c>
      <c r="F526" s="550" t="s">
        <v>11</v>
      </c>
      <c r="G526" s="552">
        <v>102</v>
      </c>
      <c r="H526" s="552"/>
      <c r="I526" s="548">
        <v>21000</v>
      </c>
      <c r="J526" s="548">
        <v>19500</v>
      </c>
      <c r="K526" s="552">
        <v>19500</v>
      </c>
      <c r="L526" s="574">
        <v>0</v>
      </c>
      <c r="M526" s="548">
        <v>1500</v>
      </c>
    </row>
    <row r="527" spans="1:13" ht="15.95" customHeight="1">
      <c r="A527" s="547"/>
      <c r="B527" s="550" t="s">
        <v>4109</v>
      </c>
      <c r="C527" s="550" t="s">
        <v>403</v>
      </c>
      <c r="D527" s="550" t="s">
        <v>4110</v>
      </c>
      <c r="E527" s="550" t="s">
        <v>327</v>
      </c>
      <c r="F527" s="550" t="s">
        <v>11</v>
      </c>
      <c r="G527" s="552">
        <v>102</v>
      </c>
      <c r="H527" s="552"/>
      <c r="I527" s="548">
        <v>17000</v>
      </c>
      <c r="J527" s="548">
        <v>17000</v>
      </c>
      <c r="K527" s="552">
        <v>17000</v>
      </c>
      <c r="L527" s="574">
        <v>0</v>
      </c>
      <c r="M527" s="548">
        <v>0</v>
      </c>
    </row>
    <row r="528" spans="1:13" ht="15.95" customHeight="1">
      <c r="A528" s="547"/>
      <c r="B528" s="550" t="s">
        <v>4855</v>
      </c>
      <c r="C528" s="550" t="s">
        <v>403</v>
      </c>
      <c r="D528" s="550" t="s">
        <v>4110</v>
      </c>
      <c r="E528" s="550" t="s">
        <v>327</v>
      </c>
      <c r="F528" s="550" t="s">
        <v>10</v>
      </c>
      <c r="G528" s="552">
        <v>95</v>
      </c>
      <c r="H528" s="552">
        <v>50000</v>
      </c>
      <c r="I528" s="548">
        <v>0</v>
      </c>
      <c r="J528" s="548">
        <v>0</v>
      </c>
      <c r="K528" s="552">
        <v>0</v>
      </c>
      <c r="L528" s="574">
        <v>0</v>
      </c>
      <c r="M528" s="548">
        <v>50000</v>
      </c>
    </row>
    <row r="529" spans="1:13" ht="15.95" customHeight="1">
      <c r="A529" s="547"/>
      <c r="B529" s="550" t="s">
        <v>4855</v>
      </c>
      <c r="C529" s="550" t="s">
        <v>403</v>
      </c>
      <c r="D529" s="550" t="s">
        <v>4110</v>
      </c>
      <c r="E529" s="550" t="s">
        <v>327</v>
      </c>
      <c r="F529" s="550" t="s">
        <v>10</v>
      </c>
      <c r="G529" s="552">
        <v>95</v>
      </c>
      <c r="H529" s="552">
        <v>28000</v>
      </c>
      <c r="I529" s="548">
        <v>0</v>
      </c>
      <c r="J529" s="548">
        <v>19578</v>
      </c>
      <c r="K529" s="552">
        <v>15000</v>
      </c>
      <c r="L529" s="574">
        <v>4578</v>
      </c>
      <c r="M529" s="548">
        <v>8422</v>
      </c>
    </row>
    <row r="530" spans="1:13" ht="15.95" customHeight="1">
      <c r="A530" s="547"/>
      <c r="B530" s="550" t="s">
        <v>4855</v>
      </c>
      <c r="C530" s="550" t="s">
        <v>403</v>
      </c>
      <c r="D530" s="550" t="s">
        <v>4110</v>
      </c>
      <c r="E530" s="550" t="s">
        <v>327</v>
      </c>
      <c r="F530" s="550" t="s">
        <v>10</v>
      </c>
      <c r="G530" s="552">
        <v>95</v>
      </c>
      <c r="H530" s="552">
        <v>1422</v>
      </c>
      <c r="I530" s="548">
        <v>0</v>
      </c>
      <c r="J530" s="548">
        <v>1422</v>
      </c>
      <c r="K530" s="552">
        <v>0</v>
      </c>
      <c r="L530" s="574">
        <v>1422</v>
      </c>
      <c r="M530" s="548">
        <v>0</v>
      </c>
    </row>
    <row r="531" spans="1:13" ht="15.95" customHeight="1">
      <c r="A531" s="547"/>
      <c r="B531" s="550" t="s">
        <v>8575</v>
      </c>
      <c r="C531" s="550" t="s">
        <v>8578</v>
      </c>
      <c r="D531" s="550" t="s">
        <v>12349</v>
      </c>
      <c r="E531" s="550" t="s">
        <v>12350</v>
      </c>
      <c r="F531" s="550" t="s">
        <v>11</v>
      </c>
      <c r="G531" s="552">
        <v>2750</v>
      </c>
      <c r="H531" s="552"/>
      <c r="I531" s="548">
        <v>5000</v>
      </c>
      <c r="J531" s="548">
        <v>5000</v>
      </c>
      <c r="K531" s="552">
        <v>0</v>
      </c>
      <c r="L531" s="574">
        <v>5000</v>
      </c>
      <c r="M531" s="548">
        <v>0</v>
      </c>
    </row>
    <row r="532" spans="1:13" ht="15.95" customHeight="1">
      <c r="A532" s="547"/>
      <c r="B532" s="550" t="s">
        <v>4857</v>
      </c>
      <c r="C532" s="550" t="s">
        <v>378</v>
      </c>
      <c r="D532" s="550" t="s">
        <v>378</v>
      </c>
      <c r="E532" s="550" t="s">
        <v>334</v>
      </c>
      <c r="F532" s="550" t="s">
        <v>10</v>
      </c>
      <c r="G532" s="552">
        <v>234</v>
      </c>
      <c r="H532" s="552">
        <v>2248</v>
      </c>
      <c r="I532" s="548">
        <v>0</v>
      </c>
      <c r="J532" s="548">
        <v>2248</v>
      </c>
      <c r="K532" s="552">
        <v>0</v>
      </c>
      <c r="L532" s="574">
        <v>2248</v>
      </c>
      <c r="M532" s="548">
        <v>0</v>
      </c>
    </row>
    <row r="533" spans="1:13" ht="15.95" customHeight="1">
      <c r="A533" s="547"/>
      <c r="B533" s="550" t="s">
        <v>4857</v>
      </c>
      <c r="C533" s="550" t="s">
        <v>378</v>
      </c>
      <c r="D533" s="550" t="s">
        <v>378</v>
      </c>
      <c r="E533" s="550" t="s">
        <v>334</v>
      </c>
      <c r="F533" s="550" t="s">
        <v>10</v>
      </c>
      <c r="G533" s="552">
        <v>234</v>
      </c>
      <c r="H533" s="552">
        <v>143</v>
      </c>
      <c r="I533" s="548">
        <v>0</v>
      </c>
      <c r="J533" s="548">
        <v>143</v>
      </c>
      <c r="K533" s="552">
        <v>0</v>
      </c>
      <c r="L533" s="574">
        <v>143</v>
      </c>
      <c r="M533" s="548">
        <v>0</v>
      </c>
    </row>
    <row r="534" spans="1:13" ht="15.95" customHeight="1">
      <c r="A534" s="547"/>
      <c r="B534" s="550" t="s">
        <v>4860</v>
      </c>
      <c r="C534" s="550" t="s">
        <v>378</v>
      </c>
      <c r="D534" s="550" t="s">
        <v>378</v>
      </c>
      <c r="E534" s="550" t="s">
        <v>334</v>
      </c>
      <c r="F534" s="550" t="s">
        <v>10</v>
      </c>
      <c r="G534" s="552">
        <v>234</v>
      </c>
      <c r="H534" s="552">
        <v>9500</v>
      </c>
      <c r="I534" s="548">
        <v>0</v>
      </c>
      <c r="J534" s="548">
        <v>5925</v>
      </c>
      <c r="K534" s="552">
        <v>4208</v>
      </c>
      <c r="L534" s="574">
        <v>1717</v>
      </c>
      <c r="M534" s="548">
        <v>3575</v>
      </c>
    </row>
    <row r="535" spans="1:13" ht="15.95" customHeight="1">
      <c r="A535" s="547"/>
      <c r="B535" s="550" t="s">
        <v>4860</v>
      </c>
      <c r="C535" s="550" t="s">
        <v>378</v>
      </c>
      <c r="D535" s="550" t="s">
        <v>378</v>
      </c>
      <c r="E535" s="550" t="s">
        <v>334</v>
      </c>
      <c r="F535" s="550" t="s">
        <v>10</v>
      </c>
      <c r="G535" s="552">
        <v>234</v>
      </c>
      <c r="H535" s="552">
        <v>40000</v>
      </c>
      <c r="I535" s="548">
        <v>0</v>
      </c>
      <c r="J535" s="548">
        <v>1300</v>
      </c>
      <c r="K535" s="552">
        <v>1300</v>
      </c>
      <c r="L535" s="574">
        <v>0</v>
      </c>
      <c r="M535" s="548">
        <v>38700</v>
      </c>
    </row>
    <row r="536" spans="1:13" ht="15.95" customHeight="1">
      <c r="A536" s="547"/>
      <c r="B536" s="550" t="s">
        <v>4111</v>
      </c>
      <c r="C536" s="550" t="s">
        <v>4112</v>
      </c>
      <c r="D536" s="550" t="s">
        <v>2501</v>
      </c>
      <c r="E536" s="550" t="s">
        <v>299</v>
      </c>
      <c r="F536" s="550" t="s">
        <v>11</v>
      </c>
      <c r="G536" s="552">
        <v>3150</v>
      </c>
      <c r="H536" s="552">
        <v>2576</v>
      </c>
      <c r="I536" s="548">
        <v>0</v>
      </c>
      <c r="J536" s="548">
        <v>2576</v>
      </c>
      <c r="K536" s="552">
        <v>400</v>
      </c>
      <c r="L536" s="574">
        <v>2176</v>
      </c>
      <c r="M536" s="548">
        <v>0</v>
      </c>
    </row>
    <row r="537" spans="1:13" ht="15.95" customHeight="1">
      <c r="A537" s="547"/>
      <c r="B537" s="550" t="s">
        <v>4111</v>
      </c>
      <c r="C537" s="550" t="s">
        <v>4112</v>
      </c>
      <c r="D537" s="550" t="s">
        <v>2501</v>
      </c>
      <c r="E537" s="550" t="s">
        <v>299</v>
      </c>
      <c r="F537" s="550" t="s">
        <v>11</v>
      </c>
      <c r="G537" s="552">
        <v>3150</v>
      </c>
      <c r="H537" s="552"/>
      <c r="I537" s="548">
        <v>10000</v>
      </c>
      <c r="J537" s="548">
        <v>3407</v>
      </c>
      <c r="K537" s="552">
        <v>1800</v>
      </c>
      <c r="L537" s="574">
        <v>1607</v>
      </c>
      <c r="M537" s="548">
        <v>6593</v>
      </c>
    </row>
    <row r="538" spans="1:13" ht="15.95" customHeight="1">
      <c r="A538" s="547"/>
      <c r="B538" s="550" t="s">
        <v>4111</v>
      </c>
      <c r="C538" s="550" t="s">
        <v>4112</v>
      </c>
      <c r="D538" s="550" t="s">
        <v>2501</v>
      </c>
      <c r="E538" s="550" t="s">
        <v>299</v>
      </c>
      <c r="F538" s="550" t="s">
        <v>11</v>
      </c>
      <c r="G538" s="552">
        <v>3150</v>
      </c>
      <c r="H538" s="552">
        <v>6000</v>
      </c>
      <c r="I538" s="548">
        <v>0</v>
      </c>
      <c r="J538" s="548">
        <v>6000</v>
      </c>
      <c r="K538" s="552">
        <v>2000</v>
      </c>
      <c r="L538" s="574">
        <v>4000</v>
      </c>
      <c r="M538" s="548">
        <v>0</v>
      </c>
    </row>
    <row r="539" spans="1:13" ht="15.95" customHeight="1">
      <c r="A539" s="547"/>
      <c r="B539" s="550" t="s">
        <v>4115</v>
      </c>
      <c r="C539" s="550" t="s">
        <v>2504</v>
      </c>
      <c r="D539" s="550" t="s">
        <v>2503</v>
      </c>
      <c r="E539" s="550" t="s">
        <v>327</v>
      </c>
      <c r="F539" s="550" t="s">
        <v>11</v>
      </c>
      <c r="G539" s="552">
        <v>3500</v>
      </c>
      <c r="H539" s="552">
        <v>2916</v>
      </c>
      <c r="I539" s="548">
        <v>0</v>
      </c>
      <c r="J539" s="548">
        <v>399</v>
      </c>
      <c r="K539" s="552">
        <v>0</v>
      </c>
      <c r="L539" s="574">
        <v>399</v>
      </c>
      <c r="M539" s="548">
        <v>2517</v>
      </c>
    </row>
    <row r="540" spans="1:13" ht="15.95" customHeight="1">
      <c r="A540" s="547"/>
      <c r="B540" s="550" t="s">
        <v>4115</v>
      </c>
      <c r="C540" s="550" t="s">
        <v>2504</v>
      </c>
      <c r="D540" s="550" t="s">
        <v>2503</v>
      </c>
      <c r="E540" s="550" t="s">
        <v>327</v>
      </c>
      <c r="F540" s="550" t="s">
        <v>11</v>
      </c>
      <c r="G540" s="552">
        <v>3500</v>
      </c>
      <c r="H540" s="552">
        <v>1980</v>
      </c>
      <c r="I540" s="548">
        <v>0</v>
      </c>
      <c r="J540" s="548">
        <v>0</v>
      </c>
      <c r="K540" s="552">
        <v>0</v>
      </c>
      <c r="L540" s="574">
        <v>0</v>
      </c>
      <c r="M540" s="548">
        <v>1980</v>
      </c>
    </row>
    <row r="541" spans="1:13" ht="15.95" customHeight="1">
      <c r="A541" s="547"/>
      <c r="B541" s="550" t="s">
        <v>4554</v>
      </c>
      <c r="C541" s="550" t="s">
        <v>12185</v>
      </c>
      <c r="D541" s="550" t="s">
        <v>847</v>
      </c>
      <c r="E541" s="550" t="s">
        <v>225</v>
      </c>
      <c r="F541" s="550" t="s">
        <v>10</v>
      </c>
      <c r="G541" s="552">
        <v>2510</v>
      </c>
      <c r="H541" s="552">
        <v>4992</v>
      </c>
      <c r="I541" s="548">
        <v>0</v>
      </c>
      <c r="J541" s="548">
        <v>4992</v>
      </c>
      <c r="K541" s="552">
        <v>1740</v>
      </c>
      <c r="L541" s="574">
        <v>3252</v>
      </c>
      <c r="M541" s="548">
        <v>0</v>
      </c>
    </row>
    <row r="542" spans="1:13" ht="15.95" customHeight="1">
      <c r="A542" s="547"/>
      <c r="B542" s="550" t="s">
        <v>4554</v>
      </c>
      <c r="C542" s="550" t="s">
        <v>12185</v>
      </c>
      <c r="D542" s="550" t="s">
        <v>847</v>
      </c>
      <c r="E542" s="550" t="s">
        <v>225</v>
      </c>
      <c r="F542" s="550" t="s">
        <v>10</v>
      </c>
      <c r="G542" s="552">
        <v>2510</v>
      </c>
      <c r="H542" s="552"/>
      <c r="I542" s="548">
        <v>600</v>
      </c>
      <c r="J542" s="548">
        <v>600</v>
      </c>
      <c r="K542" s="552">
        <v>0</v>
      </c>
      <c r="L542" s="574">
        <v>600</v>
      </c>
      <c r="M542" s="548">
        <v>0</v>
      </c>
    </row>
    <row r="543" spans="1:13" ht="15.95" customHeight="1">
      <c r="A543" s="547"/>
      <c r="B543" s="550" t="s">
        <v>4554</v>
      </c>
      <c r="C543" s="550" t="s">
        <v>12185</v>
      </c>
      <c r="D543" s="550" t="s">
        <v>847</v>
      </c>
      <c r="E543" s="550" t="s">
        <v>225</v>
      </c>
      <c r="F543" s="550" t="s">
        <v>10</v>
      </c>
      <c r="G543" s="552">
        <v>2510</v>
      </c>
      <c r="H543" s="552"/>
      <c r="I543" s="548">
        <v>4992</v>
      </c>
      <c r="J543" s="548">
        <v>4992</v>
      </c>
      <c r="K543" s="552">
        <v>3684</v>
      </c>
      <c r="L543" s="574">
        <v>1308</v>
      </c>
      <c r="M543" s="548">
        <v>0</v>
      </c>
    </row>
    <row r="544" spans="1:13" ht="15.95" customHeight="1">
      <c r="A544" s="547"/>
      <c r="B544" s="550" t="s">
        <v>5022</v>
      </c>
      <c r="C544" s="550" t="s">
        <v>5023</v>
      </c>
      <c r="D544" s="550" t="s">
        <v>702</v>
      </c>
      <c r="E544" s="550" t="s">
        <v>232</v>
      </c>
      <c r="F544" s="550" t="s">
        <v>11</v>
      </c>
      <c r="G544" s="552">
        <v>650</v>
      </c>
      <c r="H544" s="552"/>
      <c r="I544" s="548">
        <v>3000</v>
      </c>
      <c r="J544" s="548">
        <v>3000</v>
      </c>
      <c r="K544" s="552">
        <v>3000</v>
      </c>
      <c r="L544" s="574">
        <v>0</v>
      </c>
      <c r="M544" s="548">
        <v>0</v>
      </c>
    </row>
    <row r="545" spans="1:13" ht="15.95" customHeight="1">
      <c r="A545" s="547"/>
      <c r="B545" s="550" t="s">
        <v>6841</v>
      </c>
      <c r="C545" s="550" t="s">
        <v>6842</v>
      </c>
      <c r="D545" s="550" t="s">
        <v>1618</v>
      </c>
      <c r="E545" s="550" t="s">
        <v>994</v>
      </c>
      <c r="F545" s="550" t="s">
        <v>11</v>
      </c>
      <c r="G545" s="552">
        <v>450</v>
      </c>
      <c r="H545" s="552"/>
      <c r="I545" s="548">
        <v>26880</v>
      </c>
      <c r="J545" s="548">
        <v>6879</v>
      </c>
      <c r="K545" s="552">
        <v>57</v>
      </c>
      <c r="L545" s="574">
        <v>6822</v>
      </c>
      <c r="M545" s="548">
        <v>20001</v>
      </c>
    </row>
    <row r="546" spans="1:13" ht="15.95" customHeight="1">
      <c r="A546" s="547"/>
      <c r="B546" s="550" t="s">
        <v>6841</v>
      </c>
      <c r="C546" s="550" t="s">
        <v>6842</v>
      </c>
      <c r="D546" s="550" t="s">
        <v>1618</v>
      </c>
      <c r="E546" s="550" t="s">
        <v>994</v>
      </c>
      <c r="F546" s="550" t="s">
        <v>11</v>
      </c>
      <c r="G546" s="552">
        <v>450</v>
      </c>
      <c r="H546" s="552"/>
      <c r="I546" s="548">
        <v>23072</v>
      </c>
      <c r="J546" s="548">
        <v>0</v>
      </c>
      <c r="K546" s="552">
        <v>0</v>
      </c>
      <c r="L546" s="574">
        <v>0</v>
      </c>
      <c r="M546" s="548">
        <v>23072</v>
      </c>
    </row>
    <row r="547" spans="1:13" ht="15.95" customHeight="1">
      <c r="A547" s="547"/>
      <c r="B547" s="550" t="s">
        <v>7317</v>
      </c>
      <c r="C547" s="550" t="s">
        <v>7318</v>
      </c>
      <c r="D547" s="550" t="s">
        <v>813</v>
      </c>
      <c r="E547" s="550" t="s">
        <v>299</v>
      </c>
      <c r="F547" s="550" t="s">
        <v>11</v>
      </c>
      <c r="G547" s="552">
        <v>10500</v>
      </c>
      <c r="H547" s="552"/>
      <c r="I547" s="548">
        <v>6000</v>
      </c>
      <c r="J547" s="548">
        <v>3390</v>
      </c>
      <c r="K547" s="552">
        <v>0</v>
      </c>
      <c r="L547" s="574">
        <v>3390</v>
      </c>
      <c r="M547" s="548">
        <v>2610</v>
      </c>
    </row>
    <row r="548" spans="1:13" ht="15.95" customHeight="1">
      <c r="A548" s="547"/>
      <c r="B548" s="550" t="s">
        <v>8287</v>
      </c>
      <c r="C548" s="550" t="s">
        <v>8288</v>
      </c>
      <c r="D548" s="550" t="s">
        <v>555</v>
      </c>
      <c r="E548" s="550" t="s">
        <v>232</v>
      </c>
      <c r="F548" s="550" t="s">
        <v>11</v>
      </c>
      <c r="G548" s="552">
        <v>3300</v>
      </c>
      <c r="H548" s="552"/>
      <c r="I548" s="548">
        <v>11000</v>
      </c>
      <c r="J548" s="548">
        <v>607</v>
      </c>
      <c r="K548" s="552">
        <v>0</v>
      </c>
      <c r="L548" s="574">
        <v>607</v>
      </c>
      <c r="M548" s="548">
        <v>10393</v>
      </c>
    </row>
    <row r="549" spans="1:13" ht="15.95" customHeight="1">
      <c r="A549" s="547"/>
      <c r="B549" s="550" t="s">
        <v>8287</v>
      </c>
      <c r="C549" s="550" t="s">
        <v>8288</v>
      </c>
      <c r="D549" s="550" t="s">
        <v>555</v>
      </c>
      <c r="E549" s="550" t="s">
        <v>232</v>
      </c>
      <c r="F549" s="550" t="s">
        <v>11</v>
      </c>
      <c r="G549" s="552">
        <v>3300</v>
      </c>
      <c r="H549" s="552"/>
      <c r="I549" s="548">
        <v>6990</v>
      </c>
      <c r="J549" s="548">
        <v>6990</v>
      </c>
      <c r="K549" s="552">
        <v>990</v>
      </c>
      <c r="L549" s="574">
        <v>6000</v>
      </c>
      <c r="M549" s="548">
        <v>0</v>
      </c>
    </row>
    <row r="550" spans="1:13" ht="15.95" customHeight="1">
      <c r="A550" s="547"/>
      <c r="B550" s="550" t="s">
        <v>4120</v>
      </c>
      <c r="C550" s="550" t="s">
        <v>4121</v>
      </c>
      <c r="D550" s="550" t="s">
        <v>1668</v>
      </c>
      <c r="E550" s="550" t="s">
        <v>869</v>
      </c>
      <c r="F550" s="550" t="s">
        <v>11</v>
      </c>
      <c r="G550" s="552">
        <v>4620</v>
      </c>
      <c r="H550" s="552"/>
      <c r="I550" s="548">
        <v>10000</v>
      </c>
      <c r="J550" s="548">
        <v>568</v>
      </c>
      <c r="K550" s="552">
        <v>0</v>
      </c>
      <c r="L550" s="574">
        <v>568</v>
      </c>
      <c r="M550" s="548">
        <v>9432</v>
      </c>
    </row>
    <row r="551" spans="1:13" ht="15.95" customHeight="1">
      <c r="A551" s="547"/>
      <c r="B551" s="550" t="s">
        <v>4122</v>
      </c>
      <c r="C551" s="550" t="s">
        <v>1374</v>
      </c>
      <c r="D551" s="550" t="s">
        <v>855</v>
      </c>
      <c r="E551" s="550" t="s">
        <v>641</v>
      </c>
      <c r="F551" s="550" t="s">
        <v>11</v>
      </c>
      <c r="G551" s="552">
        <v>309</v>
      </c>
      <c r="H551" s="552">
        <v>6920</v>
      </c>
      <c r="I551" s="548">
        <v>12</v>
      </c>
      <c r="J551" s="548">
        <v>5644</v>
      </c>
      <c r="K551" s="552">
        <v>644</v>
      </c>
      <c r="L551" s="574">
        <v>5000</v>
      </c>
      <c r="M551" s="548">
        <v>1288</v>
      </c>
    </row>
    <row r="552" spans="1:13" ht="15.95" customHeight="1">
      <c r="A552" s="547"/>
      <c r="B552" s="550" t="s">
        <v>4122</v>
      </c>
      <c r="C552" s="550" t="s">
        <v>1374</v>
      </c>
      <c r="D552" s="550" t="s">
        <v>855</v>
      </c>
      <c r="E552" s="550" t="s">
        <v>641</v>
      </c>
      <c r="F552" s="550" t="s">
        <v>11</v>
      </c>
      <c r="G552" s="552">
        <v>309</v>
      </c>
      <c r="H552" s="552"/>
      <c r="I552" s="548">
        <v>8000</v>
      </c>
      <c r="J552" s="548">
        <v>8000</v>
      </c>
      <c r="K552" s="552">
        <v>8000</v>
      </c>
      <c r="L552" s="574">
        <v>0</v>
      </c>
      <c r="M552" s="548">
        <v>0</v>
      </c>
    </row>
    <row r="553" spans="1:13" ht="15.95" customHeight="1">
      <c r="A553" s="547"/>
      <c r="B553" s="550" t="s">
        <v>4122</v>
      </c>
      <c r="C553" s="550" t="s">
        <v>1374</v>
      </c>
      <c r="D553" s="550" t="s">
        <v>855</v>
      </c>
      <c r="E553" s="550" t="s">
        <v>641</v>
      </c>
      <c r="F553" s="550" t="s">
        <v>11</v>
      </c>
      <c r="G553" s="552">
        <v>309</v>
      </c>
      <c r="H553" s="552"/>
      <c r="I553" s="548">
        <v>20041</v>
      </c>
      <c r="J553" s="548">
        <v>17774</v>
      </c>
      <c r="K553" s="552">
        <v>6906</v>
      </c>
      <c r="L553" s="574">
        <v>10868</v>
      </c>
      <c r="M553" s="548">
        <v>2267</v>
      </c>
    </row>
    <row r="554" spans="1:13" ht="15.95" customHeight="1">
      <c r="A554" s="547"/>
      <c r="B554" s="550" t="s">
        <v>4122</v>
      </c>
      <c r="C554" s="550" t="s">
        <v>1374</v>
      </c>
      <c r="D554" s="550" t="s">
        <v>855</v>
      </c>
      <c r="E554" s="550" t="s">
        <v>641</v>
      </c>
      <c r="F554" s="550" t="s">
        <v>11</v>
      </c>
      <c r="G554" s="552">
        <v>309</v>
      </c>
      <c r="H554" s="552"/>
      <c r="I554" s="548">
        <v>13000</v>
      </c>
      <c r="J554" s="548">
        <v>13000</v>
      </c>
      <c r="K554" s="552">
        <v>8000</v>
      </c>
      <c r="L554" s="574">
        <v>5000</v>
      </c>
      <c r="M554" s="548">
        <v>0</v>
      </c>
    </row>
    <row r="555" spans="1:13" ht="15.95" customHeight="1">
      <c r="A555" s="547"/>
      <c r="B555" s="550" t="s">
        <v>4122</v>
      </c>
      <c r="C555" s="550" t="s">
        <v>1374</v>
      </c>
      <c r="D555" s="550" t="s">
        <v>855</v>
      </c>
      <c r="E555" s="550" t="s">
        <v>641</v>
      </c>
      <c r="F555" s="550" t="s">
        <v>11</v>
      </c>
      <c r="G555" s="552">
        <v>309</v>
      </c>
      <c r="H555" s="552">
        <v>423</v>
      </c>
      <c r="I555" s="548">
        <v>3</v>
      </c>
      <c r="J555" s="548">
        <v>426</v>
      </c>
      <c r="K555" s="552">
        <v>426</v>
      </c>
      <c r="L555" s="574">
        <v>0</v>
      </c>
      <c r="M555" s="548">
        <v>0</v>
      </c>
    </row>
    <row r="556" spans="1:13" ht="15.95" customHeight="1">
      <c r="A556" s="547"/>
      <c r="B556" s="550" t="s">
        <v>4861</v>
      </c>
      <c r="C556" s="550" t="s">
        <v>393</v>
      </c>
      <c r="D556" s="550" t="s">
        <v>392</v>
      </c>
      <c r="E556" s="550" t="s">
        <v>235</v>
      </c>
      <c r="F556" s="550" t="s">
        <v>10</v>
      </c>
      <c r="G556" s="552">
        <v>131</v>
      </c>
      <c r="H556" s="552">
        <v>1</v>
      </c>
      <c r="I556" s="548">
        <v>0</v>
      </c>
      <c r="J556" s="548">
        <v>1</v>
      </c>
      <c r="K556" s="552">
        <v>1</v>
      </c>
      <c r="L556" s="574">
        <v>0</v>
      </c>
      <c r="M556" s="548">
        <v>0</v>
      </c>
    </row>
    <row r="557" spans="1:13" ht="15.95" customHeight="1">
      <c r="A557" s="547"/>
      <c r="B557" s="550" t="s">
        <v>4861</v>
      </c>
      <c r="C557" s="550" t="s">
        <v>393</v>
      </c>
      <c r="D557" s="550" t="s">
        <v>392</v>
      </c>
      <c r="E557" s="550" t="s">
        <v>235</v>
      </c>
      <c r="F557" s="550" t="s">
        <v>10</v>
      </c>
      <c r="G557" s="552">
        <v>131</v>
      </c>
      <c r="H557" s="552">
        <v>5000</v>
      </c>
      <c r="I557" s="548">
        <v>0</v>
      </c>
      <c r="J557" s="548">
        <v>5000</v>
      </c>
      <c r="K557" s="552">
        <v>2900</v>
      </c>
      <c r="L557" s="574">
        <v>2100</v>
      </c>
      <c r="M557" s="548">
        <v>0</v>
      </c>
    </row>
    <row r="558" spans="1:13" ht="15.95" customHeight="1">
      <c r="A558" s="547"/>
      <c r="B558" s="550" t="s">
        <v>4861</v>
      </c>
      <c r="C558" s="550" t="s">
        <v>393</v>
      </c>
      <c r="D558" s="550" t="s">
        <v>392</v>
      </c>
      <c r="E558" s="550" t="s">
        <v>235</v>
      </c>
      <c r="F558" s="550" t="s">
        <v>10</v>
      </c>
      <c r="G558" s="552">
        <v>131</v>
      </c>
      <c r="H558" s="552">
        <v>3900</v>
      </c>
      <c r="I558" s="548">
        <v>25</v>
      </c>
      <c r="J558" s="548">
        <v>3876</v>
      </c>
      <c r="K558" s="552">
        <v>976</v>
      </c>
      <c r="L558" s="574">
        <v>2900</v>
      </c>
      <c r="M558" s="548">
        <v>49</v>
      </c>
    </row>
    <row r="559" spans="1:13" ht="15.95" customHeight="1">
      <c r="A559" s="547"/>
      <c r="B559" s="550" t="s">
        <v>4861</v>
      </c>
      <c r="C559" s="550" t="s">
        <v>393</v>
      </c>
      <c r="D559" s="550" t="s">
        <v>392</v>
      </c>
      <c r="E559" s="550" t="s">
        <v>235</v>
      </c>
      <c r="F559" s="550" t="s">
        <v>10</v>
      </c>
      <c r="G559" s="552">
        <v>131</v>
      </c>
      <c r="H559" s="552">
        <v>50000</v>
      </c>
      <c r="I559" s="548">
        <v>234</v>
      </c>
      <c r="J559" s="548">
        <v>34066</v>
      </c>
      <c r="K559" s="552">
        <v>14819</v>
      </c>
      <c r="L559" s="574">
        <v>19247</v>
      </c>
      <c r="M559" s="548">
        <v>16168</v>
      </c>
    </row>
    <row r="560" spans="1:13" ht="15.95" customHeight="1">
      <c r="A560" s="547"/>
      <c r="B560" s="550" t="s">
        <v>4864</v>
      </c>
      <c r="C560" s="550" t="s">
        <v>383</v>
      </c>
      <c r="D560" s="550" t="s">
        <v>353</v>
      </c>
      <c r="E560" s="550" t="s">
        <v>384</v>
      </c>
      <c r="F560" s="550" t="s">
        <v>10</v>
      </c>
      <c r="G560" s="552">
        <v>120</v>
      </c>
      <c r="H560" s="552">
        <v>13000</v>
      </c>
      <c r="I560" s="548">
        <v>0</v>
      </c>
      <c r="J560" s="548">
        <v>527</v>
      </c>
      <c r="K560" s="552">
        <v>500</v>
      </c>
      <c r="L560" s="574">
        <v>27</v>
      </c>
      <c r="M560" s="548">
        <v>12473</v>
      </c>
    </row>
    <row r="561" spans="1:13" ht="15.95" customHeight="1">
      <c r="A561" s="547"/>
      <c r="B561" s="550" t="s">
        <v>4512</v>
      </c>
      <c r="C561" s="550" t="s">
        <v>1394</v>
      </c>
      <c r="D561" s="550" t="s">
        <v>1390</v>
      </c>
      <c r="E561" s="550" t="s">
        <v>1395</v>
      </c>
      <c r="F561" s="550" t="s">
        <v>11</v>
      </c>
      <c r="G561" s="552">
        <v>1740</v>
      </c>
      <c r="H561" s="552">
        <v>1</v>
      </c>
      <c r="I561" s="548">
        <v>0</v>
      </c>
      <c r="J561" s="548">
        <v>1</v>
      </c>
      <c r="K561" s="552">
        <v>0</v>
      </c>
      <c r="L561" s="574">
        <v>1</v>
      </c>
      <c r="M561" s="548">
        <v>0</v>
      </c>
    </row>
    <row r="562" spans="1:13" ht="15.95" customHeight="1">
      <c r="A562" s="547"/>
      <c r="B562" s="550" t="s">
        <v>4512</v>
      </c>
      <c r="C562" s="550" t="s">
        <v>1394</v>
      </c>
      <c r="D562" s="550" t="s">
        <v>1390</v>
      </c>
      <c r="E562" s="550" t="s">
        <v>2916</v>
      </c>
      <c r="F562" s="550" t="s">
        <v>11</v>
      </c>
      <c r="G562" s="552">
        <v>1690</v>
      </c>
      <c r="H562" s="552">
        <v>3000</v>
      </c>
      <c r="I562" s="548">
        <v>0</v>
      </c>
      <c r="J562" s="548">
        <v>3000</v>
      </c>
      <c r="K562" s="552">
        <v>3000</v>
      </c>
      <c r="L562" s="574">
        <v>0</v>
      </c>
      <c r="M562" s="548">
        <v>0</v>
      </c>
    </row>
    <row r="563" spans="1:13" ht="15.95" customHeight="1">
      <c r="A563" s="547"/>
      <c r="B563" s="550" t="s">
        <v>4512</v>
      </c>
      <c r="C563" s="550" t="s">
        <v>1394</v>
      </c>
      <c r="D563" s="550" t="s">
        <v>1390</v>
      </c>
      <c r="E563" s="550" t="s">
        <v>2916</v>
      </c>
      <c r="F563" s="550" t="s">
        <v>11</v>
      </c>
      <c r="G563" s="552">
        <v>1690</v>
      </c>
      <c r="H563" s="552"/>
      <c r="I563" s="548">
        <v>5100</v>
      </c>
      <c r="J563" s="548">
        <v>1000</v>
      </c>
      <c r="K563" s="552">
        <v>1000</v>
      </c>
      <c r="L563" s="574">
        <v>0</v>
      </c>
      <c r="M563" s="548">
        <v>4100</v>
      </c>
    </row>
    <row r="564" spans="1:13" ht="15.95" customHeight="1">
      <c r="A564" s="547"/>
      <c r="B564" s="550" t="s">
        <v>4512</v>
      </c>
      <c r="C564" s="550" t="s">
        <v>1394</v>
      </c>
      <c r="D564" s="550" t="s">
        <v>1390</v>
      </c>
      <c r="E564" s="550" t="s">
        <v>2916</v>
      </c>
      <c r="F564" s="550" t="s">
        <v>11</v>
      </c>
      <c r="G564" s="552">
        <v>1690</v>
      </c>
      <c r="H564" s="552">
        <v>500</v>
      </c>
      <c r="I564" s="548">
        <v>0</v>
      </c>
      <c r="J564" s="548">
        <v>500</v>
      </c>
      <c r="K564" s="552">
        <v>500</v>
      </c>
      <c r="L564" s="574">
        <v>0</v>
      </c>
      <c r="M564" s="548">
        <v>0</v>
      </c>
    </row>
    <row r="565" spans="1:13" ht="15.95" customHeight="1">
      <c r="A565" s="547"/>
      <c r="B565" s="550" t="s">
        <v>4512</v>
      </c>
      <c r="C565" s="550" t="s">
        <v>1394</v>
      </c>
      <c r="D565" s="550" t="s">
        <v>1390</v>
      </c>
      <c r="E565" s="550" t="s">
        <v>2916</v>
      </c>
      <c r="F565" s="550" t="s">
        <v>11</v>
      </c>
      <c r="G565" s="552">
        <v>1690</v>
      </c>
      <c r="H565" s="552">
        <v>500</v>
      </c>
      <c r="I565" s="548">
        <v>0</v>
      </c>
      <c r="J565" s="548">
        <v>500</v>
      </c>
      <c r="K565" s="552">
        <v>500</v>
      </c>
      <c r="L565" s="574">
        <v>0</v>
      </c>
      <c r="M565" s="548">
        <v>0</v>
      </c>
    </row>
    <row r="566" spans="1:13" ht="15.95" customHeight="1">
      <c r="A566" s="547"/>
      <c r="B566" s="550" t="s">
        <v>4512</v>
      </c>
      <c r="C566" s="550" t="s">
        <v>1394</v>
      </c>
      <c r="D566" s="550" t="s">
        <v>1390</v>
      </c>
      <c r="E566" s="550" t="s">
        <v>2916</v>
      </c>
      <c r="F566" s="550" t="s">
        <v>11</v>
      </c>
      <c r="G566" s="552">
        <v>1690</v>
      </c>
      <c r="H566" s="552"/>
      <c r="I566" s="548">
        <v>7300</v>
      </c>
      <c r="J566" s="548">
        <v>4970</v>
      </c>
      <c r="K566" s="552">
        <v>4300</v>
      </c>
      <c r="L566" s="574">
        <v>670</v>
      </c>
      <c r="M566" s="548">
        <v>2330</v>
      </c>
    </row>
    <row r="567" spans="1:13" ht="15.95" customHeight="1">
      <c r="A567" s="547"/>
      <c r="B567" s="550" t="s">
        <v>4124</v>
      </c>
      <c r="C567" s="550" t="s">
        <v>1357</v>
      </c>
      <c r="D567" s="550" t="s">
        <v>1356</v>
      </c>
      <c r="E567" s="550" t="s">
        <v>238</v>
      </c>
      <c r="F567" s="550" t="s">
        <v>11</v>
      </c>
      <c r="G567" s="552">
        <v>98</v>
      </c>
      <c r="H567" s="552">
        <v>200</v>
      </c>
      <c r="I567" s="548">
        <v>0</v>
      </c>
      <c r="J567" s="548">
        <v>40</v>
      </c>
      <c r="K567" s="552">
        <v>0</v>
      </c>
      <c r="L567" s="574">
        <v>40</v>
      </c>
      <c r="M567" s="548">
        <v>160</v>
      </c>
    </row>
    <row r="568" spans="1:13" ht="15.95" customHeight="1">
      <c r="A568" s="547"/>
      <c r="B568" s="550" t="s">
        <v>4124</v>
      </c>
      <c r="C568" s="550" t="s">
        <v>1357</v>
      </c>
      <c r="D568" s="550" t="s">
        <v>1356</v>
      </c>
      <c r="E568" s="550" t="s">
        <v>238</v>
      </c>
      <c r="F568" s="550" t="s">
        <v>11</v>
      </c>
      <c r="G568" s="552">
        <v>98</v>
      </c>
      <c r="H568" s="552">
        <v>800</v>
      </c>
      <c r="I568" s="548">
        <v>0</v>
      </c>
      <c r="J568" s="548">
        <v>220</v>
      </c>
      <c r="K568" s="552">
        <v>200</v>
      </c>
      <c r="L568" s="574">
        <v>20</v>
      </c>
      <c r="M568" s="548">
        <v>580</v>
      </c>
    </row>
    <row r="569" spans="1:13" ht="15.95" customHeight="1">
      <c r="A569" s="547"/>
      <c r="B569" s="550" t="s">
        <v>4124</v>
      </c>
      <c r="C569" s="550" t="s">
        <v>1357</v>
      </c>
      <c r="D569" s="550" t="s">
        <v>1356</v>
      </c>
      <c r="E569" s="550" t="s">
        <v>238</v>
      </c>
      <c r="F569" s="550" t="s">
        <v>11</v>
      </c>
      <c r="G569" s="552">
        <v>98</v>
      </c>
      <c r="H569" s="552">
        <v>40</v>
      </c>
      <c r="I569" s="548">
        <v>0</v>
      </c>
      <c r="J569" s="548">
        <v>40</v>
      </c>
      <c r="K569" s="552">
        <v>0</v>
      </c>
      <c r="L569" s="574">
        <v>40</v>
      </c>
      <c r="M569" s="548">
        <v>0</v>
      </c>
    </row>
    <row r="570" spans="1:13" ht="15.95" customHeight="1">
      <c r="A570" s="547"/>
      <c r="B570" s="550" t="s">
        <v>4124</v>
      </c>
      <c r="C570" s="550" t="s">
        <v>1357</v>
      </c>
      <c r="D570" s="550" t="s">
        <v>1356</v>
      </c>
      <c r="E570" s="550" t="s">
        <v>238</v>
      </c>
      <c r="F570" s="550" t="s">
        <v>11</v>
      </c>
      <c r="G570" s="552">
        <v>98</v>
      </c>
      <c r="H570" s="552"/>
      <c r="I570" s="548">
        <v>400</v>
      </c>
      <c r="J570" s="548">
        <v>400</v>
      </c>
      <c r="K570" s="552">
        <v>0</v>
      </c>
      <c r="L570" s="574">
        <v>400</v>
      </c>
      <c r="M570" s="548">
        <v>0</v>
      </c>
    </row>
    <row r="571" spans="1:13" ht="15.95" customHeight="1">
      <c r="A571" s="547"/>
      <c r="B571" s="550" t="s">
        <v>4128</v>
      </c>
      <c r="C571" s="550" t="s">
        <v>1312</v>
      </c>
      <c r="D571" s="550" t="s">
        <v>1311</v>
      </c>
      <c r="E571" s="550" t="s">
        <v>1313</v>
      </c>
      <c r="F571" s="550" t="s">
        <v>11</v>
      </c>
      <c r="G571" s="552">
        <v>118</v>
      </c>
      <c r="H571" s="552"/>
      <c r="I571" s="548">
        <v>7800</v>
      </c>
      <c r="J571" s="548">
        <v>7800</v>
      </c>
      <c r="K571" s="552">
        <v>7800</v>
      </c>
      <c r="L571" s="574">
        <v>0</v>
      </c>
      <c r="M571" s="548">
        <v>0</v>
      </c>
    </row>
    <row r="572" spans="1:13" ht="15.95" customHeight="1">
      <c r="A572" s="547"/>
      <c r="B572" s="550" t="s">
        <v>4128</v>
      </c>
      <c r="C572" s="550" t="s">
        <v>1312</v>
      </c>
      <c r="D572" s="550" t="s">
        <v>1311</v>
      </c>
      <c r="E572" s="550" t="s">
        <v>1313</v>
      </c>
      <c r="F572" s="550" t="s">
        <v>11</v>
      </c>
      <c r="G572" s="552">
        <v>118</v>
      </c>
      <c r="H572" s="552"/>
      <c r="I572" s="548">
        <v>11250</v>
      </c>
      <c r="J572" s="548">
        <v>11250</v>
      </c>
      <c r="K572" s="552">
        <v>11250</v>
      </c>
      <c r="L572" s="574">
        <v>0</v>
      </c>
      <c r="M572" s="548">
        <v>0</v>
      </c>
    </row>
    <row r="573" spans="1:13" ht="15.95" customHeight="1">
      <c r="A573" s="547"/>
      <c r="B573" s="550" t="s">
        <v>7633</v>
      </c>
      <c r="C573" s="550" t="s">
        <v>858</v>
      </c>
      <c r="D573" s="550" t="s">
        <v>347</v>
      </c>
      <c r="E573" s="550" t="s">
        <v>238</v>
      </c>
      <c r="F573" s="550" t="s">
        <v>11</v>
      </c>
      <c r="G573" s="552">
        <v>335</v>
      </c>
      <c r="H573" s="552"/>
      <c r="I573" s="548">
        <v>9000</v>
      </c>
      <c r="J573" s="548">
        <v>9000</v>
      </c>
      <c r="K573" s="552">
        <v>9000</v>
      </c>
      <c r="L573" s="574">
        <v>0</v>
      </c>
      <c r="M573" s="548">
        <v>0</v>
      </c>
    </row>
    <row r="574" spans="1:13" ht="15.95" customHeight="1">
      <c r="A574" s="547"/>
      <c r="B574" s="550" t="s">
        <v>7633</v>
      </c>
      <c r="C574" s="550" t="s">
        <v>858</v>
      </c>
      <c r="D574" s="550" t="s">
        <v>347</v>
      </c>
      <c r="E574" s="550" t="s">
        <v>238</v>
      </c>
      <c r="F574" s="550" t="s">
        <v>11</v>
      </c>
      <c r="G574" s="552">
        <v>335</v>
      </c>
      <c r="H574" s="552"/>
      <c r="I574" s="548">
        <v>5000</v>
      </c>
      <c r="J574" s="548">
        <v>2884</v>
      </c>
      <c r="K574" s="552">
        <v>2000</v>
      </c>
      <c r="L574" s="574">
        <v>884</v>
      </c>
      <c r="M574" s="548">
        <v>2116</v>
      </c>
    </row>
    <row r="575" spans="1:13" ht="15.95" customHeight="1">
      <c r="A575" s="547"/>
      <c r="B575" s="550" t="s">
        <v>4866</v>
      </c>
      <c r="C575" s="550" t="s">
        <v>361</v>
      </c>
      <c r="D575" s="550" t="s">
        <v>347</v>
      </c>
      <c r="E575" s="550" t="s">
        <v>327</v>
      </c>
      <c r="F575" s="550" t="s">
        <v>10</v>
      </c>
      <c r="G575" s="552">
        <v>81</v>
      </c>
      <c r="H575" s="552">
        <v>120000</v>
      </c>
      <c r="I575" s="548">
        <v>444</v>
      </c>
      <c r="J575" s="548">
        <v>106156</v>
      </c>
      <c r="K575" s="552">
        <v>45210</v>
      </c>
      <c r="L575" s="574">
        <v>60946</v>
      </c>
      <c r="M575" s="548">
        <v>14288</v>
      </c>
    </row>
    <row r="576" spans="1:13" ht="15.95" customHeight="1">
      <c r="A576" s="547"/>
      <c r="B576" s="550" t="s">
        <v>4866</v>
      </c>
      <c r="C576" s="550" t="s">
        <v>361</v>
      </c>
      <c r="D576" s="550" t="s">
        <v>347</v>
      </c>
      <c r="E576" s="550" t="s">
        <v>327</v>
      </c>
      <c r="F576" s="550" t="s">
        <v>10</v>
      </c>
      <c r="G576" s="552">
        <v>81</v>
      </c>
      <c r="H576" s="552">
        <v>30000</v>
      </c>
      <c r="I576" s="548">
        <v>0</v>
      </c>
      <c r="J576" s="548">
        <v>30000</v>
      </c>
      <c r="K576" s="552">
        <v>4000</v>
      </c>
      <c r="L576" s="574">
        <v>26000</v>
      </c>
      <c r="M576" s="548">
        <v>0</v>
      </c>
    </row>
    <row r="577" spans="1:13" ht="15.95" customHeight="1">
      <c r="A577" s="547"/>
      <c r="B577" s="550" t="s">
        <v>4866</v>
      </c>
      <c r="C577" s="550" t="s">
        <v>361</v>
      </c>
      <c r="D577" s="550" t="s">
        <v>347</v>
      </c>
      <c r="E577" s="550" t="s">
        <v>327</v>
      </c>
      <c r="F577" s="550" t="s">
        <v>10</v>
      </c>
      <c r="G577" s="552">
        <v>81</v>
      </c>
      <c r="H577" s="552">
        <v>50000</v>
      </c>
      <c r="I577" s="548">
        <v>0</v>
      </c>
      <c r="J577" s="548">
        <v>50000</v>
      </c>
      <c r="K577" s="552">
        <v>23000</v>
      </c>
      <c r="L577" s="574">
        <v>27000</v>
      </c>
      <c r="M577" s="548">
        <v>0</v>
      </c>
    </row>
    <row r="578" spans="1:13" ht="15.95" customHeight="1">
      <c r="A578" s="547"/>
      <c r="B578" s="550" t="s">
        <v>4516</v>
      </c>
      <c r="C578" s="550" t="s">
        <v>673</v>
      </c>
      <c r="D578" s="550" t="s">
        <v>639</v>
      </c>
      <c r="E578" s="550" t="s">
        <v>641</v>
      </c>
      <c r="F578" s="550" t="s">
        <v>10</v>
      </c>
      <c r="G578" s="552">
        <v>12850</v>
      </c>
      <c r="H578" s="552">
        <v>628</v>
      </c>
      <c r="I578" s="548">
        <v>0</v>
      </c>
      <c r="J578" s="548">
        <v>628</v>
      </c>
      <c r="K578" s="552">
        <v>38</v>
      </c>
      <c r="L578" s="574">
        <v>590</v>
      </c>
      <c r="M578" s="548">
        <v>0</v>
      </c>
    </row>
    <row r="579" spans="1:13" ht="15.95" customHeight="1">
      <c r="A579" s="547"/>
      <c r="B579" s="550" t="s">
        <v>4692</v>
      </c>
      <c r="C579" s="550" t="s">
        <v>132</v>
      </c>
      <c r="D579" s="550" t="s">
        <v>133</v>
      </c>
      <c r="E579" s="550" t="s">
        <v>134</v>
      </c>
      <c r="F579" s="550" t="s">
        <v>11</v>
      </c>
      <c r="G579" s="552">
        <v>1407</v>
      </c>
      <c r="H579" s="552">
        <v>5580</v>
      </c>
      <c r="I579" s="548">
        <v>0</v>
      </c>
      <c r="J579" s="548">
        <v>5580</v>
      </c>
      <c r="K579" s="552">
        <v>0</v>
      </c>
      <c r="L579" s="574">
        <v>5580</v>
      </c>
      <c r="M579" s="548">
        <v>0</v>
      </c>
    </row>
    <row r="580" spans="1:13" ht="15.95" customHeight="1">
      <c r="A580" s="547"/>
      <c r="B580" s="550" t="s">
        <v>4692</v>
      </c>
      <c r="C580" s="550" t="s">
        <v>132</v>
      </c>
      <c r="D580" s="550" t="s">
        <v>133</v>
      </c>
      <c r="E580" s="550" t="s">
        <v>134</v>
      </c>
      <c r="F580" s="550" t="s">
        <v>11</v>
      </c>
      <c r="G580" s="552">
        <v>1407</v>
      </c>
      <c r="H580" s="552"/>
      <c r="I580" s="548">
        <v>18000</v>
      </c>
      <c r="J580" s="548">
        <v>16627</v>
      </c>
      <c r="K580" s="552">
        <v>0</v>
      </c>
      <c r="L580" s="574">
        <v>16627</v>
      </c>
      <c r="M580" s="548">
        <v>1373</v>
      </c>
    </row>
    <row r="581" spans="1:13" ht="15.95" customHeight="1">
      <c r="A581" s="547"/>
      <c r="B581" s="550" t="s">
        <v>4692</v>
      </c>
      <c r="C581" s="550" t="s">
        <v>132</v>
      </c>
      <c r="D581" s="550" t="s">
        <v>133</v>
      </c>
      <c r="E581" s="550" t="s">
        <v>134</v>
      </c>
      <c r="F581" s="550" t="s">
        <v>11</v>
      </c>
      <c r="G581" s="552">
        <v>1407</v>
      </c>
      <c r="H581" s="552"/>
      <c r="I581" s="548">
        <v>30000</v>
      </c>
      <c r="J581" s="548">
        <v>0</v>
      </c>
      <c r="K581" s="552">
        <v>0</v>
      </c>
      <c r="L581" s="574">
        <v>0</v>
      </c>
      <c r="M581" s="548">
        <v>30000</v>
      </c>
    </row>
    <row r="582" spans="1:13" ht="15.95" customHeight="1">
      <c r="A582" s="547"/>
      <c r="B582" s="550" t="s">
        <v>4518</v>
      </c>
      <c r="C582" s="550" t="s">
        <v>4519</v>
      </c>
      <c r="D582" s="550" t="s">
        <v>1140</v>
      </c>
      <c r="E582" s="550" t="s">
        <v>4520</v>
      </c>
      <c r="F582" s="550" t="s">
        <v>4240</v>
      </c>
      <c r="G582" s="552">
        <v>6500</v>
      </c>
      <c r="H582" s="552">
        <v>3</v>
      </c>
      <c r="I582" s="548">
        <v>0</v>
      </c>
      <c r="J582" s="548">
        <v>3</v>
      </c>
      <c r="K582" s="552">
        <v>0</v>
      </c>
      <c r="L582" s="574">
        <v>3</v>
      </c>
      <c r="M582" s="548">
        <v>0</v>
      </c>
    </row>
    <row r="583" spans="1:13" ht="15.95" customHeight="1">
      <c r="A583" s="547"/>
      <c r="B583" s="550" t="s">
        <v>4518</v>
      </c>
      <c r="C583" s="550" t="s">
        <v>4519</v>
      </c>
      <c r="D583" s="550" t="s">
        <v>1140</v>
      </c>
      <c r="E583" s="550" t="s">
        <v>4520</v>
      </c>
      <c r="F583" s="550" t="s">
        <v>4240</v>
      </c>
      <c r="G583" s="552">
        <v>6500</v>
      </c>
      <c r="H583" s="552">
        <v>20</v>
      </c>
      <c r="I583" s="548">
        <v>0</v>
      </c>
      <c r="J583" s="548">
        <v>20</v>
      </c>
      <c r="K583" s="552">
        <v>0</v>
      </c>
      <c r="L583" s="574">
        <v>20</v>
      </c>
      <c r="M583" s="548">
        <v>0</v>
      </c>
    </row>
    <row r="584" spans="1:13" ht="15.95" customHeight="1">
      <c r="A584" s="547"/>
      <c r="B584" s="550" t="s">
        <v>4518</v>
      </c>
      <c r="C584" s="550" t="s">
        <v>4519</v>
      </c>
      <c r="D584" s="550" t="s">
        <v>1140</v>
      </c>
      <c r="E584" s="550" t="s">
        <v>4520</v>
      </c>
      <c r="F584" s="550" t="s">
        <v>4240</v>
      </c>
      <c r="G584" s="552">
        <v>6500</v>
      </c>
      <c r="H584" s="552">
        <v>10</v>
      </c>
      <c r="I584" s="548">
        <v>0</v>
      </c>
      <c r="J584" s="548">
        <v>10</v>
      </c>
      <c r="K584" s="552">
        <v>10</v>
      </c>
      <c r="L584" s="574">
        <v>0</v>
      </c>
      <c r="M584" s="548">
        <v>0</v>
      </c>
    </row>
    <row r="585" spans="1:13" ht="15.95" customHeight="1">
      <c r="A585" s="547"/>
      <c r="B585" s="550" t="s">
        <v>4694</v>
      </c>
      <c r="C585" s="550" t="s">
        <v>4695</v>
      </c>
      <c r="D585" s="550" t="s">
        <v>136</v>
      </c>
      <c r="E585" s="550" t="s">
        <v>4696</v>
      </c>
      <c r="F585" s="550" t="s">
        <v>11</v>
      </c>
      <c r="G585" s="552">
        <v>2047</v>
      </c>
      <c r="H585" s="552">
        <v>1932</v>
      </c>
      <c r="I585" s="548">
        <v>0</v>
      </c>
      <c r="J585" s="548">
        <v>1932</v>
      </c>
      <c r="K585" s="552">
        <v>0</v>
      </c>
      <c r="L585" s="574">
        <v>1932</v>
      </c>
      <c r="M585" s="548">
        <v>0</v>
      </c>
    </row>
    <row r="586" spans="1:13" ht="15.95" customHeight="1">
      <c r="A586" s="547"/>
      <c r="B586" s="550" t="s">
        <v>4694</v>
      </c>
      <c r="C586" s="550" t="s">
        <v>4695</v>
      </c>
      <c r="D586" s="550" t="s">
        <v>136</v>
      </c>
      <c r="E586" s="550" t="s">
        <v>4696</v>
      </c>
      <c r="F586" s="550" t="s">
        <v>11</v>
      </c>
      <c r="G586" s="552">
        <v>2047</v>
      </c>
      <c r="H586" s="552">
        <v>100</v>
      </c>
      <c r="I586" s="548">
        <v>0</v>
      </c>
      <c r="J586" s="548">
        <v>100</v>
      </c>
      <c r="K586" s="552">
        <v>0</v>
      </c>
      <c r="L586" s="574">
        <v>100</v>
      </c>
      <c r="M586" s="548">
        <v>0</v>
      </c>
    </row>
    <row r="587" spans="1:13" ht="15.95" customHeight="1">
      <c r="A587" s="547"/>
      <c r="B587" s="550" t="s">
        <v>4694</v>
      </c>
      <c r="C587" s="550" t="s">
        <v>4695</v>
      </c>
      <c r="D587" s="550" t="s">
        <v>136</v>
      </c>
      <c r="E587" s="550" t="s">
        <v>4696</v>
      </c>
      <c r="F587" s="550" t="s">
        <v>11</v>
      </c>
      <c r="G587" s="552">
        <v>2047</v>
      </c>
      <c r="H587" s="552"/>
      <c r="I587" s="548">
        <v>4000</v>
      </c>
      <c r="J587" s="548">
        <v>4000</v>
      </c>
      <c r="K587" s="552">
        <v>0</v>
      </c>
      <c r="L587" s="574">
        <v>4000</v>
      </c>
      <c r="M587" s="548">
        <v>0</v>
      </c>
    </row>
    <row r="588" spans="1:13" ht="15.95" customHeight="1">
      <c r="A588" s="547"/>
      <c r="B588" s="550" t="s">
        <v>4694</v>
      </c>
      <c r="C588" s="550" t="s">
        <v>4695</v>
      </c>
      <c r="D588" s="550" t="s">
        <v>136</v>
      </c>
      <c r="E588" s="550" t="s">
        <v>4696</v>
      </c>
      <c r="F588" s="550" t="s">
        <v>11</v>
      </c>
      <c r="G588" s="552">
        <v>2047</v>
      </c>
      <c r="H588" s="552"/>
      <c r="I588" s="548">
        <v>10000</v>
      </c>
      <c r="J588" s="548">
        <v>10000</v>
      </c>
      <c r="K588" s="552">
        <v>0</v>
      </c>
      <c r="L588" s="574">
        <v>10000</v>
      </c>
      <c r="M588" s="548">
        <v>0</v>
      </c>
    </row>
    <row r="589" spans="1:13" ht="15.95" customHeight="1">
      <c r="A589" s="547"/>
      <c r="B589" s="550" t="s">
        <v>4694</v>
      </c>
      <c r="C589" s="550" t="s">
        <v>4695</v>
      </c>
      <c r="D589" s="550" t="s">
        <v>136</v>
      </c>
      <c r="E589" s="550" t="s">
        <v>4696</v>
      </c>
      <c r="F589" s="550" t="s">
        <v>11</v>
      </c>
      <c r="G589" s="552">
        <v>2047</v>
      </c>
      <c r="H589" s="552"/>
      <c r="I589" s="548">
        <v>10900</v>
      </c>
      <c r="J589" s="548">
        <v>10885</v>
      </c>
      <c r="K589" s="552">
        <v>0</v>
      </c>
      <c r="L589" s="574">
        <v>10885</v>
      </c>
      <c r="M589" s="548">
        <v>15</v>
      </c>
    </row>
    <row r="590" spans="1:13" ht="15.95" customHeight="1">
      <c r="A590" s="547"/>
      <c r="B590" s="550" t="s">
        <v>4697</v>
      </c>
      <c r="C590" s="550" t="s">
        <v>4698</v>
      </c>
      <c r="D590" s="550" t="s">
        <v>192</v>
      </c>
      <c r="E590" s="550" t="s">
        <v>4699</v>
      </c>
      <c r="F590" s="550" t="s">
        <v>11</v>
      </c>
      <c r="G590" s="552">
        <v>2280</v>
      </c>
      <c r="H590" s="552">
        <v>770</v>
      </c>
      <c r="I590" s="548">
        <v>0</v>
      </c>
      <c r="J590" s="548">
        <v>770</v>
      </c>
      <c r="K590" s="552">
        <v>0</v>
      </c>
      <c r="L590" s="574">
        <v>770</v>
      </c>
      <c r="M590" s="548">
        <v>0</v>
      </c>
    </row>
    <row r="591" spans="1:13" ht="15.95" customHeight="1">
      <c r="A591" s="547"/>
      <c r="B591" s="550" t="s">
        <v>4697</v>
      </c>
      <c r="C591" s="550" t="s">
        <v>4698</v>
      </c>
      <c r="D591" s="550" t="s">
        <v>192</v>
      </c>
      <c r="E591" s="550" t="s">
        <v>4699</v>
      </c>
      <c r="F591" s="550" t="s">
        <v>11</v>
      </c>
      <c r="G591" s="552">
        <v>2280</v>
      </c>
      <c r="H591" s="552"/>
      <c r="I591" s="548">
        <v>20000</v>
      </c>
      <c r="J591" s="548">
        <v>2360</v>
      </c>
      <c r="K591" s="552">
        <v>0</v>
      </c>
      <c r="L591" s="574">
        <v>2360</v>
      </c>
      <c r="M591" s="548">
        <v>17640</v>
      </c>
    </row>
    <row r="592" spans="1:13" ht="15.95" customHeight="1">
      <c r="A592" s="547"/>
      <c r="B592" s="550" t="s">
        <v>11803</v>
      </c>
      <c r="C592" s="550" t="s">
        <v>11804</v>
      </c>
      <c r="D592" s="550" t="s">
        <v>11805</v>
      </c>
      <c r="E592" s="550"/>
      <c r="F592" s="550" t="s">
        <v>11806</v>
      </c>
      <c r="G592" s="552">
        <v>2880</v>
      </c>
      <c r="H592" s="552">
        <v>1459</v>
      </c>
      <c r="I592" s="548">
        <v>0</v>
      </c>
      <c r="J592" s="548">
        <v>0</v>
      </c>
      <c r="K592" s="552">
        <v>0</v>
      </c>
      <c r="L592" s="574">
        <v>0</v>
      </c>
      <c r="M592" s="548">
        <v>1459</v>
      </c>
    </row>
    <row r="593" spans="1:13" ht="15.95" customHeight="1">
      <c r="A593" s="547"/>
      <c r="B593" s="550" t="s">
        <v>11803</v>
      </c>
      <c r="C593" s="550" t="s">
        <v>11804</v>
      </c>
      <c r="D593" s="550" t="s">
        <v>11805</v>
      </c>
      <c r="E593" s="550"/>
      <c r="F593" s="550" t="s">
        <v>11806</v>
      </c>
      <c r="G593" s="552">
        <v>2880</v>
      </c>
      <c r="H593" s="552">
        <v>46.25</v>
      </c>
      <c r="I593" s="548">
        <v>0</v>
      </c>
      <c r="J593" s="548">
        <v>46.25</v>
      </c>
      <c r="K593" s="552">
        <v>46.25</v>
      </c>
      <c r="L593" s="574">
        <v>0</v>
      </c>
      <c r="M593" s="548">
        <v>0</v>
      </c>
    </row>
    <row r="594" spans="1:13" ht="15.95" customHeight="1">
      <c r="A594" s="547"/>
      <c r="B594" s="550" t="s">
        <v>11803</v>
      </c>
      <c r="C594" s="550" t="s">
        <v>11804</v>
      </c>
      <c r="D594" s="550" t="s">
        <v>11805</v>
      </c>
      <c r="E594" s="550"/>
      <c r="F594" s="550" t="s">
        <v>11806</v>
      </c>
      <c r="G594" s="552">
        <v>2880</v>
      </c>
      <c r="H594" s="552">
        <v>1459</v>
      </c>
      <c r="I594" s="548">
        <v>0</v>
      </c>
      <c r="J594" s="548">
        <v>436.75</v>
      </c>
      <c r="K594" s="552">
        <v>436.75</v>
      </c>
      <c r="L594" s="574">
        <v>0</v>
      </c>
      <c r="M594" s="548">
        <v>1022.25</v>
      </c>
    </row>
    <row r="595" spans="1:13" ht="15.95" customHeight="1">
      <c r="A595" s="547"/>
      <c r="B595" s="550"/>
      <c r="C595" s="550" t="s">
        <v>12248</v>
      </c>
      <c r="D595" s="550"/>
      <c r="E595" s="550"/>
      <c r="F595" s="550" t="s">
        <v>12249</v>
      </c>
      <c r="G595" s="552">
        <v>975000</v>
      </c>
      <c r="H595" s="552">
        <v>2</v>
      </c>
      <c r="I595" s="548">
        <v>0</v>
      </c>
      <c r="J595" s="548">
        <v>0</v>
      </c>
      <c r="K595" s="552">
        <v>0</v>
      </c>
      <c r="L595" s="574">
        <v>0</v>
      </c>
      <c r="M595" s="548">
        <v>2</v>
      </c>
    </row>
    <row r="596" spans="1:13" ht="15.95" customHeight="1">
      <c r="A596" s="547"/>
      <c r="B596" s="550"/>
      <c r="C596" s="550" t="s">
        <v>12248</v>
      </c>
      <c r="D596" s="550"/>
      <c r="E596" s="550"/>
      <c r="F596" s="550" t="s">
        <v>12249</v>
      </c>
      <c r="G596" s="552">
        <v>975000</v>
      </c>
      <c r="H596" s="552">
        <v>1</v>
      </c>
      <c r="I596" s="548">
        <v>0</v>
      </c>
      <c r="J596" s="548">
        <v>0</v>
      </c>
      <c r="K596" s="552">
        <v>0</v>
      </c>
      <c r="L596" s="574">
        <v>0</v>
      </c>
      <c r="M596" s="548">
        <v>1</v>
      </c>
    </row>
    <row r="597" spans="1:13" ht="15.95" customHeight="1">
      <c r="A597" s="547"/>
      <c r="B597" s="550"/>
      <c r="C597" s="550" t="s">
        <v>12248</v>
      </c>
      <c r="D597" s="550"/>
      <c r="E597" s="550"/>
      <c r="F597" s="550" t="s">
        <v>12249</v>
      </c>
      <c r="G597" s="552">
        <v>975000</v>
      </c>
      <c r="H597" s="552">
        <v>1</v>
      </c>
      <c r="I597" s="548">
        <v>0</v>
      </c>
      <c r="J597" s="548">
        <v>0</v>
      </c>
      <c r="K597" s="552">
        <v>0</v>
      </c>
      <c r="L597" s="574">
        <v>0</v>
      </c>
      <c r="M597" s="548">
        <v>1</v>
      </c>
    </row>
    <row r="598" spans="1:13" ht="0.75" customHeight="1">
      <c r="A598" s="547"/>
      <c r="B598" s="559" t="s">
        <v>12251</v>
      </c>
      <c r="C598" s="559" t="s">
        <v>12252</v>
      </c>
      <c r="D598" s="559"/>
      <c r="E598" s="559"/>
      <c r="F598" s="559" t="s">
        <v>12249</v>
      </c>
      <c r="G598" s="562">
        <v>905000</v>
      </c>
      <c r="H598" s="562">
        <v>2</v>
      </c>
      <c r="I598" s="565">
        <v>0</v>
      </c>
      <c r="J598" s="570">
        <v>0</v>
      </c>
      <c r="K598" s="567">
        <v>0</v>
      </c>
      <c r="L598" s="574">
        <v>0</v>
      </c>
      <c r="M598" s="570">
        <v>2</v>
      </c>
    </row>
    <row r="599" spans="1:13" ht="12.95" customHeight="1">
      <c r="A599" s="547"/>
      <c r="B599" s="560" t="s">
        <v>4700</v>
      </c>
      <c r="C599" s="560" t="s">
        <v>12364</v>
      </c>
      <c r="D599" s="560" t="s">
        <v>141</v>
      </c>
      <c r="E599" s="560" t="s">
        <v>3091</v>
      </c>
      <c r="F599" s="560" t="s">
        <v>11</v>
      </c>
      <c r="G599" s="563">
        <v>1490</v>
      </c>
      <c r="H599" s="563"/>
      <c r="I599" s="548">
        <v>20000</v>
      </c>
      <c r="J599" s="571">
        <v>0</v>
      </c>
      <c r="K599" s="568">
        <v>0</v>
      </c>
      <c r="L599" s="574">
        <v>0</v>
      </c>
      <c r="M599" s="571">
        <v>20000</v>
      </c>
    </row>
    <row r="600" spans="1:13" ht="0.75" customHeight="1">
      <c r="A600" s="547"/>
      <c r="B600" s="558" t="s">
        <v>4701</v>
      </c>
      <c r="C600" s="558" t="s">
        <v>3090</v>
      </c>
      <c r="D600" s="558" t="s">
        <v>8785</v>
      </c>
      <c r="E600" s="558" t="s">
        <v>12367</v>
      </c>
      <c r="F600" s="558" t="s">
        <v>11</v>
      </c>
      <c r="G600" s="561">
        <v>350</v>
      </c>
      <c r="H600" s="561"/>
      <c r="I600" s="564">
        <v>4500</v>
      </c>
      <c r="J600" s="569">
        <v>4485</v>
      </c>
      <c r="K600" s="566">
        <v>0</v>
      </c>
      <c r="L600" s="574">
        <v>4485</v>
      </c>
      <c r="M600" s="569">
        <v>15</v>
      </c>
    </row>
    <row r="601" spans="1:13" ht="13.7" customHeight="1">
      <c r="A601" s="557"/>
      <c r="B601" s="550" t="s">
        <v>8779</v>
      </c>
      <c r="C601" s="550" t="s">
        <v>3090</v>
      </c>
      <c r="D601" s="550" t="s">
        <v>3090</v>
      </c>
      <c r="E601" s="550" t="s">
        <v>12370</v>
      </c>
      <c r="F601" s="550" t="s">
        <v>11</v>
      </c>
      <c r="G601" s="552">
        <v>410</v>
      </c>
      <c r="H601" s="552"/>
      <c r="I601" s="548">
        <v>10000</v>
      </c>
      <c r="J601" s="548">
        <v>7403</v>
      </c>
      <c r="K601" s="552">
        <v>4500</v>
      </c>
      <c r="L601" s="574">
        <v>2903</v>
      </c>
      <c r="M601" s="548">
        <v>2597</v>
      </c>
    </row>
    <row r="602" spans="1:13" ht="15.95" customHeight="1">
      <c r="A602" s="547"/>
      <c r="B602" s="550" t="s">
        <v>8779</v>
      </c>
      <c r="C602" s="550" t="s">
        <v>3090</v>
      </c>
      <c r="D602" s="550" t="s">
        <v>3090</v>
      </c>
      <c r="E602" s="550" t="s">
        <v>12370</v>
      </c>
      <c r="F602" s="550" t="s">
        <v>11</v>
      </c>
      <c r="G602" s="552">
        <v>410</v>
      </c>
      <c r="H602" s="552"/>
      <c r="I602" s="548">
        <v>10000</v>
      </c>
      <c r="J602" s="548">
        <v>0</v>
      </c>
      <c r="K602" s="552">
        <v>0</v>
      </c>
      <c r="L602" s="574">
        <v>0</v>
      </c>
      <c r="M602" s="548">
        <v>10000</v>
      </c>
    </row>
    <row r="603" spans="1:13" ht="15.95" customHeight="1">
      <c r="A603" s="547"/>
      <c r="B603" s="550" t="s">
        <v>4701</v>
      </c>
      <c r="C603" s="550" t="s">
        <v>140</v>
      </c>
      <c r="D603" s="550" t="s">
        <v>143</v>
      </c>
      <c r="E603" s="550" t="s">
        <v>144</v>
      </c>
      <c r="F603" s="550" t="s">
        <v>10</v>
      </c>
      <c r="G603" s="552">
        <v>635</v>
      </c>
      <c r="H603" s="552">
        <v>27927</v>
      </c>
      <c r="I603" s="548">
        <v>0</v>
      </c>
      <c r="J603" s="548">
        <v>27927</v>
      </c>
      <c r="K603" s="552">
        <v>0</v>
      </c>
      <c r="L603" s="574">
        <v>27927</v>
      </c>
      <c r="M603" s="548">
        <v>0</v>
      </c>
    </row>
    <row r="604" spans="1:13" ht="15.95" customHeight="1">
      <c r="A604" s="547"/>
      <c r="B604" s="550" t="s">
        <v>4700</v>
      </c>
      <c r="C604" s="550" t="s">
        <v>140</v>
      </c>
      <c r="D604" s="550" t="s">
        <v>141</v>
      </c>
      <c r="E604" s="550" t="s">
        <v>142</v>
      </c>
      <c r="F604" s="550" t="s">
        <v>10</v>
      </c>
      <c r="G604" s="552">
        <v>1490</v>
      </c>
      <c r="H604" s="552">
        <v>-200</v>
      </c>
      <c r="I604" s="548">
        <v>0</v>
      </c>
      <c r="J604" s="548">
        <v>0</v>
      </c>
      <c r="K604" s="552">
        <v>0</v>
      </c>
      <c r="L604" s="574">
        <v>0</v>
      </c>
      <c r="M604" s="548">
        <v>-200</v>
      </c>
    </row>
    <row r="605" spans="1:13" ht="15.95" customHeight="1">
      <c r="A605" s="547"/>
      <c r="B605" s="550" t="s">
        <v>4702</v>
      </c>
      <c r="C605" s="550" t="s">
        <v>4703</v>
      </c>
      <c r="D605" s="550" t="s">
        <v>4704</v>
      </c>
      <c r="E605" s="550" t="s">
        <v>4705</v>
      </c>
      <c r="F605" s="550" t="s">
        <v>13</v>
      </c>
      <c r="G605" s="552">
        <v>7000</v>
      </c>
      <c r="H605" s="552">
        <v>1600</v>
      </c>
      <c r="I605" s="548">
        <v>600</v>
      </c>
      <c r="J605" s="548">
        <v>696</v>
      </c>
      <c r="K605" s="552">
        <v>0</v>
      </c>
      <c r="L605" s="574">
        <v>696</v>
      </c>
      <c r="M605" s="548">
        <v>1504</v>
      </c>
    </row>
    <row r="606" spans="1:13" ht="15.95" customHeight="1">
      <c r="A606" s="547"/>
      <c r="B606" s="550" t="s">
        <v>8370</v>
      </c>
      <c r="C606" s="550" t="s">
        <v>8371</v>
      </c>
      <c r="D606" s="550" t="s">
        <v>2485</v>
      </c>
      <c r="E606" s="550" t="s">
        <v>2486</v>
      </c>
      <c r="F606" s="550" t="s">
        <v>11</v>
      </c>
      <c r="G606" s="552">
        <v>1400</v>
      </c>
      <c r="H606" s="552"/>
      <c r="I606" s="548">
        <v>2500</v>
      </c>
      <c r="J606" s="548">
        <v>2500</v>
      </c>
      <c r="K606" s="552">
        <v>2500</v>
      </c>
      <c r="L606" s="574">
        <v>0</v>
      </c>
      <c r="M606" s="548">
        <v>0</v>
      </c>
    </row>
    <row r="607" spans="1:13" ht="15.95" customHeight="1">
      <c r="A607" s="547"/>
      <c r="B607" s="550" t="s">
        <v>8370</v>
      </c>
      <c r="C607" s="550" t="s">
        <v>8371</v>
      </c>
      <c r="D607" s="550" t="s">
        <v>2485</v>
      </c>
      <c r="E607" s="550" t="s">
        <v>2486</v>
      </c>
      <c r="F607" s="550" t="s">
        <v>11</v>
      </c>
      <c r="G607" s="552">
        <v>1400</v>
      </c>
      <c r="H607" s="552"/>
      <c r="I607" s="548">
        <v>9500</v>
      </c>
      <c r="J607" s="548">
        <v>7000</v>
      </c>
      <c r="K607" s="552">
        <v>7000</v>
      </c>
      <c r="L607" s="574">
        <v>0</v>
      </c>
      <c r="M607" s="548">
        <v>2500</v>
      </c>
    </row>
    <row r="608" spans="1:13" ht="15.95" customHeight="1">
      <c r="A608" s="547"/>
      <c r="B608" s="550" t="s">
        <v>4129</v>
      </c>
      <c r="C608" s="550" t="s">
        <v>4130</v>
      </c>
      <c r="D608" s="550" t="s">
        <v>4131</v>
      </c>
      <c r="E608" s="550" t="s">
        <v>753</v>
      </c>
      <c r="F608" s="550" t="s">
        <v>11</v>
      </c>
      <c r="G608" s="552">
        <v>4200</v>
      </c>
      <c r="H608" s="552">
        <v>4613</v>
      </c>
      <c r="I608" s="548">
        <v>20</v>
      </c>
      <c r="J608" s="548">
        <v>4251</v>
      </c>
      <c r="K608" s="552">
        <v>648</v>
      </c>
      <c r="L608" s="574">
        <v>3603</v>
      </c>
      <c r="M608" s="548">
        <v>382</v>
      </c>
    </row>
    <row r="609" spans="1:13" ht="15.95" customHeight="1">
      <c r="A609" s="547"/>
      <c r="B609" s="550" t="s">
        <v>4129</v>
      </c>
      <c r="C609" s="550" t="s">
        <v>4130</v>
      </c>
      <c r="D609" s="550" t="s">
        <v>4131</v>
      </c>
      <c r="E609" s="550" t="s">
        <v>753</v>
      </c>
      <c r="F609" s="550" t="s">
        <v>11</v>
      </c>
      <c r="G609" s="552">
        <v>4200</v>
      </c>
      <c r="H609" s="552"/>
      <c r="I609" s="548">
        <v>10000</v>
      </c>
      <c r="J609" s="548">
        <v>6751</v>
      </c>
      <c r="K609" s="552">
        <v>0</v>
      </c>
      <c r="L609" s="574">
        <v>6751</v>
      </c>
      <c r="M609" s="548">
        <v>3249</v>
      </c>
    </row>
    <row r="610" spans="1:13" ht="15.95" customHeight="1">
      <c r="A610" s="547"/>
      <c r="B610" s="550" t="s">
        <v>3993</v>
      </c>
      <c r="C610" s="550" t="s">
        <v>4133</v>
      </c>
      <c r="D610" s="550" t="s">
        <v>3793</v>
      </c>
      <c r="E610" s="550" t="s">
        <v>4134</v>
      </c>
      <c r="F610" s="550" t="s">
        <v>12</v>
      </c>
      <c r="G610" s="552">
        <v>720</v>
      </c>
      <c r="H610" s="552"/>
      <c r="I610" s="548">
        <v>3500</v>
      </c>
      <c r="J610" s="548">
        <v>3500</v>
      </c>
      <c r="K610" s="552">
        <v>3500</v>
      </c>
      <c r="L610" s="574">
        <v>0</v>
      </c>
      <c r="M610" s="548">
        <v>0</v>
      </c>
    </row>
    <row r="611" spans="1:13" ht="15.95" customHeight="1">
      <c r="A611" s="547"/>
      <c r="B611" s="550" t="s">
        <v>3993</v>
      </c>
      <c r="C611" s="550" t="s">
        <v>4133</v>
      </c>
      <c r="D611" s="550" t="s">
        <v>3793</v>
      </c>
      <c r="E611" s="550" t="s">
        <v>4134</v>
      </c>
      <c r="F611" s="550" t="s">
        <v>12</v>
      </c>
      <c r="G611" s="552">
        <v>720</v>
      </c>
      <c r="H611" s="552"/>
      <c r="I611" s="548">
        <v>2000</v>
      </c>
      <c r="J611" s="548">
        <v>2000</v>
      </c>
      <c r="K611" s="552">
        <v>2000</v>
      </c>
      <c r="L611" s="574">
        <v>0</v>
      </c>
      <c r="M611" s="548">
        <v>0</v>
      </c>
    </row>
    <row r="612" spans="1:13" ht="15.95" customHeight="1">
      <c r="A612" s="547"/>
      <c r="B612" s="550" t="s">
        <v>3976</v>
      </c>
      <c r="C612" s="550" t="s">
        <v>6296</v>
      </c>
      <c r="D612" s="550" t="s">
        <v>2083</v>
      </c>
      <c r="E612" s="550" t="s">
        <v>6295</v>
      </c>
      <c r="F612" s="550" t="s">
        <v>12</v>
      </c>
      <c r="G612" s="552">
        <v>2688</v>
      </c>
      <c r="H612" s="552"/>
      <c r="I612" s="548">
        <v>1000</v>
      </c>
      <c r="J612" s="548">
        <v>449</v>
      </c>
      <c r="K612" s="552">
        <v>0</v>
      </c>
      <c r="L612" s="574">
        <v>449</v>
      </c>
      <c r="M612" s="548">
        <v>551</v>
      </c>
    </row>
    <row r="613" spans="1:13" ht="15.95" customHeight="1">
      <c r="A613" s="547"/>
      <c r="B613" s="550" t="s">
        <v>4135</v>
      </c>
      <c r="C613" s="550" t="s">
        <v>4136</v>
      </c>
      <c r="D613" s="550" t="s">
        <v>4137</v>
      </c>
      <c r="E613" s="550" t="s">
        <v>4138</v>
      </c>
      <c r="F613" s="550" t="s">
        <v>4139</v>
      </c>
      <c r="G613" s="552">
        <v>276500</v>
      </c>
      <c r="H613" s="552">
        <v>539</v>
      </c>
      <c r="I613" s="548">
        <v>0</v>
      </c>
      <c r="J613" s="548">
        <v>527</v>
      </c>
      <c r="K613" s="552">
        <v>5</v>
      </c>
      <c r="L613" s="574">
        <v>522</v>
      </c>
      <c r="M613" s="548">
        <v>12</v>
      </c>
    </row>
    <row r="614" spans="1:13" ht="15.95" customHeight="1">
      <c r="A614" s="547"/>
      <c r="B614" s="550" t="s">
        <v>4141</v>
      </c>
      <c r="C614" s="550" t="s">
        <v>1798</v>
      </c>
      <c r="D614" s="550" t="s">
        <v>1352</v>
      </c>
      <c r="E614" s="550" t="s">
        <v>327</v>
      </c>
      <c r="F614" s="550" t="s">
        <v>11</v>
      </c>
      <c r="G614" s="552">
        <v>6279</v>
      </c>
      <c r="H614" s="552"/>
      <c r="I614" s="548">
        <v>900</v>
      </c>
      <c r="J614" s="548">
        <v>0</v>
      </c>
      <c r="K614" s="552">
        <v>0</v>
      </c>
      <c r="L614" s="574">
        <v>0</v>
      </c>
      <c r="M614" s="548">
        <v>900</v>
      </c>
    </row>
    <row r="615" spans="1:13" ht="15.95" customHeight="1">
      <c r="A615" s="547"/>
      <c r="B615" s="550" t="s">
        <v>4141</v>
      </c>
      <c r="C615" s="550" t="s">
        <v>1798</v>
      </c>
      <c r="D615" s="550" t="s">
        <v>1352</v>
      </c>
      <c r="E615" s="550" t="s">
        <v>327</v>
      </c>
      <c r="F615" s="550" t="s">
        <v>11</v>
      </c>
      <c r="G615" s="552">
        <v>5985</v>
      </c>
      <c r="H615" s="552">
        <v>1</v>
      </c>
      <c r="I615" s="548">
        <v>0</v>
      </c>
      <c r="J615" s="548">
        <v>1</v>
      </c>
      <c r="K615" s="552">
        <v>0</v>
      </c>
      <c r="L615" s="574">
        <v>1</v>
      </c>
      <c r="M615" s="548">
        <v>0</v>
      </c>
    </row>
    <row r="616" spans="1:13" ht="15.95" customHeight="1">
      <c r="A616" s="547"/>
      <c r="B616" s="550" t="s">
        <v>4867</v>
      </c>
      <c r="C616" s="550" t="s">
        <v>3621</v>
      </c>
      <c r="D616" s="550" t="s">
        <v>2509</v>
      </c>
      <c r="E616" s="550" t="s">
        <v>4868</v>
      </c>
      <c r="F616" s="550" t="s">
        <v>628</v>
      </c>
      <c r="G616" s="552">
        <v>438</v>
      </c>
      <c r="H616" s="552">
        <v>2000</v>
      </c>
      <c r="I616" s="548">
        <v>0</v>
      </c>
      <c r="J616" s="548">
        <v>1098</v>
      </c>
      <c r="K616" s="552">
        <v>369</v>
      </c>
      <c r="L616" s="574">
        <v>729</v>
      </c>
      <c r="M616" s="548">
        <v>902</v>
      </c>
    </row>
    <row r="617" spans="1:13" ht="15.95" customHeight="1">
      <c r="A617" s="547"/>
      <c r="B617" s="550" t="s">
        <v>4867</v>
      </c>
      <c r="C617" s="550" t="s">
        <v>3621</v>
      </c>
      <c r="D617" s="550" t="s">
        <v>2509</v>
      </c>
      <c r="E617" s="550" t="s">
        <v>4868</v>
      </c>
      <c r="F617" s="550" t="s">
        <v>628</v>
      </c>
      <c r="G617" s="552">
        <v>438</v>
      </c>
      <c r="H617" s="552">
        <v>398</v>
      </c>
      <c r="I617" s="548">
        <v>0</v>
      </c>
      <c r="J617" s="548">
        <v>397</v>
      </c>
      <c r="K617" s="552">
        <v>377</v>
      </c>
      <c r="L617" s="574">
        <v>20</v>
      </c>
      <c r="M617" s="548">
        <v>1</v>
      </c>
    </row>
    <row r="618" spans="1:13" ht="15.95" customHeight="1">
      <c r="A618" s="547"/>
      <c r="B618" s="550" t="s">
        <v>4867</v>
      </c>
      <c r="C618" s="550" t="s">
        <v>3621</v>
      </c>
      <c r="D618" s="550" t="s">
        <v>2509</v>
      </c>
      <c r="E618" s="550" t="s">
        <v>4868</v>
      </c>
      <c r="F618" s="550" t="s">
        <v>628</v>
      </c>
      <c r="G618" s="552">
        <v>438</v>
      </c>
      <c r="H618" s="552">
        <v>10</v>
      </c>
      <c r="I618" s="548">
        <v>0</v>
      </c>
      <c r="J618" s="548">
        <v>1</v>
      </c>
      <c r="K618" s="552">
        <v>0</v>
      </c>
      <c r="L618" s="574">
        <v>1</v>
      </c>
      <c r="M618" s="548">
        <v>9</v>
      </c>
    </row>
    <row r="619" spans="1:13" ht="15.95" customHeight="1">
      <c r="A619" s="547"/>
      <c r="B619" s="550" t="s">
        <v>4707</v>
      </c>
      <c r="C619" s="550" t="s">
        <v>145</v>
      </c>
      <c r="D619" s="550" t="s">
        <v>146</v>
      </c>
      <c r="E619" s="550" t="s">
        <v>147</v>
      </c>
      <c r="F619" s="550" t="s">
        <v>11</v>
      </c>
      <c r="G619" s="552">
        <v>1200</v>
      </c>
      <c r="H619" s="552"/>
      <c r="I619" s="548">
        <v>800</v>
      </c>
      <c r="J619" s="548">
        <v>800</v>
      </c>
      <c r="K619" s="552">
        <v>0</v>
      </c>
      <c r="L619" s="574">
        <v>800</v>
      </c>
      <c r="M619" s="548">
        <v>0</v>
      </c>
    </row>
    <row r="620" spans="1:13" ht="0.75" customHeight="1">
      <c r="A620" s="547"/>
      <c r="B620" s="559" t="s">
        <v>4707</v>
      </c>
      <c r="C620" s="559" t="s">
        <v>145</v>
      </c>
      <c r="D620" s="559" t="s">
        <v>146</v>
      </c>
      <c r="E620" s="559" t="s">
        <v>147</v>
      </c>
      <c r="F620" s="559" t="s">
        <v>11</v>
      </c>
      <c r="G620" s="562">
        <v>1200</v>
      </c>
      <c r="H620" s="562">
        <v>2395</v>
      </c>
      <c r="I620" s="565">
        <v>0</v>
      </c>
      <c r="J620" s="570">
        <v>2395</v>
      </c>
      <c r="K620" s="567">
        <v>0</v>
      </c>
      <c r="L620" s="574">
        <v>2395</v>
      </c>
      <c r="M620" s="570">
        <v>0</v>
      </c>
    </row>
    <row r="621" spans="1:13" ht="12.95" customHeight="1">
      <c r="A621" s="547"/>
      <c r="B621" s="560" t="s">
        <v>8625</v>
      </c>
      <c r="C621" s="560" t="s">
        <v>12374</v>
      </c>
      <c r="D621" s="560" t="s">
        <v>8626</v>
      </c>
      <c r="E621" s="560" t="s">
        <v>12375</v>
      </c>
      <c r="F621" s="560" t="s">
        <v>11</v>
      </c>
      <c r="G621" s="563">
        <v>2700</v>
      </c>
      <c r="H621" s="563"/>
      <c r="I621" s="548">
        <v>19980</v>
      </c>
      <c r="J621" s="571">
        <v>0</v>
      </c>
      <c r="K621" s="568">
        <v>0</v>
      </c>
      <c r="L621" s="574">
        <v>0</v>
      </c>
      <c r="M621" s="571">
        <v>19980</v>
      </c>
    </row>
    <row r="622" spans="1:13" ht="0.75" customHeight="1">
      <c r="A622" s="547"/>
      <c r="B622" s="558" t="s">
        <v>8625</v>
      </c>
      <c r="C622" s="558" t="s">
        <v>12374</v>
      </c>
      <c r="D622" s="558" t="s">
        <v>8626</v>
      </c>
      <c r="E622" s="558" t="s">
        <v>12375</v>
      </c>
      <c r="F622" s="558" t="s">
        <v>11</v>
      </c>
      <c r="G622" s="561">
        <v>2700</v>
      </c>
      <c r="H622" s="561"/>
      <c r="I622" s="564">
        <v>3660</v>
      </c>
      <c r="J622" s="569">
        <v>3660</v>
      </c>
      <c r="K622" s="566">
        <v>0</v>
      </c>
      <c r="L622" s="574">
        <v>3660</v>
      </c>
      <c r="M622" s="569">
        <v>0</v>
      </c>
    </row>
    <row r="623" spans="1:13" ht="13.7" customHeight="1">
      <c r="A623" s="557"/>
      <c r="B623" s="550" t="s">
        <v>8625</v>
      </c>
      <c r="C623" s="550" t="s">
        <v>12374</v>
      </c>
      <c r="D623" s="550" t="s">
        <v>8626</v>
      </c>
      <c r="E623" s="550" t="s">
        <v>12375</v>
      </c>
      <c r="F623" s="550" t="s">
        <v>11</v>
      </c>
      <c r="G623" s="552">
        <v>2700</v>
      </c>
      <c r="H623" s="552"/>
      <c r="I623" s="548">
        <v>11340</v>
      </c>
      <c r="J623" s="548">
        <v>11340</v>
      </c>
      <c r="K623" s="552">
        <v>0</v>
      </c>
      <c r="L623" s="574">
        <v>11340</v>
      </c>
      <c r="M623" s="548">
        <v>0</v>
      </c>
    </row>
    <row r="624" spans="1:13" ht="15.95" customHeight="1">
      <c r="A624" s="547"/>
      <c r="B624" s="550" t="s">
        <v>6119</v>
      </c>
      <c r="C624" s="550" t="s">
        <v>6120</v>
      </c>
      <c r="D624" s="550" t="s">
        <v>556</v>
      </c>
      <c r="E624" s="550" t="s">
        <v>327</v>
      </c>
      <c r="F624" s="550" t="s">
        <v>11</v>
      </c>
      <c r="G624" s="552">
        <v>3360</v>
      </c>
      <c r="H624" s="552"/>
      <c r="I624" s="548">
        <v>14980</v>
      </c>
      <c r="J624" s="548">
        <v>14975</v>
      </c>
      <c r="K624" s="552">
        <v>0</v>
      </c>
      <c r="L624" s="574">
        <v>14975</v>
      </c>
      <c r="M624" s="548">
        <v>5</v>
      </c>
    </row>
    <row r="625" spans="1:13" ht="15.95" customHeight="1">
      <c r="A625" s="547"/>
      <c r="B625" s="550" t="s">
        <v>6112</v>
      </c>
      <c r="C625" s="550" t="s">
        <v>12480</v>
      </c>
      <c r="D625" s="550" t="s">
        <v>556</v>
      </c>
      <c r="E625" s="550" t="s">
        <v>238</v>
      </c>
      <c r="F625" s="550" t="s">
        <v>11</v>
      </c>
      <c r="G625" s="552">
        <v>1990</v>
      </c>
      <c r="H625" s="552"/>
      <c r="I625" s="548">
        <v>10000</v>
      </c>
      <c r="J625" s="548">
        <v>0</v>
      </c>
      <c r="K625" s="552">
        <v>0</v>
      </c>
      <c r="L625" s="574">
        <v>0</v>
      </c>
      <c r="M625" s="548">
        <v>10000</v>
      </c>
    </row>
    <row r="626" spans="1:13" ht="15.95" customHeight="1">
      <c r="A626" s="547"/>
      <c r="B626" s="550" t="s">
        <v>4146</v>
      </c>
      <c r="C626" s="550" t="s">
        <v>650</v>
      </c>
      <c r="D626" s="550" t="s">
        <v>649</v>
      </c>
      <c r="E626" s="550" t="s">
        <v>651</v>
      </c>
      <c r="F626" s="550" t="s">
        <v>11</v>
      </c>
      <c r="G626" s="552">
        <v>4725</v>
      </c>
      <c r="H626" s="552">
        <v>3028</v>
      </c>
      <c r="I626" s="548">
        <v>0</v>
      </c>
      <c r="J626" s="548">
        <v>3028</v>
      </c>
      <c r="K626" s="552">
        <v>0</v>
      </c>
      <c r="L626" s="574">
        <v>3028</v>
      </c>
      <c r="M626" s="548">
        <v>0</v>
      </c>
    </row>
    <row r="627" spans="1:13" ht="15.95" customHeight="1">
      <c r="A627" s="547"/>
      <c r="B627" s="550" t="s">
        <v>4146</v>
      </c>
      <c r="C627" s="550" t="s">
        <v>650</v>
      </c>
      <c r="D627" s="550" t="s">
        <v>649</v>
      </c>
      <c r="E627" s="550" t="s">
        <v>651</v>
      </c>
      <c r="F627" s="550" t="s">
        <v>11</v>
      </c>
      <c r="G627" s="552">
        <v>4725</v>
      </c>
      <c r="H627" s="552">
        <v>1374</v>
      </c>
      <c r="I627" s="548">
        <v>0</v>
      </c>
      <c r="J627" s="548">
        <v>1374</v>
      </c>
      <c r="K627" s="552">
        <v>0</v>
      </c>
      <c r="L627" s="574">
        <v>1374</v>
      </c>
      <c r="M627" s="548">
        <v>0</v>
      </c>
    </row>
    <row r="628" spans="1:13" ht="15.95" customHeight="1">
      <c r="A628" s="547"/>
      <c r="B628" s="550" t="s">
        <v>4146</v>
      </c>
      <c r="C628" s="550" t="s">
        <v>650</v>
      </c>
      <c r="D628" s="550" t="s">
        <v>649</v>
      </c>
      <c r="E628" s="550" t="s">
        <v>651</v>
      </c>
      <c r="F628" s="550" t="s">
        <v>11</v>
      </c>
      <c r="G628" s="552">
        <v>4725</v>
      </c>
      <c r="H628" s="552"/>
      <c r="I628" s="548">
        <v>6000</v>
      </c>
      <c r="J628" s="548">
        <v>6000</v>
      </c>
      <c r="K628" s="552">
        <v>0</v>
      </c>
      <c r="L628" s="574">
        <v>6000</v>
      </c>
      <c r="M628" s="548">
        <v>0</v>
      </c>
    </row>
    <row r="629" spans="1:13" ht="15.95" customHeight="1">
      <c r="A629" s="547"/>
      <c r="B629" s="550" t="s">
        <v>4146</v>
      </c>
      <c r="C629" s="550" t="s">
        <v>650</v>
      </c>
      <c r="D629" s="550" t="s">
        <v>649</v>
      </c>
      <c r="E629" s="550" t="s">
        <v>651</v>
      </c>
      <c r="F629" s="550" t="s">
        <v>11</v>
      </c>
      <c r="G629" s="552">
        <v>4725</v>
      </c>
      <c r="H629" s="552"/>
      <c r="I629" s="548">
        <v>6000</v>
      </c>
      <c r="J629" s="548">
        <v>4338</v>
      </c>
      <c r="K629" s="552">
        <v>0</v>
      </c>
      <c r="L629" s="574">
        <v>4338</v>
      </c>
      <c r="M629" s="548">
        <v>1662</v>
      </c>
    </row>
    <row r="630" spans="1:13" ht="15.95" customHeight="1">
      <c r="A630" s="547"/>
      <c r="B630" s="550" t="s">
        <v>4146</v>
      </c>
      <c r="C630" s="550" t="s">
        <v>650</v>
      </c>
      <c r="D630" s="550" t="s">
        <v>649</v>
      </c>
      <c r="E630" s="550" t="s">
        <v>651</v>
      </c>
      <c r="F630" s="550" t="s">
        <v>11</v>
      </c>
      <c r="G630" s="552">
        <v>4725</v>
      </c>
      <c r="H630" s="552"/>
      <c r="I630" s="548">
        <v>3000</v>
      </c>
      <c r="J630" s="548">
        <v>0</v>
      </c>
      <c r="K630" s="552">
        <v>0</v>
      </c>
      <c r="L630" s="574">
        <v>0</v>
      </c>
      <c r="M630" s="548">
        <v>3000</v>
      </c>
    </row>
    <row r="631" spans="1:13" ht="15.95" customHeight="1">
      <c r="A631" s="547"/>
      <c r="B631" s="550"/>
      <c r="C631" s="550" t="s">
        <v>221</v>
      </c>
      <c r="D631" s="550" t="s">
        <v>221</v>
      </c>
      <c r="E631" s="550" t="s">
        <v>222</v>
      </c>
      <c r="F631" s="550" t="s">
        <v>10</v>
      </c>
      <c r="G631" s="552">
        <v>123</v>
      </c>
      <c r="H631" s="552">
        <v>5000</v>
      </c>
      <c r="I631" s="548">
        <v>0</v>
      </c>
      <c r="J631" s="548">
        <v>1029</v>
      </c>
      <c r="K631" s="552">
        <v>1000</v>
      </c>
      <c r="L631" s="574">
        <v>29</v>
      </c>
      <c r="M631" s="548">
        <v>3971</v>
      </c>
    </row>
    <row r="632" spans="1:13" ht="15.95" customHeight="1">
      <c r="A632" s="547"/>
      <c r="B632" s="550"/>
      <c r="C632" s="550" t="s">
        <v>221</v>
      </c>
      <c r="D632" s="550" t="s">
        <v>221</v>
      </c>
      <c r="E632" s="550" t="s">
        <v>222</v>
      </c>
      <c r="F632" s="550" t="s">
        <v>10</v>
      </c>
      <c r="G632" s="552">
        <v>123</v>
      </c>
      <c r="H632" s="552">
        <v>577</v>
      </c>
      <c r="I632" s="548">
        <v>400</v>
      </c>
      <c r="J632" s="548">
        <v>977</v>
      </c>
      <c r="K632" s="552">
        <v>0</v>
      </c>
      <c r="L632" s="574">
        <v>977</v>
      </c>
      <c r="M632" s="548">
        <v>0</v>
      </c>
    </row>
    <row r="633" spans="1:13" ht="15.95" customHeight="1">
      <c r="A633" s="547"/>
      <c r="B633" s="550"/>
      <c r="C633" s="550" t="s">
        <v>221</v>
      </c>
      <c r="D633" s="550" t="s">
        <v>221</v>
      </c>
      <c r="E633" s="550" t="s">
        <v>222</v>
      </c>
      <c r="F633" s="550" t="s">
        <v>10</v>
      </c>
      <c r="G633" s="552">
        <v>123</v>
      </c>
      <c r="H633" s="552">
        <v>100</v>
      </c>
      <c r="I633" s="548">
        <v>0</v>
      </c>
      <c r="J633" s="548">
        <v>100</v>
      </c>
      <c r="K633" s="552">
        <v>0</v>
      </c>
      <c r="L633" s="574">
        <v>100</v>
      </c>
      <c r="M633" s="548">
        <v>0</v>
      </c>
    </row>
    <row r="634" spans="1:13" ht="15.95" customHeight="1">
      <c r="A634" s="547"/>
      <c r="B634" s="550" t="s">
        <v>4872</v>
      </c>
      <c r="C634" s="550" t="s">
        <v>4873</v>
      </c>
      <c r="D634" s="550" t="s">
        <v>221</v>
      </c>
      <c r="E634" s="550" t="s">
        <v>222</v>
      </c>
      <c r="F634" s="550" t="s">
        <v>10</v>
      </c>
      <c r="G634" s="552">
        <v>115</v>
      </c>
      <c r="H634" s="552">
        <v>800</v>
      </c>
      <c r="I634" s="548">
        <v>200</v>
      </c>
      <c r="J634" s="548">
        <v>586</v>
      </c>
      <c r="K634" s="552">
        <v>219</v>
      </c>
      <c r="L634" s="574">
        <v>367</v>
      </c>
      <c r="M634" s="548">
        <v>414</v>
      </c>
    </row>
    <row r="635" spans="1:13" ht="15.95" customHeight="1">
      <c r="A635" s="547"/>
      <c r="B635" s="550" t="s">
        <v>4147</v>
      </c>
      <c r="C635" s="550" t="s">
        <v>646</v>
      </c>
      <c r="D635" s="550" t="s">
        <v>645</v>
      </c>
      <c r="E635" s="550" t="s">
        <v>248</v>
      </c>
      <c r="F635" s="550" t="s">
        <v>10</v>
      </c>
      <c r="G635" s="552">
        <v>225</v>
      </c>
      <c r="H635" s="552">
        <v>28</v>
      </c>
      <c r="I635" s="548">
        <v>0</v>
      </c>
      <c r="J635" s="548">
        <v>28</v>
      </c>
      <c r="K635" s="552">
        <v>0</v>
      </c>
      <c r="L635" s="574">
        <v>28</v>
      </c>
      <c r="M635" s="548">
        <v>0</v>
      </c>
    </row>
    <row r="636" spans="1:13" ht="15.95" customHeight="1">
      <c r="A636" s="547"/>
      <c r="B636" s="550" t="s">
        <v>4147</v>
      </c>
      <c r="C636" s="550" t="s">
        <v>646</v>
      </c>
      <c r="D636" s="550" t="s">
        <v>645</v>
      </c>
      <c r="E636" s="550" t="s">
        <v>248</v>
      </c>
      <c r="F636" s="550" t="s">
        <v>11</v>
      </c>
      <c r="G636" s="552">
        <v>198</v>
      </c>
      <c r="H636" s="552"/>
      <c r="I636" s="548">
        <v>3450</v>
      </c>
      <c r="J636" s="548">
        <v>1680</v>
      </c>
      <c r="K636" s="552">
        <v>1680</v>
      </c>
      <c r="L636" s="574">
        <v>0</v>
      </c>
      <c r="M636" s="548">
        <v>1770</v>
      </c>
    </row>
    <row r="637" spans="1:13" ht="15.95" customHeight="1">
      <c r="A637" s="547"/>
      <c r="B637" s="550" t="s">
        <v>6730</v>
      </c>
      <c r="C637" s="550" t="s">
        <v>6731</v>
      </c>
      <c r="D637" s="550" t="s">
        <v>1488</v>
      </c>
      <c r="E637" s="550" t="s">
        <v>1173</v>
      </c>
      <c r="F637" s="550" t="s">
        <v>11</v>
      </c>
      <c r="G637" s="552">
        <v>880</v>
      </c>
      <c r="H637" s="552"/>
      <c r="I637" s="548">
        <v>19980</v>
      </c>
      <c r="J637" s="548">
        <v>1000</v>
      </c>
      <c r="K637" s="552">
        <v>1000</v>
      </c>
      <c r="L637" s="574">
        <v>0</v>
      </c>
      <c r="M637" s="548">
        <v>18980</v>
      </c>
    </row>
    <row r="638" spans="1:13" ht="15.95" customHeight="1">
      <c r="A638" s="547"/>
      <c r="B638" s="550" t="s">
        <v>6730</v>
      </c>
      <c r="C638" s="550" t="s">
        <v>6731</v>
      </c>
      <c r="D638" s="550" t="s">
        <v>1488</v>
      </c>
      <c r="E638" s="550" t="s">
        <v>1173</v>
      </c>
      <c r="F638" s="550" t="s">
        <v>11</v>
      </c>
      <c r="G638" s="552">
        <v>880</v>
      </c>
      <c r="H638" s="552"/>
      <c r="I638" s="548">
        <v>1980</v>
      </c>
      <c r="J638" s="548">
        <v>1980</v>
      </c>
      <c r="K638" s="552">
        <v>1980</v>
      </c>
      <c r="L638" s="574">
        <v>0</v>
      </c>
      <c r="M638" s="548">
        <v>0</v>
      </c>
    </row>
    <row r="639" spans="1:13" ht="15.95" customHeight="1">
      <c r="A639" s="547"/>
      <c r="B639" s="550" t="s">
        <v>6125</v>
      </c>
      <c r="C639" s="550" t="s">
        <v>6126</v>
      </c>
      <c r="D639" s="550" t="s">
        <v>645</v>
      </c>
      <c r="E639" s="550" t="s">
        <v>291</v>
      </c>
      <c r="F639" s="550" t="s">
        <v>11</v>
      </c>
      <c r="G639" s="552">
        <v>1300</v>
      </c>
      <c r="H639" s="552"/>
      <c r="I639" s="548">
        <v>9120</v>
      </c>
      <c r="J639" s="548">
        <v>8160</v>
      </c>
      <c r="K639" s="552">
        <v>2128</v>
      </c>
      <c r="L639" s="574">
        <v>6032</v>
      </c>
      <c r="M639" s="548">
        <v>960</v>
      </c>
    </row>
    <row r="640" spans="1:13" ht="15.95" customHeight="1">
      <c r="A640" s="547"/>
      <c r="B640" s="550" t="s">
        <v>4523</v>
      </c>
      <c r="C640" s="550" t="s">
        <v>1274</v>
      </c>
      <c r="D640" s="550" t="s">
        <v>256</v>
      </c>
      <c r="E640" s="550" t="s">
        <v>296</v>
      </c>
      <c r="F640" s="550" t="s">
        <v>12</v>
      </c>
      <c r="G640" s="552">
        <v>6800</v>
      </c>
      <c r="H640" s="552"/>
      <c r="I640" s="548">
        <v>327</v>
      </c>
      <c r="J640" s="548">
        <v>327</v>
      </c>
      <c r="K640" s="552">
        <v>0</v>
      </c>
      <c r="L640" s="574">
        <v>327</v>
      </c>
      <c r="M640" s="548">
        <v>0</v>
      </c>
    </row>
    <row r="641" spans="1:13" ht="15.95" customHeight="1">
      <c r="A641" s="547"/>
      <c r="B641" s="550" t="s">
        <v>4523</v>
      </c>
      <c r="C641" s="550" t="s">
        <v>1274</v>
      </c>
      <c r="D641" s="550" t="s">
        <v>256</v>
      </c>
      <c r="E641" s="550" t="s">
        <v>296</v>
      </c>
      <c r="F641" s="550" t="s">
        <v>12</v>
      </c>
      <c r="G641" s="552">
        <v>6800</v>
      </c>
      <c r="H641" s="552">
        <v>3811</v>
      </c>
      <c r="I641" s="548">
        <v>254</v>
      </c>
      <c r="J641" s="548">
        <v>4063</v>
      </c>
      <c r="K641" s="552">
        <v>96</v>
      </c>
      <c r="L641" s="574">
        <v>3967</v>
      </c>
      <c r="M641" s="548">
        <v>2</v>
      </c>
    </row>
    <row r="642" spans="1:13" ht="15.95" customHeight="1">
      <c r="A642" s="547"/>
      <c r="B642" s="550" t="s">
        <v>8426</v>
      </c>
      <c r="C642" s="550" t="s">
        <v>4151</v>
      </c>
      <c r="D642" s="550" t="s">
        <v>1668</v>
      </c>
      <c r="E642" s="550" t="s">
        <v>869</v>
      </c>
      <c r="F642" s="550" t="s">
        <v>11</v>
      </c>
      <c r="G642" s="552">
        <v>542</v>
      </c>
      <c r="H642" s="552"/>
      <c r="I642" s="548">
        <v>6200</v>
      </c>
      <c r="J642" s="548">
        <v>0</v>
      </c>
      <c r="K642" s="552">
        <v>0</v>
      </c>
      <c r="L642" s="574">
        <v>0</v>
      </c>
      <c r="M642" s="548">
        <v>6200</v>
      </c>
    </row>
    <row r="643" spans="1:13" ht="15.95" customHeight="1">
      <c r="A643" s="547"/>
      <c r="B643" s="550" t="s">
        <v>7125</v>
      </c>
      <c r="C643" s="550" t="s">
        <v>7127</v>
      </c>
      <c r="D643" s="550" t="s">
        <v>1697</v>
      </c>
      <c r="E643" s="550" t="s">
        <v>7126</v>
      </c>
      <c r="F643" s="550" t="s">
        <v>11</v>
      </c>
      <c r="G643" s="552">
        <v>2850</v>
      </c>
      <c r="H643" s="552"/>
      <c r="I643" s="548">
        <v>5000</v>
      </c>
      <c r="J643" s="548">
        <v>1282</v>
      </c>
      <c r="K643" s="552">
        <v>0</v>
      </c>
      <c r="L643" s="574">
        <v>1282</v>
      </c>
      <c r="M643" s="548">
        <v>3718</v>
      </c>
    </row>
    <row r="644" spans="1:13" ht="15.95" customHeight="1">
      <c r="A644" s="547"/>
      <c r="B644" s="550" t="s">
        <v>4153</v>
      </c>
      <c r="C644" s="550" t="s">
        <v>4154</v>
      </c>
      <c r="D644" s="550" t="s">
        <v>4155</v>
      </c>
      <c r="E644" s="550" t="s">
        <v>4156</v>
      </c>
      <c r="F644" s="550" t="s">
        <v>520</v>
      </c>
      <c r="G644" s="552">
        <v>2415</v>
      </c>
      <c r="H644" s="552">
        <v>24</v>
      </c>
      <c r="I644" s="548">
        <v>10</v>
      </c>
      <c r="J644" s="548">
        <v>10</v>
      </c>
      <c r="K644" s="552">
        <v>10</v>
      </c>
      <c r="L644" s="574">
        <v>0</v>
      </c>
      <c r="M644" s="548">
        <v>24</v>
      </c>
    </row>
    <row r="645" spans="1:13" ht="15.95" customHeight="1">
      <c r="A645" s="547"/>
      <c r="B645" s="550" t="s">
        <v>4153</v>
      </c>
      <c r="C645" s="550" t="s">
        <v>4154</v>
      </c>
      <c r="D645" s="550" t="s">
        <v>4155</v>
      </c>
      <c r="E645" s="550" t="s">
        <v>4156</v>
      </c>
      <c r="F645" s="550" t="s">
        <v>520</v>
      </c>
      <c r="G645" s="552">
        <v>2415</v>
      </c>
      <c r="H645" s="552">
        <v>90</v>
      </c>
      <c r="I645" s="548">
        <v>0</v>
      </c>
      <c r="J645" s="548">
        <v>34</v>
      </c>
      <c r="K645" s="552">
        <v>0</v>
      </c>
      <c r="L645" s="574">
        <v>34</v>
      </c>
      <c r="M645" s="548">
        <v>56</v>
      </c>
    </row>
    <row r="646" spans="1:13" ht="15.95" customHeight="1">
      <c r="A646" s="547"/>
      <c r="B646" s="550" t="s">
        <v>4153</v>
      </c>
      <c r="C646" s="550" t="s">
        <v>4154</v>
      </c>
      <c r="D646" s="550" t="s">
        <v>4155</v>
      </c>
      <c r="E646" s="550" t="s">
        <v>4156</v>
      </c>
      <c r="F646" s="550" t="s">
        <v>520</v>
      </c>
      <c r="G646" s="552">
        <v>2415</v>
      </c>
      <c r="H646" s="552">
        <v>100</v>
      </c>
      <c r="I646" s="548">
        <v>0</v>
      </c>
      <c r="J646" s="548">
        <v>0</v>
      </c>
      <c r="K646" s="552">
        <v>0</v>
      </c>
      <c r="L646" s="574">
        <v>0</v>
      </c>
      <c r="M646" s="548">
        <v>100</v>
      </c>
    </row>
    <row r="647" spans="1:13" ht="15.95" customHeight="1">
      <c r="A647" s="547"/>
      <c r="B647" s="550" t="s">
        <v>5024</v>
      </c>
      <c r="C647" s="550" t="s">
        <v>5025</v>
      </c>
      <c r="D647" s="550" t="s">
        <v>1636</v>
      </c>
      <c r="E647" s="550" t="s">
        <v>5026</v>
      </c>
      <c r="F647" s="550" t="s">
        <v>11</v>
      </c>
      <c r="G647" s="552">
        <v>125</v>
      </c>
      <c r="H647" s="552">
        <v>1100</v>
      </c>
      <c r="I647" s="548">
        <v>18</v>
      </c>
      <c r="J647" s="548">
        <v>1118</v>
      </c>
      <c r="K647" s="552">
        <v>1018</v>
      </c>
      <c r="L647" s="574">
        <v>100</v>
      </c>
      <c r="M647" s="548">
        <v>0</v>
      </c>
    </row>
    <row r="648" spans="1:13" ht="15.95" customHeight="1">
      <c r="A648" s="547"/>
      <c r="B648" s="550" t="s">
        <v>5024</v>
      </c>
      <c r="C648" s="550" t="s">
        <v>5025</v>
      </c>
      <c r="D648" s="550" t="s">
        <v>1636</v>
      </c>
      <c r="E648" s="550" t="s">
        <v>5026</v>
      </c>
      <c r="F648" s="550" t="s">
        <v>11</v>
      </c>
      <c r="G648" s="552">
        <v>125</v>
      </c>
      <c r="H648" s="552"/>
      <c r="I648" s="548">
        <v>82921</v>
      </c>
      <c r="J648" s="548">
        <v>57475</v>
      </c>
      <c r="K648" s="552">
        <v>44266</v>
      </c>
      <c r="L648" s="574">
        <v>13209</v>
      </c>
      <c r="M648" s="548">
        <v>25446</v>
      </c>
    </row>
    <row r="649" spans="1:13" ht="15.95" customHeight="1">
      <c r="A649" s="547"/>
      <c r="B649" s="550" t="s">
        <v>5024</v>
      </c>
      <c r="C649" s="550" t="s">
        <v>5025</v>
      </c>
      <c r="D649" s="550" t="s">
        <v>1636</v>
      </c>
      <c r="E649" s="550" t="s">
        <v>5026</v>
      </c>
      <c r="F649" s="550" t="s">
        <v>11</v>
      </c>
      <c r="G649" s="552">
        <v>125</v>
      </c>
      <c r="H649" s="552">
        <v>3488</v>
      </c>
      <c r="I649" s="548">
        <v>5</v>
      </c>
      <c r="J649" s="548">
        <v>3493</v>
      </c>
      <c r="K649" s="552">
        <v>460</v>
      </c>
      <c r="L649" s="574">
        <v>3033</v>
      </c>
      <c r="M649" s="548">
        <v>0</v>
      </c>
    </row>
    <row r="650" spans="1:13" ht="15.95" customHeight="1">
      <c r="A650" s="547"/>
      <c r="B650" s="550" t="s">
        <v>4446</v>
      </c>
      <c r="C650" s="550" t="s">
        <v>2515</v>
      </c>
      <c r="D650" s="550" t="s">
        <v>2516</v>
      </c>
      <c r="E650" s="550" t="s">
        <v>4447</v>
      </c>
      <c r="F650" s="550" t="s">
        <v>15</v>
      </c>
      <c r="G650" s="552">
        <v>18900</v>
      </c>
      <c r="H650" s="552">
        <v>38</v>
      </c>
      <c r="I650" s="548">
        <v>0</v>
      </c>
      <c r="J650" s="548">
        <v>7</v>
      </c>
      <c r="K650" s="552">
        <v>2</v>
      </c>
      <c r="L650" s="574">
        <v>5</v>
      </c>
      <c r="M650" s="548">
        <v>31</v>
      </c>
    </row>
    <row r="651" spans="1:13" ht="15.95" customHeight="1">
      <c r="A651" s="547"/>
      <c r="B651" s="550" t="s">
        <v>3792</v>
      </c>
      <c r="C651" s="550" t="s">
        <v>4158</v>
      </c>
      <c r="D651" s="550" t="s">
        <v>3793</v>
      </c>
      <c r="E651" s="550" t="s">
        <v>4159</v>
      </c>
      <c r="F651" s="550" t="s">
        <v>13</v>
      </c>
      <c r="G651" s="552">
        <v>1932</v>
      </c>
      <c r="H651" s="552">
        <v>8753</v>
      </c>
      <c r="I651" s="548">
        <v>10038</v>
      </c>
      <c r="J651" s="548">
        <v>18772</v>
      </c>
      <c r="K651" s="552">
        <v>6095</v>
      </c>
      <c r="L651" s="574">
        <v>12677</v>
      </c>
      <c r="M651" s="548">
        <v>19</v>
      </c>
    </row>
    <row r="652" spans="1:13" ht="15.95" customHeight="1">
      <c r="A652" s="547"/>
      <c r="B652" s="550" t="s">
        <v>3792</v>
      </c>
      <c r="C652" s="550" t="s">
        <v>4158</v>
      </c>
      <c r="D652" s="550" t="s">
        <v>3793</v>
      </c>
      <c r="E652" s="550" t="s">
        <v>4159</v>
      </c>
      <c r="F652" s="550" t="s">
        <v>13</v>
      </c>
      <c r="G652" s="552">
        <v>1932</v>
      </c>
      <c r="H652" s="552"/>
      <c r="I652" s="548">
        <v>4500</v>
      </c>
      <c r="J652" s="548">
        <v>3218</v>
      </c>
      <c r="K652" s="552">
        <v>0</v>
      </c>
      <c r="L652" s="574">
        <v>3218</v>
      </c>
      <c r="M652" s="548">
        <v>1282</v>
      </c>
    </row>
    <row r="653" spans="1:13" ht="15.95" customHeight="1">
      <c r="A653" s="547"/>
      <c r="B653" s="550" t="s">
        <v>3792</v>
      </c>
      <c r="C653" s="550" t="s">
        <v>4158</v>
      </c>
      <c r="D653" s="550" t="s">
        <v>3793</v>
      </c>
      <c r="E653" s="550" t="s">
        <v>4159</v>
      </c>
      <c r="F653" s="550" t="s">
        <v>13</v>
      </c>
      <c r="G653" s="552">
        <v>1932</v>
      </c>
      <c r="H653" s="552"/>
      <c r="I653" s="548">
        <v>9028</v>
      </c>
      <c r="J653" s="548">
        <v>3831</v>
      </c>
      <c r="K653" s="552">
        <v>3111</v>
      </c>
      <c r="L653" s="574">
        <v>720</v>
      </c>
      <c r="M653" s="548">
        <v>5197</v>
      </c>
    </row>
    <row r="654" spans="1:13" ht="15.95" customHeight="1">
      <c r="A654" s="547"/>
      <c r="B654" s="550" t="s">
        <v>4709</v>
      </c>
      <c r="C654" s="550" t="s">
        <v>4710</v>
      </c>
      <c r="D654" s="550" t="s">
        <v>4711</v>
      </c>
      <c r="E654" s="550" t="s">
        <v>4712</v>
      </c>
      <c r="F654" s="550" t="s">
        <v>658</v>
      </c>
      <c r="G654" s="552">
        <v>25850</v>
      </c>
      <c r="H654" s="552">
        <v>299</v>
      </c>
      <c r="I654" s="548">
        <v>0</v>
      </c>
      <c r="J654" s="548">
        <v>136</v>
      </c>
      <c r="K654" s="552">
        <v>0</v>
      </c>
      <c r="L654" s="574">
        <v>136</v>
      </c>
      <c r="M654" s="548">
        <v>163</v>
      </c>
    </row>
    <row r="655" spans="1:13" ht="15.95" customHeight="1">
      <c r="A655" s="547"/>
      <c r="B655" s="550" t="s">
        <v>4709</v>
      </c>
      <c r="C655" s="550" t="s">
        <v>4710</v>
      </c>
      <c r="D655" s="550" t="s">
        <v>4711</v>
      </c>
      <c r="E655" s="550" t="s">
        <v>4712</v>
      </c>
      <c r="F655" s="550" t="s">
        <v>658</v>
      </c>
      <c r="G655" s="552">
        <v>25850</v>
      </c>
      <c r="H655" s="552"/>
      <c r="I655" s="548">
        <v>300</v>
      </c>
      <c r="J655" s="548">
        <v>0</v>
      </c>
      <c r="K655" s="552">
        <v>0</v>
      </c>
      <c r="L655" s="574">
        <v>0</v>
      </c>
      <c r="M655" s="548">
        <v>300</v>
      </c>
    </row>
    <row r="656" spans="1:13" ht="15.95" customHeight="1">
      <c r="A656" s="547"/>
      <c r="B656" s="550" t="s">
        <v>4709</v>
      </c>
      <c r="C656" s="550" t="s">
        <v>4710</v>
      </c>
      <c r="D656" s="550" t="s">
        <v>4711</v>
      </c>
      <c r="E656" s="550" t="s">
        <v>4712</v>
      </c>
      <c r="F656" s="550" t="s">
        <v>658</v>
      </c>
      <c r="G656" s="552">
        <v>25850</v>
      </c>
      <c r="H656" s="552">
        <v>201</v>
      </c>
      <c r="I656" s="548">
        <v>0</v>
      </c>
      <c r="J656" s="548">
        <v>0</v>
      </c>
      <c r="K656" s="552">
        <v>0</v>
      </c>
      <c r="L656" s="574">
        <v>0</v>
      </c>
      <c r="M656" s="548">
        <v>201</v>
      </c>
    </row>
    <row r="657" spans="1:13" ht="15.95" customHeight="1">
      <c r="A657" s="547"/>
      <c r="B657" s="550" t="s">
        <v>4709</v>
      </c>
      <c r="C657" s="550" t="s">
        <v>4710</v>
      </c>
      <c r="D657" s="550" t="s">
        <v>4711</v>
      </c>
      <c r="E657" s="550" t="s">
        <v>4712</v>
      </c>
      <c r="F657" s="550" t="s">
        <v>658</v>
      </c>
      <c r="G657" s="552">
        <v>25850</v>
      </c>
      <c r="H657" s="552">
        <v>110</v>
      </c>
      <c r="I657" s="548">
        <v>0</v>
      </c>
      <c r="J657" s="548">
        <v>110</v>
      </c>
      <c r="K657" s="552">
        <v>0</v>
      </c>
      <c r="L657" s="574">
        <v>110</v>
      </c>
      <c r="M657" s="548">
        <v>0</v>
      </c>
    </row>
    <row r="658" spans="1:13" ht="15.95" customHeight="1">
      <c r="A658" s="547"/>
      <c r="B658" s="550" t="s">
        <v>4622</v>
      </c>
      <c r="C658" s="550" t="s">
        <v>12384</v>
      </c>
      <c r="D658" s="550" t="s">
        <v>52</v>
      </c>
      <c r="E658" s="550" t="s">
        <v>12385</v>
      </c>
      <c r="F658" s="550" t="s">
        <v>15</v>
      </c>
      <c r="G658" s="552">
        <v>70000</v>
      </c>
      <c r="H658" s="552"/>
      <c r="I658" s="548">
        <v>60</v>
      </c>
      <c r="J658" s="548">
        <v>60</v>
      </c>
      <c r="K658" s="552">
        <v>60</v>
      </c>
      <c r="L658" s="574">
        <v>0</v>
      </c>
      <c r="M658" s="548">
        <v>0</v>
      </c>
    </row>
    <row r="659" spans="1:13" ht="15.95" customHeight="1">
      <c r="A659" s="547"/>
      <c r="B659" s="550" t="s">
        <v>5010</v>
      </c>
      <c r="C659" s="550" t="s">
        <v>8377</v>
      </c>
      <c r="D659" s="550" t="s">
        <v>1289</v>
      </c>
      <c r="E659" s="550" t="s">
        <v>8376</v>
      </c>
      <c r="F659" s="550" t="s">
        <v>11</v>
      </c>
      <c r="G659" s="552">
        <v>3400</v>
      </c>
      <c r="H659" s="552"/>
      <c r="I659" s="548">
        <v>4980</v>
      </c>
      <c r="J659" s="548">
        <v>225</v>
      </c>
      <c r="K659" s="552">
        <v>0</v>
      </c>
      <c r="L659" s="574">
        <v>225</v>
      </c>
      <c r="M659" s="548">
        <v>4755</v>
      </c>
    </row>
    <row r="660" spans="1:13" ht="15.95" customHeight="1">
      <c r="A660" s="547"/>
      <c r="B660" s="550" t="s">
        <v>4875</v>
      </c>
      <c r="C660" s="550" t="s">
        <v>4876</v>
      </c>
      <c r="D660" s="550" t="s">
        <v>224</v>
      </c>
      <c r="E660" s="550" t="s">
        <v>225</v>
      </c>
      <c r="F660" s="550" t="s">
        <v>10</v>
      </c>
      <c r="G660" s="552">
        <v>1450</v>
      </c>
      <c r="H660" s="552">
        <v>320</v>
      </c>
      <c r="I660" s="548">
        <v>0</v>
      </c>
      <c r="J660" s="548">
        <v>228</v>
      </c>
      <c r="K660" s="552">
        <v>80</v>
      </c>
      <c r="L660" s="574">
        <v>148</v>
      </c>
      <c r="M660" s="548">
        <v>92</v>
      </c>
    </row>
    <row r="661" spans="1:13" ht="15.95" customHeight="1">
      <c r="A661" s="547"/>
      <c r="B661" s="550" t="s">
        <v>4875</v>
      </c>
      <c r="C661" s="550" t="s">
        <v>4876</v>
      </c>
      <c r="D661" s="550" t="s">
        <v>224</v>
      </c>
      <c r="E661" s="550" t="s">
        <v>225</v>
      </c>
      <c r="F661" s="550" t="s">
        <v>10</v>
      </c>
      <c r="G661" s="552">
        <v>1450</v>
      </c>
      <c r="H661" s="552"/>
      <c r="I661" s="548">
        <v>200</v>
      </c>
      <c r="J661" s="548">
        <v>0</v>
      </c>
      <c r="K661" s="552">
        <v>0</v>
      </c>
      <c r="L661" s="574">
        <v>0</v>
      </c>
      <c r="M661" s="548">
        <v>200</v>
      </c>
    </row>
    <row r="662" spans="1:13" ht="15.95" customHeight="1">
      <c r="A662" s="547"/>
      <c r="B662" s="550" t="s">
        <v>4875</v>
      </c>
      <c r="C662" s="550" t="s">
        <v>4876</v>
      </c>
      <c r="D662" s="550" t="s">
        <v>224</v>
      </c>
      <c r="E662" s="550" t="s">
        <v>225</v>
      </c>
      <c r="F662" s="550" t="s">
        <v>10</v>
      </c>
      <c r="G662" s="552">
        <v>1450</v>
      </c>
      <c r="H662" s="552">
        <v>10</v>
      </c>
      <c r="I662" s="548">
        <v>0</v>
      </c>
      <c r="J662" s="548">
        <v>10</v>
      </c>
      <c r="K662" s="552">
        <v>0</v>
      </c>
      <c r="L662" s="574">
        <v>10</v>
      </c>
      <c r="M662" s="548">
        <v>0</v>
      </c>
    </row>
    <row r="663" spans="1:13" ht="15.95" customHeight="1">
      <c r="A663" s="547"/>
      <c r="B663" s="550" t="s">
        <v>4877</v>
      </c>
      <c r="C663" s="550" t="s">
        <v>4876</v>
      </c>
      <c r="D663" s="550" t="s">
        <v>224</v>
      </c>
      <c r="E663" s="550" t="s">
        <v>225</v>
      </c>
      <c r="F663" s="550" t="s">
        <v>10</v>
      </c>
      <c r="G663" s="552">
        <v>1450</v>
      </c>
      <c r="H663" s="552">
        <v>75</v>
      </c>
      <c r="I663" s="548">
        <v>0</v>
      </c>
      <c r="J663" s="548">
        <v>75</v>
      </c>
      <c r="K663" s="552">
        <v>0</v>
      </c>
      <c r="L663" s="574">
        <v>75</v>
      </c>
      <c r="M663" s="548">
        <v>0</v>
      </c>
    </row>
    <row r="664" spans="1:13" ht="15.95" customHeight="1">
      <c r="A664" s="547"/>
      <c r="B664" s="550" t="s">
        <v>4162</v>
      </c>
      <c r="C664" s="550" t="s">
        <v>1120</v>
      </c>
      <c r="D664" s="550" t="s">
        <v>1119</v>
      </c>
      <c r="E664" s="550" t="s">
        <v>17</v>
      </c>
      <c r="F664" s="550" t="s">
        <v>11</v>
      </c>
      <c r="G664" s="552">
        <v>6750</v>
      </c>
      <c r="H664" s="552">
        <v>9420</v>
      </c>
      <c r="I664" s="548">
        <v>0</v>
      </c>
      <c r="J664" s="548">
        <v>9420</v>
      </c>
      <c r="K664" s="552">
        <v>0</v>
      </c>
      <c r="L664" s="574">
        <v>9420</v>
      </c>
      <c r="M664" s="548">
        <v>0</v>
      </c>
    </row>
    <row r="665" spans="1:13" ht="15.95" customHeight="1">
      <c r="A665" s="547"/>
      <c r="B665" s="550" t="s">
        <v>4525</v>
      </c>
      <c r="C665" s="550" t="s">
        <v>3529</v>
      </c>
      <c r="D665" s="550" t="s">
        <v>847</v>
      </c>
      <c r="E665" s="550" t="s">
        <v>225</v>
      </c>
      <c r="F665" s="550" t="s">
        <v>10</v>
      </c>
      <c r="G665" s="552">
        <v>2800</v>
      </c>
      <c r="H665" s="552">
        <v>4</v>
      </c>
      <c r="I665" s="548">
        <v>0</v>
      </c>
      <c r="J665" s="548">
        <v>4</v>
      </c>
      <c r="K665" s="552">
        <v>0</v>
      </c>
      <c r="L665" s="574">
        <v>4</v>
      </c>
      <c r="M665" s="548">
        <v>0</v>
      </c>
    </row>
    <row r="666" spans="1:13" ht="15.95" customHeight="1">
      <c r="A666" s="547"/>
      <c r="B666" s="550" t="s">
        <v>8631</v>
      </c>
      <c r="C666" s="550" t="s">
        <v>8634</v>
      </c>
      <c r="D666" s="550" t="s">
        <v>12387</v>
      </c>
      <c r="E666" s="550" t="s">
        <v>272</v>
      </c>
      <c r="F666" s="550" t="s">
        <v>11</v>
      </c>
      <c r="G666" s="552">
        <v>1900</v>
      </c>
      <c r="H666" s="552"/>
      <c r="I666" s="548">
        <v>5000</v>
      </c>
      <c r="J666" s="548">
        <v>2143</v>
      </c>
      <c r="K666" s="552">
        <v>0</v>
      </c>
      <c r="L666" s="574">
        <v>2143</v>
      </c>
      <c r="M666" s="548">
        <v>2857</v>
      </c>
    </row>
    <row r="667" spans="1:13" ht="15.95" customHeight="1">
      <c r="A667" s="547"/>
      <c r="B667" s="550" t="s">
        <v>4164</v>
      </c>
      <c r="C667" s="550" t="s">
        <v>4165</v>
      </c>
      <c r="D667" s="550" t="s">
        <v>765</v>
      </c>
      <c r="E667" s="550" t="s">
        <v>272</v>
      </c>
      <c r="F667" s="550" t="s">
        <v>11</v>
      </c>
      <c r="G667" s="552">
        <v>1620</v>
      </c>
      <c r="H667" s="552">
        <v>156</v>
      </c>
      <c r="I667" s="548">
        <v>0</v>
      </c>
      <c r="J667" s="548">
        <v>41</v>
      </c>
      <c r="K667" s="552">
        <v>31</v>
      </c>
      <c r="L667" s="574">
        <v>10</v>
      </c>
      <c r="M667" s="548">
        <v>115</v>
      </c>
    </row>
    <row r="668" spans="1:13" ht="15.95" customHeight="1">
      <c r="A668" s="547"/>
      <c r="B668" s="550" t="s">
        <v>4164</v>
      </c>
      <c r="C668" s="550" t="s">
        <v>4165</v>
      </c>
      <c r="D668" s="550" t="s">
        <v>765</v>
      </c>
      <c r="E668" s="550" t="s">
        <v>272</v>
      </c>
      <c r="F668" s="550" t="s">
        <v>11</v>
      </c>
      <c r="G668" s="552">
        <v>1620</v>
      </c>
      <c r="H668" s="552">
        <v>2000</v>
      </c>
      <c r="I668" s="548">
        <v>0</v>
      </c>
      <c r="J668" s="548">
        <v>0</v>
      </c>
      <c r="K668" s="552">
        <v>0</v>
      </c>
      <c r="L668" s="574">
        <v>0</v>
      </c>
      <c r="M668" s="548">
        <v>2000</v>
      </c>
    </row>
    <row r="669" spans="1:13" ht="15.95" customHeight="1">
      <c r="A669" s="547"/>
      <c r="B669" s="550" t="s">
        <v>4167</v>
      </c>
      <c r="C669" s="550" t="s">
        <v>766</v>
      </c>
      <c r="D669" s="550" t="s">
        <v>765</v>
      </c>
      <c r="E669" s="550" t="s">
        <v>767</v>
      </c>
      <c r="F669" s="550" t="s">
        <v>520</v>
      </c>
      <c r="G669" s="552">
        <v>9430</v>
      </c>
      <c r="H669" s="552">
        <v>74</v>
      </c>
      <c r="I669" s="548">
        <v>0</v>
      </c>
      <c r="J669" s="548">
        <v>27</v>
      </c>
      <c r="K669" s="552">
        <v>32</v>
      </c>
      <c r="L669" s="574">
        <v>-5</v>
      </c>
      <c r="M669" s="548">
        <v>47</v>
      </c>
    </row>
    <row r="670" spans="1:13" ht="15.95" customHeight="1">
      <c r="A670" s="547"/>
      <c r="B670" s="550" t="s">
        <v>7421</v>
      </c>
      <c r="C670" s="550" t="s">
        <v>7422</v>
      </c>
      <c r="D670" s="550" t="s">
        <v>639</v>
      </c>
      <c r="E670" s="550" t="s">
        <v>641</v>
      </c>
      <c r="F670" s="550" t="s">
        <v>11</v>
      </c>
      <c r="G670" s="552">
        <v>3600</v>
      </c>
      <c r="H670" s="552"/>
      <c r="I670" s="548">
        <v>386</v>
      </c>
      <c r="J670" s="548">
        <v>386</v>
      </c>
      <c r="K670" s="552">
        <v>0</v>
      </c>
      <c r="L670" s="574">
        <v>386</v>
      </c>
      <c r="M670" s="548">
        <v>0</v>
      </c>
    </row>
    <row r="671" spans="1:13" ht="15.95" customHeight="1">
      <c r="A671" s="547"/>
      <c r="B671" s="550" t="s">
        <v>7421</v>
      </c>
      <c r="C671" s="550" t="s">
        <v>7422</v>
      </c>
      <c r="D671" s="550" t="s">
        <v>639</v>
      </c>
      <c r="E671" s="550" t="s">
        <v>641</v>
      </c>
      <c r="F671" s="550" t="s">
        <v>11</v>
      </c>
      <c r="G671" s="552">
        <v>3600</v>
      </c>
      <c r="H671" s="552"/>
      <c r="I671" s="548">
        <v>2010</v>
      </c>
      <c r="J671" s="548">
        <v>250</v>
      </c>
      <c r="K671" s="552">
        <v>20</v>
      </c>
      <c r="L671" s="574">
        <v>230</v>
      </c>
      <c r="M671" s="548">
        <v>1760</v>
      </c>
    </row>
    <row r="672" spans="1:13" ht="15.95" customHeight="1">
      <c r="A672" s="547"/>
      <c r="B672" s="550" t="s">
        <v>8326</v>
      </c>
      <c r="C672" s="550" t="s">
        <v>8327</v>
      </c>
      <c r="D672" s="550" t="s">
        <v>11847</v>
      </c>
      <c r="E672" s="550" t="s">
        <v>1680</v>
      </c>
      <c r="F672" s="550" t="s">
        <v>11</v>
      </c>
      <c r="G672" s="552">
        <v>3748</v>
      </c>
      <c r="H672" s="552"/>
      <c r="I672" s="548">
        <v>30200</v>
      </c>
      <c r="J672" s="548">
        <v>4373</v>
      </c>
      <c r="K672" s="552">
        <v>2263</v>
      </c>
      <c r="L672" s="574">
        <v>2110</v>
      </c>
      <c r="M672" s="548">
        <v>25827</v>
      </c>
    </row>
    <row r="673" spans="1:13" ht="15.95" customHeight="1">
      <c r="A673" s="547"/>
      <c r="B673" s="550" t="s">
        <v>4879</v>
      </c>
      <c r="C673" s="550" t="s">
        <v>461</v>
      </c>
      <c r="D673" s="550" t="s">
        <v>353</v>
      </c>
      <c r="E673" s="550" t="s">
        <v>381</v>
      </c>
      <c r="F673" s="550" t="s">
        <v>10</v>
      </c>
      <c r="G673" s="552">
        <v>1410</v>
      </c>
      <c r="H673" s="552">
        <v>7227</v>
      </c>
      <c r="I673" s="548">
        <v>0</v>
      </c>
      <c r="J673" s="548">
        <v>7227</v>
      </c>
      <c r="K673" s="552">
        <v>600</v>
      </c>
      <c r="L673" s="574">
        <v>6627</v>
      </c>
      <c r="M673" s="548">
        <v>0</v>
      </c>
    </row>
    <row r="674" spans="1:13" ht="15.95" customHeight="1">
      <c r="A674" s="547"/>
      <c r="B674" s="550" t="s">
        <v>4879</v>
      </c>
      <c r="C674" s="550" t="s">
        <v>461</v>
      </c>
      <c r="D674" s="550" t="s">
        <v>353</v>
      </c>
      <c r="E674" s="550" t="s">
        <v>381</v>
      </c>
      <c r="F674" s="550" t="s">
        <v>10</v>
      </c>
      <c r="G674" s="552">
        <v>1410</v>
      </c>
      <c r="H674" s="552">
        <v>318</v>
      </c>
      <c r="I674" s="548">
        <v>2</v>
      </c>
      <c r="J674" s="548">
        <v>320</v>
      </c>
      <c r="K674" s="552">
        <v>320</v>
      </c>
      <c r="L674" s="574">
        <v>0</v>
      </c>
      <c r="M674" s="548">
        <v>0</v>
      </c>
    </row>
    <row r="675" spans="1:13" ht="15.95" customHeight="1">
      <c r="A675" s="547"/>
      <c r="B675" s="550"/>
      <c r="C675" s="550" t="s">
        <v>353</v>
      </c>
      <c r="D675" s="550" t="s">
        <v>353</v>
      </c>
      <c r="E675" s="550" t="s">
        <v>381</v>
      </c>
      <c r="F675" s="550" t="s">
        <v>10</v>
      </c>
      <c r="G675" s="552">
        <v>53</v>
      </c>
      <c r="H675" s="552">
        <v>1500</v>
      </c>
      <c r="I675" s="548">
        <v>0</v>
      </c>
      <c r="J675" s="548">
        <v>1500</v>
      </c>
      <c r="K675" s="552">
        <v>0</v>
      </c>
      <c r="L675" s="574">
        <v>1500</v>
      </c>
      <c r="M675" s="548">
        <v>0</v>
      </c>
    </row>
    <row r="676" spans="1:13" ht="15.95" customHeight="1">
      <c r="A676" s="547"/>
      <c r="B676" s="550"/>
      <c r="C676" s="550" t="s">
        <v>353</v>
      </c>
      <c r="D676" s="550" t="s">
        <v>353</v>
      </c>
      <c r="E676" s="550" t="s">
        <v>381</v>
      </c>
      <c r="F676" s="550" t="s">
        <v>10</v>
      </c>
      <c r="G676" s="552">
        <v>53</v>
      </c>
      <c r="H676" s="552">
        <v>15000</v>
      </c>
      <c r="I676" s="548">
        <v>0</v>
      </c>
      <c r="J676" s="548">
        <v>14996</v>
      </c>
      <c r="K676" s="552">
        <v>11110</v>
      </c>
      <c r="L676" s="574">
        <v>3886</v>
      </c>
      <c r="M676" s="548">
        <v>4</v>
      </c>
    </row>
    <row r="677" spans="1:13" ht="15.95" customHeight="1">
      <c r="A677" s="547"/>
      <c r="B677" s="550"/>
      <c r="C677" s="550" t="s">
        <v>4882</v>
      </c>
      <c r="D677" s="550" t="s">
        <v>265</v>
      </c>
      <c r="E677" s="550" t="s">
        <v>390</v>
      </c>
      <c r="F677" s="550" t="s">
        <v>10</v>
      </c>
      <c r="G677" s="552">
        <v>900</v>
      </c>
      <c r="H677" s="552">
        <v>190</v>
      </c>
      <c r="I677" s="548">
        <v>0</v>
      </c>
      <c r="J677" s="548">
        <v>190</v>
      </c>
      <c r="K677" s="552">
        <v>8</v>
      </c>
      <c r="L677" s="574">
        <v>182</v>
      </c>
      <c r="M677" s="548">
        <v>0</v>
      </c>
    </row>
    <row r="678" spans="1:13" ht="15.95" customHeight="1">
      <c r="A678" s="547"/>
      <c r="B678" s="550"/>
      <c r="C678" s="550" t="s">
        <v>4882</v>
      </c>
      <c r="D678" s="550" t="s">
        <v>265</v>
      </c>
      <c r="E678" s="550" t="s">
        <v>390</v>
      </c>
      <c r="F678" s="550" t="s">
        <v>10</v>
      </c>
      <c r="G678" s="552">
        <v>900</v>
      </c>
      <c r="H678" s="552">
        <v>6010</v>
      </c>
      <c r="I678" s="548">
        <v>0</v>
      </c>
      <c r="J678" s="548">
        <v>310</v>
      </c>
      <c r="K678" s="552">
        <v>3</v>
      </c>
      <c r="L678" s="574">
        <v>307</v>
      </c>
      <c r="M678" s="548">
        <v>5700</v>
      </c>
    </row>
    <row r="679" spans="1:13" ht="15.95" customHeight="1">
      <c r="A679" s="547"/>
      <c r="B679" s="550"/>
      <c r="C679" s="550" t="s">
        <v>4882</v>
      </c>
      <c r="D679" s="550" t="s">
        <v>265</v>
      </c>
      <c r="E679" s="550" t="s">
        <v>390</v>
      </c>
      <c r="F679" s="550" t="s">
        <v>10</v>
      </c>
      <c r="G679" s="552">
        <v>900</v>
      </c>
      <c r="H679" s="552">
        <v>20</v>
      </c>
      <c r="I679" s="548">
        <v>0</v>
      </c>
      <c r="J679" s="548">
        <v>20</v>
      </c>
      <c r="K679" s="552">
        <v>0</v>
      </c>
      <c r="L679" s="574">
        <v>20</v>
      </c>
      <c r="M679" s="548">
        <v>0</v>
      </c>
    </row>
    <row r="680" spans="1:13" ht="15.95" customHeight="1">
      <c r="A680" s="547"/>
      <c r="B680" s="550" t="s">
        <v>4527</v>
      </c>
      <c r="C680" s="550" t="s">
        <v>1594</v>
      </c>
      <c r="D680" s="550" t="s">
        <v>4528</v>
      </c>
      <c r="E680" s="550" t="s">
        <v>4529</v>
      </c>
      <c r="F680" s="550" t="s">
        <v>658</v>
      </c>
      <c r="G680" s="552">
        <v>37000</v>
      </c>
      <c r="H680" s="552"/>
      <c r="I680" s="548">
        <v>220</v>
      </c>
      <c r="J680" s="548">
        <v>0</v>
      </c>
      <c r="K680" s="552">
        <v>0</v>
      </c>
      <c r="L680" s="574">
        <v>0</v>
      </c>
      <c r="M680" s="548">
        <v>220</v>
      </c>
    </row>
    <row r="681" spans="1:13" ht="15.95" customHeight="1">
      <c r="A681" s="547"/>
      <c r="B681" s="550" t="s">
        <v>4527</v>
      </c>
      <c r="C681" s="550" t="s">
        <v>1594</v>
      </c>
      <c r="D681" s="550" t="s">
        <v>4528</v>
      </c>
      <c r="E681" s="550" t="s">
        <v>4529</v>
      </c>
      <c r="F681" s="550" t="s">
        <v>658</v>
      </c>
      <c r="G681" s="552">
        <v>37000</v>
      </c>
      <c r="H681" s="552"/>
      <c r="I681" s="548">
        <v>200</v>
      </c>
      <c r="J681" s="548">
        <v>132</v>
      </c>
      <c r="K681" s="552">
        <v>41</v>
      </c>
      <c r="L681" s="574">
        <v>91</v>
      </c>
      <c r="M681" s="548">
        <v>68</v>
      </c>
    </row>
    <row r="682" spans="1:13" ht="15.95" customHeight="1">
      <c r="A682" s="547"/>
      <c r="B682" s="550" t="s">
        <v>4527</v>
      </c>
      <c r="C682" s="550" t="s">
        <v>1594</v>
      </c>
      <c r="D682" s="550" t="s">
        <v>4528</v>
      </c>
      <c r="E682" s="550" t="s">
        <v>4529</v>
      </c>
      <c r="F682" s="550" t="s">
        <v>658</v>
      </c>
      <c r="G682" s="552">
        <v>37000</v>
      </c>
      <c r="H682" s="552">
        <v>71</v>
      </c>
      <c r="I682" s="548">
        <v>0</v>
      </c>
      <c r="J682" s="548">
        <v>71</v>
      </c>
      <c r="K682" s="552">
        <v>0</v>
      </c>
      <c r="L682" s="574">
        <v>71</v>
      </c>
      <c r="M682" s="548">
        <v>0</v>
      </c>
    </row>
    <row r="683" spans="1:13" ht="15.95" customHeight="1">
      <c r="A683" s="547"/>
      <c r="B683" s="550" t="s">
        <v>6425</v>
      </c>
      <c r="C683" s="550" t="s">
        <v>11850</v>
      </c>
      <c r="D683" s="550" t="s">
        <v>1618</v>
      </c>
      <c r="E683" s="550" t="s">
        <v>225</v>
      </c>
      <c r="F683" s="550" t="s">
        <v>11</v>
      </c>
      <c r="G683" s="552">
        <v>589</v>
      </c>
      <c r="H683" s="552"/>
      <c r="I683" s="548">
        <v>49980</v>
      </c>
      <c r="J683" s="548">
        <v>33478</v>
      </c>
      <c r="K683" s="552">
        <v>3134</v>
      </c>
      <c r="L683" s="574">
        <v>30344</v>
      </c>
      <c r="M683" s="548">
        <v>16502</v>
      </c>
    </row>
    <row r="684" spans="1:13" ht="15.95" customHeight="1">
      <c r="A684" s="547"/>
      <c r="B684" s="550" t="s">
        <v>4884</v>
      </c>
      <c r="C684" s="550" t="s">
        <v>386</v>
      </c>
      <c r="D684" s="550" t="s">
        <v>265</v>
      </c>
      <c r="E684" s="550" t="s">
        <v>387</v>
      </c>
      <c r="F684" s="550" t="s">
        <v>10</v>
      </c>
      <c r="G684" s="552">
        <v>677</v>
      </c>
      <c r="H684" s="552">
        <v>5000</v>
      </c>
      <c r="I684" s="548">
        <v>335</v>
      </c>
      <c r="J684" s="548">
        <v>2106</v>
      </c>
      <c r="K684" s="552">
        <v>878</v>
      </c>
      <c r="L684" s="574">
        <v>1228</v>
      </c>
      <c r="M684" s="548">
        <v>3229</v>
      </c>
    </row>
    <row r="685" spans="1:13" ht="15.95" customHeight="1">
      <c r="A685" s="547"/>
      <c r="B685" s="550" t="s">
        <v>4885</v>
      </c>
      <c r="C685" s="550" t="s">
        <v>389</v>
      </c>
      <c r="D685" s="550" t="s">
        <v>265</v>
      </c>
      <c r="E685" s="550" t="s">
        <v>390</v>
      </c>
      <c r="F685" s="550" t="s">
        <v>10</v>
      </c>
      <c r="G685" s="552">
        <v>230</v>
      </c>
      <c r="H685" s="552">
        <v>7500</v>
      </c>
      <c r="I685" s="548">
        <v>0</v>
      </c>
      <c r="J685" s="548">
        <v>0</v>
      </c>
      <c r="K685" s="552">
        <v>0</v>
      </c>
      <c r="L685" s="574">
        <v>0</v>
      </c>
      <c r="M685" s="548">
        <v>7500</v>
      </c>
    </row>
    <row r="686" spans="1:13" ht="15.95" customHeight="1">
      <c r="A686" s="547"/>
      <c r="B686" s="550" t="s">
        <v>4885</v>
      </c>
      <c r="C686" s="550" t="s">
        <v>389</v>
      </c>
      <c r="D686" s="550" t="s">
        <v>265</v>
      </c>
      <c r="E686" s="550" t="s">
        <v>390</v>
      </c>
      <c r="F686" s="550" t="s">
        <v>10</v>
      </c>
      <c r="G686" s="552">
        <v>230</v>
      </c>
      <c r="H686" s="552">
        <v>3000</v>
      </c>
      <c r="I686" s="548">
        <v>0</v>
      </c>
      <c r="J686" s="548">
        <v>1360</v>
      </c>
      <c r="K686" s="552">
        <v>1200</v>
      </c>
      <c r="L686" s="574">
        <v>160</v>
      </c>
      <c r="M686" s="548">
        <v>1640</v>
      </c>
    </row>
    <row r="687" spans="1:13" ht="15.95" customHeight="1">
      <c r="A687" s="547"/>
      <c r="B687" s="550" t="s">
        <v>4885</v>
      </c>
      <c r="C687" s="550" t="s">
        <v>389</v>
      </c>
      <c r="D687" s="550" t="s">
        <v>265</v>
      </c>
      <c r="E687" s="550" t="s">
        <v>390</v>
      </c>
      <c r="F687" s="550" t="s">
        <v>10</v>
      </c>
      <c r="G687" s="552">
        <v>230</v>
      </c>
      <c r="H687" s="552">
        <v>2689</v>
      </c>
      <c r="I687" s="548">
        <v>0</v>
      </c>
      <c r="J687" s="548">
        <v>2351</v>
      </c>
      <c r="K687" s="552">
        <v>800</v>
      </c>
      <c r="L687" s="574">
        <v>1551</v>
      </c>
      <c r="M687" s="548">
        <v>338</v>
      </c>
    </row>
    <row r="688" spans="1:13" ht="15.95" customHeight="1">
      <c r="A688" s="547"/>
      <c r="B688" s="550" t="s">
        <v>4885</v>
      </c>
      <c r="C688" s="550" t="s">
        <v>389</v>
      </c>
      <c r="D688" s="550" t="s">
        <v>265</v>
      </c>
      <c r="E688" s="550" t="s">
        <v>390</v>
      </c>
      <c r="F688" s="550" t="s">
        <v>10</v>
      </c>
      <c r="G688" s="552">
        <v>230</v>
      </c>
      <c r="H688" s="552">
        <v>25000</v>
      </c>
      <c r="I688" s="548">
        <v>0</v>
      </c>
      <c r="J688" s="548">
        <v>0</v>
      </c>
      <c r="K688" s="552">
        <v>0</v>
      </c>
      <c r="L688" s="574">
        <v>0</v>
      </c>
      <c r="M688" s="548">
        <v>25000</v>
      </c>
    </row>
    <row r="689" spans="1:13" ht="15.95" customHeight="1">
      <c r="A689" s="547"/>
      <c r="B689" s="550" t="s">
        <v>4888</v>
      </c>
      <c r="C689" s="550" t="s">
        <v>442</v>
      </c>
      <c r="D689" s="550" t="s">
        <v>442</v>
      </c>
      <c r="E689" s="550" t="s">
        <v>272</v>
      </c>
      <c r="F689" s="550" t="s">
        <v>10</v>
      </c>
      <c r="G689" s="552">
        <v>92</v>
      </c>
      <c r="H689" s="552">
        <v>600</v>
      </c>
      <c r="I689" s="548">
        <v>0</v>
      </c>
      <c r="J689" s="548">
        <v>600</v>
      </c>
      <c r="K689" s="552">
        <v>0</v>
      </c>
      <c r="L689" s="574">
        <v>600</v>
      </c>
      <c r="M689" s="548">
        <v>0</v>
      </c>
    </row>
    <row r="690" spans="1:13" ht="15.95" customHeight="1">
      <c r="A690" s="547"/>
      <c r="B690" s="550" t="s">
        <v>4888</v>
      </c>
      <c r="C690" s="550" t="s">
        <v>442</v>
      </c>
      <c r="D690" s="550" t="s">
        <v>442</v>
      </c>
      <c r="E690" s="550" t="s">
        <v>272</v>
      </c>
      <c r="F690" s="550" t="s">
        <v>10</v>
      </c>
      <c r="G690" s="552">
        <v>92</v>
      </c>
      <c r="H690" s="552">
        <v>3500</v>
      </c>
      <c r="I690" s="548">
        <v>0</v>
      </c>
      <c r="J690" s="548">
        <v>1755</v>
      </c>
      <c r="K690" s="552">
        <v>0</v>
      </c>
      <c r="L690" s="574">
        <v>1755</v>
      </c>
      <c r="M690" s="548">
        <v>1745</v>
      </c>
    </row>
    <row r="691" spans="1:13" ht="15.95" customHeight="1">
      <c r="A691" s="547"/>
      <c r="B691" s="550" t="s">
        <v>4888</v>
      </c>
      <c r="C691" s="550" t="s">
        <v>442</v>
      </c>
      <c r="D691" s="550" t="s">
        <v>442</v>
      </c>
      <c r="E691" s="550" t="s">
        <v>272</v>
      </c>
      <c r="F691" s="550" t="s">
        <v>10</v>
      </c>
      <c r="G691" s="552">
        <v>92</v>
      </c>
      <c r="H691" s="552">
        <v>189</v>
      </c>
      <c r="I691" s="548">
        <v>0</v>
      </c>
      <c r="J691" s="548">
        <v>129</v>
      </c>
      <c r="K691" s="552">
        <v>0</v>
      </c>
      <c r="L691" s="574">
        <v>129</v>
      </c>
      <c r="M691" s="548">
        <v>60</v>
      </c>
    </row>
    <row r="692" spans="1:13" ht="15.95" customHeight="1">
      <c r="A692" s="547"/>
      <c r="B692" s="550" t="s">
        <v>4890</v>
      </c>
      <c r="C692" s="550" t="s">
        <v>4891</v>
      </c>
      <c r="D692" s="550" t="s">
        <v>442</v>
      </c>
      <c r="E692" s="550" t="s">
        <v>444</v>
      </c>
      <c r="F692" s="550" t="s">
        <v>18</v>
      </c>
      <c r="G692" s="552">
        <v>8820</v>
      </c>
      <c r="H692" s="552">
        <v>50</v>
      </c>
      <c r="I692" s="548">
        <v>0</v>
      </c>
      <c r="J692" s="548">
        <v>0</v>
      </c>
      <c r="K692" s="552">
        <v>0</v>
      </c>
      <c r="L692" s="574">
        <v>0</v>
      </c>
      <c r="M692" s="548">
        <v>50</v>
      </c>
    </row>
    <row r="693" spans="1:13" ht="15.95" customHeight="1">
      <c r="A693" s="547"/>
      <c r="B693" s="550" t="s">
        <v>4890</v>
      </c>
      <c r="C693" s="550" t="s">
        <v>4891</v>
      </c>
      <c r="D693" s="550" t="s">
        <v>442</v>
      </c>
      <c r="E693" s="550" t="s">
        <v>444</v>
      </c>
      <c r="F693" s="550" t="s">
        <v>18</v>
      </c>
      <c r="G693" s="552">
        <v>8820</v>
      </c>
      <c r="H693" s="552">
        <v>80</v>
      </c>
      <c r="I693" s="548">
        <v>0</v>
      </c>
      <c r="J693" s="548">
        <v>80</v>
      </c>
      <c r="K693" s="552">
        <v>10</v>
      </c>
      <c r="L693" s="574">
        <v>70</v>
      </c>
      <c r="M693" s="548">
        <v>0</v>
      </c>
    </row>
    <row r="694" spans="1:13" ht="15.95" customHeight="1">
      <c r="A694" s="547"/>
      <c r="B694" s="550" t="s">
        <v>4169</v>
      </c>
      <c r="C694" s="550" t="s">
        <v>4170</v>
      </c>
      <c r="D694" s="550" t="s">
        <v>4171</v>
      </c>
      <c r="E694" s="550" t="s">
        <v>291</v>
      </c>
      <c r="F694" s="550" t="s">
        <v>11</v>
      </c>
      <c r="G694" s="552">
        <v>264</v>
      </c>
      <c r="H694" s="552"/>
      <c r="I694" s="548">
        <v>4000</v>
      </c>
      <c r="J694" s="548">
        <v>4000</v>
      </c>
      <c r="K694" s="552">
        <v>4000</v>
      </c>
      <c r="L694" s="574">
        <v>0</v>
      </c>
      <c r="M694" s="548">
        <v>0</v>
      </c>
    </row>
    <row r="695" spans="1:13" ht="15.95" customHeight="1">
      <c r="A695" s="547"/>
      <c r="B695" s="550" t="s">
        <v>4893</v>
      </c>
      <c r="C695" s="550" t="s">
        <v>4894</v>
      </c>
      <c r="D695" s="550" t="s">
        <v>236</v>
      </c>
      <c r="E695" s="550" t="s">
        <v>238</v>
      </c>
      <c r="F695" s="550" t="s">
        <v>10</v>
      </c>
      <c r="G695" s="552">
        <v>136</v>
      </c>
      <c r="H695" s="552">
        <v>10000</v>
      </c>
      <c r="I695" s="548">
        <v>0</v>
      </c>
      <c r="J695" s="548">
        <v>7000</v>
      </c>
      <c r="K695" s="552">
        <v>7000</v>
      </c>
      <c r="L695" s="574">
        <v>0</v>
      </c>
      <c r="M695" s="548">
        <v>3000</v>
      </c>
    </row>
    <row r="696" spans="1:13" ht="15.95" customHeight="1">
      <c r="A696" s="547"/>
      <c r="B696" s="550" t="s">
        <v>5029</v>
      </c>
      <c r="C696" s="550" t="s">
        <v>5030</v>
      </c>
      <c r="D696" s="550" t="s">
        <v>1550</v>
      </c>
      <c r="E696" s="550" t="s">
        <v>5031</v>
      </c>
      <c r="F696" s="550" t="s">
        <v>11</v>
      </c>
      <c r="G696" s="552">
        <v>630</v>
      </c>
      <c r="H696" s="552">
        <v>471</v>
      </c>
      <c r="I696" s="548">
        <v>0</v>
      </c>
      <c r="J696" s="548">
        <v>471</v>
      </c>
      <c r="K696" s="552">
        <v>0</v>
      </c>
      <c r="L696" s="574">
        <v>471</v>
      </c>
      <c r="M696" s="548">
        <v>0</v>
      </c>
    </row>
    <row r="697" spans="1:13" ht="15.95" customHeight="1">
      <c r="A697" s="547"/>
      <c r="B697" s="550" t="s">
        <v>5029</v>
      </c>
      <c r="C697" s="550" t="s">
        <v>5030</v>
      </c>
      <c r="D697" s="550" t="s">
        <v>1550</v>
      </c>
      <c r="E697" s="550" t="s">
        <v>5031</v>
      </c>
      <c r="F697" s="550" t="s">
        <v>11</v>
      </c>
      <c r="G697" s="552">
        <v>630</v>
      </c>
      <c r="H697" s="552"/>
      <c r="I697" s="548">
        <v>4200</v>
      </c>
      <c r="J697" s="548">
        <v>4198</v>
      </c>
      <c r="K697" s="552">
        <v>198</v>
      </c>
      <c r="L697" s="574">
        <v>4000</v>
      </c>
      <c r="M697" s="548">
        <v>2</v>
      </c>
    </row>
    <row r="698" spans="1:13" ht="15.95" customHeight="1">
      <c r="A698" s="547"/>
      <c r="B698" s="550" t="s">
        <v>5029</v>
      </c>
      <c r="C698" s="550" t="s">
        <v>5030</v>
      </c>
      <c r="D698" s="550" t="s">
        <v>1550</v>
      </c>
      <c r="E698" s="550" t="s">
        <v>5031</v>
      </c>
      <c r="F698" s="550" t="s">
        <v>11</v>
      </c>
      <c r="G698" s="552">
        <v>630</v>
      </c>
      <c r="H698" s="552">
        <v>232</v>
      </c>
      <c r="I698" s="548">
        <v>0</v>
      </c>
      <c r="J698" s="548">
        <v>232</v>
      </c>
      <c r="K698" s="552">
        <v>232</v>
      </c>
      <c r="L698" s="574">
        <v>0</v>
      </c>
      <c r="M698" s="548">
        <v>0</v>
      </c>
    </row>
    <row r="699" spans="1:13" ht="15.95" customHeight="1">
      <c r="A699" s="547"/>
      <c r="B699" s="550" t="s">
        <v>5029</v>
      </c>
      <c r="C699" s="550" t="s">
        <v>5030</v>
      </c>
      <c r="D699" s="550" t="s">
        <v>1550</v>
      </c>
      <c r="E699" s="550" t="s">
        <v>5031</v>
      </c>
      <c r="F699" s="550" t="s">
        <v>11</v>
      </c>
      <c r="G699" s="552">
        <v>630</v>
      </c>
      <c r="H699" s="552"/>
      <c r="I699" s="548">
        <v>16080</v>
      </c>
      <c r="J699" s="548">
        <v>9128</v>
      </c>
      <c r="K699" s="552">
        <v>861</v>
      </c>
      <c r="L699" s="574">
        <v>8267</v>
      </c>
      <c r="M699" s="548">
        <v>6952</v>
      </c>
    </row>
    <row r="700" spans="1:13" ht="15.95" customHeight="1">
      <c r="A700" s="547"/>
      <c r="B700" s="550" t="s">
        <v>8281</v>
      </c>
      <c r="C700" s="550" t="s">
        <v>8282</v>
      </c>
      <c r="D700" s="550" t="s">
        <v>1750</v>
      </c>
      <c r="E700" s="550" t="s">
        <v>327</v>
      </c>
      <c r="F700" s="550" t="s">
        <v>11</v>
      </c>
      <c r="G700" s="552">
        <v>2037</v>
      </c>
      <c r="H700" s="552"/>
      <c r="I700" s="548">
        <v>3000</v>
      </c>
      <c r="J700" s="548">
        <v>3000</v>
      </c>
      <c r="K700" s="552">
        <v>0</v>
      </c>
      <c r="L700" s="574">
        <v>3000</v>
      </c>
      <c r="M700" s="548">
        <v>0</v>
      </c>
    </row>
    <row r="701" spans="1:13" ht="15.95" customHeight="1">
      <c r="A701" s="547"/>
      <c r="B701" s="550" t="s">
        <v>8281</v>
      </c>
      <c r="C701" s="550" t="s">
        <v>8282</v>
      </c>
      <c r="D701" s="550" t="s">
        <v>1750</v>
      </c>
      <c r="E701" s="550" t="s">
        <v>327</v>
      </c>
      <c r="F701" s="550" t="s">
        <v>11</v>
      </c>
      <c r="G701" s="552">
        <v>2037</v>
      </c>
      <c r="H701" s="552"/>
      <c r="I701" s="548">
        <v>36990</v>
      </c>
      <c r="J701" s="548">
        <v>6182</v>
      </c>
      <c r="K701" s="552">
        <v>0</v>
      </c>
      <c r="L701" s="574">
        <v>6182</v>
      </c>
      <c r="M701" s="548">
        <v>30808</v>
      </c>
    </row>
    <row r="702" spans="1:13" ht="15.95" customHeight="1">
      <c r="A702" s="547"/>
      <c r="B702" s="550" t="s">
        <v>4173</v>
      </c>
      <c r="C702" s="550" t="s">
        <v>4174</v>
      </c>
      <c r="D702" s="550" t="s">
        <v>588</v>
      </c>
      <c r="E702" s="550" t="s">
        <v>267</v>
      </c>
      <c r="F702" s="550" t="s">
        <v>10</v>
      </c>
      <c r="G702" s="552">
        <v>9832</v>
      </c>
      <c r="H702" s="552">
        <v>5590</v>
      </c>
      <c r="I702" s="548">
        <v>0</v>
      </c>
      <c r="J702" s="548">
        <v>5202</v>
      </c>
      <c r="K702" s="552">
        <v>0</v>
      </c>
      <c r="L702" s="574">
        <v>5202</v>
      </c>
      <c r="M702" s="548">
        <v>388</v>
      </c>
    </row>
    <row r="703" spans="1:13" ht="15.95" customHeight="1">
      <c r="A703" s="547"/>
      <c r="B703" s="550" t="s">
        <v>4531</v>
      </c>
      <c r="C703" s="550" t="s">
        <v>4532</v>
      </c>
      <c r="D703" s="550" t="s">
        <v>683</v>
      </c>
      <c r="E703" s="550" t="s">
        <v>4533</v>
      </c>
      <c r="F703" s="550" t="s">
        <v>12</v>
      </c>
      <c r="G703" s="552">
        <v>1717</v>
      </c>
      <c r="H703" s="552">
        <v>182</v>
      </c>
      <c r="I703" s="548">
        <v>6</v>
      </c>
      <c r="J703" s="548">
        <v>188</v>
      </c>
      <c r="K703" s="552">
        <v>188</v>
      </c>
      <c r="L703" s="574">
        <v>0</v>
      </c>
      <c r="M703" s="548">
        <v>0</v>
      </c>
    </row>
    <row r="704" spans="1:13" ht="15.95" customHeight="1">
      <c r="A704" s="547"/>
      <c r="B704" s="550" t="s">
        <v>4531</v>
      </c>
      <c r="C704" s="550" t="s">
        <v>4532</v>
      </c>
      <c r="D704" s="550" t="s">
        <v>683</v>
      </c>
      <c r="E704" s="550" t="s">
        <v>4533</v>
      </c>
      <c r="F704" s="550" t="s">
        <v>12</v>
      </c>
      <c r="G704" s="552">
        <v>1717</v>
      </c>
      <c r="H704" s="552"/>
      <c r="I704" s="548">
        <v>3516</v>
      </c>
      <c r="J704" s="548">
        <v>804</v>
      </c>
      <c r="K704" s="552">
        <v>240</v>
      </c>
      <c r="L704" s="574">
        <v>564</v>
      </c>
      <c r="M704" s="548">
        <v>2712</v>
      </c>
    </row>
    <row r="705" spans="1:13" ht="15.95" customHeight="1">
      <c r="A705" s="547"/>
      <c r="B705" s="550" t="s">
        <v>4534</v>
      </c>
      <c r="C705" s="550" t="s">
        <v>4535</v>
      </c>
      <c r="D705" s="550" t="s">
        <v>433</v>
      </c>
      <c r="E705" s="550" t="s">
        <v>1200</v>
      </c>
      <c r="F705" s="550" t="s">
        <v>12</v>
      </c>
      <c r="G705" s="552">
        <v>1598</v>
      </c>
      <c r="H705" s="552">
        <v>2</v>
      </c>
      <c r="I705" s="548">
        <v>0</v>
      </c>
      <c r="J705" s="548">
        <v>2</v>
      </c>
      <c r="K705" s="552">
        <v>0</v>
      </c>
      <c r="L705" s="574">
        <v>2</v>
      </c>
      <c r="M705" s="548">
        <v>0</v>
      </c>
    </row>
    <row r="706" spans="1:13" ht="15.95" customHeight="1">
      <c r="A706" s="547"/>
      <c r="B706" s="550" t="s">
        <v>12199</v>
      </c>
      <c r="C706" s="550" t="s">
        <v>12200</v>
      </c>
      <c r="D706" s="550" t="s">
        <v>493</v>
      </c>
      <c r="E706" s="550" t="s">
        <v>774</v>
      </c>
      <c r="F706" s="550" t="s">
        <v>658</v>
      </c>
      <c r="G706" s="552">
        <v>11109</v>
      </c>
      <c r="H706" s="552"/>
      <c r="I706" s="548">
        <v>200</v>
      </c>
      <c r="J706" s="548">
        <v>13</v>
      </c>
      <c r="K706" s="552">
        <v>13</v>
      </c>
      <c r="L706" s="574">
        <v>0</v>
      </c>
      <c r="M706" s="548">
        <v>187</v>
      </c>
    </row>
    <row r="707" spans="1:13" ht="15.95" customHeight="1">
      <c r="A707" s="547"/>
      <c r="B707" s="550" t="s">
        <v>4175</v>
      </c>
      <c r="C707" s="550" t="s">
        <v>4176</v>
      </c>
      <c r="D707" s="550" t="s">
        <v>1247</v>
      </c>
      <c r="E707" s="550" t="s">
        <v>1249</v>
      </c>
      <c r="F707" s="550" t="s">
        <v>11</v>
      </c>
      <c r="G707" s="552">
        <v>6800</v>
      </c>
      <c r="H707" s="552">
        <v>5475</v>
      </c>
      <c r="I707" s="548">
        <v>0</v>
      </c>
      <c r="J707" s="548">
        <v>5475</v>
      </c>
      <c r="K707" s="552">
        <v>0</v>
      </c>
      <c r="L707" s="574">
        <v>5475</v>
      </c>
      <c r="M707" s="548">
        <v>0</v>
      </c>
    </row>
    <row r="708" spans="1:13" ht="15.95" customHeight="1">
      <c r="A708" s="547"/>
      <c r="B708" s="550" t="s">
        <v>7497</v>
      </c>
      <c r="C708" s="550" t="s">
        <v>1971</v>
      </c>
      <c r="D708" s="550" t="s">
        <v>1970</v>
      </c>
      <c r="E708" s="550" t="s">
        <v>1972</v>
      </c>
      <c r="F708" s="550" t="s">
        <v>11</v>
      </c>
      <c r="G708" s="552">
        <v>1785</v>
      </c>
      <c r="H708" s="552"/>
      <c r="I708" s="548">
        <v>3000</v>
      </c>
      <c r="J708" s="548">
        <v>61</v>
      </c>
      <c r="K708" s="552">
        <v>0</v>
      </c>
      <c r="L708" s="574">
        <v>61</v>
      </c>
      <c r="M708" s="548">
        <v>2939</v>
      </c>
    </row>
    <row r="709" spans="1:13" ht="15.95" customHeight="1">
      <c r="A709" s="547"/>
      <c r="B709" s="550" t="s">
        <v>4536</v>
      </c>
      <c r="C709" s="550" t="s">
        <v>3639</v>
      </c>
      <c r="D709" s="550" t="s">
        <v>256</v>
      </c>
      <c r="E709" s="550" t="s">
        <v>334</v>
      </c>
      <c r="F709" s="550" t="s">
        <v>11</v>
      </c>
      <c r="G709" s="552">
        <v>12600</v>
      </c>
      <c r="H709" s="552"/>
      <c r="I709" s="548">
        <v>2000</v>
      </c>
      <c r="J709" s="548">
        <v>0</v>
      </c>
      <c r="K709" s="552">
        <v>0</v>
      </c>
      <c r="L709" s="574">
        <v>0</v>
      </c>
      <c r="M709" s="548">
        <v>2000</v>
      </c>
    </row>
    <row r="710" spans="1:13" ht="15.95" customHeight="1">
      <c r="A710" s="547"/>
      <c r="B710" s="550" t="s">
        <v>6538</v>
      </c>
      <c r="C710" s="550" t="s">
        <v>6539</v>
      </c>
      <c r="D710" s="550" t="s">
        <v>659</v>
      </c>
      <c r="E710" s="550" t="s">
        <v>334</v>
      </c>
      <c r="F710" s="550" t="s">
        <v>11</v>
      </c>
      <c r="G710" s="552">
        <v>6400</v>
      </c>
      <c r="H710" s="552"/>
      <c r="I710" s="548">
        <v>2006</v>
      </c>
      <c r="J710" s="548">
        <v>1989</v>
      </c>
      <c r="K710" s="552">
        <v>569</v>
      </c>
      <c r="L710" s="574">
        <v>1420</v>
      </c>
      <c r="M710" s="548">
        <v>17</v>
      </c>
    </row>
    <row r="711" spans="1:13" ht="15.95" customHeight="1">
      <c r="A711" s="547"/>
      <c r="B711" s="550" t="s">
        <v>8223</v>
      </c>
      <c r="C711" s="550" t="s">
        <v>8224</v>
      </c>
      <c r="D711" s="550" t="s">
        <v>8224</v>
      </c>
      <c r="E711" s="550" t="s">
        <v>8225</v>
      </c>
      <c r="F711" s="550" t="s">
        <v>11</v>
      </c>
      <c r="G711" s="552">
        <v>3420</v>
      </c>
      <c r="H711" s="552"/>
      <c r="I711" s="548">
        <v>100</v>
      </c>
      <c r="J711" s="548">
        <v>0</v>
      </c>
      <c r="K711" s="552">
        <v>0</v>
      </c>
      <c r="L711" s="574">
        <v>0</v>
      </c>
      <c r="M711" s="548">
        <v>100</v>
      </c>
    </row>
    <row r="712" spans="1:13" ht="15.95" customHeight="1">
      <c r="A712" s="547"/>
      <c r="B712" s="550" t="s">
        <v>4061</v>
      </c>
      <c r="C712" s="550" t="s">
        <v>6491</v>
      </c>
      <c r="D712" s="550" t="s">
        <v>1241</v>
      </c>
      <c r="E712" s="550" t="s">
        <v>327</v>
      </c>
      <c r="F712" s="550" t="s">
        <v>11</v>
      </c>
      <c r="G712" s="552">
        <v>1500</v>
      </c>
      <c r="H712" s="552"/>
      <c r="I712" s="548">
        <v>2700</v>
      </c>
      <c r="J712" s="548">
        <v>2697</v>
      </c>
      <c r="K712" s="552">
        <v>0</v>
      </c>
      <c r="L712" s="574">
        <v>2697</v>
      </c>
      <c r="M712" s="548">
        <v>3</v>
      </c>
    </row>
    <row r="713" spans="1:13" ht="15.95" customHeight="1">
      <c r="A713" s="547"/>
      <c r="B713" s="550" t="s">
        <v>7541</v>
      </c>
      <c r="C713" s="550" t="s">
        <v>7542</v>
      </c>
      <c r="D713" s="550" t="s">
        <v>4958</v>
      </c>
      <c r="E713" s="550" t="s">
        <v>1016</v>
      </c>
      <c r="F713" s="550" t="s">
        <v>520</v>
      </c>
      <c r="G713" s="552">
        <v>4410</v>
      </c>
      <c r="H713" s="552"/>
      <c r="I713" s="548">
        <v>500</v>
      </c>
      <c r="J713" s="548">
        <v>336</v>
      </c>
      <c r="K713" s="552">
        <v>0</v>
      </c>
      <c r="L713" s="574">
        <v>336</v>
      </c>
      <c r="M713" s="548">
        <v>164</v>
      </c>
    </row>
    <row r="714" spans="1:13" ht="15.95" customHeight="1">
      <c r="A714" s="547"/>
      <c r="B714" s="550" t="s">
        <v>5034</v>
      </c>
      <c r="C714" s="550" t="s">
        <v>703</v>
      </c>
      <c r="D714" s="550" t="s">
        <v>702</v>
      </c>
      <c r="E714" s="550" t="s">
        <v>704</v>
      </c>
      <c r="F714" s="550" t="s">
        <v>701</v>
      </c>
      <c r="G714" s="552">
        <v>3500</v>
      </c>
      <c r="H714" s="552">
        <v>43</v>
      </c>
      <c r="I714" s="548">
        <v>0</v>
      </c>
      <c r="J714" s="548">
        <v>43</v>
      </c>
      <c r="K714" s="552">
        <v>0</v>
      </c>
      <c r="L714" s="574">
        <v>43</v>
      </c>
      <c r="M714" s="548">
        <v>0</v>
      </c>
    </row>
    <row r="715" spans="1:13" ht="15.95" customHeight="1">
      <c r="A715" s="547"/>
      <c r="B715" s="550" t="s">
        <v>5034</v>
      </c>
      <c r="C715" s="550" t="s">
        <v>703</v>
      </c>
      <c r="D715" s="550" t="s">
        <v>702</v>
      </c>
      <c r="E715" s="550" t="s">
        <v>704</v>
      </c>
      <c r="F715" s="550" t="s">
        <v>701</v>
      </c>
      <c r="G715" s="552">
        <v>3500</v>
      </c>
      <c r="H715" s="552">
        <v>28</v>
      </c>
      <c r="I715" s="548">
        <v>0</v>
      </c>
      <c r="J715" s="548">
        <v>28</v>
      </c>
      <c r="K715" s="552">
        <v>0</v>
      </c>
      <c r="L715" s="574">
        <v>28</v>
      </c>
      <c r="M715" s="548">
        <v>0</v>
      </c>
    </row>
    <row r="716" spans="1:13" ht="15.95" customHeight="1">
      <c r="A716" s="547"/>
      <c r="B716" s="550" t="s">
        <v>4180</v>
      </c>
      <c r="C716" s="550" t="s">
        <v>4181</v>
      </c>
      <c r="D716" s="550" t="s">
        <v>659</v>
      </c>
      <c r="E716" s="550" t="s">
        <v>334</v>
      </c>
      <c r="F716" s="550" t="s">
        <v>11</v>
      </c>
      <c r="G716" s="552">
        <v>2890</v>
      </c>
      <c r="H716" s="552">
        <v>605</v>
      </c>
      <c r="I716" s="548">
        <v>0</v>
      </c>
      <c r="J716" s="548">
        <v>605</v>
      </c>
      <c r="K716" s="552">
        <v>56</v>
      </c>
      <c r="L716" s="574">
        <v>549</v>
      </c>
      <c r="M716" s="548">
        <v>0</v>
      </c>
    </row>
    <row r="717" spans="1:13" ht="15.95" customHeight="1">
      <c r="A717" s="547"/>
      <c r="B717" s="550" t="s">
        <v>4180</v>
      </c>
      <c r="C717" s="550" t="s">
        <v>4181</v>
      </c>
      <c r="D717" s="550" t="s">
        <v>659</v>
      </c>
      <c r="E717" s="550" t="s">
        <v>334</v>
      </c>
      <c r="F717" s="550" t="s">
        <v>11</v>
      </c>
      <c r="G717" s="552">
        <v>2890</v>
      </c>
      <c r="H717" s="552"/>
      <c r="I717" s="548">
        <v>4980</v>
      </c>
      <c r="J717" s="548">
        <v>1080</v>
      </c>
      <c r="K717" s="552">
        <v>0</v>
      </c>
      <c r="L717" s="574">
        <v>1080</v>
      </c>
      <c r="M717" s="548">
        <v>3900</v>
      </c>
    </row>
    <row r="718" spans="1:13" ht="15.95" customHeight="1">
      <c r="A718" s="547"/>
      <c r="B718" s="550" t="s">
        <v>4183</v>
      </c>
      <c r="C718" s="550" t="s">
        <v>4184</v>
      </c>
      <c r="D718" s="550" t="s">
        <v>1522</v>
      </c>
      <c r="E718" s="550" t="s">
        <v>225</v>
      </c>
      <c r="F718" s="550" t="s">
        <v>11</v>
      </c>
      <c r="G718" s="552">
        <v>1890</v>
      </c>
      <c r="H718" s="552">
        <v>4007</v>
      </c>
      <c r="I718" s="548">
        <v>6</v>
      </c>
      <c r="J718" s="548">
        <v>4012</v>
      </c>
      <c r="K718" s="552">
        <v>533</v>
      </c>
      <c r="L718" s="574">
        <v>3479</v>
      </c>
      <c r="M718" s="548">
        <v>1</v>
      </c>
    </row>
    <row r="719" spans="1:13" ht="15.95" customHeight="1">
      <c r="A719" s="547"/>
      <c r="B719" s="550" t="s">
        <v>4183</v>
      </c>
      <c r="C719" s="550" t="s">
        <v>4184</v>
      </c>
      <c r="D719" s="550" t="s">
        <v>1522</v>
      </c>
      <c r="E719" s="550" t="s">
        <v>225</v>
      </c>
      <c r="F719" s="550" t="s">
        <v>11</v>
      </c>
      <c r="G719" s="552">
        <v>1890</v>
      </c>
      <c r="H719" s="552">
        <v>30000</v>
      </c>
      <c r="I719" s="548">
        <v>3</v>
      </c>
      <c r="J719" s="548">
        <v>30003</v>
      </c>
      <c r="K719" s="552">
        <v>703</v>
      </c>
      <c r="L719" s="574">
        <v>29300</v>
      </c>
      <c r="M719" s="548">
        <v>0</v>
      </c>
    </row>
    <row r="720" spans="1:13" ht="15.95" customHeight="1">
      <c r="A720" s="547"/>
      <c r="B720" s="550" t="s">
        <v>4183</v>
      </c>
      <c r="C720" s="550" t="s">
        <v>4184</v>
      </c>
      <c r="D720" s="550" t="s">
        <v>1522</v>
      </c>
      <c r="E720" s="550" t="s">
        <v>225</v>
      </c>
      <c r="F720" s="550" t="s">
        <v>11</v>
      </c>
      <c r="G720" s="552">
        <v>1890</v>
      </c>
      <c r="H720" s="552"/>
      <c r="I720" s="548">
        <v>30000</v>
      </c>
      <c r="J720" s="548">
        <v>7261</v>
      </c>
      <c r="K720" s="552">
        <v>57</v>
      </c>
      <c r="L720" s="574">
        <v>7204</v>
      </c>
      <c r="M720" s="548">
        <v>22739</v>
      </c>
    </row>
    <row r="721" spans="1:13" ht="15.95" customHeight="1">
      <c r="A721" s="547"/>
      <c r="B721" s="550" t="s">
        <v>7616</v>
      </c>
      <c r="C721" s="550" t="s">
        <v>7619</v>
      </c>
      <c r="D721" s="550" t="s">
        <v>11871</v>
      </c>
      <c r="E721" s="550" t="s">
        <v>7618</v>
      </c>
      <c r="F721" s="550" t="s">
        <v>11</v>
      </c>
      <c r="G721" s="552">
        <v>2500</v>
      </c>
      <c r="H721" s="552"/>
      <c r="I721" s="548">
        <v>2496</v>
      </c>
      <c r="J721" s="548">
        <v>1617</v>
      </c>
      <c r="K721" s="552">
        <v>0</v>
      </c>
      <c r="L721" s="574">
        <v>1617</v>
      </c>
      <c r="M721" s="548">
        <v>879</v>
      </c>
    </row>
    <row r="722" spans="1:13" ht="15.95" customHeight="1">
      <c r="A722" s="547"/>
      <c r="B722" s="550" t="s">
        <v>7616</v>
      </c>
      <c r="C722" s="550" t="s">
        <v>7619</v>
      </c>
      <c r="D722" s="550" t="s">
        <v>11871</v>
      </c>
      <c r="E722" s="550" t="s">
        <v>7618</v>
      </c>
      <c r="F722" s="550" t="s">
        <v>11</v>
      </c>
      <c r="G722" s="552">
        <v>2500</v>
      </c>
      <c r="H722" s="552"/>
      <c r="I722" s="548">
        <v>2496</v>
      </c>
      <c r="J722" s="548">
        <v>0</v>
      </c>
      <c r="K722" s="552">
        <v>0</v>
      </c>
      <c r="L722" s="574">
        <v>0</v>
      </c>
      <c r="M722" s="548">
        <v>2496</v>
      </c>
    </row>
    <row r="723" spans="1:13" ht="15.95" customHeight="1">
      <c r="A723" s="547"/>
      <c r="B723" s="550" t="s">
        <v>4186</v>
      </c>
      <c r="C723" s="550" t="s">
        <v>743</v>
      </c>
      <c r="D723" s="550" t="s">
        <v>742</v>
      </c>
      <c r="E723" s="550" t="s">
        <v>4187</v>
      </c>
      <c r="F723" s="550" t="s">
        <v>520</v>
      </c>
      <c r="G723" s="552">
        <v>43995</v>
      </c>
      <c r="H723" s="552">
        <v>10</v>
      </c>
      <c r="I723" s="548">
        <v>0</v>
      </c>
      <c r="J723" s="548">
        <v>10</v>
      </c>
      <c r="K723" s="552">
        <v>0</v>
      </c>
      <c r="L723" s="574">
        <v>10</v>
      </c>
      <c r="M723" s="548">
        <v>0</v>
      </c>
    </row>
    <row r="724" spans="1:13" ht="15.95" customHeight="1">
      <c r="A724" s="547"/>
      <c r="B724" s="550" t="s">
        <v>4189</v>
      </c>
      <c r="C724" s="550" t="s">
        <v>4190</v>
      </c>
      <c r="D724" s="550" t="s">
        <v>747</v>
      </c>
      <c r="E724" s="550" t="s">
        <v>4191</v>
      </c>
      <c r="F724" s="550" t="s">
        <v>15</v>
      </c>
      <c r="G724" s="552">
        <v>23400</v>
      </c>
      <c r="H724" s="552">
        <v>310</v>
      </c>
      <c r="I724" s="548">
        <v>0</v>
      </c>
      <c r="J724" s="548">
        <v>206</v>
      </c>
      <c r="K724" s="552">
        <v>0</v>
      </c>
      <c r="L724" s="574">
        <v>206</v>
      </c>
      <c r="M724" s="548">
        <v>104</v>
      </c>
    </row>
    <row r="725" spans="1:13" ht="15.95" customHeight="1">
      <c r="A725" s="547"/>
      <c r="B725" s="550" t="s">
        <v>3989</v>
      </c>
      <c r="C725" s="550" t="s">
        <v>1068</v>
      </c>
      <c r="D725" s="550" t="s">
        <v>747</v>
      </c>
      <c r="E725" s="550" t="s">
        <v>4193</v>
      </c>
      <c r="F725" s="550" t="s">
        <v>658</v>
      </c>
      <c r="G725" s="552">
        <v>1320</v>
      </c>
      <c r="H725" s="552"/>
      <c r="I725" s="548">
        <v>960</v>
      </c>
      <c r="J725" s="548">
        <v>172</v>
      </c>
      <c r="K725" s="552">
        <v>130</v>
      </c>
      <c r="L725" s="574">
        <v>42</v>
      </c>
      <c r="M725" s="548">
        <v>788</v>
      </c>
    </row>
    <row r="726" spans="1:13" ht="15.95" customHeight="1">
      <c r="A726" s="547"/>
      <c r="B726" s="550" t="s">
        <v>3989</v>
      </c>
      <c r="C726" s="550" t="s">
        <v>1068</v>
      </c>
      <c r="D726" s="550" t="s">
        <v>747</v>
      </c>
      <c r="E726" s="550" t="s">
        <v>4193</v>
      </c>
      <c r="F726" s="550" t="s">
        <v>658</v>
      </c>
      <c r="G726" s="552">
        <v>1320</v>
      </c>
      <c r="H726" s="552">
        <v>15</v>
      </c>
      <c r="I726" s="548">
        <v>7</v>
      </c>
      <c r="J726" s="548">
        <v>15</v>
      </c>
      <c r="K726" s="552">
        <v>15</v>
      </c>
      <c r="L726" s="574">
        <v>0</v>
      </c>
      <c r="M726" s="548">
        <v>7</v>
      </c>
    </row>
    <row r="727" spans="1:13" ht="15.95" customHeight="1">
      <c r="A727" s="547"/>
      <c r="B727" s="550" t="s">
        <v>4195</v>
      </c>
      <c r="C727" s="550" t="s">
        <v>1068</v>
      </c>
      <c r="D727" s="550" t="s">
        <v>747</v>
      </c>
      <c r="E727" s="550" t="s">
        <v>2525</v>
      </c>
      <c r="F727" s="550" t="s">
        <v>18</v>
      </c>
      <c r="G727" s="552">
        <v>11886</v>
      </c>
      <c r="H727" s="552">
        <v>4</v>
      </c>
      <c r="I727" s="548">
        <v>0</v>
      </c>
      <c r="J727" s="548">
        <v>0</v>
      </c>
      <c r="K727" s="552">
        <v>0</v>
      </c>
      <c r="L727" s="574">
        <v>0</v>
      </c>
      <c r="M727" s="548">
        <v>4</v>
      </c>
    </row>
    <row r="728" spans="1:13" ht="15.95" customHeight="1">
      <c r="A728" s="547"/>
      <c r="B728" s="550" t="s">
        <v>4442</v>
      </c>
      <c r="C728" s="550" t="s">
        <v>1068</v>
      </c>
      <c r="D728" s="550" t="s">
        <v>747</v>
      </c>
      <c r="E728" s="550" t="s">
        <v>4449</v>
      </c>
      <c r="F728" s="550" t="s">
        <v>15</v>
      </c>
      <c r="G728" s="552">
        <v>8820</v>
      </c>
      <c r="H728" s="552"/>
      <c r="I728" s="548">
        <v>602</v>
      </c>
      <c r="J728" s="548">
        <v>600</v>
      </c>
      <c r="K728" s="552">
        <v>600</v>
      </c>
      <c r="L728" s="574">
        <v>0</v>
      </c>
      <c r="M728" s="548">
        <v>2</v>
      </c>
    </row>
    <row r="729" spans="1:13" ht="15.95" customHeight="1">
      <c r="A729" s="547"/>
      <c r="B729" s="550" t="s">
        <v>4442</v>
      </c>
      <c r="C729" s="550" t="s">
        <v>1068</v>
      </c>
      <c r="D729" s="550" t="s">
        <v>747</v>
      </c>
      <c r="E729" s="550" t="s">
        <v>4449</v>
      </c>
      <c r="F729" s="550" t="s">
        <v>15</v>
      </c>
      <c r="G729" s="552">
        <v>8820</v>
      </c>
      <c r="H729" s="552"/>
      <c r="I729" s="548">
        <v>984</v>
      </c>
      <c r="J729" s="548">
        <v>735</v>
      </c>
      <c r="K729" s="552">
        <v>409</v>
      </c>
      <c r="L729" s="574">
        <v>326</v>
      </c>
      <c r="M729" s="548">
        <v>249</v>
      </c>
    </row>
    <row r="730" spans="1:13" ht="15.95" customHeight="1">
      <c r="A730" s="547"/>
      <c r="B730" s="550" t="s">
        <v>4442</v>
      </c>
      <c r="C730" s="550" t="s">
        <v>1068</v>
      </c>
      <c r="D730" s="550" t="s">
        <v>747</v>
      </c>
      <c r="E730" s="550" t="s">
        <v>4449</v>
      </c>
      <c r="F730" s="550" t="s">
        <v>15</v>
      </c>
      <c r="G730" s="552">
        <v>8820</v>
      </c>
      <c r="H730" s="552"/>
      <c r="I730" s="548">
        <v>1000</v>
      </c>
      <c r="J730" s="548">
        <v>0</v>
      </c>
      <c r="K730" s="552">
        <v>0</v>
      </c>
      <c r="L730" s="574">
        <v>0</v>
      </c>
      <c r="M730" s="548">
        <v>1000</v>
      </c>
    </row>
    <row r="731" spans="1:13" ht="15.95" customHeight="1">
      <c r="A731" s="547"/>
      <c r="B731" s="550" t="s">
        <v>4442</v>
      </c>
      <c r="C731" s="550" t="s">
        <v>1068</v>
      </c>
      <c r="D731" s="550" t="s">
        <v>747</v>
      </c>
      <c r="E731" s="550" t="s">
        <v>4449</v>
      </c>
      <c r="F731" s="550" t="s">
        <v>15</v>
      </c>
      <c r="G731" s="552">
        <v>8820</v>
      </c>
      <c r="H731" s="552"/>
      <c r="I731" s="548">
        <v>1000</v>
      </c>
      <c r="J731" s="548">
        <v>0</v>
      </c>
      <c r="K731" s="552">
        <v>0</v>
      </c>
      <c r="L731" s="574">
        <v>0</v>
      </c>
      <c r="M731" s="548">
        <v>1000</v>
      </c>
    </row>
    <row r="732" spans="1:13" ht="0.75" customHeight="1">
      <c r="A732" s="547"/>
      <c r="B732" s="559" t="s">
        <v>7068</v>
      </c>
      <c r="C732" s="559" t="s">
        <v>1068</v>
      </c>
      <c r="D732" s="559" t="s">
        <v>747</v>
      </c>
      <c r="E732" s="559" t="s">
        <v>4449</v>
      </c>
      <c r="F732" s="559" t="s">
        <v>15</v>
      </c>
      <c r="G732" s="562">
        <v>8820</v>
      </c>
      <c r="H732" s="562">
        <v>815</v>
      </c>
      <c r="I732" s="565">
        <v>1</v>
      </c>
      <c r="J732" s="570">
        <v>816</v>
      </c>
      <c r="K732" s="567">
        <v>816</v>
      </c>
      <c r="L732" s="574">
        <v>0</v>
      </c>
      <c r="M732" s="570">
        <v>0</v>
      </c>
    </row>
    <row r="733" spans="1:13" ht="12.95" customHeight="1">
      <c r="A733" s="547"/>
      <c r="B733" s="560" t="s">
        <v>7068</v>
      </c>
      <c r="C733" s="560" t="s">
        <v>1068</v>
      </c>
      <c r="D733" s="560" t="s">
        <v>747</v>
      </c>
      <c r="E733" s="560" t="s">
        <v>4449</v>
      </c>
      <c r="F733" s="560" t="s">
        <v>15</v>
      </c>
      <c r="G733" s="563">
        <v>8820</v>
      </c>
      <c r="H733" s="563">
        <v>40</v>
      </c>
      <c r="I733" s="548">
        <v>0</v>
      </c>
      <c r="J733" s="571">
        <v>40</v>
      </c>
      <c r="K733" s="568">
        <v>30</v>
      </c>
      <c r="L733" s="574">
        <v>10</v>
      </c>
      <c r="M733" s="571">
        <v>0</v>
      </c>
    </row>
    <row r="734" spans="1:13" ht="0.75" customHeight="1">
      <c r="A734" s="547"/>
      <c r="B734" s="558" t="s">
        <v>7068</v>
      </c>
      <c r="C734" s="558" t="s">
        <v>1068</v>
      </c>
      <c r="D734" s="558" t="s">
        <v>747</v>
      </c>
      <c r="E734" s="558" t="s">
        <v>4449</v>
      </c>
      <c r="F734" s="558" t="s">
        <v>15</v>
      </c>
      <c r="G734" s="561">
        <v>8820</v>
      </c>
      <c r="H734" s="561"/>
      <c r="I734" s="564">
        <v>427</v>
      </c>
      <c r="J734" s="569">
        <v>420</v>
      </c>
      <c r="K734" s="566">
        <v>365</v>
      </c>
      <c r="L734" s="574">
        <v>55</v>
      </c>
      <c r="M734" s="569">
        <v>7</v>
      </c>
    </row>
    <row r="735" spans="1:13" ht="13.7" customHeight="1">
      <c r="A735" s="557"/>
      <c r="B735" s="550" t="s">
        <v>4197</v>
      </c>
      <c r="C735" s="550" t="s">
        <v>4198</v>
      </c>
      <c r="D735" s="550" t="s">
        <v>4199</v>
      </c>
      <c r="E735" s="550" t="s">
        <v>327</v>
      </c>
      <c r="F735" s="550" t="s">
        <v>10</v>
      </c>
      <c r="G735" s="552">
        <v>7600</v>
      </c>
      <c r="H735" s="552">
        <v>4238</v>
      </c>
      <c r="I735" s="548">
        <v>0</v>
      </c>
      <c r="J735" s="548">
        <v>4238</v>
      </c>
      <c r="K735" s="552">
        <v>0</v>
      </c>
      <c r="L735" s="574">
        <v>4238</v>
      </c>
      <c r="M735" s="548">
        <v>0</v>
      </c>
    </row>
    <row r="736" spans="1:13" ht="15.95" customHeight="1">
      <c r="A736" s="547"/>
      <c r="B736" s="550" t="s">
        <v>4197</v>
      </c>
      <c r="C736" s="550" t="s">
        <v>4198</v>
      </c>
      <c r="D736" s="550" t="s">
        <v>4199</v>
      </c>
      <c r="E736" s="550" t="s">
        <v>327</v>
      </c>
      <c r="F736" s="550" t="s">
        <v>10</v>
      </c>
      <c r="G736" s="552">
        <v>7600</v>
      </c>
      <c r="H736" s="552">
        <v>47</v>
      </c>
      <c r="I736" s="548">
        <v>0</v>
      </c>
      <c r="J736" s="548">
        <v>31</v>
      </c>
      <c r="K736" s="552">
        <v>0</v>
      </c>
      <c r="L736" s="574">
        <v>31</v>
      </c>
      <c r="M736" s="548">
        <v>16</v>
      </c>
    </row>
    <row r="737" spans="1:13" ht="15.95" customHeight="1">
      <c r="A737" s="547"/>
      <c r="B737" s="550"/>
      <c r="C737" s="550" t="s">
        <v>4537</v>
      </c>
      <c r="D737" s="550" t="s">
        <v>433</v>
      </c>
      <c r="E737" s="550" t="s">
        <v>225</v>
      </c>
      <c r="F737" s="550" t="s">
        <v>10</v>
      </c>
      <c r="G737" s="552">
        <v>9600</v>
      </c>
      <c r="H737" s="552">
        <v>23910</v>
      </c>
      <c r="I737" s="548">
        <v>15</v>
      </c>
      <c r="J737" s="548">
        <v>23920</v>
      </c>
      <c r="K737" s="552">
        <v>502</v>
      </c>
      <c r="L737" s="574">
        <v>23418</v>
      </c>
      <c r="M737" s="548">
        <v>5</v>
      </c>
    </row>
    <row r="738" spans="1:13" ht="15.95" customHeight="1">
      <c r="A738" s="547"/>
      <c r="B738" s="550" t="s">
        <v>4539</v>
      </c>
      <c r="C738" s="550" t="s">
        <v>3229</v>
      </c>
      <c r="D738" s="550" t="s">
        <v>4540</v>
      </c>
      <c r="E738" s="550" t="s">
        <v>4541</v>
      </c>
      <c r="F738" s="550" t="s">
        <v>15</v>
      </c>
      <c r="G738" s="552">
        <v>2982</v>
      </c>
      <c r="H738" s="552">
        <v>28</v>
      </c>
      <c r="I738" s="548">
        <v>0</v>
      </c>
      <c r="J738" s="548">
        <v>3</v>
      </c>
      <c r="K738" s="552">
        <v>0</v>
      </c>
      <c r="L738" s="574">
        <v>3</v>
      </c>
      <c r="M738" s="548">
        <v>25</v>
      </c>
    </row>
    <row r="739" spans="1:13" ht="15.95" customHeight="1">
      <c r="A739" s="547"/>
      <c r="B739" s="550" t="s">
        <v>4539</v>
      </c>
      <c r="C739" s="550" t="s">
        <v>3229</v>
      </c>
      <c r="D739" s="550" t="s">
        <v>4540</v>
      </c>
      <c r="E739" s="550" t="s">
        <v>4541</v>
      </c>
      <c r="F739" s="550" t="s">
        <v>15</v>
      </c>
      <c r="G739" s="552">
        <v>2982</v>
      </c>
      <c r="H739" s="552"/>
      <c r="I739" s="548">
        <v>70</v>
      </c>
      <c r="J739" s="548">
        <v>70</v>
      </c>
      <c r="K739" s="552">
        <v>70</v>
      </c>
      <c r="L739" s="574">
        <v>0</v>
      </c>
      <c r="M739" s="548">
        <v>0</v>
      </c>
    </row>
    <row r="740" spans="1:13" ht="15.95" customHeight="1">
      <c r="A740" s="547"/>
      <c r="B740" s="550" t="s">
        <v>4539</v>
      </c>
      <c r="C740" s="550" t="s">
        <v>3229</v>
      </c>
      <c r="D740" s="550" t="s">
        <v>4540</v>
      </c>
      <c r="E740" s="550" t="s">
        <v>4541</v>
      </c>
      <c r="F740" s="550" t="s">
        <v>15</v>
      </c>
      <c r="G740" s="552">
        <v>2982</v>
      </c>
      <c r="H740" s="552"/>
      <c r="I740" s="548">
        <v>80</v>
      </c>
      <c r="J740" s="548">
        <v>30</v>
      </c>
      <c r="K740" s="552">
        <v>30</v>
      </c>
      <c r="L740" s="574">
        <v>0</v>
      </c>
      <c r="M740" s="548">
        <v>50</v>
      </c>
    </row>
    <row r="741" spans="1:13" ht="15.95" customHeight="1">
      <c r="A741" s="547"/>
      <c r="B741" s="550" t="s">
        <v>4202</v>
      </c>
      <c r="C741" s="550" t="s">
        <v>2004</v>
      </c>
      <c r="D741" s="550" t="s">
        <v>3965</v>
      </c>
      <c r="E741" s="550" t="s">
        <v>2005</v>
      </c>
      <c r="F741" s="550" t="s">
        <v>11</v>
      </c>
      <c r="G741" s="552">
        <v>3585</v>
      </c>
      <c r="H741" s="552">
        <v>6126</v>
      </c>
      <c r="I741" s="548">
        <v>6</v>
      </c>
      <c r="J741" s="548">
        <v>6132</v>
      </c>
      <c r="K741" s="552">
        <v>332</v>
      </c>
      <c r="L741" s="574">
        <v>5800</v>
      </c>
      <c r="M741" s="548">
        <v>0</v>
      </c>
    </row>
    <row r="742" spans="1:13" ht="15.95" customHeight="1">
      <c r="A742" s="547"/>
      <c r="B742" s="550" t="s">
        <v>4202</v>
      </c>
      <c r="C742" s="550" t="s">
        <v>2004</v>
      </c>
      <c r="D742" s="550" t="s">
        <v>3965</v>
      </c>
      <c r="E742" s="550" t="s">
        <v>2005</v>
      </c>
      <c r="F742" s="550" t="s">
        <v>11</v>
      </c>
      <c r="G742" s="552">
        <v>3585</v>
      </c>
      <c r="H742" s="552"/>
      <c r="I742" s="548">
        <v>3000</v>
      </c>
      <c r="J742" s="548">
        <v>2953</v>
      </c>
      <c r="K742" s="552">
        <v>1553</v>
      </c>
      <c r="L742" s="574">
        <v>1400</v>
      </c>
      <c r="M742" s="548">
        <v>47</v>
      </c>
    </row>
    <row r="743" spans="1:13" ht="15.95" customHeight="1">
      <c r="A743" s="547"/>
      <c r="B743" s="550" t="s">
        <v>4202</v>
      </c>
      <c r="C743" s="550" t="s">
        <v>2004</v>
      </c>
      <c r="D743" s="550" t="s">
        <v>3965</v>
      </c>
      <c r="E743" s="550" t="s">
        <v>2005</v>
      </c>
      <c r="F743" s="550" t="s">
        <v>11</v>
      </c>
      <c r="G743" s="552">
        <v>3585</v>
      </c>
      <c r="H743" s="552"/>
      <c r="I743" s="548">
        <v>12800</v>
      </c>
      <c r="J743" s="548">
        <v>30</v>
      </c>
      <c r="K743" s="552">
        <v>0</v>
      </c>
      <c r="L743" s="574">
        <v>30</v>
      </c>
      <c r="M743" s="548">
        <v>12770</v>
      </c>
    </row>
    <row r="744" spans="1:13" ht="15.95" customHeight="1">
      <c r="A744" s="547"/>
      <c r="B744" s="550" t="s">
        <v>5978</v>
      </c>
      <c r="C744" s="550" t="s">
        <v>5918</v>
      </c>
      <c r="D744" s="550" t="s">
        <v>5979</v>
      </c>
      <c r="E744" s="550" t="s">
        <v>5980</v>
      </c>
      <c r="F744" s="550" t="s">
        <v>11</v>
      </c>
      <c r="G744" s="552">
        <v>11800</v>
      </c>
      <c r="H744" s="552"/>
      <c r="I744" s="548">
        <v>500</v>
      </c>
      <c r="J744" s="548">
        <v>0</v>
      </c>
      <c r="K744" s="552">
        <v>0</v>
      </c>
      <c r="L744" s="574">
        <v>0</v>
      </c>
      <c r="M744" s="548">
        <v>500</v>
      </c>
    </row>
    <row r="745" spans="1:13" ht="15.95" customHeight="1">
      <c r="A745" s="547"/>
      <c r="B745" s="550" t="s">
        <v>6596</v>
      </c>
      <c r="C745" s="550" t="s">
        <v>6597</v>
      </c>
      <c r="D745" s="550" t="s">
        <v>337</v>
      </c>
      <c r="E745" s="550" t="s">
        <v>272</v>
      </c>
      <c r="F745" s="550" t="s">
        <v>11</v>
      </c>
      <c r="G745" s="552">
        <v>2800</v>
      </c>
      <c r="H745" s="552"/>
      <c r="I745" s="548">
        <v>800</v>
      </c>
      <c r="J745" s="548">
        <v>420</v>
      </c>
      <c r="K745" s="552">
        <v>420</v>
      </c>
      <c r="L745" s="574">
        <v>0</v>
      </c>
      <c r="M745" s="548">
        <v>380</v>
      </c>
    </row>
    <row r="746" spans="1:13" ht="0.75" customHeight="1">
      <c r="A746" s="547"/>
      <c r="B746" s="559" t="s">
        <v>5038</v>
      </c>
      <c r="C746" s="559" t="s">
        <v>5039</v>
      </c>
      <c r="D746" s="559" t="s">
        <v>1636</v>
      </c>
      <c r="E746" s="559" t="s">
        <v>5026</v>
      </c>
      <c r="F746" s="559" t="s">
        <v>11</v>
      </c>
      <c r="G746" s="562">
        <v>1848</v>
      </c>
      <c r="H746" s="562">
        <v>13755</v>
      </c>
      <c r="I746" s="565">
        <v>0</v>
      </c>
      <c r="J746" s="570">
        <v>13718</v>
      </c>
      <c r="K746" s="567">
        <v>1500</v>
      </c>
      <c r="L746" s="574">
        <v>12218</v>
      </c>
      <c r="M746" s="570">
        <v>37</v>
      </c>
    </row>
    <row r="747" spans="1:13" ht="12.95" customHeight="1">
      <c r="A747" s="547"/>
      <c r="B747" s="560" t="s">
        <v>5038</v>
      </c>
      <c r="C747" s="560" t="s">
        <v>5039</v>
      </c>
      <c r="D747" s="560" t="s">
        <v>1636</v>
      </c>
      <c r="E747" s="560" t="s">
        <v>5026</v>
      </c>
      <c r="F747" s="560" t="s">
        <v>11</v>
      </c>
      <c r="G747" s="563">
        <v>1848</v>
      </c>
      <c r="H747" s="563"/>
      <c r="I747" s="548">
        <v>20000</v>
      </c>
      <c r="J747" s="571">
        <v>0</v>
      </c>
      <c r="K747" s="568">
        <v>0</v>
      </c>
      <c r="L747" s="574">
        <v>0</v>
      </c>
      <c r="M747" s="571">
        <v>20000</v>
      </c>
    </row>
    <row r="748" spans="1:13" ht="0.75" customHeight="1">
      <c r="A748" s="547"/>
      <c r="B748" s="558" t="s">
        <v>4895</v>
      </c>
      <c r="C748" s="558" t="s">
        <v>502</v>
      </c>
      <c r="D748" s="558" t="s">
        <v>313</v>
      </c>
      <c r="E748" s="558" t="s">
        <v>235</v>
      </c>
      <c r="F748" s="558" t="s">
        <v>10</v>
      </c>
      <c r="G748" s="561">
        <v>473</v>
      </c>
      <c r="H748" s="561">
        <v>247</v>
      </c>
      <c r="I748" s="564">
        <v>1</v>
      </c>
      <c r="J748" s="569">
        <v>178</v>
      </c>
      <c r="K748" s="566">
        <v>178</v>
      </c>
      <c r="L748" s="574">
        <v>0</v>
      </c>
      <c r="M748" s="569">
        <v>70</v>
      </c>
    </row>
    <row r="749" spans="1:13" ht="13.7" customHeight="1">
      <c r="A749" s="557"/>
      <c r="B749" s="550" t="s">
        <v>4895</v>
      </c>
      <c r="C749" s="550" t="s">
        <v>502</v>
      </c>
      <c r="D749" s="550" t="s">
        <v>313</v>
      </c>
      <c r="E749" s="550" t="s">
        <v>235</v>
      </c>
      <c r="F749" s="550" t="s">
        <v>10</v>
      </c>
      <c r="G749" s="552">
        <v>473</v>
      </c>
      <c r="H749" s="552">
        <v>6878</v>
      </c>
      <c r="I749" s="548">
        <v>0</v>
      </c>
      <c r="J749" s="548">
        <v>6678</v>
      </c>
      <c r="K749" s="552">
        <v>2950</v>
      </c>
      <c r="L749" s="574">
        <v>3728</v>
      </c>
      <c r="M749" s="548">
        <v>200</v>
      </c>
    </row>
    <row r="750" spans="1:13" ht="15.95" customHeight="1">
      <c r="A750" s="547"/>
      <c r="B750" s="550" t="s">
        <v>4895</v>
      </c>
      <c r="C750" s="550" t="s">
        <v>502</v>
      </c>
      <c r="D750" s="550" t="s">
        <v>313</v>
      </c>
      <c r="E750" s="550" t="s">
        <v>235</v>
      </c>
      <c r="F750" s="550" t="s">
        <v>10</v>
      </c>
      <c r="G750" s="552">
        <v>473</v>
      </c>
      <c r="H750" s="552">
        <v>23000</v>
      </c>
      <c r="I750" s="548">
        <v>0</v>
      </c>
      <c r="J750" s="548">
        <v>21776</v>
      </c>
      <c r="K750" s="552">
        <v>9750</v>
      </c>
      <c r="L750" s="574">
        <v>12026</v>
      </c>
      <c r="M750" s="548">
        <v>1224</v>
      </c>
    </row>
    <row r="751" spans="1:13" ht="15.95" customHeight="1">
      <c r="A751" s="547"/>
      <c r="B751" s="550" t="s">
        <v>7593</v>
      </c>
      <c r="C751" s="550" t="s">
        <v>7594</v>
      </c>
      <c r="D751" s="550" t="s">
        <v>607</v>
      </c>
      <c r="E751" s="550" t="s">
        <v>327</v>
      </c>
      <c r="F751" s="550" t="s">
        <v>11</v>
      </c>
      <c r="G751" s="552">
        <v>2940</v>
      </c>
      <c r="H751" s="552">
        <v>4464</v>
      </c>
      <c r="I751" s="548">
        <v>0</v>
      </c>
      <c r="J751" s="548">
        <v>3500</v>
      </c>
      <c r="K751" s="552">
        <v>18</v>
      </c>
      <c r="L751" s="574">
        <v>3482</v>
      </c>
      <c r="M751" s="548">
        <v>964</v>
      </c>
    </row>
    <row r="752" spans="1:13" ht="15.95" customHeight="1">
      <c r="A752" s="547"/>
      <c r="B752" s="550" t="s">
        <v>7593</v>
      </c>
      <c r="C752" s="550" t="s">
        <v>7594</v>
      </c>
      <c r="D752" s="550" t="s">
        <v>607</v>
      </c>
      <c r="E752" s="550" t="s">
        <v>327</v>
      </c>
      <c r="F752" s="550" t="s">
        <v>11</v>
      </c>
      <c r="G752" s="552">
        <v>2940</v>
      </c>
      <c r="H752" s="552">
        <v>5400</v>
      </c>
      <c r="I752" s="548">
        <v>0</v>
      </c>
      <c r="J752" s="548">
        <v>90</v>
      </c>
      <c r="K752" s="552">
        <v>0</v>
      </c>
      <c r="L752" s="574">
        <v>90</v>
      </c>
      <c r="M752" s="548">
        <v>5310</v>
      </c>
    </row>
    <row r="753" spans="1:13" ht="15.95" customHeight="1">
      <c r="A753" s="547"/>
      <c r="B753" s="550" t="s">
        <v>4205</v>
      </c>
      <c r="C753" s="550" t="s">
        <v>1366</v>
      </c>
      <c r="D753" s="550" t="s">
        <v>1365</v>
      </c>
      <c r="E753" s="550" t="s">
        <v>310</v>
      </c>
      <c r="F753" s="550" t="s">
        <v>11</v>
      </c>
      <c r="G753" s="552">
        <v>245</v>
      </c>
      <c r="H753" s="552">
        <v>70</v>
      </c>
      <c r="I753" s="548">
        <v>0</v>
      </c>
      <c r="J753" s="548">
        <v>70</v>
      </c>
      <c r="K753" s="552">
        <v>0</v>
      </c>
      <c r="L753" s="574">
        <v>70</v>
      </c>
      <c r="M753" s="548">
        <v>0</v>
      </c>
    </row>
    <row r="754" spans="1:13" ht="0.75" customHeight="1">
      <c r="A754" s="547"/>
      <c r="B754" s="559" t="s">
        <v>4205</v>
      </c>
      <c r="C754" s="559" t="s">
        <v>1366</v>
      </c>
      <c r="D754" s="559" t="s">
        <v>1365</v>
      </c>
      <c r="E754" s="559" t="s">
        <v>310</v>
      </c>
      <c r="F754" s="559" t="s">
        <v>11</v>
      </c>
      <c r="G754" s="562">
        <v>245</v>
      </c>
      <c r="H754" s="562">
        <v>405</v>
      </c>
      <c r="I754" s="565">
        <v>0</v>
      </c>
      <c r="J754" s="570">
        <v>405</v>
      </c>
      <c r="K754" s="567">
        <v>9</v>
      </c>
      <c r="L754" s="574">
        <v>396</v>
      </c>
      <c r="M754" s="570">
        <v>0</v>
      </c>
    </row>
    <row r="755" spans="1:13" ht="12.95" customHeight="1">
      <c r="A755" s="547"/>
      <c r="B755" s="560" t="s">
        <v>4543</v>
      </c>
      <c r="C755" s="560" t="s">
        <v>4544</v>
      </c>
      <c r="D755" s="560" t="s">
        <v>1140</v>
      </c>
      <c r="E755" s="560" t="s">
        <v>4545</v>
      </c>
      <c r="F755" s="560" t="s">
        <v>4240</v>
      </c>
      <c r="G755" s="563">
        <v>28400</v>
      </c>
      <c r="H755" s="563">
        <v>83</v>
      </c>
      <c r="I755" s="548">
        <v>0</v>
      </c>
      <c r="J755" s="571">
        <v>83</v>
      </c>
      <c r="K755" s="568">
        <v>15</v>
      </c>
      <c r="L755" s="574">
        <v>68</v>
      </c>
      <c r="M755" s="571">
        <v>0</v>
      </c>
    </row>
    <row r="756" spans="1:13" ht="0.75" customHeight="1">
      <c r="A756" s="547"/>
      <c r="B756" s="558" t="s">
        <v>4543</v>
      </c>
      <c r="C756" s="558" t="s">
        <v>4544</v>
      </c>
      <c r="D756" s="558" t="s">
        <v>1140</v>
      </c>
      <c r="E756" s="558" t="s">
        <v>4545</v>
      </c>
      <c r="F756" s="558" t="s">
        <v>4240</v>
      </c>
      <c r="G756" s="561">
        <v>28400</v>
      </c>
      <c r="H756" s="561">
        <v>30</v>
      </c>
      <c r="I756" s="564">
        <v>0</v>
      </c>
      <c r="J756" s="569">
        <v>5</v>
      </c>
      <c r="K756" s="566">
        <v>5</v>
      </c>
      <c r="L756" s="574">
        <v>0</v>
      </c>
      <c r="M756" s="569">
        <v>25</v>
      </c>
    </row>
    <row r="757" spans="1:13" ht="13.7" customHeight="1">
      <c r="A757" s="557"/>
      <c r="B757" s="550" t="s">
        <v>4543</v>
      </c>
      <c r="C757" s="550" t="s">
        <v>4544</v>
      </c>
      <c r="D757" s="550" t="s">
        <v>1140</v>
      </c>
      <c r="E757" s="550" t="s">
        <v>4545</v>
      </c>
      <c r="F757" s="550" t="s">
        <v>4240</v>
      </c>
      <c r="G757" s="552">
        <v>28400</v>
      </c>
      <c r="H757" s="552">
        <v>20</v>
      </c>
      <c r="I757" s="548">
        <v>0</v>
      </c>
      <c r="J757" s="548">
        <v>0</v>
      </c>
      <c r="K757" s="552">
        <v>0</v>
      </c>
      <c r="L757" s="574">
        <v>0</v>
      </c>
      <c r="M757" s="548">
        <v>20</v>
      </c>
    </row>
    <row r="758" spans="1:13" ht="15.95" customHeight="1">
      <c r="A758" s="547"/>
      <c r="B758" s="550" t="s">
        <v>4209</v>
      </c>
      <c r="C758" s="550" t="s">
        <v>4210</v>
      </c>
      <c r="D758" s="550" t="s">
        <v>882</v>
      </c>
      <c r="E758" s="550" t="s">
        <v>1580</v>
      </c>
      <c r="F758" s="550" t="s">
        <v>10</v>
      </c>
      <c r="G758" s="552">
        <v>659</v>
      </c>
      <c r="H758" s="552">
        <v>5854</v>
      </c>
      <c r="I758" s="548">
        <v>3</v>
      </c>
      <c r="J758" s="548">
        <v>5784</v>
      </c>
      <c r="K758" s="552">
        <v>200</v>
      </c>
      <c r="L758" s="574">
        <v>5584</v>
      </c>
      <c r="M758" s="548">
        <v>73</v>
      </c>
    </row>
    <row r="759" spans="1:13" ht="15.95" customHeight="1">
      <c r="A759" s="547"/>
      <c r="B759" s="550" t="s">
        <v>4209</v>
      </c>
      <c r="C759" s="550" t="s">
        <v>4210</v>
      </c>
      <c r="D759" s="550" t="s">
        <v>882</v>
      </c>
      <c r="E759" s="550" t="s">
        <v>1580</v>
      </c>
      <c r="F759" s="550" t="s">
        <v>10</v>
      </c>
      <c r="G759" s="552">
        <v>659</v>
      </c>
      <c r="H759" s="552"/>
      <c r="I759" s="548">
        <v>19980</v>
      </c>
      <c r="J759" s="548">
        <v>8790</v>
      </c>
      <c r="K759" s="552">
        <v>0</v>
      </c>
      <c r="L759" s="574">
        <v>8790</v>
      </c>
      <c r="M759" s="548">
        <v>11190</v>
      </c>
    </row>
    <row r="760" spans="1:13" ht="15.95" customHeight="1">
      <c r="A760" s="547"/>
      <c r="B760" s="550" t="s">
        <v>4209</v>
      </c>
      <c r="C760" s="550" t="s">
        <v>4210</v>
      </c>
      <c r="D760" s="550" t="s">
        <v>882</v>
      </c>
      <c r="E760" s="550" t="s">
        <v>1580</v>
      </c>
      <c r="F760" s="550" t="s">
        <v>10</v>
      </c>
      <c r="G760" s="552">
        <v>659</v>
      </c>
      <c r="H760" s="552">
        <v>75</v>
      </c>
      <c r="I760" s="548">
        <v>1</v>
      </c>
      <c r="J760" s="548">
        <v>76</v>
      </c>
      <c r="K760" s="552">
        <v>76</v>
      </c>
      <c r="L760" s="574">
        <v>0</v>
      </c>
      <c r="M760" s="548">
        <v>0</v>
      </c>
    </row>
    <row r="761" spans="1:13" ht="15.95" customHeight="1">
      <c r="A761" s="547"/>
      <c r="B761" s="550" t="s">
        <v>4178</v>
      </c>
      <c r="C761" s="550" t="s">
        <v>4213</v>
      </c>
      <c r="D761" s="550" t="s">
        <v>4214</v>
      </c>
      <c r="E761" s="550" t="s">
        <v>4215</v>
      </c>
      <c r="F761" s="550" t="s">
        <v>4139</v>
      </c>
      <c r="G761" s="552">
        <v>227850</v>
      </c>
      <c r="H761" s="552">
        <v>747</v>
      </c>
      <c r="I761" s="548">
        <v>500</v>
      </c>
      <c r="J761" s="548">
        <v>1247</v>
      </c>
      <c r="K761" s="552">
        <v>21</v>
      </c>
      <c r="L761" s="574">
        <v>1226</v>
      </c>
      <c r="M761" s="548">
        <v>0</v>
      </c>
    </row>
    <row r="762" spans="1:13" ht="15.95" customHeight="1">
      <c r="A762" s="547"/>
      <c r="B762" s="550" t="s">
        <v>4178</v>
      </c>
      <c r="C762" s="550" t="s">
        <v>4213</v>
      </c>
      <c r="D762" s="550" t="s">
        <v>4214</v>
      </c>
      <c r="E762" s="550" t="s">
        <v>4215</v>
      </c>
      <c r="F762" s="550" t="s">
        <v>4139</v>
      </c>
      <c r="G762" s="552">
        <v>227850</v>
      </c>
      <c r="H762" s="552"/>
      <c r="I762" s="548">
        <v>3000</v>
      </c>
      <c r="J762" s="548">
        <v>1109</v>
      </c>
      <c r="K762" s="552">
        <v>11</v>
      </c>
      <c r="L762" s="574">
        <v>1098</v>
      </c>
      <c r="M762" s="548">
        <v>1891</v>
      </c>
    </row>
    <row r="763" spans="1:13" ht="15.95" customHeight="1">
      <c r="A763" s="547"/>
      <c r="B763" s="550" t="s">
        <v>4216</v>
      </c>
      <c r="C763" s="550" t="s">
        <v>4213</v>
      </c>
      <c r="D763" s="550" t="s">
        <v>4214</v>
      </c>
      <c r="E763" s="550" t="s">
        <v>4215</v>
      </c>
      <c r="F763" s="550" t="s">
        <v>4139</v>
      </c>
      <c r="G763" s="552">
        <v>227850</v>
      </c>
      <c r="H763" s="552"/>
      <c r="I763" s="548">
        <v>1000</v>
      </c>
      <c r="J763" s="548">
        <v>999</v>
      </c>
      <c r="K763" s="552">
        <v>4</v>
      </c>
      <c r="L763" s="574">
        <v>995</v>
      </c>
      <c r="M763" s="548">
        <v>1</v>
      </c>
    </row>
    <row r="764" spans="1:13" ht="15.95" customHeight="1">
      <c r="A764" s="547"/>
      <c r="B764" s="550"/>
      <c r="C764" s="550" t="s">
        <v>2530</v>
      </c>
      <c r="D764" s="550" t="s">
        <v>2530</v>
      </c>
      <c r="E764" s="550" t="s">
        <v>342</v>
      </c>
      <c r="F764" s="550" t="s">
        <v>628</v>
      </c>
      <c r="G764" s="552">
        <v>499</v>
      </c>
      <c r="H764" s="552">
        <v>13</v>
      </c>
      <c r="I764" s="548">
        <v>0</v>
      </c>
      <c r="J764" s="548">
        <v>1</v>
      </c>
      <c r="K764" s="552">
        <v>0</v>
      </c>
      <c r="L764" s="574">
        <v>1</v>
      </c>
      <c r="M764" s="548">
        <v>12</v>
      </c>
    </row>
    <row r="765" spans="1:13" ht="15.95" customHeight="1">
      <c r="A765" s="547"/>
      <c r="B765" s="550"/>
      <c r="C765" s="550" t="s">
        <v>2530</v>
      </c>
      <c r="D765" s="550" t="s">
        <v>2530</v>
      </c>
      <c r="E765" s="550" t="s">
        <v>342</v>
      </c>
      <c r="F765" s="550" t="s">
        <v>628</v>
      </c>
      <c r="G765" s="552">
        <v>499</v>
      </c>
      <c r="H765" s="552"/>
      <c r="I765" s="548">
        <v>5017</v>
      </c>
      <c r="J765" s="548">
        <v>2122</v>
      </c>
      <c r="K765" s="552">
        <v>1807</v>
      </c>
      <c r="L765" s="574">
        <v>315</v>
      </c>
      <c r="M765" s="548">
        <v>2895</v>
      </c>
    </row>
    <row r="766" spans="1:13" ht="15.95" customHeight="1">
      <c r="A766" s="547"/>
      <c r="B766" s="550"/>
      <c r="C766" s="550" t="s">
        <v>2530</v>
      </c>
      <c r="D766" s="550" t="s">
        <v>2530</v>
      </c>
      <c r="E766" s="550" t="s">
        <v>342</v>
      </c>
      <c r="F766" s="550" t="s">
        <v>628</v>
      </c>
      <c r="G766" s="552">
        <v>499</v>
      </c>
      <c r="H766" s="552">
        <v>7</v>
      </c>
      <c r="I766" s="548">
        <v>0</v>
      </c>
      <c r="J766" s="548">
        <v>0</v>
      </c>
      <c r="K766" s="552">
        <v>0</v>
      </c>
      <c r="L766" s="574">
        <v>0</v>
      </c>
      <c r="M766" s="548">
        <v>7</v>
      </c>
    </row>
    <row r="767" spans="1:13" ht="15.95" customHeight="1">
      <c r="A767" s="547"/>
      <c r="B767" s="550"/>
      <c r="C767" s="550" t="s">
        <v>421</v>
      </c>
      <c r="D767" s="550" t="s">
        <v>2530</v>
      </c>
      <c r="E767" s="550" t="s">
        <v>422</v>
      </c>
      <c r="F767" s="550" t="s">
        <v>628</v>
      </c>
      <c r="G767" s="552">
        <v>980</v>
      </c>
      <c r="H767" s="552">
        <v>16</v>
      </c>
      <c r="I767" s="548">
        <v>0</v>
      </c>
      <c r="J767" s="548">
        <v>0</v>
      </c>
      <c r="K767" s="552">
        <v>0</v>
      </c>
      <c r="L767" s="574">
        <v>0</v>
      </c>
      <c r="M767" s="548">
        <v>16</v>
      </c>
    </row>
    <row r="768" spans="1:13" ht="15.95" customHeight="1">
      <c r="A768" s="547"/>
      <c r="B768" s="550"/>
      <c r="C768" s="550" t="s">
        <v>421</v>
      </c>
      <c r="D768" s="550" t="s">
        <v>2530</v>
      </c>
      <c r="E768" s="550" t="s">
        <v>422</v>
      </c>
      <c r="F768" s="550" t="s">
        <v>628</v>
      </c>
      <c r="G768" s="552">
        <v>980</v>
      </c>
      <c r="H768" s="552">
        <v>17</v>
      </c>
      <c r="I768" s="548">
        <v>0</v>
      </c>
      <c r="J768" s="548">
        <v>10</v>
      </c>
      <c r="K768" s="552">
        <v>0</v>
      </c>
      <c r="L768" s="574">
        <v>10</v>
      </c>
      <c r="M768" s="548">
        <v>7</v>
      </c>
    </row>
    <row r="769" spans="1:13" ht="15.95" customHeight="1">
      <c r="A769" s="547"/>
      <c r="B769" s="550" t="s">
        <v>7860</v>
      </c>
      <c r="C769" s="550" t="s">
        <v>7861</v>
      </c>
      <c r="D769" s="550" t="s">
        <v>747</v>
      </c>
      <c r="E769" s="550" t="s">
        <v>7060</v>
      </c>
      <c r="F769" s="550" t="s">
        <v>15</v>
      </c>
      <c r="G769" s="552">
        <v>9345</v>
      </c>
      <c r="H769" s="552"/>
      <c r="I769" s="548">
        <v>96</v>
      </c>
      <c r="J769" s="548">
        <v>40</v>
      </c>
      <c r="K769" s="552">
        <v>5</v>
      </c>
      <c r="L769" s="574">
        <v>35</v>
      </c>
      <c r="M769" s="548">
        <v>56</v>
      </c>
    </row>
    <row r="770" spans="1:13" ht="15.95" customHeight="1">
      <c r="A770" s="547"/>
      <c r="B770" s="550" t="s">
        <v>7860</v>
      </c>
      <c r="C770" s="550" t="s">
        <v>7861</v>
      </c>
      <c r="D770" s="550" t="s">
        <v>747</v>
      </c>
      <c r="E770" s="550" t="s">
        <v>7060</v>
      </c>
      <c r="F770" s="550" t="s">
        <v>15</v>
      </c>
      <c r="G770" s="552">
        <v>9345</v>
      </c>
      <c r="H770" s="552"/>
      <c r="I770" s="548">
        <v>197</v>
      </c>
      <c r="J770" s="548">
        <v>0</v>
      </c>
      <c r="K770" s="552">
        <v>0</v>
      </c>
      <c r="L770" s="574">
        <v>0</v>
      </c>
      <c r="M770" s="548">
        <v>197</v>
      </c>
    </row>
    <row r="771" spans="1:13" ht="15.95" customHeight="1">
      <c r="A771" s="547"/>
      <c r="B771" s="550" t="s">
        <v>7860</v>
      </c>
      <c r="C771" s="550" t="s">
        <v>7861</v>
      </c>
      <c r="D771" s="550" t="s">
        <v>747</v>
      </c>
      <c r="E771" s="550" t="s">
        <v>7060</v>
      </c>
      <c r="F771" s="550" t="s">
        <v>15</v>
      </c>
      <c r="G771" s="552">
        <v>9345</v>
      </c>
      <c r="H771" s="552">
        <v>48</v>
      </c>
      <c r="I771" s="548">
        <v>1</v>
      </c>
      <c r="J771" s="548">
        <v>34</v>
      </c>
      <c r="K771" s="552">
        <v>17</v>
      </c>
      <c r="L771" s="574">
        <v>17</v>
      </c>
      <c r="M771" s="548">
        <v>15</v>
      </c>
    </row>
    <row r="772" spans="1:13" ht="15.95" customHeight="1">
      <c r="A772" s="547"/>
      <c r="B772" s="550" t="s">
        <v>4549</v>
      </c>
      <c r="C772" s="550" t="s">
        <v>4550</v>
      </c>
      <c r="D772" s="550" t="s">
        <v>564</v>
      </c>
      <c r="E772" s="550" t="s">
        <v>2532</v>
      </c>
      <c r="F772" s="550" t="s">
        <v>13</v>
      </c>
      <c r="G772" s="552">
        <v>980</v>
      </c>
      <c r="H772" s="552">
        <v>320</v>
      </c>
      <c r="I772" s="548">
        <v>0</v>
      </c>
      <c r="J772" s="548">
        <v>0</v>
      </c>
      <c r="K772" s="552">
        <v>0</v>
      </c>
      <c r="L772" s="574">
        <v>0</v>
      </c>
      <c r="M772" s="548">
        <v>320</v>
      </c>
    </row>
    <row r="773" spans="1:13" ht="15.95" customHeight="1">
      <c r="A773" s="547"/>
      <c r="B773" s="550" t="s">
        <v>4549</v>
      </c>
      <c r="C773" s="550" t="s">
        <v>4550</v>
      </c>
      <c r="D773" s="550" t="s">
        <v>564</v>
      </c>
      <c r="E773" s="550" t="s">
        <v>2532</v>
      </c>
      <c r="F773" s="550" t="s">
        <v>13</v>
      </c>
      <c r="G773" s="552">
        <v>980</v>
      </c>
      <c r="H773" s="552"/>
      <c r="I773" s="548">
        <v>200</v>
      </c>
      <c r="J773" s="548">
        <v>200</v>
      </c>
      <c r="K773" s="552">
        <v>200</v>
      </c>
      <c r="L773" s="574">
        <v>0</v>
      </c>
      <c r="M773" s="548">
        <v>0</v>
      </c>
    </row>
    <row r="774" spans="1:13" ht="15.95" customHeight="1">
      <c r="A774" s="547"/>
      <c r="B774" s="550" t="s">
        <v>4549</v>
      </c>
      <c r="C774" s="550" t="s">
        <v>4550</v>
      </c>
      <c r="D774" s="550" t="s">
        <v>564</v>
      </c>
      <c r="E774" s="550" t="s">
        <v>2532</v>
      </c>
      <c r="F774" s="550" t="s">
        <v>13</v>
      </c>
      <c r="G774" s="552">
        <v>980</v>
      </c>
      <c r="H774" s="552">
        <v>180</v>
      </c>
      <c r="I774" s="548">
        <v>0</v>
      </c>
      <c r="J774" s="548">
        <v>180</v>
      </c>
      <c r="K774" s="552">
        <v>0</v>
      </c>
      <c r="L774" s="574">
        <v>180</v>
      </c>
      <c r="M774" s="548">
        <v>0</v>
      </c>
    </row>
    <row r="775" spans="1:13" ht="15.95" customHeight="1">
      <c r="A775" s="547"/>
      <c r="B775" s="550" t="s">
        <v>7165</v>
      </c>
      <c r="C775" s="550" t="s">
        <v>7167</v>
      </c>
      <c r="D775" s="550" t="s">
        <v>1636</v>
      </c>
      <c r="E775" s="550" t="s">
        <v>7166</v>
      </c>
      <c r="F775" s="550" t="s">
        <v>520</v>
      </c>
      <c r="G775" s="552">
        <v>4079</v>
      </c>
      <c r="H775" s="552"/>
      <c r="I775" s="548">
        <v>5000</v>
      </c>
      <c r="J775" s="548">
        <v>1938</v>
      </c>
      <c r="K775" s="552">
        <v>0</v>
      </c>
      <c r="L775" s="574">
        <v>1938</v>
      </c>
      <c r="M775" s="548">
        <v>3062</v>
      </c>
    </row>
    <row r="776" spans="1:13" ht="15.95" customHeight="1">
      <c r="A776" s="547"/>
      <c r="B776" s="550" t="s">
        <v>7165</v>
      </c>
      <c r="C776" s="550" t="s">
        <v>7167</v>
      </c>
      <c r="D776" s="550" t="s">
        <v>1636</v>
      </c>
      <c r="E776" s="550" t="s">
        <v>7166</v>
      </c>
      <c r="F776" s="550" t="s">
        <v>520</v>
      </c>
      <c r="G776" s="552">
        <v>4079</v>
      </c>
      <c r="H776" s="552"/>
      <c r="I776" s="548">
        <v>10000</v>
      </c>
      <c r="J776" s="548">
        <v>0</v>
      </c>
      <c r="K776" s="552">
        <v>0</v>
      </c>
      <c r="L776" s="574">
        <v>0</v>
      </c>
      <c r="M776" s="548">
        <v>10000</v>
      </c>
    </row>
    <row r="777" spans="1:13" ht="15.95" customHeight="1">
      <c r="A777" s="547"/>
      <c r="B777" s="550" t="s">
        <v>4217</v>
      </c>
      <c r="C777" s="550" t="s">
        <v>2147</v>
      </c>
      <c r="D777" s="550" t="s">
        <v>392</v>
      </c>
      <c r="E777" s="550" t="s">
        <v>267</v>
      </c>
      <c r="F777" s="550" t="s">
        <v>658</v>
      </c>
      <c r="G777" s="552">
        <v>19600</v>
      </c>
      <c r="H777" s="552">
        <v>227</v>
      </c>
      <c r="I777" s="548">
        <v>5</v>
      </c>
      <c r="J777" s="548">
        <v>230</v>
      </c>
      <c r="K777" s="552">
        <v>230</v>
      </c>
      <c r="L777" s="574">
        <v>0</v>
      </c>
      <c r="M777" s="548">
        <v>2</v>
      </c>
    </row>
    <row r="778" spans="1:13" ht="15.95" customHeight="1">
      <c r="A778" s="547"/>
      <c r="B778" s="550" t="s">
        <v>4217</v>
      </c>
      <c r="C778" s="550" t="s">
        <v>2147</v>
      </c>
      <c r="D778" s="550" t="s">
        <v>392</v>
      </c>
      <c r="E778" s="550" t="s">
        <v>267</v>
      </c>
      <c r="F778" s="550" t="s">
        <v>658</v>
      </c>
      <c r="G778" s="552">
        <v>19600</v>
      </c>
      <c r="H778" s="552"/>
      <c r="I778" s="548">
        <v>100</v>
      </c>
      <c r="J778" s="548">
        <v>46</v>
      </c>
      <c r="K778" s="552">
        <v>46</v>
      </c>
      <c r="L778" s="574">
        <v>0</v>
      </c>
      <c r="M778" s="548">
        <v>54</v>
      </c>
    </row>
    <row r="779" spans="1:13" ht="15.95" customHeight="1">
      <c r="A779" s="547"/>
      <c r="B779" s="550" t="s">
        <v>4219</v>
      </c>
      <c r="C779" s="550" t="s">
        <v>913</v>
      </c>
      <c r="D779" s="550" t="s">
        <v>4220</v>
      </c>
      <c r="E779" s="550" t="s">
        <v>4221</v>
      </c>
      <c r="F779" s="550" t="s">
        <v>520</v>
      </c>
      <c r="G779" s="552">
        <v>88788</v>
      </c>
      <c r="H779" s="552">
        <v>18</v>
      </c>
      <c r="I779" s="548">
        <v>0</v>
      </c>
      <c r="J779" s="548">
        <v>18</v>
      </c>
      <c r="K779" s="552">
        <v>0</v>
      </c>
      <c r="L779" s="574">
        <v>18</v>
      </c>
      <c r="M779" s="548">
        <v>0</v>
      </c>
    </row>
    <row r="780" spans="1:13" ht="15.95" customHeight="1">
      <c r="A780" s="547"/>
      <c r="B780" s="550" t="s">
        <v>6238</v>
      </c>
      <c r="C780" s="550" t="s">
        <v>2533</v>
      </c>
      <c r="D780" s="550" t="s">
        <v>392</v>
      </c>
      <c r="E780" s="550" t="s">
        <v>267</v>
      </c>
      <c r="F780" s="550" t="s">
        <v>658</v>
      </c>
      <c r="G780" s="552">
        <v>34950</v>
      </c>
      <c r="H780" s="552"/>
      <c r="I780" s="548">
        <v>100</v>
      </c>
      <c r="J780" s="548">
        <v>0</v>
      </c>
      <c r="K780" s="552">
        <v>0</v>
      </c>
      <c r="L780" s="574">
        <v>0</v>
      </c>
      <c r="M780" s="548">
        <v>100</v>
      </c>
    </row>
    <row r="781" spans="1:13" ht="15.95" customHeight="1">
      <c r="A781" s="547"/>
      <c r="B781" s="550" t="s">
        <v>4957</v>
      </c>
      <c r="C781" s="550" t="s">
        <v>738</v>
      </c>
      <c r="D781" s="550" t="s">
        <v>4958</v>
      </c>
      <c r="E781" s="550" t="s">
        <v>739</v>
      </c>
      <c r="F781" s="550" t="s">
        <v>628</v>
      </c>
      <c r="G781" s="552">
        <v>27930</v>
      </c>
      <c r="H781" s="552">
        <v>15</v>
      </c>
      <c r="I781" s="548">
        <v>0</v>
      </c>
      <c r="J781" s="548">
        <v>14</v>
      </c>
      <c r="K781" s="552">
        <v>0</v>
      </c>
      <c r="L781" s="574">
        <v>14</v>
      </c>
      <c r="M781" s="548">
        <v>1</v>
      </c>
    </row>
    <row r="782" spans="1:13" ht="15.95" customHeight="1">
      <c r="A782" s="547"/>
      <c r="B782" s="550" t="s">
        <v>4957</v>
      </c>
      <c r="C782" s="550" t="s">
        <v>738</v>
      </c>
      <c r="D782" s="550" t="s">
        <v>4958</v>
      </c>
      <c r="E782" s="550" t="s">
        <v>739</v>
      </c>
      <c r="F782" s="550" t="s">
        <v>628</v>
      </c>
      <c r="G782" s="552">
        <v>27930</v>
      </c>
      <c r="H782" s="552">
        <v>375</v>
      </c>
      <c r="I782" s="548">
        <v>3</v>
      </c>
      <c r="J782" s="548">
        <v>378</v>
      </c>
      <c r="K782" s="552">
        <v>17</v>
      </c>
      <c r="L782" s="574">
        <v>361</v>
      </c>
      <c r="M782" s="548">
        <v>0</v>
      </c>
    </row>
    <row r="783" spans="1:13" ht="15.95" customHeight="1">
      <c r="A783" s="547"/>
      <c r="B783" s="550" t="s">
        <v>4223</v>
      </c>
      <c r="C783" s="550" t="s">
        <v>1559</v>
      </c>
      <c r="D783" s="550" t="s">
        <v>2535</v>
      </c>
      <c r="E783" s="550" t="s">
        <v>4224</v>
      </c>
      <c r="F783" s="550" t="s">
        <v>12</v>
      </c>
      <c r="G783" s="552">
        <v>2800</v>
      </c>
      <c r="H783" s="552">
        <v>5</v>
      </c>
      <c r="I783" s="548">
        <v>0</v>
      </c>
      <c r="J783" s="548">
        <v>5</v>
      </c>
      <c r="K783" s="552">
        <v>0</v>
      </c>
      <c r="L783" s="574">
        <v>5</v>
      </c>
      <c r="M783" s="548">
        <v>0</v>
      </c>
    </row>
    <row r="784" spans="1:13" ht="15.95" customHeight="1">
      <c r="A784" s="547"/>
      <c r="B784" s="550" t="s">
        <v>4901</v>
      </c>
      <c r="C784" s="550" t="s">
        <v>490</v>
      </c>
      <c r="D784" s="550" t="s">
        <v>256</v>
      </c>
      <c r="E784" s="550" t="s">
        <v>299</v>
      </c>
      <c r="F784" s="550" t="s">
        <v>10</v>
      </c>
      <c r="G784" s="552">
        <v>998</v>
      </c>
      <c r="H784" s="552"/>
      <c r="I784" s="548">
        <v>10000</v>
      </c>
      <c r="J784" s="548">
        <v>9706</v>
      </c>
      <c r="K784" s="552">
        <v>107</v>
      </c>
      <c r="L784" s="574">
        <v>9599</v>
      </c>
      <c r="M784" s="548">
        <v>294</v>
      </c>
    </row>
    <row r="785" spans="1:13" ht="15.95" customHeight="1">
      <c r="A785" s="547"/>
      <c r="B785" s="550" t="s">
        <v>4226</v>
      </c>
      <c r="C785" s="550" t="s">
        <v>4227</v>
      </c>
      <c r="D785" s="550" t="s">
        <v>4228</v>
      </c>
      <c r="E785" s="550" t="s">
        <v>4229</v>
      </c>
      <c r="F785" s="550" t="s">
        <v>12</v>
      </c>
      <c r="G785" s="552">
        <v>1386</v>
      </c>
      <c r="H785" s="552">
        <v>1821</v>
      </c>
      <c r="I785" s="548">
        <v>14</v>
      </c>
      <c r="J785" s="548">
        <v>1823</v>
      </c>
      <c r="K785" s="552">
        <v>1671</v>
      </c>
      <c r="L785" s="574">
        <v>152</v>
      </c>
      <c r="M785" s="548">
        <v>12</v>
      </c>
    </row>
    <row r="786" spans="1:13" ht="15.95" customHeight="1">
      <c r="A786" s="547"/>
      <c r="B786" s="550" t="s">
        <v>4230</v>
      </c>
      <c r="C786" s="550" t="s">
        <v>2090</v>
      </c>
      <c r="D786" s="550" t="s">
        <v>2089</v>
      </c>
      <c r="E786" s="550" t="s">
        <v>327</v>
      </c>
      <c r="F786" s="550" t="s">
        <v>10</v>
      </c>
      <c r="G786" s="552">
        <v>1900</v>
      </c>
      <c r="H786" s="552">
        <v>12</v>
      </c>
      <c r="I786" s="548">
        <v>0</v>
      </c>
      <c r="J786" s="548">
        <v>9</v>
      </c>
      <c r="K786" s="552">
        <v>9</v>
      </c>
      <c r="L786" s="574">
        <v>0</v>
      </c>
      <c r="M786" s="548">
        <v>3</v>
      </c>
    </row>
    <row r="787" spans="1:13" ht="15.95" customHeight="1">
      <c r="A787" s="547"/>
      <c r="B787" s="550" t="s">
        <v>4230</v>
      </c>
      <c r="C787" s="550" t="s">
        <v>2090</v>
      </c>
      <c r="D787" s="550" t="s">
        <v>2089</v>
      </c>
      <c r="E787" s="550" t="s">
        <v>327</v>
      </c>
      <c r="F787" s="550" t="s">
        <v>10</v>
      </c>
      <c r="G787" s="552">
        <v>1900</v>
      </c>
      <c r="H787" s="552">
        <v>294</v>
      </c>
      <c r="I787" s="548">
        <v>0</v>
      </c>
      <c r="J787" s="548">
        <v>294</v>
      </c>
      <c r="K787" s="552">
        <v>0</v>
      </c>
      <c r="L787" s="574">
        <v>294</v>
      </c>
      <c r="M787" s="548">
        <v>0</v>
      </c>
    </row>
    <row r="788" spans="1:13" ht="15.95" customHeight="1">
      <c r="A788" s="547"/>
      <c r="B788" s="550" t="s">
        <v>4230</v>
      </c>
      <c r="C788" s="550" t="s">
        <v>2090</v>
      </c>
      <c r="D788" s="550" t="s">
        <v>2089</v>
      </c>
      <c r="E788" s="550" t="s">
        <v>327</v>
      </c>
      <c r="F788" s="550" t="s">
        <v>11</v>
      </c>
      <c r="G788" s="552">
        <v>1900</v>
      </c>
      <c r="H788" s="552"/>
      <c r="I788" s="548">
        <v>600</v>
      </c>
      <c r="J788" s="548">
        <v>0</v>
      </c>
      <c r="K788" s="552">
        <v>0</v>
      </c>
      <c r="L788" s="574">
        <v>0</v>
      </c>
      <c r="M788" s="548">
        <v>600</v>
      </c>
    </row>
    <row r="789" spans="1:13" ht="15.95" customHeight="1">
      <c r="A789" s="547"/>
      <c r="B789" s="550" t="s">
        <v>4236</v>
      </c>
      <c r="C789" s="550" t="s">
        <v>4237</v>
      </c>
      <c r="D789" s="550" t="s">
        <v>1800</v>
      </c>
      <c r="E789" s="550" t="s">
        <v>229</v>
      </c>
      <c r="F789" s="550" t="s">
        <v>11</v>
      </c>
      <c r="G789" s="552">
        <v>2500</v>
      </c>
      <c r="H789" s="552">
        <v>638</v>
      </c>
      <c r="I789" s="548">
        <v>0</v>
      </c>
      <c r="J789" s="548">
        <v>638</v>
      </c>
      <c r="K789" s="552">
        <v>0</v>
      </c>
      <c r="L789" s="574">
        <v>638</v>
      </c>
      <c r="M789" s="548">
        <v>0</v>
      </c>
    </row>
    <row r="790" spans="1:13" ht="15.95" customHeight="1">
      <c r="A790" s="547"/>
      <c r="B790" s="550" t="s">
        <v>4902</v>
      </c>
      <c r="C790" s="550" t="s">
        <v>4903</v>
      </c>
      <c r="D790" s="550" t="s">
        <v>242</v>
      </c>
      <c r="E790" s="550" t="s">
        <v>243</v>
      </c>
      <c r="F790" s="550" t="s">
        <v>628</v>
      </c>
      <c r="G790" s="552">
        <v>3255</v>
      </c>
      <c r="H790" s="552">
        <v>100</v>
      </c>
      <c r="I790" s="548">
        <v>0</v>
      </c>
      <c r="J790" s="548">
        <v>84</v>
      </c>
      <c r="K790" s="552">
        <v>74</v>
      </c>
      <c r="L790" s="574">
        <v>10</v>
      </c>
      <c r="M790" s="548">
        <v>16</v>
      </c>
    </row>
    <row r="791" spans="1:13" ht="15.95" customHeight="1">
      <c r="A791" s="547"/>
      <c r="B791" s="550" t="s">
        <v>4902</v>
      </c>
      <c r="C791" s="550" t="s">
        <v>4903</v>
      </c>
      <c r="D791" s="550" t="s">
        <v>242</v>
      </c>
      <c r="E791" s="550" t="s">
        <v>243</v>
      </c>
      <c r="F791" s="550" t="s">
        <v>628</v>
      </c>
      <c r="G791" s="552">
        <v>3255</v>
      </c>
      <c r="H791" s="552">
        <v>64</v>
      </c>
      <c r="I791" s="548">
        <v>0</v>
      </c>
      <c r="J791" s="548">
        <v>18</v>
      </c>
      <c r="K791" s="552">
        <v>18</v>
      </c>
      <c r="L791" s="574">
        <v>0</v>
      </c>
      <c r="M791" s="548">
        <v>46</v>
      </c>
    </row>
    <row r="792" spans="1:13" ht="15.95" customHeight="1">
      <c r="A792" s="547"/>
      <c r="B792" s="550" t="s">
        <v>4902</v>
      </c>
      <c r="C792" s="550" t="s">
        <v>4903</v>
      </c>
      <c r="D792" s="550" t="s">
        <v>242</v>
      </c>
      <c r="E792" s="550" t="s">
        <v>243</v>
      </c>
      <c r="F792" s="550" t="s">
        <v>628</v>
      </c>
      <c r="G792" s="552">
        <v>3255</v>
      </c>
      <c r="H792" s="552">
        <v>65</v>
      </c>
      <c r="I792" s="548">
        <v>0</v>
      </c>
      <c r="J792" s="548">
        <v>65</v>
      </c>
      <c r="K792" s="552">
        <v>65</v>
      </c>
      <c r="L792" s="574">
        <v>0</v>
      </c>
      <c r="M792" s="548">
        <v>0</v>
      </c>
    </row>
    <row r="793" spans="1:13" ht="15.95" customHeight="1">
      <c r="A793" s="547"/>
      <c r="B793" s="550" t="s">
        <v>4238</v>
      </c>
      <c r="C793" s="550" t="s">
        <v>4239</v>
      </c>
      <c r="D793" s="550" t="s">
        <v>639</v>
      </c>
      <c r="E793" s="550" t="s">
        <v>2435</v>
      </c>
      <c r="F793" s="550" t="s">
        <v>4240</v>
      </c>
      <c r="G793" s="552">
        <v>4095</v>
      </c>
      <c r="H793" s="552">
        <v>47</v>
      </c>
      <c r="I793" s="548">
        <v>100</v>
      </c>
      <c r="J793" s="548">
        <v>96</v>
      </c>
      <c r="K793" s="552">
        <v>52</v>
      </c>
      <c r="L793" s="574">
        <v>44</v>
      </c>
      <c r="M793" s="548">
        <v>51</v>
      </c>
    </row>
    <row r="794" spans="1:13" ht="15.95" customHeight="1">
      <c r="A794" s="547"/>
      <c r="B794" s="550" t="s">
        <v>3720</v>
      </c>
      <c r="C794" s="550" t="s">
        <v>1369</v>
      </c>
      <c r="D794" s="550" t="s">
        <v>750</v>
      </c>
      <c r="E794" s="550" t="s">
        <v>833</v>
      </c>
      <c r="F794" s="550" t="s">
        <v>11</v>
      </c>
      <c r="G794" s="552">
        <v>84</v>
      </c>
      <c r="H794" s="552">
        <v>982</v>
      </c>
      <c r="I794" s="548">
        <v>3</v>
      </c>
      <c r="J794" s="548">
        <v>20</v>
      </c>
      <c r="K794" s="552">
        <v>20</v>
      </c>
      <c r="L794" s="574">
        <v>0</v>
      </c>
      <c r="M794" s="548">
        <v>965</v>
      </c>
    </row>
    <row r="795" spans="1:13" ht="15.95" customHeight="1">
      <c r="A795" s="547"/>
      <c r="B795" s="550" t="s">
        <v>3720</v>
      </c>
      <c r="C795" s="550" t="s">
        <v>1369</v>
      </c>
      <c r="D795" s="550" t="s">
        <v>750</v>
      </c>
      <c r="E795" s="550" t="s">
        <v>833</v>
      </c>
      <c r="F795" s="550" t="s">
        <v>11</v>
      </c>
      <c r="G795" s="552">
        <v>84</v>
      </c>
      <c r="H795" s="552">
        <v>189</v>
      </c>
      <c r="I795" s="548">
        <v>0</v>
      </c>
      <c r="J795" s="548">
        <v>179</v>
      </c>
      <c r="K795" s="552">
        <v>0</v>
      </c>
      <c r="L795" s="574">
        <v>179</v>
      </c>
      <c r="M795" s="548">
        <v>10</v>
      </c>
    </row>
    <row r="796" spans="1:13" ht="15.95" customHeight="1">
      <c r="A796" s="547"/>
      <c r="B796" s="550" t="s">
        <v>3720</v>
      </c>
      <c r="C796" s="550" t="s">
        <v>1369</v>
      </c>
      <c r="D796" s="550" t="s">
        <v>750</v>
      </c>
      <c r="E796" s="550" t="s">
        <v>833</v>
      </c>
      <c r="F796" s="550" t="s">
        <v>11</v>
      </c>
      <c r="G796" s="552">
        <v>84</v>
      </c>
      <c r="H796" s="552"/>
      <c r="I796" s="548">
        <v>10000</v>
      </c>
      <c r="J796" s="548">
        <v>10000</v>
      </c>
      <c r="K796" s="552">
        <v>10000</v>
      </c>
      <c r="L796" s="574">
        <v>0</v>
      </c>
      <c r="M796" s="548">
        <v>0</v>
      </c>
    </row>
    <row r="797" spans="1:13" ht="15.95" customHeight="1">
      <c r="A797" s="547"/>
      <c r="B797" s="550" t="s">
        <v>3720</v>
      </c>
      <c r="C797" s="550" t="s">
        <v>1369</v>
      </c>
      <c r="D797" s="550" t="s">
        <v>750</v>
      </c>
      <c r="E797" s="550" t="s">
        <v>833</v>
      </c>
      <c r="F797" s="550" t="s">
        <v>11</v>
      </c>
      <c r="G797" s="552">
        <v>84</v>
      </c>
      <c r="H797" s="552">
        <v>21000</v>
      </c>
      <c r="I797" s="548">
        <v>0</v>
      </c>
      <c r="J797" s="548">
        <v>20946</v>
      </c>
      <c r="K797" s="552">
        <v>16000</v>
      </c>
      <c r="L797" s="574">
        <v>4946</v>
      </c>
      <c r="M797" s="548">
        <v>54</v>
      </c>
    </row>
    <row r="798" spans="1:13" ht="15.95" customHeight="1">
      <c r="A798" s="547"/>
      <c r="B798" s="550" t="s">
        <v>3720</v>
      </c>
      <c r="C798" s="550" t="s">
        <v>1369</v>
      </c>
      <c r="D798" s="550" t="s">
        <v>750</v>
      </c>
      <c r="E798" s="550" t="s">
        <v>833</v>
      </c>
      <c r="F798" s="550" t="s">
        <v>11</v>
      </c>
      <c r="G798" s="552">
        <v>84</v>
      </c>
      <c r="H798" s="552"/>
      <c r="I798" s="548">
        <v>19000</v>
      </c>
      <c r="J798" s="548">
        <v>4000</v>
      </c>
      <c r="K798" s="552">
        <v>4000</v>
      </c>
      <c r="L798" s="574">
        <v>0</v>
      </c>
      <c r="M798" s="548">
        <v>15000</v>
      </c>
    </row>
    <row r="799" spans="1:13" ht="15.95" customHeight="1">
      <c r="A799" s="547"/>
      <c r="B799" s="550" t="s">
        <v>4906</v>
      </c>
      <c r="C799" s="550" t="s">
        <v>397</v>
      </c>
      <c r="D799" s="550" t="s">
        <v>227</v>
      </c>
      <c r="E799" s="550" t="s">
        <v>398</v>
      </c>
      <c r="F799" s="550" t="s">
        <v>10</v>
      </c>
      <c r="G799" s="552">
        <v>89</v>
      </c>
      <c r="H799" s="552">
        <v>19506</v>
      </c>
      <c r="I799" s="548">
        <v>0</v>
      </c>
      <c r="J799" s="548">
        <v>19506</v>
      </c>
      <c r="K799" s="552">
        <v>0</v>
      </c>
      <c r="L799" s="574">
        <v>19506</v>
      </c>
      <c r="M799" s="548">
        <v>0</v>
      </c>
    </row>
    <row r="800" spans="1:13" ht="15.95" customHeight="1">
      <c r="A800" s="547"/>
      <c r="B800" s="550" t="s">
        <v>4906</v>
      </c>
      <c r="C800" s="550" t="s">
        <v>397</v>
      </c>
      <c r="D800" s="550" t="s">
        <v>227</v>
      </c>
      <c r="E800" s="550" t="s">
        <v>398</v>
      </c>
      <c r="F800" s="550" t="s">
        <v>10</v>
      </c>
      <c r="G800" s="552">
        <v>89</v>
      </c>
      <c r="H800" s="552">
        <v>18000</v>
      </c>
      <c r="I800" s="548">
        <v>0</v>
      </c>
      <c r="J800" s="548">
        <v>12000</v>
      </c>
      <c r="K800" s="552">
        <v>0</v>
      </c>
      <c r="L800" s="574">
        <v>12000</v>
      </c>
      <c r="M800" s="548">
        <v>6000</v>
      </c>
    </row>
    <row r="801" spans="1:13" ht="15.95" customHeight="1">
      <c r="A801" s="547"/>
      <c r="B801" s="550" t="s">
        <v>4906</v>
      </c>
      <c r="C801" s="550" t="s">
        <v>397</v>
      </c>
      <c r="D801" s="550" t="s">
        <v>227</v>
      </c>
      <c r="E801" s="550" t="s">
        <v>398</v>
      </c>
      <c r="F801" s="550" t="s">
        <v>10</v>
      </c>
      <c r="G801" s="552">
        <v>89</v>
      </c>
      <c r="H801" s="552">
        <v>72000</v>
      </c>
      <c r="I801" s="548">
        <v>0</v>
      </c>
      <c r="J801" s="548">
        <v>72000</v>
      </c>
      <c r="K801" s="552">
        <v>15000</v>
      </c>
      <c r="L801" s="574">
        <v>57000</v>
      </c>
      <c r="M801" s="548">
        <v>0</v>
      </c>
    </row>
    <row r="802" spans="1:13" ht="15.95" customHeight="1">
      <c r="A802" s="547"/>
      <c r="B802" s="550" t="s">
        <v>4908</v>
      </c>
      <c r="C802" s="550" t="s">
        <v>527</v>
      </c>
      <c r="D802" s="550" t="s">
        <v>227</v>
      </c>
      <c r="E802" s="550" t="s">
        <v>225</v>
      </c>
      <c r="F802" s="550" t="s">
        <v>410</v>
      </c>
      <c r="G802" s="552">
        <v>1954</v>
      </c>
      <c r="H802" s="552">
        <v>438</v>
      </c>
      <c r="I802" s="548">
        <v>3</v>
      </c>
      <c r="J802" s="548">
        <v>440</v>
      </c>
      <c r="K802" s="552">
        <v>440</v>
      </c>
      <c r="L802" s="574">
        <v>0</v>
      </c>
      <c r="M802" s="548">
        <v>1</v>
      </c>
    </row>
    <row r="803" spans="1:13" ht="15.95" customHeight="1">
      <c r="A803" s="547"/>
      <c r="B803" s="550" t="s">
        <v>4908</v>
      </c>
      <c r="C803" s="550" t="s">
        <v>527</v>
      </c>
      <c r="D803" s="550" t="s">
        <v>227</v>
      </c>
      <c r="E803" s="550" t="s">
        <v>225</v>
      </c>
      <c r="F803" s="550" t="s">
        <v>410</v>
      </c>
      <c r="G803" s="552">
        <v>1954</v>
      </c>
      <c r="H803" s="552">
        <v>21900</v>
      </c>
      <c r="I803" s="548">
        <v>812</v>
      </c>
      <c r="J803" s="548">
        <v>16566</v>
      </c>
      <c r="K803" s="552">
        <v>10513</v>
      </c>
      <c r="L803" s="574">
        <v>6053</v>
      </c>
      <c r="M803" s="548">
        <v>6146</v>
      </c>
    </row>
    <row r="804" spans="1:13" ht="15.95" customHeight="1">
      <c r="A804" s="547"/>
      <c r="B804" s="550" t="s">
        <v>4908</v>
      </c>
      <c r="C804" s="550" t="s">
        <v>527</v>
      </c>
      <c r="D804" s="550" t="s">
        <v>227</v>
      </c>
      <c r="E804" s="550" t="s">
        <v>225</v>
      </c>
      <c r="F804" s="550" t="s">
        <v>410</v>
      </c>
      <c r="G804" s="552">
        <v>1954</v>
      </c>
      <c r="H804" s="552">
        <v>40000</v>
      </c>
      <c r="I804" s="548">
        <v>0</v>
      </c>
      <c r="J804" s="548">
        <v>50</v>
      </c>
      <c r="K804" s="552">
        <v>0</v>
      </c>
      <c r="L804" s="574">
        <v>50</v>
      </c>
      <c r="M804" s="548">
        <v>39950</v>
      </c>
    </row>
    <row r="805" spans="1:13" ht="15.95" customHeight="1">
      <c r="A805" s="547"/>
      <c r="B805" s="550" t="s">
        <v>7705</v>
      </c>
      <c r="C805" s="550" t="s">
        <v>7706</v>
      </c>
      <c r="D805" s="550" t="s">
        <v>836</v>
      </c>
      <c r="E805" s="550" t="s">
        <v>838</v>
      </c>
      <c r="F805" s="550" t="s">
        <v>11</v>
      </c>
      <c r="G805" s="552">
        <v>1015</v>
      </c>
      <c r="H805" s="552"/>
      <c r="I805" s="548">
        <v>2480</v>
      </c>
      <c r="J805" s="548">
        <v>2480</v>
      </c>
      <c r="K805" s="552">
        <v>2480</v>
      </c>
      <c r="L805" s="574">
        <v>0</v>
      </c>
      <c r="M805" s="548">
        <v>0</v>
      </c>
    </row>
    <row r="806" spans="1:13" ht="15.95" customHeight="1">
      <c r="A806" s="547"/>
      <c r="B806" s="550" t="s">
        <v>7705</v>
      </c>
      <c r="C806" s="550" t="s">
        <v>7706</v>
      </c>
      <c r="D806" s="550" t="s">
        <v>836</v>
      </c>
      <c r="E806" s="550" t="s">
        <v>838</v>
      </c>
      <c r="F806" s="550" t="s">
        <v>11</v>
      </c>
      <c r="G806" s="552">
        <v>1015</v>
      </c>
      <c r="H806" s="552"/>
      <c r="I806" s="548">
        <v>2464</v>
      </c>
      <c r="J806" s="548">
        <v>0</v>
      </c>
      <c r="K806" s="552">
        <v>0</v>
      </c>
      <c r="L806" s="574">
        <v>0</v>
      </c>
      <c r="M806" s="548">
        <v>2464</v>
      </c>
    </row>
    <row r="807" spans="1:13" ht="15.95" customHeight="1">
      <c r="A807" s="547"/>
      <c r="B807" s="550" t="s">
        <v>7705</v>
      </c>
      <c r="C807" s="550" t="s">
        <v>7706</v>
      </c>
      <c r="D807" s="550" t="s">
        <v>836</v>
      </c>
      <c r="E807" s="550" t="s">
        <v>838</v>
      </c>
      <c r="F807" s="550" t="s">
        <v>11</v>
      </c>
      <c r="G807" s="552">
        <v>1015</v>
      </c>
      <c r="H807" s="552"/>
      <c r="I807" s="548">
        <v>2528</v>
      </c>
      <c r="J807" s="548">
        <v>0</v>
      </c>
      <c r="K807" s="552">
        <v>0</v>
      </c>
      <c r="L807" s="574">
        <v>0</v>
      </c>
      <c r="M807" s="548">
        <v>2528</v>
      </c>
    </row>
    <row r="808" spans="1:13" ht="15.95" customHeight="1">
      <c r="A808" s="547"/>
      <c r="B808" s="550" t="s">
        <v>5040</v>
      </c>
      <c r="C808" s="550" t="s">
        <v>662</v>
      </c>
      <c r="D808" s="550" t="s">
        <v>661</v>
      </c>
      <c r="E808" s="550" t="s">
        <v>663</v>
      </c>
      <c r="F808" s="550" t="s">
        <v>11</v>
      </c>
      <c r="G808" s="552">
        <v>1554</v>
      </c>
      <c r="H808" s="552">
        <v>122</v>
      </c>
      <c r="I808" s="548">
        <v>0</v>
      </c>
      <c r="J808" s="548">
        <v>0</v>
      </c>
      <c r="K808" s="552">
        <v>0</v>
      </c>
      <c r="L808" s="574">
        <v>0</v>
      </c>
      <c r="M808" s="548">
        <v>122</v>
      </c>
    </row>
    <row r="809" spans="1:13" ht="15.95" customHeight="1">
      <c r="A809" s="547"/>
      <c r="B809" s="550" t="s">
        <v>4910</v>
      </c>
      <c r="C809" s="550" t="s">
        <v>395</v>
      </c>
      <c r="D809" s="550" t="s">
        <v>395</v>
      </c>
      <c r="E809" s="550" t="s">
        <v>267</v>
      </c>
      <c r="F809" s="550" t="s">
        <v>10</v>
      </c>
      <c r="G809" s="552">
        <v>326</v>
      </c>
      <c r="H809" s="552">
        <v>15000</v>
      </c>
      <c r="I809" s="548">
        <v>2000</v>
      </c>
      <c r="J809" s="548">
        <v>10061</v>
      </c>
      <c r="K809" s="552">
        <v>2011</v>
      </c>
      <c r="L809" s="574">
        <v>8050</v>
      </c>
      <c r="M809" s="548">
        <v>6939</v>
      </c>
    </row>
    <row r="810" spans="1:13" ht="15.95" customHeight="1">
      <c r="A810" s="547"/>
      <c r="B810" s="550" t="s">
        <v>4911</v>
      </c>
      <c r="C810" s="550" t="s">
        <v>4912</v>
      </c>
      <c r="D810" s="550" t="s">
        <v>227</v>
      </c>
      <c r="E810" s="550" t="s">
        <v>225</v>
      </c>
      <c r="F810" s="550" t="s">
        <v>10</v>
      </c>
      <c r="G810" s="552">
        <v>76</v>
      </c>
      <c r="H810" s="552">
        <v>200000</v>
      </c>
      <c r="I810" s="548">
        <v>0</v>
      </c>
      <c r="J810" s="548">
        <v>200000</v>
      </c>
      <c r="K810" s="552">
        <v>105000</v>
      </c>
      <c r="L810" s="574">
        <v>95000</v>
      </c>
      <c r="M810" s="548">
        <v>0</v>
      </c>
    </row>
    <row r="811" spans="1:13" ht="15.95" customHeight="1">
      <c r="A811" s="547"/>
      <c r="B811" s="550" t="s">
        <v>4242</v>
      </c>
      <c r="C811" s="550" t="s">
        <v>1771</v>
      </c>
      <c r="D811" s="550" t="s">
        <v>750</v>
      </c>
      <c r="E811" s="550" t="s">
        <v>1772</v>
      </c>
      <c r="F811" s="550" t="s">
        <v>15</v>
      </c>
      <c r="G811" s="552">
        <v>15740</v>
      </c>
      <c r="H811" s="552">
        <v>1</v>
      </c>
      <c r="I811" s="548">
        <v>0</v>
      </c>
      <c r="J811" s="548">
        <v>1</v>
      </c>
      <c r="K811" s="552">
        <v>1</v>
      </c>
      <c r="L811" s="574">
        <v>0</v>
      </c>
      <c r="M811" s="548">
        <v>0</v>
      </c>
    </row>
    <row r="812" spans="1:13" ht="15.95" customHeight="1">
      <c r="A812" s="547"/>
      <c r="B812" s="550" t="s">
        <v>4242</v>
      </c>
      <c r="C812" s="550" t="s">
        <v>1771</v>
      </c>
      <c r="D812" s="550" t="s">
        <v>750</v>
      </c>
      <c r="E812" s="550" t="s">
        <v>1772</v>
      </c>
      <c r="F812" s="550" t="s">
        <v>15</v>
      </c>
      <c r="G812" s="552">
        <v>15740</v>
      </c>
      <c r="H812" s="552"/>
      <c r="I812" s="548">
        <v>193</v>
      </c>
      <c r="J812" s="548">
        <v>193</v>
      </c>
      <c r="K812" s="552">
        <v>97</v>
      </c>
      <c r="L812" s="574">
        <v>96</v>
      </c>
      <c r="M812" s="548">
        <v>0</v>
      </c>
    </row>
    <row r="813" spans="1:13" ht="15.95" customHeight="1">
      <c r="A813" s="547"/>
      <c r="B813" s="550" t="s">
        <v>4242</v>
      </c>
      <c r="C813" s="550" t="s">
        <v>1771</v>
      </c>
      <c r="D813" s="550" t="s">
        <v>750</v>
      </c>
      <c r="E813" s="550" t="s">
        <v>1772</v>
      </c>
      <c r="F813" s="550" t="s">
        <v>15</v>
      </c>
      <c r="G813" s="552">
        <v>15740</v>
      </c>
      <c r="H813" s="552"/>
      <c r="I813" s="548">
        <v>288</v>
      </c>
      <c r="J813" s="548">
        <v>63</v>
      </c>
      <c r="K813" s="552">
        <v>63</v>
      </c>
      <c r="L813" s="574">
        <v>0</v>
      </c>
      <c r="M813" s="548">
        <v>225</v>
      </c>
    </row>
    <row r="814" spans="1:13" ht="15.95" customHeight="1">
      <c r="A814" s="547"/>
      <c r="B814" s="550" t="s">
        <v>4244</v>
      </c>
      <c r="C814" s="550" t="s">
        <v>1771</v>
      </c>
      <c r="D814" s="550" t="s">
        <v>750</v>
      </c>
      <c r="E814" s="550" t="s">
        <v>1772</v>
      </c>
      <c r="F814" s="550" t="s">
        <v>15</v>
      </c>
      <c r="G814" s="552">
        <v>15740</v>
      </c>
      <c r="H814" s="552">
        <v>195</v>
      </c>
      <c r="I814" s="548">
        <v>0</v>
      </c>
      <c r="J814" s="548">
        <v>193</v>
      </c>
      <c r="K814" s="552">
        <v>193</v>
      </c>
      <c r="L814" s="574">
        <v>0</v>
      </c>
      <c r="M814" s="548">
        <v>2</v>
      </c>
    </row>
    <row r="815" spans="1:13" ht="15.95" customHeight="1">
      <c r="A815" s="547"/>
      <c r="B815" s="550" t="s">
        <v>4244</v>
      </c>
      <c r="C815" s="550" t="s">
        <v>1771</v>
      </c>
      <c r="D815" s="550" t="s">
        <v>750</v>
      </c>
      <c r="E815" s="550" t="s">
        <v>1772</v>
      </c>
      <c r="F815" s="550" t="s">
        <v>15</v>
      </c>
      <c r="G815" s="552">
        <v>15740</v>
      </c>
      <c r="H815" s="552">
        <v>480</v>
      </c>
      <c r="I815" s="548">
        <v>4</v>
      </c>
      <c r="J815" s="548">
        <v>472</v>
      </c>
      <c r="K815" s="552">
        <v>303</v>
      </c>
      <c r="L815" s="574">
        <v>169</v>
      </c>
      <c r="M815" s="548">
        <v>12</v>
      </c>
    </row>
    <row r="816" spans="1:13" ht="15.95" customHeight="1">
      <c r="A816" s="547"/>
      <c r="B816" s="550" t="s">
        <v>4244</v>
      </c>
      <c r="C816" s="550" t="s">
        <v>1771</v>
      </c>
      <c r="D816" s="550" t="s">
        <v>750</v>
      </c>
      <c r="E816" s="550" t="s">
        <v>1772</v>
      </c>
      <c r="F816" s="550" t="s">
        <v>15</v>
      </c>
      <c r="G816" s="552">
        <v>15740</v>
      </c>
      <c r="H816" s="552"/>
      <c r="I816" s="548">
        <v>48</v>
      </c>
      <c r="J816" s="548">
        <v>0</v>
      </c>
      <c r="K816" s="552">
        <v>0</v>
      </c>
      <c r="L816" s="574">
        <v>0</v>
      </c>
      <c r="M816" s="548">
        <v>48</v>
      </c>
    </row>
    <row r="817" spans="1:13" ht="15.95" customHeight="1">
      <c r="A817" s="547"/>
      <c r="B817" s="550" t="s">
        <v>6065</v>
      </c>
      <c r="C817" s="550" t="s">
        <v>6066</v>
      </c>
      <c r="D817" s="550" t="s">
        <v>750</v>
      </c>
      <c r="E817" s="550" t="s">
        <v>1772</v>
      </c>
      <c r="F817" s="550" t="s">
        <v>658</v>
      </c>
      <c r="G817" s="552">
        <v>42000</v>
      </c>
      <c r="H817" s="552"/>
      <c r="I817" s="548">
        <v>200</v>
      </c>
      <c r="J817" s="548">
        <v>0</v>
      </c>
      <c r="K817" s="552">
        <v>0</v>
      </c>
      <c r="L817" s="574">
        <v>0</v>
      </c>
      <c r="M817" s="548">
        <v>200</v>
      </c>
    </row>
    <row r="818" spans="1:13" ht="15.95" customHeight="1">
      <c r="A818" s="547"/>
      <c r="B818" s="550" t="s">
        <v>6065</v>
      </c>
      <c r="C818" s="550" t="s">
        <v>6066</v>
      </c>
      <c r="D818" s="550" t="s">
        <v>750</v>
      </c>
      <c r="E818" s="550" t="s">
        <v>1772</v>
      </c>
      <c r="F818" s="550" t="s">
        <v>658</v>
      </c>
      <c r="G818" s="552">
        <v>42000</v>
      </c>
      <c r="H818" s="552"/>
      <c r="I818" s="548">
        <v>300</v>
      </c>
      <c r="J818" s="548">
        <v>0</v>
      </c>
      <c r="K818" s="552">
        <v>0</v>
      </c>
      <c r="L818" s="574">
        <v>0</v>
      </c>
      <c r="M818" s="548">
        <v>300</v>
      </c>
    </row>
    <row r="819" spans="1:13" ht="15.95" customHeight="1">
      <c r="A819" s="547"/>
      <c r="B819" s="550" t="s">
        <v>4246</v>
      </c>
      <c r="C819" s="550" t="s">
        <v>4247</v>
      </c>
      <c r="D819" s="550" t="s">
        <v>4248</v>
      </c>
      <c r="E819" s="550" t="s">
        <v>4249</v>
      </c>
      <c r="F819" s="550" t="s">
        <v>11</v>
      </c>
      <c r="G819" s="552">
        <v>1974</v>
      </c>
      <c r="H819" s="552">
        <v>10230</v>
      </c>
      <c r="I819" s="548">
        <v>0</v>
      </c>
      <c r="J819" s="548">
        <v>10230</v>
      </c>
      <c r="K819" s="552">
        <v>0</v>
      </c>
      <c r="L819" s="574">
        <v>10230</v>
      </c>
      <c r="M819" s="548">
        <v>0</v>
      </c>
    </row>
    <row r="820" spans="1:13" ht="15.95" customHeight="1">
      <c r="A820" s="547"/>
      <c r="B820" s="550" t="s">
        <v>4246</v>
      </c>
      <c r="C820" s="550" t="s">
        <v>4247</v>
      </c>
      <c r="D820" s="550" t="s">
        <v>4248</v>
      </c>
      <c r="E820" s="550" t="s">
        <v>4249</v>
      </c>
      <c r="F820" s="550" t="s">
        <v>11</v>
      </c>
      <c r="G820" s="552">
        <v>1974</v>
      </c>
      <c r="H820" s="552">
        <v>10000</v>
      </c>
      <c r="I820" s="548">
        <v>0</v>
      </c>
      <c r="J820" s="548">
        <v>10000</v>
      </c>
      <c r="K820" s="552">
        <v>0</v>
      </c>
      <c r="L820" s="574">
        <v>10000</v>
      </c>
      <c r="M820" s="548">
        <v>0</v>
      </c>
    </row>
    <row r="821" spans="1:13" ht="15.95" customHeight="1">
      <c r="A821" s="547"/>
      <c r="B821" s="550" t="s">
        <v>4246</v>
      </c>
      <c r="C821" s="550" t="s">
        <v>4247</v>
      </c>
      <c r="D821" s="550" t="s">
        <v>4248</v>
      </c>
      <c r="E821" s="550" t="s">
        <v>4249</v>
      </c>
      <c r="F821" s="550" t="s">
        <v>11</v>
      </c>
      <c r="G821" s="552">
        <v>1974</v>
      </c>
      <c r="H821" s="552"/>
      <c r="I821" s="548">
        <v>20960</v>
      </c>
      <c r="J821" s="548">
        <v>3379</v>
      </c>
      <c r="K821" s="552">
        <v>0</v>
      </c>
      <c r="L821" s="574">
        <v>3379</v>
      </c>
      <c r="M821" s="548">
        <v>17581</v>
      </c>
    </row>
    <row r="822" spans="1:13" ht="15.95" customHeight="1">
      <c r="A822" s="547"/>
      <c r="B822" s="550" t="s">
        <v>4246</v>
      </c>
      <c r="C822" s="550" t="s">
        <v>4247</v>
      </c>
      <c r="D822" s="550" t="s">
        <v>4248</v>
      </c>
      <c r="E822" s="550" t="s">
        <v>4249</v>
      </c>
      <c r="F822" s="550" t="s">
        <v>11</v>
      </c>
      <c r="G822" s="552">
        <v>1974</v>
      </c>
      <c r="H822" s="552"/>
      <c r="I822" s="548">
        <v>9040</v>
      </c>
      <c r="J822" s="548">
        <v>0</v>
      </c>
      <c r="K822" s="552">
        <v>0</v>
      </c>
      <c r="L822" s="574">
        <v>0</v>
      </c>
      <c r="M822" s="548">
        <v>9040</v>
      </c>
    </row>
    <row r="823" spans="1:13" ht="15.95" customHeight="1">
      <c r="A823" s="547"/>
      <c r="B823" s="550" t="s">
        <v>6797</v>
      </c>
      <c r="C823" s="550" t="s">
        <v>6798</v>
      </c>
      <c r="D823" s="550" t="s">
        <v>1333</v>
      </c>
      <c r="E823" s="550" t="s">
        <v>238</v>
      </c>
      <c r="F823" s="550" t="s">
        <v>11</v>
      </c>
      <c r="G823" s="552">
        <v>366</v>
      </c>
      <c r="H823" s="552"/>
      <c r="I823" s="548">
        <v>2500</v>
      </c>
      <c r="J823" s="548">
        <v>2500</v>
      </c>
      <c r="K823" s="552">
        <v>2500</v>
      </c>
      <c r="L823" s="574">
        <v>0</v>
      </c>
      <c r="M823" s="548">
        <v>0</v>
      </c>
    </row>
    <row r="824" spans="1:13" ht="15.95" customHeight="1">
      <c r="A824" s="547"/>
      <c r="B824" s="550" t="s">
        <v>4251</v>
      </c>
      <c r="C824" s="550" t="s">
        <v>4252</v>
      </c>
      <c r="D824" s="550" t="s">
        <v>788</v>
      </c>
      <c r="E824" s="550" t="s">
        <v>390</v>
      </c>
      <c r="F824" s="550" t="s">
        <v>11</v>
      </c>
      <c r="G824" s="552">
        <v>1515</v>
      </c>
      <c r="H824" s="552"/>
      <c r="I824" s="548">
        <v>6990</v>
      </c>
      <c r="J824" s="548">
        <v>451</v>
      </c>
      <c r="K824" s="552">
        <v>0</v>
      </c>
      <c r="L824" s="574">
        <v>451</v>
      </c>
      <c r="M824" s="548">
        <v>6539</v>
      </c>
    </row>
    <row r="825" spans="1:13" ht="15.95" customHeight="1">
      <c r="A825" s="547"/>
      <c r="B825" s="550" t="s">
        <v>8642</v>
      </c>
      <c r="C825" s="550" t="s">
        <v>8645</v>
      </c>
      <c r="D825" s="550" t="s">
        <v>8643</v>
      </c>
      <c r="E825" s="550" t="s">
        <v>12390</v>
      </c>
      <c r="F825" s="550" t="s">
        <v>11</v>
      </c>
      <c r="G825" s="552">
        <v>2250</v>
      </c>
      <c r="H825" s="552"/>
      <c r="I825" s="548">
        <v>10000</v>
      </c>
      <c r="J825" s="548">
        <v>5091</v>
      </c>
      <c r="K825" s="552">
        <v>0</v>
      </c>
      <c r="L825" s="574">
        <v>5091</v>
      </c>
      <c r="M825" s="548">
        <v>4909</v>
      </c>
    </row>
    <row r="826" spans="1:13" ht="15.95" customHeight="1">
      <c r="A826" s="547"/>
      <c r="B826" s="550" t="s">
        <v>4715</v>
      </c>
      <c r="C826" s="550" t="s">
        <v>4716</v>
      </c>
      <c r="D826" s="550" t="s">
        <v>155</v>
      </c>
      <c r="E826" s="550" t="s">
        <v>156</v>
      </c>
      <c r="F826" s="550" t="s">
        <v>4717</v>
      </c>
      <c r="G826" s="552">
        <v>6000</v>
      </c>
      <c r="H826" s="552"/>
      <c r="I826" s="548">
        <v>4500</v>
      </c>
      <c r="J826" s="548">
        <v>4500</v>
      </c>
      <c r="K826" s="552">
        <v>0</v>
      </c>
      <c r="L826" s="574">
        <v>4500</v>
      </c>
      <c r="M826" s="548">
        <v>0</v>
      </c>
    </row>
    <row r="827" spans="1:13" ht="15.95" customHeight="1">
      <c r="A827" s="547"/>
      <c r="B827" s="550" t="s">
        <v>4715</v>
      </c>
      <c r="C827" s="550" t="s">
        <v>4716</v>
      </c>
      <c r="D827" s="550" t="s">
        <v>155</v>
      </c>
      <c r="E827" s="550" t="s">
        <v>156</v>
      </c>
      <c r="F827" s="550" t="s">
        <v>4717</v>
      </c>
      <c r="G827" s="552">
        <v>6000</v>
      </c>
      <c r="H827" s="552"/>
      <c r="I827" s="548">
        <v>4500</v>
      </c>
      <c r="J827" s="548">
        <v>4500</v>
      </c>
      <c r="K827" s="552">
        <v>0</v>
      </c>
      <c r="L827" s="574">
        <v>4500</v>
      </c>
      <c r="M827" s="548">
        <v>0</v>
      </c>
    </row>
    <row r="828" spans="1:13" ht="15.95" customHeight="1">
      <c r="A828" s="547"/>
      <c r="B828" s="550" t="s">
        <v>4715</v>
      </c>
      <c r="C828" s="550" t="s">
        <v>4716</v>
      </c>
      <c r="D828" s="550" t="s">
        <v>155</v>
      </c>
      <c r="E828" s="550" t="s">
        <v>156</v>
      </c>
      <c r="F828" s="550" t="s">
        <v>4717</v>
      </c>
      <c r="G828" s="552">
        <v>6000</v>
      </c>
      <c r="H828" s="552"/>
      <c r="I828" s="548">
        <v>1998</v>
      </c>
      <c r="J828" s="548">
        <v>0</v>
      </c>
      <c r="K828" s="552">
        <v>0</v>
      </c>
      <c r="L828" s="574">
        <v>0</v>
      </c>
      <c r="M828" s="548">
        <v>1998</v>
      </c>
    </row>
    <row r="829" spans="1:13" ht="15.95" customHeight="1">
      <c r="A829" s="547"/>
      <c r="B829" s="550" t="s">
        <v>4718</v>
      </c>
      <c r="C829" s="550" t="s">
        <v>4719</v>
      </c>
      <c r="D829" s="550" t="s">
        <v>4720</v>
      </c>
      <c r="E829" s="550" t="s">
        <v>4721</v>
      </c>
      <c r="F829" s="550" t="s">
        <v>15</v>
      </c>
      <c r="G829" s="552">
        <v>32000</v>
      </c>
      <c r="H829" s="552"/>
      <c r="I829" s="548">
        <v>500</v>
      </c>
      <c r="J829" s="548">
        <v>121</v>
      </c>
      <c r="K829" s="552">
        <v>0</v>
      </c>
      <c r="L829" s="574">
        <v>121</v>
      </c>
      <c r="M829" s="548">
        <v>379</v>
      </c>
    </row>
    <row r="830" spans="1:13" ht="15.95" customHeight="1">
      <c r="A830" s="547"/>
      <c r="B830" s="550" t="s">
        <v>4718</v>
      </c>
      <c r="C830" s="550" t="s">
        <v>4719</v>
      </c>
      <c r="D830" s="550" t="s">
        <v>4720</v>
      </c>
      <c r="E830" s="550" t="s">
        <v>4721</v>
      </c>
      <c r="F830" s="550" t="s">
        <v>15</v>
      </c>
      <c r="G830" s="552">
        <v>32000</v>
      </c>
      <c r="H830" s="552"/>
      <c r="I830" s="548">
        <v>500</v>
      </c>
      <c r="J830" s="548">
        <v>0</v>
      </c>
      <c r="K830" s="552">
        <v>0</v>
      </c>
      <c r="L830" s="574">
        <v>0</v>
      </c>
      <c r="M830" s="548">
        <v>500</v>
      </c>
    </row>
    <row r="831" spans="1:13" ht="15.95" customHeight="1">
      <c r="A831" s="547"/>
      <c r="B831" s="550" t="s">
        <v>4718</v>
      </c>
      <c r="C831" s="550" t="s">
        <v>4719</v>
      </c>
      <c r="D831" s="550" t="s">
        <v>4720</v>
      </c>
      <c r="E831" s="550" t="s">
        <v>4721</v>
      </c>
      <c r="F831" s="550" t="s">
        <v>15</v>
      </c>
      <c r="G831" s="552">
        <v>32000</v>
      </c>
      <c r="H831" s="552">
        <v>11</v>
      </c>
      <c r="I831" s="548">
        <v>0</v>
      </c>
      <c r="J831" s="548">
        <v>11</v>
      </c>
      <c r="K831" s="552">
        <v>0</v>
      </c>
      <c r="L831" s="574">
        <v>11</v>
      </c>
      <c r="M831" s="548">
        <v>0</v>
      </c>
    </row>
    <row r="832" spans="1:13" ht="15.95" customHeight="1">
      <c r="A832" s="547"/>
      <c r="B832" s="550" t="s">
        <v>4718</v>
      </c>
      <c r="C832" s="550" t="s">
        <v>4719</v>
      </c>
      <c r="D832" s="550" t="s">
        <v>4720</v>
      </c>
      <c r="E832" s="550" t="s">
        <v>4721</v>
      </c>
      <c r="F832" s="550" t="s">
        <v>15</v>
      </c>
      <c r="G832" s="552">
        <v>32000</v>
      </c>
      <c r="H832" s="552">
        <v>60</v>
      </c>
      <c r="I832" s="548">
        <v>0</v>
      </c>
      <c r="J832" s="548">
        <v>60</v>
      </c>
      <c r="K832" s="552">
        <v>0</v>
      </c>
      <c r="L832" s="574">
        <v>60</v>
      </c>
      <c r="M832" s="548">
        <v>0</v>
      </c>
    </row>
    <row r="833" spans="1:13" ht="15.95" customHeight="1">
      <c r="A833" s="547"/>
      <c r="B833" s="550" t="s">
        <v>4718</v>
      </c>
      <c r="C833" s="550" t="s">
        <v>4719</v>
      </c>
      <c r="D833" s="550" t="s">
        <v>4720</v>
      </c>
      <c r="E833" s="550" t="s">
        <v>4721</v>
      </c>
      <c r="F833" s="550" t="s">
        <v>15</v>
      </c>
      <c r="G833" s="552">
        <v>32000</v>
      </c>
      <c r="H833" s="552"/>
      <c r="I833" s="548">
        <v>1000</v>
      </c>
      <c r="J833" s="548">
        <v>1000</v>
      </c>
      <c r="K833" s="552">
        <v>0</v>
      </c>
      <c r="L833" s="574">
        <v>1000</v>
      </c>
      <c r="M833" s="548">
        <v>0</v>
      </c>
    </row>
    <row r="834" spans="1:13" ht="15.95" customHeight="1">
      <c r="A834" s="547"/>
      <c r="B834" s="550" t="s">
        <v>6211</v>
      </c>
      <c r="C834" s="550" t="s">
        <v>6214</v>
      </c>
      <c r="D834" s="550" t="s">
        <v>6212</v>
      </c>
      <c r="E834" s="550" t="s">
        <v>6213</v>
      </c>
      <c r="F834" s="550" t="s">
        <v>12</v>
      </c>
      <c r="G834" s="552">
        <v>3751</v>
      </c>
      <c r="H834" s="552"/>
      <c r="I834" s="548">
        <v>1248</v>
      </c>
      <c r="J834" s="548">
        <v>1248</v>
      </c>
      <c r="K834" s="552">
        <v>0</v>
      </c>
      <c r="L834" s="574">
        <v>1248</v>
      </c>
      <c r="M834" s="548">
        <v>0</v>
      </c>
    </row>
    <row r="835" spans="1:13" ht="15.95" customHeight="1">
      <c r="A835" s="547"/>
      <c r="B835" s="550" t="s">
        <v>6211</v>
      </c>
      <c r="C835" s="550" t="s">
        <v>6214</v>
      </c>
      <c r="D835" s="550" t="s">
        <v>6212</v>
      </c>
      <c r="E835" s="550" t="s">
        <v>6213</v>
      </c>
      <c r="F835" s="550" t="s">
        <v>12</v>
      </c>
      <c r="G835" s="552">
        <v>3751</v>
      </c>
      <c r="H835" s="552"/>
      <c r="I835" s="548">
        <v>1343</v>
      </c>
      <c r="J835" s="548">
        <v>946</v>
      </c>
      <c r="K835" s="552">
        <v>946</v>
      </c>
      <c r="L835" s="574">
        <v>0</v>
      </c>
      <c r="M835" s="548">
        <v>397</v>
      </c>
    </row>
    <row r="836" spans="1:13" ht="15.95" customHeight="1">
      <c r="A836" s="547"/>
      <c r="B836" s="550" t="s">
        <v>8844</v>
      </c>
      <c r="C836" s="550" t="s">
        <v>8847</v>
      </c>
      <c r="D836" s="550" t="s">
        <v>8845</v>
      </c>
      <c r="E836" s="550" t="s">
        <v>12403</v>
      </c>
      <c r="F836" s="550" t="s">
        <v>11</v>
      </c>
      <c r="G836" s="552">
        <v>1029</v>
      </c>
      <c r="H836" s="552"/>
      <c r="I836" s="548">
        <v>5000</v>
      </c>
      <c r="J836" s="548">
        <v>5000</v>
      </c>
      <c r="K836" s="552">
        <v>0</v>
      </c>
      <c r="L836" s="574">
        <v>5000</v>
      </c>
      <c r="M836" s="548">
        <v>0</v>
      </c>
    </row>
    <row r="837" spans="1:13" ht="15.95" customHeight="1">
      <c r="A837" s="547"/>
      <c r="B837" s="550" t="s">
        <v>4723</v>
      </c>
      <c r="C837" s="550" t="s">
        <v>161</v>
      </c>
      <c r="D837" s="550" t="s">
        <v>162</v>
      </c>
      <c r="E837" s="550" t="s">
        <v>4724</v>
      </c>
      <c r="F837" s="550" t="s">
        <v>11</v>
      </c>
      <c r="G837" s="552">
        <v>1680</v>
      </c>
      <c r="H837" s="552"/>
      <c r="I837" s="548">
        <v>15000</v>
      </c>
      <c r="J837" s="548">
        <v>9701</v>
      </c>
      <c r="K837" s="552">
        <v>0</v>
      </c>
      <c r="L837" s="574">
        <v>9701</v>
      </c>
      <c r="M837" s="548">
        <v>5299</v>
      </c>
    </row>
    <row r="838" spans="1:13" ht="15.95" customHeight="1">
      <c r="A838" s="547"/>
      <c r="B838" s="550" t="s">
        <v>4723</v>
      </c>
      <c r="C838" s="550" t="s">
        <v>161</v>
      </c>
      <c r="D838" s="550" t="s">
        <v>162</v>
      </c>
      <c r="E838" s="550" t="s">
        <v>4724</v>
      </c>
      <c r="F838" s="550" t="s">
        <v>11</v>
      </c>
      <c r="G838" s="552">
        <v>1680</v>
      </c>
      <c r="H838" s="552"/>
      <c r="I838" s="548">
        <v>5000</v>
      </c>
      <c r="J838" s="548">
        <v>0</v>
      </c>
      <c r="K838" s="552">
        <v>0</v>
      </c>
      <c r="L838" s="574">
        <v>0</v>
      </c>
      <c r="M838" s="548">
        <v>5000</v>
      </c>
    </row>
    <row r="839" spans="1:13" ht="15.95" customHeight="1">
      <c r="A839" s="547"/>
      <c r="B839" s="550" t="s">
        <v>4254</v>
      </c>
      <c r="C839" s="550" t="s">
        <v>793</v>
      </c>
      <c r="D839" s="550" t="s">
        <v>792</v>
      </c>
      <c r="E839" s="550" t="s">
        <v>794</v>
      </c>
      <c r="F839" s="550" t="s">
        <v>520</v>
      </c>
      <c r="G839" s="552">
        <v>13520</v>
      </c>
      <c r="H839" s="552">
        <v>192</v>
      </c>
      <c r="I839" s="548">
        <v>0</v>
      </c>
      <c r="J839" s="548">
        <v>69</v>
      </c>
      <c r="K839" s="552">
        <v>54</v>
      </c>
      <c r="L839" s="574">
        <v>15</v>
      </c>
      <c r="M839" s="548">
        <v>123</v>
      </c>
    </row>
    <row r="840" spans="1:13" ht="15.95" customHeight="1">
      <c r="A840" s="547"/>
      <c r="B840" s="550" t="s">
        <v>4256</v>
      </c>
      <c r="C840" s="550" t="s">
        <v>793</v>
      </c>
      <c r="D840" s="550" t="s">
        <v>792</v>
      </c>
      <c r="E840" s="550" t="s">
        <v>794</v>
      </c>
      <c r="F840" s="550" t="s">
        <v>520</v>
      </c>
      <c r="G840" s="552">
        <v>13500</v>
      </c>
      <c r="H840" s="552">
        <v>4</v>
      </c>
      <c r="I840" s="548">
        <v>0</v>
      </c>
      <c r="J840" s="548">
        <v>4</v>
      </c>
      <c r="K840" s="552">
        <v>4</v>
      </c>
      <c r="L840" s="574">
        <v>0</v>
      </c>
      <c r="M840" s="548">
        <v>0</v>
      </c>
    </row>
    <row r="841" spans="1:13" ht="15.95" customHeight="1">
      <c r="A841" s="547"/>
      <c r="B841" s="550" t="s">
        <v>4258</v>
      </c>
      <c r="C841" s="550" t="s">
        <v>855</v>
      </c>
      <c r="D841" s="550" t="s">
        <v>855</v>
      </c>
      <c r="E841" s="550" t="s">
        <v>334</v>
      </c>
      <c r="F841" s="550" t="s">
        <v>11</v>
      </c>
      <c r="G841" s="552">
        <v>190</v>
      </c>
      <c r="H841" s="552"/>
      <c r="I841" s="548">
        <v>4500</v>
      </c>
      <c r="J841" s="548">
        <v>4500</v>
      </c>
      <c r="K841" s="552">
        <v>4500</v>
      </c>
      <c r="L841" s="574">
        <v>0</v>
      </c>
      <c r="M841" s="548">
        <v>0</v>
      </c>
    </row>
    <row r="842" spans="1:13" ht="15.95" customHeight="1">
      <c r="A842" s="547"/>
      <c r="B842" s="550" t="s">
        <v>4258</v>
      </c>
      <c r="C842" s="550" t="s">
        <v>855</v>
      </c>
      <c r="D842" s="550" t="s">
        <v>855</v>
      </c>
      <c r="E842" s="550" t="s">
        <v>334</v>
      </c>
      <c r="F842" s="550" t="s">
        <v>11</v>
      </c>
      <c r="G842" s="552">
        <v>190</v>
      </c>
      <c r="H842" s="552"/>
      <c r="I842" s="548">
        <v>6000</v>
      </c>
      <c r="J842" s="548">
        <v>6000</v>
      </c>
      <c r="K842" s="552">
        <v>6000</v>
      </c>
      <c r="L842" s="574">
        <v>0</v>
      </c>
      <c r="M842" s="548">
        <v>0</v>
      </c>
    </row>
    <row r="843" spans="1:13" ht="15.95" customHeight="1">
      <c r="A843" s="547"/>
      <c r="B843" s="550" t="s">
        <v>4271</v>
      </c>
      <c r="C843" s="550" t="s">
        <v>6183</v>
      </c>
      <c r="D843" s="550" t="s">
        <v>855</v>
      </c>
      <c r="E843" s="550" t="s">
        <v>641</v>
      </c>
      <c r="F843" s="550" t="s">
        <v>11</v>
      </c>
      <c r="G843" s="552">
        <v>1315</v>
      </c>
      <c r="H843" s="552"/>
      <c r="I843" s="548">
        <v>4800</v>
      </c>
      <c r="J843" s="548">
        <v>0</v>
      </c>
      <c r="K843" s="552">
        <v>0</v>
      </c>
      <c r="L843" s="574">
        <v>0</v>
      </c>
      <c r="M843" s="548">
        <v>4800</v>
      </c>
    </row>
    <row r="844" spans="1:13" ht="15.95" customHeight="1">
      <c r="A844" s="547"/>
      <c r="B844" s="550" t="s">
        <v>4914</v>
      </c>
      <c r="C844" s="550" t="s">
        <v>400</v>
      </c>
      <c r="D844" s="550" t="s">
        <v>400</v>
      </c>
      <c r="E844" s="550" t="s">
        <v>235</v>
      </c>
      <c r="F844" s="550" t="s">
        <v>10</v>
      </c>
      <c r="G844" s="552">
        <v>146</v>
      </c>
      <c r="H844" s="552">
        <v>8000</v>
      </c>
      <c r="I844" s="548">
        <v>0</v>
      </c>
      <c r="J844" s="548">
        <v>0</v>
      </c>
      <c r="K844" s="552">
        <v>0</v>
      </c>
      <c r="L844" s="574">
        <v>0</v>
      </c>
      <c r="M844" s="548">
        <v>8000</v>
      </c>
    </row>
    <row r="845" spans="1:13" ht="15.95" customHeight="1">
      <c r="A845" s="547"/>
      <c r="B845" s="550" t="s">
        <v>4259</v>
      </c>
      <c r="C845" s="550" t="s">
        <v>4260</v>
      </c>
      <c r="D845" s="550" t="s">
        <v>882</v>
      </c>
      <c r="E845" s="550" t="s">
        <v>262</v>
      </c>
      <c r="F845" s="550" t="s">
        <v>10</v>
      </c>
      <c r="G845" s="552">
        <v>58240</v>
      </c>
      <c r="H845" s="552">
        <v>43</v>
      </c>
      <c r="I845" s="548">
        <v>0</v>
      </c>
      <c r="J845" s="548">
        <v>42</v>
      </c>
      <c r="K845" s="552">
        <v>42</v>
      </c>
      <c r="L845" s="574">
        <v>0</v>
      </c>
      <c r="M845" s="548">
        <v>1</v>
      </c>
    </row>
    <row r="846" spans="1:13" ht="15.95" customHeight="1">
      <c r="A846" s="547"/>
      <c r="B846" s="550" t="s">
        <v>4554</v>
      </c>
      <c r="C846" s="550" t="s">
        <v>4555</v>
      </c>
      <c r="D846" s="550" t="s">
        <v>847</v>
      </c>
      <c r="E846" s="550" t="s">
        <v>225</v>
      </c>
      <c r="F846" s="550" t="s">
        <v>11</v>
      </c>
      <c r="G846" s="552">
        <v>2510</v>
      </c>
      <c r="H846" s="552">
        <v>60</v>
      </c>
      <c r="I846" s="548">
        <v>0</v>
      </c>
      <c r="J846" s="548">
        <v>60</v>
      </c>
      <c r="K846" s="552">
        <v>60</v>
      </c>
      <c r="L846" s="574">
        <v>0</v>
      </c>
      <c r="M846" s="548">
        <v>0</v>
      </c>
    </row>
    <row r="847" spans="1:13" ht="15.95" customHeight="1">
      <c r="A847" s="547"/>
      <c r="B847" s="550" t="s">
        <v>4262</v>
      </c>
      <c r="C847" s="550" t="s">
        <v>4263</v>
      </c>
      <c r="D847" s="550" t="s">
        <v>555</v>
      </c>
      <c r="E847" s="550" t="s">
        <v>262</v>
      </c>
      <c r="F847" s="550" t="s">
        <v>11</v>
      </c>
      <c r="G847" s="552">
        <v>6500</v>
      </c>
      <c r="H847" s="552">
        <v>7906</v>
      </c>
      <c r="I847" s="548">
        <v>0</v>
      </c>
      <c r="J847" s="548">
        <v>7900</v>
      </c>
      <c r="K847" s="552">
        <v>0</v>
      </c>
      <c r="L847" s="574">
        <v>7900</v>
      </c>
      <c r="M847" s="548">
        <v>6</v>
      </c>
    </row>
    <row r="848" spans="1:13" ht="15.95" customHeight="1">
      <c r="A848" s="547"/>
      <c r="B848" s="550" t="s">
        <v>4265</v>
      </c>
      <c r="C848" s="550" t="s">
        <v>4266</v>
      </c>
      <c r="D848" s="550" t="s">
        <v>1302</v>
      </c>
      <c r="E848" s="550" t="s">
        <v>235</v>
      </c>
      <c r="F848" s="550" t="s">
        <v>10</v>
      </c>
      <c r="G848" s="552">
        <v>2540</v>
      </c>
      <c r="H848" s="552">
        <v>100</v>
      </c>
      <c r="I848" s="548">
        <v>0</v>
      </c>
      <c r="J848" s="548">
        <v>100</v>
      </c>
      <c r="K848" s="552">
        <v>99</v>
      </c>
      <c r="L848" s="574">
        <v>1</v>
      </c>
      <c r="M848" s="548">
        <v>0</v>
      </c>
    </row>
    <row r="849" spans="1:13" ht="15.95" customHeight="1">
      <c r="A849" s="547"/>
      <c r="B849" s="550" t="s">
        <v>5984</v>
      </c>
      <c r="C849" s="550" t="s">
        <v>5987</v>
      </c>
      <c r="D849" s="550" t="s">
        <v>5985</v>
      </c>
      <c r="E849" s="550" t="s">
        <v>5986</v>
      </c>
      <c r="F849" s="550" t="s">
        <v>11</v>
      </c>
      <c r="G849" s="552">
        <v>9500</v>
      </c>
      <c r="H849" s="552"/>
      <c r="I849" s="548">
        <v>600</v>
      </c>
      <c r="J849" s="548">
        <v>421</v>
      </c>
      <c r="K849" s="552">
        <v>0</v>
      </c>
      <c r="L849" s="574">
        <v>421</v>
      </c>
      <c r="M849" s="548">
        <v>179</v>
      </c>
    </row>
    <row r="850" spans="1:13" ht="15.95" customHeight="1">
      <c r="A850" s="547"/>
      <c r="B850" s="550" t="s">
        <v>4267</v>
      </c>
      <c r="C850" s="550" t="s">
        <v>4268</v>
      </c>
      <c r="D850" s="550" t="s">
        <v>4269</v>
      </c>
      <c r="E850" s="550" t="s">
        <v>663</v>
      </c>
      <c r="F850" s="550" t="s">
        <v>11</v>
      </c>
      <c r="G850" s="552">
        <v>1050</v>
      </c>
      <c r="H850" s="552"/>
      <c r="I850" s="548">
        <v>6000</v>
      </c>
      <c r="J850" s="548">
        <v>683</v>
      </c>
      <c r="K850" s="552">
        <v>0</v>
      </c>
      <c r="L850" s="574">
        <v>683</v>
      </c>
      <c r="M850" s="548">
        <v>5317</v>
      </c>
    </row>
    <row r="851" spans="1:13" ht="15.95" customHeight="1">
      <c r="A851" s="547"/>
      <c r="B851" s="550" t="s">
        <v>4267</v>
      </c>
      <c r="C851" s="550" t="s">
        <v>4268</v>
      </c>
      <c r="D851" s="550" t="s">
        <v>4269</v>
      </c>
      <c r="E851" s="550" t="s">
        <v>663</v>
      </c>
      <c r="F851" s="550" t="s">
        <v>11</v>
      </c>
      <c r="G851" s="552">
        <v>1050</v>
      </c>
      <c r="H851" s="552">
        <v>1844</v>
      </c>
      <c r="I851" s="548">
        <v>0</v>
      </c>
      <c r="J851" s="548">
        <v>1844</v>
      </c>
      <c r="K851" s="552">
        <v>0</v>
      </c>
      <c r="L851" s="574">
        <v>1844</v>
      </c>
      <c r="M851" s="548">
        <v>0</v>
      </c>
    </row>
    <row r="852" spans="1:13" ht="15.95" customHeight="1">
      <c r="A852" s="547"/>
      <c r="B852" s="550" t="s">
        <v>4267</v>
      </c>
      <c r="C852" s="550" t="s">
        <v>4268</v>
      </c>
      <c r="D852" s="550" t="s">
        <v>4269</v>
      </c>
      <c r="E852" s="550" t="s">
        <v>663</v>
      </c>
      <c r="F852" s="550" t="s">
        <v>11</v>
      </c>
      <c r="G852" s="552">
        <v>1050</v>
      </c>
      <c r="H852" s="552">
        <v>3000</v>
      </c>
      <c r="I852" s="548">
        <v>0</v>
      </c>
      <c r="J852" s="548">
        <v>3000</v>
      </c>
      <c r="K852" s="552">
        <v>0</v>
      </c>
      <c r="L852" s="574">
        <v>3000</v>
      </c>
      <c r="M852" s="548">
        <v>0</v>
      </c>
    </row>
    <row r="853" spans="1:13" ht="15.95" customHeight="1">
      <c r="A853" s="547"/>
      <c r="B853" s="550" t="s">
        <v>6187</v>
      </c>
      <c r="C853" s="550" t="s">
        <v>1176</v>
      </c>
      <c r="D853" s="550" t="s">
        <v>855</v>
      </c>
      <c r="E853" s="550" t="s">
        <v>1177</v>
      </c>
      <c r="F853" s="550" t="s">
        <v>11</v>
      </c>
      <c r="G853" s="552">
        <v>2290</v>
      </c>
      <c r="H853" s="552"/>
      <c r="I853" s="548">
        <v>500</v>
      </c>
      <c r="J853" s="548">
        <v>500</v>
      </c>
      <c r="K853" s="552">
        <v>500</v>
      </c>
      <c r="L853" s="574">
        <v>0</v>
      </c>
      <c r="M853" s="548">
        <v>0</v>
      </c>
    </row>
    <row r="854" spans="1:13" ht="15.95" customHeight="1">
      <c r="A854" s="547"/>
      <c r="B854" s="550" t="s">
        <v>4272</v>
      </c>
      <c r="C854" s="550" t="s">
        <v>4273</v>
      </c>
      <c r="D854" s="550" t="s">
        <v>855</v>
      </c>
      <c r="E854" s="550" t="s">
        <v>334</v>
      </c>
      <c r="F854" s="550" t="s">
        <v>11</v>
      </c>
      <c r="G854" s="552">
        <v>900</v>
      </c>
      <c r="H854" s="552">
        <v>937</v>
      </c>
      <c r="I854" s="548">
        <v>0</v>
      </c>
      <c r="J854" s="548">
        <v>0</v>
      </c>
      <c r="K854" s="552">
        <v>0</v>
      </c>
      <c r="L854" s="574">
        <v>0</v>
      </c>
      <c r="M854" s="548">
        <v>937</v>
      </c>
    </row>
    <row r="855" spans="1:13" ht="15.95" customHeight="1">
      <c r="A855" s="547"/>
      <c r="B855" s="550" t="s">
        <v>4272</v>
      </c>
      <c r="C855" s="550" t="s">
        <v>4273</v>
      </c>
      <c r="D855" s="550" t="s">
        <v>855</v>
      </c>
      <c r="E855" s="550" t="s">
        <v>334</v>
      </c>
      <c r="F855" s="550" t="s">
        <v>11</v>
      </c>
      <c r="G855" s="552">
        <v>900</v>
      </c>
      <c r="H855" s="552">
        <v>5000</v>
      </c>
      <c r="I855" s="548">
        <v>0</v>
      </c>
      <c r="J855" s="548">
        <v>5000</v>
      </c>
      <c r="K855" s="552">
        <v>5000</v>
      </c>
      <c r="L855" s="574">
        <v>0</v>
      </c>
      <c r="M855" s="548">
        <v>0</v>
      </c>
    </row>
    <row r="856" spans="1:13" ht="15.95" customHeight="1">
      <c r="A856" s="547"/>
      <c r="B856" s="550" t="s">
        <v>4272</v>
      </c>
      <c r="C856" s="550" t="s">
        <v>4273</v>
      </c>
      <c r="D856" s="550" t="s">
        <v>855</v>
      </c>
      <c r="E856" s="550" t="s">
        <v>334</v>
      </c>
      <c r="F856" s="550" t="s">
        <v>11</v>
      </c>
      <c r="G856" s="552">
        <v>900</v>
      </c>
      <c r="H856" s="552"/>
      <c r="I856" s="548">
        <v>20000</v>
      </c>
      <c r="J856" s="548">
        <v>2556</v>
      </c>
      <c r="K856" s="552">
        <v>2000</v>
      </c>
      <c r="L856" s="574">
        <v>556</v>
      </c>
      <c r="M856" s="548">
        <v>17444</v>
      </c>
    </row>
    <row r="857" spans="1:13" ht="15.95" customHeight="1">
      <c r="A857" s="547"/>
      <c r="B857" s="550" t="s">
        <v>4274</v>
      </c>
      <c r="C857" s="550" t="s">
        <v>1934</v>
      </c>
      <c r="D857" s="550" t="s">
        <v>792</v>
      </c>
      <c r="E857" s="550" t="s">
        <v>4275</v>
      </c>
      <c r="F857" s="550" t="s">
        <v>15</v>
      </c>
      <c r="G857" s="552">
        <v>9345</v>
      </c>
      <c r="H857" s="552">
        <v>50</v>
      </c>
      <c r="I857" s="548">
        <v>0</v>
      </c>
      <c r="J857" s="548">
        <v>50</v>
      </c>
      <c r="K857" s="552">
        <v>20</v>
      </c>
      <c r="L857" s="574">
        <v>30</v>
      </c>
      <c r="M857" s="548">
        <v>0</v>
      </c>
    </row>
    <row r="858" spans="1:13" ht="15.95" customHeight="1">
      <c r="A858" s="547"/>
      <c r="B858" s="550" t="s">
        <v>4274</v>
      </c>
      <c r="C858" s="550" t="s">
        <v>1934</v>
      </c>
      <c r="D858" s="550" t="s">
        <v>792</v>
      </c>
      <c r="E858" s="550" t="s">
        <v>4275</v>
      </c>
      <c r="F858" s="550" t="s">
        <v>15</v>
      </c>
      <c r="G858" s="552">
        <v>9345</v>
      </c>
      <c r="H858" s="552">
        <v>129</v>
      </c>
      <c r="I858" s="548">
        <v>0</v>
      </c>
      <c r="J858" s="548">
        <v>129</v>
      </c>
      <c r="K858" s="552">
        <v>32</v>
      </c>
      <c r="L858" s="574">
        <v>97</v>
      </c>
      <c r="M858" s="548">
        <v>0</v>
      </c>
    </row>
    <row r="859" spans="1:13" ht="15.95" customHeight="1">
      <c r="A859" s="547"/>
      <c r="B859" s="550" t="s">
        <v>4277</v>
      </c>
      <c r="C859" s="550" t="s">
        <v>2544</v>
      </c>
      <c r="D859" s="550" t="s">
        <v>870</v>
      </c>
      <c r="E859" s="550" t="s">
        <v>2545</v>
      </c>
      <c r="F859" s="550" t="s">
        <v>14</v>
      </c>
      <c r="G859" s="552">
        <v>42300</v>
      </c>
      <c r="H859" s="552">
        <v>5</v>
      </c>
      <c r="I859" s="548">
        <v>0</v>
      </c>
      <c r="J859" s="548">
        <v>0</v>
      </c>
      <c r="K859" s="552">
        <v>0</v>
      </c>
      <c r="L859" s="574">
        <v>0</v>
      </c>
      <c r="M859" s="548">
        <v>5</v>
      </c>
    </row>
    <row r="860" spans="1:13" ht="15.95" customHeight="1">
      <c r="A860" s="547"/>
      <c r="B860" s="550" t="s">
        <v>4915</v>
      </c>
      <c r="C860" s="550" t="s">
        <v>4916</v>
      </c>
      <c r="D860" s="550" t="s">
        <v>309</v>
      </c>
      <c r="E860" s="550" t="s">
        <v>310</v>
      </c>
      <c r="F860" s="550" t="s">
        <v>10</v>
      </c>
      <c r="G860" s="552">
        <v>420</v>
      </c>
      <c r="H860" s="552">
        <v>9621</v>
      </c>
      <c r="I860" s="548">
        <v>0</v>
      </c>
      <c r="J860" s="548">
        <v>9621</v>
      </c>
      <c r="K860" s="552">
        <v>0</v>
      </c>
      <c r="L860" s="574">
        <v>9621</v>
      </c>
      <c r="M860" s="548">
        <v>0</v>
      </c>
    </row>
    <row r="861" spans="1:13" ht="15.95" customHeight="1">
      <c r="A861" s="547"/>
      <c r="B861" s="550" t="s">
        <v>4915</v>
      </c>
      <c r="C861" s="550" t="s">
        <v>4916</v>
      </c>
      <c r="D861" s="550" t="s">
        <v>309</v>
      </c>
      <c r="E861" s="550" t="s">
        <v>310</v>
      </c>
      <c r="F861" s="550" t="s">
        <v>10</v>
      </c>
      <c r="G861" s="552">
        <v>420</v>
      </c>
      <c r="H861" s="552">
        <v>60000</v>
      </c>
      <c r="I861" s="548">
        <v>0</v>
      </c>
      <c r="J861" s="548">
        <v>21915</v>
      </c>
      <c r="K861" s="552">
        <v>0</v>
      </c>
      <c r="L861" s="574">
        <v>21915</v>
      </c>
      <c r="M861" s="548">
        <v>38085</v>
      </c>
    </row>
    <row r="862" spans="1:13" ht="15.95" customHeight="1">
      <c r="A862" s="547"/>
      <c r="B862" s="550" t="s">
        <v>4917</v>
      </c>
      <c r="C862" s="550" t="s">
        <v>4918</v>
      </c>
      <c r="D862" s="550" t="s">
        <v>313</v>
      </c>
      <c r="E862" s="550" t="s">
        <v>238</v>
      </c>
      <c r="F862" s="550" t="s">
        <v>10</v>
      </c>
      <c r="G862" s="552">
        <v>980</v>
      </c>
      <c r="H862" s="552">
        <v>5000</v>
      </c>
      <c r="I862" s="548">
        <v>0</v>
      </c>
      <c r="J862" s="548">
        <v>4755</v>
      </c>
      <c r="K862" s="552">
        <v>4000</v>
      </c>
      <c r="L862" s="574">
        <v>755</v>
      </c>
      <c r="M862" s="548">
        <v>245</v>
      </c>
    </row>
    <row r="863" spans="1:13" ht="15.95" customHeight="1">
      <c r="A863" s="547"/>
      <c r="B863" s="550" t="s">
        <v>4281</v>
      </c>
      <c r="C863" s="550" t="s">
        <v>4282</v>
      </c>
      <c r="D863" s="550" t="s">
        <v>645</v>
      </c>
      <c r="E863" s="550" t="s">
        <v>248</v>
      </c>
      <c r="F863" s="550" t="s">
        <v>11</v>
      </c>
      <c r="G863" s="552">
        <v>2090</v>
      </c>
      <c r="H863" s="552"/>
      <c r="I863" s="548">
        <v>45990</v>
      </c>
      <c r="J863" s="548">
        <v>43645</v>
      </c>
      <c r="K863" s="552">
        <v>1590</v>
      </c>
      <c r="L863" s="574">
        <v>42055</v>
      </c>
      <c r="M863" s="548">
        <v>2345</v>
      </c>
    </row>
    <row r="864" spans="1:13" ht="15.95" customHeight="1">
      <c r="A864" s="547"/>
      <c r="B864" s="550" t="s">
        <v>4281</v>
      </c>
      <c r="C864" s="550" t="s">
        <v>4282</v>
      </c>
      <c r="D864" s="550" t="s">
        <v>645</v>
      </c>
      <c r="E864" s="550" t="s">
        <v>248</v>
      </c>
      <c r="F864" s="550" t="s">
        <v>11</v>
      </c>
      <c r="G864" s="552">
        <v>2090</v>
      </c>
      <c r="H864" s="552"/>
      <c r="I864" s="548">
        <v>24990</v>
      </c>
      <c r="J864" s="548">
        <v>0</v>
      </c>
      <c r="K864" s="552">
        <v>0</v>
      </c>
      <c r="L864" s="574">
        <v>0</v>
      </c>
      <c r="M864" s="548">
        <v>24990</v>
      </c>
    </row>
    <row r="865" spans="1:13" ht="15.95" customHeight="1">
      <c r="A865" s="547"/>
      <c r="B865" s="550" t="s">
        <v>4281</v>
      </c>
      <c r="C865" s="550" t="s">
        <v>4282</v>
      </c>
      <c r="D865" s="550" t="s">
        <v>645</v>
      </c>
      <c r="E865" s="550" t="s">
        <v>248</v>
      </c>
      <c r="F865" s="550" t="s">
        <v>11</v>
      </c>
      <c r="G865" s="552">
        <v>2090</v>
      </c>
      <c r="H865" s="552">
        <v>6800</v>
      </c>
      <c r="I865" s="548">
        <v>0</v>
      </c>
      <c r="J865" s="548">
        <v>6800</v>
      </c>
      <c r="K865" s="552">
        <v>0</v>
      </c>
      <c r="L865" s="574">
        <v>6800</v>
      </c>
      <c r="M865" s="548">
        <v>0</v>
      </c>
    </row>
    <row r="866" spans="1:13" ht="15.95" customHeight="1">
      <c r="A866" s="547"/>
      <c r="B866" s="550" t="s">
        <v>4557</v>
      </c>
      <c r="C866" s="550" t="s">
        <v>4558</v>
      </c>
      <c r="D866" s="550" t="s">
        <v>337</v>
      </c>
      <c r="E866" s="550" t="s">
        <v>272</v>
      </c>
      <c r="F866" s="550" t="s">
        <v>11</v>
      </c>
      <c r="G866" s="552">
        <v>1638</v>
      </c>
      <c r="H866" s="552">
        <v>1636</v>
      </c>
      <c r="I866" s="548">
        <v>0</v>
      </c>
      <c r="J866" s="548">
        <v>1636</v>
      </c>
      <c r="K866" s="552">
        <v>0</v>
      </c>
      <c r="L866" s="574">
        <v>1636</v>
      </c>
      <c r="M866" s="548">
        <v>0</v>
      </c>
    </row>
    <row r="867" spans="1:13" ht="15.95" customHeight="1">
      <c r="A867" s="547"/>
      <c r="B867" s="550" t="s">
        <v>8850</v>
      </c>
      <c r="C867" s="550" t="s">
        <v>8853</v>
      </c>
      <c r="D867" s="550" t="s">
        <v>100</v>
      </c>
      <c r="E867" s="550" t="s">
        <v>12407</v>
      </c>
      <c r="F867" s="550" t="s">
        <v>11</v>
      </c>
      <c r="G867" s="552">
        <v>1640</v>
      </c>
      <c r="H867" s="552"/>
      <c r="I867" s="548">
        <v>5000</v>
      </c>
      <c r="J867" s="548">
        <v>952</v>
      </c>
      <c r="K867" s="552">
        <v>0</v>
      </c>
      <c r="L867" s="574">
        <v>952</v>
      </c>
      <c r="M867" s="548">
        <v>4048</v>
      </c>
    </row>
    <row r="868" spans="1:13" ht="15.95" customHeight="1">
      <c r="A868" s="547"/>
      <c r="B868" s="550" t="s">
        <v>6808</v>
      </c>
      <c r="C868" s="550" t="s">
        <v>6809</v>
      </c>
      <c r="D868" s="550" t="s">
        <v>3974</v>
      </c>
      <c r="E868" s="550" t="s">
        <v>267</v>
      </c>
      <c r="F868" s="550" t="s">
        <v>11</v>
      </c>
      <c r="G868" s="552">
        <v>630</v>
      </c>
      <c r="H868" s="552"/>
      <c r="I868" s="548">
        <v>9990</v>
      </c>
      <c r="J868" s="548">
        <v>0</v>
      </c>
      <c r="K868" s="552">
        <v>0</v>
      </c>
      <c r="L868" s="574">
        <v>0</v>
      </c>
      <c r="M868" s="548">
        <v>9990</v>
      </c>
    </row>
    <row r="869" spans="1:13" ht="15.95" customHeight="1">
      <c r="A869" s="547"/>
      <c r="B869" s="550" t="s">
        <v>4283</v>
      </c>
      <c r="C869" s="550" t="s">
        <v>4284</v>
      </c>
      <c r="D869" s="550" t="s">
        <v>4285</v>
      </c>
      <c r="E869" s="550" t="s">
        <v>327</v>
      </c>
      <c r="F869" s="550" t="s">
        <v>11</v>
      </c>
      <c r="G869" s="552">
        <v>5481</v>
      </c>
      <c r="H869" s="552">
        <v>2</v>
      </c>
      <c r="I869" s="548">
        <v>0</v>
      </c>
      <c r="J869" s="548">
        <v>2</v>
      </c>
      <c r="K869" s="552">
        <v>0</v>
      </c>
      <c r="L869" s="574">
        <v>2</v>
      </c>
      <c r="M869" s="548">
        <v>0</v>
      </c>
    </row>
    <row r="870" spans="1:13" ht="15.95" customHeight="1">
      <c r="A870" s="547"/>
      <c r="B870" s="550" t="s">
        <v>4283</v>
      </c>
      <c r="C870" s="550" t="s">
        <v>4284</v>
      </c>
      <c r="D870" s="550" t="s">
        <v>4285</v>
      </c>
      <c r="E870" s="550" t="s">
        <v>327</v>
      </c>
      <c r="F870" s="550" t="s">
        <v>11</v>
      </c>
      <c r="G870" s="552">
        <v>5481</v>
      </c>
      <c r="H870" s="552"/>
      <c r="I870" s="548">
        <v>1120</v>
      </c>
      <c r="J870" s="548">
        <v>1120</v>
      </c>
      <c r="K870" s="552">
        <v>0</v>
      </c>
      <c r="L870" s="574">
        <v>1120</v>
      </c>
      <c r="M870" s="548">
        <v>0</v>
      </c>
    </row>
    <row r="871" spans="1:13" ht="15.95" customHeight="1">
      <c r="A871" s="547"/>
      <c r="B871" s="550" t="s">
        <v>4283</v>
      </c>
      <c r="C871" s="550" t="s">
        <v>4284</v>
      </c>
      <c r="D871" s="550" t="s">
        <v>4285</v>
      </c>
      <c r="E871" s="550" t="s">
        <v>327</v>
      </c>
      <c r="F871" s="550" t="s">
        <v>11</v>
      </c>
      <c r="G871" s="552">
        <v>5481</v>
      </c>
      <c r="H871" s="552"/>
      <c r="I871" s="548">
        <v>2968</v>
      </c>
      <c r="J871" s="548">
        <v>2968</v>
      </c>
      <c r="K871" s="552">
        <v>0</v>
      </c>
      <c r="L871" s="574">
        <v>2968</v>
      </c>
      <c r="M871" s="548">
        <v>0</v>
      </c>
    </row>
    <row r="872" spans="1:13" ht="15.95" customHeight="1">
      <c r="A872" s="547"/>
      <c r="B872" s="550" t="s">
        <v>4283</v>
      </c>
      <c r="C872" s="550" t="s">
        <v>4284</v>
      </c>
      <c r="D872" s="550" t="s">
        <v>4285</v>
      </c>
      <c r="E872" s="550" t="s">
        <v>327</v>
      </c>
      <c r="F872" s="550" t="s">
        <v>11</v>
      </c>
      <c r="G872" s="552">
        <v>5481</v>
      </c>
      <c r="H872" s="552"/>
      <c r="I872" s="548">
        <v>1120</v>
      </c>
      <c r="J872" s="548">
        <v>1120</v>
      </c>
      <c r="K872" s="552">
        <v>0</v>
      </c>
      <c r="L872" s="574">
        <v>1120</v>
      </c>
      <c r="M872" s="548">
        <v>0</v>
      </c>
    </row>
    <row r="873" spans="1:13" ht="15.95" customHeight="1">
      <c r="A873" s="547"/>
      <c r="B873" s="550" t="s">
        <v>4283</v>
      </c>
      <c r="C873" s="550" t="s">
        <v>4284</v>
      </c>
      <c r="D873" s="550" t="s">
        <v>4285</v>
      </c>
      <c r="E873" s="550" t="s">
        <v>327</v>
      </c>
      <c r="F873" s="550" t="s">
        <v>11</v>
      </c>
      <c r="G873" s="552">
        <v>5481</v>
      </c>
      <c r="H873" s="552"/>
      <c r="I873" s="548">
        <v>4928</v>
      </c>
      <c r="J873" s="548">
        <v>1936</v>
      </c>
      <c r="K873" s="552">
        <v>0</v>
      </c>
      <c r="L873" s="574">
        <v>1936</v>
      </c>
      <c r="M873" s="548">
        <v>2992</v>
      </c>
    </row>
    <row r="874" spans="1:13" ht="15.95" customHeight="1">
      <c r="A874" s="547"/>
      <c r="B874" s="550" t="s">
        <v>4450</v>
      </c>
      <c r="C874" s="550" t="s">
        <v>2015</v>
      </c>
      <c r="D874" s="550" t="s">
        <v>4451</v>
      </c>
      <c r="E874" s="550" t="s">
        <v>4452</v>
      </c>
      <c r="F874" s="550" t="s">
        <v>18</v>
      </c>
      <c r="G874" s="552">
        <v>138000</v>
      </c>
      <c r="H874" s="552">
        <v>5</v>
      </c>
      <c r="I874" s="548">
        <v>0</v>
      </c>
      <c r="J874" s="548">
        <v>5</v>
      </c>
      <c r="K874" s="552">
        <v>0</v>
      </c>
      <c r="L874" s="574">
        <v>5</v>
      </c>
      <c r="M874" s="548">
        <v>0</v>
      </c>
    </row>
    <row r="875" spans="1:13" ht="15.95" customHeight="1">
      <c r="A875" s="547"/>
      <c r="B875" s="550" t="s">
        <v>4922</v>
      </c>
      <c r="C875" s="550" t="s">
        <v>405</v>
      </c>
      <c r="D875" s="550" t="s">
        <v>236</v>
      </c>
      <c r="E875" s="550" t="s">
        <v>327</v>
      </c>
      <c r="F875" s="550" t="s">
        <v>10</v>
      </c>
      <c r="G875" s="552">
        <v>428</v>
      </c>
      <c r="H875" s="552">
        <v>257</v>
      </c>
      <c r="I875" s="548">
        <v>1</v>
      </c>
      <c r="J875" s="548">
        <v>258</v>
      </c>
      <c r="K875" s="552">
        <v>37</v>
      </c>
      <c r="L875" s="574">
        <v>221</v>
      </c>
      <c r="M875" s="548">
        <v>0</v>
      </c>
    </row>
    <row r="876" spans="1:13" ht="15.95" customHeight="1">
      <c r="A876" s="547"/>
      <c r="B876" s="550" t="s">
        <v>4725</v>
      </c>
      <c r="C876" s="550" t="s">
        <v>163</v>
      </c>
      <c r="D876" s="550" t="s">
        <v>164</v>
      </c>
      <c r="E876" s="550" t="s">
        <v>165</v>
      </c>
      <c r="F876" s="550" t="s">
        <v>11</v>
      </c>
      <c r="G876" s="552">
        <v>950</v>
      </c>
      <c r="H876" s="552"/>
      <c r="I876" s="548">
        <v>8000</v>
      </c>
      <c r="J876" s="548">
        <v>8000</v>
      </c>
      <c r="K876" s="552">
        <v>0</v>
      </c>
      <c r="L876" s="574">
        <v>8000</v>
      </c>
      <c r="M876" s="548">
        <v>0</v>
      </c>
    </row>
    <row r="877" spans="1:13" ht="15.95" customHeight="1">
      <c r="A877" s="547"/>
      <c r="B877" s="550" t="s">
        <v>4725</v>
      </c>
      <c r="C877" s="550" t="s">
        <v>163</v>
      </c>
      <c r="D877" s="550" t="s">
        <v>164</v>
      </c>
      <c r="E877" s="550" t="s">
        <v>165</v>
      </c>
      <c r="F877" s="550" t="s">
        <v>11</v>
      </c>
      <c r="G877" s="552">
        <v>950</v>
      </c>
      <c r="H877" s="552"/>
      <c r="I877" s="548">
        <v>10000</v>
      </c>
      <c r="J877" s="548">
        <v>9996</v>
      </c>
      <c r="K877" s="552">
        <v>0</v>
      </c>
      <c r="L877" s="574">
        <v>9996</v>
      </c>
      <c r="M877" s="548">
        <v>4</v>
      </c>
    </row>
    <row r="878" spans="1:13" ht="15.95" customHeight="1">
      <c r="A878" s="547"/>
      <c r="B878" s="550" t="s">
        <v>4725</v>
      </c>
      <c r="C878" s="550" t="s">
        <v>163</v>
      </c>
      <c r="D878" s="550" t="s">
        <v>164</v>
      </c>
      <c r="E878" s="550" t="s">
        <v>165</v>
      </c>
      <c r="F878" s="550" t="s">
        <v>11</v>
      </c>
      <c r="G878" s="552">
        <v>950</v>
      </c>
      <c r="H878" s="552"/>
      <c r="I878" s="548">
        <v>12400</v>
      </c>
      <c r="J878" s="548">
        <v>0</v>
      </c>
      <c r="K878" s="552">
        <v>0</v>
      </c>
      <c r="L878" s="574">
        <v>0</v>
      </c>
      <c r="M878" s="548">
        <v>12400</v>
      </c>
    </row>
    <row r="879" spans="1:13" ht="15.95" customHeight="1">
      <c r="A879" s="547"/>
      <c r="B879" s="550" t="s">
        <v>4725</v>
      </c>
      <c r="C879" s="550" t="s">
        <v>163</v>
      </c>
      <c r="D879" s="550" t="s">
        <v>164</v>
      </c>
      <c r="E879" s="550" t="s">
        <v>165</v>
      </c>
      <c r="F879" s="550" t="s">
        <v>11</v>
      </c>
      <c r="G879" s="552">
        <v>950</v>
      </c>
      <c r="H879" s="552">
        <v>6268</v>
      </c>
      <c r="I879" s="548">
        <v>0</v>
      </c>
      <c r="J879" s="548">
        <v>6268</v>
      </c>
      <c r="K879" s="552">
        <v>0</v>
      </c>
      <c r="L879" s="574">
        <v>6268</v>
      </c>
      <c r="M879" s="548">
        <v>0</v>
      </c>
    </row>
    <row r="880" spans="1:13" ht="15.95" customHeight="1">
      <c r="A880" s="547"/>
      <c r="B880" s="550" t="s">
        <v>8215</v>
      </c>
      <c r="C880" s="550" t="s">
        <v>8217</v>
      </c>
      <c r="D880" s="550" t="s">
        <v>8207</v>
      </c>
      <c r="E880" s="550" t="s">
        <v>8216</v>
      </c>
      <c r="F880" s="550" t="s">
        <v>15</v>
      </c>
      <c r="G880" s="552">
        <v>14000</v>
      </c>
      <c r="H880" s="552"/>
      <c r="I880" s="548">
        <v>700</v>
      </c>
      <c r="J880" s="548">
        <v>30</v>
      </c>
      <c r="K880" s="552">
        <v>0</v>
      </c>
      <c r="L880" s="574">
        <v>30</v>
      </c>
      <c r="M880" s="548">
        <v>670</v>
      </c>
    </row>
    <row r="881" spans="1:13" ht="15.95" customHeight="1">
      <c r="A881" s="547"/>
      <c r="B881" s="550" t="s">
        <v>4454</v>
      </c>
      <c r="C881" s="550" t="s">
        <v>2569</v>
      </c>
      <c r="D881" s="550" t="s">
        <v>758</v>
      </c>
      <c r="E881" s="550" t="s">
        <v>759</v>
      </c>
      <c r="F881" s="550" t="s">
        <v>15</v>
      </c>
      <c r="G881" s="552">
        <v>8925</v>
      </c>
      <c r="H881" s="552">
        <v>54</v>
      </c>
      <c r="I881" s="548">
        <v>0</v>
      </c>
      <c r="J881" s="548">
        <v>52</v>
      </c>
      <c r="K881" s="552">
        <v>52</v>
      </c>
      <c r="L881" s="574">
        <v>0</v>
      </c>
      <c r="M881" s="548">
        <v>2</v>
      </c>
    </row>
    <row r="882" spans="1:13" ht="15.95" customHeight="1">
      <c r="A882" s="547"/>
      <c r="B882" s="550" t="s">
        <v>4454</v>
      </c>
      <c r="C882" s="550" t="s">
        <v>2569</v>
      </c>
      <c r="D882" s="550" t="s">
        <v>758</v>
      </c>
      <c r="E882" s="550" t="s">
        <v>759</v>
      </c>
      <c r="F882" s="550" t="s">
        <v>15</v>
      </c>
      <c r="G882" s="552">
        <v>8925</v>
      </c>
      <c r="H882" s="552"/>
      <c r="I882" s="548">
        <v>500</v>
      </c>
      <c r="J882" s="548">
        <v>0</v>
      </c>
      <c r="K882" s="552">
        <v>0</v>
      </c>
      <c r="L882" s="574">
        <v>0</v>
      </c>
      <c r="M882" s="548">
        <v>500</v>
      </c>
    </row>
    <row r="883" spans="1:13" ht="15.95" customHeight="1">
      <c r="A883" s="547"/>
      <c r="B883" s="550" t="s">
        <v>4456</v>
      </c>
      <c r="C883" s="550" t="s">
        <v>2569</v>
      </c>
      <c r="D883" s="550" t="s">
        <v>758</v>
      </c>
      <c r="E883" s="550" t="s">
        <v>759</v>
      </c>
      <c r="F883" s="550" t="s">
        <v>15</v>
      </c>
      <c r="G883" s="552">
        <v>8925</v>
      </c>
      <c r="H883" s="552">
        <v>500</v>
      </c>
      <c r="I883" s="548">
        <v>7</v>
      </c>
      <c r="J883" s="548">
        <v>506</v>
      </c>
      <c r="K883" s="552">
        <v>426</v>
      </c>
      <c r="L883" s="574">
        <v>80</v>
      </c>
      <c r="M883" s="548">
        <v>1</v>
      </c>
    </row>
    <row r="884" spans="1:13" ht="15.95" customHeight="1">
      <c r="A884" s="547"/>
      <c r="B884" s="550" t="s">
        <v>4456</v>
      </c>
      <c r="C884" s="550" t="s">
        <v>2569</v>
      </c>
      <c r="D884" s="550" t="s">
        <v>758</v>
      </c>
      <c r="E884" s="550" t="s">
        <v>759</v>
      </c>
      <c r="F884" s="550" t="s">
        <v>15</v>
      </c>
      <c r="G884" s="552">
        <v>8925</v>
      </c>
      <c r="H884" s="552"/>
      <c r="I884" s="548">
        <v>501</v>
      </c>
      <c r="J884" s="548">
        <v>86</v>
      </c>
      <c r="K884" s="552">
        <v>86</v>
      </c>
      <c r="L884" s="574">
        <v>0</v>
      </c>
      <c r="M884" s="548">
        <v>415</v>
      </c>
    </row>
    <row r="885" spans="1:13" ht="15.95" customHeight="1">
      <c r="A885" s="547"/>
      <c r="B885" s="550" t="s">
        <v>4289</v>
      </c>
      <c r="C885" s="550" t="s">
        <v>709</v>
      </c>
      <c r="D885" s="550" t="s">
        <v>708</v>
      </c>
      <c r="E885" s="550" t="s">
        <v>272</v>
      </c>
      <c r="F885" s="550" t="s">
        <v>13</v>
      </c>
      <c r="G885" s="552">
        <v>3150</v>
      </c>
      <c r="H885" s="552"/>
      <c r="I885" s="548">
        <v>6000</v>
      </c>
      <c r="J885" s="548">
        <v>0</v>
      </c>
      <c r="K885" s="552">
        <v>0</v>
      </c>
      <c r="L885" s="574">
        <v>0</v>
      </c>
      <c r="M885" s="548">
        <v>6000</v>
      </c>
    </row>
    <row r="886" spans="1:13" ht="15.95" customHeight="1">
      <c r="A886" s="547"/>
      <c r="B886" s="550" t="s">
        <v>4290</v>
      </c>
      <c r="C886" s="550" t="s">
        <v>1994</v>
      </c>
      <c r="D886" s="550" t="s">
        <v>1302</v>
      </c>
      <c r="E886" s="550" t="s">
        <v>238</v>
      </c>
      <c r="F886" s="550" t="s">
        <v>10</v>
      </c>
      <c r="G886" s="552">
        <v>924</v>
      </c>
      <c r="H886" s="552">
        <v>531</v>
      </c>
      <c r="I886" s="548">
        <v>8</v>
      </c>
      <c r="J886" s="548">
        <v>143</v>
      </c>
      <c r="K886" s="552">
        <v>135</v>
      </c>
      <c r="L886" s="574">
        <v>8</v>
      </c>
      <c r="M886" s="548">
        <v>396</v>
      </c>
    </row>
    <row r="887" spans="1:13" ht="15.95" customHeight="1">
      <c r="A887" s="547"/>
      <c r="B887" s="550" t="s">
        <v>5719</v>
      </c>
      <c r="C887" s="550" t="s">
        <v>5720</v>
      </c>
      <c r="D887" s="550" t="s">
        <v>1302</v>
      </c>
      <c r="E887" s="550" t="s">
        <v>327</v>
      </c>
      <c r="F887" s="550" t="s">
        <v>10</v>
      </c>
      <c r="G887" s="552">
        <v>903</v>
      </c>
      <c r="H887" s="552">
        <v>1</v>
      </c>
      <c r="I887" s="548">
        <v>0</v>
      </c>
      <c r="J887" s="548">
        <v>1</v>
      </c>
      <c r="K887" s="552">
        <v>0</v>
      </c>
      <c r="L887" s="574">
        <v>1</v>
      </c>
      <c r="M887" s="548">
        <v>0</v>
      </c>
    </row>
    <row r="888" spans="1:13" ht="15.95" customHeight="1">
      <c r="A888" s="547"/>
      <c r="B888" s="550" t="s">
        <v>5719</v>
      </c>
      <c r="C888" s="550" t="s">
        <v>5720</v>
      </c>
      <c r="D888" s="550" t="s">
        <v>1302</v>
      </c>
      <c r="E888" s="550" t="s">
        <v>327</v>
      </c>
      <c r="F888" s="550" t="s">
        <v>10</v>
      </c>
      <c r="G888" s="552">
        <v>903</v>
      </c>
      <c r="H888" s="552"/>
      <c r="I888" s="548">
        <v>9990</v>
      </c>
      <c r="J888" s="548">
        <v>9990</v>
      </c>
      <c r="K888" s="552">
        <v>0</v>
      </c>
      <c r="L888" s="574">
        <v>9990</v>
      </c>
      <c r="M888" s="548">
        <v>0</v>
      </c>
    </row>
    <row r="889" spans="1:13" ht="15.95" customHeight="1">
      <c r="A889" s="547"/>
      <c r="B889" s="550" t="s">
        <v>6166</v>
      </c>
      <c r="C889" s="550" t="s">
        <v>6167</v>
      </c>
      <c r="D889" s="550" t="s">
        <v>365</v>
      </c>
      <c r="E889" s="550" t="s">
        <v>238</v>
      </c>
      <c r="F889" s="550" t="s">
        <v>11</v>
      </c>
      <c r="G889" s="552">
        <v>1590</v>
      </c>
      <c r="H889" s="552">
        <v>4592</v>
      </c>
      <c r="I889" s="548">
        <v>3990</v>
      </c>
      <c r="J889" s="548">
        <v>8582</v>
      </c>
      <c r="K889" s="552">
        <v>0</v>
      </c>
      <c r="L889" s="574">
        <v>8582</v>
      </c>
      <c r="M889" s="548">
        <v>0</v>
      </c>
    </row>
    <row r="890" spans="1:13" ht="15.95" customHeight="1">
      <c r="A890" s="547"/>
      <c r="B890" s="550" t="s">
        <v>6005</v>
      </c>
      <c r="C890" s="550" t="s">
        <v>6008</v>
      </c>
      <c r="D890" s="550" t="s">
        <v>6006</v>
      </c>
      <c r="E890" s="550" t="s">
        <v>6007</v>
      </c>
      <c r="F890" s="550" t="s">
        <v>11</v>
      </c>
      <c r="G890" s="552">
        <v>13986</v>
      </c>
      <c r="H890" s="552"/>
      <c r="I890" s="548">
        <v>4980</v>
      </c>
      <c r="J890" s="548">
        <v>0</v>
      </c>
      <c r="K890" s="552">
        <v>0</v>
      </c>
      <c r="L890" s="574">
        <v>0</v>
      </c>
      <c r="M890" s="548">
        <v>4980</v>
      </c>
    </row>
    <row r="891" spans="1:13" ht="15.95" customHeight="1">
      <c r="A891" s="547"/>
      <c r="B891" s="550" t="s">
        <v>4292</v>
      </c>
      <c r="C891" s="550" t="s">
        <v>1381</v>
      </c>
      <c r="D891" s="550" t="s">
        <v>1380</v>
      </c>
      <c r="E891" s="550" t="s">
        <v>310</v>
      </c>
      <c r="F891" s="550" t="s">
        <v>11</v>
      </c>
      <c r="G891" s="552">
        <v>312</v>
      </c>
      <c r="H891" s="552">
        <v>400</v>
      </c>
      <c r="I891" s="548">
        <v>0</v>
      </c>
      <c r="J891" s="548">
        <v>400</v>
      </c>
      <c r="K891" s="552">
        <v>0</v>
      </c>
      <c r="L891" s="574">
        <v>400</v>
      </c>
      <c r="M891" s="548">
        <v>0</v>
      </c>
    </row>
    <row r="892" spans="1:13" ht="15.95" customHeight="1">
      <c r="A892" s="547"/>
      <c r="B892" s="550" t="s">
        <v>4292</v>
      </c>
      <c r="C892" s="550" t="s">
        <v>1381</v>
      </c>
      <c r="D892" s="550" t="s">
        <v>1380</v>
      </c>
      <c r="E892" s="550" t="s">
        <v>310</v>
      </c>
      <c r="F892" s="550" t="s">
        <v>11</v>
      </c>
      <c r="G892" s="552">
        <v>312</v>
      </c>
      <c r="H892" s="552">
        <v>2000</v>
      </c>
      <c r="I892" s="548">
        <v>0</v>
      </c>
      <c r="J892" s="548">
        <v>1699</v>
      </c>
      <c r="K892" s="552">
        <v>1600</v>
      </c>
      <c r="L892" s="574">
        <v>99</v>
      </c>
      <c r="M892" s="548">
        <v>301</v>
      </c>
    </row>
    <row r="893" spans="1:13" ht="15.95" customHeight="1">
      <c r="A893" s="547"/>
      <c r="B893" s="550" t="s">
        <v>4292</v>
      </c>
      <c r="C893" s="550" t="s">
        <v>1381</v>
      </c>
      <c r="D893" s="550" t="s">
        <v>1380</v>
      </c>
      <c r="E893" s="550" t="s">
        <v>310</v>
      </c>
      <c r="F893" s="550" t="s">
        <v>11</v>
      </c>
      <c r="G893" s="552">
        <v>312</v>
      </c>
      <c r="H893" s="552"/>
      <c r="I893" s="548">
        <v>1000</v>
      </c>
      <c r="J893" s="548">
        <v>0</v>
      </c>
      <c r="K893" s="552">
        <v>0</v>
      </c>
      <c r="L893" s="574">
        <v>0</v>
      </c>
      <c r="M893" s="548">
        <v>1000</v>
      </c>
    </row>
    <row r="894" spans="1:13" ht="15.95" customHeight="1">
      <c r="A894" s="547"/>
      <c r="B894" s="550" t="s">
        <v>4292</v>
      </c>
      <c r="C894" s="550" t="s">
        <v>1381</v>
      </c>
      <c r="D894" s="550" t="s">
        <v>1380</v>
      </c>
      <c r="E894" s="550" t="s">
        <v>310</v>
      </c>
      <c r="F894" s="550" t="s">
        <v>11</v>
      </c>
      <c r="G894" s="552">
        <v>312</v>
      </c>
      <c r="H894" s="552"/>
      <c r="I894" s="548">
        <v>500</v>
      </c>
      <c r="J894" s="548">
        <v>0</v>
      </c>
      <c r="K894" s="552">
        <v>0</v>
      </c>
      <c r="L894" s="574">
        <v>0</v>
      </c>
      <c r="M894" s="548">
        <v>500</v>
      </c>
    </row>
    <row r="895" spans="1:13" ht="15.95" customHeight="1">
      <c r="A895" s="547"/>
      <c r="B895" s="550" t="s">
        <v>4292</v>
      </c>
      <c r="C895" s="550" t="s">
        <v>1381</v>
      </c>
      <c r="D895" s="550" t="s">
        <v>1380</v>
      </c>
      <c r="E895" s="550" t="s">
        <v>310</v>
      </c>
      <c r="F895" s="550" t="s">
        <v>11</v>
      </c>
      <c r="G895" s="552">
        <v>312</v>
      </c>
      <c r="H895" s="552">
        <v>1874</v>
      </c>
      <c r="I895" s="548">
        <v>0</v>
      </c>
      <c r="J895" s="548">
        <v>1874</v>
      </c>
      <c r="K895" s="552">
        <v>0</v>
      </c>
      <c r="L895" s="574">
        <v>1874</v>
      </c>
      <c r="M895" s="548">
        <v>0</v>
      </c>
    </row>
    <row r="896" spans="1:13" ht="15.95" customHeight="1">
      <c r="A896" s="547"/>
      <c r="B896" s="550" t="s">
        <v>4295</v>
      </c>
      <c r="C896" s="550" t="s">
        <v>1383</v>
      </c>
      <c r="D896" s="550" t="s">
        <v>1380</v>
      </c>
      <c r="E896" s="550" t="s">
        <v>869</v>
      </c>
      <c r="F896" s="550" t="s">
        <v>11</v>
      </c>
      <c r="G896" s="552">
        <v>599</v>
      </c>
      <c r="H896" s="552">
        <v>9381</v>
      </c>
      <c r="I896" s="548">
        <v>9</v>
      </c>
      <c r="J896" s="548">
        <v>8916</v>
      </c>
      <c r="K896" s="552">
        <v>507</v>
      </c>
      <c r="L896" s="574">
        <v>8409</v>
      </c>
      <c r="M896" s="548">
        <v>474</v>
      </c>
    </row>
    <row r="897" spans="1:13" ht="15.95" customHeight="1">
      <c r="A897" s="547"/>
      <c r="B897" s="550" t="s">
        <v>4295</v>
      </c>
      <c r="C897" s="550" t="s">
        <v>1383</v>
      </c>
      <c r="D897" s="550" t="s">
        <v>1380</v>
      </c>
      <c r="E897" s="550" t="s">
        <v>869</v>
      </c>
      <c r="F897" s="550" t="s">
        <v>11</v>
      </c>
      <c r="G897" s="552">
        <v>599</v>
      </c>
      <c r="H897" s="552"/>
      <c r="I897" s="548">
        <v>6000</v>
      </c>
      <c r="J897" s="548">
        <v>2310</v>
      </c>
      <c r="K897" s="552">
        <v>2310</v>
      </c>
      <c r="L897" s="574">
        <v>0</v>
      </c>
      <c r="M897" s="548">
        <v>3690</v>
      </c>
    </row>
    <row r="898" spans="1:13" ht="15.95" customHeight="1">
      <c r="A898" s="547"/>
      <c r="B898" s="550" t="s">
        <v>4295</v>
      </c>
      <c r="C898" s="550" t="s">
        <v>1383</v>
      </c>
      <c r="D898" s="550" t="s">
        <v>1380</v>
      </c>
      <c r="E898" s="550" t="s">
        <v>869</v>
      </c>
      <c r="F898" s="550" t="s">
        <v>11</v>
      </c>
      <c r="G898" s="552">
        <v>599</v>
      </c>
      <c r="H898" s="552">
        <v>39</v>
      </c>
      <c r="I898" s="548">
        <v>1</v>
      </c>
      <c r="J898" s="548">
        <v>40</v>
      </c>
      <c r="K898" s="552">
        <v>40</v>
      </c>
      <c r="L898" s="574">
        <v>0</v>
      </c>
      <c r="M898" s="548">
        <v>0</v>
      </c>
    </row>
    <row r="899" spans="1:13" ht="15.95" customHeight="1">
      <c r="A899" s="547"/>
      <c r="B899" s="550" t="s">
        <v>7375</v>
      </c>
      <c r="C899" s="550" t="s">
        <v>1228</v>
      </c>
      <c r="D899" s="550" t="s">
        <v>1029</v>
      </c>
      <c r="E899" s="550" t="s">
        <v>1229</v>
      </c>
      <c r="F899" s="550" t="s">
        <v>13</v>
      </c>
      <c r="G899" s="552">
        <v>1155</v>
      </c>
      <c r="H899" s="552"/>
      <c r="I899" s="548">
        <v>720</v>
      </c>
      <c r="J899" s="548">
        <v>432</v>
      </c>
      <c r="K899" s="552">
        <v>432</v>
      </c>
      <c r="L899" s="574">
        <v>0</v>
      </c>
      <c r="M899" s="548">
        <v>288</v>
      </c>
    </row>
    <row r="900" spans="1:13" ht="15.95" customHeight="1">
      <c r="A900" s="547"/>
      <c r="B900" s="550" t="s">
        <v>7375</v>
      </c>
      <c r="C900" s="550" t="s">
        <v>1228</v>
      </c>
      <c r="D900" s="550" t="s">
        <v>1029</v>
      </c>
      <c r="E900" s="550" t="s">
        <v>1229</v>
      </c>
      <c r="F900" s="550" t="s">
        <v>13</v>
      </c>
      <c r="G900" s="552">
        <v>1155</v>
      </c>
      <c r="H900" s="552">
        <v>1224</v>
      </c>
      <c r="I900" s="548">
        <v>7</v>
      </c>
      <c r="J900" s="548">
        <v>1148</v>
      </c>
      <c r="K900" s="552">
        <v>1146</v>
      </c>
      <c r="L900" s="574">
        <v>2</v>
      </c>
      <c r="M900" s="548">
        <v>83</v>
      </c>
    </row>
    <row r="901" spans="1:13" ht="15.95" customHeight="1">
      <c r="A901" s="547"/>
      <c r="B901" s="550" t="s">
        <v>4298</v>
      </c>
      <c r="C901" s="550" t="s">
        <v>1168</v>
      </c>
      <c r="D901" s="550" t="s">
        <v>1167</v>
      </c>
      <c r="E901" s="550" t="s">
        <v>258</v>
      </c>
      <c r="F901" s="550" t="s">
        <v>11</v>
      </c>
      <c r="G901" s="552">
        <v>3990</v>
      </c>
      <c r="H901" s="552"/>
      <c r="I901" s="548">
        <v>6960</v>
      </c>
      <c r="J901" s="548">
        <v>6053</v>
      </c>
      <c r="K901" s="552">
        <v>0</v>
      </c>
      <c r="L901" s="574">
        <v>6053</v>
      </c>
      <c r="M901" s="548">
        <v>907</v>
      </c>
    </row>
    <row r="902" spans="1:13" ht="15.95" customHeight="1">
      <c r="A902" s="547"/>
      <c r="B902" s="550" t="s">
        <v>6205</v>
      </c>
      <c r="C902" s="550" t="s">
        <v>1532</v>
      </c>
      <c r="D902" s="550" t="s">
        <v>359</v>
      </c>
      <c r="E902" s="550" t="s">
        <v>258</v>
      </c>
      <c r="F902" s="550" t="s">
        <v>11</v>
      </c>
      <c r="G902" s="552">
        <v>1750</v>
      </c>
      <c r="H902" s="552"/>
      <c r="I902" s="548">
        <v>1000</v>
      </c>
      <c r="J902" s="548">
        <v>0</v>
      </c>
      <c r="K902" s="552">
        <v>0</v>
      </c>
      <c r="L902" s="574">
        <v>0</v>
      </c>
      <c r="M902" s="548">
        <v>1000</v>
      </c>
    </row>
    <row r="903" spans="1:13" ht="15.95" customHeight="1">
      <c r="A903" s="547"/>
      <c r="B903" s="550" t="s">
        <v>4924</v>
      </c>
      <c r="C903" s="550" t="s">
        <v>456</v>
      </c>
      <c r="D903" s="550" t="s">
        <v>359</v>
      </c>
      <c r="E903" s="550" t="s">
        <v>262</v>
      </c>
      <c r="F903" s="550" t="s">
        <v>10</v>
      </c>
      <c r="G903" s="552">
        <v>1780</v>
      </c>
      <c r="H903" s="552">
        <v>63</v>
      </c>
      <c r="I903" s="548">
        <v>0</v>
      </c>
      <c r="J903" s="548">
        <v>0</v>
      </c>
      <c r="K903" s="552">
        <v>0</v>
      </c>
      <c r="L903" s="574">
        <v>0</v>
      </c>
      <c r="M903" s="548">
        <v>63</v>
      </c>
    </row>
    <row r="904" spans="1:13" ht="15.95" customHeight="1">
      <c r="A904" s="547"/>
      <c r="B904" s="550" t="s">
        <v>4924</v>
      </c>
      <c r="C904" s="550" t="s">
        <v>456</v>
      </c>
      <c r="D904" s="550" t="s">
        <v>359</v>
      </c>
      <c r="E904" s="550" t="s">
        <v>262</v>
      </c>
      <c r="F904" s="550" t="s">
        <v>10</v>
      </c>
      <c r="G904" s="552">
        <v>1780</v>
      </c>
      <c r="H904" s="552">
        <v>606</v>
      </c>
      <c r="I904" s="548">
        <v>0</v>
      </c>
      <c r="J904" s="548">
        <v>606</v>
      </c>
      <c r="K904" s="552">
        <v>0</v>
      </c>
      <c r="L904" s="574">
        <v>606</v>
      </c>
      <c r="M904" s="548">
        <v>0</v>
      </c>
    </row>
    <row r="905" spans="1:13" ht="15.95" customHeight="1">
      <c r="A905" s="547"/>
      <c r="B905" s="550" t="s">
        <v>4924</v>
      </c>
      <c r="C905" s="550" t="s">
        <v>456</v>
      </c>
      <c r="D905" s="550" t="s">
        <v>359</v>
      </c>
      <c r="E905" s="550" t="s">
        <v>262</v>
      </c>
      <c r="F905" s="550" t="s">
        <v>10</v>
      </c>
      <c r="G905" s="552">
        <v>1780</v>
      </c>
      <c r="H905" s="552">
        <v>900</v>
      </c>
      <c r="I905" s="548">
        <v>0</v>
      </c>
      <c r="J905" s="548">
        <v>436</v>
      </c>
      <c r="K905" s="552">
        <v>0</v>
      </c>
      <c r="L905" s="574">
        <v>436</v>
      </c>
      <c r="M905" s="548">
        <v>464</v>
      </c>
    </row>
    <row r="906" spans="1:13" ht="15.95" customHeight="1">
      <c r="A906" s="547"/>
      <c r="B906" s="550" t="s">
        <v>7440</v>
      </c>
      <c r="C906" s="550" t="s">
        <v>7441</v>
      </c>
      <c r="D906" s="550" t="s">
        <v>1756</v>
      </c>
      <c r="E906" s="550" t="s">
        <v>232</v>
      </c>
      <c r="F906" s="550" t="s">
        <v>11</v>
      </c>
      <c r="G906" s="552">
        <v>1890</v>
      </c>
      <c r="H906" s="552"/>
      <c r="I906" s="548">
        <v>200</v>
      </c>
      <c r="J906" s="548">
        <v>66</v>
      </c>
      <c r="K906" s="552">
        <v>60</v>
      </c>
      <c r="L906" s="574">
        <v>6</v>
      </c>
      <c r="M906" s="548">
        <v>134</v>
      </c>
    </row>
    <row r="907" spans="1:13" ht="15.95" customHeight="1">
      <c r="A907" s="547"/>
      <c r="B907" s="550" t="s">
        <v>4727</v>
      </c>
      <c r="C907" s="550" t="s">
        <v>4728</v>
      </c>
      <c r="D907" s="550" t="s">
        <v>4729</v>
      </c>
      <c r="E907" s="550" t="s">
        <v>4730</v>
      </c>
      <c r="F907" s="550" t="s">
        <v>11</v>
      </c>
      <c r="G907" s="552">
        <v>2067</v>
      </c>
      <c r="H907" s="552"/>
      <c r="I907" s="548">
        <v>480</v>
      </c>
      <c r="J907" s="548">
        <v>480</v>
      </c>
      <c r="K907" s="552">
        <v>480</v>
      </c>
      <c r="L907" s="574">
        <v>0</v>
      </c>
      <c r="M907" s="548">
        <v>0</v>
      </c>
    </row>
    <row r="908" spans="1:13" ht="15.95" customHeight="1">
      <c r="A908" s="547"/>
      <c r="B908" s="550" t="s">
        <v>4727</v>
      </c>
      <c r="C908" s="550" t="s">
        <v>4728</v>
      </c>
      <c r="D908" s="550" t="s">
        <v>4729</v>
      </c>
      <c r="E908" s="550" t="s">
        <v>4730</v>
      </c>
      <c r="F908" s="550" t="s">
        <v>11</v>
      </c>
      <c r="G908" s="552">
        <v>2067</v>
      </c>
      <c r="H908" s="552">
        <v>2850</v>
      </c>
      <c r="I908" s="548">
        <v>0</v>
      </c>
      <c r="J908" s="548">
        <v>2850</v>
      </c>
      <c r="K908" s="552">
        <v>0</v>
      </c>
      <c r="L908" s="574">
        <v>2850</v>
      </c>
      <c r="M908" s="548">
        <v>0</v>
      </c>
    </row>
    <row r="909" spans="1:13" ht="15.95" customHeight="1">
      <c r="A909" s="547"/>
      <c r="B909" s="550" t="s">
        <v>4727</v>
      </c>
      <c r="C909" s="550" t="s">
        <v>4728</v>
      </c>
      <c r="D909" s="550" t="s">
        <v>4729</v>
      </c>
      <c r="E909" s="550" t="s">
        <v>4730</v>
      </c>
      <c r="F909" s="550" t="s">
        <v>11</v>
      </c>
      <c r="G909" s="552">
        <v>2067</v>
      </c>
      <c r="H909" s="552"/>
      <c r="I909" s="548">
        <v>4980</v>
      </c>
      <c r="J909" s="548">
        <v>0</v>
      </c>
      <c r="K909" s="552">
        <v>0</v>
      </c>
      <c r="L909" s="574">
        <v>0</v>
      </c>
      <c r="M909" s="548">
        <v>4980</v>
      </c>
    </row>
    <row r="910" spans="1:13" ht="15.95" customHeight="1">
      <c r="A910" s="547"/>
      <c r="B910" s="550" t="s">
        <v>5043</v>
      </c>
      <c r="C910" s="550" t="s">
        <v>1128</v>
      </c>
      <c r="D910" s="550" t="s">
        <v>1127</v>
      </c>
      <c r="E910" s="550" t="s">
        <v>6529</v>
      </c>
      <c r="F910" s="550" t="s">
        <v>11</v>
      </c>
      <c r="G910" s="552">
        <v>1490</v>
      </c>
      <c r="H910" s="552"/>
      <c r="I910" s="548">
        <v>10000</v>
      </c>
      <c r="J910" s="548">
        <v>10000</v>
      </c>
      <c r="K910" s="552">
        <v>0</v>
      </c>
      <c r="L910" s="574">
        <v>10000</v>
      </c>
      <c r="M910" s="548">
        <v>0</v>
      </c>
    </row>
    <row r="911" spans="1:13" ht="15.95" customHeight="1">
      <c r="A911" s="547"/>
      <c r="B911" s="550" t="s">
        <v>5043</v>
      </c>
      <c r="C911" s="550" t="s">
        <v>1128</v>
      </c>
      <c r="D911" s="550" t="s">
        <v>1127</v>
      </c>
      <c r="E911" s="550" t="s">
        <v>6529</v>
      </c>
      <c r="F911" s="550" t="s">
        <v>11</v>
      </c>
      <c r="G911" s="552">
        <v>1490</v>
      </c>
      <c r="H911" s="552"/>
      <c r="I911" s="548">
        <v>50000</v>
      </c>
      <c r="J911" s="548">
        <v>22999</v>
      </c>
      <c r="K911" s="552">
        <v>8249</v>
      </c>
      <c r="L911" s="574">
        <v>14750</v>
      </c>
      <c r="M911" s="548">
        <v>27001</v>
      </c>
    </row>
    <row r="912" spans="1:13" ht="15.95" customHeight="1">
      <c r="A912" s="547"/>
      <c r="B912" s="550" t="s">
        <v>4300</v>
      </c>
      <c r="C912" s="550" t="s">
        <v>4301</v>
      </c>
      <c r="D912" s="550" t="s">
        <v>289</v>
      </c>
      <c r="E912" s="550" t="s">
        <v>258</v>
      </c>
      <c r="F912" s="550" t="s">
        <v>11</v>
      </c>
      <c r="G912" s="552">
        <v>4000</v>
      </c>
      <c r="H912" s="552">
        <v>9616</v>
      </c>
      <c r="I912" s="548">
        <v>4</v>
      </c>
      <c r="J912" s="548">
        <v>9376</v>
      </c>
      <c r="K912" s="552">
        <v>123</v>
      </c>
      <c r="L912" s="574">
        <v>9253</v>
      </c>
      <c r="M912" s="548">
        <v>244</v>
      </c>
    </row>
    <row r="913" spans="1:13" ht="15.95" customHeight="1">
      <c r="A913" s="547"/>
      <c r="B913" s="550" t="s">
        <v>6630</v>
      </c>
      <c r="C913" s="550" t="s">
        <v>6631</v>
      </c>
      <c r="D913" s="550" t="s">
        <v>6006</v>
      </c>
      <c r="E913" s="550" t="s">
        <v>310</v>
      </c>
      <c r="F913" s="550" t="s">
        <v>11</v>
      </c>
      <c r="G913" s="552">
        <v>4000</v>
      </c>
      <c r="H913" s="552"/>
      <c r="I913" s="548">
        <v>3000</v>
      </c>
      <c r="J913" s="548">
        <v>0</v>
      </c>
      <c r="K913" s="552">
        <v>0</v>
      </c>
      <c r="L913" s="574">
        <v>0</v>
      </c>
      <c r="M913" s="548">
        <v>3000</v>
      </c>
    </row>
    <row r="914" spans="1:13" ht="15.95" customHeight="1">
      <c r="A914" s="547"/>
      <c r="B914" s="550" t="s">
        <v>4279</v>
      </c>
      <c r="C914" s="550" t="s">
        <v>4306</v>
      </c>
      <c r="D914" s="550" t="s">
        <v>645</v>
      </c>
      <c r="E914" s="550" t="s">
        <v>291</v>
      </c>
      <c r="F914" s="550" t="s">
        <v>11</v>
      </c>
      <c r="G914" s="552">
        <v>990</v>
      </c>
      <c r="H914" s="552">
        <v>9746</v>
      </c>
      <c r="I914" s="548">
        <v>0</v>
      </c>
      <c r="J914" s="548">
        <v>9717</v>
      </c>
      <c r="K914" s="552">
        <v>871</v>
      </c>
      <c r="L914" s="574">
        <v>8846</v>
      </c>
      <c r="M914" s="548">
        <v>29</v>
      </c>
    </row>
    <row r="915" spans="1:13" ht="15.95" customHeight="1">
      <c r="A915" s="547"/>
      <c r="B915" s="550" t="s">
        <v>4279</v>
      </c>
      <c r="C915" s="550" t="s">
        <v>4306</v>
      </c>
      <c r="D915" s="550" t="s">
        <v>645</v>
      </c>
      <c r="E915" s="550" t="s">
        <v>291</v>
      </c>
      <c r="F915" s="550" t="s">
        <v>11</v>
      </c>
      <c r="G915" s="552">
        <v>990</v>
      </c>
      <c r="H915" s="552"/>
      <c r="I915" s="548">
        <v>2610</v>
      </c>
      <c r="J915" s="548">
        <v>2610</v>
      </c>
      <c r="K915" s="552">
        <v>0</v>
      </c>
      <c r="L915" s="574">
        <v>2610</v>
      </c>
      <c r="M915" s="548">
        <v>0</v>
      </c>
    </row>
    <row r="916" spans="1:13" ht="15.95" customHeight="1">
      <c r="A916" s="547"/>
      <c r="B916" s="550" t="s">
        <v>4279</v>
      </c>
      <c r="C916" s="550" t="s">
        <v>4306</v>
      </c>
      <c r="D916" s="550" t="s">
        <v>645</v>
      </c>
      <c r="E916" s="550" t="s">
        <v>291</v>
      </c>
      <c r="F916" s="550" t="s">
        <v>11</v>
      </c>
      <c r="G916" s="552">
        <v>990</v>
      </c>
      <c r="H916" s="552"/>
      <c r="I916" s="548">
        <v>2160</v>
      </c>
      <c r="J916" s="548">
        <v>2160</v>
      </c>
      <c r="K916" s="552">
        <v>700</v>
      </c>
      <c r="L916" s="574">
        <v>1460</v>
      </c>
      <c r="M916" s="548">
        <v>0</v>
      </c>
    </row>
    <row r="917" spans="1:13" ht="15.95" customHeight="1">
      <c r="A917" s="547"/>
      <c r="B917" s="550" t="s">
        <v>4279</v>
      </c>
      <c r="C917" s="550" t="s">
        <v>4306</v>
      </c>
      <c r="D917" s="550" t="s">
        <v>645</v>
      </c>
      <c r="E917" s="550" t="s">
        <v>291</v>
      </c>
      <c r="F917" s="550" t="s">
        <v>11</v>
      </c>
      <c r="G917" s="552">
        <v>990</v>
      </c>
      <c r="H917" s="552"/>
      <c r="I917" s="548">
        <v>15210</v>
      </c>
      <c r="J917" s="548">
        <v>7030</v>
      </c>
      <c r="K917" s="552">
        <v>2100</v>
      </c>
      <c r="L917" s="574">
        <v>4930</v>
      </c>
      <c r="M917" s="548">
        <v>8180</v>
      </c>
    </row>
    <row r="918" spans="1:13" ht="15.95" customHeight="1">
      <c r="A918" s="547"/>
      <c r="B918" s="550" t="s">
        <v>4279</v>
      </c>
      <c r="C918" s="550" t="s">
        <v>4306</v>
      </c>
      <c r="D918" s="550" t="s">
        <v>645</v>
      </c>
      <c r="E918" s="550" t="s">
        <v>291</v>
      </c>
      <c r="F918" s="550" t="s">
        <v>11</v>
      </c>
      <c r="G918" s="552">
        <v>990</v>
      </c>
      <c r="H918" s="552"/>
      <c r="I918" s="548">
        <v>9990</v>
      </c>
      <c r="J918" s="548">
        <v>3836</v>
      </c>
      <c r="K918" s="552">
        <v>900</v>
      </c>
      <c r="L918" s="574">
        <v>2936</v>
      </c>
      <c r="M918" s="548">
        <v>6154</v>
      </c>
    </row>
    <row r="919" spans="1:13" ht="15.95" customHeight="1">
      <c r="A919" s="547"/>
      <c r="B919" s="550" t="s">
        <v>4928</v>
      </c>
      <c r="C919" s="550" t="s">
        <v>4929</v>
      </c>
      <c r="D919" s="550" t="s">
        <v>395</v>
      </c>
      <c r="E919" s="550" t="s">
        <v>267</v>
      </c>
      <c r="F919" s="550" t="s">
        <v>10</v>
      </c>
      <c r="G919" s="552">
        <v>1095</v>
      </c>
      <c r="H919" s="552">
        <v>103</v>
      </c>
      <c r="I919" s="548">
        <v>2</v>
      </c>
      <c r="J919" s="548">
        <v>105</v>
      </c>
      <c r="K919" s="552">
        <v>31</v>
      </c>
      <c r="L919" s="574">
        <v>74</v>
      </c>
      <c r="M919" s="548">
        <v>0</v>
      </c>
    </row>
    <row r="920" spans="1:13" ht="15.95" customHeight="1">
      <c r="A920" s="547"/>
      <c r="B920" s="550" t="s">
        <v>4928</v>
      </c>
      <c r="C920" s="550" t="s">
        <v>4929</v>
      </c>
      <c r="D920" s="550" t="s">
        <v>395</v>
      </c>
      <c r="E920" s="550" t="s">
        <v>267</v>
      </c>
      <c r="F920" s="550" t="s">
        <v>10</v>
      </c>
      <c r="G920" s="552">
        <v>1095</v>
      </c>
      <c r="H920" s="552">
        <v>3820</v>
      </c>
      <c r="I920" s="548">
        <v>0</v>
      </c>
      <c r="J920" s="548">
        <v>3820</v>
      </c>
      <c r="K920" s="552">
        <v>0</v>
      </c>
      <c r="L920" s="574">
        <v>3820</v>
      </c>
      <c r="M920" s="548">
        <v>0</v>
      </c>
    </row>
    <row r="921" spans="1:13" ht="15.95" customHeight="1">
      <c r="A921" s="547"/>
      <c r="B921" s="550" t="s">
        <v>4928</v>
      </c>
      <c r="C921" s="550" t="s">
        <v>4929</v>
      </c>
      <c r="D921" s="550" t="s">
        <v>395</v>
      </c>
      <c r="E921" s="550" t="s">
        <v>267</v>
      </c>
      <c r="F921" s="550" t="s">
        <v>10</v>
      </c>
      <c r="G921" s="552">
        <v>1095</v>
      </c>
      <c r="H921" s="552">
        <v>10000</v>
      </c>
      <c r="I921" s="548">
        <v>0</v>
      </c>
      <c r="J921" s="548">
        <v>10000</v>
      </c>
      <c r="K921" s="552">
        <v>0</v>
      </c>
      <c r="L921" s="574">
        <v>10000</v>
      </c>
      <c r="M921" s="548">
        <v>0</v>
      </c>
    </row>
    <row r="922" spans="1:13" ht="15.95" customHeight="1">
      <c r="A922" s="547"/>
      <c r="B922" s="550" t="s">
        <v>4311</v>
      </c>
      <c r="C922" s="550" t="s">
        <v>3368</v>
      </c>
      <c r="D922" s="550" t="s">
        <v>592</v>
      </c>
      <c r="E922" s="550" t="s">
        <v>594</v>
      </c>
      <c r="F922" s="550" t="s">
        <v>11</v>
      </c>
      <c r="G922" s="552">
        <v>599</v>
      </c>
      <c r="H922" s="552">
        <v>296</v>
      </c>
      <c r="I922" s="548">
        <v>23</v>
      </c>
      <c r="J922" s="548">
        <v>319</v>
      </c>
      <c r="K922" s="552">
        <v>319</v>
      </c>
      <c r="L922" s="574">
        <v>0</v>
      </c>
      <c r="M922" s="548">
        <v>0</v>
      </c>
    </row>
    <row r="923" spans="1:13" ht="15.95" customHeight="1">
      <c r="A923" s="547"/>
      <c r="B923" s="550" t="s">
        <v>6756</v>
      </c>
      <c r="C923" s="550" t="s">
        <v>6757</v>
      </c>
      <c r="D923" s="550" t="s">
        <v>1247</v>
      </c>
      <c r="E923" s="550" t="s">
        <v>1304</v>
      </c>
      <c r="F923" s="550" t="s">
        <v>11</v>
      </c>
      <c r="G923" s="552">
        <v>4890</v>
      </c>
      <c r="H923" s="552"/>
      <c r="I923" s="548">
        <v>6000</v>
      </c>
      <c r="J923" s="548">
        <v>58</v>
      </c>
      <c r="K923" s="552">
        <v>0</v>
      </c>
      <c r="L923" s="574">
        <v>58</v>
      </c>
      <c r="M923" s="548">
        <v>5942</v>
      </c>
    </row>
    <row r="924" spans="1:13" ht="15.95" customHeight="1">
      <c r="A924" s="547"/>
      <c r="B924" s="550" t="s">
        <v>4313</v>
      </c>
      <c r="C924" s="550" t="s">
        <v>1648</v>
      </c>
      <c r="D924" s="550" t="s">
        <v>1647</v>
      </c>
      <c r="E924" s="550" t="s">
        <v>327</v>
      </c>
      <c r="F924" s="550" t="s">
        <v>10</v>
      </c>
      <c r="G924" s="552">
        <v>1530</v>
      </c>
      <c r="H924" s="552">
        <v>3755</v>
      </c>
      <c r="I924" s="548">
        <v>0</v>
      </c>
      <c r="J924" s="548">
        <v>3755</v>
      </c>
      <c r="K924" s="552">
        <v>0</v>
      </c>
      <c r="L924" s="574">
        <v>3755</v>
      </c>
      <c r="M924" s="548">
        <v>0</v>
      </c>
    </row>
    <row r="925" spans="1:13" ht="15.95" customHeight="1">
      <c r="A925" s="547"/>
      <c r="B925" s="550" t="s">
        <v>4932</v>
      </c>
      <c r="C925" s="550" t="s">
        <v>344</v>
      </c>
      <c r="D925" s="550" t="s">
        <v>227</v>
      </c>
      <c r="E925" s="550" t="s">
        <v>225</v>
      </c>
      <c r="F925" s="550" t="s">
        <v>10</v>
      </c>
      <c r="G925" s="552">
        <v>420</v>
      </c>
      <c r="H925" s="552">
        <v>100000</v>
      </c>
      <c r="I925" s="548">
        <v>0</v>
      </c>
      <c r="J925" s="548">
        <v>99998</v>
      </c>
      <c r="K925" s="552">
        <v>11000</v>
      </c>
      <c r="L925" s="574">
        <v>88998</v>
      </c>
      <c r="M925" s="548">
        <v>2</v>
      </c>
    </row>
    <row r="926" spans="1:13" ht="15.95" customHeight="1">
      <c r="A926" s="547"/>
      <c r="B926" s="550" t="s">
        <v>6682</v>
      </c>
      <c r="C926" s="550" t="s">
        <v>1641</v>
      </c>
      <c r="D926" s="550" t="s">
        <v>624</v>
      </c>
      <c r="E926" s="550" t="s">
        <v>625</v>
      </c>
      <c r="F926" s="550" t="s">
        <v>11</v>
      </c>
      <c r="G926" s="552">
        <v>384</v>
      </c>
      <c r="H926" s="552"/>
      <c r="I926" s="548">
        <v>9990</v>
      </c>
      <c r="J926" s="548">
        <v>2324</v>
      </c>
      <c r="K926" s="552">
        <v>0</v>
      </c>
      <c r="L926" s="574">
        <v>2324</v>
      </c>
      <c r="M926" s="548">
        <v>7666</v>
      </c>
    </row>
    <row r="927" spans="1:13" ht="15.95" customHeight="1">
      <c r="A927" s="547"/>
      <c r="B927" s="550" t="s">
        <v>4556</v>
      </c>
      <c r="C927" s="550" t="s">
        <v>6566</v>
      </c>
      <c r="D927" s="550" t="s">
        <v>802</v>
      </c>
      <c r="E927" s="550" t="s">
        <v>272</v>
      </c>
      <c r="F927" s="550" t="s">
        <v>11</v>
      </c>
      <c r="G927" s="552">
        <v>3100</v>
      </c>
      <c r="H927" s="552"/>
      <c r="I927" s="548">
        <v>10000</v>
      </c>
      <c r="J927" s="548">
        <v>680</v>
      </c>
      <c r="K927" s="552">
        <v>0</v>
      </c>
      <c r="L927" s="574">
        <v>680</v>
      </c>
      <c r="M927" s="548">
        <v>9320</v>
      </c>
    </row>
    <row r="928" spans="1:13" ht="15.95" customHeight="1">
      <c r="A928" s="547"/>
      <c r="B928" s="550" t="s">
        <v>4316</v>
      </c>
      <c r="C928" s="550" t="s">
        <v>1110</v>
      </c>
      <c r="D928" s="550" t="s">
        <v>1109</v>
      </c>
      <c r="E928" s="550" t="s">
        <v>384</v>
      </c>
      <c r="F928" s="550" t="s">
        <v>11</v>
      </c>
      <c r="G928" s="552">
        <v>4990</v>
      </c>
      <c r="H928" s="552"/>
      <c r="I928" s="548">
        <v>9996</v>
      </c>
      <c r="J928" s="548">
        <v>0</v>
      </c>
      <c r="K928" s="552">
        <v>0</v>
      </c>
      <c r="L928" s="574">
        <v>0</v>
      </c>
      <c r="M928" s="548">
        <v>9996</v>
      </c>
    </row>
    <row r="929" spans="1:13" ht="15.95" customHeight="1">
      <c r="A929" s="547"/>
      <c r="B929" s="550" t="s">
        <v>4964</v>
      </c>
      <c r="C929" s="550" t="s">
        <v>4965</v>
      </c>
      <c r="D929" s="550" t="s">
        <v>713</v>
      </c>
      <c r="E929" s="550" t="s">
        <v>327</v>
      </c>
      <c r="F929" s="550" t="s">
        <v>11</v>
      </c>
      <c r="G929" s="552">
        <v>630</v>
      </c>
      <c r="H929" s="552">
        <v>2945</v>
      </c>
      <c r="I929" s="548">
        <v>1</v>
      </c>
      <c r="J929" s="548">
        <v>459</v>
      </c>
      <c r="K929" s="552">
        <v>235</v>
      </c>
      <c r="L929" s="574">
        <v>224</v>
      </c>
      <c r="M929" s="548">
        <v>2487</v>
      </c>
    </row>
    <row r="930" spans="1:13" ht="15.95" customHeight="1">
      <c r="A930" s="547"/>
      <c r="B930" s="550" t="s">
        <v>4318</v>
      </c>
      <c r="C930" s="550" t="s">
        <v>4319</v>
      </c>
      <c r="D930" s="550" t="s">
        <v>4317</v>
      </c>
      <c r="E930" s="550" t="s">
        <v>4320</v>
      </c>
      <c r="F930" s="550" t="s">
        <v>658</v>
      </c>
      <c r="G930" s="552">
        <v>225996</v>
      </c>
      <c r="H930" s="552">
        <v>2</v>
      </c>
      <c r="I930" s="548">
        <v>0</v>
      </c>
      <c r="J930" s="548">
        <v>2</v>
      </c>
      <c r="K930" s="552">
        <v>0</v>
      </c>
      <c r="L930" s="574">
        <v>2</v>
      </c>
      <c r="M930" s="548">
        <v>0</v>
      </c>
    </row>
    <row r="931" spans="1:13" ht="15.95" customHeight="1">
      <c r="A931" s="547"/>
      <c r="B931" s="550" t="s">
        <v>4322</v>
      </c>
      <c r="C931" s="550" t="s">
        <v>4323</v>
      </c>
      <c r="D931" s="550" t="s">
        <v>4317</v>
      </c>
      <c r="E931" s="550" t="s">
        <v>4324</v>
      </c>
      <c r="F931" s="550" t="s">
        <v>3803</v>
      </c>
      <c r="G931" s="552">
        <v>278090</v>
      </c>
      <c r="H931" s="552"/>
      <c r="I931" s="548">
        <v>50</v>
      </c>
      <c r="J931" s="548">
        <v>43</v>
      </c>
      <c r="K931" s="552">
        <v>3</v>
      </c>
      <c r="L931" s="574">
        <v>40</v>
      </c>
      <c r="M931" s="548">
        <v>7</v>
      </c>
    </row>
    <row r="932" spans="1:13" ht="15.95" customHeight="1">
      <c r="A932" s="547"/>
      <c r="B932" s="550" t="s">
        <v>4322</v>
      </c>
      <c r="C932" s="550" t="s">
        <v>4323</v>
      </c>
      <c r="D932" s="550" t="s">
        <v>4317</v>
      </c>
      <c r="E932" s="550" t="s">
        <v>4324</v>
      </c>
      <c r="F932" s="550" t="s">
        <v>3803</v>
      </c>
      <c r="G932" s="552">
        <v>278090</v>
      </c>
      <c r="H932" s="552">
        <v>78</v>
      </c>
      <c r="I932" s="548">
        <v>0</v>
      </c>
      <c r="J932" s="548">
        <v>78</v>
      </c>
      <c r="K932" s="552">
        <v>0</v>
      </c>
      <c r="L932" s="574">
        <v>78</v>
      </c>
      <c r="M932" s="548">
        <v>0</v>
      </c>
    </row>
    <row r="933" spans="1:13" ht="15.95" customHeight="1">
      <c r="A933" s="547"/>
      <c r="B933" s="550" t="s">
        <v>4322</v>
      </c>
      <c r="C933" s="550" t="s">
        <v>4323</v>
      </c>
      <c r="D933" s="550" t="s">
        <v>4317</v>
      </c>
      <c r="E933" s="550" t="s">
        <v>4324</v>
      </c>
      <c r="F933" s="550" t="s">
        <v>3803</v>
      </c>
      <c r="G933" s="552">
        <v>278090</v>
      </c>
      <c r="H933" s="552">
        <v>27</v>
      </c>
      <c r="I933" s="548">
        <v>0</v>
      </c>
      <c r="J933" s="548">
        <v>27</v>
      </c>
      <c r="K933" s="552">
        <v>0</v>
      </c>
      <c r="L933" s="574">
        <v>27</v>
      </c>
      <c r="M933" s="548">
        <v>0</v>
      </c>
    </row>
    <row r="934" spans="1:13" ht="15.95" customHeight="1">
      <c r="A934" s="547"/>
      <c r="B934" s="550" t="s">
        <v>4322</v>
      </c>
      <c r="C934" s="550" t="s">
        <v>4323</v>
      </c>
      <c r="D934" s="550" t="s">
        <v>4317</v>
      </c>
      <c r="E934" s="550" t="s">
        <v>4324</v>
      </c>
      <c r="F934" s="550" t="s">
        <v>3803</v>
      </c>
      <c r="G934" s="552">
        <v>278090</v>
      </c>
      <c r="H934" s="552"/>
      <c r="I934" s="548">
        <v>100</v>
      </c>
      <c r="J934" s="548">
        <v>100</v>
      </c>
      <c r="K934" s="552">
        <v>0</v>
      </c>
      <c r="L934" s="574">
        <v>100</v>
      </c>
      <c r="M934" s="548">
        <v>0</v>
      </c>
    </row>
    <row r="935" spans="1:13" ht="15.95" customHeight="1">
      <c r="A935" s="547"/>
      <c r="B935" s="550" t="s">
        <v>4329</v>
      </c>
      <c r="C935" s="550" t="s">
        <v>2019</v>
      </c>
      <c r="D935" s="550" t="s">
        <v>1618</v>
      </c>
      <c r="E935" s="550" t="s">
        <v>225</v>
      </c>
      <c r="F935" s="550" t="s">
        <v>10</v>
      </c>
      <c r="G935" s="552">
        <v>900</v>
      </c>
      <c r="H935" s="552">
        <v>56</v>
      </c>
      <c r="I935" s="548">
        <v>0</v>
      </c>
      <c r="J935" s="548">
        <v>56</v>
      </c>
      <c r="K935" s="552">
        <v>0</v>
      </c>
      <c r="L935" s="574">
        <v>56</v>
      </c>
      <c r="M935" s="548">
        <v>0</v>
      </c>
    </row>
    <row r="936" spans="1:13" ht="15.95" customHeight="1">
      <c r="A936" s="547"/>
      <c r="B936" s="550" t="s">
        <v>4732</v>
      </c>
      <c r="C936" s="550" t="s">
        <v>4733</v>
      </c>
      <c r="D936" s="550" t="s">
        <v>4734</v>
      </c>
      <c r="E936" s="550" t="s">
        <v>4735</v>
      </c>
      <c r="F936" s="550" t="s">
        <v>658</v>
      </c>
      <c r="G936" s="552">
        <v>28500</v>
      </c>
      <c r="H936" s="552">
        <v>220</v>
      </c>
      <c r="I936" s="548">
        <v>0</v>
      </c>
      <c r="J936" s="548">
        <v>220</v>
      </c>
      <c r="K936" s="552">
        <v>0</v>
      </c>
      <c r="L936" s="574">
        <v>220</v>
      </c>
      <c r="M936" s="548">
        <v>0</v>
      </c>
    </row>
    <row r="937" spans="1:13" ht="15.95" customHeight="1">
      <c r="A937" s="547"/>
      <c r="B937" s="550" t="s">
        <v>8514</v>
      </c>
      <c r="C937" s="550" t="s">
        <v>8516</v>
      </c>
      <c r="D937" s="550" t="s">
        <v>4659</v>
      </c>
      <c r="E937" s="550" t="s">
        <v>12416</v>
      </c>
      <c r="F937" s="550" t="s">
        <v>520</v>
      </c>
      <c r="G937" s="552">
        <v>5500</v>
      </c>
      <c r="H937" s="552"/>
      <c r="I937" s="548">
        <v>60</v>
      </c>
      <c r="J937" s="548">
        <v>60</v>
      </c>
      <c r="K937" s="552">
        <v>60</v>
      </c>
      <c r="L937" s="574">
        <v>0</v>
      </c>
      <c r="M937" s="548">
        <v>0</v>
      </c>
    </row>
    <row r="938" spans="1:13" ht="0.75" customHeight="1">
      <c r="A938" s="547"/>
      <c r="B938" s="559" t="s">
        <v>4331</v>
      </c>
      <c r="C938" s="559" t="s">
        <v>4332</v>
      </c>
      <c r="D938" s="559" t="s">
        <v>4333</v>
      </c>
      <c r="E938" s="559" t="s">
        <v>291</v>
      </c>
      <c r="F938" s="559" t="s">
        <v>11</v>
      </c>
      <c r="G938" s="562">
        <v>4095</v>
      </c>
      <c r="H938" s="562">
        <v>108</v>
      </c>
      <c r="I938" s="565">
        <v>0</v>
      </c>
      <c r="J938" s="570">
        <v>108</v>
      </c>
      <c r="K938" s="567">
        <v>0</v>
      </c>
      <c r="L938" s="574">
        <v>108</v>
      </c>
      <c r="M938" s="570">
        <v>0</v>
      </c>
    </row>
    <row r="939" spans="1:13" ht="12.95" customHeight="1">
      <c r="A939" s="547"/>
      <c r="B939" s="560" t="s">
        <v>4331</v>
      </c>
      <c r="C939" s="560" t="s">
        <v>4332</v>
      </c>
      <c r="D939" s="560" t="s">
        <v>4333</v>
      </c>
      <c r="E939" s="560" t="s">
        <v>291</v>
      </c>
      <c r="F939" s="560" t="s">
        <v>11</v>
      </c>
      <c r="G939" s="563">
        <v>4095</v>
      </c>
      <c r="H939" s="563">
        <v>46</v>
      </c>
      <c r="I939" s="548">
        <v>0</v>
      </c>
      <c r="J939" s="571">
        <v>15</v>
      </c>
      <c r="K939" s="568">
        <v>15</v>
      </c>
      <c r="L939" s="574">
        <v>0</v>
      </c>
      <c r="M939" s="571">
        <v>31</v>
      </c>
    </row>
    <row r="940" spans="1:13" ht="0.75" customHeight="1">
      <c r="A940" s="547"/>
      <c r="B940" s="558" t="s">
        <v>4331</v>
      </c>
      <c r="C940" s="558" t="s">
        <v>4332</v>
      </c>
      <c r="D940" s="558" t="s">
        <v>4333</v>
      </c>
      <c r="E940" s="558" t="s">
        <v>291</v>
      </c>
      <c r="F940" s="558" t="s">
        <v>11</v>
      </c>
      <c r="G940" s="561">
        <v>4095</v>
      </c>
      <c r="H940" s="561">
        <v>9800</v>
      </c>
      <c r="I940" s="564">
        <v>0</v>
      </c>
      <c r="J940" s="569">
        <v>9800</v>
      </c>
      <c r="K940" s="566">
        <v>0</v>
      </c>
      <c r="L940" s="574">
        <v>9800</v>
      </c>
      <c r="M940" s="569">
        <v>0</v>
      </c>
    </row>
    <row r="941" spans="1:13" ht="13.7" customHeight="1">
      <c r="A941" s="557"/>
      <c r="B941" s="550" t="s">
        <v>4331</v>
      </c>
      <c r="C941" s="550" t="s">
        <v>4332</v>
      </c>
      <c r="D941" s="550" t="s">
        <v>4333</v>
      </c>
      <c r="E941" s="550" t="s">
        <v>291</v>
      </c>
      <c r="F941" s="550" t="s">
        <v>11</v>
      </c>
      <c r="G941" s="552">
        <v>4095</v>
      </c>
      <c r="H941" s="552"/>
      <c r="I941" s="548">
        <v>10220</v>
      </c>
      <c r="J941" s="548">
        <v>10192</v>
      </c>
      <c r="K941" s="552">
        <v>0</v>
      </c>
      <c r="L941" s="574">
        <v>10192</v>
      </c>
      <c r="M941" s="548">
        <v>28</v>
      </c>
    </row>
    <row r="942" spans="1:13" ht="15.95" customHeight="1">
      <c r="A942" s="547"/>
      <c r="B942" s="550" t="s">
        <v>4335</v>
      </c>
      <c r="C942" s="550" t="s">
        <v>1563</v>
      </c>
      <c r="D942" s="550" t="s">
        <v>1562</v>
      </c>
      <c r="E942" s="550" t="s">
        <v>1564</v>
      </c>
      <c r="F942" s="550" t="s">
        <v>12</v>
      </c>
      <c r="G942" s="552">
        <v>1470</v>
      </c>
      <c r="H942" s="552">
        <v>220</v>
      </c>
      <c r="I942" s="548">
        <v>9</v>
      </c>
      <c r="J942" s="548">
        <v>229</v>
      </c>
      <c r="K942" s="552">
        <v>229</v>
      </c>
      <c r="L942" s="574">
        <v>0</v>
      </c>
      <c r="M942" s="548">
        <v>0</v>
      </c>
    </row>
    <row r="943" spans="1:13" ht="15.95" customHeight="1">
      <c r="A943" s="547"/>
      <c r="B943" s="550" t="s">
        <v>4337</v>
      </c>
      <c r="C943" s="550" t="s">
        <v>6308</v>
      </c>
      <c r="D943" s="550" t="s">
        <v>1212</v>
      </c>
      <c r="E943" s="550" t="s">
        <v>945</v>
      </c>
      <c r="F943" s="550" t="s">
        <v>12</v>
      </c>
      <c r="G943" s="552">
        <v>3475</v>
      </c>
      <c r="H943" s="552"/>
      <c r="I943" s="548">
        <v>3100</v>
      </c>
      <c r="J943" s="548">
        <v>1311</v>
      </c>
      <c r="K943" s="552">
        <v>350</v>
      </c>
      <c r="L943" s="574">
        <v>961</v>
      </c>
      <c r="M943" s="548">
        <v>1789</v>
      </c>
    </row>
    <row r="944" spans="1:13" ht="15.95" customHeight="1">
      <c r="A944" s="547"/>
      <c r="B944" s="550" t="s">
        <v>5799</v>
      </c>
      <c r="C944" s="550" t="s">
        <v>5802</v>
      </c>
      <c r="D944" s="550" t="s">
        <v>5800</v>
      </c>
      <c r="E944" s="550" t="s">
        <v>5801</v>
      </c>
      <c r="F944" s="550" t="s">
        <v>15</v>
      </c>
      <c r="G944" s="552">
        <v>98000</v>
      </c>
      <c r="H944" s="552"/>
      <c r="I944" s="548">
        <v>10</v>
      </c>
      <c r="J944" s="548">
        <v>0</v>
      </c>
      <c r="K944" s="552">
        <v>0</v>
      </c>
      <c r="L944" s="574">
        <v>0</v>
      </c>
      <c r="M944" s="548">
        <v>10</v>
      </c>
    </row>
    <row r="945" spans="1:13" ht="15.95" customHeight="1">
      <c r="A945" s="547"/>
      <c r="B945" s="550" t="s">
        <v>4933</v>
      </c>
      <c r="C945" s="550" t="s">
        <v>266</v>
      </c>
      <c r="D945" s="550" t="s">
        <v>265</v>
      </c>
      <c r="E945" s="550" t="s">
        <v>267</v>
      </c>
      <c r="F945" s="550" t="s">
        <v>14</v>
      </c>
      <c r="G945" s="552">
        <v>8988</v>
      </c>
      <c r="H945" s="552">
        <v>6</v>
      </c>
      <c r="I945" s="548">
        <v>0</v>
      </c>
      <c r="J945" s="548">
        <v>0</v>
      </c>
      <c r="K945" s="552">
        <v>0</v>
      </c>
      <c r="L945" s="574">
        <v>0</v>
      </c>
      <c r="M945" s="548">
        <v>6</v>
      </c>
    </row>
    <row r="946" spans="1:13" ht="15.95" customHeight="1">
      <c r="A946" s="547"/>
      <c r="B946" s="550" t="s">
        <v>4933</v>
      </c>
      <c r="C946" s="550" t="s">
        <v>266</v>
      </c>
      <c r="D946" s="550" t="s">
        <v>265</v>
      </c>
      <c r="E946" s="550" t="s">
        <v>267</v>
      </c>
      <c r="F946" s="550" t="s">
        <v>14</v>
      </c>
      <c r="G946" s="552">
        <v>8988</v>
      </c>
      <c r="H946" s="552">
        <v>17</v>
      </c>
      <c r="I946" s="548">
        <v>0</v>
      </c>
      <c r="J946" s="548">
        <v>17</v>
      </c>
      <c r="K946" s="552">
        <v>17</v>
      </c>
      <c r="L946" s="574">
        <v>0</v>
      </c>
      <c r="M946" s="548">
        <v>0</v>
      </c>
    </row>
    <row r="947" spans="1:13" ht="15.95" customHeight="1">
      <c r="A947" s="547"/>
      <c r="B947" s="550" t="s">
        <v>4933</v>
      </c>
      <c r="C947" s="550" t="s">
        <v>266</v>
      </c>
      <c r="D947" s="550" t="s">
        <v>265</v>
      </c>
      <c r="E947" s="550" t="s">
        <v>267</v>
      </c>
      <c r="F947" s="550" t="s">
        <v>14</v>
      </c>
      <c r="G947" s="552">
        <v>8988</v>
      </c>
      <c r="H947" s="552">
        <v>200</v>
      </c>
      <c r="I947" s="548">
        <v>2</v>
      </c>
      <c r="J947" s="548">
        <v>202</v>
      </c>
      <c r="K947" s="552">
        <v>186</v>
      </c>
      <c r="L947" s="574">
        <v>16</v>
      </c>
      <c r="M947" s="548">
        <v>0</v>
      </c>
    </row>
    <row r="948" spans="1:13" ht="15.95" customHeight="1">
      <c r="A948" s="547"/>
      <c r="B948" s="550" t="s">
        <v>4933</v>
      </c>
      <c r="C948" s="550" t="s">
        <v>266</v>
      </c>
      <c r="D948" s="550" t="s">
        <v>265</v>
      </c>
      <c r="E948" s="550" t="s">
        <v>267</v>
      </c>
      <c r="F948" s="550" t="s">
        <v>14</v>
      </c>
      <c r="G948" s="552">
        <v>8988</v>
      </c>
      <c r="H948" s="552">
        <v>100</v>
      </c>
      <c r="I948" s="548">
        <v>3</v>
      </c>
      <c r="J948" s="548">
        <v>101</v>
      </c>
      <c r="K948" s="552">
        <v>95</v>
      </c>
      <c r="L948" s="574">
        <v>6</v>
      </c>
      <c r="M948" s="548">
        <v>2</v>
      </c>
    </row>
    <row r="949" spans="1:13" ht="15.95" customHeight="1">
      <c r="A949" s="547"/>
      <c r="B949" s="550" t="s">
        <v>4933</v>
      </c>
      <c r="C949" s="550" t="s">
        <v>266</v>
      </c>
      <c r="D949" s="550" t="s">
        <v>265</v>
      </c>
      <c r="E949" s="550" t="s">
        <v>267</v>
      </c>
      <c r="F949" s="550" t="s">
        <v>14</v>
      </c>
      <c r="G949" s="552">
        <v>8988</v>
      </c>
      <c r="H949" s="552">
        <v>150</v>
      </c>
      <c r="I949" s="548">
        <v>3</v>
      </c>
      <c r="J949" s="548">
        <v>147</v>
      </c>
      <c r="K949" s="552">
        <v>116</v>
      </c>
      <c r="L949" s="574">
        <v>31</v>
      </c>
      <c r="M949" s="548">
        <v>6</v>
      </c>
    </row>
    <row r="950" spans="1:13" ht="15.95" customHeight="1">
      <c r="A950" s="547"/>
      <c r="B950" s="550" t="s">
        <v>4736</v>
      </c>
      <c r="C950" s="550" t="s">
        <v>166</v>
      </c>
      <c r="D950" s="550" t="s">
        <v>167</v>
      </c>
      <c r="E950" s="550" t="s">
        <v>168</v>
      </c>
      <c r="F950" s="550" t="s">
        <v>11</v>
      </c>
      <c r="G950" s="552">
        <v>1200</v>
      </c>
      <c r="H950" s="552">
        <v>1905</v>
      </c>
      <c r="I950" s="548">
        <v>0</v>
      </c>
      <c r="J950" s="548">
        <v>1904</v>
      </c>
      <c r="K950" s="552">
        <v>0</v>
      </c>
      <c r="L950" s="574">
        <v>1904</v>
      </c>
      <c r="M950" s="548">
        <v>1</v>
      </c>
    </row>
    <row r="951" spans="1:13" ht="15.95" customHeight="1">
      <c r="A951" s="547"/>
      <c r="B951" s="550" t="s">
        <v>4338</v>
      </c>
      <c r="C951" s="550" t="s">
        <v>3667</v>
      </c>
      <c r="D951" s="550" t="s">
        <v>1631</v>
      </c>
      <c r="E951" s="550" t="s">
        <v>1632</v>
      </c>
      <c r="F951" s="550" t="s">
        <v>12</v>
      </c>
      <c r="G951" s="552">
        <v>390</v>
      </c>
      <c r="H951" s="552">
        <v>1510</v>
      </c>
      <c r="I951" s="548">
        <v>0</v>
      </c>
      <c r="J951" s="548">
        <v>1510</v>
      </c>
      <c r="K951" s="552">
        <v>0</v>
      </c>
      <c r="L951" s="574">
        <v>1510</v>
      </c>
      <c r="M951" s="548">
        <v>0</v>
      </c>
    </row>
    <row r="952" spans="1:13" ht="15.95" customHeight="1">
      <c r="A952" s="547"/>
      <c r="B952" s="550" t="s">
        <v>4338</v>
      </c>
      <c r="C952" s="550" t="s">
        <v>3667</v>
      </c>
      <c r="D952" s="550" t="s">
        <v>1631</v>
      </c>
      <c r="E952" s="550" t="s">
        <v>1632</v>
      </c>
      <c r="F952" s="550" t="s">
        <v>12</v>
      </c>
      <c r="G952" s="552">
        <v>390</v>
      </c>
      <c r="H952" s="552"/>
      <c r="I952" s="548">
        <v>3400</v>
      </c>
      <c r="J952" s="548">
        <v>3400</v>
      </c>
      <c r="K952" s="552">
        <v>2400</v>
      </c>
      <c r="L952" s="574">
        <v>1000</v>
      </c>
      <c r="M952" s="548">
        <v>0</v>
      </c>
    </row>
    <row r="953" spans="1:13" ht="15.95" customHeight="1">
      <c r="A953" s="547"/>
      <c r="B953" s="550" t="s">
        <v>4338</v>
      </c>
      <c r="C953" s="550" t="s">
        <v>3667</v>
      </c>
      <c r="D953" s="550" t="s">
        <v>1631</v>
      </c>
      <c r="E953" s="550" t="s">
        <v>1632</v>
      </c>
      <c r="F953" s="550" t="s">
        <v>12</v>
      </c>
      <c r="G953" s="552">
        <v>390</v>
      </c>
      <c r="H953" s="552"/>
      <c r="I953" s="548">
        <v>10006</v>
      </c>
      <c r="J953" s="548">
        <v>6320</v>
      </c>
      <c r="K953" s="552">
        <v>5230</v>
      </c>
      <c r="L953" s="574">
        <v>1090</v>
      </c>
      <c r="M953" s="548">
        <v>3686</v>
      </c>
    </row>
    <row r="954" spans="1:13" ht="0.75" customHeight="1">
      <c r="A954" s="547"/>
      <c r="B954" s="559" t="s">
        <v>4338</v>
      </c>
      <c r="C954" s="559" t="s">
        <v>3667</v>
      </c>
      <c r="D954" s="559" t="s">
        <v>1631</v>
      </c>
      <c r="E954" s="559" t="s">
        <v>1632</v>
      </c>
      <c r="F954" s="559" t="s">
        <v>12</v>
      </c>
      <c r="G954" s="562">
        <v>390</v>
      </c>
      <c r="H954" s="562">
        <v>40</v>
      </c>
      <c r="I954" s="565">
        <v>0</v>
      </c>
      <c r="J954" s="570">
        <v>40</v>
      </c>
      <c r="K954" s="567">
        <v>40</v>
      </c>
      <c r="L954" s="574">
        <v>0</v>
      </c>
      <c r="M954" s="570">
        <v>0</v>
      </c>
    </row>
    <row r="955" spans="1:13" ht="12.95" customHeight="1">
      <c r="A955" s="547"/>
      <c r="B955" s="560" t="s">
        <v>4338</v>
      </c>
      <c r="C955" s="560" t="s">
        <v>3667</v>
      </c>
      <c r="D955" s="560" t="s">
        <v>1631</v>
      </c>
      <c r="E955" s="560" t="s">
        <v>1632</v>
      </c>
      <c r="F955" s="560" t="s">
        <v>12</v>
      </c>
      <c r="G955" s="563">
        <v>390</v>
      </c>
      <c r="H955" s="563">
        <v>360</v>
      </c>
      <c r="I955" s="548">
        <v>0</v>
      </c>
      <c r="J955" s="571">
        <v>360</v>
      </c>
      <c r="K955" s="568">
        <v>310</v>
      </c>
      <c r="L955" s="574">
        <v>50</v>
      </c>
      <c r="M955" s="571">
        <v>0</v>
      </c>
    </row>
    <row r="956" spans="1:13" ht="0.75" customHeight="1">
      <c r="A956" s="547"/>
      <c r="B956" s="558" t="s">
        <v>8469</v>
      </c>
      <c r="C956" s="558" t="s">
        <v>3667</v>
      </c>
      <c r="D956" s="558" t="s">
        <v>1631</v>
      </c>
      <c r="E956" s="558" t="s">
        <v>1632</v>
      </c>
      <c r="F956" s="558" t="s">
        <v>12</v>
      </c>
      <c r="G956" s="561">
        <v>390</v>
      </c>
      <c r="H956" s="561"/>
      <c r="I956" s="564">
        <v>1000</v>
      </c>
      <c r="J956" s="569">
        <v>1000</v>
      </c>
      <c r="K956" s="566">
        <v>1000</v>
      </c>
      <c r="L956" s="574">
        <v>0</v>
      </c>
      <c r="M956" s="569">
        <v>0</v>
      </c>
    </row>
    <row r="957" spans="1:13" ht="13.7" customHeight="1">
      <c r="A957" s="557"/>
      <c r="B957" s="550" t="s">
        <v>8469</v>
      </c>
      <c r="C957" s="550" t="s">
        <v>3667</v>
      </c>
      <c r="D957" s="550" t="s">
        <v>1631</v>
      </c>
      <c r="E957" s="550" t="s">
        <v>1632</v>
      </c>
      <c r="F957" s="550" t="s">
        <v>12</v>
      </c>
      <c r="G957" s="552">
        <v>390</v>
      </c>
      <c r="H957" s="552"/>
      <c r="I957" s="548">
        <v>10000</v>
      </c>
      <c r="J957" s="548">
        <v>0</v>
      </c>
      <c r="K957" s="552">
        <v>0</v>
      </c>
      <c r="L957" s="574">
        <v>0</v>
      </c>
      <c r="M957" s="548">
        <v>10000</v>
      </c>
    </row>
    <row r="958" spans="1:13" ht="15.95" customHeight="1">
      <c r="A958" s="547"/>
      <c r="B958" s="550" t="s">
        <v>4343</v>
      </c>
      <c r="C958" s="550" t="s">
        <v>4344</v>
      </c>
      <c r="D958" s="550" t="s">
        <v>4345</v>
      </c>
      <c r="E958" s="550" t="s">
        <v>869</v>
      </c>
      <c r="F958" s="550" t="s">
        <v>11</v>
      </c>
      <c r="G958" s="552">
        <v>465</v>
      </c>
      <c r="H958" s="552"/>
      <c r="I958" s="548">
        <v>1200</v>
      </c>
      <c r="J958" s="548">
        <v>0</v>
      </c>
      <c r="K958" s="552">
        <v>0</v>
      </c>
      <c r="L958" s="574">
        <v>0</v>
      </c>
      <c r="M958" s="548">
        <v>1200</v>
      </c>
    </row>
    <row r="959" spans="1:13" ht="15.95" customHeight="1">
      <c r="A959" s="547"/>
      <c r="B959" s="550" t="s">
        <v>4343</v>
      </c>
      <c r="C959" s="550" t="s">
        <v>4344</v>
      </c>
      <c r="D959" s="550" t="s">
        <v>4345</v>
      </c>
      <c r="E959" s="550" t="s">
        <v>869</v>
      </c>
      <c r="F959" s="550" t="s">
        <v>11</v>
      </c>
      <c r="G959" s="552">
        <v>465</v>
      </c>
      <c r="H959" s="552">
        <v>5010</v>
      </c>
      <c r="I959" s="548">
        <v>600</v>
      </c>
      <c r="J959" s="548">
        <v>1950</v>
      </c>
      <c r="K959" s="552">
        <v>1950</v>
      </c>
      <c r="L959" s="574">
        <v>0</v>
      </c>
      <c r="M959" s="548">
        <v>3660</v>
      </c>
    </row>
    <row r="960" spans="1:13" ht="15.95" customHeight="1">
      <c r="A960" s="547"/>
      <c r="B960" s="550" t="s">
        <v>4560</v>
      </c>
      <c r="C960" s="550" t="s">
        <v>1385</v>
      </c>
      <c r="D960" s="550" t="s">
        <v>1029</v>
      </c>
      <c r="E960" s="550" t="s">
        <v>4561</v>
      </c>
      <c r="F960" s="550" t="s">
        <v>11</v>
      </c>
      <c r="G960" s="552">
        <v>1195</v>
      </c>
      <c r="H960" s="552"/>
      <c r="I960" s="548">
        <v>11000</v>
      </c>
      <c r="J960" s="548">
        <v>11000</v>
      </c>
      <c r="K960" s="552">
        <v>11000</v>
      </c>
      <c r="L960" s="574">
        <v>0</v>
      </c>
      <c r="M960" s="548">
        <v>0</v>
      </c>
    </row>
    <row r="961" spans="1:13" ht="15.95" customHeight="1">
      <c r="A961" s="547"/>
      <c r="B961" s="550" t="s">
        <v>4560</v>
      </c>
      <c r="C961" s="550" t="s">
        <v>1385</v>
      </c>
      <c r="D961" s="550" t="s">
        <v>1029</v>
      </c>
      <c r="E961" s="550" t="s">
        <v>4561</v>
      </c>
      <c r="F961" s="550" t="s">
        <v>11</v>
      </c>
      <c r="G961" s="552">
        <v>1195</v>
      </c>
      <c r="H961" s="552"/>
      <c r="I961" s="548">
        <v>10000</v>
      </c>
      <c r="J961" s="548">
        <v>7500</v>
      </c>
      <c r="K961" s="552">
        <v>7500</v>
      </c>
      <c r="L961" s="574">
        <v>0</v>
      </c>
      <c r="M961" s="548">
        <v>2500</v>
      </c>
    </row>
    <row r="962" spans="1:13" ht="15.95" customHeight="1">
      <c r="A962" s="547"/>
      <c r="B962" s="550" t="s">
        <v>4560</v>
      </c>
      <c r="C962" s="550" t="s">
        <v>1385</v>
      </c>
      <c r="D962" s="550" t="s">
        <v>1029</v>
      </c>
      <c r="E962" s="550" t="s">
        <v>4561</v>
      </c>
      <c r="F962" s="550" t="s">
        <v>11</v>
      </c>
      <c r="G962" s="552">
        <v>1195</v>
      </c>
      <c r="H962" s="552">
        <v>652</v>
      </c>
      <c r="I962" s="548">
        <v>0</v>
      </c>
      <c r="J962" s="548">
        <v>652</v>
      </c>
      <c r="K962" s="552">
        <v>0</v>
      </c>
      <c r="L962" s="574">
        <v>652</v>
      </c>
      <c r="M962" s="548">
        <v>0</v>
      </c>
    </row>
    <row r="963" spans="1:13" ht="15.95" customHeight="1">
      <c r="A963" s="547"/>
      <c r="B963" s="550" t="s">
        <v>4560</v>
      </c>
      <c r="C963" s="550" t="s">
        <v>1385</v>
      </c>
      <c r="D963" s="550" t="s">
        <v>1029</v>
      </c>
      <c r="E963" s="550" t="s">
        <v>4561</v>
      </c>
      <c r="F963" s="550" t="s">
        <v>11</v>
      </c>
      <c r="G963" s="552">
        <v>1195</v>
      </c>
      <c r="H963" s="552">
        <v>8000</v>
      </c>
      <c r="I963" s="548">
        <v>0</v>
      </c>
      <c r="J963" s="548">
        <v>6259</v>
      </c>
      <c r="K963" s="552">
        <v>5000</v>
      </c>
      <c r="L963" s="574">
        <v>1259</v>
      </c>
      <c r="M963" s="548">
        <v>1741</v>
      </c>
    </row>
    <row r="964" spans="1:13" ht="15.95" customHeight="1">
      <c r="A964" s="547"/>
      <c r="B964" s="550" t="s">
        <v>4563</v>
      </c>
      <c r="C964" s="550" t="s">
        <v>4564</v>
      </c>
      <c r="D964" s="550" t="s">
        <v>1029</v>
      </c>
      <c r="E964" s="550" t="s">
        <v>4565</v>
      </c>
      <c r="F964" s="550" t="s">
        <v>11</v>
      </c>
      <c r="G964" s="552">
        <v>2337</v>
      </c>
      <c r="H964" s="552">
        <v>1100</v>
      </c>
      <c r="I964" s="548">
        <v>0</v>
      </c>
      <c r="J964" s="548">
        <v>1100</v>
      </c>
      <c r="K964" s="552">
        <v>1100</v>
      </c>
      <c r="L964" s="574">
        <v>0</v>
      </c>
      <c r="M964" s="548">
        <v>0</v>
      </c>
    </row>
    <row r="965" spans="1:13" ht="15.95" customHeight="1">
      <c r="A965" s="547"/>
      <c r="B965" s="550" t="s">
        <v>4563</v>
      </c>
      <c r="C965" s="550" t="s">
        <v>4564</v>
      </c>
      <c r="D965" s="550" t="s">
        <v>1029</v>
      </c>
      <c r="E965" s="550" t="s">
        <v>4565</v>
      </c>
      <c r="F965" s="550" t="s">
        <v>11</v>
      </c>
      <c r="G965" s="552">
        <v>2337</v>
      </c>
      <c r="H965" s="552">
        <v>2374</v>
      </c>
      <c r="I965" s="548">
        <v>0</v>
      </c>
      <c r="J965" s="548">
        <v>2374</v>
      </c>
      <c r="K965" s="552">
        <v>1400</v>
      </c>
      <c r="L965" s="574">
        <v>974</v>
      </c>
      <c r="M965" s="548">
        <v>0</v>
      </c>
    </row>
    <row r="966" spans="1:13" ht="15.95" customHeight="1">
      <c r="A966" s="547"/>
      <c r="B966" s="550" t="s">
        <v>4563</v>
      </c>
      <c r="C966" s="550" t="s">
        <v>4564</v>
      </c>
      <c r="D966" s="550" t="s">
        <v>1029</v>
      </c>
      <c r="E966" s="550" t="s">
        <v>4565</v>
      </c>
      <c r="F966" s="550" t="s">
        <v>11</v>
      </c>
      <c r="G966" s="552">
        <v>2337</v>
      </c>
      <c r="H966" s="552">
        <v>167</v>
      </c>
      <c r="I966" s="548">
        <v>0</v>
      </c>
      <c r="J966" s="548">
        <v>4</v>
      </c>
      <c r="K966" s="552">
        <v>4</v>
      </c>
      <c r="L966" s="574">
        <v>0</v>
      </c>
      <c r="M966" s="548">
        <v>163</v>
      </c>
    </row>
    <row r="967" spans="1:13" ht="15.95" customHeight="1">
      <c r="A967" s="547"/>
      <c r="B967" s="550" t="s">
        <v>4563</v>
      </c>
      <c r="C967" s="550" t="s">
        <v>4564</v>
      </c>
      <c r="D967" s="550" t="s">
        <v>1029</v>
      </c>
      <c r="E967" s="550" t="s">
        <v>4565</v>
      </c>
      <c r="F967" s="550" t="s">
        <v>11</v>
      </c>
      <c r="G967" s="552">
        <v>2337</v>
      </c>
      <c r="H967" s="552"/>
      <c r="I967" s="548">
        <v>13000</v>
      </c>
      <c r="J967" s="548">
        <v>11589</v>
      </c>
      <c r="K967" s="552">
        <v>11000</v>
      </c>
      <c r="L967" s="574">
        <v>589</v>
      </c>
      <c r="M967" s="548">
        <v>1411</v>
      </c>
    </row>
    <row r="968" spans="1:13" ht="15.95" customHeight="1">
      <c r="A968" s="547"/>
      <c r="B968" s="550" t="s">
        <v>4563</v>
      </c>
      <c r="C968" s="550" t="s">
        <v>4564</v>
      </c>
      <c r="D968" s="550" t="s">
        <v>1029</v>
      </c>
      <c r="E968" s="550" t="s">
        <v>4565</v>
      </c>
      <c r="F968" s="550" t="s">
        <v>11</v>
      </c>
      <c r="G968" s="552">
        <v>2337</v>
      </c>
      <c r="H968" s="552"/>
      <c r="I968" s="548">
        <v>5000</v>
      </c>
      <c r="J968" s="548">
        <v>5000</v>
      </c>
      <c r="K968" s="552">
        <v>5000</v>
      </c>
      <c r="L968" s="574">
        <v>0</v>
      </c>
      <c r="M968" s="548">
        <v>0</v>
      </c>
    </row>
    <row r="969" spans="1:13" ht="15.95" customHeight="1">
      <c r="A969" s="547"/>
      <c r="B969" s="550" t="s">
        <v>4347</v>
      </c>
      <c r="C969" s="550" t="s">
        <v>856</v>
      </c>
      <c r="D969" s="550" t="s">
        <v>855</v>
      </c>
      <c r="E969" s="550" t="s">
        <v>641</v>
      </c>
      <c r="F969" s="550" t="s">
        <v>11</v>
      </c>
      <c r="G969" s="552">
        <v>2450</v>
      </c>
      <c r="H969" s="552">
        <v>4</v>
      </c>
      <c r="I969" s="548">
        <v>0</v>
      </c>
      <c r="J969" s="548">
        <v>4</v>
      </c>
      <c r="K969" s="552">
        <v>0</v>
      </c>
      <c r="L969" s="574">
        <v>4</v>
      </c>
      <c r="M969" s="548">
        <v>0</v>
      </c>
    </row>
    <row r="970" spans="1:13" ht="15.95" customHeight="1">
      <c r="A970" s="547"/>
      <c r="B970" s="550" t="s">
        <v>8309</v>
      </c>
      <c r="C970" s="550" t="s">
        <v>8310</v>
      </c>
      <c r="D970" s="550" t="s">
        <v>634</v>
      </c>
      <c r="E970" s="550" t="s">
        <v>267</v>
      </c>
      <c r="F970" s="550" t="s">
        <v>11</v>
      </c>
      <c r="G970" s="552">
        <v>7500</v>
      </c>
      <c r="H970" s="552"/>
      <c r="I970" s="548">
        <v>2520</v>
      </c>
      <c r="J970" s="548">
        <v>1119</v>
      </c>
      <c r="K970" s="552">
        <v>0</v>
      </c>
      <c r="L970" s="574">
        <v>1119</v>
      </c>
      <c r="M970" s="548">
        <v>1401</v>
      </c>
    </row>
    <row r="971" spans="1:13" ht="15.95" customHeight="1">
      <c r="A971" s="547"/>
      <c r="B971" s="550" t="s">
        <v>8309</v>
      </c>
      <c r="C971" s="550" t="s">
        <v>8310</v>
      </c>
      <c r="D971" s="550" t="s">
        <v>634</v>
      </c>
      <c r="E971" s="550" t="s">
        <v>267</v>
      </c>
      <c r="F971" s="550" t="s">
        <v>11</v>
      </c>
      <c r="G971" s="552">
        <v>7500</v>
      </c>
      <c r="H971" s="552"/>
      <c r="I971" s="548">
        <v>4116</v>
      </c>
      <c r="J971" s="548">
        <v>0</v>
      </c>
      <c r="K971" s="552">
        <v>0</v>
      </c>
      <c r="L971" s="574">
        <v>0</v>
      </c>
      <c r="M971" s="548">
        <v>4116</v>
      </c>
    </row>
    <row r="972" spans="1:13" ht="15.95" customHeight="1">
      <c r="A972" s="547"/>
      <c r="B972" s="550" t="s">
        <v>8309</v>
      </c>
      <c r="C972" s="550" t="s">
        <v>8310</v>
      </c>
      <c r="D972" s="550" t="s">
        <v>634</v>
      </c>
      <c r="E972" s="550" t="s">
        <v>267</v>
      </c>
      <c r="F972" s="550" t="s">
        <v>11</v>
      </c>
      <c r="G972" s="552">
        <v>7500</v>
      </c>
      <c r="H972" s="552"/>
      <c r="I972" s="548">
        <v>3360</v>
      </c>
      <c r="J972" s="548">
        <v>0</v>
      </c>
      <c r="K972" s="552">
        <v>0</v>
      </c>
      <c r="L972" s="574">
        <v>0</v>
      </c>
      <c r="M972" s="548">
        <v>3360</v>
      </c>
    </row>
    <row r="973" spans="1:13" ht="15.95" customHeight="1">
      <c r="A973" s="547"/>
      <c r="B973" s="550" t="s">
        <v>8309</v>
      </c>
      <c r="C973" s="550" t="s">
        <v>8310</v>
      </c>
      <c r="D973" s="550" t="s">
        <v>634</v>
      </c>
      <c r="E973" s="550" t="s">
        <v>267</v>
      </c>
      <c r="F973" s="550" t="s">
        <v>11</v>
      </c>
      <c r="G973" s="552">
        <v>7500</v>
      </c>
      <c r="H973" s="552">
        <v>1037</v>
      </c>
      <c r="I973" s="548">
        <v>0</v>
      </c>
      <c r="J973" s="548">
        <v>1037</v>
      </c>
      <c r="K973" s="552">
        <v>0</v>
      </c>
      <c r="L973" s="574">
        <v>1037</v>
      </c>
      <c r="M973" s="548">
        <v>0</v>
      </c>
    </row>
    <row r="974" spans="1:13" ht="15.95" customHeight="1">
      <c r="A974" s="547"/>
      <c r="B974" s="550" t="s">
        <v>8309</v>
      </c>
      <c r="C974" s="550" t="s">
        <v>8310</v>
      </c>
      <c r="D974" s="550" t="s">
        <v>634</v>
      </c>
      <c r="E974" s="550" t="s">
        <v>267</v>
      </c>
      <c r="F974" s="550" t="s">
        <v>11</v>
      </c>
      <c r="G974" s="552">
        <v>7500</v>
      </c>
      <c r="H974" s="552"/>
      <c r="I974" s="548">
        <v>1680</v>
      </c>
      <c r="J974" s="548">
        <v>1680</v>
      </c>
      <c r="K974" s="552">
        <v>0</v>
      </c>
      <c r="L974" s="574">
        <v>1680</v>
      </c>
      <c r="M974" s="548">
        <v>0</v>
      </c>
    </row>
    <row r="975" spans="1:13" ht="15.95" customHeight="1">
      <c r="A975" s="547"/>
      <c r="B975" s="550" t="s">
        <v>8309</v>
      </c>
      <c r="C975" s="550" t="s">
        <v>8310</v>
      </c>
      <c r="D975" s="550" t="s">
        <v>634</v>
      </c>
      <c r="E975" s="550" t="s">
        <v>267</v>
      </c>
      <c r="F975" s="550" t="s">
        <v>11</v>
      </c>
      <c r="G975" s="552">
        <v>7500</v>
      </c>
      <c r="H975" s="552"/>
      <c r="I975" s="548">
        <v>3373</v>
      </c>
      <c r="J975" s="548">
        <v>3250</v>
      </c>
      <c r="K975" s="552">
        <v>677</v>
      </c>
      <c r="L975" s="574">
        <v>2573</v>
      </c>
      <c r="M975" s="548">
        <v>123</v>
      </c>
    </row>
    <row r="976" spans="1:13" ht="15.95" customHeight="1">
      <c r="A976" s="547"/>
      <c r="B976" s="550" t="s">
        <v>8309</v>
      </c>
      <c r="C976" s="550" t="s">
        <v>8310</v>
      </c>
      <c r="D976" s="550" t="s">
        <v>634</v>
      </c>
      <c r="E976" s="550" t="s">
        <v>267</v>
      </c>
      <c r="F976" s="550" t="s">
        <v>11</v>
      </c>
      <c r="G976" s="552">
        <v>7500</v>
      </c>
      <c r="H976" s="552"/>
      <c r="I976" s="548">
        <v>560</v>
      </c>
      <c r="J976" s="548">
        <v>560</v>
      </c>
      <c r="K976" s="552">
        <v>0</v>
      </c>
      <c r="L976" s="574">
        <v>560</v>
      </c>
      <c r="M976" s="548">
        <v>0</v>
      </c>
    </row>
    <row r="977" spans="1:13" ht="15.95" customHeight="1">
      <c r="A977" s="547"/>
      <c r="B977" s="550" t="s">
        <v>4349</v>
      </c>
      <c r="C977" s="550" t="s">
        <v>1720</v>
      </c>
      <c r="D977" s="550" t="s">
        <v>1311</v>
      </c>
      <c r="E977" s="550" t="s">
        <v>1313</v>
      </c>
      <c r="F977" s="550" t="s">
        <v>11</v>
      </c>
      <c r="G977" s="552">
        <v>1000</v>
      </c>
      <c r="H977" s="552">
        <v>5327</v>
      </c>
      <c r="I977" s="548">
        <v>0</v>
      </c>
      <c r="J977" s="548">
        <v>5327</v>
      </c>
      <c r="K977" s="552">
        <v>700</v>
      </c>
      <c r="L977" s="574">
        <v>4627</v>
      </c>
      <c r="M977" s="548">
        <v>0</v>
      </c>
    </row>
    <row r="978" spans="1:13" ht="15.95" customHeight="1">
      <c r="A978" s="547"/>
      <c r="B978" s="550" t="s">
        <v>4349</v>
      </c>
      <c r="C978" s="550" t="s">
        <v>1720</v>
      </c>
      <c r="D978" s="550" t="s">
        <v>1311</v>
      </c>
      <c r="E978" s="550" t="s">
        <v>1313</v>
      </c>
      <c r="F978" s="550" t="s">
        <v>11</v>
      </c>
      <c r="G978" s="552">
        <v>1000</v>
      </c>
      <c r="H978" s="552">
        <v>700</v>
      </c>
      <c r="I978" s="548">
        <v>0</v>
      </c>
      <c r="J978" s="548">
        <v>694</v>
      </c>
      <c r="K978" s="552">
        <v>694</v>
      </c>
      <c r="L978" s="574">
        <v>0</v>
      </c>
      <c r="M978" s="548">
        <v>6</v>
      </c>
    </row>
    <row r="979" spans="1:13" ht="15.95" customHeight="1">
      <c r="A979" s="547"/>
      <c r="B979" s="550" t="s">
        <v>4349</v>
      </c>
      <c r="C979" s="550" t="s">
        <v>1720</v>
      </c>
      <c r="D979" s="550" t="s">
        <v>1311</v>
      </c>
      <c r="E979" s="550" t="s">
        <v>1313</v>
      </c>
      <c r="F979" s="550" t="s">
        <v>11</v>
      </c>
      <c r="G979" s="552">
        <v>1000</v>
      </c>
      <c r="H979" s="552"/>
      <c r="I979" s="548">
        <v>7200</v>
      </c>
      <c r="J979" s="548">
        <v>7062</v>
      </c>
      <c r="K979" s="552">
        <v>2062</v>
      </c>
      <c r="L979" s="574">
        <v>5000</v>
      </c>
      <c r="M979" s="548">
        <v>138</v>
      </c>
    </row>
    <row r="980" spans="1:13" ht="15.95" customHeight="1">
      <c r="A980" s="547"/>
      <c r="B980" s="550" t="s">
        <v>4349</v>
      </c>
      <c r="C980" s="550" t="s">
        <v>1720</v>
      </c>
      <c r="D980" s="550" t="s">
        <v>1311</v>
      </c>
      <c r="E980" s="550" t="s">
        <v>1313</v>
      </c>
      <c r="F980" s="550" t="s">
        <v>11</v>
      </c>
      <c r="G980" s="552">
        <v>1000</v>
      </c>
      <c r="H980" s="552"/>
      <c r="I980" s="548">
        <v>15000</v>
      </c>
      <c r="J980" s="548">
        <v>7258</v>
      </c>
      <c r="K980" s="552">
        <v>2500</v>
      </c>
      <c r="L980" s="574">
        <v>4758</v>
      </c>
      <c r="M980" s="548">
        <v>7742</v>
      </c>
    </row>
    <row r="981" spans="1:13" ht="15.95" customHeight="1">
      <c r="A981" s="547"/>
      <c r="B981" s="550" t="s">
        <v>4349</v>
      </c>
      <c r="C981" s="550" t="s">
        <v>1720</v>
      </c>
      <c r="D981" s="550" t="s">
        <v>1311</v>
      </c>
      <c r="E981" s="550" t="s">
        <v>1313</v>
      </c>
      <c r="F981" s="550" t="s">
        <v>11</v>
      </c>
      <c r="G981" s="552">
        <v>1000</v>
      </c>
      <c r="H981" s="552">
        <v>127</v>
      </c>
      <c r="I981" s="548">
        <v>0</v>
      </c>
      <c r="J981" s="548">
        <v>127</v>
      </c>
      <c r="K981" s="552">
        <v>127</v>
      </c>
      <c r="L981" s="574">
        <v>0</v>
      </c>
      <c r="M981" s="548">
        <v>0</v>
      </c>
    </row>
    <row r="982" spans="1:13" ht="15.95" customHeight="1">
      <c r="A982" s="547"/>
      <c r="B982" s="550" t="s">
        <v>5738</v>
      </c>
      <c r="C982" s="550" t="s">
        <v>5739</v>
      </c>
      <c r="D982" s="550" t="s">
        <v>1302</v>
      </c>
      <c r="E982" s="550" t="s">
        <v>235</v>
      </c>
      <c r="F982" s="550" t="s">
        <v>10</v>
      </c>
      <c r="G982" s="552">
        <v>1718</v>
      </c>
      <c r="H982" s="552"/>
      <c r="I982" s="548">
        <v>9990</v>
      </c>
      <c r="J982" s="548">
        <v>0</v>
      </c>
      <c r="K982" s="552">
        <v>0</v>
      </c>
      <c r="L982" s="574">
        <v>0</v>
      </c>
      <c r="M982" s="548">
        <v>9990</v>
      </c>
    </row>
    <row r="983" spans="1:13" ht="15.95" customHeight="1">
      <c r="A983" s="547"/>
      <c r="B983" s="550" t="s">
        <v>4351</v>
      </c>
      <c r="C983" s="550" t="s">
        <v>7945</v>
      </c>
      <c r="D983" s="550" t="s">
        <v>638</v>
      </c>
      <c r="E983" s="550" t="s">
        <v>429</v>
      </c>
      <c r="F983" s="550" t="s">
        <v>13</v>
      </c>
      <c r="G983" s="552">
        <v>1533</v>
      </c>
      <c r="H983" s="552">
        <v>480</v>
      </c>
      <c r="I983" s="548">
        <v>0</v>
      </c>
      <c r="J983" s="548">
        <v>480</v>
      </c>
      <c r="K983" s="552">
        <v>300</v>
      </c>
      <c r="L983" s="574">
        <v>180</v>
      </c>
      <c r="M983" s="548">
        <v>0</v>
      </c>
    </row>
    <row r="984" spans="1:13" ht="15.95" customHeight="1">
      <c r="A984" s="547"/>
      <c r="B984" s="550" t="s">
        <v>4351</v>
      </c>
      <c r="C984" s="550" t="s">
        <v>7945</v>
      </c>
      <c r="D984" s="550" t="s">
        <v>638</v>
      </c>
      <c r="E984" s="550" t="s">
        <v>429</v>
      </c>
      <c r="F984" s="550" t="s">
        <v>13</v>
      </c>
      <c r="G984" s="552">
        <v>1533</v>
      </c>
      <c r="H984" s="552"/>
      <c r="I984" s="548">
        <v>6000</v>
      </c>
      <c r="J984" s="548">
        <v>3086</v>
      </c>
      <c r="K984" s="552">
        <v>1290</v>
      </c>
      <c r="L984" s="574">
        <v>1796</v>
      </c>
      <c r="M984" s="548">
        <v>2914</v>
      </c>
    </row>
    <row r="985" spans="1:13" ht="15.95" customHeight="1">
      <c r="A985" s="547"/>
      <c r="B985" s="550" t="s">
        <v>4354</v>
      </c>
      <c r="C985" s="550" t="s">
        <v>4355</v>
      </c>
      <c r="D985" s="550" t="s">
        <v>634</v>
      </c>
      <c r="E985" s="550" t="s">
        <v>1282</v>
      </c>
      <c r="F985" s="550" t="s">
        <v>658</v>
      </c>
      <c r="G985" s="552">
        <v>46200</v>
      </c>
      <c r="H985" s="552">
        <v>144</v>
      </c>
      <c r="I985" s="548">
        <v>0</v>
      </c>
      <c r="J985" s="548">
        <v>144</v>
      </c>
      <c r="K985" s="552">
        <v>144</v>
      </c>
      <c r="L985" s="574">
        <v>0</v>
      </c>
      <c r="M985" s="548">
        <v>0</v>
      </c>
    </row>
    <row r="986" spans="1:13" ht="15.95" customHeight="1">
      <c r="A986" s="547"/>
      <c r="B986" s="550" t="s">
        <v>4354</v>
      </c>
      <c r="C986" s="550" t="s">
        <v>4355</v>
      </c>
      <c r="D986" s="550" t="s">
        <v>634</v>
      </c>
      <c r="E986" s="550" t="s">
        <v>1282</v>
      </c>
      <c r="F986" s="550" t="s">
        <v>658</v>
      </c>
      <c r="G986" s="552">
        <v>46200</v>
      </c>
      <c r="H986" s="552"/>
      <c r="I986" s="548">
        <v>100</v>
      </c>
      <c r="J986" s="548">
        <v>100</v>
      </c>
      <c r="K986" s="552">
        <v>100</v>
      </c>
      <c r="L986" s="574">
        <v>0</v>
      </c>
      <c r="M986" s="548">
        <v>0</v>
      </c>
    </row>
    <row r="987" spans="1:13" ht="15.95" customHeight="1">
      <c r="A987" s="547"/>
      <c r="B987" s="550" t="s">
        <v>8662</v>
      </c>
      <c r="C987" s="550" t="s">
        <v>8665</v>
      </c>
      <c r="D987" s="550" t="s">
        <v>8663</v>
      </c>
      <c r="E987" s="550" t="s">
        <v>12421</v>
      </c>
      <c r="F987" s="550" t="s">
        <v>11</v>
      </c>
      <c r="G987" s="552">
        <v>1260</v>
      </c>
      <c r="H987" s="552"/>
      <c r="I987" s="548">
        <v>5000</v>
      </c>
      <c r="J987" s="548">
        <v>5000</v>
      </c>
      <c r="K987" s="552">
        <v>0</v>
      </c>
      <c r="L987" s="574">
        <v>5000</v>
      </c>
      <c r="M987" s="548">
        <v>0</v>
      </c>
    </row>
    <row r="988" spans="1:13" ht="15.95" customHeight="1">
      <c r="A988" s="547"/>
      <c r="B988" s="550" t="s">
        <v>8662</v>
      </c>
      <c r="C988" s="550" t="s">
        <v>8665</v>
      </c>
      <c r="D988" s="550" t="s">
        <v>8663</v>
      </c>
      <c r="E988" s="550" t="s">
        <v>12421</v>
      </c>
      <c r="F988" s="550" t="s">
        <v>11</v>
      </c>
      <c r="G988" s="552">
        <v>1260</v>
      </c>
      <c r="H988" s="552"/>
      <c r="I988" s="548">
        <v>9000</v>
      </c>
      <c r="J988" s="548">
        <v>998</v>
      </c>
      <c r="K988" s="552">
        <v>0</v>
      </c>
      <c r="L988" s="574">
        <v>998</v>
      </c>
      <c r="M988" s="548">
        <v>8002</v>
      </c>
    </row>
    <row r="989" spans="1:13" ht="15.95" customHeight="1">
      <c r="A989" s="547"/>
      <c r="B989" s="550" t="s">
        <v>8662</v>
      </c>
      <c r="C989" s="550" t="s">
        <v>8665</v>
      </c>
      <c r="D989" s="550" t="s">
        <v>8663</v>
      </c>
      <c r="E989" s="550" t="s">
        <v>12421</v>
      </c>
      <c r="F989" s="550" t="s">
        <v>11</v>
      </c>
      <c r="G989" s="552">
        <v>1260</v>
      </c>
      <c r="H989" s="552"/>
      <c r="I989" s="548">
        <v>6000</v>
      </c>
      <c r="J989" s="548">
        <v>6000</v>
      </c>
      <c r="K989" s="552">
        <v>0</v>
      </c>
      <c r="L989" s="574">
        <v>6000</v>
      </c>
      <c r="M989" s="548">
        <v>0</v>
      </c>
    </row>
    <row r="990" spans="1:13" ht="15.95" customHeight="1">
      <c r="A990" s="547"/>
      <c r="B990" s="550" t="s">
        <v>4587</v>
      </c>
      <c r="C990" s="550" t="s">
        <v>4588</v>
      </c>
      <c r="D990" s="550" t="s">
        <v>4589</v>
      </c>
      <c r="E990" s="550" t="s">
        <v>4590</v>
      </c>
      <c r="F990" s="550" t="s">
        <v>2780</v>
      </c>
      <c r="G990" s="552">
        <v>286440</v>
      </c>
      <c r="H990" s="552">
        <v>42</v>
      </c>
      <c r="I990" s="548">
        <v>0</v>
      </c>
      <c r="J990" s="548">
        <v>42</v>
      </c>
      <c r="K990" s="552">
        <v>0</v>
      </c>
      <c r="L990" s="574">
        <v>42</v>
      </c>
      <c r="M990" s="548">
        <v>0</v>
      </c>
    </row>
    <row r="991" spans="1:13" ht="15.95" customHeight="1">
      <c r="A991" s="547"/>
      <c r="B991" s="550" t="s">
        <v>4356</v>
      </c>
      <c r="C991" s="550" t="s">
        <v>4357</v>
      </c>
      <c r="D991" s="550" t="s">
        <v>4358</v>
      </c>
      <c r="E991" s="550" t="s">
        <v>4359</v>
      </c>
      <c r="F991" s="550" t="s">
        <v>658</v>
      </c>
      <c r="G991" s="552">
        <v>30000</v>
      </c>
      <c r="H991" s="552"/>
      <c r="I991" s="548">
        <v>300</v>
      </c>
      <c r="J991" s="548">
        <v>106</v>
      </c>
      <c r="K991" s="552">
        <v>0</v>
      </c>
      <c r="L991" s="574">
        <v>106</v>
      </c>
      <c r="M991" s="548">
        <v>194</v>
      </c>
    </row>
    <row r="992" spans="1:13" ht="15.95" customHeight="1">
      <c r="A992" s="547"/>
      <c r="B992" s="550" t="s">
        <v>4356</v>
      </c>
      <c r="C992" s="550" t="s">
        <v>4357</v>
      </c>
      <c r="D992" s="550" t="s">
        <v>4358</v>
      </c>
      <c r="E992" s="550" t="s">
        <v>4359</v>
      </c>
      <c r="F992" s="550" t="s">
        <v>658</v>
      </c>
      <c r="G992" s="552">
        <v>30000</v>
      </c>
      <c r="H992" s="552">
        <v>54</v>
      </c>
      <c r="I992" s="548">
        <v>0</v>
      </c>
      <c r="J992" s="548">
        <v>54</v>
      </c>
      <c r="K992" s="552">
        <v>0</v>
      </c>
      <c r="L992" s="574">
        <v>54</v>
      </c>
      <c r="M992" s="548">
        <v>0</v>
      </c>
    </row>
    <row r="993" spans="1:13" ht="15.95" customHeight="1">
      <c r="A993" s="547"/>
      <c r="B993" s="550" t="s">
        <v>4356</v>
      </c>
      <c r="C993" s="550" t="s">
        <v>4357</v>
      </c>
      <c r="D993" s="550" t="s">
        <v>4358</v>
      </c>
      <c r="E993" s="550" t="s">
        <v>4359</v>
      </c>
      <c r="F993" s="550" t="s">
        <v>658</v>
      </c>
      <c r="G993" s="552">
        <v>30000</v>
      </c>
      <c r="H993" s="552"/>
      <c r="I993" s="548">
        <v>200</v>
      </c>
      <c r="J993" s="548">
        <v>0</v>
      </c>
      <c r="K993" s="552">
        <v>0</v>
      </c>
      <c r="L993" s="574">
        <v>0</v>
      </c>
      <c r="M993" s="548">
        <v>200</v>
      </c>
    </row>
    <row r="994" spans="1:13" ht="15.95" customHeight="1">
      <c r="A994" s="547"/>
      <c r="B994" s="550" t="s">
        <v>4356</v>
      </c>
      <c r="C994" s="550" t="s">
        <v>4357</v>
      </c>
      <c r="D994" s="550" t="s">
        <v>4358</v>
      </c>
      <c r="E994" s="550" t="s">
        <v>4359</v>
      </c>
      <c r="F994" s="550" t="s">
        <v>658</v>
      </c>
      <c r="G994" s="552">
        <v>30000</v>
      </c>
      <c r="H994" s="552"/>
      <c r="I994" s="548">
        <v>100</v>
      </c>
      <c r="J994" s="548">
        <v>100</v>
      </c>
      <c r="K994" s="552">
        <v>0</v>
      </c>
      <c r="L994" s="574">
        <v>100</v>
      </c>
      <c r="M994" s="548">
        <v>0</v>
      </c>
    </row>
    <row r="995" spans="1:13" ht="15.95" customHeight="1">
      <c r="A995" s="547"/>
      <c r="B995" s="550" t="s">
        <v>4738</v>
      </c>
      <c r="C995" s="550" t="s">
        <v>169</v>
      </c>
      <c r="D995" s="550" t="s">
        <v>170</v>
      </c>
      <c r="E995" s="550" t="s">
        <v>171</v>
      </c>
      <c r="F995" s="550" t="s">
        <v>11</v>
      </c>
      <c r="G995" s="552">
        <v>3450</v>
      </c>
      <c r="H995" s="552">
        <v>8328</v>
      </c>
      <c r="I995" s="548">
        <v>0</v>
      </c>
      <c r="J995" s="548">
        <v>8328</v>
      </c>
      <c r="K995" s="552">
        <v>0</v>
      </c>
      <c r="L995" s="574">
        <v>8328</v>
      </c>
      <c r="M995" s="548">
        <v>0</v>
      </c>
    </row>
    <row r="996" spans="1:13" ht="15.95" customHeight="1">
      <c r="A996" s="547"/>
      <c r="B996" s="550" t="s">
        <v>4738</v>
      </c>
      <c r="C996" s="550" t="s">
        <v>169</v>
      </c>
      <c r="D996" s="550" t="s">
        <v>170</v>
      </c>
      <c r="E996" s="550" t="s">
        <v>171</v>
      </c>
      <c r="F996" s="550" t="s">
        <v>11</v>
      </c>
      <c r="G996" s="552">
        <v>3450</v>
      </c>
      <c r="H996" s="552"/>
      <c r="I996" s="548">
        <v>10080</v>
      </c>
      <c r="J996" s="548">
        <v>3570</v>
      </c>
      <c r="K996" s="552">
        <v>0</v>
      </c>
      <c r="L996" s="574">
        <v>3570</v>
      </c>
      <c r="M996" s="548">
        <v>6510</v>
      </c>
    </row>
    <row r="997" spans="1:13" ht="15.95" customHeight="1">
      <c r="A997" s="547"/>
      <c r="B997" s="550" t="s">
        <v>4361</v>
      </c>
      <c r="C997" s="550" t="s">
        <v>4362</v>
      </c>
      <c r="D997" s="550" t="s">
        <v>2038</v>
      </c>
      <c r="E997" s="550" t="s">
        <v>225</v>
      </c>
      <c r="F997" s="550" t="s">
        <v>11</v>
      </c>
      <c r="G997" s="552">
        <v>4612</v>
      </c>
      <c r="H997" s="552">
        <v>3145</v>
      </c>
      <c r="I997" s="548">
        <v>44</v>
      </c>
      <c r="J997" s="548">
        <v>2307</v>
      </c>
      <c r="K997" s="552">
        <v>2299</v>
      </c>
      <c r="L997" s="574">
        <v>8</v>
      </c>
      <c r="M997" s="548">
        <v>882</v>
      </c>
    </row>
    <row r="998" spans="1:13" ht="15.95" customHeight="1">
      <c r="A998" s="547"/>
      <c r="B998" s="550" t="s">
        <v>4361</v>
      </c>
      <c r="C998" s="550" t="s">
        <v>4362</v>
      </c>
      <c r="D998" s="550" t="s">
        <v>2038</v>
      </c>
      <c r="E998" s="550" t="s">
        <v>225</v>
      </c>
      <c r="F998" s="550" t="s">
        <v>11</v>
      </c>
      <c r="G998" s="552">
        <v>4612</v>
      </c>
      <c r="H998" s="552"/>
      <c r="I998" s="548">
        <v>5100</v>
      </c>
      <c r="J998" s="548">
        <v>0</v>
      </c>
      <c r="K998" s="552">
        <v>0</v>
      </c>
      <c r="L998" s="574">
        <v>0</v>
      </c>
      <c r="M998" s="548">
        <v>5100</v>
      </c>
    </row>
    <row r="999" spans="1:13" ht="15.95" customHeight="1">
      <c r="A999" s="547"/>
      <c r="B999" s="550" t="s">
        <v>4941</v>
      </c>
      <c r="C999" s="550" t="s">
        <v>4942</v>
      </c>
      <c r="D999" s="550" t="s">
        <v>227</v>
      </c>
      <c r="E999" s="550" t="s">
        <v>225</v>
      </c>
      <c r="F999" s="550" t="s">
        <v>10</v>
      </c>
      <c r="G999" s="552">
        <v>420</v>
      </c>
      <c r="H999" s="552">
        <v>51507</v>
      </c>
      <c r="I999" s="548">
        <v>945</v>
      </c>
      <c r="J999" s="548">
        <v>34810</v>
      </c>
      <c r="K999" s="552">
        <v>14054</v>
      </c>
      <c r="L999" s="574">
        <v>20756</v>
      </c>
      <c r="M999" s="548">
        <v>17642</v>
      </c>
    </row>
    <row r="1000" spans="1:13" ht="15.95" customHeight="1">
      <c r="A1000" s="547"/>
      <c r="B1000" s="550" t="s">
        <v>4364</v>
      </c>
      <c r="C1000" s="550" t="s">
        <v>4365</v>
      </c>
      <c r="D1000" s="550" t="s">
        <v>1999</v>
      </c>
      <c r="E1000" s="550" t="s">
        <v>4366</v>
      </c>
      <c r="F1000" s="550" t="s">
        <v>11</v>
      </c>
      <c r="G1000" s="552">
        <v>1995</v>
      </c>
      <c r="H1000" s="552">
        <v>5982</v>
      </c>
      <c r="I1000" s="548">
        <v>0</v>
      </c>
      <c r="J1000" s="548">
        <v>5940</v>
      </c>
      <c r="K1000" s="552">
        <v>0</v>
      </c>
      <c r="L1000" s="574">
        <v>5940</v>
      </c>
      <c r="M1000" s="548">
        <v>42</v>
      </c>
    </row>
    <row r="1001" spans="1:13" ht="15.95" customHeight="1">
      <c r="A1001" s="547"/>
      <c r="B1001" s="550" t="s">
        <v>4364</v>
      </c>
      <c r="C1001" s="550" t="s">
        <v>4365</v>
      </c>
      <c r="D1001" s="550" t="s">
        <v>1999</v>
      </c>
      <c r="E1001" s="550" t="s">
        <v>4366</v>
      </c>
      <c r="F1001" s="550" t="s">
        <v>11</v>
      </c>
      <c r="G1001" s="552">
        <v>1995</v>
      </c>
      <c r="H1001" s="552"/>
      <c r="I1001" s="548">
        <v>12000</v>
      </c>
      <c r="J1001" s="548">
        <v>7943</v>
      </c>
      <c r="K1001" s="552">
        <v>0</v>
      </c>
      <c r="L1001" s="574">
        <v>7943</v>
      </c>
      <c r="M1001" s="548">
        <v>4057</v>
      </c>
    </row>
    <row r="1002" spans="1:13" ht="15.95" customHeight="1">
      <c r="A1002" s="547"/>
      <c r="B1002" s="550" t="s">
        <v>4364</v>
      </c>
      <c r="C1002" s="550" t="s">
        <v>4365</v>
      </c>
      <c r="D1002" s="550" t="s">
        <v>1999</v>
      </c>
      <c r="E1002" s="550" t="s">
        <v>4366</v>
      </c>
      <c r="F1002" s="550" t="s">
        <v>11</v>
      </c>
      <c r="G1002" s="552">
        <v>1995</v>
      </c>
      <c r="H1002" s="552"/>
      <c r="I1002" s="548">
        <v>6000</v>
      </c>
      <c r="J1002" s="548">
        <v>0</v>
      </c>
      <c r="K1002" s="552">
        <v>0</v>
      </c>
      <c r="L1002" s="574">
        <v>0</v>
      </c>
      <c r="M1002" s="548">
        <v>6000</v>
      </c>
    </row>
    <row r="1003" spans="1:13" ht="15.95" customHeight="1">
      <c r="A1003" s="547"/>
      <c r="B1003" s="550" t="s">
        <v>7518</v>
      </c>
      <c r="C1003" s="550" t="s">
        <v>7520</v>
      </c>
      <c r="D1003" s="550" t="s">
        <v>7519</v>
      </c>
      <c r="E1003" s="550" t="s">
        <v>4782</v>
      </c>
      <c r="F1003" s="550" t="s">
        <v>11</v>
      </c>
      <c r="G1003" s="552">
        <v>12200</v>
      </c>
      <c r="H1003" s="552"/>
      <c r="I1003" s="548">
        <v>1200</v>
      </c>
      <c r="J1003" s="548">
        <v>1151</v>
      </c>
      <c r="K1003" s="552">
        <v>0</v>
      </c>
      <c r="L1003" s="574">
        <v>1151</v>
      </c>
      <c r="M1003" s="548">
        <v>49</v>
      </c>
    </row>
    <row r="1004" spans="1:13" ht="15.95" customHeight="1">
      <c r="A1004" s="547"/>
      <c r="B1004" s="550" t="s">
        <v>6108</v>
      </c>
      <c r="C1004" s="550" t="s">
        <v>6109</v>
      </c>
      <c r="D1004" s="550" t="s">
        <v>1540</v>
      </c>
      <c r="E1004" s="550" t="s">
        <v>1542</v>
      </c>
      <c r="F1004" s="550" t="s">
        <v>11</v>
      </c>
      <c r="G1004" s="552">
        <v>4159</v>
      </c>
      <c r="H1004" s="552"/>
      <c r="I1004" s="548">
        <v>19980</v>
      </c>
      <c r="J1004" s="548">
        <v>3784</v>
      </c>
      <c r="K1004" s="552">
        <v>1</v>
      </c>
      <c r="L1004" s="574">
        <v>3783</v>
      </c>
      <c r="M1004" s="548">
        <v>16196</v>
      </c>
    </row>
    <row r="1005" spans="1:13" ht="15.95" customHeight="1">
      <c r="A1005" s="547"/>
      <c r="B1005" s="550" t="s">
        <v>4367</v>
      </c>
      <c r="C1005" s="550" t="s">
        <v>6977</v>
      </c>
      <c r="D1005" s="550" t="s">
        <v>6975</v>
      </c>
      <c r="E1005" s="550" t="s">
        <v>6976</v>
      </c>
      <c r="F1005" s="550" t="s">
        <v>11</v>
      </c>
      <c r="G1005" s="552">
        <v>350</v>
      </c>
      <c r="H1005" s="552"/>
      <c r="I1005" s="548">
        <v>20000</v>
      </c>
      <c r="J1005" s="548">
        <v>20000</v>
      </c>
      <c r="K1005" s="552">
        <v>20000</v>
      </c>
      <c r="L1005" s="574">
        <v>0</v>
      </c>
      <c r="M1005" s="548">
        <v>0</v>
      </c>
    </row>
    <row r="1006" spans="1:13" ht="15.95" customHeight="1">
      <c r="A1006" s="547"/>
      <c r="B1006" s="550" t="s">
        <v>4569</v>
      </c>
      <c r="C1006" s="550" t="s">
        <v>1939</v>
      </c>
      <c r="D1006" s="550" t="s">
        <v>1938</v>
      </c>
      <c r="E1006" s="550" t="s">
        <v>4570</v>
      </c>
      <c r="F1006" s="550" t="s">
        <v>3670</v>
      </c>
      <c r="G1006" s="552">
        <v>4998</v>
      </c>
      <c r="H1006" s="552">
        <v>9</v>
      </c>
      <c r="I1006" s="548">
        <v>0</v>
      </c>
      <c r="J1006" s="548">
        <v>9</v>
      </c>
      <c r="K1006" s="552">
        <v>0</v>
      </c>
      <c r="L1006" s="574">
        <v>9</v>
      </c>
      <c r="M1006" s="548">
        <v>0</v>
      </c>
    </row>
    <row r="1007" spans="1:13" ht="15.95" customHeight="1">
      <c r="A1007" s="547"/>
      <c r="B1007" s="550" t="s">
        <v>4740</v>
      </c>
      <c r="C1007" s="550" t="s">
        <v>4741</v>
      </c>
      <c r="D1007" s="550" t="s">
        <v>4742</v>
      </c>
      <c r="E1007" s="550" t="s">
        <v>4743</v>
      </c>
      <c r="F1007" s="550" t="s">
        <v>1258</v>
      </c>
      <c r="G1007" s="552">
        <v>4990</v>
      </c>
      <c r="H1007" s="552"/>
      <c r="I1007" s="548">
        <v>500</v>
      </c>
      <c r="J1007" s="548">
        <v>500</v>
      </c>
      <c r="K1007" s="552">
        <v>500</v>
      </c>
      <c r="L1007" s="574">
        <v>0</v>
      </c>
      <c r="M1007" s="548">
        <v>0</v>
      </c>
    </row>
    <row r="1008" spans="1:13" ht="15.95" customHeight="1">
      <c r="A1008" s="547"/>
      <c r="B1008" s="550" t="s">
        <v>4744</v>
      </c>
      <c r="C1008" s="550" t="s">
        <v>175</v>
      </c>
      <c r="D1008" s="550" t="s">
        <v>176</v>
      </c>
      <c r="E1008" s="550" t="s">
        <v>4745</v>
      </c>
      <c r="F1008" s="550" t="s">
        <v>13</v>
      </c>
      <c r="G1008" s="552">
        <v>2750</v>
      </c>
      <c r="H1008" s="552">
        <v>960</v>
      </c>
      <c r="I1008" s="548">
        <v>960</v>
      </c>
      <c r="J1008" s="548">
        <v>1304</v>
      </c>
      <c r="K1008" s="552">
        <v>0</v>
      </c>
      <c r="L1008" s="574">
        <v>1304</v>
      </c>
      <c r="M1008" s="548">
        <v>616</v>
      </c>
    </row>
    <row r="1009" spans="1:13" ht="15.95" customHeight="1">
      <c r="A1009" s="547"/>
      <c r="B1009" s="550" t="s">
        <v>4369</v>
      </c>
      <c r="C1009" s="550" t="s">
        <v>4370</v>
      </c>
      <c r="D1009" s="550" t="s">
        <v>4371</v>
      </c>
      <c r="E1009" s="550" t="s">
        <v>258</v>
      </c>
      <c r="F1009" s="550" t="s">
        <v>11</v>
      </c>
      <c r="G1009" s="552">
        <v>1636</v>
      </c>
      <c r="H1009" s="552">
        <v>105</v>
      </c>
      <c r="I1009" s="548">
        <v>0</v>
      </c>
      <c r="J1009" s="548">
        <v>105</v>
      </c>
      <c r="K1009" s="552">
        <v>105</v>
      </c>
      <c r="L1009" s="574">
        <v>0</v>
      </c>
      <c r="M1009" s="548">
        <v>0</v>
      </c>
    </row>
    <row r="1010" spans="1:13" ht="15.95" customHeight="1">
      <c r="A1010" s="547"/>
      <c r="B1010" s="550" t="s">
        <v>4369</v>
      </c>
      <c r="C1010" s="550" t="s">
        <v>4370</v>
      </c>
      <c r="D1010" s="550" t="s">
        <v>4371</v>
      </c>
      <c r="E1010" s="550" t="s">
        <v>258</v>
      </c>
      <c r="F1010" s="550" t="s">
        <v>11</v>
      </c>
      <c r="G1010" s="552">
        <v>1636</v>
      </c>
      <c r="H1010" s="552">
        <v>3000</v>
      </c>
      <c r="I1010" s="548">
        <v>6</v>
      </c>
      <c r="J1010" s="548">
        <v>1787</v>
      </c>
      <c r="K1010" s="552">
        <v>1101</v>
      </c>
      <c r="L1010" s="574">
        <v>686</v>
      </c>
      <c r="M1010" s="548">
        <v>1219</v>
      </c>
    </row>
    <row r="1011" spans="1:13" ht="15.95" customHeight="1">
      <c r="A1011" s="547"/>
      <c r="B1011" s="550" t="s">
        <v>4369</v>
      </c>
      <c r="C1011" s="550" t="s">
        <v>4370</v>
      </c>
      <c r="D1011" s="550" t="s">
        <v>4371</v>
      </c>
      <c r="E1011" s="550" t="s">
        <v>258</v>
      </c>
      <c r="F1011" s="550" t="s">
        <v>11</v>
      </c>
      <c r="G1011" s="552">
        <v>1636</v>
      </c>
      <c r="H1011" s="552"/>
      <c r="I1011" s="548">
        <v>4110</v>
      </c>
      <c r="J1011" s="548">
        <v>1110</v>
      </c>
      <c r="K1011" s="552">
        <v>1110</v>
      </c>
      <c r="L1011" s="574">
        <v>0</v>
      </c>
      <c r="M1011" s="548">
        <v>3000</v>
      </c>
    </row>
    <row r="1012" spans="1:13" ht="15.95" customHeight="1">
      <c r="A1012" s="547"/>
      <c r="B1012" s="550" t="s">
        <v>4375</v>
      </c>
      <c r="C1012" s="550" t="s">
        <v>4376</v>
      </c>
      <c r="D1012" s="550" t="s">
        <v>4374</v>
      </c>
      <c r="E1012" s="550" t="s">
        <v>248</v>
      </c>
      <c r="F1012" s="550" t="s">
        <v>11</v>
      </c>
      <c r="G1012" s="552">
        <v>149</v>
      </c>
      <c r="H1012" s="552">
        <v>2990</v>
      </c>
      <c r="I1012" s="548">
        <v>0</v>
      </c>
      <c r="J1012" s="548">
        <v>1197</v>
      </c>
      <c r="K1012" s="552">
        <v>200</v>
      </c>
      <c r="L1012" s="574">
        <v>997</v>
      </c>
      <c r="M1012" s="548">
        <v>1793</v>
      </c>
    </row>
    <row r="1013" spans="1:13" ht="15.95" customHeight="1">
      <c r="A1013" s="547"/>
      <c r="B1013" s="550" t="s">
        <v>4375</v>
      </c>
      <c r="C1013" s="550" t="s">
        <v>1138</v>
      </c>
      <c r="D1013" s="550" t="s">
        <v>4374</v>
      </c>
      <c r="E1013" s="550" t="s">
        <v>248</v>
      </c>
      <c r="F1013" s="550" t="s">
        <v>10</v>
      </c>
      <c r="G1013" s="552">
        <v>157</v>
      </c>
      <c r="H1013" s="552">
        <v>90</v>
      </c>
      <c r="I1013" s="548">
        <v>0</v>
      </c>
      <c r="J1013" s="548">
        <v>90</v>
      </c>
      <c r="K1013" s="552">
        <v>0</v>
      </c>
      <c r="L1013" s="574">
        <v>90</v>
      </c>
      <c r="M1013" s="548">
        <v>0</v>
      </c>
    </row>
    <row r="1014" spans="1:13" ht="15.95" customHeight="1">
      <c r="A1014" s="547"/>
      <c r="B1014" s="550" t="s">
        <v>4746</v>
      </c>
      <c r="C1014" s="550" t="s">
        <v>4747</v>
      </c>
      <c r="D1014" s="550" t="s">
        <v>4748</v>
      </c>
      <c r="E1014" s="550" t="s">
        <v>4749</v>
      </c>
      <c r="F1014" s="550" t="s">
        <v>658</v>
      </c>
      <c r="G1014" s="552">
        <v>39900</v>
      </c>
      <c r="H1014" s="552">
        <v>29</v>
      </c>
      <c r="I1014" s="548">
        <v>0</v>
      </c>
      <c r="J1014" s="548">
        <v>29</v>
      </c>
      <c r="K1014" s="552">
        <v>0</v>
      </c>
      <c r="L1014" s="574">
        <v>29</v>
      </c>
      <c r="M1014" s="548">
        <v>0</v>
      </c>
    </row>
    <row r="1015" spans="1:13" ht="15.95" customHeight="1">
      <c r="A1015" s="547"/>
      <c r="B1015" s="550" t="s">
        <v>4746</v>
      </c>
      <c r="C1015" s="550" t="s">
        <v>4747</v>
      </c>
      <c r="D1015" s="550" t="s">
        <v>4748</v>
      </c>
      <c r="E1015" s="550" t="s">
        <v>4749</v>
      </c>
      <c r="F1015" s="550" t="s">
        <v>658</v>
      </c>
      <c r="G1015" s="552">
        <v>39900</v>
      </c>
      <c r="H1015" s="552">
        <v>100</v>
      </c>
      <c r="I1015" s="548">
        <v>0</v>
      </c>
      <c r="J1015" s="548">
        <v>100</v>
      </c>
      <c r="K1015" s="552">
        <v>0</v>
      </c>
      <c r="L1015" s="574">
        <v>100</v>
      </c>
      <c r="M1015" s="548">
        <v>0</v>
      </c>
    </row>
    <row r="1016" spans="1:13" ht="15.95" customHeight="1">
      <c r="A1016" s="547"/>
      <c r="B1016" s="550" t="s">
        <v>4746</v>
      </c>
      <c r="C1016" s="550" t="s">
        <v>4747</v>
      </c>
      <c r="D1016" s="550" t="s">
        <v>4748</v>
      </c>
      <c r="E1016" s="550" t="s">
        <v>4749</v>
      </c>
      <c r="F1016" s="550" t="s">
        <v>658</v>
      </c>
      <c r="G1016" s="552">
        <v>39900</v>
      </c>
      <c r="H1016" s="552"/>
      <c r="I1016" s="548">
        <v>100</v>
      </c>
      <c r="J1016" s="548">
        <v>21</v>
      </c>
      <c r="K1016" s="552">
        <v>0</v>
      </c>
      <c r="L1016" s="574">
        <v>21</v>
      </c>
      <c r="M1016" s="548">
        <v>79</v>
      </c>
    </row>
    <row r="1017" spans="1:13" ht="15.95" customHeight="1">
      <c r="A1017" s="547"/>
      <c r="B1017" s="550" t="s">
        <v>4751</v>
      </c>
      <c r="C1017" s="550" t="s">
        <v>4752</v>
      </c>
      <c r="D1017" s="550" t="s">
        <v>4753</v>
      </c>
      <c r="E1017" s="550" t="s">
        <v>4754</v>
      </c>
      <c r="F1017" s="550" t="s">
        <v>11</v>
      </c>
      <c r="G1017" s="552">
        <v>1900</v>
      </c>
      <c r="H1017" s="552">
        <v>4556</v>
      </c>
      <c r="I1017" s="548">
        <v>0</v>
      </c>
      <c r="J1017" s="548">
        <v>4556</v>
      </c>
      <c r="K1017" s="552">
        <v>0</v>
      </c>
      <c r="L1017" s="574">
        <v>4556</v>
      </c>
      <c r="M1017" s="548">
        <v>0</v>
      </c>
    </row>
    <row r="1018" spans="1:13" ht="15.95" customHeight="1">
      <c r="A1018" s="547"/>
      <c r="B1018" s="550" t="s">
        <v>4751</v>
      </c>
      <c r="C1018" s="550" t="s">
        <v>4752</v>
      </c>
      <c r="D1018" s="550" t="s">
        <v>4753</v>
      </c>
      <c r="E1018" s="550" t="s">
        <v>4754</v>
      </c>
      <c r="F1018" s="550" t="s">
        <v>11</v>
      </c>
      <c r="G1018" s="552">
        <v>1900</v>
      </c>
      <c r="H1018" s="552"/>
      <c r="I1018" s="548">
        <v>5000</v>
      </c>
      <c r="J1018" s="548">
        <v>2293</v>
      </c>
      <c r="K1018" s="552">
        <v>0</v>
      </c>
      <c r="L1018" s="574">
        <v>2293</v>
      </c>
      <c r="M1018" s="548">
        <v>2707</v>
      </c>
    </row>
    <row r="1019" spans="1:13" ht="15.95" customHeight="1">
      <c r="A1019" s="547"/>
      <c r="B1019" s="550" t="s">
        <v>8529</v>
      </c>
      <c r="C1019" s="550" t="s">
        <v>12433</v>
      </c>
      <c r="D1019" s="550" t="s">
        <v>12434</v>
      </c>
      <c r="E1019" s="550" t="s">
        <v>8531</v>
      </c>
      <c r="F1019" s="550" t="s">
        <v>13</v>
      </c>
      <c r="G1019" s="552">
        <v>1800</v>
      </c>
      <c r="H1019" s="552"/>
      <c r="I1019" s="548">
        <v>8130</v>
      </c>
      <c r="J1019" s="548">
        <v>5000</v>
      </c>
      <c r="K1019" s="552">
        <v>0</v>
      </c>
      <c r="L1019" s="574">
        <v>5000</v>
      </c>
      <c r="M1019" s="548">
        <v>3130</v>
      </c>
    </row>
    <row r="1020" spans="1:13" ht="15.95" customHeight="1">
      <c r="A1020" s="547"/>
      <c r="B1020" s="550" t="s">
        <v>8529</v>
      </c>
      <c r="C1020" s="550" t="s">
        <v>12433</v>
      </c>
      <c r="D1020" s="550" t="s">
        <v>12434</v>
      </c>
      <c r="E1020" s="550" t="s">
        <v>8531</v>
      </c>
      <c r="F1020" s="550" t="s">
        <v>13</v>
      </c>
      <c r="G1020" s="552">
        <v>1800</v>
      </c>
      <c r="H1020" s="552"/>
      <c r="I1020" s="548">
        <v>6870</v>
      </c>
      <c r="J1020" s="548">
        <v>0</v>
      </c>
      <c r="K1020" s="552">
        <v>0</v>
      </c>
      <c r="L1020" s="574">
        <v>0</v>
      </c>
      <c r="M1020" s="548">
        <v>6870</v>
      </c>
    </row>
    <row r="1021" spans="1:13" ht="15.95" customHeight="1">
      <c r="A1021" s="547"/>
      <c r="B1021" s="550" t="s">
        <v>4756</v>
      </c>
      <c r="C1021" s="550" t="s">
        <v>4757</v>
      </c>
      <c r="D1021" s="550" t="s">
        <v>4758</v>
      </c>
      <c r="E1021" s="550" t="s">
        <v>4759</v>
      </c>
      <c r="F1021" s="550" t="s">
        <v>15</v>
      </c>
      <c r="G1021" s="552">
        <v>23100</v>
      </c>
      <c r="H1021" s="552">
        <v>103</v>
      </c>
      <c r="I1021" s="548">
        <v>0</v>
      </c>
      <c r="J1021" s="548">
        <v>103</v>
      </c>
      <c r="K1021" s="552">
        <v>0</v>
      </c>
      <c r="L1021" s="574">
        <v>103</v>
      </c>
      <c r="M1021" s="548">
        <v>0</v>
      </c>
    </row>
    <row r="1022" spans="1:13" ht="15.95" customHeight="1">
      <c r="A1022" s="547"/>
      <c r="B1022" s="550" t="s">
        <v>4756</v>
      </c>
      <c r="C1022" s="550" t="s">
        <v>4757</v>
      </c>
      <c r="D1022" s="550" t="s">
        <v>4758</v>
      </c>
      <c r="E1022" s="550" t="s">
        <v>4759</v>
      </c>
      <c r="F1022" s="550" t="s">
        <v>15</v>
      </c>
      <c r="G1022" s="552">
        <v>23100</v>
      </c>
      <c r="H1022" s="552">
        <v>205</v>
      </c>
      <c r="I1022" s="548">
        <v>40</v>
      </c>
      <c r="J1022" s="548">
        <v>245</v>
      </c>
      <c r="K1022" s="552">
        <v>125</v>
      </c>
      <c r="L1022" s="574">
        <v>120</v>
      </c>
      <c r="M1022" s="548">
        <v>0</v>
      </c>
    </row>
    <row r="1023" spans="1:13" ht="15.95" customHeight="1">
      <c r="A1023" s="547"/>
      <c r="B1023" s="550" t="s">
        <v>4756</v>
      </c>
      <c r="C1023" s="550" t="s">
        <v>4757</v>
      </c>
      <c r="D1023" s="550" t="s">
        <v>4758</v>
      </c>
      <c r="E1023" s="550" t="s">
        <v>4759</v>
      </c>
      <c r="F1023" s="550" t="s">
        <v>15</v>
      </c>
      <c r="G1023" s="552">
        <v>23100</v>
      </c>
      <c r="H1023" s="552"/>
      <c r="I1023" s="548">
        <v>800</v>
      </c>
      <c r="J1023" s="548">
        <v>627</v>
      </c>
      <c r="K1023" s="552">
        <v>425</v>
      </c>
      <c r="L1023" s="574">
        <v>202</v>
      </c>
      <c r="M1023" s="548">
        <v>173</v>
      </c>
    </row>
    <row r="1024" spans="1:13" ht="15.95" customHeight="1">
      <c r="A1024" s="547"/>
      <c r="B1024" s="550" t="s">
        <v>4756</v>
      </c>
      <c r="C1024" s="550" t="s">
        <v>4757</v>
      </c>
      <c r="D1024" s="550" t="s">
        <v>4758</v>
      </c>
      <c r="E1024" s="550" t="s">
        <v>4759</v>
      </c>
      <c r="F1024" s="550" t="s">
        <v>15</v>
      </c>
      <c r="G1024" s="552">
        <v>23100</v>
      </c>
      <c r="H1024" s="552"/>
      <c r="I1024" s="548">
        <v>400</v>
      </c>
      <c r="J1024" s="548">
        <v>0</v>
      </c>
      <c r="K1024" s="552">
        <v>0</v>
      </c>
      <c r="L1024" s="574">
        <v>0</v>
      </c>
      <c r="M1024" s="548">
        <v>400</v>
      </c>
    </row>
    <row r="1025" spans="1:13" ht="15.95" customHeight="1">
      <c r="A1025" s="547"/>
      <c r="B1025" s="550" t="s">
        <v>12253</v>
      </c>
      <c r="C1025" s="550" t="s">
        <v>12254</v>
      </c>
      <c r="D1025" s="550" t="s">
        <v>12243</v>
      </c>
      <c r="E1025" s="550" t="s">
        <v>12243</v>
      </c>
      <c r="F1025" s="550" t="s">
        <v>12244</v>
      </c>
      <c r="G1025" s="552">
        <v>90000</v>
      </c>
      <c r="H1025" s="552">
        <v>4</v>
      </c>
      <c r="I1025" s="548">
        <v>0</v>
      </c>
      <c r="J1025" s="548">
        <v>0</v>
      </c>
      <c r="K1025" s="552">
        <v>0</v>
      </c>
      <c r="L1025" s="574">
        <v>0</v>
      </c>
      <c r="M1025" s="548">
        <v>4</v>
      </c>
    </row>
    <row r="1026" spans="1:13" ht="15.95" customHeight="1">
      <c r="A1026" s="547"/>
      <c r="B1026" s="550" t="s">
        <v>12253</v>
      </c>
      <c r="C1026" s="550" t="s">
        <v>12254</v>
      </c>
      <c r="D1026" s="550" t="s">
        <v>12243</v>
      </c>
      <c r="E1026" s="550" t="s">
        <v>12243</v>
      </c>
      <c r="F1026" s="550" t="s">
        <v>12244</v>
      </c>
      <c r="G1026" s="552">
        <v>90000</v>
      </c>
      <c r="H1026" s="552">
        <v>1</v>
      </c>
      <c r="I1026" s="548">
        <v>0</v>
      </c>
      <c r="J1026" s="548">
        <v>0</v>
      </c>
      <c r="K1026" s="552">
        <v>0</v>
      </c>
      <c r="L1026" s="574">
        <v>0</v>
      </c>
      <c r="M1026" s="548">
        <v>1</v>
      </c>
    </row>
    <row r="1027" spans="1:13" ht="15.95" customHeight="1">
      <c r="A1027" s="547"/>
      <c r="B1027" s="550" t="s">
        <v>12253</v>
      </c>
      <c r="C1027" s="550" t="s">
        <v>12254</v>
      </c>
      <c r="D1027" s="550" t="s">
        <v>12243</v>
      </c>
      <c r="E1027" s="550" t="s">
        <v>12243</v>
      </c>
      <c r="F1027" s="550" t="s">
        <v>12244</v>
      </c>
      <c r="G1027" s="552">
        <v>90000</v>
      </c>
      <c r="H1027" s="552">
        <v>1</v>
      </c>
      <c r="I1027" s="548">
        <v>0</v>
      </c>
      <c r="J1027" s="548">
        <v>0</v>
      </c>
      <c r="K1027" s="552">
        <v>0</v>
      </c>
      <c r="L1027" s="574">
        <v>0</v>
      </c>
      <c r="M1027" s="548">
        <v>1</v>
      </c>
    </row>
    <row r="1028" spans="1:13" ht="15.95" customHeight="1">
      <c r="A1028" s="547"/>
      <c r="B1028" s="550" t="s">
        <v>7355</v>
      </c>
      <c r="C1028" s="550" t="s">
        <v>7356</v>
      </c>
      <c r="D1028" s="550" t="s">
        <v>7356</v>
      </c>
      <c r="E1028" s="550" t="s">
        <v>225</v>
      </c>
      <c r="F1028" s="550" t="s">
        <v>11</v>
      </c>
      <c r="G1028" s="552">
        <v>316</v>
      </c>
      <c r="H1028" s="552"/>
      <c r="I1028" s="548">
        <v>600</v>
      </c>
      <c r="J1028" s="548">
        <v>0</v>
      </c>
      <c r="K1028" s="552">
        <v>0</v>
      </c>
      <c r="L1028" s="574">
        <v>0</v>
      </c>
      <c r="M1028" s="548">
        <v>600</v>
      </c>
    </row>
    <row r="1029" spans="1:13" ht="15.95" customHeight="1">
      <c r="A1029" s="547"/>
      <c r="B1029" s="550" t="s">
        <v>8798</v>
      </c>
      <c r="C1029" s="550" t="s">
        <v>189</v>
      </c>
      <c r="D1029" s="550" t="s">
        <v>12440</v>
      </c>
      <c r="E1029" s="550" t="s">
        <v>12441</v>
      </c>
      <c r="F1029" s="550" t="s">
        <v>11</v>
      </c>
      <c r="G1029" s="552">
        <v>2975</v>
      </c>
      <c r="H1029" s="552"/>
      <c r="I1029" s="548">
        <v>10000</v>
      </c>
      <c r="J1029" s="548">
        <v>9994</v>
      </c>
      <c r="K1029" s="552">
        <v>0</v>
      </c>
      <c r="L1029" s="574">
        <v>9994</v>
      </c>
      <c r="M1029" s="548">
        <v>6</v>
      </c>
    </row>
    <row r="1030" spans="1:13" ht="15.95" customHeight="1">
      <c r="A1030" s="547"/>
      <c r="B1030" s="550" t="s">
        <v>8798</v>
      </c>
      <c r="C1030" s="550" t="s">
        <v>189</v>
      </c>
      <c r="D1030" s="550" t="s">
        <v>12440</v>
      </c>
      <c r="E1030" s="550" t="s">
        <v>12441</v>
      </c>
      <c r="F1030" s="550" t="s">
        <v>11</v>
      </c>
      <c r="G1030" s="552">
        <v>2975</v>
      </c>
      <c r="H1030" s="552"/>
      <c r="I1030" s="548">
        <v>10000</v>
      </c>
      <c r="J1030" s="548">
        <v>0</v>
      </c>
      <c r="K1030" s="552">
        <v>0</v>
      </c>
      <c r="L1030" s="574">
        <v>0</v>
      </c>
      <c r="M1030" s="548">
        <v>10000</v>
      </c>
    </row>
    <row r="1031" spans="1:13" ht="15.95" customHeight="1">
      <c r="A1031" s="547"/>
      <c r="B1031" s="550" t="s">
        <v>8798</v>
      </c>
      <c r="C1031" s="550" t="s">
        <v>189</v>
      </c>
      <c r="D1031" s="550" t="s">
        <v>12440</v>
      </c>
      <c r="E1031" s="550" t="s">
        <v>12441</v>
      </c>
      <c r="F1031" s="550" t="s">
        <v>11</v>
      </c>
      <c r="G1031" s="552">
        <v>2975</v>
      </c>
      <c r="H1031" s="552">
        <v>10000</v>
      </c>
      <c r="I1031" s="548">
        <v>0</v>
      </c>
      <c r="J1031" s="548">
        <v>10000</v>
      </c>
      <c r="K1031" s="552">
        <v>0</v>
      </c>
      <c r="L1031" s="574">
        <v>10000</v>
      </c>
      <c r="M1031" s="548">
        <v>0</v>
      </c>
    </row>
    <row r="1032" spans="1:13" ht="15.95" customHeight="1">
      <c r="A1032" s="547"/>
      <c r="B1032" s="550" t="s">
        <v>8798</v>
      </c>
      <c r="C1032" s="550" t="s">
        <v>189</v>
      </c>
      <c r="D1032" s="550" t="s">
        <v>12440</v>
      </c>
      <c r="E1032" s="550" t="s">
        <v>12441</v>
      </c>
      <c r="F1032" s="550" t="s">
        <v>11</v>
      </c>
      <c r="G1032" s="552">
        <v>2975</v>
      </c>
      <c r="H1032" s="552"/>
      <c r="I1032" s="548">
        <v>20000</v>
      </c>
      <c r="J1032" s="548">
        <v>20000</v>
      </c>
      <c r="K1032" s="552">
        <v>0</v>
      </c>
      <c r="L1032" s="574">
        <v>20000</v>
      </c>
      <c r="M1032" s="548">
        <v>0</v>
      </c>
    </row>
    <row r="1033" spans="1:13" ht="15.95" customHeight="1">
      <c r="A1033" s="547"/>
      <c r="B1033" s="550" t="s">
        <v>4572</v>
      </c>
      <c r="C1033" s="550" t="s">
        <v>4573</v>
      </c>
      <c r="D1033" s="550" t="s">
        <v>4491</v>
      </c>
      <c r="E1033" s="550" t="s">
        <v>4574</v>
      </c>
      <c r="F1033" s="550" t="s">
        <v>658</v>
      </c>
      <c r="G1033" s="552">
        <v>5985</v>
      </c>
      <c r="H1033" s="552">
        <v>25</v>
      </c>
      <c r="I1033" s="548">
        <v>0</v>
      </c>
      <c r="J1033" s="548">
        <v>25</v>
      </c>
      <c r="K1033" s="552">
        <v>0</v>
      </c>
      <c r="L1033" s="574">
        <v>25</v>
      </c>
      <c r="M1033" s="548">
        <v>0</v>
      </c>
    </row>
    <row r="1034" spans="1:13" ht="15.95" customHeight="1">
      <c r="A1034" s="547"/>
      <c r="B1034" s="550" t="s">
        <v>4572</v>
      </c>
      <c r="C1034" s="550" t="s">
        <v>4573</v>
      </c>
      <c r="D1034" s="550" t="s">
        <v>4491</v>
      </c>
      <c r="E1034" s="550" t="s">
        <v>4574</v>
      </c>
      <c r="F1034" s="550" t="s">
        <v>658</v>
      </c>
      <c r="G1034" s="552">
        <v>5985</v>
      </c>
      <c r="H1034" s="552">
        <v>120</v>
      </c>
      <c r="I1034" s="548">
        <v>0</v>
      </c>
      <c r="J1034" s="548">
        <v>99</v>
      </c>
      <c r="K1034" s="552">
        <v>80</v>
      </c>
      <c r="L1034" s="574">
        <v>19</v>
      </c>
      <c r="M1034" s="548">
        <v>21</v>
      </c>
    </row>
    <row r="1035" spans="1:13" ht="15.95" customHeight="1">
      <c r="A1035" s="547"/>
      <c r="B1035" s="550" t="s">
        <v>4572</v>
      </c>
      <c r="C1035" s="550" t="s">
        <v>4573</v>
      </c>
      <c r="D1035" s="550" t="s">
        <v>4491</v>
      </c>
      <c r="E1035" s="550" t="s">
        <v>4574</v>
      </c>
      <c r="F1035" s="550" t="s">
        <v>658</v>
      </c>
      <c r="G1035" s="552">
        <v>5985</v>
      </c>
      <c r="H1035" s="552"/>
      <c r="I1035" s="548">
        <v>140</v>
      </c>
      <c r="J1035" s="548">
        <v>30</v>
      </c>
      <c r="K1035" s="552">
        <v>30</v>
      </c>
      <c r="L1035" s="574">
        <v>0</v>
      </c>
      <c r="M1035" s="548">
        <v>110</v>
      </c>
    </row>
    <row r="1036" spans="1:13" ht="15.95" customHeight="1">
      <c r="A1036" s="547"/>
      <c r="B1036" s="550" t="s">
        <v>4576</v>
      </c>
      <c r="C1036" s="550" t="s">
        <v>4577</v>
      </c>
      <c r="D1036" s="550" t="s">
        <v>1510</v>
      </c>
      <c r="E1036" s="550" t="s">
        <v>4499</v>
      </c>
      <c r="F1036" s="550" t="s">
        <v>658</v>
      </c>
      <c r="G1036" s="552">
        <v>2945</v>
      </c>
      <c r="H1036" s="552">
        <v>195</v>
      </c>
      <c r="I1036" s="548">
        <v>0</v>
      </c>
      <c r="J1036" s="548">
        <v>35</v>
      </c>
      <c r="K1036" s="552">
        <v>20</v>
      </c>
      <c r="L1036" s="574">
        <v>15</v>
      </c>
      <c r="M1036" s="548">
        <v>160</v>
      </c>
    </row>
    <row r="1037" spans="1:13" ht="15.95" customHeight="1">
      <c r="A1037" s="547"/>
      <c r="B1037" s="550" t="s">
        <v>4576</v>
      </c>
      <c r="C1037" s="550" t="s">
        <v>4577</v>
      </c>
      <c r="D1037" s="550" t="s">
        <v>1510</v>
      </c>
      <c r="E1037" s="550" t="s">
        <v>4499</v>
      </c>
      <c r="F1037" s="550" t="s">
        <v>658</v>
      </c>
      <c r="G1037" s="552">
        <v>2945</v>
      </c>
      <c r="H1037" s="552"/>
      <c r="I1037" s="548">
        <v>20</v>
      </c>
      <c r="J1037" s="548">
        <v>0</v>
      </c>
      <c r="K1037" s="552">
        <v>0</v>
      </c>
      <c r="L1037" s="574">
        <v>0</v>
      </c>
      <c r="M1037" s="548">
        <v>20</v>
      </c>
    </row>
    <row r="1038" spans="1:13" ht="15.95" customHeight="1">
      <c r="A1038" s="547"/>
      <c r="B1038" s="550" t="s">
        <v>4379</v>
      </c>
      <c r="C1038" s="550" t="s">
        <v>4380</v>
      </c>
      <c r="D1038" s="550" t="s">
        <v>4381</v>
      </c>
      <c r="E1038" s="550" t="s">
        <v>232</v>
      </c>
      <c r="F1038" s="550" t="s">
        <v>10</v>
      </c>
      <c r="G1038" s="552">
        <v>714</v>
      </c>
      <c r="H1038" s="552">
        <v>1869</v>
      </c>
      <c r="I1038" s="548">
        <v>0</v>
      </c>
      <c r="J1038" s="548">
        <v>1869</v>
      </c>
      <c r="K1038" s="552">
        <v>0</v>
      </c>
      <c r="L1038" s="574">
        <v>1869</v>
      </c>
      <c r="M1038" s="548">
        <v>0</v>
      </c>
    </row>
    <row r="1039" spans="1:13" ht="15.95" customHeight="1">
      <c r="A1039" s="547"/>
      <c r="B1039" s="550" t="s">
        <v>4383</v>
      </c>
      <c r="C1039" s="550" t="s">
        <v>827</v>
      </c>
      <c r="D1039" s="550" t="s">
        <v>4384</v>
      </c>
      <c r="E1039" s="550" t="s">
        <v>4385</v>
      </c>
      <c r="F1039" s="550" t="s">
        <v>11</v>
      </c>
      <c r="G1039" s="552">
        <v>181</v>
      </c>
      <c r="H1039" s="552">
        <v>6</v>
      </c>
      <c r="I1039" s="548">
        <v>0</v>
      </c>
      <c r="J1039" s="548">
        <v>6</v>
      </c>
      <c r="K1039" s="552">
        <v>0</v>
      </c>
      <c r="L1039" s="574">
        <v>6</v>
      </c>
      <c r="M1039" s="548">
        <v>0</v>
      </c>
    </row>
    <row r="1040" spans="1:13" ht="15.95" customHeight="1">
      <c r="A1040" s="547"/>
      <c r="B1040" s="550" t="s">
        <v>7688</v>
      </c>
      <c r="C1040" s="550" t="s">
        <v>7690</v>
      </c>
      <c r="D1040" s="550" t="s">
        <v>836</v>
      </c>
      <c r="E1040" s="550" t="s">
        <v>7689</v>
      </c>
      <c r="F1040" s="550" t="s">
        <v>11</v>
      </c>
      <c r="G1040" s="552">
        <v>1260</v>
      </c>
      <c r="H1040" s="552"/>
      <c r="I1040" s="548">
        <v>14000</v>
      </c>
      <c r="J1040" s="548">
        <v>4000</v>
      </c>
      <c r="K1040" s="552">
        <v>4000</v>
      </c>
      <c r="L1040" s="574">
        <v>0</v>
      </c>
      <c r="M1040" s="548">
        <v>10000</v>
      </c>
    </row>
    <row r="1041" spans="1:13" ht="15.95" customHeight="1">
      <c r="A1041" s="547"/>
      <c r="B1041" s="550" t="s">
        <v>5372</v>
      </c>
      <c r="C1041" s="550" t="s">
        <v>496</v>
      </c>
      <c r="D1041" s="550" t="s">
        <v>433</v>
      </c>
      <c r="E1041" s="550" t="s">
        <v>272</v>
      </c>
      <c r="F1041" s="550" t="s">
        <v>10</v>
      </c>
      <c r="G1041" s="552">
        <v>1193</v>
      </c>
      <c r="H1041" s="552"/>
      <c r="I1041" s="548">
        <v>4960</v>
      </c>
      <c r="J1041" s="548">
        <v>4960</v>
      </c>
      <c r="K1041" s="552">
        <v>4960</v>
      </c>
      <c r="L1041" s="574">
        <v>0</v>
      </c>
      <c r="M1041" s="548">
        <v>0</v>
      </c>
    </row>
    <row r="1042" spans="1:13" ht="15.95" customHeight="1">
      <c r="A1042" s="547"/>
      <c r="B1042" s="550" t="s">
        <v>5378</v>
      </c>
      <c r="C1042" s="550" t="s">
        <v>498</v>
      </c>
      <c r="D1042" s="550" t="s">
        <v>433</v>
      </c>
      <c r="E1042" s="550" t="s">
        <v>225</v>
      </c>
      <c r="F1042" s="550" t="s">
        <v>10</v>
      </c>
      <c r="G1042" s="552">
        <v>2038</v>
      </c>
      <c r="H1042" s="552"/>
      <c r="I1042" s="548">
        <v>4960</v>
      </c>
      <c r="J1042" s="548">
        <v>4960</v>
      </c>
      <c r="K1042" s="552">
        <v>4960</v>
      </c>
      <c r="L1042" s="574">
        <v>0</v>
      </c>
      <c r="M1042" s="548">
        <v>0</v>
      </c>
    </row>
    <row r="1043" spans="1:13" ht="15.95" customHeight="1">
      <c r="A1043" s="547"/>
      <c r="B1043" s="550" t="s">
        <v>4387</v>
      </c>
      <c r="C1043" s="550" t="s">
        <v>4388</v>
      </c>
      <c r="D1043" s="550" t="s">
        <v>736</v>
      </c>
      <c r="E1043" s="550" t="s">
        <v>1592</v>
      </c>
      <c r="F1043" s="550" t="s">
        <v>13</v>
      </c>
      <c r="G1043" s="552">
        <v>3950</v>
      </c>
      <c r="H1043" s="552">
        <v>27532</v>
      </c>
      <c r="I1043" s="548">
        <v>0</v>
      </c>
      <c r="J1043" s="548">
        <v>27532</v>
      </c>
      <c r="K1043" s="552">
        <v>4900</v>
      </c>
      <c r="L1043" s="574">
        <v>22632</v>
      </c>
      <c r="M1043" s="548">
        <v>0</v>
      </c>
    </row>
    <row r="1044" spans="1:13" ht="15.95" customHeight="1">
      <c r="A1044" s="547"/>
      <c r="B1044" s="550" t="s">
        <v>4391</v>
      </c>
      <c r="C1044" s="550" t="s">
        <v>1882</v>
      </c>
      <c r="D1044" s="550" t="s">
        <v>4392</v>
      </c>
      <c r="E1044" s="550" t="s">
        <v>291</v>
      </c>
      <c r="F1044" s="550" t="s">
        <v>11</v>
      </c>
      <c r="G1044" s="552">
        <v>508</v>
      </c>
      <c r="H1044" s="552"/>
      <c r="I1044" s="548">
        <v>2000</v>
      </c>
      <c r="J1044" s="548">
        <v>2000</v>
      </c>
      <c r="K1044" s="552">
        <v>2000</v>
      </c>
      <c r="L1044" s="574">
        <v>0</v>
      </c>
      <c r="M1044" s="548">
        <v>0</v>
      </c>
    </row>
    <row r="1045" spans="1:13" ht="15.95" customHeight="1">
      <c r="A1045" s="547"/>
      <c r="B1045" s="550" t="s">
        <v>4391</v>
      </c>
      <c r="C1045" s="550" t="s">
        <v>1882</v>
      </c>
      <c r="D1045" s="550" t="s">
        <v>4392</v>
      </c>
      <c r="E1045" s="550" t="s">
        <v>291</v>
      </c>
      <c r="F1045" s="550" t="s">
        <v>11</v>
      </c>
      <c r="G1045" s="552">
        <v>508</v>
      </c>
      <c r="H1045" s="552">
        <v>2000</v>
      </c>
      <c r="I1045" s="548">
        <v>0</v>
      </c>
      <c r="J1045" s="548">
        <v>2000</v>
      </c>
      <c r="K1045" s="552">
        <v>2000</v>
      </c>
      <c r="L1045" s="574">
        <v>0</v>
      </c>
      <c r="M1045" s="548">
        <v>0</v>
      </c>
    </row>
    <row r="1046" spans="1:13" ht="15.95" customHeight="1">
      <c r="A1046" s="547"/>
      <c r="B1046" s="550" t="s">
        <v>4368</v>
      </c>
      <c r="C1046" s="550" t="s">
        <v>4394</v>
      </c>
      <c r="D1046" s="550" t="s">
        <v>1307</v>
      </c>
      <c r="E1046" s="550" t="s">
        <v>1004</v>
      </c>
      <c r="F1046" s="550" t="s">
        <v>11</v>
      </c>
      <c r="G1046" s="552">
        <v>72</v>
      </c>
      <c r="H1046" s="552"/>
      <c r="I1046" s="548">
        <v>28000</v>
      </c>
      <c r="J1046" s="548">
        <v>23000</v>
      </c>
      <c r="K1046" s="552">
        <v>23000</v>
      </c>
      <c r="L1046" s="574">
        <v>0</v>
      </c>
      <c r="M1046" s="548">
        <v>5000</v>
      </c>
    </row>
    <row r="1047" spans="1:13" ht="15.95" customHeight="1">
      <c r="A1047" s="547"/>
      <c r="B1047" s="550" t="s">
        <v>4368</v>
      </c>
      <c r="C1047" s="550" t="s">
        <v>4394</v>
      </c>
      <c r="D1047" s="550" t="s">
        <v>1307</v>
      </c>
      <c r="E1047" s="550" t="s">
        <v>1004</v>
      </c>
      <c r="F1047" s="550" t="s">
        <v>11</v>
      </c>
      <c r="G1047" s="552">
        <v>72</v>
      </c>
      <c r="H1047" s="552">
        <v>4284</v>
      </c>
      <c r="I1047" s="548">
        <v>0</v>
      </c>
      <c r="J1047" s="548">
        <v>4284</v>
      </c>
      <c r="K1047" s="552">
        <v>0</v>
      </c>
      <c r="L1047" s="574">
        <v>4284</v>
      </c>
      <c r="M1047" s="548">
        <v>0</v>
      </c>
    </row>
    <row r="1048" spans="1:13" ht="15.95" customHeight="1">
      <c r="A1048" s="547"/>
      <c r="B1048" s="550" t="s">
        <v>4368</v>
      </c>
      <c r="C1048" s="550" t="s">
        <v>4394</v>
      </c>
      <c r="D1048" s="550" t="s">
        <v>1307</v>
      </c>
      <c r="E1048" s="550" t="s">
        <v>1004</v>
      </c>
      <c r="F1048" s="550" t="s">
        <v>11</v>
      </c>
      <c r="G1048" s="552">
        <v>72</v>
      </c>
      <c r="H1048" s="552">
        <v>1000</v>
      </c>
      <c r="I1048" s="548">
        <v>0</v>
      </c>
      <c r="J1048" s="548">
        <v>1000</v>
      </c>
      <c r="K1048" s="552">
        <v>1000</v>
      </c>
      <c r="L1048" s="574">
        <v>0</v>
      </c>
      <c r="M1048" s="548">
        <v>0</v>
      </c>
    </row>
    <row r="1049" spans="1:13" ht="15.95" customHeight="1">
      <c r="A1049" s="547"/>
      <c r="B1049" s="550" t="s">
        <v>4397</v>
      </c>
      <c r="C1049" s="550" t="s">
        <v>4398</v>
      </c>
      <c r="D1049" s="550" t="s">
        <v>4399</v>
      </c>
      <c r="E1049" s="550" t="s">
        <v>4400</v>
      </c>
      <c r="F1049" s="550" t="s">
        <v>11</v>
      </c>
      <c r="G1049" s="552">
        <v>12482</v>
      </c>
      <c r="H1049" s="552"/>
      <c r="I1049" s="548">
        <v>2940</v>
      </c>
      <c r="J1049" s="548">
        <v>0</v>
      </c>
      <c r="K1049" s="552">
        <v>0</v>
      </c>
      <c r="L1049" s="574">
        <v>0</v>
      </c>
      <c r="M1049" s="548">
        <v>2940</v>
      </c>
    </row>
    <row r="1050" spans="1:13" ht="15.95" customHeight="1">
      <c r="A1050" s="547"/>
      <c r="B1050" s="550" t="s">
        <v>4397</v>
      </c>
      <c r="C1050" s="550" t="s">
        <v>4398</v>
      </c>
      <c r="D1050" s="550" t="s">
        <v>4399</v>
      </c>
      <c r="E1050" s="550" t="s">
        <v>4400</v>
      </c>
      <c r="F1050" s="550" t="s">
        <v>11</v>
      </c>
      <c r="G1050" s="552">
        <v>12482</v>
      </c>
      <c r="H1050" s="552">
        <v>1960</v>
      </c>
      <c r="I1050" s="548">
        <v>0</v>
      </c>
      <c r="J1050" s="548">
        <v>1611</v>
      </c>
      <c r="K1050" s="552">
        <v>0</v>
      </c>
      <c r="L1050" s="574">
        <v>1611</v>
      </c>
      <c r="M1050" s="548">
        <v>349</v>
      </c>
    </row>
    <row r="1051" spans="1:13" ht="15.95" customHeight="1">
      <c r="A1051" s="547"/>
      <c r="B1051" s="550" t="s">
        <v>4402</v>
      </c>
      <c r="C1051" s="550" t="s">
        <v>3672</v>
      </c>
      <c r="D1051" s="550" t="s">
        <v>4403</v>
      </c>
      <c r="E1051" s="550" t="s">
        <v>299</v>
      </c>
      <c r="F1051" s="550" t="s">
        <v>1011</v>
      </c>
      <c r="G1051" s="552">
        <v>13000</v>
      </c>
      <c r="H1051" s="552">
        <v>47</v>
      </c>
      <c r="I1051" s="548">
        <v>0</v>
      </c>
      <c r="J1051" s="548">
        <v>47</v>
      </c>
      <c r="K1051" s="552">
        <v>0</v>
      </c>
      <c r="L1051" s="574">
        <v>47</v>
      </c>
      <c r="M1051" s="548">
        <v>0</v>
      </c>
    </row>
    <row r="1052" spans="1:13" ht="15.95" customHeight="1">
      <c r="A1052" s="547"/>
      <c r="B1052" s="550" t="s">
        <v>4402</v>
      </c>
      <c r="C1052" s="550" t="s">
        <v>6366</v>
      </c>
      <c r="D1052" s="550" t="s">
        <v>4403</v>
      </c>
      <c r="E1052" s="550" t="s">
        <v>299</v>
      </c>
      <c r="F1052" s="550" t="s">
        <v>11</v>
      </c>
      <c r="G1052" s="552">
        <v>13000</v>
      </c>
      <c r="H1052" s="552"/>
      <c r="I1052" s="548">
        <v>300</v>
      </c>
      <c r="J1052" s="548">
        <v>31</v>
      </c>
      <c r="K1052" s="552">
        <v>0</v>
      </c>
      <c r="L1052" s="574">
        <v>31</v>
      </c>
      <c r="M1052" s="548">
        <v>269</v>
      </c>
    </row>
    <row r="1053" spans="1:13" ht="15.95" customHeight="1">
      <c r="A1053" s="547"/>
      <c r="B1053" s="550" t="s">
        <v>4761</v>
      </c>
      <c r="C1053" s="550" t="s">
        <v>199</v>
      </c>
      <c r="D1053" s="550" t="s">
        <v>200</v>
      </c>
      <c r="E1053" s="550" t="s">
        <v>4762</v>
      </c>
      <c r="F1053" s="550" t="s">
        <v>11</v>
      </c>
      <c r="G1053" s="552">
        <v>720</v>
      </c>
      <c r="H1053" s="552">
        <v>10000</v>
      </c>
      <c r="I1053" s="548">
        <v>0</v>
      </c>
      <c r="J1053" s="548">
        <v>10000</v>
      </c>
      <c r="K1053" s="552">
        <v>500</v>
      </c>
      <c r="L1053" s="574">
        <v>9500</v>
      </c>
      <c r="M1053" s="548">
        <v>0</v>
      </c>
    </row>
    <row r="1054" spans="1:13" ht="15.95" customHeight="1">
      <c r="A1054" s="547"/>
      <c r="B1054" s="550" t="s">
        <v>4761</v>
      </c>
      <c r="C1054" s="550" t="s">
        <v>199</v>
      </c>
      <c r="D1054" s="550" t="s">
        <v>200</v>
      </c>
      <c r="E1054" s="550" t="s">
        <v>4762</v>
      </c>
      <c r="F1054" s="550" t="s">
        <v>11</v>
      </c>
      <c r="G1054" s="552">
        <v>720</v>
      </c>
      <c r="H1054" s="552"/>
      <c r="I1054" s="548">
        <v>20000</v>
      </c>
      <c r="J1054" s="548">
        <v>20000</v>
      </c>
      <c r="K1054" s="552">
        <v>500</v>
      </c>
      <c r="L1054" s="574">
        <v>19500</v>
      </c>
      <c r="M1054" s="548">
        <v>0</v>
      </c>
    </row>
    <row r="1055" spans="1:13" ht="15.95" customHeight="1">
      <c r="A1055" s="547"/>
      <c r="B1055" s="550" t="s">
        <v>4761</v>
      </c>
      <c r="C1055" s="550" t="s">
        <v>199</v>
      </c>
      <c r="D1055" s="550" t="s">
        <v>200</v>
      </c>
      <c r="E1055" s="550" t="s">
        <v>4762</v>
      </c>
      <c r="F1055" s="550" t="s">
        <v>11</v>
      </c>
      <c r="G1055" s="552">
        <v>720</v>
      </c>
      <c r="H1055" s="552"/>
      <c r="I1055" s="548">
        <v>20000</v>
      </c>
      <c r="J1055" s="548">
        <v>0</v>
      </c>
      <c r="K1055" s="552">
        <v>0</v>
      </c>
      <c r="L1055" s="574">
        <v>0</v>
      </c>
      <c r="M1055" s="548">
        <v>20000</v>
      </c>
    </row>
    <row r="1056" spans="1:13" ht="15.95" customHeight="1">
      <c r="A1056" s="547"/>
      <c r="B1056" s="550" t="s">
        <v>4761</v>
      </c>
      <c r="C1056" s="550" t="s">
        <v>199</v>
      </c>
      <c r="D1056" s="550" t="s">
        <v>200</v>
      </c>
      <c r="E1056" s="550" t="s">
        <v>4762</v>
      </c>
      <c r="F1056" s="550" t="s">
        <v>11</v>
      </c>
      <c r="G1056" s="552">
        <v>720</v>
      </c>
      <c r="H1056" s="552"/>
      <c r="I1056" s="548">
        <v>10000</v>
      </c>
      <c r="J1056" s="548">
        <v>10000</v>
      </c>
      <c r="K1056" s="552">
        <v>0</v>
      </c>
      <c r="L1056" s="574">
        <v>10000</v>
      </c>
      <c r="M1056" s="548">
        <v>0</v>
      </c>
    </row>
    <row r="1057" spans="1:13" ht="15.95" customHeight="1">
      <c r="A1057" s="547"/>
      <c r="B1057" s="550" t="s">
        <v>3913</v>
      </c>
      <c r="C1057" s="550" t="s">
        <v>4405</v>
      </c>
      <c r="D1057" s="550" t="s">
        <v>1326</v>
      </c>
      <c r="E1057" s="550" t="s">
        <v>222</v>
      </c>
      <c r="F1057" s="550" t="s">
        <v>11</v>
      </c>
      <c r="G1057" s="552">
        <v>47</v>
      </c>
      <c r="H1057" s="552"/>
      <c r="I1057" s="548">
        <v>28000</v>
      </c>
      <c r="J1057" s="548">
        <v>25000</v>
      </c>
      <c r="K1057" s="552">
        <v>25000</v>
      </c>
      <c r="L1057" s="574">
        <v>0</v>
      </c>
      <c r="M1057" s="548">
        <v>3000</v>
      </c>
    </row>
    <row r="1058" spans="1:13" ht="15.95" customHeight="1">
      <c r="A1058" s="547"/>
      <c r="B1058" s="550" t="s">
        <v>5044</v>
      </c>
      <c r="C1058" s="550" t="s">
        <v>5045</v>
      </c>
      <c r="D1058" s="550" t="s">
        <v>1127</v>
      </c>
      <c r="E1058" s="550" t="s">
        <v>5046</v>
      </c>
      <c r="F1058" s="550" t="s">
        <v>11</v>
      </c>
      <c r="G1058" s="552">
        <v>378</v>
      </c>
      <c r="H1058" s="552"/>
      <c r="I1058" s="548">
        <v>19000</v>
      </c>
      <c r="J1058" s="548">
        <v>19000</v>
      </c>
      <c r="K1058" s="552">
        <v>19000</v>
      </c>
      <c r="L1058" s="574">
        <v>0</v>
      </c>
      <c r="M1058" s="548">
        <v>0</v>
      </c>
    </row>
    <row r="1059" spans="1:13" ht="15.95" customHeight="1">
      <c r="A1059" s="547"/>
      <c r="B1059" s="550" t="s">
        <v>4406</v>
      </c>
      <c r="C1059" s="550" t="s">
        <v>4407</v>
      </c>
      <c r="D1059" s="550" t="s">
        <v>1212</v>
      </c>
      <c r="E1059" s="550" t="s">
        <v>945</v>
      </c>
      <c r="F1059" s="550" t="s">
        <v>12</v>
      </c>
      <c r="G1059" s="552">
        <v>728</v>
      </c>
      <c r="H1059" s="552"/>
      <c r="I1059" s="548">
        <v>3800</v>
      </c>
      <c r="J1059" s="548">
        <v>3800</v>
      </c>
      <c r="K1059" s="552">
        <v>3800</v>
      </c>
      <c r="L1059" s="574">
        <v>0</v>
      </c>
      <c r="M1059" s="548">
        <v>0</v>
      </c>
    </row>
    <row r="1060" spans="1:13" ht="15.95" customHeight="1">
      <c r="A1060" s="547"/>
      <c r="B1060" s="550" t="s">
        <v>4406</v>
      </c>
      <c r="C1060" s="550" t="s">
        <v>4407</v>
      </c>
      <c r="D1060" s="550" t="s">
        <v>1212</v>
      </c>
      <c r="E1060" s="550" t="s">
        <v>945</v>
      </c>
      <c r="F1060" s="550" t="s">
        <v>12</v>
      </c>
      <c r="G1060" s="552">
        <v>728</v>
      </c>
      <c r="H1060" s="552"/>
      <c r="I1060" s="548">
        <v>1400</v>
      </c>
      <c r="J1060" s="548">
        <v>1400</v>
      </c>
      <c r="K1060" s="552">
        <v>1400</v>
      </c>
      <c r="L1060" s="574">
        <v>0</v>
      </c>
      <c r="M1060" s="548">
        <v>0</v>
      </c>
    </row>
    <row r="1061" spans="1:13" ht="15.95" customHeight="1">
      <c r="A1061" s="547"/>
      <c r="B1061" s="550" t="s">
        <v>4408</v>
      </c>
      <c r="C1061" s="550" t="s">
        <v>4409</v>
      </c>
      <c r="D1061" s="550" t="s">
        <v>1289</v>
      </c>
      <c r="E1061" s="550" t="s">
        <v>1290</v>
      </c>
      <c r="F1061" s="550" t="s">
        <v>11</v>
      </c>
      <c r="G1061" s="552">
        <v>434</v>
      </c>
      <c r="H1061" s="552">
        <v>7405</v>
      </c>
      <c r="I1061" s="548">
        <v>0</v>
      </c>
      <c r="J1061" s="548">
        <v>2692</v>
      </c>
      <c r="K1061" s="552">
        <v>0</v>
      </c>
      <c r="L1061" s="574">
        <v>2692</v>
      </c>
      <c r="M1061" s="548">
        <v>4713</v>
      </c>
    </row>
    <row r="1062" spans="1:13" ht="15.95" customHeight="1">
      <c r="A1062" s="547"/>
      <c r="B1062" s="550" t="s">
        <v>4411</v>
      </c>
      <c r="C1062" s="550" t="s">
        <v>3472</v>
      </c>
      <c r="D1062" s="550" t="s">
        <v>392</v>
      </c>
      <c r="E1062" s="550" t="s">
        <v>267</v>
      </c>
      <c r="F1062" s="550" t="s">
        <v>11</v>
      </c>
      <c r="G1062" s="552">
        <v>287</v>
      </c>
      <c r="H1062" s="552"/>
      <c r="I1062" s="548">
        <v>2000</v>
      </c>
      <c r="J1062" s="548">
        <v>2000</v>
      </c>
      <c r="K1062" s="552">
        <v>2000</v>
      </c>
      <c r="L1062" s="574">
        <v>0</v>
      </c>
      <c r="M1062" s="548">
        <v>0</v>
      </c>
    </row>
    <row r="1063" spans="1:13" ht="15.95" customHeight="1">
      <c r="A1063" s="547"/>
      <c r="B1063" s="550" t="s">
        <v>4411</v>
      </c>
      <c r="C1063" s="550" t="s">
        <v>3472</v>
      </c>
      <c r="D1063" s="550" t="s">
        <v>392</v>
      </c>
      <c r="E1063" s="550" t="s">
        <v>267</v>
      </c>
      <c r="F1063" s="550" t="s">
        <v>11</v>
      </c>
      <c r="G1063" s="552">
        <v>287</v>
      </c>
      <c r="H1063" s="552"/>
      <c r="I1063" s="548">
        <v>5000</v>
      </c>
      <c r="J1063" s="548">
        <v>3000</v>
      </c>
      <c r="K1063" s="552">
        <v>3000</v>
      </c>
      <c r="L1063" s="574">
        <v>0</v>
      </c>
      <c r="M1063" s="548">
        <v>2000</v>
      </c>
    </row>
    <row r="1064" spans="1:13" ht="15.95" customHeight="1">
      <c r="A1064" s="547"/>
      <c r="B1064" s="550" t="s">
        <v>4412</v>
      </c>
      <c r="C1064" s="550" t="s">
        <v>4413</v>
      </c>
      <c r="D1064" s="550" t="s">
        <v>4414</v>
      </c>
      <c r="E1064" s="550" t="s">
        <v>4415</v>
      </c>
      <c r="F1064" s="550" t="s">
        <v>11</v>
      </c>
      <c r="G1064" s="552">
        <v>348</v>
      </c>
      <c r="H1064" s="552"/>
      <c r="I1064" s="548">
        <v>10000</v>
      </c>
      <c r="J1064" s="548">
        <v>10000</v>
      </c>
      <c r="K1064" s="552">
        <v>1000</v>
      </c>
      <c r="L1064" s="574">
        <v>9000</v>
      </c>
      <c r="M1064" s="548">
        <v>0</v>
      </c>
    </row>
    <row r="1065" spans="1:13" ht="15.95" customHeight="1">
      <c r="A1065" s="547"/>
      <c r="B1065" s="550" t="s">
        <v>8653</v>
      </c>
      <c r="C1065" s="550" t="s">
        <v>12451</v>
      </c>
      <c r="D1065" s="550" t="s">
        <v>12452</v>
      </c>
      <c r="E1065" s="550" t="s">
        <v>12453</v>
      </c>
      <c r="F1065" s="550" t="s">
        <v>11</v>
      </c>
      <c r="G1065" s="552">
        <v>1020</v>
      </c>
      <c r="H1065" s="552"/>
      <c r="I1065" s="548">
        <v>6000</v>
      </c>
      <c r="J1065" s="548">
        <v>6000</v>
      </c>
      <c r="K1065" s="552">
        <v>0</v>
      </c>
      <c r="L1065" s="574">
        <v>6000</v>
      </c>
      <c r="M1065" s="548">
        <v>0</v>
      </c>
    </row>
    <row r="1066" spans="1:13" ht="15.95" customHeight="1">
      <c r="A1066" s="547"/>
      <c r="B1066" s="550" t="s">
        <v>8653</v>
      </c>
      <c r="C1066" s="550" t="s">
        <v>12451</v>
      </c>
      <c r="D1066" s="550" t="s">
        <v>12452</v>
      </c>
      <c r="E1066" s="550" t="s">
        <v>12453</v>
      </c>
      <c r="F1066" s="550" t="s">
        <v>11</v>
      </c>
      <c r="G1066" s="552">
        <v>1020</v>
      </c>
      <c r="H1066" s="552"/>
      <c r="I1066" s="548">
        <v>5000</v>
      </c>
      <c r="J1066" s="548">
        <v>0</v>
      </c>
      <c r="K1066" s="552">
        <v>0</v>
      </c>
      <c r="L1066" s="574">
        <v>0</v>
      </c>
      <c r="M1066" s="548">
        <v>5000</v>
      </c>
    </row>
    <row r="1067" spans="1:13" ht="15.95" customHeight="1">
      <c r="A1067" s="547"/>
      <c r="B1067" s="550" t="s">
        <v>8653</v>
      </c>
      <c r="C1067" s="550" t="s">
        <v>12451</v>
      </c>
      <c r="D1067" s="550" t="s">
        <v>12452</v>
      </c>
      <c r="E1067" s="550" t="s">
        <v>12453</v>
      </c>
      <c r="F1067" s="550" t="s">
        <v>11</v>
      </c>
      <c r="G1067" s="552">
        <v>1020</v>
      </c>
      <c r="H1067" s="552"/>
      <c r="I1067" s="548">
        <v>10000</v>
      </c>
      <c r="J1067" s="548">
        <v>10000</v>
      </c>
      <c r="K1067" s="552">
        <v>0</v>
      </c>
      <c r="L1067" s="574">
        <v>10000</v>
      </c>
      <c r="M1067" s="548">
        <v>0</v>
      </c>
    </row>
    <row r="1068" spans="1:13" ht="15.95" customHeight="1">
      <c r="A1068" s="547"/>
      <c r="B1068" s="550" t="s">
        <v>8653</v>
      </c>
      <c r="C1068" s="550" t="s">
        <v>12451</v>
      </c>
      <c r="D1068" s="550" t="s">
        <v>12452</v>
      </c>
      <c r="E1068" s="550" t="s">
        <v>12453</v>
      </c>
      <c r="F1068" s="550" t="s">
        <v>11</v>
      </c>
      <c r="G1068" s="552">
        <v>1020</v>
      </c>
      <c r="H1068" s="552"/>
      <c r="I1068" s="548">
        <v>6000</v>
      </c>
      <c r="J1068" s="548">
        <v>6000</v>
      </c>
      <c r="K1068" s="552">
        <v>0</v>
      </c>
      <c r="L1068" s="574">
        <v>6000</v>
      </c>
      <c r="M1068" s="548">
        <v>0</v>
      </c>
    </row>
    <row r="1069" spans="1:13" ht="15.95" customHeight="1">
      <c r="A1069" s="547"/>
      <c r="B1069" s="550" t="s">
        <v>4203</v>
      </c>
      <c r="C1069" s="550" t="s">
        <v>4416</v>
      </c>
      <c r="D1069" s="550" t="s">
        <v>592</v>
      </c>
      <c r="E1069" s="550" t="s">
        <v>594</v>
      </c>
      <c r="F1069" s="550" t="s">
        <v>11</v>
      </c>
      <c r="G1069" s="552">
        <v>357</v>
      </c>
      <c r="H1069" s="552">
        <v>153</v>
      </c>
      <c r="I1069" s="548">
        <v>0</v>
      </c>
      <c r="J1069" s="548">
        <v>153</v>
      </c>
      <c r="K1069" s="552">
        <v>153</v>
      </c>
      <c r="L1069" s="574">
        <v>0</v>
      </c>
      <c r="M1069" s="548">
        <v>0</v>
      </c>
    </row>
    <row r="1070" spans="1:13" ht="15.95" customHeight="1">
      <c r="A1070" s="547"/>
      <c r="B1070" s="550" t="s">
        <v>4418</v>
      </c>
      <c r="C1070" s="550" t="s">
        <v>4419</v>
      </c>
      <c r="D1070" s="550" t="s">
        <v>729</v>
      </c>
      <c r="E1070" s="550" t="s">
        <v>17</v>
      </c>
      <c r="F1070" s="550" t="s">
        <v>11</v>
      </c>
      <c r="G1070" s="552">
        <v>443</v>
      </c>
      <c r="H1070" s="552">
        <v>6264</v>
      </c>
      <c r="I1070" s="548">
        <v>0</v>
      </c>
      <c r="J1070" s="548">
        <v>6264</v>
      </c>
      <c r="K1070" s="552">
        <v>0</v>
      </c>
      <c r="L1070" s="574">
        <v>6264</v>
      </c>
      <c r="M1070" s="548">
        <v>0</v>
      </c>
    </row>
    <row r="1071" spans="1:13" ht="15.95" customHeight="1">
      <c r="A1071" s="547"/>
      <c r="B1071" s="550" t="s">
        <v>4418</v>
      </c>
      <c r="C1071" s="550" t="s">
        <v>4419</v>
      </c>
      <c r="D1071" s="550" t="s">
        <v>729</v>
      </c>
      <c r="E1071" s="550" t="s">
        <v>17</v>
      </c>
      <c r="F1071" s="550" t="s">
        <v>11</v>
      </c>
      <c r="G1071" s="552">
        <v>443</v>
      </c>
      <c r="H1071" s="552"/>
      <c r="I1071" s="548">
        <v>30000</v>
      </c>
      <c r="J1071" s="548">
        <v>1863</v>
      </c>
      <c r="K1071" s="552">
        <v>0</v>
      </c>
      <c r="L1071" s="574">
        <v>1863</v>
      </c>
      <c r="M1071" s="548">
        <v>28137</v>
      </c>
    </row>
    <row r="1072" spans="1:13" ht="15.95" customHeight="1">
      <c r="A1072" s="547"/>
      <c r="B1072" s="550" t="s">
        <v>3910</v>
      </c>
      <c r="C1072" s="550" t="s">
        <v>4421</v>
      </c>
      <c r="D1072" s="550" t="s">
        <v>1215</v>
      </c>
      <c r="E1072" s="550" t="s">
        <v>1217</v>
      </c>
      <c r="F1072" s="550" t="s">
        <v>11</v>
      </c>
      <c r="G1072" s="552">
        <v>2990</v>
      </c>
      <c r="H1072" s="552">
        <v>1894</v>
      </c>
      <c r="I1072" s="548">
        <v>0</v>
      </c>
      <c r="J1072" s="548">
        <v>1894</v>
      </c>
      <c r="K1072" s="552">
        <v>0</v>
      </c>
      <c r="L1072" s="574">
        <v>1894</v>
      </c>
      <c r="M1072" s="548">
        <v>0</v>
      </c>
    </row>
    <row r="1073" spans="1:13" ht="15.95" customHeight="1">
      <c r="A1073" s="547"/>
      <c r="B1073" s="550" t="s">
        <v>3910</v>
      </c>
      <c r="C1073" s="550" t="s">
        <v>4421</v>
      </c>
      <c r="D1073" s="550" t="s">
        <v>1215</v>
      </c>
      <c r="E1073" s="550" t="s">
        <v>1217</v>
      </c>
      <c r="F1073" s="550" t="s">
        <v>11</v>
      </c>
      <c r="G1073" s="552">
        <v>2990</v>
      </c>
      <c r="H1073" s="552"/>
      <c r="I1073" s="548">
        <v>3000</v>
      </c>
      <c r="J1073" s="548">
        <v>0</v>
      </c>
      <c r="K1073" s="552">
        <v>0</v>
      </c>
      <c r="L1073" s="574">
        <v>0</v>
      </c>
      <c r="M1073" s="548">
        <v>3000</v>
      </c>
    </row>
    <row r="1074" spans="1:13" ht="15.95" customHeight="1">
      <c r="A1074" s="547"/>
      <c r="B1074" s="550" t="s">
        <v>5047</v>
      </c>
      <c r="C1074" s="550" t="s">
        <v>1185</v>
      </c>
      <c r="D1074" s="550" t="s">
        <v>5042</v>
      </c>
      <c r="E1074" s="550" t="s">
        <v>1186</v>
      </c>
      <c r="F1074" s="550" t="s">
        <v>11</v>
      </c>
      <c r="G1074" s="552">
        <v>2650</v>
      </c>
      <c r="H1074" s="552">
        <v>2</v>
      </c>
      <c r="I1074" s="548">
        <v>0</v>
      </c>
      <c r="J1074" s="548">
        <v>2</v>
      </c>
      <c r="K1074" s="552">
        <v>1</v>
      </c>
      <c r="L1074" s="574">
        <v>1</v>
      </c>
      <c r="M1074" s="548">
        <v>0</v>
      </c>
    </row>
    <row r="1075" spans="1:13" ht="15.95" customHeight="1">
      <c r="A1075" s="547"/>
      <c r="B1075" s="550" t="s">
        <v>4423</v>
      </c>
      <c r="C1075" s="550" t="s">
        <v>1491</v>
      </c>
      <c r="D1075" s="550" t="s">
        <v>638</v>
      </c>
      <c r="E1075" s="550" t="s">
        <v>429</v>
      </c>
      <c r="F1075" s="550" t="s">
        <v>12</v>
      </c>
      <c r="G1075" s="552">
        <v>4800</v>
      </c>
      <c r="H1075" s="552">
        <v>1421</v>
      </c>
      <c r="I1075" s="548">
        <v>0</v>
      </c>
      <c r="J1075" s="548">
        <v>1421</v>
      </c>
      <c r="K1075" s="552">
        <v>0</v>
      </c>
      <c r="L1075" s="574">
        <v>1421</v>
      </c>
      <c r="M1075" s="548">
        <v>0</v>
      </c>
    </row>
    <row r="1076" spans="1:13" ht="15.95" customHeight="1">
      <c r="A1076" s="547"/>
      <c r="B1076" s="550" t="s">
        <v>4425</v>
      </c>
      <c r="C1076" s="550" t="s">
        <v>4426</v>
      </c>
      <c r="D1076" s="550" t="s">
        <v>1526</v>
      </c>
      <c r="E1076" s="550" t="s">
        <v>4427</v>
      </c>
      <c r="F1076" s="550" t="s">
        <v>658</v>
      </c>
      <c r="G1076" s="552">
        <v>76379</v>
      </c>
      <c r="H1076" s="552"/>
      <c r="I1076" s="548">
        <v>104</v>
      </c>
      <c r="J1076" s="548">
        <v>11</v>
      </c>
      <c r="K1076" s="552">
        <v>11</v>
      </c>
      <c r="L1076" s="574">
        <v>0</v>
      </c>
      <c r="M1076" s="548">
        <v>93</v>
      </c>
    </row>
    <row r="1077" spans="1:13" ht="15.95" customHeight="1">
      <c r="A1077" s="547"/>
      <c r="B1077" s="550" t="s">
        <v>4425</v>
      </c>
      <c r="C1077" s="550" t="s">
        <v>4426</v>
      </c>
      <c r="D1077" s="550" t="s">
        <v>1526</v>
      </c>
      <c r="E1077" s="550" t="s">
        <v>4427</v>
      </c>
      <c r="F1077" s="550" t="s">
        <v>658</v>
      </c>
      <c r="G1077" s="552">
        <v>76379</v>
      </c>
      <c r="H1077" s="552">
        <v>39</v>
      </c>
      <c r="I1077" s="548">
        <v>0</v>
      </c>
      <c r="J1077" s="548">
        <v>39</v>
      </c>
      <c r="K1077" s="552">
        <v>28</v>
      </c>
      <c r="L1077" s="574">
        <v>11</v>
      </c>
      <c r="M1077" s="548">
        <v>0</v>
      </c>
    </row>
    <row r="1078" spans="1:13" ht="15.95" customHeight="1">
      <c r="A1078" s="547"/>
      <c r="B1078" s="550" t="s">
        <v>4425</v>
      </c>
      <c r="C1078" s="550" t="s">
        <v>4426</v>
      </c>
      <c r="D1078" s="550" t="s">
        <v>1526</v>
      </c>
      <c r="E1078" s="550" t="s">
        <v>4427</v>
      </c>
      <c r="F1078" s="550" t="s">
        <v>658</v>
      </c>
      <c r="G1078" s="552">
        <v>76379</v>
      </c>
      <c r="H1078" s="552"/>
      <c r="I1078" s="548">
        <v>54</v>
      </c>
      <c r="J1078" s="548">
        <v>41</v>
      </c>
      <c r="K1078" s="552">
        <v>26</v>
      </c>
      <c r="L1078" s="574">
        <v>15</v>
      </c>
      <c r="M1078" s="548">
        <v>13</v>
      </c>
    </row>
    <row r="1079" spans="1:13" ht="15.95" customHeight="1">
      <c r="A1079" s="547"/>
      <c r="B1079" s="550" t="s">
        <v>4429</v>
      </c>
      <c r="C1079" s="550" t="s">
        <v>925</v>
      </c>
      <c r="D1079" s="550" t="s">
        <v>919</v>
      </c>
      <c r="E1079" s="550" t="s">
        <v>1017</v>
      </c>
      <c r="F1079" s="550" t="s">
        <v>628</v>
      </c>
      <c r="G1079" s="552">
        <v>4575</v>
      </c>
      <c r="H1079" s="552">
        <v>1147</v>
      </c>
      <c r="I1079" s="548">
        <v>14</v>
      </c>
      <c r="J1079" s="548">
        <v>1161</v>
      </c>
      <c r="K1079" s="552">
        <v>1161</v>
      </c>
      <c r="L1079" s="574">
        <v>0</v>
      </c>
      <c r="M1079" s="548">
        <v>0</v>
      </c>
    </row>
    <row r="1080" spans="1:13" ht="15.95" customHeight="1">
      <c r="A1080" s="547"/>
      <c r="B1080" s="550" t="s">
        <v>4431</v>
      </c>
      <c r="C1080" s="550" t="s">
        <v>925</v>
      </c>
      <c r="D1080" s="550" t="s">
        <v>919</v>
      </c>
      <c r="E1080" s="550" t="s">
        <v>926</v>
      </c>
      <c r="F1080" s="550" t="s">
        <v>628</v>
      </c>
      <c r="G1080" s="552">
        <v>8513</v>
      </c>
      <c r="H1080" s="552">
        <v>276</v>
      </c>
      <c r="I1080" s="548">
        <v>0</v>
      </c>
      <c r="J1080" s="548">
        <v>276</v>
      </c>
      <c r="K1080" s="552">
        <v>276</v>
      </c>
      <c r="L1080" s="574">
        <v>0</v>
      </c>
      <c r="M1080" s="548">
        <v>0</v>
      </c>
    </row>
    <row r="1081" spans="1:13" ht="15.95" customHeight="1">
      <c r="A1081" s="547"/>
      <c r="B1081" s="550" t="s">
        <v>5616</v>
      </c>
      <c r="C1081" s="550" t="s">
        <v>5618</v>
      </c>
      <c r="D1081" s="550" t="s">
        <v>1526</v>
      </c>
      <c r="E1081" s="550" t="s">
        <v>5617</v>
      </c>
      <c r="F1081" s="550" t="s">
        <v>520</v>
      </c>
      <c r="G1081" s="552">
        <v>4575</v>
      </c>
      <c r="H1081" s="552"/>
      <c r="I1081" s="548">
        <v>918</v>
      </c>
      <c r="J1081" s="548">
        <v>360</v>
      </c>
      <c r="K1081" s="552">
        <v>60</v>
      </c>
      <c r="L1081" s="574">
        <v>300</v>
      </c>
      <c r="M1081" s="548">
        <v>558</v>
      </c>
    </row>
    <row r="1082" spans="1:13" ht="15.95" customHeight="1">
      <c r="A1082" s="547"/>
      <c r="B1082" s="550" t="s">
        <v>5616</v>
      </c>
      <c r="C1082" s="550" t="s">
        <v>5618</v>
      </c>
      <c r="D1082" s="550" t="s">
        <v>1526</v>
      </c>
      <c r="E1082" s="550" t="s">
        <v>5617</v>
      </c>
      <c r="F1082" s="550" t="s">
        <v>520</v>
      </c>
      <c r="G1082" s="552">
        <v>4575</v>
      </c>
      <c r="H1082" s="552"/>
      <c r="I1082" s="548">
        <v>300</v>
      </c>
      <c r="J1082" s="548">
        <v>0</v>
      </c>
      <c r="K1082" s="552">
        <v>0</v>
      </c>
      <c r="L1082" s="574">
        <v>0</v>
      </c>
      <c r="M1082" s="548">
        <v>300</v>
      </c>
    </row>
    <row r="1083" spans="1:13" ht="15.95" customHeight="1">
      <c r="A1083" s="547"/>
      <c r="B1083" s="550" t="s">
        <v>5624</v>
      </c>
      <c r="C1083" s="550" t="s">
        <v>5626</v>
      </c>
      <c r="D1083" s="550" t="s">
        <v>1526</v>
      </c>
      <c r="E1083" s="550" t="s">
        <v>5625</v>
      </c>
      <c r="F1083" s="550" t="s">
        <v>520</v>
      </c>
      <c r="G1083" s="552">
        <v>8513</v>
      </c>
      <c r="H1083" s="552"/>
      <c r="I1083" s="548">
        <v>924</v>
      </c>
      <c r="J1083" s="548">
        <v>892</v>
      </c>
      <c r="K1083" s="552">
        <v>652</v>
      </c>
      <c r="L1083" s="574">
        <v>240</v>
      </c>
      <c r="M1083" s="548">
        <v>32</v>
      </c>
    </row>
    <row r="1084" spans="1:13" ht="15.95" customHeight="1">
      <c r="A1084" s="547"/>
      <c r="B1084" s="550" t="s">
        <v>5624</v>
      </c>
      <c r="C1084" s="550" t="s">
        <v>5626</v>
      </c>
      <c r="D1084" s="550" t="s">
        <v>1526</v>
      </c>
      <c r="E1084" s="550" t="s">
        <v>5625</v>
      </c>
      <c r="F1084" s="550" t="s">
        <v>520</v>
      </c>
      <c r="G1084" s="552">
        <v>8513</v>
      </c>
      <c r="H1084" s="552"/>
      <c r="I1084" s="548">
        <v>120</v>
      </c>
      <c r="J1084" s="548">
        <v>0</v>
      </c>
      <c r="K1084" s="552">
        <v>0</v>
      </c>
      <c r="L1084" s="574">
        <v>0</v>
      </c>
      <c r="M1084" s="548">
        <v>120</v>
      </c>
    </row>
    <row r="1085" spans="1:13" ht="15.95" customHeight="1">
      <c r="A1085" s="547"/>
      <c r="B1085" s="550" t="s">
        <v>5624</v>
      </c>
      <c r="C1085" s="550" t="s">
        <v>5626</v>
      </c>
      <c r="D1085" s="550" t="s">
        <v>1526</v>
      </c>
      <c r="E1085" s="550" t="s">
        <v>5625</v>
      </c>
      <c r="F1085" s="550" t="s">
        <v>520</v>
      </c>
      <c r="G1085" s="552">
        <v>8513</v>
      </c>
      <c r="H1085" s="552"/>
      <c r="I1085" s="548">
        <v>2880</v>
      </c>
      <c r="J1085" s="548">
        <v>9</v>
      </c>
      <c r="K1085" s="552">
        <v>0</v>
      </c>
      <c r="L1085" s="574">
        <v>9</v>
      </c>
      <c r="M1085" s="548">
        <v>2871</v>
      </c>
    </row>
    <row r="1086" spans="1:13" ht="15.95" customHeight="1">
      <c r="A1086" s="547"/>
      <c r="B1086" s="550" t="s">
        <v>4431</v>
      </c>
      <c r="C1086" s="550" t="s">
        <v>5626</v>
      </c>
      <c r="D1086" s="550" t="s">
        <v>1526</v>
      </c>
      <c r="E1086" s="550" t="s">
        <v>5755</v>
      </c>
      <c r="F1086" s="550" t="s">
        <v>520</v>
      </c>
      <c r="G1086" s="552">
        <v>8513</v>
      </c>
      <c r="H1086" s="552"/>
      <c r="I1086" s="548">
        <v>1503</v>
      </c>
      <c r="J1086" s="548">
        <v>183</v>
      </c>
      <c r="K1086" s="552">
        <v>183</v>
      </c>
      <c r="L1086" s="574">
        <v>0</v>
      </c>
      <c r="M1086" s="548">
        <v>1320</v>
      </c>
    </row>
    <row r="1087" spans="1:13" ht="15.95" customHeight="1">
      <c r="A1087" s="547"/>
      <c r="B1087" s="550" t="s">
        <v>4944</v>
      </c>
      <c r="C1087" s="550" t="s">
        <v>4945</v>
      </c>
      <c r="D1087" s="550" t="s">
        <v>246</v>
      </c>
      <c r="E1087" s="550" t="s">
        <v>248</v>
      </c>
      <c r="F1087" s="550" t="s">
        <v>10</v>
      </c>
      <c r="G1087" s="552">
        <v>1785</v>
      </c>
      <c r="H1087" s="552">
        <v>13</v>
      </c>
      <c r="I1087" s="548">
        <v>0</v>
      </c>
      <c r="J1087" s="548">
        <v>13</v>
      </c>
      <c r="K1087" s="552">
        <v>0</v>
      </c>
      <c r="L1087" s="574">
        <v>13</v>
      </c>
      <c r="M1087" s="548">
        <v>0</v>
      </c>
    </row>
    <row r="1088" spans="1:13" ht="15.95" customHeight="1">
      <c r="A1088" s="547"/>
      <c r="B1088" s="550" t="s">
        <v>4944</v>
      </c>
      <c r="C1088" s="550" t="s">
        <v>4945</v>
      </c>
      <c r="D1088" s="550" t="s">
        <v>246</v>
      </c>
      <c r="E1088" s="550" t="s">
        <v>248</v>
      </c>
      <c r="F1088" s="550" t="s">
        <v>10</v>
      </c>
      <c r="G1088" s="552">
        <v>1785</v>
      </c>
      <c r="H1088" s="552">
        <v>3665</v>
      </c>
      <c r="I1088" s="548">
        <v>0</v>
      </c>
      <c r="J1088" s="548">
        <v>2037</v>
      </c>
      <c r="K1088" s="552">
        <v>200</v>
      </c>
      <c r="L1088" s="574">
        <v>1837</v>
      </c>
      <c r="M1088" s="548">
        <v>1628</v>
      </c>
    </row>
    <row r="1089" spans="1:13" ht="15.95" customHeight="1">
      <c r="A1089" s="547"/>
      <c r="B1089" s="550" t="s">
        <v>4763</v>
      </c>
      <c r="C1089" s="550" t="s">
        <v>201</v>
      </c>
      <c r="D1089" s="550" t="s">
        <v>202</v>
      </c>
      <c r="E1089" s="550" t="s">
        <v>203</v>
      </c>
      <c r="F1089" s="550" t="s">
        <v>10</v>
      </c>
      <c r="G1089" s="552">
        <v>968</v>
      </c>
      <c r="H1089" s="552">
        <v>19261</v>
      </c>
      <c r="I1089" s="548">
        <v>800</v>
      </c>
      <c r="J1089" s="548">
        <v>20061</v>
      </c>
      <c r="K1089" s="552">
        <v>3800</v>
      </c>
      <c r="L1089" s="574">
        <v>16261</v>
      </c>
      <c r="M1089" s="548">
        <v>0</v>
      </c>
    </row>
    <row r="1090" spans="1:13" ht="15.95" customHeight="1">
      <c r="A1090" s="547"/>
      <c r="B1090" s="550" t="s">
        <v>4763</v>
      </c>
      <c r="C1090" s="550" t="s">
        <v>201</v>
      </c>
      <c r="D1090" s="550" t="s">
        <v>202</v>
      </c>
      <c r="E1090" s="550" t="s">
        <v>8764</v>
      </c>
      <c r="F1090" s="550" t="s">
        <v>11</v>
      </c>
      <c r="G1090" s="552">
        <v>965</v>
      </c>
      <c r="H1090" s="552"/>
      <c r="I1090" s="548">
        <v>6400</v>
      </c>
      <c r="J1090" s="548">
        <v>6400</v>
      </c>
      <c r="K1090" s="552">
        <v>1400</v>
      </c>
      <c r="L1090" s="574">
        <v>5000</v>
      </c>
      <c r="M1090" s="548">
        <v>0</v>
      </c>
    </row>
    <row r="1091" spans="1:13" ht="15.95" customHeight="1">
      <c r="A1091" s="547"/>
      <c r="B1091" s="550" t="s">
        <v>4434</v>
      </c>
      <c r="C1091" s="550" t="s">
        <v>819</v>
      </c>
      <c r="D1091" s="550" t="s">
        <v>816</v>
      </c>
      <c r="E1091" s="550" t="s">
        <v>299</v>
      </c>
      <c r="F1091" s="550" t="s">
        <v>11</v>
      </c>
      <c r="G1091" s="552">
        <v>357</v>
      </c>
      <c r="H1091" s="552">
        <v>52</v>
      </c>
      <c r="I1091" s="548">
        <v>2</v>
      </c>
      <c r="J1091" s="548">
        <v>44</v>
      </c>
      <c r="K1091" s="552">
        <v>44</v>
      </c>
      <c r="L1091" s="574">
        <v>0</v>
      </c>
      <c r="M1091" s="548">
        <v>10</v>
      </c>
    </row>
    <row r="1092" spans="1:13" ht="15.95" customHeight="1">
      <c r="A1092" s="547"/>
      <c r="B1092" s="550" t="s">
        <v>4434</v>
      </c>
      <c r="C1092" s="550" t="s">
        <v>819</v>
      </c>
      <c r="D1092" s="550" t="s">
        <v>816</v>
      </c>
      <c r="E1092" s="550" t="s">
        <v>299</v>
      </c>
      <c r="F1092" s="550" t="s">
        <v>11</v>
      </c>
      <c r="G1092" s="552">
        <v>380</v>
      </c>
      <c r="H1092" s="552"/>
      <c r="I1092" s="548">
        <v>9990</v>
      </c>
      <c r="J1092" s="548">
        <v>14</v>
      </c>
      <c r="K1092" s="552">
        <v>14</v>
      </c>
      <c r="L1092" s="574">
        <v>0</v>
      </c>
      <c r="M1092" s="548">
        <v>9976</v>
      </c>
    </row>
    <row r="1093" spans="1:13" ht="15.95" customHeight="1">
      <c r="A1093" s="547"/>
      <c r="B1093" s="550" t="s">
        <v>4765</v>
      </c>
      <c r="C1093" s="550" t="s">
        <v>4766</v>
      </c>
      <c r="D1093" s="550" t="s">
        <v>4767</v>
      </c>
      <c r="E1093" s="550" t="s">
        <v>4768</v>
      </c>
      <c r="F1093" s="550" t="s">
        <v>11</v>
      </c>
      <c r="G1093" s="552">
        <v>900</v>
      </c>
      <c r="H1093" s="552"/>
      <c r="I1093" s="548">
        <v>4980</v>
      </c>
      <c r="J1093" s="548">
        <v>0</v>
      </c>
      <c r="K1093" s="552">
        <v>0</v>
      </c>
      <c r="L1093" s="574">
        <v>0</v>
      </c>
      <c r="M1093" s="548">
        <v>4980</v>
      </c>
    </row>
    <row r="1094" spans="1:13" ht="15.95" customHeight="1">
      <c r="A1094" s="547"/>
      <c r="B1094" s="550" t="s">
        <v>4765</v>
      </c>
      <c r="C1094" s="550" t="s">
        <v>4766</v>
      </c>
      <c r="D1094" s="550" t="s">
        <v>4767</v>
      </c>
      <c r="E1094" s="550" t="s">
        <v>4768</v>
      </c>
      <c r="F1094" s="550" t="s">
        <v>11</v>
      </c>
      <c r="G1094" s="552">
        <v>900</v>
      </c>
      <c r="H1094" s="552">
        <v>4</v>
      </c>
      <c r="I1094" s="548">
        <v>0</v>
      </c>
      <c r="J1094" s="548">
        <v>4</v>
      </c>
      <c r="K1094" s="552">
        <v>0</v>
      </c>
      <c r="L1094" s="574">
        <v>4</v>
      </c>
      <c r="M1094" s="548">
        <v>0</v>
      </c>
    </row>
    <row r="1095" spans="1:13" ht="15.95" customHeight="1">
      <c r="A1095" s="547"/>
      <c r="B1095" s="550" t="s">
        <v>4765</v>
      </c>
      <c r="C1095" s="550" t="s">
        <v>4766</v>
      </c>
      <c r="D1095" s="550" t="s">
        <v>4767</v>
      </c>
      <c r="E1095" s="550" t="s">
        <v>4768</v>
      </c>
      <c r="F1095" s="550" t="s">
        <v>11</v>
      </c>
      <c r="G1095" s="552">
        <v>900</v>
      </c>
      <c r="H1095" s="552"/>
      <c r="I1095" s="548">
        <v>9000</v>
      </c>
      <c r="J1095" s="548">
        <v>9000</v>
      </c>
      <c r="K1095" s="552">
        <v>0</v>
      </c>
      <c r="L1095" s="574">
        <v>9000</v>
      </c>
      <c r="M1095" s="548">
        <v>0</v>
      </c>
    </row>
    <row r="1096" spans="1:13" ht="0.75" customHeight="1">
      <c r="A1096" s="547"/>
      <c r="B1096" s="559" t="s">
        <v>4770</v>
      </c>
      <c r="C1096" s="559" t="s">
        <v>2320</v>
      </c>
      <c r="D1096" s="559" t="s">
        <v>4771</v>
      </c>
      <c r="E1096" s="559" t="s">
        <v>4772</v>
      </c>
      <c r="F1096" s="559" t="s">
        <v>11</v>
      </c>
      <c r="G1096" s="562">
        <v>714</v>
      </c>
      <c r="H1096" s="562">
        <v>3072</v>
      </c>
      <c r="I1096" s="565">
        <v>0</v>
      </c>
      <c r="J1096" s="570">
        <v>3072</v>
      </c>
      <c r="K1096" s="567">
        <v>0</v>
      </c>
      <c r="L1096" s="574">
        <v>3072</v>
      </c>
      <c r="M1096" s="570">
        <v>0</v>
      </c>
    </row>
    <row r="1097" spans="1:13" ht="12.95" customHeight="1">
      <c r="A1097" s="547"/>
      <c r="B1097" s="560" t="s">
        <v>4770</v>
      </c>
      <c r="C1097" s="560" t="s">
        <v>2320</v>
      </c>
      <c r="D1097" s="560" t="s">
        <v>4771</v>
      </c>
      <c r="E1097" s="560" t="s">
        <v>4772</v>
      </c>
      <c r="F1097" s="560" t="s">
        <v>11</v>
      </c>
      <c r="G1097" s="563">
        <v>714</v>
      </c>
      <c r="H1097" s="563"/>
      <c r="I1097" s="548">
        <v>5000</v>
      </c>
      <c r="J1097" s="571">
        <v>3512</v>
      </c>
      <c r="K1097" s="568">
        <v>0</v>
      </c>
      <c r="L1097" s="574">
        <v>3512</v>
      </c>
      <c r="M1097" s="571">
        <v>1488</v>
      </c>
    </row>
    <row r="1098" spans="1:13" ht="0.75" customHeight="1">
      <c r="A1098" s="547"/>
      <c r="B1098" s="558" t="s">
        <v>4774</v>
      </c>
      <c r="C1098" s="558" t="s">
        <v>4775</v>
      </c>
      <c r="D1098" s="558" t="s">
        <v>4776</v>
      </c>
      <c r="E1098" s="558" t="s">
        <v>4777</v>
      </c>
      <c r="F1098" s="558" t="s">
        <v>11</v>
      </c>
      <c r="G1098" s="561">
        <v>850</v>
      </c>
      <c r="H1098" s="561">
        <v>968</v>
      </c>
      <c r="I1098" s="564">
        <v>0</v>
      </c>
      <c r="J1098" s="569">
        <v>968</v>
      </c>
      <c r="K1098" s="566">
        <v>0</v>
      </c>
      <c r="L1098" s="574">
        <v>968</v>
      </c>
      <c r="M1098" s="569">
        <v>0</v>
      </c>
    </row>
    <row r="1099" spans="1:13" ht="13.7" customHeight="1">
      <c r="A1099" s="557"/>
      <c r="B1099" s="550" t="s">
        <v>4774</v>
      </c>
      <c r="C1099" s="550" t="s">
        <v>4775</v>
      </c>
      <c r="D1099" s="550" t="s">
        <v>4776</v>
      </c>
      <c r="E1099" s="550" t="s">
        <v>4777</v>
      </c>
      <c r="F1099" s="550" t="s">
        <v>11</v>
      </c>
      <c r="G1099" s="552">
        <v>850</v>
      </c>
      <c r="H1099" s="552"/>
      <c r="I1099" s="548">
        <v>9960</v>
      </c>
      <c r="J1099" s="548">
        <v>9952</v>
      </c>
      <c r="K1099" s="552">
        <v>0</v>
      </c>
      <c r="L1099" s="574">
        <v>9952</v>
      </c>
      <c r="M1099" s="548">
        <v>8</v>
      </c>
    </row>
    <row r="1100" spans="1:13" ht="15.95" customHeight="1">
      <c r="A1100" s="547"/>
      <c r="B1100" s="550" t="s">
        <v>8137</v>
      </c>
      <c r="C1100" s="550" t="s">
        <v>8138</v>
      </c>
      <c r="D1100" s="550" t="s">
        <v>611</v>
      </c>
      <c r="E1100" s="550" t="s">
        <v>291</v>
      </c>
      <c r="F1100" s="550" t="s">
        <v>11</v>
      </c>
      <c r="G1100" s="552">
        <v>5760</v>
      </c>
      <c r="H1100" s="552"/>
      <c r="I1100" s="548">
        <v>3000</v>
      </c>
      <c r="J1100" s="548">
        <v>3000</v>
      </c>
      <c r="K1100" s="552">
        <v>0</v>
      </c>
      <c r="L1100" s="574">
        <v>3000</v>
      </c>
      <c r="M1100" s="548">
        <v>0</v>
      </c>
    </row>
    <row r="1101" spans="1:13" ht="0.75" customHeight="1">
      <c r="A1101" s="547"/>
      <c r="B1101" s="559" t="s">
        <v>4985</v>
      </c>
      <c r="C1101" s="559" t="s">
        <v>5049</v>
      </c>
      <c r="D1101" s="559" t="s">
        <v>5050</v>
      </c>
      <c r="E1101" s="559" t="s">
        <v>1862</v>
      </c>
      <c r="F1101" s="559" t="s">
        <v>11</v>
      </c>
      <c r="G1101" s="562">
        <v>480</v>
      </c>
      <c r="H1101" s="562"/>
      <c r="I1101" s="565">
        <v>300</v>
      </c>
      <c r="J1101" s="570">
        <v>300</v>
      </c>
      <c r="K1101" s="567">
        <v>300</v>
      </c>
      <c r="L1101" s="574">
        <v>0</v>
      </c>
      <c r="M1101" s="570">
        <v>0</v>
      </c>
    </row>
    <row r="1102" spans="1:13" ht="12.95" customHeight="1">
      <c r="A1102" s="547"/>
      <c r="B1102" s="560" t="s">
        <v>4948</v>
      </c>
      <c r="C1102" s="560" t="s">
        <v>4949</v>
      </c>
      <c r="D1102" s="560" t="s">
        <v>4950</v>
      </c>
      <c r="E1102" s="560" t="s">
        <v>4951</v>
      </c>
      <c r="F1102" s="560" t="s">
        <v>628</v>
      </c>
      <c r="G1102" s="563">
        <v>8274</v>
      </c>
      <c r="H1102" s="563">
        <v>82</v>
      </c>
      <c r="I1102" s="548">
        <v>3</v>
      </c>
      <c r="J1102" s="571">
        <v>75</v>
      </c>
      <c r="K1102" s="568">
        <v>66</v>
      </c>
      <c r="L1102" s="574">
        <v>9</v>
      </c>
      <c r="M1102" s="571">
        <v>10</v>
      </c>
    </row>
    <row r="1103" spans="1:13" ht="0.75" customHeight="1">
      <c r="A1103" s="547"/>
      <c r="B1103" s="558" t="s">
        <v>3870</v>
      </c>
      <c r="C1103" s="558" t="s">
        <v>4436</v>
      </c>
      <c r="D1103" s="558" t="s">
        <v>1321</v>
      </c>
      <c r="E1103" s="558" t="s">
        <v>248</v>
      </c>
      <c r="F1103" s="558" t="s">
        <v>11</v>
      </c>
      <c r="G1103" s="561">
        <v>45</v>
      </c>
      <c r="H1103" s="561">
        <v>9000</v>
      </c>
      <c r="I1103" s="564">
        <v>0</v>
      </c>
      <c r="J1103" s="569">
        <v>9000</v>
      </c>
      <c r="K1103" s="566">
        <v>6500</v>
      </c>
      <c r="L1103" s="574">
        <v>2500</v>
      </c>
      <c r="M1103" s="569">
        <v>0</v>
      </c>
    </row>
    <row r="1104" spans="1:13" ht="13.7" customHeight="1">
      <c r="A1104" s="557"/>
      <c r="B1104" s="550" t="s">
        <v>3870</v>
      </c>
      <c r="C1104" s="550" t="s">
        <v>4436</v>
      </c>
      <c r="D1104" s="550" t="s">
        <v>1321</v>
      </c>
      <c r="E1104" s="550" t="s">
        <v>248</v>
      </c>
      <c r="F1104" s="550" t="s">
        <v>11</v>
      </c>
      <c r="G1104" s="552">
        <v>45</v>
      </c>
      <c r="H1104" s="552">
        <v>12500</v>
      </c>
      <c r="I1104" s="548">
        <v>12</v>
      </c>
      <c r="J1104" s="548">
        <v>11966</v>
      </c>
      <c r="K1104" s="552">
        <v>9446</v>
      </c>
      <c r="L1104" s="574">
        <v>2520</v>
      </c>
      <c r="M1104" s="548">
        <v>546</v>
      </c>
    </row>
    <row r="1105" spans="1:13" ht="15.95" customHeight="1">
      <c r="A1105" s="547"/>
      <c r="B1105" s="550" t="s">
        <v>12482</v>
      </c>
      <c r="C1105" s="550" t="s">
        <v>12483</v>
      </c>
      <c r="D1105" s="550" t="s">
        <v>1477</v>
      </c>
      <c r="E1105" s="550" t="s">
        <v>2522</v>
      </c>
      <c r="F1105" s="550" t="s">
        <v>520</v>
      </c>
      <c r="G1105" s="552">
        <v>1260</v>
      </c>
      <c r="H1105" s="552"/>
      <c r="I1105" s="548">
        <v>50</v>
      </c>
      <c r="J1105" s="548">
        <v>16</v>
      </c>
      <c r="K1105" s="552">
        <v>6</v>
      </c>
      <c r="L1105" s="574">
        <v>10</v>
      </c>
      <c r="M1105" s="548">
        <v>34</v>
      </c>
    </row>
    <row r="1106" spans="1:13" ht="15.95" customHeight="1">
      <c r="A1106" s="547"/>
      <c r="B1106" s="550" t="s">
        <v>4953</v>
      </c>
      <c r="C1106" s="550" t="s">
        <v>532</v>
      </c>
      <c r="D1106" s="550" t="s">
        <v>531</v>
      </c>
      <c r="E1106" s="550" t="s">
        <v>533</v>
      </c>
      <c r="F1106" s="550" t="s">
        <v>628</v>
      </c>
      <c r="G1106" s="552">
        <v>1176</v>
      </c>
      <c r="H1106" s="552">
        <v>923</v>
      </c>
      <c r="I1106" s="548">
        <v>0</v>
      </c>
      <c r="J1106" s="548">
        <v>551</v>
      </c>
      <c r="K1106" s="552">
        <v>536</v>
      </c>
      <c r="L1106" s="574">
        <v>15</v>
      </c>
      <c r="M1106" s="548">
        <v>372</v>
      </c>
    </row>
    <row r="1107" spans="1:13" ht="15.95" customHeight="1">
      <c r="A1107" s="547"/>
      <c r="B1107" s="550" t="s">
        <v>4954</v>
      </c>
      <c r="C1107" s="550" t="s">
        <v>532</v>
      </c>
      <c r="D1107" s="550" t="s">
        <v>531</v>
      </c>
      <c r="E1107" s="550" t="s">
        <v>534</v>
      </c>
      <c r="F1107" s="550" t="s">
        <v>10</v>
      </c>
      <c r="G1107" s="552">
        <v>115</v>
      </c>
      <c r="H1107" s="552">
        <v>250</v>
      </c>
      <c r="I1107" s="548">
        <v>0</v>
      </c>
      <c r="J1107" s="548">
        <v>0</v>
      </c>
      <c r="K1107" s="552">
        <v>0</v>
      </c>
      <c r="L1107" s="574">
        <v>0</v>
      </c>
      <c r="M1107" s="548">
        <v>250</v>
      </c>
    </row>
    <row r="1108" spans="1:13" ht="0.75" customHeight="1">
      <c r="A1108" s="547"/>
      <c r="B1108" s="559" t="s">
        <v>4954</v>
      </c>
      <c r="C1108" s="559" t="s">
        <v>532</v>
      </c>
      <c r="D1108" s="559" t="s">
        <v>531</v>
      </c>
      <c r="E1108" s="559" t="s">
        <v>534</v>
      </c>
      <c r="F1108" s="559" t="s">
        <v>10</v>
      </c>
      <c r="G1108" s="562">
        <v>115</v>
      </c>
      <c r="H1108" s="562">
        <v>8280</v>
      </c>
      <c r="I1108" s="565">
        <v>351</v>
      </c>
      <c r="J1108" s="570">
        <v>3559</v>
      </c>
      <c r="K1108" s="567">
        <v>679</v>
      </c>
      <c r="L1108" s="574">
        <v>2880</v>
      </c>
      <c r="M1108" s="570">
        <v>5072</v>
      </c>
    </row>
    <row r="1109" spans="1:13" ht="12.95" customHeight="1">
      <c r="A1109" s="547"/>
      <c r="B1109" s="560" t="s">
        <v>4579</v>
      </c>
      <c r="C1109" s="560" t="s">
        <v>4580</v>
      </c>
      <c r="D1109" s="560" t="s">
        <v>813</v>
      </c>
      <c r="E1109" s="560" t="s">
        <v>299</v>
      </c>
      <c r="F1109" s="560" t="s">
        <v>11</v>
      </c>
      <c r="G1109" s="563">
        <v>1835</v>
      </c>
      <c r="H1109" s="563">
        <v>3</v>
      </c>
      <c r="I1109" s="548">
        <v>0</v>
      </c>
      <c r="J1109" s="571">
        <v>3</v>
      </c>
      <c r="K1109" s="568">
        <v>0</v>
      </c>
      <c r="L1109" s="574">
        <v>3</v>
      </c>
      <c r="M1109" s="571">
        <v>0</v>
      </c>
    </row>
    <row r="1110" spans="1:13" ht="0.75" customHeight="1">
      <c r="A1110" s="547"/>
      <c r="B1110" s="558" t="s">
        <v>4955</v>
      </c>
      <c r="C1110" s="558" t="s">
        <v>4956</v>
      </c>
      <c r="D1110" s="558" t="s">
        <v>265</v>
      </c>
      <c r="E1110" s="558" t="s">
        <v>387</v>
      </c>
      <c r="F1110" s="558" t="s">
        <v>10</v>
      </c>
      <c r="G1110" s="561">
        <v>1900</v>
      </c>
      <c r="H1110" s="561">
        <v>2283</v>
      </c>
      <c r="I1110" s="564">
        <v>13</v>
      </c>
      <c r="J1110" s="569">
        <v>2293</v>
      </c>
      <c r="K1110" s="566">
        <v>383</v>
      </c>
      <c r="L1110" s="574">
        <v>1910</v>
      </c>
      <c r="M1110" s="569">
        <v>3</v>
      </c>
    </row>
    <row r="1111" spans="1:13" ht="13.7" customHeight="1">
      <c r="A1111" s="557"/>
      <c r="B1111" s="550" t="s">
        <v>4955</v>
      </c>
      <c r="C1111" s="550" t="s">
        <v>4956</v>
      </c>
      <c r="D1111" s="550" t="s">
        <v>265</v>
      </c>
      <c r="E1111" s="550" t="s">
        <v>387</v>
      </c>
      <c r="F1111" s="550" t="s">
        <v>10</v>
      </c>
      <c r="G1111" s="552">
        <v>1900</v>
      </c>
      <c r="H1111" s="552">
        <v>20000</v>
      </c>
      <c r="I1111" s="548">
        <v>2</v>
      </c>
      <c r="J1111" s="548">
        <v>17984</v>
      </c>
      <c r="K1111" s="552">
        <v>5</v>
      </c>
      <c r="L1111" s="574">
        <v>17979</v>
      </c>
      <c r="M1111" s="548">
        <v>2018</v>
      </c>
    </row>
    <row r="1112" spans="1:13" ht="15.95" customHeight="1">
      <c r="A1112" s="547"/>
      <c r="B1112" s="550" t="s">
        <v>4955</v>
      </c>
      <c r="C1112" s="550" t="s">
        <v>4956</v>
      </c>
      <c r="D1112" s="550" t="s">
        <v>265</v>
      </c>
      <c r="E1112" s="550" t="s">
        <v>387</v>
      </c>
      <c r="F1112" s="550" t="s">
        <v>10</v>
      </c>
      <c r="G1112" s="552">
        <v>1900</v>
      </c>
      <c r="H1112" s="552">
        <v>20000</v>
      </c>
      <c r="I1112" s="548">
        <v>334</v>
      </c>
      <c r="J1112" s="548">
        <v>800</v>
      </c>
      <c r="K1112" s="552">
        <v>800</v>
      </c>
      <c r="L1112" s="574">
        <v>0</v>
      </c>
      <c r="M1112" s="548">
        <v>19534</v>
      </c>
    </row>
    <row r="1113" spans="1:13" ht="15.95" customHeight="1">
      <c r="A1113" s="547"/>
      <c r="B1113" s="550" t="s">
        <v>7744</v>
      </c>
      <c r="C1113" s="550" t="s">
        <v>1992</v>
      </c>
      <c r="D1113" s="550" t="s">
        <v>1245</v>
      </c>
      <c r="E1113" s="550" t="s">
        <v>1246</v>
      </c>
      <c r="F1113" s="550" t="s">
        <v>11</v>
      </c>
      <c r="G1113" s="552">
        <v>2184</v>
      </c>
      <c r="H1113" s="552"/>
      <c r="I1113" s="548">
        <v>5940</v>
      </c>
      <c r="J1113" s="548">
        <v>761</v>
      </c>
      <c r="K1113" s="552">
        <v>0</v>
      </c>
      <c r="L1113" s="574">
        <v>761</v>
      </c>
      <c r="M1113" s="548">
        <v>5179</v>
      </c>
    </row>
    <row r="1114" spans="1:13" ht="15.95" customHeight="1">
      <c r="A1114" s="547"/>
      <c r="B1114" s="550" t="s">
        <v>7744</v>
      </c>
      <c r="C1114" s="550" t="s">
        <v>1992</v>
      </c>
      <c r="D1114" s="550" t="s">
        <v>1245</v>
      </c>
      <c r="E1114" s="550" t="s">
        <v>1246</v>
      </c>
      <c r="F1114" s="550" t="s">
        <v>11</v>
      </c>
      <c r="G1114" s="552">
        <v>2184</v>
      </c>
      <c r="H1114" s="552"/>
      <c r="I1114" s="548">
        <v>9000</v>
      </c>
      <c r="J1114" s="548">
        <v>0</v>
      </c>
      <c r="K1114" s="552">
        <v>0</v>
      </c>
      <c r="L1114" s="574">
        <v>0</v>
      </c>
      <c r="M1114" s="548">
        <v>9000</v>
      </c>
    </row>
    <row r="1115" spans="1:13" ht="0.75" customHeight="1">
      <c r="A1115" s="547"/>
      <c r="B1115" s="559" t="s">
        <v>5051</v>
      </c>
      <c r="C1115" s="559" t="s">
        <v>5052</v>
      </c>
      <c r="D1115" s="559" t="s">
        <v>1127</v>
      </c>
      <c r="E1115" s="559" t="s">
        <v>5053</v>
      </c>
      <c r="F1115" s="559" t="s">
        <v>11</v>
      </c>
      <c r="G1115" s="562">
        <v>714</v>
      </c>
      <c r="H1115" s="562">
        <v>100</v>
      </c>
      <c r="I1115" s="565">
        <v>0</v>
      </c>
      <c r="J1115" s="570">
        <v>100</v>
      </c>
      <c r="K1115" s="567">
        <v>100</v>
      </c>
      <c r="L1115" s="574">
        <v>0</v>
      </c>
      <c r="M1115" s="570">
        <v>0</v>
      </c>
    </row>
    <row r="1116" spans="1:13" ht="12.95" customHeight="1">
      <c r="A1116" s="547"/>
      <c r="B1116" s="560" t="s">
        <v>5051</v>
      </c>
      <c r="C1116" s="560" t="s">
        <v>5052</v>
      </c>
      <c r="D1116" s="560" t="s">
        <v>1127</v>
      </c>
      <c r="E1116" s="560" t="s">
        <v>5053</v>
      </c>
      <c r="F1116" s="560" t="s">
        <v>11</v>
      </c>
      <c r="G1116" s="563">
        <v>714</v>
      </c>
      <c r="H1116" s="563"/>
      <c r="I1116" s="548">
        <v>80000</v>
      </c>
      <c r="J1116" s="571">
        <v>19500</v>
      </c>
      <c r="K1116" s="568">
        <v>19500</v>
      </c>
      <c r="L1116" s="574">
        <v>0</v>
      </c>
      <c r="M1116" s="571">
        <v>60500</v>
      </c>
    </row>
    <row r="1117" spans="1:13" ht="0.75" customHeight="1">
      <c r="A1117" s="547"/>
      <c r="B1117" s="558" t="s">
        <v>5051</v>
      </c>
      <c r="C1117" s="558" t="s">
        <v>5052</v>
      </c>
      <c r="D1117" s="558" t="s">
        <v>1127</v>
      </c>
      <c r="E1117" s="558" t="s">
        <v>5053</v>
      </c>
      <c r="F1117" s="558" t="s">
        <v>11</v>
      </c>
      <c r="G1117" s="561">
        <v>714</v>
      </c>
      <c r="H1117" s="561">
        <v>418</v>
      </c>
      <c r="I1117" s="564">
        <v>6</v>
      </c>
      <c r="J1117" s="569">
        <v>424</v>
      </c>
      <c r="K1117" s="566">
        <v>424</v>
      </c>
      <c r="L1117" s="574">
        <v>0</v>
      </c>
      <c r="M1117" s="569">
        <v>0</v>
      </c>
    </row>
    <row r="1118" spans="1:13" ht="13.7" customHeight="1">
      <c r="A1118" s="557"/>
      <c r="B1118" s="550" t="s">
        <v>5051</v>
      </c>
      <c r="C1118" s="550" t="s">
        <v>5052</v>
      </c>
      <c r="D1118" s="550" t="s">
        <v>1127</v>
      </c>
      <c r="E1118" s="550" t="s">
        <v>5053</v>
      </c>
      <c r="F1118" s="550" t="s">
        <v>11</v>
      </c>
      <c r="G1118" s="552">
        <v>714</v>
      </c>
      <c r="H1118" s="552"/>
      <c r="I1118" s="548">
        <v>20000</v>
      </c>
      <c r="J1118" s="548">
        <v>19832</v>
      </c>
      <c r="K1118" s="552">
        <v>6432</v>
      </c>
      <c r="L1118" s="574">
        <v>13400</v>
      </c>
      <c r="M1118" s="548">
        <v>168</v>
      </c>
    </row>
    <row r="1119" spans="1:13" ht="15.95" customHeight="1">
      <c r="A1119" s="547"/>
      <c r="B1119" s="550" t="s">
        <v>5055</v>
      </c>
      <c r="C1119" s="550" t="s">
        <v>5056</v>
      </c>
      <c r="D1119" s="550" t="s">
        <v>5057</v>
      </c>
      <c r="E1119" s="550" t="s">
        <v>2949</v>
      </c>
      <c r="F1119" s="550" t="s">
        <v>11</v>
      </c>
      <c r="G1119" s="552">
        <v>180</v>
      </c>
      <c r="H1119" s="552">
        <v>641</v>
      </c>
      <c r="I1119" s="548">
        <v>0</v>
      </c>
      <c r="J1119" s="548">
        <v>641</v>
      </c>
      <c r="K1119" s="552">
        <v>0</v>
      </c>
      <c r="L1119" s="574">
        <v>641</v>
      </c>
      <c r="M1119" s="548">
        <v>0</v>
      </c>
    </row>
    <row r="1120" spans="1:13" ht="15.95" customHeight="1">
      <c r="A1120" s="547"/>
      <c r="B1120" s="550" t="s">
        <v>5055</v>
      </c>
      <c r="C1120" s="550" t="s">
        <v>5056</v>
      </c>
      <c r="D1120" s="550" t="s">
        <v>5057</v>
      </c>
      <c r="E1120" s="550" t="s">
        <v>2949</v>
      </c>
      <c r="F1120" s="550" t="s">
        <v>11</v>
      </c>
      <c r="G1120" s="552">
        <v>180</v>
      </c>
      <c r="H1120" s="552"/>
      <c r="I1120" s="548">
        <v>990</v>
      </c>
      <c r="J1120" s="548">
        <v>0</v>
      </c>
      <c r="K1120" s="552">
        <v>0</v>
      </c>
      <c r="L1120" s="574">
        <v>0</v>
      </c>
      <c r="M1120" s="548">
        <v>990</v>
      </c>
    </row>
    <row r="1121" spans="1:13" ht="15.95" customHeight="1">
      <c r="A1121" s="547"/>
      <c r="B1121" s="550" t="s">
        <v>5055</v>
      </c>
      <c r="C1121" s="550" t="s">
        <v>5056</v>
      </c>
      <c r="D1121" s="550" t="s">
        <v>5057</v>
      </c>
      <c r="E1121" s="550" t="s">
        <v>2949</v>
      </c>
      <c r="F1121" s="550" t="s">
        <v>11</v>
      </c>
      <c r="G1121" s="552">
        <v>180</v>
      </c>
      <c r="H1121" s="552"/>
      <c r="I1121" s="548">
        <v>450</v>
      </c>
      <c r="J1121" s="548">
        <v>450</v>
      </c>
      <c r="K1121" s="552">
        <v>450</v>
      </c>
      <c r="L1121" s="574">
        <v>0</v>
      </c>
      <c r="M1121" s="548">
        <v>0</v>
      </c>
    </row>
    <row r="1122" spans="1:13" ht="15.95" customHeight="1">
      <c r="A1122" s="547"/>
      <c r="B1122" s="550" t="s">
        <v>5058</v>
      </c>
      <c r="C1122" s="550" t="s">
        <v>5059</v>
      </c>
      <c r="D1122" s="550" t="s">
        <v>5059</v>
      </c>
      <c r="E1122" s="550" t="s">
        <v>272</v>
      </c>
      <c r="F1122" s="550" t="s">
        <v>11</v>
      </c>
      <c r="G1122" s="552">
        <v>340</v>
      </c>
      <c r="H1122" s="552">
        <v>824</v>
      </c>
      <c r="I1122" s="548">
        <v>0</v>
      </c>
      <c r="J1122" s="548">
        <v>824</v>
      </c>
      <c r="K1122" s="552">
        <v>0</v>
      </c>
      <c r="L1122" s="574">
        <v>824</v>
      </c>
      <c r="M1122" s="548">
        <v>0</v>
      </c>
    </row>
    <row r="1123" spans="1:13" ht="15.95" customHeight="1">
      <c r="A1123" s="547"/>
      <c r="B1123" s="550" t="s">
        <v>5058</v>
      </c>
      <c r="C1123" s="550" t="s">
        <v>5059</v>
      </c>
      <c r="D1123" s="550" t="s">
        <v>5059</v>
      </c>
      <c r="E1123" s="550" t="s">
        <v>272</v>
      </c>
      <c r="F1123" s="550" t="s">
        <v>11</v>
      </c>
      <c r="G1123" s="552">
        <v>340</v>
      </c>
      <c r="H1123" s="552">
        <v>3000</v>
      </c>
      <c r="I1123" s="548">
        <v>0</v>
      </c>
      <c r="J1123" s="548">
        <v>2600</v>
      </c>
      <c r="K1123" s="552">
        <v>2600</v>
      </c>
      <c r="L1123" s="574">
        <v>0</v>
      </c>
      <c r="M1123" s="548">
        <v>400</v>
      </c>
    </row>
    <row r="1124" spans="1:13" ht="15.95" customHeight="1">
      <c r="A1124" s="547"/>
      <c r="B1124" s="550" t="s">
        <v>5058</v>
      </c>
      <c r="C1124" s="550" t="s">
        <v>5059</v>
      </c>
      <c r="D1124" s="550" t="s">
        <v>5059</v>
      </c>
      <c r="E1124" s="550" t="s">
        <v>272</v>
      </c>
      <c r="F1124" s="550" t="s">
        <v>11</v>
      </c>
      <c r="G1124" s="552">
        <v>340</v>
      </c>
      <c r="H1124" s="552">
        <v>2000</v>
      </c>
      <c r="I1124" s="548">
        <v>0</v>
      </c>
      <c r="J1124" s="548">
        <v>1172</v>
      </c>
      <c r="K1124" s="552">
        <v>0</v>
      </c>
      <c r="L1124" s="574">
        <v>1172</v>
      </c>
      <c r="M1124" s="548">
        <v>828</v>
      </c>
    </row>
    <row r="1125" spans="1:13" ht="15.95" customHeight="1">
      <c r="A1125" s="547"/>
      <c r="B1125" s="550" t="s">
        <v>5058</v>
      </c>
      <c r="C1125" s="550" t="s">
        <v>5059</v>
      </c>
      <c r="D1125" s="550" t="s">
        <v>5059</v>
      </c>
      <c r="E1125" s="550" t="s">
        <v>272</v>
      </c>
      <c r="F1125" s="550" t="s">
        <v>11</v>
      </c>
      <c r="G1125" s="552">
        <v>340</v>
      </c>
      <c r="H1125" s="552"/>
      <c r="I1125" s="548">
        <v>2400</v>
      </c>
      <c r="J1125" s="548">
        <v>0</v>
      </c>
      <c r="K1125" s="552">
        <v>0</v>
      </c>
      <c r="L1125" s="574">
        <v>0</v>
      </c>
      <c r="M1125" s="548">
        <v>2400</v>
      </c>
    </row>
    <row r="1126" spans="1:13" ht="15.95" customHeight="1">
      <c r="A1126" s="547"/>
      <c r="B1126" s="550" t="s">
        <v>5062</v>
      </c>
      <c r="C1126" s="550" t="s">
        <v>5063</v>
      </c>
      <c r="D1126" s="550" t="s">
        <v>1443</v>
      </c>
      <c r="E1126" s="550" t="s">
        <v>272</v>
      </c>
      <c r="F1126" s="550" t="s">
        <v>11</v>
      </c>
      <c r="G1126" s="552">
        <v>343</v>
      </c>
      <c r="H1126" s="552">
        <v>640</v>
      </c>
      <c r="I1126" s="548">
        <v>3</v>
      </c>
      <c r="J1126" s="548">
        <v>448</v>
      </c>
      <c r="K1126" s="552">
        <v>3</v>
      </c>
      <c r="L1126" s="574">
        <v>445</v>
      </c>
      <c r="M1126" s="548">
        <v>195</v>
      </c>
    </row>
    <row r="1127" spans="1:13" ht="15.95" customHeight="1">
      <c r="A1127" s="547"/>
      <c r="B1127" s="550" t="s">
        <v>5062</v>
      </c>
      <c r="C1127" s="550" t="s">
        <v>5063</v>
      </c>
      <c r="D1127" s="550" t="s">
        <v>1443</v>
      </c>
      <c r="E1127" s="550" t="s">
        <v>272</v>
      </c>
      <c r="F1127" s="550" t="s">
        <v>11</v>
      </c>
      <c r="G1127" s="552">
        <v>343</v>
      </c>
      <c r="H1127" s="552"/>
      <c r="I1127" s="548">
        <v>7000</v>
      </c>
      <c r="J1127" s="548">
        <v>4115</v>
      </c>
      <c r="K1127" s="552">
        <v>4000</v>
      </c>
      <c r="L1127" s="574">
        <v>115</v>
      </c>
      <c r="M1127" s="548">
        <v>2885</v>
      </c>
    </row>
    <row r="1128" spans="1:13" ht="15.95" customHeight="1">
      <c r="A1128" s="547"/>
      <c r="B1128" s="550" t="s">
        <v>5062</v>
      </c>
      <c r="C1128" s="550" t="s">
        <v>5063</v>
      </c>
      <c r="D1128" s="550" t="s">
        <v>1443</v>
      </c>
      <c r="E1128" s="550" t="s">
        <v>272</v>
      </c>
      <c r="F1128" s="550" t="s">
        <v>11</v>
      </c>
      <c r="G1128" s="552">
        <v>343</v>
      </c>
      <c r="H1128" s="552"/>
      <c r="I1128" s="548">
        <v>10000</v>
      </c>
      <c r="J1128" s="548">
        <v>8000</v>
      </c>
      <c r="K1128" s="552">
        <v>8000</v>
      </c>
      <c r="L1128" s="574">
        <v>0</v>
      </c>
      <c r="M1128" s="548">
        <v>2000</v>
      </c>
    </row>
    <row r="1129" spans="1:13" ht="15.95" customHeight="1">
      <c r="A1129" s="547"/>
      <c r="B1129" s="550" t="s">
        <v>5062</v>
      </c>
      <c r="C1129" s="550" t="s">
        <v>5063</v>
      </c>
      <c r="D1129" s="550" t="s">
        <v>1443</v>
      </c>
      <c r="E1129" s="550" t="s">
        <v>272</v>
      </c>
      <c r="F1129" s="550" t="s">
        <v>11</v>
      </c>
      <c r="G1129" s="552">
        <v>343</v>
      </c>
      <c r="H1129" s="552">
        <v>1550</v>
      </c>
      <c r="I1129" s="548">
        <v>0</v>
      </c>
      <c r="J1129" s="548">
        <v>1550</v>
      </c>
      <c r="K1129" s="552">
        <v>0</v>
      </c>
      <c r="L1129" s="574">
        <v>1550</v>
      </c>
      <c r="M1129" s="548">
        <v>0</v>
      </c>
    </row>
    <row r="1130" spans="1:13" ht="15.95" customHeight="1">
      <c r="A1130" s="547"/>
      <c r="B1130" s="550" t="s">
        <v>5066</v>
      </c>
      <c r="C1130" s="550" t="s">
        <v>843</v>
      </c>
      <c r="D1130" s="550" t="s">
        <v>843</v>
      </c>
      <c r="E1130" s="550" t="s">
        <v>225</v>
      </c>
      <c r="F1130" s="550" t="s">
        <v>11</v>
      </c>
      <c r="G1130" s="552">
        <v>154</v>
      </c>
      <c r="H1130" s="552">
        <v>53</v>
      </c>
      <c r="I1130" s="548">
        <v>4</v>
      </c>
      <c r="J1130" s="548">
        <v>57</v>
      </c>
      <c r="K1130" s="552">
        <v>57</v>
      </c>
      <c r="L1130" s="574">
        <v>0</v>
      </c>
      <c r="M1130" s="548">
        <v>0</v>
      </c>
    </row>
    <row r="1131" spans="1:13" ht="15.95" customHeight="1">
      <c r="A1131" s="547"/>
      <c r="B1131" s="550" t="s">
        <v>5066</v>
      </c>
      <c r="C1131" s="550" t="s">
        <v>843</v>
      </c>
      <c r="D1131" s="550" t="s">
        <v>843</v>
      </c>
      <c r="E1131" s="550" t="s">
        <v>225</v>
      </c>
      <c r="F1131" s="550" t="s">
        <v>11</v>
      </c>
      <c r="G1131" s="552">
        <v>154</v>
      </c>
      <c r="H1131" s="552"/>
      <c r="I1131" s="548">
        <v>20000</v>
      </c>
      <c r="J1131" s="548">
        <v>20000</v>
      </c>
      <c r="K1131" s="552">
        <v>9000</v>
      </c>
      <c r="L1131" s="574">
        <v>11000</v>
      </c>
      <c r="M1131" s="548">
        <v>0</v>
      </c>
    </row>
    <row r="1132" spans="1:13" ht="15.95" customHeight="1">
      <c r="A1132" s="547"/>
      <c r="B1132" s="550" t="s">
        <v>5066</v>
      </c>
      <c r="C1132" s="550" t="s">
        <v>843</v>
      </c>
      <c r="D1132" s="550" t="s">
        <v>843</v>
      </c>
      <c r="E1132" s="550" t="s">
        <v>225</v>
      </c>
      <c r="F1132" s="550" t="s">
        <v>11</v>
      </c>
      <c r="G1132" s="552">
        <v>154</v>
      </c>
      <c r="H1132" s="552"/>
      <c r="I1132" s="548">
        <v>9000</v>
      </c>
      <c r="J1132" s="548">
        <v>9000</v>
      </c>
      <c r="K1132" s="552">
        <v>8200</v>
      </c>
      <c r="L1132" s="574">
        <v>800</v>
      </c>
      <c r="M1132" s="548">
        <v>0</v>
      </c>
    </row>
    <row r="1133" spans="1:13" ht="15.95" customHeight="1">
      <c r="A1133" s="547"/>
      <c r="B1133" s="550" t="s">
        <v>5066</v>
      </c>
      <c r="C1133" s="550" t="s">
        <v>843</v>
      </c>
      <c r="D1133" s="550" t="s">
        <v>843</v>
      </c>
      <c r="E1133" s="550" t="s">
        <v>225</v>
      </c>
      <c r="F1133" s="550" t="s">
        <v>11</v>
      </c>
      <c r="G1133" s="552">
        <v>154</v>
      </c>
      <c r="H1133" s="552"/>
      <c r="I1133" s="548">
        <v>60017</v>
      </c>
      <c r="J1133" s="548">
        <v>55648</v>
      </c>
      <c r="K1133" s="552">
        <v>10541</v>
      </c>
      <c r="L1133" s="574">
        <v>45107</v>
      </c>
      <c r="M1133" s="548">
        <v>4369</v>
      </c>
    </row>
    <row r="1134" spans="1:13" ht="15.95" customHeight="1">
      <c r="A1134" s="547"/>
      <c r="B1134" s="550" t="s">
        <v>5066</v>
      </c>
      <c r="C1134" s="550" t="s">
        <v>843</v>
      </c>
      <c r="D1134" s="550" t="s">
        <v>843</v>
      </c>
      <c r="E1134" s="550" t="s">
        <v>225</v>
      </c>
      <c r="F1134" s="550" t="s">
        <v>11</v>
      </c>
      <c r="G1134" s="552">
        <v>154</v>
      </c>
      <c r="H1134" s="552">
        <v>7460</v>
      </c>
      <c r="I1134" s="548">
        <v>0</v>
      </c>
      <c r="J1134" s="548">
        <v>7460</v>
      </c>
      <c r="K1134" s="552">
        <v>1200</v>
      </c>
      <c r="L1134" s="574">
        <v>6260</v>
      </c>
      <c r="M1134" s="548">
        <v>0</v>
      </c>
    </row>
    <row r="1135" spans="1:13" ht="15.95" customHeight="1">
      <c r="A1135" s="547"/>
      <c r="B1135" s="550" t="s">
        <v>5068</v>
      </c>
      <c r="C1135" s="550" t="s">
        <v>844</v>
      </c>
      <c r="D1135" s="550" t="s">
        <v>843</v>
      </c>
      <c r="E1135" s="550" t="s">
        <v>272</v>
      </c>
      <c r="F1135" s="550" t="s">
        <v>11</v>
      </c>
      <c r="G1135" s="552">
        <v>113</v>
      </c>
      <c r="H1135" s="552"/>
      <c r="I1135" s="548">
        <v>10000</v>
      </c>
      <c r="J1135" s="548">
        <v>10000</v>
      </c>
      <c r="K1135" s="552">
        <v>0</v>
      </c>
      <c r="L1135" s="574">
        <v>10000</v>
      </c>
      <c r="M1135" s="548">
        <v>0</v>
      </c>
    </row>
    <row r="1136" spans="1:13" ht="15.95" customHeight="1">
      <c r="A1136" s="547"/>
      <c r="B1136" s="550" t="s">
        <v>5068</v>
      </c>
      <c r="C1136" s="550" t="s">
        <v>844</v>
      </c>
      <c r="D1136" s="550" t="s">
        <v>843</v>
      </c>
      <c r="E1136" s="550" t="s">
        <v>272</v>
      </c>
      <c r="F1136" s="550" t="s">
        <v>11</v>
      </c>
      <c r="G1136" s="552">
        <v>113</v>
      </c>
      <c r="H1136" s="552">
        <v>4579</v>
      </c>
      <c r="I1136" s="548">
        <v>0</v>
      </c>
      <c r="J1136" s="548">
        <v>3803</v>
      </c>
      <c r="K1136" s="552">
        <v>1000</v>
      </c>
      <c r="L1136" s="574">
        <v>2803</v>
      </c>
      <c r="M1136" s="548">
        <v>776</v>
      </c>
    </row>
    <row r="1137" spans="1:13" ht="15.95" customHeight="1">
      <c r="A1137" s="547"/>
      <c r="B1137" s="550" t="s">
        <v>5068</v>
      </c>
      <c r="C1137" s="550" t="s">
        <v>844</v>
      </c>
      <c r="D1137" s="550" t="s">
        <v>843</v>
      </c>
      <c r="E1137" s="550" t="s">
        <v>272</v>
      </c>
      <c r="F1137" s="550" t="s">
        <v>11</v>
      </c>
      <c r="G1137" s="552">
        <v>113</v>
      </c>
      <c r="H1137" s="552"/>
      <c r="I1137" s="548">
        <v>20290</v>
      </c>
      <c r="J1137" s="548">
        <v>19524</v>
      </c>
      <c r="K1137" s="552">
        <v>9614</v>
      </c>
      <c r="L1137" s="574">
        <v>9910</v>
      </c>
      <c r="M1137" s="548">
        <v>766</v>
      </c>
    </row>
    <row r="1138" spans="1:13" ht="15.95" customHeight="1">
      <c r="A1138" s="547"/>
      <c r="B1138" s="550" t="s">
        <v>5068</v>
      </c>
      <c r="C1138" s="550" t="s">
        <v>844</v>
      </c>
      <c r="D1138" s="550" t="s">
        <v>843</v>
      </c>
      <c r="E1138" s="550" t="s">
        <v>272</v>
      </c>
      <c r="F1138" s="550" t="s">
        <v>11</v>
      </c>
      <c r="G1138" s="552">
        <v>113</v>
      </c>
      <c r="H1138" s="552"/>
      <c r="I1138" s="548">
        <v>10600</v>
      </c>
      <c r="J1138" s="548">
        <v>10600</v>
      </c>
      <c r="K1138" s="552">
        <v>10600</v>
      </c>
      <c r="L1138" s="574">
        <v>0</v>
      </c>
      <c r="M1138" s="548">
        <v>0</v>
      </c>
    </row>
    <row r="1139" spans="1:13" ht="15.95" customHeight="1">
      <c r="A1139" s="547"/>
      <c r="B1139" s="550" t="s">
        <v>5069</v>
      </c>
      <c r="C1139" s="550" t="s">
        <v>1402</v>
      </c>
      <c r="D1139" s="550" t="s">
        <v>1402</v>
      </c>
      <c r="E1139" s="550" t="s">
        <v>225</v>
      </c>
      <c r="F1139" s="550" t="s">
        <v>11</v>
      </c>
      <c r="G1139" s="552">
        <v>162</v>
      </c>
      <c r="H1139" s="552"/>
      <c r="I1139" s="548">
        <v>5000</v>
      </c>
      <c r="J1139" s="548">
        <v>400</v>
      </c>
      <c r="K1139" s="552">
        <v>400</v>
      </c>
      <c r="L1139" s="574">
        <v>0</v>
      </c>
      <c r="M1139" s="548">
        <v>4600</v>
      </c>
    </row>
    <row r="1140" spans="1:13" ht="15.95" customHeight="1">
      <c r="A1140" s="547"/>
      <c r="B1140" s="550" t="s">
        <v>5069</v>
      </c>
      <c r="C1140" s="550" t="s">
        <v>1402</v>
      </c>
      <c r="D1140" s="550" t="s">
        <v>1402</v>
      </c>
      <c r="E1140" s="550" t="s">
        <v>225</v>
      </c>
      <c r="F1140" s="550" t="s">
        <v>11</v>
      </c>
      <c r="G1140" s="552">
        <v>162</v>
      </c>
      <c r="H1140" s="552"/>
      <c r="I1140" s="548">
        <v>1600</v>
      </c>
      <c r="J1140" s="548">
        <v>1000</v>
      </c>
      <c r="K1140" s="552">
        <v>1000</v>
      </c>
      <c r="L1140" s="574">
        <v>0</v>
      </c>
      <c r="M1140" s="548">
        <v>600</v>
      </c>
    </row>
    <row r="1141" spans="1:13" ht="15.95" customHeight="1">
      <c r="A1141" s="547"/>
      <c r="B1141" s="550" t="s">
        <v>5069</v>
      </c>
      <c r="C1141" s="550" t="s">
        <v>1402</v>
      </c>
      <c r="D1141" s="550" t="s">
        <v>1402</v>
      </c>
      <c r="E1141" s="550" t="s">
        <v>225</v>
      </c>
      <c r="F1141" s="550" t="s">
        <v>11</v>
      </c>
      <c r="G1141" s="552">
        <v>162</v>
      </c>
      <c r="H1141" s="552">
        <v>4000</v>
      </c>
      <c r="I1141" s="548">
        <v>0</v>
      </c>
      <c r="J1141" s="548">
        <v>2634</v>
      </c>
      <c r="K1141" s="552">
        <v>2000</v>
      </c>
      <c r="L1141" s="574">
        <v>634</v>
      </c>
      <c r="M1141" s="548">
        <v>1366</v>
      </c>
    </row>
    <row r="1142" spans="1:13" ht="15.95" customHeight="1">
      <c r="A1142" s="547"/>
      <c r="B1142" s="550" t="s">
        <v>5069</v>
      </c>
      <c r="C1142" s="550" t="s">
        <v>1402</v>
      </c>
      <c r="D1142" s="550" t="s">
        <v>1402</v>
      </c>
      <c r="E1142" s="550" t="s">
        <v>225</v>
      </c>
      <c r="F1142" s="550" t="s">
        <v>11</v>
      </c>
      <c r="G1142" s="552">
        <v>162</v>
      </c>
      <c r="H1142" s="552">
        <v>1124</v>
      </c>
      <c r="I1142" s="548">
        <v>0</v>
      </c>
      <c r="J1142" s="548">
        <v>1124</v>
      </c>
      <c r="K1142" s="552">
        <v>0</v>
      </c>
      <c r="L1142" s="574">
        <v>1124</v>
      </c>
      <c r="M1142" s="548">
        <v>0</v>
      </c>
    </row>
    <row r="1143" spans="1:13" ht="15.95" customHeight="1">
      <c r="A1143" s="547"/>
      <c r="B1143" s="550" t="s">
        <v>5069</v>
      </c>
      <c r="C1143" s="550" t="s">
        <v>1402</v>
      </c>
      <c r="D1143" s="550" t="s">
        <v>1402</v>
      </c>
      <c r="E1143" s="550" t="s">
        <v>225</v>
      </c>
      <c r="F1143" s="550" t="s">
        <v>11</v>
      </c>
      <c r="G1143" s="552">
        <v>162</v>
      </c>
      <c r="H1143" s="552">
        <v>600</v>
      </c>
      <c r="I1143" s="548">
        <v>0</v>
      </c>
      <c r="J1143" s="548">
        <v>600</v>
      </c>
      <c r="K1143" s="552">
        <v>600</v>
      </c>
      <c r="L1143" s="574">
        <v>0</v>
      </c>
      <c r="M1143" s="548">
        <v>0</v>
      </c>
    </row>
    <row r="1144" spans="1:13" ht="15.95" customHeight="1">
      <c r="A1144" s="547"/>
      <c r="B1144" s="550" t="s">
        <v>5069</v>
      </c>
      <c r="C1144" s="550" t="s">
        <v>1402</v>
      </c>
      <c r="D1144" s="550" t="s">
        <v>1402</v>
      </c>
      <c r="E1144" s="550" t="s">
        <v>225</v>
      </c>
      <c r="F1144" s="550" t="s">
        <v>11</v>
      </c>
      <c r="G1144" s="552">
        <v>165</v>
      </c>
      <c r="H1144" s="552">
        <v>245</v>
      </c>
      <c r="I1144" s="548">
        <v>0</v>
      </c>
      <c r="J1144" s="548">
        <v>245</v>
      </c>
      <c r="K1144" s="552">
        <v>0</v>
      </c>
      <c r="L1144" s="574">
        <v>245</v>
      </c>
      <c r="M1144" s="548">
        <v>0</v>
      </c>
    </row>
    <row r="1145" spans="1:13" ht="15.95" customHeight="1">
      <c r="A1145" s="547"/>
      <c r="B1145" s="550" t="s">
        <v>4584</v>
      </c>
      <c r="C1145" s="550" t="s">
        <v>1947</v>
      </c>
      <c r="D1145" s="550" t="s">
        <v>337</v>
      </c>
      <c r="E1145" s="550" t="s">
        <v>1200</v>
      </c>
      <c r="F1145" s="550" t="s">
        <v>13</v>
      </c>
      <c r="G1145" s="552">
        <v>2499</v>
      </c>
      <c r="H1145" s="552">
        <v>14</v>
      </c>
      <c r="I1145" s="548">
        <v>0</v>
      </c>
      <c r="J1145" s="548">
        <v>14</v>
      </c>
      <c r="K1145" s="552">
        <v>14</v>
      </c>
      <c r="L1145" s="574">
        <v>0</v>
      </c>
      <c r="M1145" s="548">
        <v>0</v>
      </c>
    </row>
    <row r="1146" spans="1:13" ht="15.95" customHeight="1">
      <c r="A1146" s="547"/>
      <c r="B1146" s="550" t="s">
        <v>4582</v>
      </c>
      <c r="C1146" s="550" t="s">
        <v>1947</v>
      </c>
      <c r="D1146" s="550" t="s">
        <v>337</v>
      </c>
      <c r="E1146" s="550" t="s">
        <v>1200</v>
      </c>
      <c r="F1146" s="550" t="s">
        <v>13</v>
      </c>
      <c r="G1146" s="552">
        <v>2499</v>
      </c>
      <c r="H1146" s="552">
        <v>2080</v>
      </c>
      <c r="I1146" s="548">
        <v>229</v>
      </c>
      <c r="J1146" s="548">
        <v>1031</v>
      </c>
      <c r="K1146" s="552">
        <v>255</v>
      </c>
      <c r="L1146" s="574">
        <v>776</v>
      </c>
      <c r="M1146" s="548">
        <v>1278</v>
      </c>
    </row>
    <row r="1147" spans="1:13" ht="15.95" customHeight="1">
      <c r="A1147" s="547"/>
      <c r="B1147" s="550" t="s">
        <v>4582</v>
      </c>
      <c r="C1147" s="550" t="s">
        <v>1947</v>
      </c>
      <c r="D1147" s="550" t="s">
        <v>337</v>
      </c>
      <c r="E1147" s="550" t="s">
        <v>1200</v>
      </c>
      <c r="F1147" s="550" t="s">
        <v>13</v>
      </c>
      <c r="G1147" s="552">
        <v>2499</v>
      </c>
      <c r="H1147" s="552">
        <v>1500</v>
      </c>
      <c r="I1147" s="548">
        <v>0</v>
      </c>
      <c r="J1147" s="548">
        <v>0</v>
      </c>
      <c r="K1147" s="552">
        <v>0</v>
      </c>
      <c r="L1147" s="574">
        <v>0</v>
      </c>
      <c r="M1147" s="548">
        <v>1500</v>
      </c>
    </row>
    <row r="1148" spans="1:13" ht="15.95" customHeight="1">
      <c r="A1148" s="547"/>
      <c r="B1148" s="550" t="s">
        <v>6770</v>
      </c>
      <c r="C1148" s="550" t="s">
        <v>2560</v>
      </c>
      <c r="D1148" s="550" t="s">
        <v>729</v>
      </c>
      <c r="E1148" s="550" t="s">
        <v>225</v>
      </c>
      <c r="F1148" s="550" t="s">
        <v>11</v>
      </c>
      <c r="G1148" s="552">
        <v>1500</v>
      </c>
      <c r="H1148" s="552"/>
      <c r="I1148" s="548">
        <v>6000</v>
      </c>
      <c r="J1148" s="548">
        <v>5987</v>
      </c>
      <c r="K1148" s="552">
        <v>0</v>
      </c>
      <c r="L1148" s="574">
        <v>5987</v>
      </c>
      <c r="M1148" s="548">
        <v>13</v>
      </c>
    </row>
    <row r="1149" spans="1:13" ht="15.95" customHeight="1">
      <c r="A1149" s="547"/>
      <c r="B1149" s="550" t="s">
        <v>12098</v>
      </c>
      <c r="C1149" s="550" t="s">
        <v>12099</v>
      </c>
      <c r="D1149" s="550" t="s">
        <v>12100</v>
      </c>
      <c r="E1149" s="550" t="s">
        <v>238</v>
      </c>
      <c r="F1149" s="550" t="s">
        <v>11</v>
      </c>
      <c r="G1149" s="552">
        <v>0</v>
      </c>
      <c r="H1149" s="552"/>
      <c r="I1149" s="548">
        <v>1000</v>
      </c>
      <c r="J1149" s="548">
        <v>1000</v>
      </c>
      <c r="K1149" s="552">
        <v>70</v>
      </c>
      <c r="L1149" s="574">
        <v>930</v>
      </c>
      <c r="M1149" s="548">
        <v>0</v>
      </c>
    </row>
    <row r="1150" spans="1:13" ht="15.95" customHeight="1">
      <c r="A1150" s="547"/>
      <c r="B1150" s="550" t="s">
        <v>8715</v>
      </c>
      <c r="C1150" s="550" t="s">
        <v>12461</v>
      </c>
      <c r="D1150" s="550" t="s">
        <v>12462</v>
      </c>
      <c r="E1150" s="550" t="s">
        <v>12463</v>
      </c>
      <c r="F1150" s="550" t="s">
        <v>15</v>
      </c>
      <c r="G1150" s="552">
        <v>40000</v>
      </c>
      <c r="H1150" s="552"/>
      <c r="I1150" s="548">
        <v>200</v>
      </c>
      <c r="J1150" s="548">
        <v>48</v>
      </c>
      <c r="K1150" s="552">
        <v>0</v>
      </c>
      <c r="L1150" s="574">
        <v>48</v>
      </c>
      <c r="M1150" s="548">
        <v>152</v>
      </c>
    </row>
    <row r="1151" spans="1:13" ht="15.95" customHeight="1">
      <c r="A1151" s="547"/>
      <c r="B1151" s="550" t="s">
        <v>8715</v>
      </c>
      <c r="C1151" s="550" t="s">
        <v>12461</v>
      </c>
      <c r="D1151" s="550" t="s">
        <v>12462</v>
      </c>
      <c r="E1151" s="550" t="s">
        <v>12463</v>
      </c>
      <c r="F1151" s="550" t="s">
        <v>15</v>
      </c>
      <c r="G1151" s="552">
        <v>40000</v>
      </c>
      <c r="H1151" s="552"/>
      <c r="I1151" s="548">
        <v>100</v>
      </c>
      <c r="J1151" s="548">
        <v>0</v>
      </c>
      <c r="K1151" s="552">
        <v>0</v>
      </c>
      <c r="L1151" s="574">
        <v>0</v>
      </c>
      <c r="M1151" s="548">
        <v>100</v>
      </c>
    </row>
    <row r="1152" spans="1:13" ht="15.95" customHeight="1">
      <c r="A1152" s="547"/>
      <c r="B1152" s="550" t="s">
        <v>7637</v>
      </c>
      <c r="C1152" s="550" t="s">
        <v>7640</v>
      </c>
      <c r="D1152" s="550" t="s">
        <v>7638</v>
      </c>
      <c r="E1152" s="550" t="s">
        <v>7639</v>
      </c>
      <c r="F1152" s="550" t="s">
        <v>11</v>
      </c>
      <c r="G1152" s="552">
        <v>3150</v>
      </c>
      <c r="H1152" s="552"/>
      <c r="I1152" s="548">
        <v>320</v>
      </c>
      <c r="J1152" s="548">
        <v>320</v>
      </c>
      <c r="K1152" s="552">
        <v>0</v>
      </c>
      <c r="L1152" s="574">
        <v>320</v>
      </c>
      <c r="M1152" s="548">
        <v>0</v>
      </c>
    </row>
    <row r="1153" spans="1:13" ht="15.95" customHeight="1">
      <c r="A1153" s="547"/>
      <c r="B1153" s="550" t="s">
        <v>7637</v>
      </c>
      <c r="C1153" s="550" t="s">
        <v>7640</v>
      </c>
      <c r="D1153" s="550" t="s">
        <v>7638</v>
      </c>
      <c r="E1153" s="550" t="s">
        <v>7639</v>
      </c>
      <c r="F1153" s="550" t="s">
        <v>11</v>
      </c>
      <c r="G1153" s="552">
        <v>3150</v>
      </c>
      <c r="H1153" s="552"/>
      <c r="I1153" s="548">
        <v>540</v>
      </c>
      <c r="J1153" s="548">
        <v>293</v>
      </c>
      <c r="K1153" s="552">
        <v>0</v>
      </c>
      <c r="L1153" s="574">
        <v>293</v>
      </c>
      <c r="M1153" s="548">
        <v>247</v>
      </c>
    </row>
    <row r="1154" spans="1:13" ht="15.95" customHeight="1">
      <c r="A1154" s="547"/>
      <c r="B1154" s="550" t="s">
        <v>7637</v>
      </c>
      <c r="C1154" s="550" t="s">
        <v>7640</v>
      </c>
      <c r="D1154" s="550" t="s">
        <v>7638</v>
      </c>
      <c r="E1154" s="550" t="s">
        <v>7639</v>
      </c>
      <c r="F1154" s="550" t="s">
        <v>11</v>
      </c>
      <c r="G1154" s="552">
        <v>3150</v>
      </c>
      <c r="H1154" s="552"/>
      <c r="I1154" s="548">
        <v>200</v>
      </c>
      <c r="J1154" s="548">
        <v>0</v>
      </c>
      <c r="K1154" s="552">
        <v>0</v>
      </c>
      <c r="L1154" s="574">
        <v>0</v>
      </c>
      <c r="M1154" s="548">
        <v>200</v>
      </c>
    </row>
    <row r="1155" spans="1:13" ht="15.95" customHeight="1">
      <c r="A1155" s="547"/>
      <c r="B1155" s="550" t="s">
        <v>7637</v>
      </c>
      <c r="C1155" s="550" t="s">
        <v>7640</v>
      </c>
      <c r="D1155" s="550" t="s">
        <v>7638</v>
      </c>
      <c r="E1155" s="550" t="s">
        <v>7639</v>
      </c>
      <c r="F1155" s="550" t="s">
        <v>11</v>
      </c>
      <c r="G1155" s="552">
        <v>3150</v>
      </c>
      <c r="H1155" s="552"/>
      <c r="I1155" s="548">
        <v>8940</v>
      </c>
      <c r="J1155" s="548">
        <v>0</v>
      </c>
      <c r="K1155" s="552">
        <v>0</v>
      </c>
      <c r="L1155" s="574">
        <v>0</v>
      </c>
      <c r="M1155" s="548">
        <v>8940</v>
      </c>
    </row>
    <row r="1156" spans="1:13" ht="15.95" customHeight="1">
      <c r="A1156" s="547"/>
      <c r="B1156" s="550" t="s">
        <v>4437</v>
      </c>
      <c r="C1156" s="550" t="s">
        <v>4438</v>
      </c>
      <c r="D1156" s="550" t="s">
        <v>543</v>
      </c>
      <c r="E1156" s="550" t="s">
        <v>225</v>
      </c>
      <c r="F1156" s="550" t="s">
        <v>11</v>
      </c>
      <c r="G1156" s="552">
        <v>4350</v>
      </c>
      <c r="H1156" s="552">
        <v>207</v>
      </c>
      <c r="I1156" s="548">
        <v>0</v>
      </c>
      <c r="J1156" s="548">
        <v>71</v>
      </c>
      <c r="K1156" s="552">
        <v>0</v>
      </c>
      <c r="L1156" s="574">
        <v>71</v>
      </c>
      <c r="M1156" s="548">
        <v>136</v>
      </c>
    </row>
    <row r="1157" spans="1:13" ht="15.95" customHeight="1">
      <c r="A1157" s="547"/>
      <c r="B1157" s="550" t="s">
        <v>5724</v>
      </c>
      <c r="C1157" s="550" t="s">
        <v>5725</v>
      </c>
      <c r="D1157" s="550" t="s">
        <v>1302</v>
      </c>
      <c r="E1157" s="550" t="s">
        <v>238</v>
      </c>
      <c r="F1157" s="550" t="s">
        <v>10</v>
      </c>
      <c r="G1157" s="552">
        <v>598</v>
      </c>
      <c r="H1157" s="552"/>
      <c r="I1157" s="548">
        <v>20000</v>
      </c>
      <c r="J1157" s="548">
        <v>8905</v>
      </c>
      <c r="K1157" s="552">
        <v>0</v>
      </c>
      <c r="L1157" s="574">
        <v>8905</v>
      </c>
      <c r="M1157" s="548">
        <v>11095</v>
      </c>
    </row>
    <row r="1158" spans="1:13" ht="15.95" customHeight="1">
      <c r="A1158" s="547"/>
      <c r="B1158" s="550" t="s">
        <v>5724</v>
      </c>
      <c r="C1158" s="550" t="s">
        <v>5725</v>
      </c>
      <c r="D1158" s="550" t="s">
        <v>1302</v>
      </c>
      <c r="E1158" s="550" t="s">
        <v>238</v>
      </c>
      <c r="F1158" s="550" t="s">
        <v>10</v>
      </c>
      <c r="G1158" s="552">
        <v>598</v>
      </c>
      <c r="H1158" s="552"/>
      <c r="I1158" s="548">
        <v>10000</v>
      </c>
      <c r="J1158" s="548">
        <v>0</v>
      </c>
      <c r="K1158" s="552">
        <v>0</v>
      </c>
      <c r="L1158" s="574">
        <v>0</v>
      </c>
      <c r="M1158" s="548">
        <v>10000</v>
      </c>
    </row>
    <row r="1159" spans="1:13" ht="15.95" customHeight="1">
      <c r="A1159" s="547"/>
      <c r="B1159" s="550" t="s">
        <v>5735</v>
      </c>
      <c r="C1159" s="550" t="s">
        <v>4440</v>
      </c>
      <c r="D1159" s="550" t="s">
        <v>1302</v>
      </c>
      <c r="E1159" s="550" t="s">
        <v>235</v>
      </c>
      <c r="F1159" s="550" t="s">
        <v>10</v>
      </c>
      <c r="G1159" s="552">
        <v>1148</v>
      </c>
      <c r="H1159" s="552"/>
      <c r="I1159" s="548">
        <v>20000</v>
      </c>
      <c r="J1159" s="548">
        <v>4504</v>
      </c>
      <c r="K1159" s="552">
        <v>0</v>
      </c>
      <c r="L1159" s="574">
        <v>4504</v>
      </c>
      <c r="M1159" s="548">
        <v>15496</v>
      </c>
    </row>
  </sheetData>
  <sortState ref="A2:AJ1231">
    <sortCondition ref="C2:C1231"/>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AJ1208"/>
  <sheetViews>
    <sheetView topLeftCell="A719" workbookViewId="0">
      <selection activeCell="G737" sqref="G737"/>
    </sheetView>
  </sheetViews>
  <sheetFormatPr defaultRowHeight="15.75"/>
  <cols>
    <col min="1" max="4" width="4.625" customWidth="1"/>
    <col min="5" max="39" width="18.125" customWidth="1"/>
    <col min="257" max="257" width="2.625" customWidth="1"/>
    <col min="258" max="292" width="2.5" customWidth="1"/>
    <col min="513" max="513" width="2.625" customWidth="1"/>
    <col min="514" max="548" width="2.5" customWidth="1"/>
    <col min="769" max="769" width="2.625" customWidth="1"/>
    <col min="770" max="804" width="2.5" customWidth="1"/>
    <col min="1025" max="1025" width="2.625" customWidth="1"/>
    <col min="1026" max="1060" width="2.5" customWidth="1"/>
    <col min="1281" max="1281" width="2.625" customWidth="1"/>
    <col min="1282" max="1316" width="2.5" customWidth="1"/>
    <col min="1537" max="1537" width="2.625" customWidth="1"/>
    <col min="1538" max="1572" width="2.5" customWidth="1"/>
    <col min="1793" max="1793" width="2.625" customWidth="1"/>
    <col min="1794" max="1828" width="2.5" customWidth="1"/>
    <col min="2049" max="2049" width="2.625" customWidth="1"/>
    <col min="2050" max="2084" width="2.5" customWidth="1"/>
    <col min="2305" max="2305" width="2.625" customWidth="1"/>
    <col min="2306" max="2340" width="2.5" customWidth="1"/>
    <col min="2561" max="2561" width="2.625" customWidth="1"/>
    <col min="2562" max="2596" width="2.5" customWidth="1"/>
    <col min="2817" max="2817" width="2.625" customWidth="1"/>
    <col min="2818" max="2852" width="2.5" customWidth="1"/>
    <col min="3073" max="3073" width="2.625" customWidth="1"/>
    <col min="3074" max="3108" width="2.5" customWidth="1"/>
    <col min="3329" max="3329" width="2.625" customWidth="1"/>
    <col min="3330" max="3364" width="2.5" customWidth="1"/>
    <col min="3585" max="3585" width="2.625" customWidth="1"/>
    <col min="3586" max="3620" width="2.5" customWidth="1"/>
    <col min="3841" max="3841" width="2.625" customWidth="1"/>
    <col min="3842" max="3876" width="2.5" customWidth="1"/>
    <col min="4097" max="4097" width="2.625" customWidth="1"/>
    <col min="4098" max="4132" width="2.5" customWidth="1"/>
    <col min="4353" max="4353" width="2.625" customWidth="1"/>
    <col min="4354" max="4388" width="2.5" customWidth="1"/>
    <col min="4609" max="4609" width="2.625" customWidth="1"/>
    <col min="4610" max="4644" width="2.5" customWidth="1"/>
    <col min="4865" max="4865" width="2.625" customWidth="1"/>
    <col min="4866" max="4900" width="2.5" customWidth="1"/>
    <col min="5121" max="5121" width="2.625" customWidth="1"/>
    <col min="5122" max="5156" width="2.5" customWidth="1"/>
    <col min="5377" max="5377" width="2.625" customWidth="1"/>
    <col min="5378" max="5412" width="2.5" customWidth="1"/>
    <col min="5633" max="5633" width="2.625" customWidth="1"/>
    <col min="5634" max="5668" width="2.5" customWidth="1"/>
    <col min="5889" max="5889" width="2.625" customWidth="1"/>
    <col min="5890" max="5924" width="2.5" customWidth="1"/>
    <col min="6145" max="6145" width="2.625" customWidth="1"/>
    <col min="6146" max="6180" width="2.5" customWidth="1"/>
    <col min="6401" max="6401" width="2.625" customWidth="1"/>
    <col min="6402" max="6436" width="2.5" customWidth="1"/>
    <col min="6657" max="6657" width="2.625" customWidth="1"/>
    <col min="6658" max="6692" width="2.5" customWidth="1"/>
    <col min="6913" max="6913" width="2.625" customWidth="1"/>
    <col min="6914" max="6948" width="2.5" customWidth="1"/>
    <col min="7169" max="7169" width="2.625" customWidth="1"/>
    <col min="7170" max="7204" width="2.5" customWidth="1"/>
    <col min="7425" max="7425" width="2.625" customWidth="1"/>
    <col min="7426" max="7460" width="2.5" customWidth="1"/>
    <col min="7681" max="7681" width="2.625" customWidth="1"/>
    <col min="7682" max="7716" width="2.5" customWidth="1"/>
    <col min="7937" max="7937" width="2.625" customWidth="1"/>
    <col min="7938" max="7972" width="2.5" customWidth="1"/>
    <col min="8193" max="8193" width="2.625" customWidth="1"/>
    <col min="8194" max="8228" width="2.5" customWidth="1"/>
    <col min="8449" max="8449" width="2.625" customWidth="1"/>
    <col min="8450" max="8484" width="2.5" customWidth="1"/>
    <col min="8705" max="8705" width="2.625" customWidth="1"/>
    <col min="8706" max="8740" width="2.5" customWidth="1"/>
    <col min="8961" max="8961" width="2.625" customWidth="1"/>
    <col min="8962" max="8996" width="2.5" customWidth="1"/>
    <col min="9217" max="9217" width="2.625" customWidth="1"/>
    <col min="9218" max="9252" width="2.5" customWidth="1"/>
    <col min="9473" max="9473" width="2.625" customWidth="1"/>
    <col min="9474" max="9508" width="2.5" customWidth="1"/>
    <col min="9729" max="9729" width="2.625" customWidth="1"/>
    <col min="9730" max="9764" width="2.5" customWidth="1"/>
    <col min="9985" max="9985" width="2.625" customWidth="1"/>
    <col min="9986" max="10020" width="2.5" customWidth="1"/>
    <col min="10241" max="10241" width="2.625" customWidth="1"/>
    <col min="10242" max="10276" width="2.5" customWidth="1"/>
    <col min="10497" max="10497" width="2.625" customWidth="1"/>
    <col min="10498" max="10532" width="2.5" customWidth="1"/>
    <col min="10753" max="10753" width="2.625" customWidth="1"/>
    <col min="10754" max="10788" width="2.5" customWidth="1"/>
    <col min="11009" max="11009" width="2.625" customWidth="1"/>
    <col min="11010" max="11044" width="2.5" customWidth="1"/>
    <col min="11265" max="11265" width="2.625" customWidth="1"/>
    <col min="11266" max="11300" width="2.5" customWidth="1"/>
    <col min="11521" max="11521" width="2.625" customWidth="1"/>
    <col min="11522" max="11556" width="2.5" customWidth="1"/>
    <col min="11777" max="11777" width="2.625" customWidth="1"/>
    <col min="11778" max="11812" width="2.5" customWidth="1"/>
    <col min="12033" max="12033" width="2.625" customWidth="1"/>
    <col min="12034" max="12068" width="2.5" customWidth="1"/>
    <col min="12289" max="12289" width="2.625" customWidth="1"/>
    <col min="12290" max="12324" width="2.5" customWidth="1"/>
    <col min="12545" max="12545" width="2.625" customWidth="1"/>
    <col min="12546" max="12580" width="2.5" customWidth="1"/>
    <col min="12801" max="12801" width="2.625" customWidth="1"/>
    <col min="12802" max="12836" width="2.5" customWidth="1"/>
    <col min="13057" max="13057" width="2.625" customWidth="1"/>
    <col min="13058" max="13092" width="2.5" customWidth="1"/>
    <col min="13313" max="13313" width="2.625" customWidth="1"/>
    <col min="13314" max="13348" width="2.5" customWidth="1"/>
    <col min="13569" max="13569" width="2.625" customWidth="1"/>
    <col min="13570" max="13604" width="2.5" customWidth="1"/>
    <col min="13825" max="13825" width="2.625" customWidth="1"/>
    <col min="13826" max="13860" width="2.5" customWidth="1"/>
    <col min="14081" max="14081" width="2.625" customWidth="1"/>
    <col min="14082" max="14116" width="2.5" customWidth="1"/>
    <col min="14337" max="14337" width="2.625" customWidth="1"/>
    <col min="14338" max="14372" width="2.5" customWidth="1"/>
    <col min="14593" max="14593" width="2.625" customWidth="1"/>
    <col min="14594" max="14628" width="2.5" customWidth="1"/>
    <col min="14849" max="14849" width="2.625" customWidth="1"/>
    <col min="14850" max="14884" width="2.5" customWidth="1"/>
    <col min="15105" max="15105" width="2.625" customWidth="1"/>
    <col min="15106" max="15140" width="2.5" customWidth="1"/>
    <col min="15361" max="15361" width="2.625" customWidth="1"/>
    <col min="15362" max="15396" width="2.5" customWidth="1"/>
    <col min="15617" max="15617" width="2.625" customWidth="1"/>
    <col min="15618" max="15652" width="2.5" customWidth="1"/>
    <col min="15873" max="15873" width="2.625" customWidth="1"/>
    <col min="15874" max="15908" width="2.5" customWidth="1"/>
    <col min="16129" max="16129" width="2.625" customWidth="1"/>
    <col min="16130" max="16164" width="2.5" customWidth="1"/>
  </cols>
  <sheetData>
    <row r="1" spans="1:36" ht="12.95" customHeight="1">
      <c r="A1" s="722" t="s">
        <v>11470</v>
      </c>
      <c r="B1" s="722"/>
      <c r="C1" s="546" t="s">
        <v>11471</v>
      </c>
      <c r="D1" s="546" t="s">
        <v>11472</v>
      </c>
      <c r="E1" s="546" t="s">
        <v>3688</v>
      </c>
      <c r="F1" s="546" t="s">
        <v>3689</v>
      </c>
      <c r="G1" s="546" t="s">
        <v>3690</v>
      </c>
      <c r="H1" s="546" t="s">
        <v>3691</v>
      </c>
      <c r="I1" s="546" t="s">
        <v>3692</v>
      </c>
      <c r="J1" s="546" t="s">
        <v>3693</v>
      </c>
      <c r="K1" s="546" t="s">
        <v>3694</v>
      </c>
      <c r="L1" s="546" t="s">
        <v>11473</v>
      </c>
      <c r="M1" s="546" t="s">
        <v>11474</v>
      </c>
      <c r="N1" s="546" t="s">
        <v>4</v>
      </c>
      <c r="O1" s="546" t="s">
        <v>11475</v>
      </c>
      <c r="P1" s="546" t="s">
        <v>3695</v>
      </c>
      <c r="Q1" s="546" t="s">
        <v>11476</v>
      </c>
      <c r="R1" s="546" t="s">
        <v>3696</v>
      </c>
      <c r="S1" s="546" t="s">
        <v>11477</v>
      </c>
      <c r="T1" s="546" t="s">
        <v>3697</v>
      </c>
      <c r="U1" s="546" t="s">
        <v>11478</v>
      </c>
      <c r="V1" s="546" t="s">
        <v>3698</v>
      </c>
      <c r="W1" s="546" t="s">
        <v>3699</v>
      </c>
      <c r="X1" s="546" t="s">
        <v>3700</v>
      </c>
      <c r="Y1" s="546" t="s">
        <v>3701</v>
      </c>
      <c r="Z1" s="546" t="s">
        <v>3702</v>
      </c>
      <c r="AA1" s="546" t="s">
        <v>3703</v>
      </c>
      <c r="AB1" s="546" t="s">
        <v>3704</v>
      </c>
      <c r="AC1" s="546" t="s">
        <v>3705</v>
      </c>
      <c r="AD1" s="546" t="s">
        <v>3706</v>
      </c>
      <c r="AE1" s="546" t="s">
        <v>3707</v>
      </c>
      <c r="AF1" s="546" t="s">
        <v>3708</v>
      </c>
      <c r="AG1" s="546" t="s">
        <v>3709</v>
      </c>
      <c r="AH1" s="546" t="s">
        <v>3710</v>
      </c>
      <c r="AI1" s="546" t="s">
        <v>3711</v>
      </c>
      <c r="AJ1" s="546" t="s">
        <v>3712</v>
      </c>
    </row>
    <row r="2" spans="1:36" ht="13.7" customHeight="1">
      <c r="A2" s="717" t="s">
        <v>11479</v>
      </c>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row>
    <row r="3" spans="1:36" ht="15.95" customHeight="1">
      <c r="A3" s="547"/>
      <c r="B3" s="548">
        <v>5</v>
      </c>
      <c r="C3" s="549">
        <v>6746</v>
      </c>
      <c r="D3" s="550" t="s">
        <v>11480</v>
      </c>
      <c r="E3" s="550" t="s">
        <v>3715</v>
      </c>
      <c r="F3" s="550" t="s">
        <v>630</v>
      </c>
      <c r="G3" s="550" t="s">
        <v>1333</v>
      </c>
      <c r="H3" s="550" t="s">
        <v>3716</v>
      </c>
      <c r="I3" s="550" t="s">
        <v>15</v>
      </c>
      <c r="J3" s="550" t="s">
        <v>11481</v>
      </c>
      <c r="K3" s="551">
        <v>44861</v>
      </c>
      <c r="L3" s="552">
        <v>6132</v>
      </c>
      <c r="M3" s="552">
        <v>6132</v>
      </c>
      <c r="N3" s="552">
        <v>6132</v>
      </c>
      <c r="O3" s="552">
        <v>10</v>
      </c>
      <c r="P3" s="552">
        <v>61320</v>
      </c>
      <c r="Q3" s="548">
        <v>0</v>
      </c>
      <c r="R3" s="552">
        <v>0</v>
      </c>
      <c r="S3" s="548">
        <v>10</v>
      </c>
      <c r="T3" s="552">
        <v>61320</v>
      </c>
      <c r="U3" s="548">
        <v>0</v>
      </c>
      <c r="V3" s="552">
        <v>0</v>
      </c>
      <c r="W3" s="552">
        <v>22</v>
      </c>
      <c r="X3" s="552">
        <v>134904</v>
      </c>
      <c r="Y3" s="552">
        <v>10</v>
      </c>
      <c r="Z3" s="552">
        <v>61320</v>
      </c>
      <c r="AA3" s="552">
        <v>0</v>
      </c>
      <c r="AB3" s="552">
        <v>0</v>
      </c>
      <c r="AC3" s="552">
        <v>10</v>
      </c>
      <c r="AD3" s="552">
        <v>61320</v>
      </c>
      <c r="AE3" s="552">
        <v>0</v>
      </c>
      <c r="AF3" s="552">
        <v>0</v>
      </c>
      <c r="AG3" s="552">
        <v>0</v>
      </c>
      <c r="AH3" s="552">
        <v>0</v>
      </c>
      <c r="AI3" s="552">
        <v>0</v>
      </c>
      <c r="AJ3" s="552">
        <v>0</v>
      </c>
    </row>
    <row r="4" spans="1:36" ht="15.95" customHeight="1">
      <c r="A4" s="547"/>
      <c r="B4" s="548">
        <v>6</v>
      </c>
      <c r="C4" s="549">
        <v>6746</v>
      </c>
      <c r="D4" s="550" t="s">
        <v>11480</v>
      </c>
      <c r="E4" s="550" t="s">
        <v>3715</v>
      </c>
      <c r="F4" s="550" t="s">
        <v>630</v>
      </c>
      <c r="G4" s="550" t="s">
        <v>1333</v>
      </c>
      <c r="H4" s="550" t="s">
        <v>3716</v>
      </c>
      <c r="I4" s="550" t="s">
        <v>15</v>
      </c>
      <c r="J4" s="550" t="s">
        <v>11482</v>
      </c>
      <c r="K4" s="551">
        <v>44937</v>
      </c>
      <c r="L4" s="552">
        <v>6132</v>
      </c>
      <c r="M4" s="552">
        <v>6132</v>
      </c>
      <c r="N4" s="552">
        <v>6132</v>
      </c>
      <c r="O4" s="552"/>
      <c r="P4" s="552"/>
      <c r="Q4" s="548">
        <v>80</v>
      </c>
      <c r="R4" s="552">
        <v>490560</v>
      </c>
      <c r="S4" s="548">
        <v>70</v>
      </c>
      <c r="T4" s="552">
        <v>429240</v>
      </c>
      <c r="U4" s="548">
        <v>10</v>
      </c>
      <c r="V4" s="552">
        <v>61320</v>
      </c>
      <c r="W4" s="552">
        <v>14</v>
      </c>
      <c r="X4" s="552">
        <v>85848</v>
      </c>
      <c r="Y4" s="552">
        <v>70</v>
      </c>
      <c r="Z4" s="552">
        <v>429240</v>
      </c>
      <c r="AA4" s="552">
        <v>0</v>
      </c>
      <c r="AB4" s="552">
        <v>0</v>
      </c>
      <c r="AC4" s="552">
        <v>70</v>
      </c>
      <c r="AD4" s="552">
        <v>429240</v>
      </c>
      <c r="AE4" s="552">
        <v>0</v>
      </c>
      <c r="AF4" s="552">
        <v>0</v>
      </c>
      <c r="AG4" s="552">
        <v>0</v>
      </c>
      <c r="AH4" s="552">
        <v>0</v>
      </c>
      <c r="AI4" s="552">
        <v>0</v>
      </c>
      <c r="AJ4" s="552">
        <v>0</v>
      </c>
    </row>
    <row r="5" spans="1:36" ht="15.95" customHeight="1">
      <c r="A5" s="547"/>
      <c r="B5" s="548">
        <v>7</v>
      </c>
      <c r="C5" s="549">
        <v>6747</v>
      </c>
      <c r="D5" s="550" t="s">
        <v>11483</v>
      </c>
      <c r="E5" s="550" t="s">
        <v>8462</v>
      </c>
      <c r="F5" s="550" t="s">
        <v>630</v>
      </c>
      <c r="G5" s="550" t="s">
        <v>1333</v>
      </c>
      <c r="H5" s="550" t="s">
        <v>3716</v>
      </c>
      <c r="I5" s="550" t="s">
        <v>15</v>
      </c>
      <c r="J5" s="550" t="s">
        <v>11484</v>
      </c>
      <c r="K5" s="551">
        <v>45001</v>
      </c>
      <c r="L5" s="552">
        <v>6132</v>
      </c>
      <c r="M5" s="552">
        <v>6132</v>
      </c>
      <c r="N5" s="552">
        <v>6132</v>
      </c>
      <c r="O5" s="552"/>
      <c r="P5" s="552"/>
      <c r="Q5" s="548">
        <v>90</v>
      </c>
      <c r="R5" s="552">
        <v>551880</v>
      </c>
      <c r="S5" s="548">
        <v>90</v>
      </c>
      <c r="T5" s="552">
        <v>551880</v>
      </c>
      <c r="U5" s="548">
        <v>0</v>
      </c>
      <c r="V5" s="552">
        <v>0</v>
      </c>
      <c r="W5" s="552">
        <v>0</v>
      </c>
      <c r="X5" s="552">
        <v>0</v>
      </c>
      <c r="Y5" s="552">
        <v>90</v>
      </c>
      <c r="Z5" s="552">
        <v>551880</v>
      </c>
      <c r="AA5" s="552">
        <v>0</v>
      </c>
      <c r="AB5" s="552">
        <v>0</v>
      </c>
      <c r="AC5" s="552">
        <v>90</v>
      </c>
      <c r="AD5" s="552">
        <v>551880</v>
      </c>
      <c r="AE5" s="552">
        <v>0</v>
      </c>
      <c r="AF5" s="552">
        <v>0</v>
      </c>
      <c r="AG5" s="552">
        <v>0</v>
      </c>
      <c r="AH5" s="552">
        <v>0</v>
      </c>
      <c r="AI5" s="552">
        <v>0</v>
      </c>
      <c r="AJ5" s="552">
        <v>0</v>
      </c>
    </row>
    <row r="6" spans="1:36" ht="15.95" customHeight="1">
      <c r="A6" s="547"/>
      <c r="B6" s="548">
        <v>11</v>
      </c>
      <c r="C6" s="549">
        <v>6933</v>
      </c>
      <c r="D6" s="550" t="s">
        <v>11485</v>
      </c>
      <c r="E6" s="550" t="s">
        <v>3717</v>
      </c>
      <c r="F6" s="550" t="s">
        <v>3718</v>
      </c>
      <c r="G6" s="550" t="s">
        <v>560</v>
      </c>
      <c r="H6" s="550" t="s">
        <v>299</v>
      </c>
      <c r="I6" s="550" t="s">
        <v>13</v>
      </c>
      <c r="J6" s="550" t="s">
        <v>11486</v>
      </c>
      <c r="K6" s="551">
        <v>44613</v>
      </c>
      <c r="L6" s="552">
        <v>2009</v>
      </c>
      <c r="M6" s="552">
        <v>2009</v>
      </c>
      <c r="N6" s="552">
        <v>2009</v>
      </c>
      <c r="O6" s="552"/>
      <c r="P6" s="552"/>
      <c r="Q6" s="548">
        <v>3000</v>
      </c>
      <c r="R6" s="552">
        <v>6027000</v>
      </c>
      <c r="S6" s="548">
        <v>2995</v>
      </c>
      <c r="T6" s="552">
        <v>6016955</v>
      </c>
      <c r="U6" s="548">
        <v>5</v>
      </c>
      <c r="V6" s="552">
        <v>10045</v>
      </c>
      <c r="W6" s="552">
        <v>1526</v>
      </c>
      <c r="X6" s="552">
        <v>3065734</v>
      </c>
      <c r="Y6" s="552">
        <v>2995</v>
      </c>
      <c r="Z6" s="552">
        <v>6016955</v>
      </c>
      <c r="AA6" s="552">
        <v>995</v>
      </c>
      <c r="AB6" s="552">
        <v>1998955</v>
      </c>
      <c r="AC6" s="552">
        <v>2000</v>
      </c>
      <c r="AD6" s="552">
        <v>4018000</v>
      </c>
      <c r="AE6" s="552">
        <v>0</v>
      </c>
      <c r="AF6" s="552">
        <v>0</v>
      </c>
      <c r="AG6" s="552">
        <v>0</v>
      </c>
      <c r="AH6" s="552">
        <v>0</v>
      </c>
      <c r="AI6" s="552">
        <v>0</v>
      </c>
      <c r="AJ6" s="552">
        <v>0</v>
      </c>
    </row>
    <row r="7" spans="1:36" ht="15.95" customHeight="1">
      <c r="A7" s="547"/>
      <c r="B7" s="548">
        <v>12</v>
      </c>
      <c r="C7" s="549">
        <v>6933</v>
      </c>
      <c r="D7" s="550" t="s">
        <v>11485</v>
      </c>
      <c r="E7" s="550" t="s">
        <v>3717</v>
      </c>
      <c r="F7" s="550" t="s">
        <v>3718</v>
      </c>
      <c r="G7" s="550" t="s">
        <v>560</v>
      </c>
      <c r="H7" s="550" t="s">
        <v>299</v>
      </c>
      <c r="I7" s="550" t="s">
        <v>13</v>
      </c>
      <c r="J7" s="550" t="s">
        <v>3719</v>
      </c>
      <c r="K7" s="551">
        <v>44470</v>
      </c>
      <c r="L7" s="552">
        <v>2009</v>
      </c>
      <c r="M7" s="552">
        <v>2009</v>
      </c>
      <c r="N7" s="552">
        <v>2009</v>
      </c>
      <c r="O7" s="552">
        <v>3</v>
      </c>
      <c r="P7" s="552">
        <v>6027</v>
      </c>
      <c r="Q7" s="548">
        <v>0</v>
      </c>
      <c r="R7" s="552">
        <v>0</v>
      </c>
      <c r="S7" s="548">
        <v>3</v>
      </c>
      <c r="T7" s="552">
        <v>6027</v>
      </c>
      <c r="U7" s="548">
        <v>0</v>
      </c>
      <c r="V7" s="552">
        <v>0</v>
      </c>
      <c r="W7" s="552">
        <v>686</v>
      </c>
      <c r="X7" s="552">
        <v>1378174</v>
      </c>
      <c r="Y7" s="552">
        <v>3</v>
      </c>
      <c r="Z7" s="552">
        <v>6027</v>
      </c>
      <c r="AA7" s="552">
        <v>3</v>
      </c>
      <c r="AB7" s="552">
        <v>6027</v>
      </c>
      <c r="AC7" s="552">
        <v>0</v>
      </c>
      <c r="AD7" s="552">
        <v>0</v>
      </c>
      <c r="AE7" s="552">
        <v>0</v>
      </c>
      <c r="AF7" s="552">
        <v>0</v>
      </c>
      <c r="AG7" s="552">
        <v>0</v>
      </c>
      <c r="AH7" s="552">
        <v>0</v>
      </c>
      <c r="AI7" s="552">
        <v>0</v>
      </c>
      <c r="AJ7" s="552">
        <v>0</v>
      </c>
    </row>
    <row r="8" spans="1:36" ht="15.95" customHeight="1">
      <c r="A8" s="547"/>
      <c r="B8" s="548">
        <v>13</v>
      </c>
      <c r="C8" s="549">
        <v>6934</v>
      </c>
      <c r="D8" s="550" t="s">
        <v>11487</v>
      </c>
      <c r="E8" s="550" t="s">
        <v>6988</v>
      </c>
      <c r="F8" s="550" t="s">
        <v>939</v>
      </c>
      <c r="G8" s="550" t="s">
        <v>560</v>
      </c>
      <c r="H8" s="550" t="s">
        <v>299</v>
      </c>
      <c r="I8" s="550" t="s">
        <v>12</v>
      </c>
      <c r="J8" s="550" t="s">
        <v>11488</v>
      </c>
      <c r="K8" s="551">
        <v>45322</v>
      </c>
      <c r="L8" s="552">
        <v>370</v>
      </c>
      <c r="M8" s="552">
        <v>370</v>
      </c>
      <c r="N8" s="552">
        <v>370</v>
      </c>
      <c r="O8" s="552"/>
      <c r="P8" s="552"/>
      <c r="Q8" s="548">
        <v>1000</v>
      </c>
      <c r="R8" s="552">
        <v>370000</v>
      </c>
      <c r="S8" s="548">
        <v>1000</v>
      </c>
      <c r="T8" s="552">
        <v>370000</v>
      </c>
      <c r="U8" s="548">
        <v>0</v>
      </c>
      <c r="V8" s="552">
        <v>0</v>
      </c>
      <c r="W8" s="552">
        <v>785</v>
      </c>
      <c r="X8" s="552">
        <v>290450</v>
      </c>
      <c r="Y8" s="552">
        <v>1000</v>
      </c>
      <c r="Z8" s="552">
        <v>370000</v>
      </c>
      <c r="AA8" s="552">
        <v>0</v>
      </c>
      <c r="AB8" s="552">
        <v>0</v>
      </c>
      <c r="AC8" s="552">
        <v>1000</v>
      </c>
      <c r="AD8" s="552">
        <v>370000</v>
      </c>
      <c r="AE8" s="552">
        <v>0</v>
      </c>
      <c r="AF8" s="552">
        <v>0</v>
      </c>
      <c r="AG8" s="552">
        <v>0</v>
      </c>
      <c r="AH8" s="552">
        <v>0</v>
      </c>
      <c r="AI8" s="552">
        <v>0</v>
      </c>
      <c r="AJ8" s="552">
        <v>0</v>
      </c>
    </row>
    <row r="9" spans="1:36" ht="15.95" customHeight="1">
      <c r="A9" s="547"/>
      <c r="B9" s="548">
        <v>14</v>
      </c>
      <c r="C9" s="549">
        <v>6934</v>
      </c>
      <c r="D9" s="550" t="s">
        <v>11487</v>
      </c>
      <c r="E9" s="550" t="s">
        <v>6988</v>
      </c>
      <c r="F9" s="550" t="s">
        <v>939</v>
      </c>
      <c r="G9" s="550" t="s">
        <v>560</v>
      </c>
      <c r="H9" s="550" t="s">
        <v>299</v>
      </c>
      <c r="I9" s="550" t="s">
        <v>12</v>
      </c>
      <c r="J9" s="550" t="s">
        <v>11489</v>
      </c>
      <c r="K9" s="551">
        <v>45322</v>
      </c>
      <c r="L9" s="552">
        <v>370</v>
      </c>
      <c r="M9" s="552">
        <v>370</v>
      </c>
      <c r="N9" s="552">
        <v>370</v>
      </c>
      <c r="O9" s="552"/>
      <c r="P9" s="552"/>
      <c r="Q9" s="548">
        <v>700</v>
      </c>
      <c r="R9" s="552">
        <v>259000</v>
      </c>
      <c r="S9" s="548">
        <v>700</v>
      </c>
      <c r="T9" s="552">
        <v>259000</v>
      </c>
      <c r="U9" s="548">
        <v>0</v>
      </c>
      <c r="V9" s="552">
        <v>0</v>
      </c>
      <c r="W9" s="552">
        <v>86</v>
      </c>
      <c r="X9" s="552">
        <v>31820</v>
      </c>
      <c r="Y9" s="552">
        <v>700</v>
      </c>
      <c r="Z9" s="552">
        <v>259000</v>
      </c>
      <c r="AA9" s="552">
        <v>0</v>
      </c>
      <c r="AB9" s="552">
        <v>0</v>
      </c>
      <c r="AC9" s="552">
        <v>700</v>
      </c>
      <c r="AD9" s="552">
        <v>259000</v>
      </c>
      <c r="AE9" s="552">
        <v>0</v>
      </c>
      <c r="AF9" s="552">
        <v>0</v>
      </c>
      <c r="AG9" s="552">
        <v>0</v>
      </c>
      <c r="AH9" s="552">
        <v>0</v>
      </c>
      <c r="AI9" s="552">
        <v>0</v>
      </c>
      <c r="AJ9" s="552">
        <v>0</v>
      </c>
    </row>
    <row r="10" spans="1:36" ht="15.95" customHeight="1">
      <c r="A10" s="547"/>
      <c r="B10" s="548">
        <v>15</v>
      </c>
      <c r="C10" s="549">
        <v>6934</v>
      </c>
      <c r="D10" s="550" t="s">
        <v>11487</v>
      </c>
      <c r="E10" s="550" t="s">
        <v>6988</v>
      </c>
      <c r="F10" s="550" t="s">
        <v>939</v>
      </c>
      <c r="G10" s="550" t="s">
        <v>560</v>
      </c>
      <c r="H10" s="550" t="s">
        <v>299</v>
      </c>
      <c r="I10" s="550" t="s">
        <v>12</v>
      </c>
      <c r="J10" s="550" t="s">
        <v>11490</v>
      </c>
      <c r="K10" s="551">
        <v>45292</v>
      </c>
      <c r="L10" s="552">
        <v>370</v>
      </c>
      <c r="M10" s="552">
        <v>370</v>
      </c>
      <c r="N10" s="552">
        <v>370</v>
      </c>
      <c r="O10" s="552"/>
      <c r="P10" s="552"/>
      <c r="Q10" s="548">
        <v>3300</v>
      </c>
      <c r="R10" s="552">
        <v>1221000</v>
      </c>
      <c r="S10" s="548">
        <v>3300</v>
      </c>
      <c r="T10" s="552">
        <v>1221000</v>
      </c>
      <c r="U10" s="548">
        <v>0</v>
      </c>
      <c r="V10" s="552">
        <v>0</v>
      </c>
      <c r="W10" s="552">
        <v>1409</v>
      </c>
      <c r="X10" s="552">
        <v>521330</v>
      </c>
      <c r="Y10" s="552">
        <v>3300</v>
      </c>
      <c r="Z10" s="552">
        <v>1221000</v>
      </c>
      <c r="AA10" s="552">
        <v>0</v>
      </c>
      <c r="AB10" s="552">
        <v>0</v>
      </c>
      <c r="AC10" s="552">
        <v>3300</v>
      </c>
      <c r="AD10" s="552">
        <v>1221000</v>
      </c>
      <c r="AE10" s="552">
        <v>0</v>
      </c>
      <c r="AF10" s="552">
        <v>0</v>
      </c>
      <c r="AG10" s="552">
        <v>0</v>
      </c>
      <c r="AH10" s="552">
        <v>0</v>
      </c>
      <c r="AI10" s="552">
        <v>0</v>
      </c>
      <c r="AJ10" s="552">
        <v>0</v>
      </c>
    </row>
    <row r="11" spans="1:36" ht="15.95" customHeight="1">
      <c r="A11" s="547"/>
      <c r="B11" s="548">
        <v>16</v>
      </c>
      <c r="C11" s="549">
        <v>6935</v>
      </c>
      <c r="D11" s="550" t="s">
        <v>11491</v>
      </c>
      <c r="E11" s="550" t="s">
        <v>6998</v>
      </c>
      <c r="F11" s="550" t="s">
        <v>939</v>
      </c>
      <c r="G11" s="550" t="s">
        <v>560</v>
      </c>
      <c r="H11" s="550" t="s">
        <v>299</v>
      </c>
      <c r="I11" s="550" t="s">
        <v>11</v>
      </c>
      <c r="J11" s="550" t="s">
        <v>11492</v>
      </c>
      <c r="K11" s="551">
        <v>45282</v>
      </c>
      <c r="L11" s="552">
        <v>210</v>
      </c>
      <c r="M11" s="552">
        <v>210</v>
      </c>
      <c r="N11" s="552">
        <v>210</v>
      </c>
      <c r="O11" s="552"/>
      <c r="P11" s="552"/>
      <c r="Q11" s="548">
        <v>14000</v>
      </c>
      <c r="R11" s="552">
        <v>2940000</v>
      </c>
      <c r="S11" s="548">
        <v>14000</v>
      </c>
      <c r="T11" s="552">
        <v>2940000</v>
      </c>
      <c r="U11" s="548">
        <v>0</v>
      </c>
      <c r="V11" s="552">
        <v>0</v>
      </c>
      <c r="W11" s="552">
        <v>7699</v>
      </c>
      <c r="X11" s="552">
        <v>1616790</v>
      </c>
      <c r="Y11" s="552">
        <v>14000</v>
      </c>
      <c r="Z11" s="552">
        <v>2940000</v>
      </c>
      <c r="AA11" s="552">
        <v>0</v>
      </c>
      <c r="AB11" s="552">
        <v>0</v>
      </c>
      <c r="AC11" s="552">
        <v>14000</v>
      </c>
      <c r="AD11" s="552">
        <v>2940000</v>
      </c>
      <c r="AE11" s="552">
        <v>0</v>
      </c>
      <c r="AF11" s="552">
        <v>0</v>
      </c>
      <c r="AG11" s="552">
        <v>0</v>
      </c>
      <c r="AH11" s="552">
        <v>0</v>
      </c>
      <c r="AI11" s="552">
        <v>0</v>
      </c>
      <c r="AJ11" s="552">
        <v>0</v>
      </c>
    </row>
    <row r="12" spans="1:36" ht="15.95" customHeight="1">
      <c r="A12" s="547"/>
      <c r="B12" s="548">
        <v>17</v>
      </c>
      <c r="C12" s="549">
        <v>6935</v>
      </c>
      <c r="D12" s="550" t="s">
        <v>11491</v>
      </c>
      <c r="E12" s="550" t="s">
        <v>6998</v>
      </c>
      <c r="F12" s="550" t="s">
        <v>939</v>
      </c>
      <c r="G12" s="550" t="s">
        <v>560</v>
      </c>
      <c r="H12" s="550" t="s">
        <v>299</v>
      </c>
      <c r="I12" s="550" t="s">
        <v>11</v>
      </c>
      <c r="J12" s="550" t="s">
        <v>11493</v>
      </c>
      <c r="K12" s="551">
        <v>45444</v>
      </c>
      <c r="L12" s="552">
        <v>210</v>
      </c>
      <c r="M12" s="552">
        <v>210</v>
      </c>
      <c r="N12" s="552">
        <v>210</v>
      </c>
      <c r="O12" s="552"/>
      <c r="P12" s="552"/>
      <c r="Q12" s="548">
        <v>31000</v>
      </c>
      <c r="R12" s="552">
        <v>6510000</v>
      </c>
      <c r="S12" s="548">
        <v>23000</v>
      </c>
      <c r="T12" s="552">
        <v>4830000</v>
      </c>
      <c r="U12" s="548">
        <v>8000</v>
      </c>
      <c r="V12" s="552">
        <v>1680000</v>
      </c>
      <c r="W12" s="552">
        <v>4587</v>
      </c>
      <c r="X12" s="552">
        <v>963270</v>
      </c>
      <c r="Y12" s="552">
        <v>23000</v>
      </c>
      <c r="Z12" s="552">
        <v>4830000</v>
      </c>
      <c r="AA12" s="552">
        <v>0</v>
      </c>
      <c r="AB12" s="552">
        <v>0</v>
      </c>
      <c r="AC12" s="552">
        <v>23000</v>
      </c>
      <c r="AD12" s="552">
        <v>4830000</v>
      </c>
      <c r="AE12" s="552">
        <v>0</v>
      </c>
      <c r="AF12" s="552">
        <v>0</v>
      </c>
      <c r="AG12" s="552">
        <v>0</v>
      </c>
      <c r="AH12" s="552">
        <v>0</v>
      </c>
      <c r="AI12" s="552">
        <v>0</v>
      </c>
      <c r="AJ12" s="552">
        <v>0</v>
      </c>
    </row>
    <row r="13" spans="1:36" ht="15.95" customHeight="1">
      <c r="A13" s="547"/>
      <c r="B13" s="548">
        <v>18</v>
      </c>
      <c r="C13" s="549">
        <v>4330</v>
      </c>
      <c r="D13" s="550" t="s">
        <v>11494</v>
      </c>
      <c r="E13" s="550" t="s">
        <v>3721</v>
      </c>
      <c r="F13" s="550" t="s">
        <v>3722</v>
      </c>
      <c r="G13" s="550" t="s">
        <v>639</v>
      </c>
      <c r="H13" s="550" t="s">
        <v>641</v>
      </c>
      <c r="I13" s="550" t="s">
        <v>10</v>
      </c>
      <c r="J13" s="550" t="s">
        <v>3724</v>
      </c>
      <c r="K13" s="551">
        <v>44466</v>
      </c>
      <c r="L13" s="552">
        <v>1099</v>
      </c>
      <c r="M13" s="552">
        <v>1099</v>
      </c>
      <c r="N13" s="552">
        <v>1099</v>
      </c>
      <c r="O13" s="552">
        <v>35</v>
      </c>
      <c r="P13" s="552">
        <v>38465</v>
      </c>
      <c r="Q13" s="548">
        <v>0</v>
      </c>
      <c r="R13" s="552">
        <v>0</v>
      </c>
      <c r="S13" s="548">
        <v>35</v>
      </c>
      <c r="T13" s="552">
        <v>38465</v>
      </c>
      <c r="U13" s="548">
        <v>0</v>
      </c>
      <c r="V13" s="552">
        <v>0</v>
      </c>
      <c r="W13" s="552">
        <v>0</v>
      </c>
      <c r="X13" s="552">
        <v>0</v>
      </c>
      <c r="Y13" s="552">
        <v>35</v>
      </c>
      <c r="Z13" s="552">
        <v>38465</v>
      </c>
      <c r="AA13" s="552">
        <v>0</v>
      </c>
      <c r="AB13" s="552">
        <v>0</v>
      </c>
      <c r="AC13" s="552">
        <v>35</v>
      </c>
      <c r="AD13" s="552">
        <v>38465</v>
      </c>
      <c r="AE13" s="552">
        <v>0</v>
      </c>
      <c r="AF13" s="552">
        <v>0</v>
      </c>
      <c r="AG13" s="552">
        <v>0</v>
      </c>
      <c r="AH13" s="552">
        <v>0</v>
      </c>
      <c r="AI13" s="552">
        <v>0</v>
      </c>
      <c r="AJ13" s="552">
        <v>0</v>
      </c>
    </row>
    <row r="14" spans="1:36" ht="15.95" customHeight="1">
      <c r="A14" s="547"/>
      <c r="B14" s="548">
        <v>21</v>
      </c>
      <c r="C14" s="549">
        <v>6864</v>
      </c>
      <c r="D14" s="550" t="s">
        <v>11495</v>
      </c>
      <c r="E14" s="550" t="s">
        <v>8196</v>
      </c>
      <c r="F14" s="550" t="s">
        <v>8197</v>
      </c>
      <c r="G14" s="550" t="s">
        <v>1352</v>
      </c>
      <c r="H14" s="550" t="s">
        <v>238</v>
      </c>
      <c r="I14" s="550" t="s">
        <v>11</v>
      </c>
      <c r="J14" s="550" t="s">
        <v>11496</v>
      </c>
      <c r="K14" s="551">
        <v>45354</v>
      </c>
      <c r="L14" s="552">
        <v>3100</v>
      </c>
      <c r="M14" s="552">
        <v>3100</v>
      </c>
      <c r="N14" s="552">
        <v>3100</v>
      </c>
      <c r="O14" s="552"/>
      <c r="P14" s="552"/>
      <c r="Q14" s="548">
        <v>4980</v>
      </c>
      <c r="R14" s="552">
        <v>15438000</v>
      </c>
      <c r="S14" s="548">
        <v>0</v>
      </c>
      <c r="T14" s="552">
        <v>0</v>
      </c>
      <c r="U14" s="548">
        <v>4980</v>
      </c>
      <c r="V14" s="552">
        <v>15438000</v>
      </c>
      <c r="W14" s="552">
        <v>0</v>
      </c>
      <c r="X14" s="552">
        <v>0</v>
      </c>
      <c r="Y14" s="552">
        <v>0</v>
      </c>
      <c r="Z14" s="552">
        <v>0</v>
      </c>
      <c r="AA14" s="552">
        <v>0</v>
      </c>
      <c r="AB14" s="552">
        <v>0</v>
      </c>
      <c r="AC14" s="552">
        <v>0</v>
      </c>
      <c r="AD14" s="552">
        <v>0</v>
      </c>
      <c r="AE14" s="552">
        <v>0</v>
      </c>
      <c r="AF14" s="552">
        <v>0</v>
      </c>
      <c r="AG14" s="552">
        <v>0</v>
      </c>
      <c r="AH14" s="552">
        <v>0</v>
      </c>
      <c r="AI14" s="552">
        <v>0</v>
      </c>
      <c r="AJ14" s="552">
        <v>0</v>
      </c>
    </row>
    <row r="15" spans="1:36" ht="15.95" customHeight="1">
      <c r="A15" s="547"/>
      <c r="B15" s="548">
        <v>22</v>
      </c>
      <c r="C15" s="549">
        <v>7225</v>
      </c>
      <c r="D15" s="550" t="s">
        <v>11497</v>
      </c>
      <c r="E15" s="550" t="s">
        <v>3728</v>
      </c>
      <c r="F15" s="550" t="s">
        <v>1410</v>
      </c>
      <c r="G15" s="550" t="s">
        <v>588</v>
      </c>
      <c r="H15" s="550" t="s">
        <v>267</v>
      </c>
      <c r="I15" s="550" t="s">
        <v>10</v>
      </c>
      <c r="J15" s="550" t="s">
        <v>11498</v>
      </c>
      <c r="K15" s="551">
        <v>45199</v>
      </c>
      <c r="L15" s="552">
        <v>3840</v>
      </c>
      <c r="M15" s="552">
        <v>3840</v>
      </c>
      <c r="N15" s="552">
        <v>3840</v>
      </c>
      <c r="O15" s="552"/>
      <c r="P15" s="552"/>
      <c r="Q15" s="548">
        <v>5600</v>
      </c>
      <c r="R15" s="552">
        <v>21504000</v>
      </c>
      <c r="S15" s="548">
        <v>2548</v>
      </c>
      <c r="T15" s="552">
        <v>9784320</v>
      </c>
      <c r="U15" s="548">
        <v>3052</v>
      </c>
      <c r="V15" s="552">
        <v>11719680</v>
      </c>
      <c r="W15" s="552">
        <v>0</v>
      </c>
      <c r="X15" s="552">
        <v>0</v>
      </c>
      <c r="Y15" s="552">
        <v>2548</v>
      </c>
      <c r="Z15" s="552">
        <v>9784320</v>
      </c>
      <c r="AA15" s="552">
        <v>2548</v>
      </c>
      <c r="AB15" s="552">
        <v>9784320</v>
      </c>
      <c r="AC15" s="552">
        <v>0</v>
      </c>
      <c r="AD15" s="552">
        <v>0</v>
      </c>
      <c r="AE15" s="552">
        <v>0</v>
      </c>
      <c r="AF15" s="552">
        <v>0</v>
      </c>
      <c r="AG15" s="552">
        <v>0</v>
      </c>
      <c r="AH15" s="552">
        <v>0</v>
      </c>
      <c r="AI15" s="552">
        <v>0</v>
      </c>
      <c r="AJ15" s="552">
        <v>0</v>
      </c>
    </row>
    <row r="16" spans="1:36" ht="15.95" customHeight="1">
      <c r="A16" s="547"/>
      <c r="B16" s="548">
        <v>23</v>
      </c>
      <c r="C16" s="549">
        <v>7048</v>
      </c>
      <c r="D16" s="550" t="s">
        <v>11499</v>
      </c>
      <c r="E16" s="550" t="s">
        <v>3729</v>
      </c>
      <c r="F16" s="550" t="s">
        <v>3730</v>
      </c>
      <c r="G16" s="550" t="s">
        <v>1999</v>
      </c>
      <c r="H16" s="550" t="s">
        <v>2001</v>
      </c>
      <c r="I16" s="550" t="s">
        <v>11</v>
      </c>
      <c r="J16" s="550" t="s">
        <v>3731</v>
      </c>
      <c r="K16" s="551">
        <v>44469</v>
      </c>
      <c r="L16" s="552">
        <v>9800</v>
      </c>
      <c r="M16" s="552">
        <v>9800</v>
      </c>
      <c r="N16" s="552">
        <v>9800</v>
      </c>
      <c r="O16" s="552">
        <v>298</v>
      </c>
      <c r="P16" s="552">
        <v>2920400</v>
      </c>
      <c r="Q16" s="548">
        <v>0</v>
      </c>
      <c r="R16" s="552">
        <v>0</v>
      </c>
      <c r="S16" s="548">
        <v>298</v>
      </c>
      <c r="T16" s="552">
        <v>2920400</v>
      </c>
      <c r="U16" s="548">
        <v>0</v>
      </c>
      <c r="V16" s="552">
        <v>0</v>
      </c>
      <c r="W16" s="552">
        <v>0</v>
      </c>
      <c r="X16" s="552">
        <v>0</v>
      </c>
      <c r="Y16" s="552">
        <v>298</v>
      </c>
      <c r="Z16" s="552">
        <v>2920400</v>
      </c>
      <c r="AA16" s="552">
        <v>298</v>
      </c>
      <c r="AB16" s="552">
        <v>2920400</v>
      </c>
      <c r="AC16" s="552">
        <v>0</v>
      </c>
      <c r="AD16" s="552">
        <v>0</v>
      </c>
      <c r="AE16" s="552">
        <v>0</v>
      </c>
      <c r="AF16" s="552">
        <v>0</v>
      </c>
      <c r="AG16" s="552">
        <v>0</v>
      </c>
      <c r="AH16" s="552">
        <v>0</v>
      </c>
      <c r="AI16" s="552">
        <v>0</v>
      </c>
      <c r="AJ16" s="552">
        <v>0</v>
      </c>
    </row>
    <row r="17" spans="1:36" ht="15.95" customHeight="1">
      <c r="A17" s="547"/>
      <c r="B17" s="548">
        <v>24</v>
      </c>
      <c r="C17" s="549">
        <v>5331</v>
      </c>
      <c r="D17" s="550"/>
      <c r="E17" s="550"/>
      <c r="F17" s="550" t="s">
        <v>1717</v>
      </c>
      <c r="G17" s="550" t="s">
        <v>639</v>
      </c>
      <c r="H17" s="550" t="s">
        <v>299</v>
      </c>
      <c r="I17" s="550" t="s">
        <v>11</v>
      </c>
      <c r="J17" s="550" t="s">
        <v>3732</v>
      </c>
      <c r="K17" s="551">
        <v>44659</v>
      </c>
      <c r="L17" s="552">
        <v>1200</v>
      </c>
      <c r="M17" s="552">
        <v>1200</v>
      </c>
      <c r="N17" s="552">
        <v>1200</v>
      </c>
      <c r="O17" s="552">
        <v>786</v>
      </c>
      <c r="P17" s="552">
        <v>943200</v>
      </c>
      <c r="Q17" s="548">
        <v>0</v>
      </c>
      <c r="R17" s="552">
        <v>0</v>
      </c>
      <c r="S17" s="548">
        <v>635</v>
      </c>
      <c r="T17" s="552">
        <v>762000</v>
      </c>
      <c r="U17" s="548">
        <v>151</v>
      </c>
      <c r="V17" s="552">
        <v>181200</v>
      </c>
      <c r="W17" s="552">
        <v>439</v>
      </c>
      <c r="X17" s="552">
        <v>526800</v>
      </c>
      <c r="Y17" s="552">
        <v>635</v>
      </c>
      <c r="Z17" s="552">
        <v>762000</v>
      </c>
      <c r="AA17" s="552">
        <v>586</v>
      </c>
      <c r="AB17" s="552">
        <v>703200</v>
      </c>
      <c r="AC17" s="552">
        <v>49</v>
      </c>
      <c r="AD17" s="552">
        <v>58800</v>
      </c>
      <c r="AE17" s="552">
        <v>0</v>
      </c>
      <c r="AF17" s="552">
        <v>0</v>
      </c>
      <c r="AG17" s="552">
        <v>0</v>
      </c>
      <c r="AH17" s="552">
        <v>0</v>
      </c>
      <c r="AI17" s="552">
        <v>0</v>
      </c>
      <c r="AJ17" s="552">
        <v>0</v>
      </c>
    </row>
    <row r="18" spans="1:36" ht="15.95" customHeight="1">
      <c r="A18" s="547"/>
      <c r="B18" s="548">
        <v>26</v>
      </c>
      <c r="C18" s="549">
        <v>7208</v>
      </c>
      <c r="D18" s="550" t="s">
        <v>11500</v>
      </c>
      <c r="E18" s="550" t="s">
        <v>3733</v>
      </c>
      <c r="F18" s="550" t="s">
        <v>2594</v>
      </c>
      <c r="G18" s="550" t="s">
        <v>724</v>
      </c>
      <c r="H18" s="550" t="s">
        <v>733</v>
      </c>
      <c r="I18" s="550" t="s">
        <v>520</v>
      </c>
      <c r="J18" s="550" t="s">
        <v>11501</v>
      </c>
      <c r="K18" s="551">
        <v>44988</v>
      </c>
      <c r="L18" s="552">
        <v>1701</v>
      </c>
      <c r="M18" s="552">
        <v>1701</v>
      </c>
      <c r="N18" s="552">
        <v>1701</v>
      </c>
      <c r="O18" s="552">
        <v>600</v>
      </c>
      <c r="P18" s="552">
        <v>1020600</v>
      </c>
      <c r="Q18" s="548">
        <v>0</v>
      </c>
      <c r="R18" s="552">
        <v>0</v>
      </c>
      <c r="S18" s="548">
        <v>469</v>
      </c>
      <c r="T18" s="552">
        <v>797769</v>
      </c>
      <c r="U18" s="548">
        <v>131</v>
      </c>
      <c r="V18" s="552">
        <v>222831</v>
      </c>
      <c r="W18" s="552">
        <v>0</v>
      </c>
      <c r="X18" s="552">
        <v>0</v>
      </c>
      <c r="Y18" s="552">
        <v>0</v>
      </c>
      <c r="Z18" s="552">
        <v>0</v>
      </c>
      <c r="AA18" s="552">
        <v>0</v>
      </c>
      <c r="AB18" s="552">
        <v>0</v>
      </c>
      <c r="AC18" s="552">
        <v>0</v>
      </c>
      <c r="AD18" s="552">
        <v>0</v>
      </c>
      <c r="AE18" s="552">
        <v>0</v>
      </c>
      <c r="AF18" s="552">
        <v>0</v>
      </c>
      <c r="AG18" s="552">
        <v>469</v>
      </c>
      <c r="AH18" s="552">
        <v>797769</v>
      </c>
      <c r="AI18" s="552">
        <v>0</v>
      </c>
      <c r="AJ18" s="552">
        <v>0</v>
      </c>
    </row>
    <row r="19" spans="1:36" ht="15.95" customHeight="1">
      <c r="A19" s="547"/>
      <c r="B19" s="548">
        <v>27</v>
      </c>
      <c r="C19" s="549">
        <v>7208</v>
      </c>
      <c r="D19" s="550" t="s">
        <v>11500</v>
      </c>
      <c r="E19" s="550" t="s">
        <v>3733</v>
      </c>
      <c r="F19" s="550" t="s">
        <v>2594</v>
      </c>
      <c r="G19" s="550" t="s">
        <v>724</v>
      </c>
      <c r="H19" s="550" t="s">
        <v>733</v>
      </c>
      <c r="I19" s="550" t="s">
        <v>520</v>
      </c>
      <c r="J19" s="550" t="s">
        <v>3734</v>
      </c>
      <c r="K19" s="551">
        <v>44683</v>
      </c>
      <c r="L19" s="552">
        <v>1701</v>
      </c>
      <c r="M19" s="552">
        <v>1701</v>
      </c>
      <c r="N19" s="552">
        <v>1701</v>
      </c>
      <c r="O19" s="552">
        <v>279</v>
      </c>
      <c r="P19" s="552">
        <v>474579</v>
      </c>
      <c r="Q19" s="548">
        <v>0</v>
      </c>
      <c r="R19" s="552">
        <v>0</v>
      </c>
      <c r="S19" s="548">
        <v>214</v>
      </c>
      <c r="T19" s="552">
        <v>364014</v>
      </c>
      <c r="U19" s="548">
        <v>65</v>
      </c>
      <c r="V19" s="552">
        <v>110565</v>
      </c>
      <c r="W19" s="552">
        <v>0</v>
      </c>
      <c r="X19" s="552">
        <v>0</v>
      </c>
      <c r="Y19" s="552">
        <v>79</v>
      </c>
      <c r="Z19" s="552">
        <v>134379</v>
      </c>
      <c r="AA19" s="552">
        <v>0</v>
      </c>
      <c r="AB19" s="552">
        <v>0</v>
      </c>
      <c r="AC19" s="552">
        <v>79</v>
      </c>
      <c r="AD19" s="552">
        <v>134379</v>
      </c>
      <c r="AE19" s="552">
        <v>0</v>
      </c>
      <c r="AF19" s="552">
        <v>0</v>
      </c>
      <c r="AG19" s="552">
        <v>135</v>
      </c>
      <c r="AH19" s="552">
        <v>229635</v>
      </c>
      <c r="AI19" s="552">
        <v>0</v>
      </c>
      <c r="AJ19" s="552">
        <v>0</v>
      </c>
    </row>
    <row r="20" spans="1:36" ht="15.95" customHeight="1">
      <c r="A20" s="547"/>
      <c r="B20" s="548">
        <v>28</v>
      </c>
      <c r="C20" s="549">
        <v>6706</v>
      </c>
      <c r="D20" s="550" t="s">
        <v>11502</v>
      </c>
      <c r="E20" s="550" t="s">
        <v>3735</v>
      </c>
      <c r="F20" s="550" t="s">
        <v>3736</v>
      </c>
      <c r="G20" s="550" t="s">
        <v>1727</v>
      </c>
      <c r="H20" s="550" t="s">
        <v>238</v>
      </c>
      <c r="I20" s="550" t="s">
        <v>11</v>
      </c>
      <c r="J20" s="550" t="s">
        <v>3737</v>
      </c>
      <c r="K20" s="551">
        <v>44317</v>
      </c>
      <c r="L20" s="552">
        <v>1250</v>
      </c>
      <c r="M20" s="552">
        <v>1250</v>
      </c>
      <c r="N20" s="552">
        <v>1250</v>
      </c>
      <c r="O20" s="552">
        <v>699</v>
      </c>
      <c r="P20" s="552">
        <v>873750</v>
      </c>
      <c r="Q20" s="548">
        <v>0</v>
      </c>
      <c r="R20" s="552">
        <v>0</v>
      </c>
      <c r="S20" s="548">
        <v>699</v>
      </c>
      <c r="T20" s="552">
        <v>873750</v>
      </c>
      <c r="U20" s="548">
        <v>0</v>
      </c>
      <c r="V20" s="552">
        <v>0</v>
      </c>
      <c r="W20" s="552">
        <v>0</v>
      </c>
      <c r="X20" s="552">
        <v>0</v>
      </c>
      <c r="Y20" s="552">
        <v>694</v>
      </c>
      <c r="Z20" s="552">
        <v>867500</v>
      </c>
      <c r="AA20" s="552">
        <v>694</v>
      </c>
      <c r="AB20" s="552">
        <v>867500</v>
      </c>
      <c r="AC20" s="552">
        <v>0</v>
      </c>
      <c r="AD20" s="552">
        <v>0</v>
      </c>
      <c r="AE20" s="552">
        <v>0</v>
      </c>
      <c r="AF20" s="552">
        <v>0</v>
      </c>
      <c r="AG20" s="552">
        <v>5</v>
      </c>
      <c r="AH20" s="552">
        <v>6250</v>
      </c>
      <c r="AI20" s="552">
        <v>0</v>
      </c>
      <c r="AJ20" s="552">
        <v>0</v>
      </c>
    </row>
    <row r="21" spans="1:36" ht="15.95" customHeight="1">
      <c r="A21" s="547"/>
      <c r="B21" s="548">
        <v>29</v>
      </c>
      <c r="C21" s="549">
        <v>6658</v>
      </c>
      <c r="D21" s="550" t="s">
        <v>11503</v>
      </c>
      <c r="E21" s="550" t="s">
        <v>3738</v>
      </c>
      <c r="F21" s="550" t="s">
        <v>1885</v>
      </c>
      <c r="G21" s="550" t="s">
        <v>3739</v>
      </c>
      <c r="H21" s="550" t="s">
        <v>235</v>
      </c>
      <c r="I21" s="550" t="s">
        <v>11</v>
      </c>
      <c r="J21" s="550" t="s">
        <v>3740</v>
      </c>
      <c r="K21" s="551">
        <v>44835</v>
      </c>
      <c r="L21" s="552">
        <v>2980</v>
      </c>
      <c r="M21" s="552">
        <v>2980</v>
      </c>
      <c r="N21" s="552">
        <v>2980</v>
      </c>
      <c r="O21" s="552">
        <v>17477</v>
      </c>
      <c r="P21" s="552">
        <v>52081460</v>
      </c>
      <c r="Q21" s="548">
        <v>0</v>
      </c>
      <c r="R21" s="552">
        <v>0</v>
      </c>
      <c r="S21" s="548">
        <v>17477</v>
      </c>
      <c r="T21" s="552">
        <v>52081460</v>
      </c>
      <c r="U21" s="548">
        <v>0</v>
      </c>
      <c r="V21" s="552">
        <v>0</v>
      </c>
      <c r="W21" s="552">
        <v>0</v>
      </c>
      <c r="X21" s="552">
        <v>0</v>
      </c>
      <c r="Y21" s="552">
        <v>17477</v>
      </c>
      <c r="Z21" s="552">
        <v>52081460</v>
      </c>
      <c r="AA21" s="552">
        <v>17477</v>
      </c>
      <c r="AB21" s="552">
        <v>52081460</v>
      </c>
      <c r="AC21" s="552">
        <v>0</v>
      </c>
      <c r="AD21" s="552">
        <v>0</v>
      </c>
      <c r="AE21" s="552">
        <v>0</v>
      </c>
      <c r="AF21" s="552">
        <v>0</v>
      </c>
      <c r="AG21" s="552">
        <v>0</v>
      </c>
      <c r="AH21" s="552">
        <v>0</v>
      </c>
      <c r="AI21" s="552">
        <v>0</v>
      </c>
      <c r="AJ21" s="552">
        <v>0</v>
      </c>
    </row>
    <row r="22" spans="1:36" ht="15.95" customHeight="1">
      <c r="A22" s="547"/>
      <c r="B22" s="548">
        <v>30</v>
      </c>
      <c r="C22" s="549">
        <v>6658</v>
      </c>
      <c r="D22" s="550" t="s">
        <v>11503</v>
      </c>
      <c r="E22" s="550" t="s">
        <v>3738</v>
      </c>
      <c r="F22" s="550" t="s">
        <v>1885</v>
      </c>
      <c r="G22" s="550" t="s">
        <v>3739</v>
      </c>
      <c r="H22" s="550" t="s">
        <v>235</v>
      </c>
      <c r="I22" s="550" t="s">
        <v>11</v>
      </c>
      <c r="J22" s="550" t="s">
        <v>11504</v>
      </c>
      <c r="K22" s="551">
        <v>45231</v>
      </c>
      <c r="L22" s="552">
        <v>2980</v>
      </c>
      <c r="M22" s="552">
        <v>2980</v>
      </c>
      <c r="N22" s="552">
        <v>2980</v>
      </c>
      <c r="O22" s="552"/>
      <c r="P22" s="552"/>
      <c r="Q22" s="548">
        <v>29970</v>
      </c>
      <c r="R22" s="552">
        <v>89310600</v>
      </c>
      <c r="S22" s="548">
        <v>8590</v>
      </c>
      <c r="T22" s="552">
        <v>25598200</v>
      </c>
      <c r="U22" s="548">
        <v>21380</v>
      </c>
      <c r="V22" s="552">
        <v>63712400</v>
      </c>
      <c r="W22" s="552">
        <v>0</v>
      </c>
      <c r="X22" s="552">
        <v>0</v>
      </c>
      <c r="Y22" s="552">
        <v>8590</v>
      </c>
      <c r="Z22" s="552">
        <v>25598200</v>
      </c>
      <c r="AA22" s="552">
        <v>8590</v>
      </c>
      <c r="AB22" s="552">
        <v>25598200</v>
      </c>
      <c r="AC22" s="552">
        <v>0</v>
      </c>
      <c r="AD22" s="552">
        <v>0</v>
      </c>
      <c r="AE22" s="552">
        <v>0</v>
      </c>
      <c r="AF22" s="552">
        <v>0</v>
      </c>
      <c r="AG22" s="552">
        <v>0</v>
      </c>
      <c r="AH22" s="552">
        <v>0</v>
      </c>
      <c r="AI22" s="552">
        <v>0</v>
      </c>
      <c r="AJ22" s="552">
        <v>0</v>
      </c>
    </row>
    <row r="23" spans="1:36" ht="15.95" customHeight="1">
      <c r="A23" s="547"/>
      <c r="B23" s="548">
        <v>31</v>
      </c>
      <c r="C23" s="549">
        <v>6655</v>
      </c>
      <c r="D23" s="550" t="s">
        <v>11505</v>
      </c>
      <c r="E23" s="550" t="s">
        <v>3741</v>
      </c>
      <c r="F23" s="550" t="s">
        <v>3742</v>
      </c>
      <c r="G23" s="550" t="s">
        <v>639</v>
      </c>
      <c r="H23" s="550" t="s">
        <v>299</v>
      </c>
      <c r="I23" s="550" t="s">
        <v>11</v>
      </c>
      <c r="J23" s="550" t="s">
        <v>11506</v>
      </c>
      <c r="K23" s="551">
        <v>45373</v>
      </c>
      <c r="L23" s="552">
        <v>340</v>
      </c>
      <c r="M23" s="552">
        <v>340</v>
      </c>
      <c r="N23" s="552">
        <v>340</v>
      </c>
      <c r="O23" s="552"/>
      <c r="P23" s="552"/>
      <c r="Q23" s="548">
        <v>800</v>
      </c>
      <c r="R23" s="552">
        <v>272000</v>
      </c>
      <c r="S23" s="548">
        <v>780</v>
      </c>
      <c r="T23" s="552">
        <v>265200</v>
      </c>
      <c r="U23" s="548">
        <v>20</v>
      </c>
      <c r="V23" s="552">
        <v>6800</v>
      </c>
      <c r="W23" s="552">
        <v>0</v>
      </c>
      <c r="X23" s="552">
        <v>0</v>
      </c>
      <c r="Y23" s="552">
        <v>780</v>
      </c>
      <c r="Z23" s="552">
        <v>265200</v>
      </c>
      <c r="AA23" s="552">
        <v>0</v>
      </c>
      <c r="AB23" s="552">
        <v>0</v>
      </c>
      <c r="AC23" s="552">
        <v>780</v>
      </c>
      <c r="AD23" s="552">
        <v>265200</v>
      </c>
      <c r="AE23" s="552">
        <v>0</v>
      </c>
      <c r="AF23" s="552">
        <v>0</v>
      </c>
      <c r="AG23" s="552">
        <v>0</v>
      </c>
      <c r="AH23" s="552">
        <v>0</v>
      </c>
      <c r="AI23" s="552">
        <v>0</v>
      </c>
      <c r="AJ23" s="552">
        <v>0</v>
      </c>
    </row>
    <row r="24" spans="1:36" ht="15.95" customHeight="1">
      <c r="A24" s="547"/>
      <c r="B24" s="548">
        <v>32</v>
      </c>
      <c r="C24" s="549">
        <v>6655</v>
      </c>
      <c r="D24" s="550" t="s">
        <v>11505</v>
      </c>
      <c r="E24" s="550" t="s">
        <v>3741</v>
      </c>
      <c r="F24" s="550" t="s">
        <v>3742</v>
      </c>
      <c r="G24" s="550" t="s">
        <v>639</v>
      </c>
      <c r="H24" s="550" t="s">
        <v>299</v>
      </c>
      <c r="I24" s="550" t="s">
        <v>11</v>
      </c>
      <c r="J24" s="550" t="s">
        <v>3743</v>
      </c>
      <c r="K24" s="551">
        <v>44725</v>
      </c>
      <c r="L24" s="552">
        <v>340</v>
      </c>
      <c r="M24" s="552">
        <v>340</v>
      </c>
      <c r="N24" s="552">
        <v>340</v>
      </c>
      <c r="O24" s="552">
        <v>20</v>
      </c>
      <c r="P24" s="552">
        <v>6800</v>
      </c>
      <c r="Q24" s="548">
        <v>0</v>
      </c>
      <c r="R24" s="552">
        <v>0</v>
      </c>
      <c r="S24" s="548">
        <v>20</v>
      </c>
      <c r="T24" s="552">
        <v>6800</v>
      </c>
      <c r="U24" s="548">
        <v>0</v>
      </c>
      <c r="V24" s="552">
        <v>0</v>
      </c>
      <c r="W24" s="552">
        <v>0</v>
      </c>
      <c r="X24" s="552">
        <v>0</v>
      </c>
      <c r="Y24" s="552">
        <v>20</v>
      </c>
      <c r="Z24" s="552">
        <v>6800</v>
      </c>
      <c r="AA24" s="552">
        <v>0</v>
      </c>
      <c r="AB24" s="552">
        <v>0</v>
      </c>
      <c r="AC24" s="552">
        <v>20</v>
      </c>
      <c r="AD24" s="552">
        <v>6800</v>
      </c>
      <c r="AE24" s="552">
        <v>0</v>
      </c>
      <c r="AF24" s="552">
        <v>0</v>
      </c>
      <c r="AG24" s="552">
        <v>0</v>
      </c>
      <c r="AH24" s="552">
        <v>0</v>
      </c>
      <c r="AI24" s="552">
        <v>0</v>
      </c>
      <c r="AJ24" s="552">
        <v>0</v>
      </c>
    </row>
    <row r="25" spans="1:36" ht="15.95" customHeight="1">
      <c r="A25" s="547"/>
      <c r="B25" s="548">
        <v>33</v>
      </c>
      <c r="C25" s="549">
        <v>6874</v>
      </c>
      <c r="D25" s="550" t="s">
        <v>11507</v>
      </c>
      <c r="E25" s="550" t="s">
        <v>7720</v>
      </c>
      <c r="F25" s="550" t="s">
        <v>7721</v>
      </c>
      <c r="G25" s="550" t="s">
        <v>645</v>
      </c>
      <c r="H25" s="550" t="s">
        <v>291</v>
      </c>
      <c r="I25" s="550" t="s">
        <v>11</v>
      </c>
      <c r="J25" s="550" t="s">
        <v>11508</v>
      </c>
      <c r="K25" s="551">
        <v>45190</v>
      </c>
      <c r="L25" s="552">
        <v>199</v>
      </c>
      <c r="M25" s="552">
        <v>199</v>
      </c>
      <c r="N25" s="552">
        <v>199</v>
      </c>
      <c r="O25" s="552"/>
      <c r="P25" s="552"/>
      <c r="Q25" s="548">
        <v>2240</v>
      </c>
      <c r="R25" s="552">
        <v>445760</v>
      </c>
      <c r="S25" s="548">
        <v>1480</v>
      </c>
      <c r="T25" s="552">
        <v>294520</v>
      </c>
      <c r="U25" s="548">
        <v>760</v>
      </c>
      <c r="V25" s="552">
        <v>151240</v>
      </c>
      <c r="W25" s="552">
        <v>1401</v>
      </c>
      <c r="X25" s="552">
        <v>278799</v>
      </c>
      <c r="Y25" s="552">
        <v>1480</v>
      </c>
      <c r="Z25" s="552">
        <v>294520</v>
      </c>
      <c r="AA25" s="552">
        <v>0</v>
      </c>
      <c r="AB25" s="552">
        <v>0</v>
      </c>
      <c r="AC25" s="552">
        <v>1480</v>
      </c>
      <c r="AD25" s="552">
        <v>294520</v>
      </c>
      <c r="AE25" s="552">
        <v>0</v>
      </c>
      <c r="AF25" s="552">
        <v>0</v>
      </c>
      <c r="AG25" s="552">
        <v>0</v>
      </c>
      <c r="AH25" s="552">
        <v>0</v>
      </c>
      <c r="AI25" s="552">
        <v>0</v>
      </c>
      <c r="AJ25" s="552">
        <v>0</v>
      </c>
    </row>
    <row r="26" spans="1:36" ht="15.95" customHeight="1">
      <c r="A26" s="547"/>
      <c r="B26" s="548">
        <v>34</v>
      </c>
      <c r="C26" s="549">
        <v>6871</v>
      </c>
      <c r="D26" s="550" t="s">
        <v>11509</v>
      </c>
      <c r="E26" s="550" t="s">
        <v>3746</v>
      </c>
      <c r="F26" s="550" t="s">
        <v>3747</v>
      </c>
      <c r="G26" s="550" t="s">
        <v>556</v>
      </c>
      <c r="H26" s="550" t="s">
        <v>327</v>
      </c>
      <c r="I26" s="550" t="s">
        <v>11</v>
      </c>
      <c r="J26" s="550" t="s">
        <v>3826</v>
      </c>
      <c r="K26" s="551">
        <v>45037</v>
      </c>
      <c r="L26" s="552">
        <v>272</v>
      </c>
      <c r="M26" s="552">
        <v>272</v>
      </c>
      <c r="N26" s="552">
        <v>272</v>
      </c>
      <c r="O26" s="552"/>
      <c r="P26" s="552"/>
      <c r="Q26" s="548">
        <v>990</v>
      </c>
      <c r="R26" s="552">
        <v>269280</v>
      </c>
      <c r="S26" s="548">
        <v>990</v>
      </c>
      <c r="T26" s="552">
        <v>269280</v>
      </c>
      <c r="U26" s="548">
        <v>0</v>
      </c>
      <c r="V26" s="552">
        <v>0</v>
      </c>
      <c r="W26" s="552">
        <v>90</v>
      </c>
      <c r="X26" s="552">
        <v>24480</v>
      </c>
      <c r="Y26" s="552">
        <v>990</v>
      </c>
      <c r="Z26" s="552">
        <v>269280</v>
      </c>
      <c r="AA26" s="552">
        <v>0</v>
      </c>
      <c r="AB26" s="552">
        <v>0</v>
      </c>
      <c r="AC26" s="552">
        <v>990</v>
      </c>
      <c r="AD26" s="552">
        <v>269280</v>
      </c>
      <c r="AE26" s="552">
        <v>0</v>
      </c>
      <c r="AF26" s="552">
        <v>0</v>
      </c>
      <c r="AG26" s="552">
        <v>0</v>
      </c>
      <c r="AH26" s="552">
        <v>0</v>
      </c>
      <c r="AI26" s="552">
        <v>0</v>
      </c>
      <c r="AJ26" s="552">
        <v>0</v>
      </c>
    </row>
    <row r="27" spans="1:36" ht="15.95" customHeight="1">
      <c r="A27" s="547"/>
      <c r="B27" s="548">
        <v>38</v>
      </c>
      <c r="C27" s="549">
        <v>6751</v>
      </c>
      <c r="D27" s="550" t="s">
        <v>11510</v>
      </c>
      <c r="E27" s="550" t="s">
        <v>3750</v>
      </c>
      <c r="F27" s="550" t="s">
        <v>3751</v>
      </c>
      <c r="G27" s="550" t="s">
        <v>629</v>
      </c>
      <c r="H27" s="550" t="s">
        <v>631</v>
      </c>
      <c r="I27" s="550" t="s">
        <v>15</v>
      </c>
      <c r="J27" s="550" t="s">
        <v>3752</v>
      </c>
      <c r="K27" s="551">
        <v>44591</v>
      </c>
      <c r="L27" s="552">
        <v>11270</v>
      </c>
      <c r="M27" s="552">
        <v>11270</v>
      </c>
      <c r="N27" s="552">
        <v>11270</v>
      </c>
      <c r="O27" s="552">
        <v>10</v>
      </c>
      <c r="P27" s="552">
        <v>112700</v>
      </c>
      <c r="Q27" s="548">
        <v>0</v>
      </c>
      <c r="R27" s="552">
        <v>0</v>
      </c>
      <c r="S27" s="548">
        <v>10</v>
      </c>
      <c r="T27" s="552">
        <v>112700</v>
      </c>
      <c r="U27" s="548">
        <v>0</v>
      </c>
      <c r="V27" s="552">
        <v>0</v>
      </c>
      <c r="W27" s="552">
        <v>39</v>
      </c>
      <c r="X27" s="552">
        <v>439530</v>
      </c>
      <c r="Y27" s="552">
        <v>10</v>
      </c>
      <c r="Z27" s="552">
        <v>112700</v>
      </c>
      <c r="AA27" s="552">
        <v>0</v>
      </c>
      <c r="AB27" s="552">
        <v>0</v>
      </c>
      <c r="AC27" s="552">
        <v>10</v>
      </c>
      <c r="AD27" s="552">
        <v>112700</v>
      </c>
      <c r="AE27" s="552">
        <v>0</v>
      </c>
      <c r="AF27" s="552">
        <v>0</v>
      </c>
      <c r="AG27" s="552">
        <v>0</v>
      </c>
      <c r="AH27" s="552">
        <v>0</v>
      </c>
      <c r="AI27" s="552">
        <v>0</v>
      </c>
      <c r="AJ27" s="552">
        <v>0</v>
      </c>
    </row>
    <row r="28" spans="1:36" ht="15.95" customHeight="1">
      <c r="A28" s="547"/>
      <c r="B28" s="548">
        <v>39</v>
      </c>
      <c r="C28" s="549">
        <v>6751</v>
      </c>
      <c r="D28" s="550" t="s">
        <v>11510</v>
      </c>
      <c r="E28" s="550" t="s">
        <v>3750</v>
      </c>
      <c r="F28" s="550" t="s">
        <v>3751</v>
      </c>
      <c r="G28" s="550" t="s">
        <v>629</v>
      </c>
      <c r="H28" s="550" t="s">
        <v>631</v>
      </c>
      <c r="I28" s="550" t="s">
        <v>15</v>
      </c>
      <c r="J28" s="550" t="s">
        <v>11511</v>
      </c>
      <c r="K28" s="551">
        <v>44912</v>
      </c>
      <c r="L28" s="552">
        <v>11270</v>
      </c>
      <c r="M28" s="552">
        <v>11270</v>
      </c>
      <c r="N28" s="552">
        <v>11270</v>
      </c>
      <c r="O28" s="552"/>
      <c r="P28" s="552"/>
      <c r="Q28" s="548">
        <v>100</v>
      </c>
      <c r="R28" s="552">
        <v>1127000</v>
      </c>
      <c r="S28" s="548">
        <v>53</v>
      </c>
      <c r="T28" s="552">
        <v>597310</v>
      </c>
      <c r="U28" s="548">
        <v>47</v>
      </c>
      <c r="V28" s="552">
        <v>529690</v>
      </c>
      <c r="W28" s="552">
        <v>0</v>
      </c>
      <c r="X28" s="552">
        <v>0</v>
      </c>
      <c r="Y28" s="552">
        <v>53</v>
      </c>
      <c r="Z28" s="552">
        <v>597310</v>
      </c>
      <c r="AA28" s="552">
        <v>0</v>
      </c>
      <c r="AB28" s="552">
        <v>0</v>
      </c>
      <c r="AC28" s="552">
        <v>53</v>
      </c>
      <c r="AD28" s="552">
        <v>597310</v>
      </c>
      <c r="AE28" s="552">
        <v>0</v>
      </c>
      <c r="AF28" s="552">
        <v>0</v>
      </c>
      <c r="AG28" s="552">
        <v>0</v>
      </c>
      <c r="AH28" s="552">
        <v>0</v>
      </c>
      <c r="AI28" s="552">
        <v>0</v>
      </c>
      <c r="AJ28" s="552">
        <v>0</v>
      </c>
    </row>
    <row r="29" spans="1:36" ht="15.95" customHeight="1">
      <c r="A29" s="547"/>
      <c r="B29" s="548">
        <v>45</v>
      </c>
      <c r="C29" s="549">
        <v>7062</v>
      </c>
      <c r="D29" s="550" t="s">
        <v>11512</v>
      </c>
      <c r="E29" s="550" t="s">
        <v>3753</v>
      </c>
      <c r="F29" s="550" t="s">
        <v>577</v>
      </c>
      <c r="G29" s="550" t="s">
        <v>576</v>
      </c>
      <c r="H29" s="550" t="s">
        <v>299</v>
      </c>
      <c r="I29" s="550" t="s">
        <v>11</v>
      </c>
      <c r="J29" s="550" t="s">
        <v>11513</v>
      </c>
      <c r="K29" s="551">
        <v>45288</v>
      </c>
      <c r="L29" s="552">
        <v>600</v>
      </c>
      <c r="M29" s="552">
        <v>600</v>
      </c>
      <c r="N29" s="552">
        <v>600</v>
      </c>
      <c r="O29" s="552"/>
      <c r="P29" s="552"/>
      <c r="Q29" s="548">
        <v>500</v>
      </c>
      <c r="R29" s="552">
        <v>300000</v>
      </c>
      <c r="S29" s="548">
        <v>500</v>
      </c>
      <c r="T29" s="552">
        <v>300000</v>
      </c>
      <c r="U29" s="548">
        <v>0</v>
      </c>
      <c r="V29" s="552">
        <v>0</v>
      </c>
      <c r="W29" s="552">
        <v>10</v>
      </c>
      <c r="X29" s="552">
        <v>6000</v>
      </c>
      <c r="Y29" s="552">
        <v>500</v>
      </c>
      <c r="Z29" s="552">
        <v>300000</v>
      </c>
      <c r="AA29" s="552">
        <v>0</v>
      </c>
      <c r="AB29" s="552">
        <v>0</v>
      </c>
      <c r="AC29" s="552">
        <v>500</v>
      </c>
      <c r="AD29" s="552">
        <v>300000</v>
      </c>
      <c r="AE29" s="552">
        <v>0</v>
      </c>
      <c r="AF29" s="552">
        <v>0</v>
      </c>
      <c r="AG29" s="552">
        <v>0</v>
      </c>
      <c r="AH29" s="552">
        <v>0</v>
      </c>
      <c r="AI29" s="552">
        <v>0</v>
      </c>
      <c r="AJ29" s="552">
        <v>0</v>
      </c>
    </row>
    <row r="30" spans="1:36" ht="15.95" customHeight="1">
      <c r="A30" s="547"/>
      <c r="B30" s="548">
        <v>46</v>
      </c>
      <c r="C30" s="549">
        <v>7031</v>
      </c>
      <c r="D30" s="550" t="s">
        <v>11514</v>
      </c>
      <c r="E30" s="550" t="s">
        <v>3754</v>
      </c>
      <c r="F30" s="550" t="s">
        <v>1856</v>
      </c>
      <c r="G30" s="550" t="s">
        <v>1780</v>
      </c>
      <c r="H30" s="550" t="s">
        <v>1340</v>
      </c>
      <c r="I30" s="550" t="s">
        <v>11</v>
      </c>
      <c r="J30" s="550" t="s">
        <v>11515</v>
      </c>
      <c r="K30" s="551">
        <v>45170</v>
      </c>
      <c r="L30" s="552">
        <v>365</v>
      </c>
      <c r="M30" s="552">
        <v>365</v>
      </c>
      <c r="N30" s="552">
        <v>365</v>
      </c>
      <c r="O30" s="552"/>
      <c r="P30" s="552"/>
      <c r="Q30" s="548">
        <v>1</v>
      </c>
      <c r="R30" s="552">
        <v>365</v>
      </c>
      <c r="S30" s="548">
        <v>0</v>
      </c>
      <c r="T30" s="552">
        <v>0</v>
      </c>
      <c r="U30" s="548">
        <v>1</v>
      </c>
      <c r="V30" s="552">
        <v>365</v>
      </c>
      <c r="W30" s="552">
        <v>0</v>
      </c>
      <c r="X30" s="552">
        <v>0</v>
      </c>
      <c r="Y30" s="552">
        <v>0</v>
      </c>
      <c r="Z30" s="552">
        <v>0</v>
      </c>
      <c r="AA30" s="552">
        <v>0</v>
      </c>
      <c r="AB30" s="552">
        <v>0</v>
      </c>
      <c r="AC30" s="552">
        <v>0</v>
      </c>
      <c r="AD30" s="552">
        <v>0</v>
      </c>
      <c r="AE30" s="552">
        <v>0</v>
      </c>
      <c r="AF30" s="552">
        <v>0</v>
      </c>
      <c r="AG30" s="552">
        <v>0</v>
      </c>
      <c r="AH30" s="552">
        <v>0</v>
      </c>
      <c r="AI30" s="552">
        <v>0</v>
      </c>
      <c r="AJ30" s="552">
        <v>0</v>
      </c>
    </row>
    <row r="31" spans="1:36" ht="15.95" customHeight="1">
      <c r="A31" s="547"/>
      <c r="B31" s="548">
        <v>47</v>
      </c>
      <c r="C31" s="549">
        <v>7031</v>
      </c>
      <c r="D31" s="550" t="s">
        <v>11514</v>
      </c>
      <c r="E31" s="550" t="s">
        <v>3754</v>
      </c>
      <c r="F31" s="550" t="s">
        <v>1856</v>
      </c>
      <c r="G31" s="550" t="s">
        <v>1780</v>
      </c>
      <c r="H31" s="550" t="s">
        <v>1340</v>
      </c>
      <c r="I31" s="550" t="s">
        <v>11</v>
      </c>
      <c r="J31" s="550" t="s">
        <v>3755</v>
      </c>
      <c r="K31" s="551">
        <v>44439</v>
      </c>
      <c r="L31" s="552">
        <v>1365</v>
      </c>
      <c r="M31" s="552">
        <v>1365</v>
      </c>
      <c r="N31" s="552">
        <v>1365</v>
      </c>
      <c r="O31" s="552">
        <v>5917</v>
      </c>
      <c r="P31" s="552">
        <v>8076705</v>
      </c>
      <c r="Q31" s="548">
        <v>0</v>
      </c>
      <c r="R31" s="552">
        <v>0</v>
      </c>
      <c r="S31" s="548">
        <v>5915</v>
      </c>
      <c r="T31" s="552">
        <v>8073975</v>
      </c>
      <c r="U31" s="548">
        <v>2</v>
      </c>
      <c r="V31" s="552">
        <v>2730</v>
      </c>
      <c r="W31" s="552">
        <v>4022</v>
      </c>
      <c r="X31" s="552">
        <v>5490030</v>
      </c>
      <c r="Y31" s="552">
        <v>5915</v>
      </c>
      <c r="Z31" s="552">
        <v>8073975</v>
      </c>
      <c r="AA31" s="552">
        <v>5175</v>
      </c>
      <c r="AB31" s="552">
        <v>7063875</v>
      </c>
      <c r="AC31" s="552">
        <v>740</v>
      </c>
      <c r="AD31" s="552">
        <v>1010100</v>
      </c>
      <c r="AE31" s="552">
        <v>0</v>
      </c>
      <c r="AF31" s="552">
        <v>0</v>
      </c>
      <c r="AG31" s="552">
        <v>0</v>
      </c>
      <c r="AH31" s="552">
        <v>0</v>
      </c>
      <c r="AI31" s="552">
        <v>0</v>
      </c>
      <c r="AJ31" s="552">
        <v>0</v>
      </c>
    </row>
    <row r="32" spans="1:36" ht="15.95" customHeight="1">
      <c r="A32" s="547"/>
      <c r="B32" s="548">
        <v>48</v>
      </c>
      <c r="C32" s="549">
        <v>7031</v>
      </c>
      <c r="D32" s="550" t="s">
        <v>11514</v>
      </c>
      <c r="E32" s="550" t="s">
        <v>3754</v>
      </c>
      <c r="F32" s="550" t="s">
        <v>1856</v>
      </c>
      <c r="G32" s="550" t="s">
        <v>1780</v>
      </c>
      <c r="H32" s="550" t="s">
        <v>1340</v>
      </c>
      <c r="I32" s="550" t="s">
        <v>11</v>
      </c>
      <c r="J32" s="550" t="s">
        <v>11516</v>
      </c>
      <c r="K32" s="551">
        <v>44734</v>
      </c>
      <c r="L32" s="552">
        <v>1365</v>
      </c>
      <c r="M32" s="552">
        <v>1365</v>
      </c>
      <c r="N32" s="552">
        <v>1365</v>
      </c>
      <c r="O32" s="552">
        <v>2000</v>
      </c>
      <c r="P32" s="552">
        <v>2730000</v>
      </c>
      <c r="Q32" s="548">
        <v>0</v>
      </c>
      <c r="R32" s="552">
        <v>0</v>
      </c>
      <c r="S32" s="548">
        <v>2000</v>
      </c>
      <c r="T32" s="552">
        <v>2730000</v>
      </c>
      <c r="U32" s="548">
        <v>0</v>
      </c>
      <c r="V32" s="552">
        <v>0</v>
      </c>
      <c r="W32" s="552">
        <v>0</v>
      </c>
      <c r="X32" s="552">
        <v>0</v>
      </c>
      <c r="Y32" s="552">
        <v>2000</v>
      </c>
      <c r="Z32" s="552">
        <v>2730000</v>
      </c>
      <c r="AA32" s="552">
        <v>2000</v>
      </c>
      <c r="AB32" s="552">
        <v>2730000</v>
      </c>
      <c r="AC32" s="552">
        <v>0</v>
      </c>
      <c r="AD32" s="552">
        <v>0</v>
      </c>
      <c r="AE32" s="552">
        <v>0</v>
      </c>
      <c r="AF32" s="552">
        <v>0</v>
      </c>
      <c r="AG32" s="552">
        <v>0</v>
      </c>
      <c r="AH32" s="552">
        <v>0</v>
      </c>
      <c r="AI32" s="552">
        <v>0</v>
      </c>
      <c r="AJ32" s="552">
        <v>0</v>
      </c>
    </row>
    <row r="33" spans="1:36" ht="15.95" customHeight="1">
      <c r="A33" s="547"/>
      <c r="B33" s="548">
        <v>49</v>
      </c>
      <c r="C33" s="549">
        <v>7031</v>
      </c>
      <c r="D33" s="550" t="s">
        <v>11514</v>
      </c>
      <c r="E33" s="550" t="s">
        <v>3754</v>
      </c>
      <c r="F33" s="550" t="s">
        <v>1856</v>
      </c>
      <c r="G33" s="550" t="s">
        <v>1780</v>
      </c>
      <c r="H33" s="550" t="s">
        <v>1340</v>
      </c>
      <c r="I33" s="550" t="s">
        <v>11</v>
      </c>
      <c r="J33" s="550" t="s">
        <v>11517</v>
      </c>
      <c r="K33" s="551">
        <v>44735</v>
      </c>
      <c r="L33" s="552">
        <v>1365</v>
      </c>
      <c r="M33" s="552">
        <v>1365</v>
      </c>
      <c r="N33" s="552">
        <v>1365</v>
      </c>
      <c r="O33" s="552"/>
      <c r="P33" s="552"/>
      <c r="Q33" s="548">
        <v>20027</v>
      </c>
      <c r="R33" s="552">
        <v>27336855</v>
      </c>
      <c r="S33" s="548">
        <v>20018</v>
      </c>
      <c r="T33" s="552">
        <v>27324570</v>
      </c>
      <c r="U33" s="548">
        <v>9</v>
      </c>
      <c r="V33" s="552">
        <v>12285</v>
      </c>
      <c r="W33" s="552">
        <v>1936</v>
      </c>
      <c r="X33" s="552">
        <v>2642640</v>
      </c>
      <c r="Y33" s="552">
        <v>20018</v>
      </c>
      <c r="Z33" s="552">
        <v>27324570</v>
      </c>
      <c r="AA33" s="552">
        <v>12200</v>
      </c>
      <c r="AB33" s="552">
        <v>16653000</v>
      </c>
      <c r="AC33" s="552">
        <v>7818</v>
      </c>
      <c r="AD33" s="552">
        <v>10671570</v>
      </c>
      <c r="AE33" s="552">
        <v>0</v>
      </c>
      <c r="AF33" s="552">
        <v>0</v>
      </c>
      <c r="AG33" s="552">
        <v>0</v>
      </c>
      <c r="AH33" s="552">
        <v>0</v>
      </c>
      <c r="AI33" s="552">
        <v>0</v>
      </c>
      <c r="AJ33" s="552">
        <v>0</v>
      </c>
    </row>
    <row r="34" spans="1:36" ht="15.95" customHeight="1">
      <c r="A34" s="547"/>
      <c r="B34" s="548">
        <v>50</v>
      </c>
      <c r="C34" s="549">
        <v>7031</v>
      </c>
      <c r="D34" s="550" t="s">
        <v>11514</v>
      </c>
      <c r="E34" s="550" t="s">
        <v>3754</v>
      </c>
      <c r="F34" s="550" t="s">
        <v>1856</v>
      </c>
      <c r="G34" s="550" t="s">
        <v>1780</v>
      </c>
      <c r="H34" s="550" t="s">
        <v>1340</v>
      </c>
      <c r="I34" s="550" t="s">
        <v>11</v>
      </c>
      <c r="J34" s="550" t="s">
        <v>11518</v>
      </c>
      <c r="K34" s="551">
        <v>44741</v>
      </c>
      <c r="L34" s="552">
        <v>1365</v>
      </c>
      <c r="M34" s="552">
        <v>1365</v>
      </c>
      <c r="N34" s="552">
        <v>1365</v>
      </c>
      <c r="O34" s="552"/>
      <c r="P34" s="552"/>
      <c r="Q34" s="548">
        <v>20153</v>
      </c>
      <c r="R34" s="552">
        <v>27508845</v>
      </c>
      <c r="S34" s="548">
        <v>9280</v>
      </c>
      <c r="T34" s="552">
        <v>12667200</v>
      </c>
      <c r="U34" s="548">
        <v>10873</v>
      </c>
      <c r="V34" s="552">
        <v>14841645</v>
      </c>
      <c r="W34" s="552">
        <v>1030</v>
      </c>
      <c r="X34" s="552">
        <v>1405950</v>
      </c>
      <c r="Y34" s="552">
        <v>8480</v>
      </c>
      <c r="Z34" s="552">
        <v>11575200</v>
      </c>
      <c r="AA34" s="552">
        <v>3332</v>
      </c>
      <c r="AB34" s="552">
        <v>4548180</v>
      </c>
      <c r="AC34" s="552">
        <v>5148</v>
      </c>
      <c r="AD34" s="552">
        <v>7027020</v>
      </c>
      <c r="AE34" s="552">
        <v>0</v>
      </c>
      <c r="AF34" s="552">
        <v>0</v>
      </c>
      <c r="AG34" s="552">
        <v>800</v>
      </c>
      <c r="AH34" s="552">
        <v>1092000</v>
      </c>
      <c r="AI34" s="552">
        <v>0</v>
      </c>
      <c r="AJ34" s="552">
        <v>0</v>
      </c>
    </row>
    <row r="35" spans="1:36" ht="15.95" customHeight="1">
      <c r="A35" s="547"/>
      <c r="B35" s="548">
        <v>51</v>
      </c>
      <c r="C35" s="549">
        <v>7032</v>
      </c>
      <c r="D35" s="550" t="s">
        <v>11519</v>
      </c>
      <c r="E35" s="550" t="s">
        <v>3756</v>
      </c>
      <c r="F35" s="550" t="s">
        <v>3757</v>
      </c>
      <c r="G35" s="550" t="s">
        <v>1780</v>
      </c>
      <c r="H35" s="550" t="s">
        <v>229</v>
      </c>
      <c r="I35" s="550" t="s">
        <v>11</v>
      </c>
      <c r="J35" s="550" t="s">
        <v>3758</v>
      </c>
      <c r="K35" s="551">
        <v>45270</v>
      </c>
      <c r="L35" s="552">
        <v>840</v>
      </c>
      <c r="M35" s="552">
        <v>840</v>
      </c>
      <c r="N35" s="552">
        <v>840</v>
      </c>
      <c r="O35" s="552">
        <v>4000</v>
      </c>
      <c r="P35" s="552">
        <v>3360000</v>
      </c>
      <c r="Q35" s="548">
        <v>0</v>
      </c>
      <c r="R35" s="552">
        <v>0</v>
      </c>
      <c r="S35" s="548">
        <v>4000</v>
      </c>
      <c r="T35" s="552">
        <v>3360000</v>
      </c>
      <c r="U35" s="548">
        <v>0</v>
      </c>
      <c r="V35" s="552">
        <v>0</v>
      </c>
      <c r="W35" s="552">
        <v>9586</v>
      </c>
      <c r="X35" s="552">
        <v>8052240</v>
      </c>
      <c r="Y35" s="552">
        <v>4000</v>
      </c>
      <c r="Z35" s="552">
        <v>3360000</v>
      </c>
      <c r="AA35" s="552">
        <v>0</v>
      </c>
      <c r="AB35" s="552">
        <v>0</v>
      </c>
      <c r="AC35" s="552">
        <v>4000</v>
      </c>
      <c r="AD35" s="552">
        <v>3360000</v>
      </c>
      <c r="AE35" s="552">
        <v>0</v>
      </c>
      <c r="AF35" s="552">
        <v>0</v>
      </c>
      <c r="AG35" s="552">
        <v>0</v>
      </c>
      <c r="AH35" s="552">
        <v>0</v>
      </c>
      <c r="AI35" s="552">
        <v>0</v>
      </c>
      <c r="AJ35" s="552">
        <v>0</v>
      </c>
    </row>
    <row r="36" spans="1:36" ht="15.95" customHeight="1">
      <c r="A36" s="547"/>
      <c r="B36" s="548">
        <v>52</v>
      </c>
      <c r="C36" s="549">
        <v>7032</v>
      </c>
      <c r="D36" s="550" t="s">
        <v>11519</v>
      </c>
      <c r="E36" s="550" t="s">
        <v>3756</v>
      </c>
      <c r="F36" s="550" t="s">
        <v>3757</v>
      </c>
      <c r="G36" s="550" t="s">
        <v>1780</v>
      </c>
      <c r="H36" s="550" t="s">
        <v>229</v>
      </c>
      <c r="I36" s="550" t="s">
        <v>11</v>
      </c>
      <c r="J36" s="550" t="s">
        <v>3759</v>
      </c>
      <c r="K36" s="551">
        <v>45278</v>
      </c>
      <c r="L36" s="552">
        <v>840</v>
      </c>
      <c r="M36" s="552">
        <v>840</v>
      </c>
      <c r="N36" s="552">
        <v>840</v>
      </c>
      <c r="O36" s="552">
        <v>17000</v>
      </c>
      <c r="P36" s="552">
        <v>14280000</v>
      </c>
      <c r="Q36" s="548">
        <v>0</v>
      </c>
      <c r="R36" s="552">
        <v>0</v>
      </c>
      <c r="S36" s="548">
        <v>14623</v>
      </c>
      <c r="T36" s="552">
        <v>12283320</v>
      </c>
      <c r="U36" s="548">
        <v>2377</v>
      </c>
      <c r="V36" s="552">
        <v>1996680</v>
      </c>
      <c r="W36" s="552">
        <v>7080</v>
      </c>
      <c r="X36" s="552">
        <v>5947200</v>
      </c>
      <c r="Y36" s="552">
        <v>14623</v>
      </c>
      <c r="Z36" s="552">
        <v>12283320</v>
      </c>
      <c r="AA36" s="552">
        <v>2623</v>
      </c>
      <c r="AB36" s="552">
        <v>2203320</v>
      </c>
      <c r="AC36" s="552">
        <v>12000</v>
      </c>
      <c r="AD36" s="552">
        <v>10080000</v>
      </c>
      <c r="AE36" s="552">
        <v>0</v>
      </c>
      <c r="AF36" s="552">
        <v>0</v>
      </c>
      <c r="AG36" s="552">
        <v>0</v>
      </c>
      <c r="AH36" s="552">
        <v>0</v>
      </c>
      <c r="AI36" s="552">
        <v>0</v>
      </c>
      <c r="AJ36" s="552">
        <v>0</v>
      </c>
    </row>
    <row r="37" spans="1:36" ht="15.95" customHeight="1">
      <c r="A37" s="547"/>
      <c r="B37" s="548">
        <v>53</v>
      </c>
      <c r="C37" s="549">
        <v>7032</v>
      </c>
      <c r="D37" s="550" t="s">
        <v>11519</v>
      </c>
      <c r="E37" s="550" t="s">
        <v>3756</v>
      </c>
      <c r="F37" s="550" t="s">
        <v>3757</v>
      </c>
      <c r="G37" s="550" t="s">
        <v>1780</v>
      </c>
      <c r="H37" s="550" t="s">
        <v>229</v>
      </c>
      <c r="I37" s="550" t="s">
        <v>11</v>
      </c>
      <c r="J37" s="550" t="s">
        <v>3760</v>
      </c>
      <c r="K37" s="551">
        <v>45309</v>
      </c>
      <c r="L37" s="552">
        <v>840</v>
      </c>
      <c r="M37" s="552">
        <v>840</v>
      </c>
      <c r="N37" s="552">
        <v>840</v>
      </c>
      <c r="O37" s="552">
        <v>1500</v>
      </c>
      <c r="P37" s="552">
        <v>1260000</v>
      </c>
      <c r="Q37" s="548">
        <v>0</v>
      </c>
      <c r="R37" s="552">
        <v>0</v>
      </c>
      <c r="S37" s="548">
        <v>1500</v>
      </c>
      <c r="T37" s="552">
        <v>1260000</v>
      </c>
      <c r="U37" s="548">
        <v>0</v>
      </c>
      <c r="V37" s="552">
        <v>0</v>
      </c>
      <c r="W37" s="552">
        <v>1500</v>
      </c>
      <c r="X37" s="552">
        <v>1260000</v>
      </c>
      <c r="Y37" s="552">
        <v>1500</v>
      </c>
      <c r="Z37" s="552">
        <v>1260000</v>
      </c>
      <c r="AA37" s="552">
        <v>0</v>
      </c>
      <c r="AB37" s="552">
        <v>0</v>
      </c>
      <c r="AC37" s="552">
        <v>1500</v>
      </c>
      <c r="AD37" s="552">
        <v>1260000</v>
      </c>
      <c r="AE37" s="552">
        <v>0</v>
      </c>
      <c r="AF37" s="552">
        <v>0</v>
      </c>
      <c r="AG37" s="552">
        <v>0</v>
      </c>
      <c r="AH37" s="552">
        <v>0</v>
      </c>
      <c r="AI37" s="552">
        <v>0</v>
      </c>
      <c r="AJ37" s="552">
        <v>0</v>
      </c>
    </row>
    <row r="38" spans="1:36" ht="15.95" customHeight="1">
      <c r="A38" s="547"/>
      <c r="B38" s="548">
        <v>54</v>
      </c>
      <c r="C38" s="549">
        <v>7032</v>
      </c>
      <c r="D38" s="550" t="s">
        <v>11519</v>
      </c>
      <c r="E38" s="550" t="s">
        <v>3756</v>
      </c>
      <c r="F38" s="550" t="s">
        <v>3757</v>
      </c>
      <c r="G38" s="550" t="s">
        <v>1780</v>
      </c>
      <c r="H38" s="550" t="s">
        <v>229</v>
      </c>
      <c r="I38" s="550" t="s">
        <v>11</v>
      </c>
      <c r="J38" s="550" t="s">
        <v>11520</v>
      </c>
      <c r="K38" s="551">
        <v>45316</v>
      </c>
      <c r="L38" s="552">
        <v>840</v>
      </c>
      <c r="M38" s="552">
        <v>840</v>
      </c>
      <c r="N38" s="552">
        <v>840</v>
      </c>
      <c r="O38" s="552">
        <v>4500</v>
      </c>
      <c r="P38" s="552">
        <v>3780000</v>
      </c>
      <c r="Q38" s="548">
        <v>0</v>
      </c>
      <c r="R38" s="552">
        <v>0</v>
      </c>
      <c r="S38" s="548">
        <v>500</v>
      </c>
      <c r="T38" s="552">
        <v>420000</v>
      </c>
      <c r="U38" s="548">
        <v>4000</v>
      </c>
      <c r="V38" s="552">
        <v>3360000</v>
      </c>
      <c r="W38" s="552">
        <v>320</v>
      </c>
      <c r="X38" s="552">
        <v>268800</v>
      </c>
      <c r="Y38" s="552">
        <v>500</v>
      </c>
      <c r="Z38" s="552">
        <v>420000</v>
      </c>
      <c r="AA38" s="552">
        <v>0</v>
      </c>
      <c r="AB38" s="552">
        <v>0</v>
      </c>
      <c r="AC38" s="552">
        <v>500</v>
      </c>
      <c r="AD38" s="552">
        <v>420000</v>
      </c>
      <c r="AE38" s="552">
        <v>0</v>
      </c>
      <c r="AF38" s="552">
        <v>0</v>
      </c>
      <c r="AG38" s="552">
        <v>0</v>
      </c>
      <c r="AH38" s="552">
        <v>0</v>
      </c>
      <c r="AI38" s="552">
        <v>0</v>
      </c>
      <c r="AJ38" s="552">
        <v>0</v>
      </c>
    </row>
    <row r="39" spans="1:36" ht="15.95" customHeight="1">
      <c r="A39" s="547"/>
      <c r="B39" s="548">
        <v>55</v>
      </c>
      <c r="C39" s="549">
        <v>7032</v>
      </c>
      <c r="D39" s="550" t="s">
        <v>11519</v>
      </c>
      <c r="E39" s="550" t="s">
        <v>3756</v>
      </c>
      <c r="F39" s="550" t="s">
        <v>3757</v>
      </c>
      <c r="G39" s="550" t="s">
        <v>1780</v>
      </c>
      <c r="H39" s="550" t="s">
        <v>229</v>
      </c>
      <c r="I39" s="550" t="s">
        <v>11</v>
      </c>
      <c r="J39" s="550" t="s">
        <v>11521</v>
      </c>
      <c r="K39" s="551">
        <v>45326</v>
      </c>
      <c r="L39" s="552">
        <v>840</v>
      </c>
      <c r="M39" s="552">
        <v>840</v>
      </c>
      <c r="N39" s="552">
        <v>840</v>
      </c>
      <c r="O39" s="552"/>
      <c r="P39" s="552"/>
      <c r="Q39" s="548">
        <v>5000</v>
      </c>
      <c r="R39" s="552">
        <v>4200000</v>
      </c>
      <c r="S39" s="548">
        <v>0</v>
      </c>
      <c r="T39" s="552">
        <v>0</v>
      </c>
      <c r="U39" s="548">
        <v>5000</v>
      </c>
      <c r="V39" s="552">
        <v>4200000</v>
      </c>
      <c r="W39" s="552">
        <v>0</v>
      </c>
      <c r="X39" s="552">
        <v>0</v>
      </c>
      <c r="Y39" s="552">
        <v>0</v>
      </c>
      <c r="Z39" s="552">
        <v>0</v>
      </c>
      <c r="AA39" s="552">
        <v>0</v>
      </c>
      <c r="AB39" s="552">
        <v>0</v>
      </c>
      <c r="AC39" s="552">
        <v>0</v>
      </c>
      <c r="AD39" s="552">
        <v>0</v>
      </c>
      <c r="AE39" s="552">
        <v>0</v>
      </c>
      <c r="AF39" s="552">
        <v>0</v>
      </c>
      <c r="AG39" s="552">
        <v>0</v>
      </c>
      <c r="AH39" s="552">
        <v>0</v>
      </c>
      <c r="AI39" s="552">
        <v>0</v>
      </c>
      <c r="AJ39" s="552">
        <v>0</v>
      </c>
    </row>
    <row r="40" spans="1:36" ht="15.95" customHeight="1">
      <c r="A40" s="547"/>
      <c r="B40" s="548">
        <v>56</v>
      </c>
      <c r="C40" s="549">
        <v>7032</v>
      </c>
      <c r="D40" s="550" t="s">
        <v>11519</v>
      </c>
      <c r="E40" s="550" t="s">
        <v>3756</v>
      </c>
      <c r="F40" s="550" t="s">
        <v>3757</v>
      </c>
      <c r="G40" s="550" t="s">
        <v>1780</v>
      </c>
      <c r="H40" s="550" t="s">
        <v>229</v>
      </c>
      <c r="I40" s="550" t="s">
        <v>11</v>
      </c>
      <c r="J40" s="550" t="s">
        <v>11522</v>
      </c>
      <c r="K40" s="551">
        <v>45330</v>
      </c>
      <c r="L40" s="552">
        <v>840</v>
      </c>
      <c r="M40" s="552">
        <v>840</v>
      </c>
      <c r="N40" s="552">
        <v>840</v>
      </c>
      <c r="O40" s="552"/>
      <c r="P40" s="552"/>
      <c r="Q40" s="548">
        <v>10000</v>
      </c>
      <c r="R40" s="552">
        <v>8400000</v>
      </c>
      <c r="S40" s="548">
        <v>0</v>
      </c>
      <c r="T40" s="552">
        <v>0</v>
      </c>
      <c r="U40" s="548">
        <v>10000</v>
      </c>
      <c r="V40" s="552">
        <v>8400000</v>
      </c>
      <c r="W40" s="552">
        <v>0</v>
      </c>
      <c r="X40" s="552">
        <v>0</v>
      </c>
      <c r="Y40" s="552">
        <v>0</v>
      </c>
      <c r="Z40" s="552">
        <v>0</v>
      </c>
      <c r="AA40" s="552">
        <v>0</v>
      </c>
      <c r="AB40" s="552">
        <v>0</v>
      </c>
      <c r="AC40" s="552">
        <v>0</v>
      </c>
      <c r="AD40" s="552">
        <v>0</v>
      </c>
      <c r="AE40" s="552">
        <v>0</v>
      </c>
      <c r="AF40" s="552">
        <v>0</v>
      </c>
      <c r="AG40" s="552">
        <v>0</v>
      </c>
      <c r="AH40" s="552">
        <v>0</v>
      </c>
      <c r="AI40" s="552">
        <v>0</v>
      </c>
      <c r="AJ40" s="552">
        <v>0</v>
      </c>
    </row>
    <row r="41" spans="1:36" ht="15.95" customHeight="1">
      <c r="A41" s="547"/>
      <c r="B41" s="548">
        <v>57</v>
      </c>
      <c r="C41" s="549">
        <v>6650</v>
      </c>
      <c r="D41" s="550" t="s">
        <v>11523</v>
      </c>
      <c r="E41" s="550" t="s">
        <v>3762</v>
      </c>
      <c r="F41" s="550" t="s">
        <v>3763</v>
      </c>
      <c r="G41" s="550" t="s">
        <v>2038</v>
      </c>
      <c r="H41" s="550" t="s">
        <v>225</v>
      </c>
      <c r="I41" s="550" t="s">
        <v>11</v>
      </c>
      <c r="J41" s="550" t="s">
        <v>3765</v>
      </c>
      <c r="K41" s="551">
        <v>45032</v>
      </c>
      <c r="L41" s="552">
        <v>420</v>
      </c>
      <c r="M41" s="552">
        <v>420</v>
      </c>
      <c r="N41" s="552">
        <v>420</v>
      </c>
      <c r="O41" s="552">
        <v>15276</v>
      </c>
      <c r="P41" s="552">
        <v>6415920</v>
      </c>
      <c r="Q41" s="548">
        <v>0</v>
      </c>
      <c r="R41" s="552">
        <v>0</v>
      </c>
      <c r="S41" s="548">
        <v>15276</v>
      </c>
      <c r="T41" s="552">
        <v>6415920</v>
      </c>
      <c r="U41" s="548">
        <v>0</v>
      </c>
      <c r="V41" s="552">
        <v>0</v>
      </c>
      <c r="W41" s="552">
        <v>14201</v>
      </c>
      <c r="X41" s="552">
        <v>5964420</v>
      </c>
      <c r="Y41" s="552">
        <v>15276</v>
      </c>
      <c r="Z41" s="552">
        <v>6415920</v>
      </c>
      <c r="AA41" s="552">
        <v>7866</v>
      </c>
      <c r="AB41" s="552">
        <v>3303720</v>
      </c>
      <c r="AC41" s="552">
        <v>7410</v>
      </c>
      <c r="AD41" s="552">
        <v>3112200</v>
      </c>
      <c r="AE41" s="552">
        <v>0</v>
      </c>
      <c r="AF41" s="552">
        <v>0</v>
      </c>
      <c r="AG41" s="552">
        <v>0</v>
      </c>
      <c r="AH41" s="552">
        <v>0</v>
      </c>
      <c r="AI41" s="552">
        <v>0</v>
      </c>
      <c r="AJ41" s="552">
        <v>0</v>
      </c>
    </row>
    <row r="42" spans="1:36" ht="15.95" customHeight="1">
      <c r="A42" s="547"/>
      <c r="B42" s="548">
        <v>58</v>
      </c>
      <c r="C42" s="549">
        <v>6650</v>
      </c>
      <c r="D42" s="550" t="s">
        <v>11523</v>
      </c>
      <c r="E42" s="550" t="s">
        <v>3762</v>
      </c>
      <c r="F42" s="550" t="s">
        <v>3763</v>
      </c>
      <c r="G42" s="550" t="s">
        <v>2038</v>
      </c>
      <c r="H42" s="550" t="s">
        <v>225</v>
      </c>
      <c r="I42" s="550" t="s">
        <v>11</v>
      </c>
      <c r="J42" s="550" t="s">
        <v>11524</v>
      </c>
      <c r="K42" s="551">
        <v>45183</v>
      </c>
      <c r="L42" s="552">
        <v>420</v>
      </c>
      <c r="M42" s="552">
        <v>420</v>
      </c>
      <c r="N42" s="552">
        <v>420</v>
      </c>
      <c r="O42" s="552">
        <v>47490</v>
      </c>
      <c r="P42" s="552">
        <v>19945800</v>
      </c>
      <c r="Q42" s="548">
        <v>0</v>
      </c>
      <c r="R42" s="552">
        <v>0</v>
      </c>
      <c r="S42" s="548">
        <v>21555</v>
      </c>
      <c r="T42" s="552">
        <v>9053100</v>
      </c>
      <c r="U42" s="548">
        <v>25935</v>
      </c>
      <c r="V42" s="552">
        <v>10892700</v>
      </c>
      <c r="W42" s="552">
        <v>6764</v>
      </c>
      <c r="X42" s="552">
        <v>2840880</v>
      </c>
      <c r="Y42" s="552">
        <v>21555</v>
      </c>
      <c r="Z42" s="552">
        <v>9053100</v>
      </c>
      <c r="AA42" s="552">
        <v>6255</v>
      </c>
      <c r="AB42" s="552">
        <v>2627100</v>
      </c>
      <c r="AC42" s="552">
        <v>15300</v>
      </c>
      <c r="AD42" s="552">
        <v>6426000</v>
      </c>
      <c r="AE42" s="552">
        <v>0</v>
      </c>
      <c r="AF42" s="552">
        <v>0</v>
      </c>
      <c r="AG42" s="552">
        <v>0</v>
      </c>
      <c r="AH42" s="552">
        <v>0</v>
      </c>
      <c r="AI42" s="552">
        <v>0</v>
      </c>
      <c r="AJ42" s="552">
        <v>0</v>
      </c>
    </row>
    <row r="43" spans="1:36" ht="15.95" customHeight="1">
      <c r="A43" s="547"/>
      <c r="B43" s="548">
        <v>59</v>
      </c>
      <c r="C43" s="549">
        <v>6650</v>
      </c>
      <c r="D43" s="550" t="s">
        <v>11523</v>
      </c>
      <c r="E43" s="550" t="s">
        <v>3762</v>
      </c>
      <c r="F43" s="550" t="s">
        <v>3763</v>
      </c>
      <c r="G43" s="550" t="s">
        <v>2038</v>
      </c>
      <c r="H43" s="550" t="s">
        <v>225</v>
      </c>
      <c r="I43" s="550" t="s">
        <v>11</v>
      </c>
      <c r="J43" s="550" t="s">
        <v>11525</v>
      </c>
      <c r="K43" s="551">
        <v>45368</v>
      </c>
      <c r="L43" s="552">
        <v>420</v>
      </c>
      <c r="M43" s="552">
        <v>420</v>
      </c>
      <c r="N43" s="552">
        <v>420</v>
      </c>
      <c r="O43" s="552"/>
      <c r="P43" s="552"/>
      <c r="Q43" s="548">
        <v>12000</v>
      </c>
      <c r="R43" s="552">
        <v>5040000</v>
      </c>
      <c r="S43" s="548">
        <v>0</v>
      </c>
      <c r="T43" s="552">
        <v>0</v>
      </c>
      <c r="U43" s="548">
        <v>12000</v>
      </c>
      <c r="V43" s="552">
        <v>5040000</v>
      </c>
      <c r="W43" s="552">
        <v>0</v>
      </c>
      <c r="X43" s="552">
        <v>0</v>
      </c>
      <c r="Y43" s="552">
        <v>0</v>
      </c>
      <c r="Z43" s="552">
        <v>0</v>
      </c>
      <c r="AA43" s="552">
        <v>0</v>
      </c>
      <c r="AB43" s="552">
        <v>0</v>
      </c>
      <c r="AC43" s="552">
        <v>0</v>
      </c>
      <c r="AD43" s="552">
        <v>0</v>
      </c>
      <c r="AE43" s="552">
        <v>0</v>
      </c>
      <c r="AF43" s="552">
        <v>0</v>
      </c>
      <c r="AG43" s="552">
        <v>0</v>
      </c>
      <c r="AH43" s="552">
        <v>0</v>
      </c>
      <c r="AI43" s="552">
        <v>0</v>
      </c>
      <c r="AJ43" s="552">
        <v>0</v>
      </c>
    </row>
    <row r="44" spans="1:36" ht="15.95" customHeight="1">
      <c r="A44" s="547"/>
      <c r="B44" s="548">
        <v>60</v>
      </c>
      <c r="C44" s="549">
        <v>6663</v>
      </c>
      <c r="D44" s="550" t="s">
        <v>11526</v>
      </c>
      <c r="E44" s="550" t="s">
        <v>3766</v>
      </c>
      <c r="F44" s="550" t="s">
        <v>3767</v>
      </c>
      <c r="G44" s="550" t="s">
        <v>1315</v>
      </c>
      <c r="H44" s="550" t="s">
        <v>267</v>
      </c>
      <c r="I44" s="550" t="s">
        <v>11</v>
      </c>
      <c r="J44" s="550" t="s">
        <v>11527</v>
      </c>
      <c r="K44" s="551">
        <v>45200</v>
      </c>
      <c r="L44" s="552">
        <v>100</v>
      </c>
      <c r="M44" s="552">
        <v>100</v>
      </c>
      <c r="N44" s="552">
        <v>100</v>
      </c>
      <c r="O44" s="552">
        <v>38438</v>
      </c>
      <c r="P44" s="552">
        <v>3843800</v>
      </c>
      <c r="Q44" s="548">
        <v>291</v>
      </c>
      <c r="R44" s="552">
        <v>29100</v>
      </c>
      <c r="S44" s="548">
        <v>20943</v>
      </c>
      <c r="T44" s="552">
        <v>2094300</v>
      </c>
      <c r="U44" s="548">
        <v>17786</v>
      </c>
      <c r="V44" s="552">
        <v>1778600</v>
      </c>
      <c r="W44" s="552">
        <v>6421</v>
      </c>
      <c r="X44" s="552">
        <v>642100</v>
      </c>
      <c r="Y44" s="552">
        <v>19643</v>
      </c>
      <c r="Z44" s="552">
        <v>1964300</v>
      </c>
      <c r="AA44" s="552">
        <v>2679</v>
      </c>
      <c r="AB44" s="552">
        <v>267900</v>
      </c>
      <c r="AC44" s="552">
        <v>16964</v>
      </c>
      <c r="AD44" s="552">
        <v>1696400</v>
      </c>
      <c r="AE44" s="552">
        <v>0</v>
      </c>
      <c r="AF44" s="552">
        <v>0</v>
      </c>
      <c r="AG44" s="552">
        <v>1300</v>
      </c>
      <c r="AH44" s="552">
        <v>130000</v>
      </c>
      <c r="AI44" s="552">
        <v>0</v>
      </c>
      <c r="AJ44" s="552">
        <v>0</v>
      </c>
    </row>
    <row r="45" spans="1:36" ht="15.95" customHeight="1">
      <c r="A45" s="547"/>
      <c r="B45" s="548">
        <v>61</v>
      </c>
      <c r="C45" s="549">
        <v>7587</v>
      </c>
      <c r="D45" s="550" t="s">
        <v>11528</v>
      </c>
      <c r="E45" s="550" t="s">
        <v>6802</v>
      </c>
      <c r="F45" s="550" t="s">
        <v>6804</v>
      </c>
      <c r="G45" s="550" t="s">
        <v>2445</v>
      </c>
      <c r="H45" s="550" t="s">
        <v>6803</v>
      </c>
      <c r="I45" s="550" t="s">
        <v>11</v>
      </c>
      <c r="J45" s="550" t="s">
        <v>11529</v>
      </c>
      <c r="K45" s="551">
        <v>44870</v>
      </c>
      <c r="L45" s="552">
        <v>2380</v>
      </c>
      <c r="M45" s="552">
        <v>2380</v>
      </c>
      <c r="N45" s="552">
        <v>2380</v>
      </c>
      <c r="O45" s="552"/>
      <c r="P45" s="552"/>
      <c r="Q45" s="548">
        <v>7000</v>
      </c>
      <c r="R45" s="552">
        <v>16660000</v>
      </c>
      <c r="S45" s="548">
        <v>2211</v>
      </c>
      <c r="T45" s="552">
        <v>5262180</v>
      </c>
      <c r="U45" s="548">
        <v>4789</v>
      </c>
      <c r="V45" s="552">
        <v>11397820</v>
      </c>
      <c r="W45" s="552">
        <v>0</v>
      </c>
      <c r="X45" s="552">
        <v>0</v>
      </c>
      <c r="Y45" s="552">
        <v>2211</v>
      </c>
      <c r="Z45" s="552">
        <v>5262180</v>
      </c>
      <c r="AA45" s="552">
        <v>211</v>
      </c>
      <c r="AB45" s="552">
        <v>502180</v>
      </c>
      <c r="AC45" s="552">
        <v>2000</v>
      </c>
      <c r="AD45" s="552">
        <v>4760000</v>
      </c>
      <c r="AE45" s="552">
        <v>0</v>
      </c>
      <c r="AF45" s="552">
        <v>0</v>
      </c>
      <c r="AG45" s="552">
        <v>0</v>
      </c>
      <c r="AH45" s="552">
        <v>0</v>
      </c>
      <c r="AI45" s="552">
        <v>0</v>
      </c>
      <c r="AJ45" s="552">
        <v>0</v>
      </c>
    </row>
    <row r="46" spans="1:36" ht="15.95" customHeight="1">
      <c r="A46" s="547"/>
      <c r="B46" s="548">
        <v>62</v>
      </c>
      <c r="C46" s="549">
        <v>6666</v>
      </c>
      <c r="D46" s="550" t="s">
        <v>11530</v>
      </c>
      <c r="E46" s="550" t="s">
        <v>3768</v>
      </c>
      <c r="F46" s="550" t="s">
        <v>3769</v>
      </c>
      <c r="G46" s="550" t="s">
        <v>1480</v>
      </c>
      <c r="H46" s="550" t="s">
        <v>310</v>
      </c>
      <c r="I46" s="550" t="s">
        <v>11</v>
      </c>
      <c r="J46" s="550" t="s">
        <v>11531</v>
      </c>
      <c r="K46" s="551">
        <v>45321</v>
      </c>
      <c r="L46" s="552">
        <v>127</v>
      </c>
      <c r="M46" s="552">
        <v>127</v>
      </c>
      <c r="N46" s="552">
        <v>127</v>
      </c>
      <c r="O46" s="552"/>
      <c r="P46" s="552"/>
      <c r="Q46" s="548">
        <v>3200</v>
      </c>
      <c r="R46" s="552">
        <v>406400</v>
      </c>
      <c r="S46" s="548">
        <v>3200</v>
      </c>
      <c r="T46" s="552">
        <v>406400</v>
      </c>
      <c r="U46" s="548">
        <v>0</v>
      </c>
      <c r="V46" s="552">
        <v>0</v>
      </c>
      <c r="W46" s="552">
        <v>448</v>
      </c>
      <c r="X46" s="552">
        <v>56896</v>
      </c>
      <c r="Y46" s="552">
        <v>3200</v>
      </c>
      <c r="Z46" s="552">
        <v>406400</v>
      </c>
      <c r="AA46" s="552">
        <v>0</v>
      </c>
      <c r="AB46" s="552">
        <v>0</v>
      </c>
      <c r="AC46" s="552">
        <v>3200</v>
      </c>
      <c r="AD46" s="552">
        <v>406400</v>
      </c>
      <c r="AE46" s="552">
        <v>0</v>
      </c>
      <c r="AF46" s="552">
        <v>0</v>
      </c>
      <c r="AG46" s="552">
        <v>0</v>
      </c>
      <c r="AH46" s="552">
        <v>0</v>
      </c>
      <c r="AI46" s="552">
        <v>0</v>
      </c>
      <c r="AJ46" s="552">
        <v>0</v>
      </c>
    </row>
    <row r="47" spans="1:36" ht="15.95" customHeight="1">
      <c r="A47" s="547"/>
      <c r="B47" s="548">
        <v>64</v>
      </c>
      <c r="C47" s="549">
        <v>6670</v>
      </c>
      <c r="D47" s="550" t="s">
        <v>11532</v>
      </c>
      <c r="E47" s="550" t="s">
        <v>3771</v>
      </c>
      <c r="F47" s="550" t="s">
        <v>3772</v>
      </c>
      <c r="G47" s="550" t="s">
        <v>347</v>
      </c>
      <c r="H47" s="550" t="s">
        <v>238</v>
      </c>
      <c r="I47" s="550" t="s">
        <v>11</v>
      </c>
      <c r="J47" s="550" t="s">
        <v>11533</v>
      </c>
      <c r="K47" s="551">
        <v>44967</v>
      </c>
      <c r="L47" s="552">
        <v>1009</v>
      </c>
      <c r="M47" s="552">
        <v>1009</v>
      </c>
      <c r="N47" s="552">
        <v>1009</v>
      </c>
      <c r="O47" s="552">
        <v>9620</v>
      </c>
      <c r="P47" s="552">
        <v>9706580</v>
      </c>
      <c r="Q47" s="548">
        <v>0</v>
      </c>
      <c r="R47" s="552">
        <v>0</v>
      </c>
      <c r="S47" s="548">
        <v>9620</v>
      </c>
      <c r="T47" s="552">
        <v>9706580</v>
      </c>
      <c r="U47" s="548">
        <v>0</v>
      </c>
      <c r="V47" s="552">
        <v>0</v>
      </c>
      <c r="W47" s="552">
        <v>848</v>
      </c>
      <c r="X47" s="552">
        <v>855632</v>
      </c>
      <c r="Y47" s="552">
        <v>9620</v>
      </c>
      <c r="Z47" s="552">
        <v>9706580</v>
      </c>
      <c r="AA47" s="552">
        <v>8720</v>
      </c>
      <c r="AB47" s="552">
        <v>8798480</v>
      </c>
      <c r="AC47" s="552">
        <v>900</v>
      </c>
      <c r="AD47" s="552">
        <v>908100</v>
      </c>
      <c r="AE47" s="552">
        <v>0</v>
      </c>
      <c r="AF47" s="552">
        <v>0</v>
      </c>
      <c r="AG47" s="552">
        <v>0</v>
      </c>
      <c r="AH47" s="552">
        <v>0</v>
      </c>
      <c r="AI47" s="552">
        <v>0</v>
      </c>
      <c r="AJ47" s="552">
        <v>0</v>
      </c>
    </row>
    <row r="48" spans="1:36" ht="15.95" customHeight="1">
      <c r="A48" s="547"/>
      <c r="B48" s="548">
        <v>65</v>
      </c>
      <c r="C48" s="549">
        <v>6670</v>
      </c>
      <c r="D48" s="550" t="s">
        <v>11532</v>
      </c>
      <c r="E48" s="550" t="s">
        <v>3771</v>
      </c>
      <c r="F48" s="550" t="s">
        <v>3772</v>
      </c>
      <c r="G48" s="550" t="s">
        <v>347</v>
      </c>
      <c r="H48" s="550" t="s">
        <v>238</v>
      </c>
      <c r="I48" s="550" t="s">
        <v>11</v>
      </c>
      <c r="J48" s="550" t="s">
        <v>11534</v>
      </c>
      <c r="K48" s="551">
        <v>45025</v>
      </c>
      <c r="L48" s="552">
        <v>1009</v>
      </c>
      <c r="M48" s="552">
        <v>1009</v>
      </c>
      <c r="N48" s="552">
        <v>1009</v>
      </c>
      <c r="O48" s="552"/>
      <c r="P48" s="552"/>
      <c r="Q48" s="548">
        <v>9990</v>
      </c>
      <c r="R48" s="552">
        <v>10079910</v>
      </c>
      <c r="S48" s="548">
        <v>0</v>
      </c>
      <c r="T48" s="552">
        <v>0</v>
      </c>
      <c r="U48" s="548">
        <v>9990</v>
      </c>
      <c r="V48" s="552">
        <v>10079910</v>
      </c>
      <c r="W48" s="552">
        <v>0</v>
      </c>
      <c r="X48" s="552">
        <v>0</v>
      </c>
      <c r="Y48" s="552">
        <v>0</v>
      </c>
      <c r="Z48" s="552">
        <v>0</v>
      </c>
      <c r="AA48" s="552">
        <v>0</v>
      </c>
      <c r="AB48" s="552">
        <v>0</v>
      </c>
      <c r="AC48" s="552">
        <v>0</v>
      </c>
      <c r="AD48" s="552">
        <v>0</v>
      </c>
      <c r="AE48" s="552">
        <v>0</v>
      </c>
      <c r="AF48" s="552">
        <v>0</v>
      </c>
      <c r="AG48" s="552">
        <v>0</v>
      </c>
      <c r="AH48" s="552">
        <v>0</v>
      </c>
      <c r="AI48" s="552">
        <v>0</v>
      </c>
      <c r="AJ48" s="552">
        <v>0</v>
      </c>
    </row>
    <row r="49" spans="1:36" ht="15.95" customHeight="1">
      <c r="A49" s="547"/>
      <c r="B49" s="548">
        <v>66</v>
      </c>
      <c r="C49" s="549">
        <v>6670</v>
      </c>
      <c r="D49" s="550" t="s">
        <v>11532</v>
      </c>
      <c r="E49" s="550" t="s">
        <v>3771</v>
      </c>
      <c r="F49" s="550" t="s">
        <v>3772</v>
      </c>
      <c r="G49" s="550" t="s">
        <v>347</v>
      </c>
      <c r="H49" s="550" t="s">
        <v>238</v>
      </c>
      <c r="I49" s="550" t="s">
        <v>11</v>
      </c>
      <c r="J49" s="550" t="s">
        <v>11535</v>
      </c>
      <c r="K49" s="551">
        <v>45025</v>
      </c>
      <c r="L49" s="552">
        <v>1009</v>
      </c>
      <c r="M49" s="552">
        <v>1009</v>
      </c>
      <c r="N49" s="552">
        <v>1009</v>
      </c>
      <c r="O49" s="552"/>
      <c r="P49" s="552"/>
      <c r="Q49" s="548">
        <v>10980</v>
      </c>
      <c r="R49" s="552">
        <v>11078820</v>
      </c>
      <c r="S49" s="548">
        <v>3700</v>
      </c>
      <c r="T49" s="552">
        <v>3733300</v>
      </c>
      <c r="U49" s="548">
        <v>7280</v>
      </c>
      <c r="V49" s="552">
        <v>7345520</v>
      </c>
      <c r="W49" s="552">
        <v>0</v>
      </c>
      <c r="X49" s="552">
        <v>0</v>
      </c>
      <c r="Y49" s="552">
        <v>3700</v>
      </c>
      <c r="Z49" s="552">
        <v>3733300</v>
      </c>
      <c r="AA49" s="552">
        <v>3700</v>
      </c>
      <c r="AB49" s="552">
        <v>3733300</v>
      </c>
      <c r="AC49" s="552">
        <v>0</v>
      </c>
      <c r="AD49" s="552">
        <v>0</v>
      </c>
      <c r="AE49" s="552">
        <v>0</v>
      </c>
      <c r="AF49" s="552">
        <v>0</v>
      </c>
      <c r="AG49" s="552">
        <v>0</v>
      </c>
      <c r="AH49" s="552">
        <v>0</v>
      </c>
      <c r="AI49" s="552">
        <v>0</v>
      </c>
      <c r="AJ49" s="552">
        <v>0</v>
      </c>
    </row>
    <row r="50" spans="1:36" ht="15.95" customHeight="1">
      <c r="A50" s="547"/>
      <c r="B50" s="548">
        <v>72</v>
      </c>
      <c r="C50" s="549">
        <v>7187</v>
      </c>
      <c r="D50" s="550" t="s">
        <v>11536</v>
      </c>
      <c r="E50" s="550" t="s">
        <v>3777</v>
      </c>
      <c r="F50" s="550" t="s">
        <v>3778</v>
      </c>
      <c r="G50" s="550" t="s">
        <v>3779</v>
      </c>
      <c r="H50" s="550" t="s">
        <v>1915</v>
      </c>
      <c r="I50" s="550" t="s">
        <v>11</v>
      </c>
      <c r="J50" s="550" t="s">
        <v>3781</v>
      </c>
      <c r="K50" s="551">
        <v>44707</v>
      </c>
      <c r="L50" s="552">
        <v>72</v>
      </c>
      <c r="M50" s="552">
        <v>72</v>
      </c>
      <c r="N50" s="552">
        <v>72</v>
      </c>
      <c r="O50" s="552">
        <v>83</v>
      </c>
      <c r="P50" s="552">
        <v>5976</v>
      </c>
      <c r="Q50" s="548">
        <v>1</v>
      </c>
      <c r="R50" s="552">
        <v>72</v>
      </c>
      <c r="S50" s="548">
        <v>84</v>
      </c>
      <c r="T50" s="552">
        <v>6048</v>
      </c>
      <c r="U50" s="548">
        <v>0</v>
      </c>
      <c r="V50" s="552">
        <v>0</v>
      </c>
      <c r="W50" s="552">
        <v>0</v>
      </c>
      <c r="X50" s="552">
        <v>0</v>
      </c>
      <c r="Y50" s="552">
        <v>84</v>
      </c>
      <c r="Z50" s="552">
        <v>6048</v>
      </c>
      <c r="AA50" s="552">
        <v>0</v>
      </c>
      <c r="AB50" s="552">
        <v>0</v>
      </c>
      <c r="AC50" s="552">
        <v>84</v>
      </c>
      <c r="AD50" s="552">
        <v>6048</v>
      </c>
      <c r="AE50" s="552">
        <v>0</v>
      </c>
      <c r="AF50" s="552">
        <v>0</v>
      </c>
      <c r="AG50" s="552">
        <v>0</v>
      </c>
      <c r="AH50" s="552">
        <v>0</v>
      </c>
      <c r="AI50" s="552">
        <v>0</v>
      </c>
      <c r="AJ50" s="552">
        <v>0</v>
      </c>
    </row>
    <row r="51" spans="1:36" ht="15.95" customHeight="1">
      <c r="A51" s="547"/>
      <c r="B51" s="548">
        <v>73</v>
      </c>
      <c r="C51" s="549">
        <v>7187</v>
      </c>
      <c r="D51" s="550" t="s">
        <v>11536</v>
      </c>
      <c r="E51" s="550" t="s">
        <v>3777</v>
      </c>
      <c r="F51" s="550" t="s">
        <v>3778</v>
      </c>
      <c r="G51" s="550" t="s">
        <v>3779</v>
      </c>
      <c r="H51" s="550" t="s">
        <v>1915</v>
      </c>
      <c r="I51" s="550" t="s">
        <v>11</v>
      </c>
      <c r="J51" s="550" t="s">
        <v>11537</v>
      </c>
      <c r="K51" s="551">
        <v>45066</v>
      </c>
      <c r="L51" s="552">
        <v>72</v>
      </c>
      <c r="M51" s="552">
        <v>72</v>
      </c>
      <c r="N51" s="552">
        <v>72</v>
      </c>
      <c r="O51" s="552"/>
      <c r="P51" s="552"/>
      <c r="Q51" s="548">
        <v>7000</v>
      </c>
      <c r="R51" s="552">
        <v>504000</v>
      </c>
      <c r="S51" s="548">
        <v>2080</v>
      </c>
      <c r="T51" s="552">
        <v>149760</v>
      </c>
      <c r="U51" s="548">
        <v>4920</v>
      </c>
      <c r="V51" s="552">
        <v>354240</v>
      </c>
      <c r="W51" s="552">
        <v>1000</v>
      </c>
      <c r="X51" s="552">
        <v>72000</v>
      </c>
      <c r="Y51" s="552">
        <v>2080</v>
      </c>
      <c r="Z51" s="552">
        <v>149760</v>
      </c>
      <c r="AA51" s="552">
        <v>0</v>
      </c>
      <c r="AB51" s="552">
        <v>0</v>
      </c>
      <c r="AC51" s="552">
        <v>2080</v>
      </c>
      <c r="AD51" s="552">
        <v>149760</v>
      </c>
      <c r="AE51" s="552">
        <v>0</v>
      </c>
      <c r="AF51" s="552">
        <v>0</v>
      </c>
      <c r="AG51" s="552">
        <v>0</v>
      </c>
      <c r="AH51" s="552">
        <v>0</v>
      </c>
      <c r="AI51" s="552">
        <v>0</v>
      </c>
      <c r="AJ51" s="552">
        <v>0</v>
      </c>
    </row>
    <row r="52" spans="1:36" ht="15.95" customHeight="1">
      <c r="A52" s="547"/>
      <c r="B52" s="548">
        <v>74</v>
      </c>
      <c r="C52" s="549">
        <v>7187</v>
      </c>
      <c r="D52" s="550" t="s">
        <v>11536</v>
      </c>
      <c r="E52" s="550" t="s">
        <v>3777</v>
      </c>
      <c r="F52" s="550" t="s">
        <v>3778</v>
      </c>
      <c r="G52" s="550" t="s">
        <v>3779</v>
      </c>
      <c r="H52" s="550" t="s">
        <v>1915</v>
      </c>
      <c r="I52" s="550" t="s">
        <v>11</v>
      </c>
      <c r="J52" s="550" t="s">
        <v>11538</v>
      </c>
      <c r="K52" s="551">
        <v>44835</v>
      </c>
      <c r="L52" s="552">
        <v>72</v>
      </c>
      <c r="M52" s="552">
        <v>72</v>
      </c>
      <c r="N52" s="552">
        <v>72</v>
      </c>
      <c r="O52" s="552">
        <v>46145</v>
      </c>
      <c r="P52" s="552">
        <v>3322440</v>
      </c>
      <c r="Q52" s="548">
        <v>4</v>
      </c>
      <c r="R52" s="552">
        <v>288</v>
      </c>
      <c r="S52" s="548">
        <v>41373</v>
      </c>
      <c r="T52" s="552">
        <v>2978856</v>
      </c>
      <c r="U52" s="548">
        <v>4776</v>
      </c>
      <c r="V52" s="552">
        <v>343872</v>
      </c>
      <c r="W52" s="552">
        <v>13703</v>
      </c>
      <c r="X52" s="552">
        <v>986616</v>
      </c>
      <c r="Y52" s="552">
        <v>41293</v>
      </c>
      <c r="Z52" s="552">
        <v>2973096</v>
      </c>
      <c r="AA52" s="552">
        <v>28598</v>
      </c>
      <c r="AB52" s="552">
        <v>2059056</v>
      </c>
      <c r="AC52" s="552">
        <v>12695</v>
      </c>
      <c r="AD52" s="552">
        <v>914040</v>
      </c>
      <c r="AE52" s="552">
        <v>0</v>
      </c>
      <c r="AF52" s="552">
        <v>0</v>
      </c>
      <c r="AG52" s="552">
        <v>80</v>
      </c>
      <c r="AH52" s="552">
        <v>5760</v>
      </c>
      <c r="AI52" s="552">
        <v>0</v>
      </c>
      <c r="AJ52" s="552">
        <v>0</v>
      </c>
    </row>
    <row r="53" spans="1:36" ht="15.95" customHeight="1">
      <c r="A53" s="547"/>
      <c r="B53" s="548">
        <v>75</v>
      </c>
      <c r="C53" s="549">
        <v>6700</v>
      </c>
      <c r="D53" s="550" t="s">
        <v>11539</v>
      </c>
      <c r="E53" s="550" t="s">
        <v>6698</v>
      </c>
      <c r="F53" s="550" t="s">
        <v>2442</v>
      </c>
      <c r="G53" s="550" t="s">
        <v>706</v>
      </c>
      <c r="H53" s="550" t="s">
        <v>369</v>
      </c>
      <c r="I53" s="550" t="s">
        <v>11</v>
      </c>
      <c r="J53" s="550" t="s">
        <v>11540</v>
      </c>
      <c r="K53" s="551">
        <v>45047</v>
      </c>
      <c r="L53" s="552">
        <v>2680</v>
      </c>
      <c r="M53" s="552">
        <v>2680</v>
      </c>
      <c r="N53" s="552">
        <v>2680</v>
      </c>
      <c r="O53" s="552"/>
      <c r="P53" s="552"/>
      <c r="Q53" s="548">
        <v>9996</v>
      </c>
      <c r="R53" s="552">
        <v>26789280</v>
      </c>
      <c r="S53" s="548">
        <v>602</v>
      </c>
      <c r="T53" s="552">
        <v>1613360</v>
      </c>
      <c r="U53" s="548">
        <v>9394</v>
      </c>
      <c r="V53" s="552">
        <v>25175920</v>
      </c>
      <c r="W53" s="552">
        <v>0</v>
      </c>
      <c r="X53" s="552">
        <v>0</v>
      </c>
      <c r="Y53" s="552">
        <v>602</v>
      </c>
      <c r="Z53" s="552">
        <v>1613360</v>
      </c>
      <c r="AA53" s="552">
        <v>602</v>
      </c>
      <c r="AB53" s="552">
        <v>1613360</v>
      </c>
      <c r="AC53" s="552">
        <v>0</v>
      </c>
      <c r="AD53" s="552">
        <v>0</v>
      </c>
      <c r="AE53" s="552">
        <v>0</v>
      </c>
      <c r="AF53" s="552">
        <v>0</v>
      </c>
      <c r="AG53" s="552">
        <v>0</v>
      </c>
      <c r="AH53" s="552">
        <v>0</v>
      </c>
      <c r="AI53" s="552">
        <v>0</v>
      </c>
      <c r="AJ53" s="552">
        <v>0</v>
      </c>
    </row>
    <row r="54" spans="1:36" ht="15.95" customHeight="1">
      <c r="A54" s="547"/>
      <c r="B54" s="548">
        <v>76</v>
      </c>
      <c r="C54" s="549">
        <v>4360</v>
      </c>
      <c r="D54" s="550" t="s">
        <v>11541</v>
      </c>
      <c r="E54" s="550" t="s">
        <v>3782</v>
      </c>
      <c r="F54" s="550" t="s">
        <v>2443</v>
      </c>
      <c r="G54" s="550" t="s">
        <v>363</v>
      </c>
      <c r="H54" s="550" t="s">
        <v>2444</v>
      </c>
      <c r="I54" s="550" t="s">
        <v>11</v>
      </c>
      <c r="J54" s="550" t="s">
        <v>3783</v>
      </c>
      <c r="K54" s="551">
        <v>44352</v>
      </c>
      <c r="L54" s="552">
        <v>900</v>
      </c>
      <c r="M54" s="552">
        <v>900</v>
      </c>
      <c r="N54" s="552">
        <v>900</v>
      </c>
      <c r="O54" s="552">
        <v>20</v>
      </c>
      <c r="P54" s="552">
        <v>18000</v>
      </c>
      <c r="Q54" s="548">
        <v>0</v>
      </c>
      <c r="R54" s="552">
        <v>0</v>
      </c>
      <c r="S54" s="548">
        <v>20</v>
      </c>
      <c r="T54" s="552">
        <v>18000</v>
      </c>
      <c r="U54" s="548">
        <v>0</v>
      </c>
      <c r="V54" s="552">
        <v>0</v>
      </c>
      <c r="W54" s="552">
        <v>82</v>
      </c>
      <c r="X54" s="552">
        <v>73800</v>
      </c>
      <c r="Y54" s="552">
        <v>0</v>
      </c>
      <c r="Z54" s="552">
        <v>0</v>
      </c>
      <c r="AA54" s="552">
        <v>0</v>
      </c>
      <c r="AB54" s="552">
        <v>0</v>
      </c>
      <c r="AC54" s="552">
        <v>0</v>
      </c>
      <c r="AD54" s="552">
        <v>0</v>
      </c>
      <c r="AE54" s="552">
        <v>0</v>
      </c>
      <c r="AF54" s="552">
        <v>0</v>
      </c>
      <c r="AG54" s="552">
        <v>20</v>
      </c>
      <c r="AH54" s="552">
        <v>18000</v>
      </c>
      <c r="AI54" s="552">
        <v>0</v>
      </c>
      <c r="AJ54" s="552">
        <v>0</v>
      </c>
    </row>
    <row r="55" spans="1:36" ht="15.95" customHeight="1">
      <c r="A55" s="547"/>
      <c r="B55" s="548">
        <v>81</v>
      </c>
      <c r="C55" s="549">
        <v>7822</v>
      </c>
      <c r="D55" s="550" t="s">
        <v>11542</v>
      </c>
      <c r="E55" s="550" t="s">
        <v>4108</v>
      </c>
      <c r="F55" s="550" t="s">
        <v>11543</v>
      </c>
      <c r="G55" s="550" t="s">
        <v>1982</v>
      </c>
      <c r="H55" s="550" t="s">
        <v>7881</v>
      </c>
      <c r="I55" s="550" t="s">
        <v>12</v>
      </c>
      <c r="J55" s="550" t="s">
        <v>11544</v>
      </c>
      <c r="K55" s="551">
        <v>44854</v>
      </c>
      <c r="L55" s="552">
        <v>2690</v>
      </c>
      <c r="M55" s="552">
        <v>2690</v>
      </c>
      <c r="N55" s="552">
        <v>2690</v>
      </c>
      <c r="O55" s="552"/>
      <c r="P55" s="552"/>
      <c r="Q55" s="548">
        <v>10000</v>
      </c>
      <c r="R55" s="552">
        <v>26900000</v>
      </c>
      <c r="S55" s="548">
        <v>6653</v>
      </c>
      <c r="T55" s="552">
        <v>17896570</v>
      </c>
      <c r="U55" s="548">
        <v>3347</v>
      </c>
      <c r="V55" s="552">
        <v>9003430</v>
      </c>
      <c r="W55" s="552">
        <v>163</v>
      </c>
      <c r="X55" s="552">
        <v>438470</v>
      </c>
      <c r="Y55" s="552">
        <v>6653</v>
      </c>
      <c r="Z55" s="552">
        <v>17896570</v>
      </c>
      <c r="AA55" s="552">
        <v>6453</v>
      </c>
      <c r="AB55" s="552">
        <v>17358570</v>
      </c>
      <c r="AC55" s="552">
        <v>200</v>
      </c>
      <c r="AD55" s="552">
        <v>538000</v>
      </c>
      <c r="AE55" s="552">
        <v>0</v>
      </c>
      <c r="AF55" s="552">
        <v>0</v>
      </c>
      <c r="AG55" s="552">
        <v>0</v>
      </c>
      <c r="AH55" s="552">
        <v>0</v>
      </c>
      <c r="AI55" s="552">
        <v>0</v>
      </c>
      <c r="AJ55" s="552">
        <v>0</v>
      </c>
    </row>
    <row r="56" spans="1:36" ht="15.95" customHeight="1">
      <c r="A56" s="547"/>
      <c r="B56" s="548">
        <v>82</v>
      </c>
      <c r="C56" s="549">
        <v>6676</v>
      </c>
      <c r="D56" s="550" t="s">
        <v>11545</v>
      </c>
      <c r="E56" s="550" t="s">
        <v>3784</v>
      </c>
      <c r="F56" s="550" t="s">
        <v>3785</v>
      </c>
      <c r="G56" s="550" t="s">
        <v>365</v>
      </c>
      <c r="H56" s="550" t="s">
        <v>238</v>
      </c>
      <c r="I56" s="550" t="s">
        <v>11</v>
      </c>
      <c r="J56" s="550" t="s">
        <v>11546</v>
      </c>
      <c r="K56" s="551">
        <v>45091</v>
      </c>
      <c r="L56" s="552">
        <v>128</v>
      </c>
      <c r="M56" s="552">
        <v>128</v>
      </c>
      <c r="N56" s="552">
        <v>128</v>
      </c>
      <c r="O56" s="552"/>
      <c r="P56" s="552"/>
      <c r="Q56" s="548">
        <v>5000</v>
      </c>
      <c r="R56" s="552">
        <v>640000</v>
      </c>
      <c r="S56" s="548">
        <v>4996</v>
      </c>
      <c r="T56" s="552">
        <v>639488</v>
      </c>
      <c r="U56" s="548">
        <v>4</v>
      </c>
      <c r="V56" s="552">
        <v>512</v>
      </c>
      <c r="W56" s="552">
        <v>0</v>
      </c>
      <c r="X56" s="552">
        <v>0</v>
      </c>
      <c r="Y56" s="552">
        <v>4996</v>
      </c>
      <c r="Z56" s="552">
        <v>639488</v>
      </c>
      <c r="AA56" s="552">
        <v>4996</v>
      </c>
      <c r="AB56" s="552">
        <v>639488</v>
      </c>
      <c r="AC56" s="552">
        <v>0</v>
      </c>
      <c r="AD56" s="552">
        <v>0</v>
      </c>
      <c r="AE56" s="552">
        <v>0</v>
      </c>
      <c r="AF56" s="552">
        <v>0</v>
      </c>
      <c r="AG56" s="552">
        <v>0</v>
      </c>
      <c r="AH56" s="552">
        <v>0</v>
      </c>
      <c r="AI56" s="552">
        <v>0</v>
      </c>
      <c r="AJ56" s="552">
        <v>0</v>
      </c>
    </row>
    <row r="57" spans="1:36" ht="15.95" customHeight="1">
      <c r="A57" s="547"/>
      <c r="B57" s="548">
        <v>85</v>
      </c>
      <c r="C57" s="549">
        <v>5335</v>
      </c>
      <c r="D57" s="550"/>
      <c r="E57" s="550" t="s">
        <v>3786</v>
      </c>
      <c r="F57" s="550" t="s">
        <v>1722</v>
      </c>
      <c r="G57" s="550" t="s">
        <v>3787</v>
      </c>
      <c r="H57" s="550" t="s">
        <v>1723</v>
      </c>
      <c r="I57" s="550" t="s">
        <v>520</v>
      </c>
      <c r="J57" s="550" t="s">
        <v>3788</v>
      </c>
      <c r="K57" s="551">
        <v>44384</v>
      </c>
      <c r="L57" s="552">
        <v>500</v>
      </c>
      <c r="M57" s="552">
        <v>500</v>
      </c>
      <c r="N57" s="552">
        <v>500</v>
      </c>
      <c r="O57" s="552">
        <v>2430</v>
      </c>
      <c r="P57" s="552">
        <v>1215000</v>
      </c>
      <c r="Q57" s="548">
        <v>0</v>
      </c>
      <c r="R57" s="552">
        <v>0</v>
      </c>
      <c r="S57" s="548">
        <v>2430</v>
      </c>
      <c r="T57" s="552">
        <v>1215000</v>
      </c>
      <c r="U57" s="548">
        <v>0</v>
      </c>
      <c r="V57" s="552">
        <v>0</v>
      </c>
      <c r="W57" s="552">
        <v>0</v>
      </c>
      <c r="X57" s="552">
        <v>0</v>
      </c>
      <c r="Y57" s="552">
        <v>43</v>
      </c>
      <c r="Z57" s="552">
        <v>21500</v>
      </c>
      <c r="AA57" s="552">
        <v>0</v>
      </c>
      <c r="AB57" s="552">
        <v>0</v>
      </c>
      <c r="AC57" s="552">
        <v>43</v>
      </c>
      <c r="AD57" s="552">
        <v>21500</v>
      </c>
      <c r="AE57" s="552">
        <v>0</v>
      </c>
      <c r="AF57" s="552">
        <v>0</v>
      </c>
      <c r="AG57" s="552">
        <v>2387</v>
      </c>
      <c r="AH57" s="552">
        <v>1193500</v>
      </c>
      <c r="AI57" s="552">
        <v>0</v>
      </c>
      <c r="AJ57" s="552">
        <v>0</v>
      </c>
    </row>
    <row r="58" spans="1:36" ht="15.95" customHeight="1">
      <c r="A58" s="547"/>
      <c r="B58" s="548">
        <v>88</v>
      </c>
      <c r="C58" s="549">
        <v>6745</v>
      </c>
      <c r="D58" s="550" t="s">
        <v>11547</v>
      </c>
      <c r="E58" s="550" t="s">
        <v>3789</v>
      </c>
      <c r="F58" s="550" t="s">
        <v>1847</v>
      </c>
      <c r="G58" s="550" t="s">
        <v>3790</v>
      </c>
      <c r="H58" s="550" t="s">
        <v>272</v>
      </c>
      <c r="I58" s="550" t="s">
        <v>11</v>
      </c>
      <c r="J58" s="550" t="s">
        <v>3791</v>
      </c>
      <c r="K58" s="551">
        <v>44525</v>
      </c>
      <c r="L58" s="552">
        <v>2550</v>
      </c>
      <c r="M58" s="552">
        <v>2550</v>
      </c>
      <c r="N58" s="552">
        <v>2550</v>
      </c>
      <c r="O58" s="552"/>
      <c r="P58" s="552"/>
      <c r="Q58" s="548">
        <v>300</v>
      </c>
      <c r="R58" s="552">
        <v>765000</v>
      </c>
      <c r="S58" s="548">
        <v>300</v>
      </c>
      <c r="T58" s="552">
        <v>765000</v>
      </c>
      <c r="U58" s="548">
        <v>0</v>
      </c>
      <c r="V58" s="552">
        <v>0</v>
      </c>
      <c r="W58" s="552">
        <v>351</v>
      </c>
      <c r="X58" s="552">
        <v>895050</v>
      </c>
      <c r="Y58" s="552">
        <v>300</v>
      </c>
      <c r="Z58" s="552">
        <v>765000</v>
      </c>
      <c r="AA58" s="552">
        <v>0</v>
      </c>
      <c r="AB58" s="552">
        <v>0</v>
      </c>
      <c r="AC58" s="552">
        <v>300</v>
      </c>
      <c r="AD58" s="552">
        <v>765000</v>
      </c>
      <c r="AE58" s="552">
        <v>0</v>
      </c>
      <c r="AF58" s="552">
        <v>0</v>
      </c>
      <c r="AG58" s="552">
        <v>0</v>
      </c>
      <c r="AH58" s="552">
        <v>0</v>
      </c>
      <c r="AI58" s="552">
        <v>0</v>
      </c>
      <c r="AJ58" s="552">
        <v>0</v>
      </c>
    </row>
    <row r="59" spans="1:36" ht="15.95" customHeight="1">
      <c r="A59" s="547"/>
      <c r="B59" s="548">
        <v>89</v>
      </c>
      <c r="C59" s="549">
        <v>7591</v>
      </c>
      <c r="D59" s="550" t="s">
        <v>11548</v>
      </c>
      <c r="E59" s="550" t="s">
        <v>7731</v>
      </c>
      <c r="F59" s="550" t="s">
        <v>1124</v>
      </c>
      <c r="G59" s="550" t="s">
        <v>313</v>
      </c>
      <c r="H59" s="550" t="s">
        <v>310</v>
      </c>
      <c r="I59" s="550" t="s">
        <v>11</v>
      </c>
      <c r="J59" s="550" t="s">
        <v>11549</v>
      </c>
      <c r="K59" s="551">
        <v>45198</v>
      </c>
      <c r="L59" s="552">
        <v>6490</v>
      </c>
      <c r="M59" s="552">
        <v>6490</v>
      </c>
      <c r="N59" s="552">
        <v>6490</v>
      </c>
      <c r="O59" s="552"/>
      <c r="P59" s="552"/>
      <c r="Q59" s="548">
        <v>420</v>
      </c>
      <c r="R59" s="552">
        <v>2725800</v>
      </c>
      <c r="S59" s="548">
        <v>420</v>
      </c>
      <c r="T59" s="552">
        <v>2725800</v>
      </c>
      <c r="U59" s="548">
        <v>0</v>
      </c>
      <c r="V59" s="552">
        <v>0</v>
      </c>
      <c r="W59" s="552">
        <v>253</v>
      </c>
      <c r="X59" s="552">
        <v>1641970</v>
      </c>
      <c r="Y59" s="552">
        <v>420</v>
      </c>
      <c r="Z59" s="552">
        <v>2725800</v>
      </c>
      <c r="AA59" s="552">
        <v>0</v>
      </c>
      <c r="AB59" s="552">
        <v>0</v>
      </c>
      <c r="AC59" s="552">
        <v>420</v>
      </c>
      <c r="AD59" s="552">
        <v>2725800</v>
      </c>
      <c r="AE59" s="552">
        <v>0</v>
      </c>
      <c r="AF59" s="552">
        <v>0</v>
      </c>
      <c r="AG59" s="552">
        <v>0</v>
      </c>
      <c r="AH59" s="552">
        <v>0</v>
      </c>
      <c r="AI59" s="552">
        <v>0</v>
      </c>
      <c r="AJ59" s="552">
        <v>0</v>
      </c>
    </row>
    <row r="60" spans="1:36" ht="15.95" customHeight="1">
      <c r="A60" s="547"/>
      <c r="B60" s="548">
        <v>92</v>
      </c>
      <c r="C60" s="549">
        <v>6975</v>
      </c>
      <c r="D60" s="550" t="s">
        <v>11550</v>
      </c>
      <c r="E60" s="550" t="s">
        <v>4342</v>
      </c>
      <c r="F60" s="550" t="s">
        <v>7652</v>
      </c>
      <c r="G60" s="550" t="s">
        <v>750</v>
      </c>
      <c r="H60" s="550" t="s">
        <v>7651</v>
      </c>
      <c r="I60" s="550" t="s">
        <v>12</v>
      </c>
      <c r="J60" s="550" t="s">
        <v>11551</v>
      </c>
      <c r="K60" s="551">
        <v>44994</v>
      </c>
      <c r="L60" s="552">
        <v>1800</v>
      </c>
      <c r="M60" s="552">
        <v>1800</v>
      </c>
      <c r="N60" s="552">
        <v>1800</v>
      </c>
      <c r="O60" s="552"/>
      <c r="P60" s="552"/>
      <c r="Q60" s="548">
        <v>150</v>
      </c>
      <c r="R60" s="552">
        <v>270000</v>
      </c>
      <c r="S60" s="548">
        <v>150</v>
      </c>
      <c r="T60" s="552">
        <v>270000</v>
      </c>
      <c r="U60" s="548">
        <v>0</v>
      </c>
      <c r="V60" s="552">
        <v>0</v>
      </c>
      <c r="W60" s="552">
        <v>150</v>
      </c>
      <c r="X60" s="552">
        <v>270000</v>
      </c>
      <c r="Y60" s="552">
        <v>150</v>
      </c>
      <c r="Z60" s="552">
        <v>270000</v>
      </c>
      <c r="AA60" s="552">
        <v>0</v>
      </c>
      <c r="AB60" s="552">
        <v>0</v>
      </c>
      <c r="AC60" s="552">
        <v>150</v>
      </c>
      <c r="AD60" s="552">
        <v>270000</v>
      </c>
      <c r="AE60" s="552">
        <v>0</v>
      </c>
      <c r="AF60" s="552">
        <v>0</v>
      </c>
      <c r="AG60" s="552">
        <v>0</v>
      </c>
      <c r="AH60" s="552">
        <v>0</v>
      </c>
      <c r="AI60" s="552">
        <v>0</v>
      </c>
      <c r="AJ60" s="552">
        <v>0</v>
      </c>
    </row>
    <row r="61" spans="1:36" ht="15.95" customHeight="1">
      <c r="A61" s="547"/>
      <c r="B61" s="548">
        <v>93</v>
      </c>
      <c r="C61" s="549">
        <v>6975</v>
      </c>
      <c r="D61" s="550" t="s">
        <v>11550</v>
      </c>
      <c r="E61" s="550" t="s">
        <v>4342</v>
      </c>
      <c r="F61" s="550" t="s">
        <v>7652</v>
      </c>
      <c r="G61" s="550" t="s">
        <v>750</v>
      </c>
      <c r="H61" s="550" t="s">
        <v>7651</v>
      </c>
      <c r="I61" s="550" t="s">
        <v>12</v>
      </c>
      <c r="J61" s="550" t="s">
        <v>11552</v>
      </c>
      <c r="K61" s="551">
        <v>45075</v>
      </c>
      <c r="L61" s="552">
        <v>1800</v>
      </c>
      <c r="M61" s="552">
        <v>1800</v>
      </c>
      <c r="N61" s="552">
        <v>1800</v>
      </c>
      <c r="O61" s="552"/>
      <c r="P61" s="552"/>
      <c r="Q61" s="548">
        <v>450</v>
      </c>
      <c r="R61" s="552">
        <v>810000</v>
      </c>
      <c r="S61" s="548">
        <v>450</v>
      </c>
      <c r="T61" s="552">
        <v>810000</v>
      </c>
      <c r="U61" s="548">
        <v>0</v>
      </c>
      <c r="V61" s="552">
        <v>0</v>
      </c>
      <c r="W61" s="552">
        <v>55</v>
      </c>
      <c r="X61" s="552">
        <v>99000</v>
      </c>
      <c r="Y61" s="552">
        <v>450</v>
      </c>
      <c r="Z61" s="552">
        <v>810000</v>
      </c>
      <c r="AA61" s="552">
        <v>0</v>
      </c>
      <c r="AB61" s="552">
        <v>0</v>
      </c>
      <c r="AC61" s="552">
        <v>450</v>
      </c>
      <c r="AD61" s="552">
        <v>810000</v>
      </c>
      <c r="AE61" s="552">
        <v>0</v>
      </c>
      <c r="AF61" s="552">
        <v>0</v>
      </c>
      <c r="AG61" s="552">
        <v>0</v>
      </c>
      <c r="AH61" s="552">
        <v>0</v>
      </c>
      <c r="AI61" s="552">
        <v>0</v>
      </c>
      <c r="AJ61" s="552">
        <v>0</v>
      </c>
    </row>
    <row r="62" spans="1:36" ht="15.95" customHeight="1">
      <c r="A62" s="547"/>
      <c r="B62" s="548">
        <v>99</v>
      </c>
      <c r="C62" s="549">
        <v>7195</v>
      </c>
      <c r="D62" s="550" t="s">
        <v>11553</v>
      </c>
      <c r="E62" s="550" t="s">
        <v>3794</v>
      </c>
      <c r="F62" s="550" t="s">
        <v>3795</v>
      </c>
      <c r="G62" s="550" t="s">
        <v>2449</v>
      </c>
      <c r="H62" s="550" t="s">
        <v>238</v>
      </c>
      <c r="I62" s="550" t="s">
        <v>11</v>
      </c>
      <c r="J62" s="550" t="s">
        <v>3796</v>
      </c>
      <c r="K62" s="551">
        <v>44659</v>
      </c>
      <c r="L62" s="552">
        <v>490</v>
      </c>
      <c r="M62" s="552">
        <v>490</v>
      </c>
      <c r="N62" s="552">
        <v>490</v>
      </c>
      <c r="O62" s="552">
        <v>2547</v>
      </c>
      <c r="P62" s="552">
        <v>1248030</v>
      </c>
      <c r="Q62" s="548">
        <v>0</v>
      </c>
      <c r="R62" s="552">
        <v>0</v>
      </c>
      <c r="S62" s="548">
        <v>2547</v>
      </c>
      <c r="T62" s="552">
        <v>1248030</v>
      </c>
      <c r="U62" s="548">
        <v>0</v>
      </c>
      <c r="V62" s="552">
        <v>0</v>
      </c>
      <c r="W62" s="552">
        <v>0</v>
      </c>
      <c r="X62" s="552">
        <v>0</v>
      </c>
      <c r="Y62" s="552">
        <v>2547</v>
      </c>
      <c r="Z62" s="552">
        <v>1248030</v>
      </c>
      <c r="AA62" s="552">
        <v>2547</v>
      </c>
      <c r="AB62" s="552">
        <v>1248030</v>
      </c>
      <c r="AC62" s="552">
        <v>0</v>
      </c>
      <c r="AD62" s="552">
        <v>0</v>
      </c>
      <c r="AE62" s="552">
        <v>0</v>
      </c>
      <c r="AF62" s="552">
        <v>0</v>
      </c>
      <c r="AG62" s="552">
        <v>0</v>
      </c>
      <c r="AH62" s="552">
        <v>0</v>
      </c>
      <c r="AI62" s="552">
        <v>0</v>
      </c>
      <c r="AJ62" s="552">
        <v>0</v>
      </c>
    </row>
    <row r="63" spans="1:36" ht="15.95" customHeight="1">
      <c r="A63" s="547"/>
      <c r="B63" s="548">
        <v>100</v>
      </c>
      <c r="C63" s="549">
        <v>7195</v>
      </c>
      <c r="D63" s="550" t="s">
        <v>11553</v>
      </c>
      <c r="E63" s="550" t="s">
        <v>3794</v>
      </c>
      <c r="F63" s="550" t="s">
        <v>3795</v>
      </c>
      <c r="G63" s="550" t="s">
        <v>2449</v>
      </c>
      <c r="H63" s="550" t="s">
        <v>238</v>
      </c>
      <c r="I63" s="550" t="s">
        <v>11</v>
      </c>
      <c r="J63" s="550" t="s">
        <v>3797</v>
      </c>
      <c r="K63" s="551">
        <v>44700</v>
      </c>
      <c r="L63" s="552">
        <v>490</v>
      </c>
      <c r="M63" s="552">
        <v>490</v>
      </c>
      <c r="N63" s="552">
        <v>490</v>
      </c>
      <c r="O63" s="552">
        <v>1440</v>
      </c>
      <c r="P63" s="552">
        <v>705600</v>
      </c>
      <c r="Q63" s="548">
        <v>0</v>
      </c>
      <c r="R63" s="552">
        <v>0</v>
      </c>
      <c r="S63" s="548">
        <v>272</v>
      </c>
      <c r="T63" s="552">
        <v>133280</v>
      </c>
      <c r="U63" s="548">
        <v>1168</v>
      </c>
      <c r="V63" s="552">
        <v>572320</v>
      </c>
      <c r="W63" s="552">
        <v>0</v>
      </c>
      <c r="X63" s="552">
        <v>0</v>
      </c>
      <c r="Y63" s="552">
        <v>272</v>
      </c>
      <c r="Z63" s="552">
        <v>133280</v>
      </c>
      <c r="AA63" s="552">
        <v>272</v>
      </c>
      <c r="AB63" s="552">
        <v>133280</v>
      </c>
      <c r="AC63" s="552">
        <v>0</v>
      </c>
      <c r="AD63" s="552">
        <v>0</v>
      </c>
      <c r="AE63" s="552">
        <v>0</v>
      </c>
      <c r="AF63" s="552">
        <v>0</v>
      </c>
      <c r="AG63" s="552">
        <v>0</v>
      </c>
      <c r="AH63" s="552">
        <v>0</v>
      </c>
      <c r="AI63" s="552">
        <v>0</v>
      </c>
      <c r="AJ63" s="552">
        <v>0</v>
      </c>
    </row>
    <row r="64" spans="1:36" ht="15.95" customHeight="1">
      <c r="A64" s="547"/>
      <c r="B64" s="548">
        <v>101</v>
      </c>
      <c r="C64" s="549">
        <v>7198</v>
      </c>
      <c r="D64" s="550" t="s">
        <v>11554</v>
      </c>
      <c r="E64" s="550" t="s">
        <v>6950</v>
      </c>
      <c r="F64" s="550" t="s">
        <v>6951</v>
      </c>
      <c r="G64" s="550" t="s">
        <v>695</v>
      </c>
      <c r="H64" s="550" t="s">
        <v>697</v>
      </c>
      <c r="I64" s="550" t="s">
        <v>520</v>
      </c>
      <c r="J64" s="550" t="s">
        <v>4291</v>
      </c>
      <c r="K64" s="551">
        <v>45138</v>
      </c>
      <c r="L64" s="552">
        <v>2440</v>
      </c>
      <c r="M64" s="552">
        <v>2440</v>
      </c>
      <c r="N64" s="552">
        <v>2440</v>
      </c>
      <c r="O64" s="552"/>
      <c r="P64" s="552"/>
      <c r="Q64" s="548">
        <v>1000</v>
      </c>
      <c r="R64" s="552">
        <v>2440000</v>
      </c>
      <c r="S64" s="548">
        <v>1000</v>
      </c>
      <c r="T64" s="552">
        <v>2440000</v>
      </c>
      <c r="U64" s="548">
        <v>0</v>
      </c>
      <c r="V64" s="552">
        <v>0</v>
      </c>
      <c r="W64" s="552">
        <v>0</v>
      </c>
      <c r="X64" s="552">
        <v>0</v>
      </c>
      <c r="Y64" s="552">
        <v>1000</v>
      </c>
      <c r="Z64" s="552">
        <v>2440000</v>
      </c>
      <c r="AA64" s="552">
        <v>0</v>
      </c>
      <c r="AB64" s="552">
        <v>0</v>
      </c>
      <c r="AC64" s="552">
        <v>1000</v>
      </c>
      <c r="AD64" s="552">
        <v>2440000</v>
      </c>
      <c r="AE64" s="552">
        <v>0</v>
      </c>
      <c r="AF64" s="552">
        <v>0</v>
      </c>
      <c r="AG64" s="552">
        <v>0</v>
      </c>
      <c r="AH64" s="552">
        <v>0</v>
      </c>
      <c r="AI64" s="552">
        <v>0</v>
      </c>
      <c r="AJ64" s="552">
        <v>0</v>
      </c>
    </row>
    <row r="65" spans="1:36" ht="15.95" customHeight="1">
      <c r="A65" s="547"/>
      <c r="B65" s="548">
        <v>102</v>
      </c>
      <c r="C65" s="549">
        <v>6786</v>
      </c>
      <c r="D65" s="550" t="s">
        <v>11555</v>
      </c>
      <c r="E65" s="550" t="s">
        <v>3800</v>
      </c>
      <c r="F65" s="550" t="s">
        <v>3801</v>
      </c>
      <c r="G65" s="550" t="s">
        <v>2454</v>
      </c>
      <c r="H65" s="550" t="s">
        <v>3802</v>
      </c>
      <c r="I65" s="550" t="s">
        <v>3803</v>
      </c>
      <c r="J65" s="550" t="s">
        <v>11556</v>
      </c>
      <c r="K65" s="551">
        <v>44792</v>
      </c>
      <c r="L65" s="552">
        <v>132323</v>
      </c>
      <c r="M65" s="552">
        <v>132323</v>
      </c>
      <c r="N65" s="552">
        <v>132323</v>
      </c>
      <c r="O65" s="552"/>
      <c r="P65" s="552"/>
      <c r="Q65" s="548">
        <v>200</v>
      </c>
      <c r="R65" s="552">
        <v>26464600</v>
      </c>
      <c r="S65" s="548">
        <v>62</v>
      </c>
      <c r="T65" s="552">
        <v>8204026</v>
      </c>
      <c r="U65" s="548">
        <v>138</v>
      </c>
      <c r="V65" s="552">
        <v>18260574</v>
      </c>
      <c r="W65" s="552">
        <v>0</v>
      </c>
      <c r="X65" s="552">
        <v>0</v>
      </c>
      <c r="Y65" s="552">
        <v>62</v>
      </c>
      <c r="Z65" s="552">
        <v>8204026</v>
      </c>
      <c r="AA65" s="552">
        <v>62</v>
      </c>
      <c r="AB65" s="552">
        <v>8204026</v>
      </c>
      <c r="AC65" s="552">
        <v>0</v>
      </c>
      <c r="AD65" s="552">
        <v>0</v>
      </c>
      <c r="AE65" s="552">
        <v>0</v>
      </c>
      <c r="AF65" s="552">
        <v>0</v>
      </c>
      <c r="AG65" s="552">
        <v>0</v>
      </c>
      <c r="AH65" s="552">
        <v>0</v>
      </c>
      <c r="AI65" s="552">
        <v>0</v>
      </c>
      <c r="AJ65" s="552">
        <v>0</v>
      </c>
    </row>
    <row r="66" spans="1:36" ht="15.95" customHeight="1">
      <c r="A66" s="547"/>
      <c r="B66" s="548">
        <v>103</v>
      </c>
      <c r="C66" s="549">
        <v>6786</v>
      </c>
      <c r="D66" s="550" t="s">
        <v>11555</v>
      </c>
      <c r="E66" s="550" t="s">
        <v>3800</v>
      </c>
      <c r="F66" s="550" t="s">
        <v>3801</v>
      </c>
      <c r="G66" s="550" t="s">
        <v>2454</v>
      </c>
      <c r="H66" s="550" t="s">
        <v>3802</v>
      </c>
      <c r="I66" s="550" t="s">
        <v>3803</v>
      </c>
      <c r="J66" s="550" t="s">
        <v>3804</v>
      </c>
      <c r="K66" s="551">
        <v>44452</v>
      </c>
      <c r="L66" s="552">
        <v>132323</v>
      </c>
      <c r="M66" s="552">
        <v>132323</v>
      </c>
      <c r="N66" s="552">
        <v>132323</v>
      </c>
      <c r="O66" s="552">
        <v>147</v>
      </c>
      <c r="P66" s="552">
        <v>19451481</v>
      </c>
      <c r="Q66" s="548">
        <v>1</v>
      </c>
      <c r="R66" s="552">
        <v>132323</v>
      </c>
      <c r="S66" s="548">
        <v>148</v>
      </c>
      <c r="T66" s="552">
        <v>19583804</v>
      </c>
      <c r="U66" s="548">
        <v>0</v>
      </c>
      <c r="V66" s="552">
        <v>0</v>
      </c>
      <c r="W66" s="552">
        <v>0</v>
      </c>
      <c r="X66" s="552">
        <v>0</v>
      </c>
      <c r="Y66" s="552">
        <v>148</v>
      </c>
      <c r="Z66" s="552">
        <v>19583804</v>
      </c>
      <c r="AA66" s="552">
        <v>146</v>
      </c>
      <c r="AB66" s="552">
        <v>19319158</v>
      </c>
      <c r="AC66" s="552">
        <v>2</v>
      </c>
      <c r="AD66" s="552">
        <v>264646</v>
      </c>
      <c r="AE66" s="552">
        <v>0</v>
      </c>
      <c r="AF66" s="552">
        <v>0</v>
      </c>
      <c r="AG66" s="552">
        <v>0</v>
      </c>
      <c r="AH66" s="552">
        <v>0</v>
      </c>
      <c r="AI66" s="552">
        <v>0</v>
      </c>
      <c r="AJ66" s="552">
        <v>0</v>
      </c>
    </row>
    <row r="67" spans="1:36" ht="15.95" customHeight="1">
      <c r="A67" s="547"/>
      <c r="B67" s="548">
        <v>104</v>
      </c>
      <c r="C67" s="549">
        <v>6787</v>
      </c>
      <c r="D67" s="550" t="s">
        <v>11557</v>
      </c>
      <c r="E67" s="550" t="s">
        <v>8360</v>
      </c>
      <c r="F67" s="550" t="s">
        <v>8362</v>
      </c>
      <c r="G67" s="550" t="s">
        <v>2454</v>
      </c>
      <c r="H67" s="550" t="s">
        <v>8361</v>
      </c>
      <c r="I67" s="550" t="s">
        <v>658</v>
      </c>
      <c r="J67" s="550" t="s">
        <v>11558</v>
      </c>
      <c r="K67" s="551">
        <v>45824</v>
      </c>
      <c r="L67" s="552">
        <v>96870</v>
      </c>
      <c r="M67" s="552">
        <v>96870</v>
      </c>
      <c r="N67" s="552">
        <v>96870</v>
      </c>
      <c r="O67" s="552"/>
      <c r="P67" s="552"/>
      <c r="Q67" s="548">
        <v>50</v>
      </c>
      <c r="R67" s="552">
        <v>4843500</v>
      </c>
      <c r="S67" s="548">
        <v>0</v>
      </c>
      <c r="T67" s="552">
        <v>0</v>
      </c>
      <c r="U67" s="548">
        <v>50</v>
      </c>
      <c r="V67" s="552">
        <v>4843500</v>
      </c>
      <c r="W67" s="552">
        <v>0</v>
      </c>
      <c r="X67" s="552">
        <v>0</v>
      </c>
      <c r="Y67" s="552">
        <v>0</v>
      </c>
      <c r="Z67" s="552">
        <v>0</v>
      </c>
      <c r="AA67" s="552">
        <v>0</v>
      </c>
      <c r="AB67" s="552">
        <v>0</v>
      </c>
      <c r="AC67" s="552">
        <v>0</v>
      </c>
      <c r="AD67" s="552">
        <v>0</v>
      </c>
      <c r="AE67" s="552">
        <v>0</v>
      </c>
      <c r="AF67" s="552">
        <v>0</v>
      </c>
      <c r="AG67" s="552">
        <v>0</v>
      </c>
      <c r="AH67" s="552">
        <v>0</v>
      </c>
      <c r="AI67" s="552">
        <v>0</v>
      </c>
      <c r="AJ67" s="552">
        <v>0</v>
      </c>
    </row>
    <row r="68" spans="1:36" ht="15.95" customHeight="1">
      <c r="A68" s="547"/>
      <c r="B68" s="548">
        <v>105</v>
      </c>
      <c r="C68" s="549">
        <v>5946</v>
      </c>
      <c r="D68" s="550"/>
      <c r="E68" s="550" t="s">
        <v>3806</v>
      </c>
      <c r="F68" s="550" t="s">
        <v>1495</v>
      </c>
      <c r="G68" s="550" t="s">
        <v>1494</v>
      </c>
      <c r="H68" s="550" t="s">
        <v>1496</v>
      </c>
      <c r="I68" s="550" t="s">
        <v>10</v>
      </c>
      <c r="J68" s="550" t="s">
        <v>3807</v>
      </c>
      <c r="K68" s="551">
        <v>44427</v>
      </c>
      <c r="L68" s="552">
        <v>3780</v>
      </c>
      <c r="M68" s="552">
        <v>3780</v>
      </c>
      <c r="N68" s="552">
        <v>3780</v>
      </c>
      <c r="O68" s="552">
        <v>81</v>
      </c>
      <c r="P68" s="552">
        <v>306180</v>
      </c>
      <c r="Q68" s="548">
        <v>0</v>
      </c>
      <c r="R68" s="552">
        <v>0</v>
      </c>
      <c r="S68" s="548">
        <v>81</v>
      </c>
      <c r="T68" s="552">
        <v>306180</v>
      </c>
      <c r="U68" s="548">
        <v>0</v>
      </c>
      <c r="V68" s="552">
        <v>0</v>
      </c>
      <c r="W68" s="552">
        <v>0</v>
      </c>
      <c r="X68" s="552">
        <v>0</v>
      </c>
      <c r="Y68" s="552">
        <v>81</v>
      </c>
      <c r="Z68" s="552">
        <v>306180</v>
      </c>
      <c r="AA68" s="552">
        <v>0</v>
      </c>
      <c r="AB68" s="552">
        <v>0</v>
      </c>
      <c r="AC68" s="552">
        <v>81</v>
      </c>
      <c r="AD68" s="552">
        <v>306180</v>
      </c>
      <c r="AE68" s="552">
        <v>0</v>
      </c>
      <c r="AF68" s="552">
        <v>0</v>
      </c>
      <c r="AG68" s="552">
        <v>0</v>
      </c>
      <c r="AH68" s="552">
        <v>0</v>
      </c>
      <c r="AI68" s="552">
        <v>0</v>
      </c>
      <c r="AJ68" s="552">
        <v>0</v>
      </c>
    </row>
    <row r="69" spans="1:36" ht="15.95" customHeight="1">
      <c r="A69" s="547"/>
      <c r="B69" s="548">
        <v>106</v>
      </c>
      <c r="C69" s="549">
        <v>5949</v>
      </c>
      <c r="D69" s="550"/>
      <c r="E69" s="550" t="s">
        <v>3808</v>
      </c>
      <c r="F69" s="550" t="s">
        <v>1133</v>
      </c>
      <c r="G69" s="550" t="s">
        <v>1132</v>
      </c>
      <c r="H69" s="550" t="s">
        <v>291</v>
      </c>
      <c r="I69" s="550" t="s">
        <v>10</v>
      </c>
      <c r="J69" s="550" t="s">
        <v>3809</v>
      </c>
      <c r="K69" s="551">
        <v>44362</v>
      </c>
      <c r="L69" s="552">
        <v>343</v>
      </c>
      <c r="M69" s="552">
        <v>343</v>
      </c>
      <c r="N69" s="552">
        <v>343</v>
      </c>
      <c r="O69" s="552">
        <v>872</v>
      </c>
      <c r="P69" s="552">
        <v>299096</v>
      </c>
      <c r="Q69" s="548">
        <v>0</v>
      </c>
      <c r="R69" s="552">
        <v>0</v>
      </c>
      <c r="S69" s="548">
        <v>872</v>
      </c>
      <c r="T69" s="552">
        <v>299096</v>
      </c>
      <c r="U69" s="548">
        <v>0</v>
      </c>
      <c r="V69" s="552">
        <v>0</v>
      </c>
      <c r="W69" s="552">
        <v>0</v>
      </c>
      <c r="X69" s="552">
        <v>0</v>
      </c>
      <c r="Y69" s="552">
        <v>0</v>
      </c>
      <c r="Z69" s="552">
        <v>0</v>
      </c>
      <c r="AA69" s="552">
        <v>0</v>
      </c>
      <c r="AB69" s="552">
        <v>0</v>
      </c>
      <c r="AC69" s="552">
        <v>0</v>
      </c>
      <c r="AD69" s="552">
        <v>0</v>
      </c>
      <c r="AE69" s="552">
        <v>0</v>
      </c>
      <c r="AF69" s="552">
        <v>0</v>
      </c>
      <c r="AG69" s="552">
        <v>872</v>
      </c>
      <c r="AH69" s="552">
        <v>299096</v>
      </c>
      <c r="AI69" s="552">
        <v>0</v>
      </c>
      <c r="AJ69" s="552">
        <v>0</v>
      </c>
    </row>
    <row r="70" spans="1:36" ht="15.95" customHeight="1">
      <c r="A70" s="547"/>
      <c r="B70" s="548">
        <v>107</v>
      </c>
      <c r="C70" s="549">
        <v>6685</v>
      </c>
      <c r="D70" s="550" t="s">
        <v>11559</v>
      </c>
      <c r="E70" s="550" t="s">
        <v>6465</v>
      </c>
      <c r="F70" s="550" t="s">
        <v>6466</v>
      </c>
      <c r="G70" s="550" t="s">
        <v>1494</v>
      </c>
      <c r="H70" s="550" t="s">
        <v>2050</v>
      </c>
      <c r="I70" s="550" t="s">
        <v>11</v>
      </c>
      <c r="J70" s="550" t="s">
        <v>11560</v>
      </c>
      <c r="K70" s="551">
        <v>45169</v>
      </c>
      <c r="L70" s="552">
        <v>5962</v>
      </c>
      <c r="M70" s="552">
        <v>5962</v>
      </c>
      <c r="N70" s="552">
        <v>5962</v>
      </c>
      <c r="O70" s="552"/>
      <c r="P70" s="552"/>
      <c r="Q70" s="548">
        <v>2000</v>
      </c>
      <c r="R70" s="552">
        <v>11924000</v>
      </c>
      <c r="S70" s="548">
        <v>0</v>
      </c>
      <c r="T70" s="552">
        <v>0</v>
      </c>
      <c r="U70" s="548">
        <v>2000</v>
      </c>
      <c r="V70" s="552">
        <v>11924000</v>
      </c>
      <c r="W70" s="552">
        <v>0</v>
      </c>
      <c r="X70" s="552">
        <v>0</v>
      </c>
      <c r="Y70" s="552">
        <v>0</v>
      </c>
      <c r="Z70" s="552">
        <v>0</v>
      </c>
      <c r="AA70" s="552">
        <v>0</v>
      </c>
      <c r="AB70" s="552">
        <v>0</v>
      </c>
      <c r="AC70" s="552">
        <v>0</v>
      </c>
      <c r="AD70" s="552">
        <v>0</v>
      </c>
      <c r="AE70" s="552">
        <v>0</v>
      </c>
      <c r="AF70" s="552">
        <v>0</v>
      </c>
      <c r="AG70" s="552">
        <v>0</v>
      </c>
      <c r="AH70" s="552">
        <v>0</v>
      </c>
      <c r="AI70" s="552">
        <v>0</v>
      </c>
      <c r="AJ70" s="552">
        <v>0</v>
      </c>
    </row>
    <row r="71" spans="1:36" ht="15.95" customHeight="1">
      <c r="A71" s="547"/>
      <c r="B71" s="548">
        <v>109</v>
      </c>
      <c r="C71" s="549">
        <v>7308</v>
      </c>
      <c r="D71" s="550" t="s">
        <v>11561</v>
      </c>
      <c r="E71" s="550" t="s">
        <v>3814</v>
      </c>
      <c r="F71" s="550" t="s">
        <v>3815</v>
      </c>
      <c r="G71" s="550" t="s">
        <v>695</v>
      </c>
      <c r="H71" s="550" t="s">
        <v>3816</v>
      </c>
      <c r="I71" s="550" t="s">
        <v>12</v>
      </c>
      <c r="J71" s="550" t="s">
        <v>3817</v>
      </c>
      <c r="K71" s="551">
        <v>44545</v>
      </c>
      <c r="L71" s="552">
        <v>1806</v>
      </c>
      <c r="M71" s="552">
        <v>1806</v>
      </c>
      <c r="N71" s="552">
        <v>1806</v>
      </c>
      <c r="O71" s="552">
        <v>277</v>
      </c>
      <c r="P71" s="552">
        <v>500262</v>
      </c>
      <c r="Q71" s="548">
        <v>0</v>
      </c>
      <c r="R71" s="552">
        <v>0</v>
      </c>
      <c r="S71" s="548">
        <v>277</v>
      </c>
      <c r="T71" s="552">
        <v>500262</v>
      </c>
      <c r="U71" s="548">
        <v>0</v>
      </c>
      <c r="V71" s="552">
        <v>0</v>
      </c>
      <c r="W71" s="552">
        <v>490</v>
      </c>
      <c r="X71" s="552">
        <v>884940</v>
      </c>
      <c r="Y71" s="552">
        <v>277</v>
      </c>
      <c r="Z71" s="552">
        <v>500262</v>
      </c>
      <c r="AA71" s="552">
        <v>277</v>
      </c>
      <c r="AB71" s="552">
        <v>500262</v>
      </c>
      <c r="AC71" s="552">
        <v>0</v>
      </c>
      <c r="AD71" s="552">
        <v>0</v>
      </c>
      <c r="AE71" s="552">
        <v>0</v>
      </c>
      <c r="AF71" s="552">
        <v>0</v>
      </c>
      <c r="AG71" s="552">
        <v>0</v>
      </c>
      <c r="AH71" s="552">
        <v>0</v>
      </c>
      <c r="AI71" s="552">
        <v>0</v>
      </c>
      <c r="AJ71" s="552">
        <v>0</v>
      </c>
    </row>
    <row r="72" spans="1:36" ht="15.95" customHeight="1">
      <c r="A72" s="547"/>
      <c r="B72" s="548">
        <v>110</v>
      </c>
      <c r="C72" s="549">
        <v>7308</v>
      </c>
      <c r="D72" s="550" t="s">
        <v>11561</v>
      </c>
      <c r="E72" s="550" t="s">
        <v>3814</v>
      </c>
      <c r="F72" s="550" t="s">
        <v>3815</v>
      </c>
      <c r="G72" s="550" t="s">
        <v>695</v>
      </c>
      <c r="H72" s="550" t="s">
        <v>3816</v>
      </c>
      <c r="I72" s="550" t="s">
        <v>12</v>
      </c>
      <c r="J72" s="550" t="s">
        <v>11562</v>
      </c>
      <c r="K72" s="551">
        <v>44915</v>
      </c>
      <c r="L72" s="552">
        <v>1806</v>
      </c>
      <c r="M72" s="552">
        <v>1806</v>
      </c>
      <c r="N72" s="552">
        <v>1806</v>
      </c>
      <c r="O72" s="552"/>
      <c r="P72" s="552"/>
      <c r="Q72" s="548">
        <v>1880</v>
      </c>
      <c r="R72" s="552">
        <v>3395280</v>
      </c>
      <c r="S72" s="548">
        <v>1880</v>
      </c>
      <c r="T72" s="552">
        <v>3395280</v>
      </c>
      <c r="U72" s="548">
        <v>0</v>
      </c>
      <c r="V72" s="552">
        <v>0</v>
      </c>
      <c r="W72" s="552">
        <v>643</v>
      </c>
      <c r="X72" s="552">
        <v>1161258</v>
      </c>
      <c r="Y72" s="552">
        <v>1880</v>
      </c>
      <c r="Z72" s="552">
        <v>3395280</v>
      </c>
      <c r="AA72" s="552">
        <v>1180</v>
      </c>
      <c r="AB72" s="552">
        <v>2131080</v>
      </c>
      <c r="AC72" s="552">
        <v>700</v>
      </c>
      <c r="AD72" s="552">
        <v>1264200</v>
      </c>
      <c r="AE72" s="552">
        <v>0</v>
      </c>
      <c r="AF72" s="552">
        <v>0</v>
      </c>
      <c r="AG72" s="552">
        <v>0</v>
      </c>
      <c r="AH72" s="552">
        <v>0</v>
      </c>
      <c r="AI72" s="552">
        <v>0</v>
      </c>
      <c r="AJ72" s="552">
        <v>0</v>
      </c>
    </row>
    <row r="73" spans="1:36" ht="15.95" customHeight="1">
      <c r="A73" s="547"/>
      <c r="B73" s="548">
        <v>111</v>
      </c>
      <c r="C73" s="549">
        <v>7308</v>
      </c>
      <c r="D73" s="550" t="s">
        <v>11561</v>
      </c>
      <c r="E73" s="550" t="s">
        <v>3814</v>
      </c>
      <c r="F73" s="550" t="s">
        <v>3815</v>
      </c>
      <c r="G73" s="550" t="s">
        <v>695</v>
      </c>
      <c r="H73" s="550" t="s">
        <v>3816</v>
      </c>
      <c r="I73" s="550" t="s">
        <v>12</v>
      </c>
      <c r="J73" s="550" t="s">
        <v>3723</v>
      </c>
      <c r="K73" s="551">
        <v>45003</v>
      </c>
      <c r="L73" s="552">
        <v>1806</v>
      </c>
      <c r="M73" s="552">
        <v>1806</v>
      </c>
      <c r="N73" s="552">
        <v>1806</v>
      </c>
      <c r="O73" s="552"/>
      <c r="P73" s="552"/>
      <c r="Q73" s="548">
        <v>5123</v>
      </c>
      <c r="R73" s="552">
        <v>9252138</v>
      </c>
      <c r="S73" s="548">
        <v>413</v>
      </c>
      <c r="T73" s="552">
        <v>745878</v>
      </c>
      <c r="U73" s="548">
        <v>4710</v>
      </c>
      <c r="V73" s="552">
        <v>8506260</v>
      </c>
      <c r="W73" s="552">
        <v>0</v>
      </c>
      <c r="X73" s="552">
        <v>0</v>
      </c>
      <c r="Y73" s="552">
        <v>413</v>
      </c>
      <c r="Z73" s="552">
        <v>745878</v>
      </c>
      <c r="AA73" s="552">
        <v>404</v>
      </c>
      <c r="AB73" s="552">
        <v>729624</v>
      </c>
      <c r="AC73" s="552">
        <v>9</v>
      </c>
      <c r="AD73" s="552">
        <v>16254</v>
      </c>
      <c r="AE73" s="552">
        <v>0</v>
      </c>
      <c r="AF73" s="552">
        <v>0</v>
      </c>
      <c r="AG73" s="552">
        <v>0</v>
      </c>
      <c r="AH73" s="552">
        <v>0</v>
      </c>
      <c r="AI73" s="552">
        <v>0</v>
      </c>
      <c r="AJ73" s="552">
        <v>0</v>
      </c>
    </row>
    <row r="74" spans="1:36" ht="15.95" customHeight="1">
      <c r="A74" s="547"/>
      <c r="B74" s="548">
        <v>116</v>
      </c>
      <c r="C74" s="549">
        <v>6969</v>
      </c>
      <c r="D74" s="550" t="s">
        <v>11563</v>
      </c>
      <c r="E74" s="550" t="s">
        <v>3818</v>
      </c>
      <c r="F74" s="550" t="s">
        <v>3819</v>
      </c>
      <c r="G74" s="550" t="s">
        <v>750</v>
      </c>
      <c r="H74" s="550" t="s">
        <v>232</v>
      </c>
      <c r="I74" s="550" t="s">
        <v>11</v>
      </c>
      <c r="J74" s="550" t="s">
        <v>3820</v>
      </c>
      <c r="K74" s="551">
        <v>44870</v>
      </c>
      <c r="L74" s="552">
        <v>1554</v>
      </c>
      <c r="M74" s="552">
        <v>1554</v>
      </c>
      <c r="N74" s="552">
        <v>1554</v>
      </c>
      <c r="O74" s="552">
        <v>133</v>
      </c>
      <c r="P74" s="552">
        <v>206682</v>
      </c>
      <c r="Q74" s="548">
        <v>0</v>
      </c>
      <c r="R74" s="552">
        <v>0</v>
      </c>
      <c r="S74" s="548">
        <v>81</v>
      </c>
      <c r="T74" s="552">
        <v>125874</v>
      </c>
      <c r="U74" s="548">
        <v>52</v>
      </c>
      <c r="V74" s="552">
        <v>80808</v>
      </c>
      <c r="W74" s="552">
        <v>0</v>
      </c>
      <c r="X74" s="552">
        <v>0</v>
      </c>
      <c r="Y74" s="552">
        <v>81</v>
      </c>
      <c r="Z74" s="552">
        <v>125874</v>
      </c>
      <c r="AA74" s="552">
        <v>0</v>
      </c>
      <c r="AB74" s="552">
        <v>0</v>
      </c>
      <c r="AC74" s="552">
        <v>81</v>
      </c>
      <c r="AD74" s="552">
        <v>125874</v>
      </c>
      <c r="AE74" s="552">
        <v>0</v>
      </c>
      <c r="AF74" s="552">
        <v>0</v>
      </c>
      <c r="AG74" s="552">
        <v>0</v>
      </c>
      <c r="AH74" s="552">
        <v>0</v>
      </c>
      <c r="AI74" s="552">
        <v>0</v>
      </c>
      <c r="AJ74" s="552">
        <v>0</v>
      </c>
    </row>
    <row r="75" spans="1:36" ht="15.95" customHeight="1">
      <c r="A75" s="547"/>
      <c r="B75" s="548">
        <v>117</v>
      </c>
      <c r="C75" s="549">
        <v>6970</v>
      </c>
      <c r="D75" s="550" t="s">
        <v>11564</v>
      </c>
      <c r="E75" s="550" t="s">
        <v>3821</v>
      </c>
      <c r="F75" s="550" t="s">
        <v>3822</v>
      </c>
      <c r="G75" s="550" t="s">
        <v>750</v>
      </c>
      <c r="H75" s="550" t="s">
        <v>262</v>
      </c>
      <c r="I75" s="550" t="s">
        <v>11</v>
      </c>
      <c r="J75" s="550" t="s">
        <v>11565</v>
      </c>
      <c r="K75" s="551">
        <v>45080</v>
      </c>
      <c r="L75" s="552">
        <v>1869</v>
      </c>
      <c r="M75" s="552">
        <v>1869</v>
      </c>
      <c r="N75" s="552">
        <v>1869</v>
      </c>
      <c r="O75" s="552"/>
      <c r="P75" s="552"/>
      <c r="Q75" s="548">
        <v>100</v>
      </c>
      <c r="R75" s="552">
        <v>186900</v>
      </c>
      <c r="S75" s="548">
        <v>100</v>
      </c>
      <c r="T75" s="552">
        <v>186900</v>
      </c>
      <c r="U75" s="548">
        <v>0</v>
      </c>
      <c r="V75" s="552">
        <v>0</v>
      </c>
      <c r="W75" s="552">
        <v>3</v>
      </c>
      <c r="X75" s="552">
        <v>5607</v>
      </c>
      <c r="Y75" s="552">
        <v>100</v>
      </c>
      <c r="Z75" s="552">
        <v>186900</v>
      </c>
      <c r="AA75" s="552">
        <v>0</v>
      </c>
      <c r="AB75" s="552">
        <v>0</v>
      </c>
      <c r="AC75" s="552">
        <v>100</v>
      </c>
      <c r="AD75" s="552">
        <v>186900</v>
      </c>
      <c r="AE75" s="552">
        <v>0</v>
      </c>
      <c r="AF75" s="552">
        <v>0</v>
      </c>
      <c r="AG75" s="552">
        <v>0</v>
      </c>
      <c r="AH75" s="552">
        <v>0</v>
      </c>
      <c r="AI75" s="552">
        <v>0</v>
      </c>
      <c r="AJ75" s="552">
        <v>0</v>
      </c>
    </row>
    <row r="76" spans="1:36" ht="15.95" customHeight="1">
      <c r="A76" s="547"/>
      <c r="B76" s="548">
        <v>118</v>
      </c>
      <c r="C76" s="549">
        <v>6686</v>
      </c>
      <c r="D76" s="550" t="s">
        <v>11566</v>
      </c>
      <c r="E76" s="550" t="s">
        <v>3823</v>
      </c>
      <c r="F76" s="550" t="s">
        <v>1196</v>
      </c>
      <c r="G76" s="550" t="s">
        <v>1195</v>
      </c>
      <c r="H76" s="550" t="s">
        <v>327</v>
      </c>
      <c r="I76" s="550" t="s">
        <v>11</v>
      </c>
      <c r="J76" s="550" t="s">
        <v>11567</v>
      </c>
      <c r="K76" s="551">
        <v>45188</v>
      </c>
      <c r="L76" s="552">
        <v>250</v>
      </c>
      <c r="M76" s="552">
        <v>250</v>
      </c>
      <c r="N76" s="552">
        <v>250</v>
      </c>
      <c r="O76" s="552">
        <v>500</v>
      </c>
      <c r="P76" s="552">
        <v>125000</v>
      </c>
      <c r="Q76" s="548">
        <v>0</v>
      </c>
      <c r="R76" s="552">
        <v>0</v>
      </c>
      <c r="S76" s="548">
        <v>500</v>
      </c>
      <c r="T76" s="552">
        <v>125000</v>
      </c>
      <c r="U76" s="548">
        <v>0</v>
      </c>
      <c r="V76" s="552">
        <v>0</v>
      </c>
      <c r="W76" s="552">
        <v>112</v>
      </c>
      <c r="X76" s="552">
        <v>28000</v>
      </c>
      <c r="Y76" s="552">
        <v>500</v>
      </c>
      <c r="Z76" s="552">
        <v>125000</v>
      </c>
      <c r="AA76" s="552">
        <v>0</v>
      </c>
      <c r="AB76" s="552">
        <v>0</v>
      </c>
      <c r="AC76" s="552">
        <v>500</v>
      </c>
      <c r="AD76" s="552">
        <v>125000</v>
      </c>
      <c r="AE76" s="552">
        <v>0</v>
      </c>
      <c r="AF76" s="552">
        <v>0</v>
      </c>
      <c r="AG76" s="552">
        <v>0</v>
      </c>
      <c r="AH76" s="552">
        <v>0</v>
      </c>
      <c r="AI76" s="552">
        <v>0</v>
      </c>
      <c r="AJ76" s="552">
        <v>0</v>
      </c>
    </row>
    <row r="77" spans="1:36" ht="15.95" customHeight="1">
      <c r="A77" s="547"/>
      <c r="B77" s="548">
        <v>119</v>
      </c>
      <c r="C77" s="549">
        <v>6686</v>
      </c>
      <c r="D77" s="550" t="s">
        <v>11566</v>
      </c>
      <c r="E77" s="550" t="s">
        <v>3823</v>
      </c>
      <c r="F77" s="550" t="s">
        <v>1196</v>
      </c>
      <c r="G77" s="550" t="s">
        <v>1195</v>
      </c>
      <c r="H77" s="550" t="s">
        <v>327</v>
      </c>
      <c r="I77" s="550" t="s">
        <v>11</v>
      </c>
      <c r="J77" s="550" t="s">
        <v>11568</v>
      </c>
      <c r="K77" s="551">
        <v>45262</v>
      </c>
      <c r="L77" s="552">
        <v>250</v>
      </c>
      <c r="M77" s="552">
        <v>250</v>
      </c>
      <c r="N77" s="552">
        <v>250</v>
      </c>
      <c r="O77" s="552"/>
      <c r="P77" s="552"/>
      <c r="Q77" s="548">
        <v>900</v>
      </c>
      <c r="R77" s="552">
        <v>225000</v>
      </c>
      <c r="S77" s="548">
        <v>900</v>
      </c>
      <c r="T77" s="552">
        <v>225000</v>
      </c>
      <c r="U77" s="548">
        <v>0</v>
      </c>
      <c r="V77" s="552">
        <v>0</v>
      </c>
      <c r="W77" s="552">
        <v>0</v>
      </c>
      <c r="X77" s="552">
        <v>0</v>
      </c>
      <c r="Y77" s="552">
        <v>900</v>
      </c>
      <c r="Z77" s="552">
        <v>225000</v>
      </c>
      <c r="AA77" s="552">
        <v>0</v>
      </c>
      <c r="AB77" s="552">
        <v>0</v>
      </c>
      <c r="AC77" s="552">
        <v>900</v>
      </c>
      <c r="AD77" s="552">
        <v>225000</v>
      </c>
      <c r="AE77" s="552">
        <v>0</v>
      </c>
      <c r="AF77" s="552">
        <v>0</v>
      </c>
      <c r="AG77" s="552">
        <v>0</v>
      </c>
      <c r="AH77" s="552">
        <v>0</v>
      </c>
      <c r="AI77" s="552">
        <v>0</v>
      </c>
      <c r="AJ77" s="552">
        <v>0</v>
      </c>
    </row>
    <row r="78" spans="1:36" ht="15.95" customHeight="1">
      <c r="A78" s="547"/>
      <c r="B78" s="548">
        <v>120</v>
      </c>
      <c r="C78" s="549">
        <v>6686</v>
      </c>
      <c r="D78" s="550" t="s">
        <v>11566</v>
      </c>
      <c r="E78" s="550" t="s">
        <v>3823</v>
      </c>
      <c r="F78" s="550" t="s">
        <v>1196</v>
      </c>
      <c r="G78" s="550" t="s">
        <v>1195</v>
      </c>
      <c r="H78" s="550" t="s">
        <v>327</v>
      </c>
      <c r="I78" s="550" t="s">
        <v>11</v>
      </c>
      <c r="J78" s="550" t="s">
        <v>11569</v>
      </c>
      <c r="K78" s="551">
        <v>45302</v>
      </c>
      <c r="L78" s="552">
        <v>250</v>
      </c>
      <c r="M78" s="552">
        <v>250</v>
      </c>
      <c r="N78" s="552">
        <v>250</v>
      </c>
      <c r="O78" s="552"/>
      <c r="P78" s="552"/>
      <c r="Q78" s="548">
        <v>2700</v>
      </c>
      <c r="R78" s="552">
        <v>675000</v>
      </c>
      <c r="S78" s="548">
        <v>2200</v>
      </c>
      <c r="T78" s="552">
        <v>550000</v>
      </c>
      <c r="U78" s="548">
        <v>500</v>
      </c>
      <c r="V78" s="552">
        <v>125000</v>
      </c>
      <c r="W78" s="552">
        <v>50</v>
      </c>
      <c r="X78" s="552">
        <v>12500</v>
      </c>
      <c r="Y78" s="552">
        <v>2200</v>
      </c>
      <c r="Z78" s="552">
        <v>550000</v>
      </c>
      <c r="AA78" s="552">
        <v>0</v>
      </c>
      <c r="AB78" s="552">
        <v>0</v>
      </c>
      <c r="AC78" s="552">
        <v>2200</v>
      </c>
      <c r="AD78" s="552">
        <v>550000</v>
      </c>
      <c r="AE78" s="552">
        <v>0</v>
      </c>
      <c r="AF78" s="552">
        <v>0</v>
      </c>
      <c r="AG78" s="552">
        <v>0</v>
      </c>
      <c r="AH78" s="552">
        <v>0</v>
      </c>
      <c r="AI78" s="552">
        <v>0</v>
      </c>
      <c r="AJ78" s="552">
        <v>0</v>
      </c>
    </row>
    <row r="79" spans="1:36" ht="15.95" customHeight="1">
      <c r="A79" s="547"/>
      <c r="B79" s="548">
        <v>121</v>
      </c>
      <c r="C79" s="549">
        <v>6690</v>
      </c>
      <c r="D79" s="550" t="s">
        <v>11570</v>
      </c>
      <c r="E79" s="550" t="s">
        <v>3824</v>
      </c>
      <c r="F79" s="550" t="s">
        <v>3825</v>
      </c>
      <c r="G79" s="550" t="s">
        <v>624</v>
      </c>
      <c r="H79" s="550" t="s">
        <v>625</v>
      </c>
      <c r="I79" s="550" t="s">
        <v>11</v>
      </c>
      <c r="J79" s="550" t="s">
        <v>11571</v>
      </c>
      <c r="K79" s="551">
        <v>45312</v>
      </c>
      <c r="L79" s="552">
        <v>380</v>
      </c>
      <c r="M79" s="552">
        <v>380</v>
      </c>
      <c r="N79" s="552">
        <v>380</v>
      </c>
      <c r="O79" s="552"/>
      <c r="P79" s="552"/>
      <c r="Q79" s="548">
        <v>4480</v>
      </c>
      <c r="R79" s="552">
        <v>1702400</v>
      </c>
      <c r="S79" s="548">
        <v>4480</v>
      </c>
      <c r="T79" s="552">
        <v>1702400</v>
      </c>
      <c r="U79" s="548">
        <v>0</v>
      </c>
      <c r="V79" s="552">
        <v>0</v>
      </c>
      <c r="W79" s="552">
        <v>269</v>
      </c>
      <c r="X79" s="552">
        <v>102220</v>
      </c>
      <c r="Y79" s="552">
        <v>4480</v>
      </c>
      <c r="Z79" s="552">
        <v>1702400</v>
      </c>
      <c r="AA79" s="552">
        <v>4200</v>
      </c>
      <c r="AB79" s="552">
        <v>1596000</v>
      </c>
      <c r="AC79" s="552">
        <v>280</v>
      </c>
      <c r="AD79" s="552">
        <v>106400</v>
      </c>
      <c r="AE79" s="552">
        <v>0</v>
      </c>
      <c r="AF79" s="552">
        <v>0</v>
      </c>
      <c r="AG79" s="552">
        <v>0</v>
      </c>
      <c r="AH79" s="552">
        <v>0</v>
      </c>
      <c r="AI79" s="552">
        <v>0</v>
      </c>
      <c r="AJ79" s="552">
        <v>0</v>
      </c>
    </row>
    <row r="80" spans="1:36" ht="15.95" customHeight="1">
      <c r="A80" s="547"/>
      <c r="B80" s="548">
        <v>122</v>
      </c>
      <c r="C80" s="549">
        <v>6690</v>
      </c>
      <c r="D80" s="550" t="s">
        <v>11570</v>
      </c>
      <c r="E80" s="550" t="s">
        <v>3824</v>
      </c>
      <c r="F80" s="550" t="s">
        <v>3825</v>
      </c>
      <c r="G80" s="550" t="s">
        <v>624</v>
      </c>
      <c r="H80" s="550" t="s">
        <v>625</v>
      </c>
      <c r="I80" s="550" t="s">
        <v>11</v>
      </c>
      <c r="J80" s="550" t="s">
        <v>11572</v>
      </c>
      <c r="K80" s="551">
        <v>45359</v>
      </c>
      <c r="L80" s="552">
        <v>380</v>
      </c>
      <c r="M80" s="552">
        <v>380</v>
      </c>
      <c r="N80" s="552">
        <v>380</v>
      </c>
      <c r="O80" s="552"/>
      <c r="P80" s="552"/>
      <c r="Q80" s="548">
        <v>27777</v>
      </c>
      <c r="R80" s="552">
        <v>10555260</v>
      </c>
      <c r="S80" s="548">
        <v>27581</v>
      </c>
      <c r="T80" s="552">
        <v>10480780</v>
      </c>
      <c r="U80" s="548">
        <v>196</v>
      </c>
      <c r="V80" s="552">
        <v>74480</v>
      </c>
      <c r="W80" s="552">
        <v>27</v>
      </c>
      <c r="X80" s="552">
        <v>10260</v>
      </c>
      <c r="Y80" s="552">
        <v>27581</v>
      </c>
      <c r="Z80" s="552">
        <v>10480780</v>
      </c>
      <c r="AA80" s="552">
        <v>27497</v>
      </c>
      <c r="AB80" s="552">
        <v>10448860</v>
      </c>
      <c r="AC80" s="552">
        <v>84</v>
      </c>
      <c r="AD80" s="552">
        <v>31920</v>
      </c>
      <c r="AE80" s="552">
        <v>0</v>
      </c>
      <c r="AF80" s="552">
        <v>0</v>
      </c>
      <c r="AG80" s="552">
        <v>0</v>
      </c>
      <c r="AH80" s="552">
        <v>0</v>
      </c>
      <c r="AI80" s="552">
        <v>0</v>
      </c>
      <c r="AJ80" s="552">
        <v>0</v>
      </c>
    </row>
    <row r="81" spans="1:36" ht="15.95" customHeight="1">
      <c r="A81" s="547"/>
      <c r="B81" s="548">
        <v>123</v>
      </c>
      <c r="C81" s="549">
        <v>6690</v>
      </c>
      <c r="D81" s="550" t="s">
        <v>11570</v>
      </c>
      <c r="E81" s="550" t="s">
        <v>3824</v>
      </c>
      <c r="F81" s="550" t="s">
        <v>3825</v>
      </c>
      <c r="G81" s="550" t="s">
        <v>624</v>
      </c>
      <c r="H81" s="550" t="s">
        <v>625</v>
      </c>
      <c r="I81" s="550" t="s">
        <v>11</v>
      </c>
      <c r="J81" s="550" t="s">
        <v>3826</v>
      </c>
      <c r="K81" s="551">
        <v>45037</v>
      </c>
      <c r="L81" s="552">
        <v>380</v>
      </c>
      <c r="M81" s="552">
        <v>380</v>
      </c>
      <c r="N81" s="552">
        <v>380</v>
      </c>
      <c r="O81" s="552">
        <v>57</v>
      </c>
      <c r="P81" s="552">
        <v>21660</v>
      </c>
      <c r="Q81" s="548">
        <v>0</v>
      </c>
      <c r="R81" s="552">
        <v>0</v>
      </c>
      <c r="S81" s="548">
        <v>57</v>
      </c>
      <c r="T81" s="552">
        <v>21660</v>
      </c>
      <c r="U81" s="548">
        <v>0</v>
      </c>
      <c r="V81" s="552">
        <v>0</v>
      </c>
      <c r="W81" s="552">
        <v>0</v>
      </c>
      <c r="X81" s="552">
        <v>0</v>
      </c>
      <c r="Y81" s="552">
        <v>57</v>
      </c>
      <c r="Z81" s="552">
        <v>21660</v>
      </c>
      <c r="AA81" s="552">
        <v>0</v>
      </c>
      <c r="AB81" s="552">
        <v>0</v>
      </c>
      <c r="AC81" s="552">
        <v>57</v>
      </c>
      <c r="AD81" s="552">
        <v>21660</v>
      </c>
      <c r="AE81" s="552">
        <v>0</v>
      </c>
      <c r="AF81" s="552">
        <v>0</v>
      </c>
      <c r="AG81" s="552">
        <v>0</v>
      </c>
      <c r="AH81" s="552">
        <v>0</v>
      </c>
      <c r="AI81" s="552">
        <v>0</v>
      </c>
      <c r="AJ81" s="552">
        <v>0</v>
      </c>
    </row>
    <row r="82" spans="1:36" ht="15.95" customHeight="1">
      <c r="A82" s="547"/>
      <c r="B82" s="548">
        <v>124</v>
      </c>
      <c r="C82" s="549">
        <v>6690</v>
      </c>
      <c r="D82" s="550" t="s">
        <v>11570</v>
      </c>
      <c r="E82" s="550" t="s">
        <v>3824</v>
      </c>
      <c r="F82" s="550" t="s">
        <v>3825</v>
      </c>
      <c r="G82" s="550" t="s">
        <v>624</v>
      </c>
      <c r="H82" s="550" t="s">
        <v>625</v>
      </c>
      <c r="I82" s="550" t="s">
        <v>11</v>
      </c>
      <c r="J82" s="550" t="s">
        <v>11573</v>
      </c>
      <c r="K82" s="551">
        <v>45207</v>
      </c>
      <c r="L82" s="552">
        <v>380</v>
      </c>
      <c r="M82" s="552">
        <v>380</v>
      </c>
      <c r="N82" s="552">
        <v>380</v>
      </c>
      <c r="O82" s="552">
        <v>11990</v>
      </c>
      <c r="P82" s="552">
        <v>4556200</v>
      </c>
      <c r="Q82" s="548">
        <v>5</v>
      </c>
      <c r="R82" s="552">
        <v>1900</v>
      </c>
      <c r="S82" s="548">
        <v>11908</v>
      </c>
      <c r="T82" s="552">
        <v>4525040</v>
      </c>
      <c r="U82" s="548">
        <v>87</v>
      </c>
      <c r="V82" s="552">
        <v>33060</v>
      </c>
      <c r="W82" s="552">
        <v>0</v>
      </c>
      <c r="X82" s="552">
        <v>0</v>
      </c>
      <c r="Y82" s="552">
        <v>11791</v>
      </c>
      <c r="Z82" s="552">
        <v>4480580</v>
      </c>
      <c r="AA82" s="552">
        <v>11710</v>
      </c>
      <c r="AB82" s="552">
        <v>4449800</v>
      </c>
      <c r="AC82" s="552">
        <v>81</v>
      </c>
      <c r="AD82" s="552">
        <v>30780</v>
      </c>
      <c r="AE82" s="552">
        <v>0</v>
      </c>
      <c r="AF82" s="552">
        <v>0</v>
      </c>
      <c r="AG82" s="552">
        <v>117</v>
      </c>
      <c r="AH82" s="552">
        <v>44460</v>
      </c>
      <c r="AI82" s="552">
        <v>0</v>
      </c>
      <c r="AJ82" s="552">
        <v>0</v>
      </c>
    </row>
    <row r="83" spans="1:36" ht="15.95" customHeight="1">
      <c r="A83" s="547"/>
      <c r="B83" s="548">
        <v>125</v>
      </c>
      <c r="C83" s="549">
        <v>7196</v>
      </c>
      <c r="D83" s="550" t="s">
        <v>11574</v>
      </c>
      <c r="E83" s="550" t="s">
        <v>3812</v>
      </c>
      <c r="F83" s="550" t="s">
        <v>3827</v>
      </c>
      <c r="G83" s="550" t="s">
        <v>624</v>
      </c>
      <c r="H83" s="550" t="s">
        <v>327</v>
      </c>
      <c r="I83" s="550" t="s">
        <v>11</v>
      </c>
      <c r="J83" s="550" t="s">
        <v>11575</v>
      </c>
      <c r="K83" s="551">
        <v>45095</v>
      </c>
      <c r="L83" s="552">
        <v>480</v>
      </c>
      <c r="M83" s="552">
        <v>480</v>
      </c>
      <c r="N83" s="552">
        <v>480</v>
      </c>
      <c r="O83" s="552"/>
      <c r="P83" s="552"/>
      <c r="Q83" s="548">
        <v>6120</v>
      </c>
      <c r="R83" s="552">
        <v>2937600</v>
      </c>
      <c r="S83" s="548">
        <v>6119</v>
      </c>
      <c r="T83" s="552">
        <v>2937120</v>
      </c>
      <c r="U83" s="548">
        <v>1</v>
      </c>
      <c r="V83" s="552">
        <v>480</v>
      </c>
      <c r="W83" s="552">
        <v>0</v>
      </c>
      <c r="X83" s="552">
        <v>0</v>
      </c>
      <c r="Y83" s="552">
        <v>6119</v>
      </c>
      <c r="Z83" s="552">
        <v>2937120</v>
      </c>
      <c r="AA83" s="552">
        <v>5999</v>
      </c>
      <c r="AB83" s="552">
        <v>2879520</v>
      </c>
      <c r="AC83" s="552">
        <v>120</v>
      </c>
      <c r="AD83" s="552">
        <v>57600</v>
      </c>
      <c r="AE83" s="552">
        <v>0</v>
      </c>
      <c r="AF83" s="552">
        <v>0</v>
      </c>
      <c r="AG83" s="552">
        <v>0</v>
      </c>
      <c r="AH83" s="552">
        <v>0</v>
      </c>
      <c r="AI83" s="552">
        <v>0</v>
      </c>
      <c r="AJ83" s="552">
        <v>0</v>
      </c>
    </row>
    <row r="84" spans="1:36" ht="15.95" customHeight="1">
      <c r="A84" s="547"/>
      <c r="B84" s="548">
        <v>126</v>
      </c>
      <c r="C84" s="549">
        <v>7196</v>
      </c>
      <c r="D84" s="550" t="s">
        <v>11574</v>
      </c>
      <c r="E84" s="550" t="s">
        <v>3812</v>
      </c>
      <c r="F84" s="550" t="s">
        <v>3827</v>
      </c>
      <c r="G84" s="550" t="s">
        <v>624</v>
      </c>
      <c r="H84" s="550" t="s">
        <v>327</v>
      </c>
      <c r="I84" s="550" t="s">
        <v>11</v>
      </c>
      <c r="J84" s="550" t="s">
        <v>3828</v>
      </c>
      <c r="K84" s="551">
        <v>44858</v>
      </c>
      <c r="L84" s="552">
        <v>480</v>
      </c>
      <c r="M84" s="552">
        <v>480</v>
      </c>
      <c r="N84" s="552">
        <v>480</v>
      </c>
      <c r="O84" s="552">
        <v>2998</v>
      </c>
      <c r="P84" s="552">
        <v>1439040</v>
      </c>
      <c r="Q84" s="548">
        <v>0</v>
      </c>
      <c r="R84" s="552">
        <v>0</v>
      </c>
      <c r="S84" s="548">
        <v>2945</v>
      </c>
      <c r="T84" s="552">
        <v>1413600</v>
      </c>
      <c r="U84" s="548">
        <v>53</v>
      </c>
      <c r="V84" s="552">
        <v>25440</v>
      </c>
      <c r="W84" s="552">
        <v>0</v>
      </c>
      <c r="X84" s="552">
        <v>0</v>
      </c>
      <c r="Y84" s="552">
        <v>2945</v>
      </c>
      <c r="Z84" s="552">
        <v>1413600</v>
      </c>
      <c r="AA84" s="552">
        <v>2861</v>
      </c>
      <c r="AB84" s="552">
        <v>1373280</v>
      </c>
      <c r="AC84" s="552">
        <v>84</v>
      </c>
      <c r="AD84" s="552">
        <v>40320</v>
      </c>
      <c r="AE84" s="552">
        <v>0</v>
      </c>
      <c r="AF84" s="552">
        <v>0</v>
      </c>
      <c r="AG84" s="552">
        <v>0</v>
      </c>
      <c r="AH84" s="552">
        <v>0</v>
      </c>
      <c r="AI84" s="552">
        <v>0</v>
      </c>
      <c r="AJ84" s="552">
        <v>0</v>
      </c>
    </row>
    <row r="85" spans="1:36" ht="15.95" customHeight="1">
      <c r="A85" s="547"/>
      <c r="B85" s="548">
        <v>127</v>
      </c>
      <c r="C85" s="549">
        <v>6696</v>
      </c>
      <c r="D85" s="550" t="s">
        <v>11576</v>
      </c>
      <c r="E85" s="550" t="s">
        <v>3830</v>
      </c>
      <c r="F85" s="550" t="s">
        <v>3831</v>
      </c>
      <c r="G85" s="550" t="s">
        <v>1096</v>
      </c>
      <c r="H85" s="550" t="s">
        <v>1098</v>
      </c>
      <c r="I85" s="550" t="s">
        <v>11</v>
      </c>
      <c r="J85" s="550" t="s">
        <v>3832</v>
      </c>
      <c r="K85" s="551">
        <v>45064</v>
      </c>
      <c r="L85" s="552">
        <v>1800</v>
      </c>
      <c r="M85" s="552">
        <v>1800</v>
      </c>
      <c r="N85" s="552">
        <v>1800</v>
      </c>
      <c r="O85" s="552">
        <v>5346</v>
      </c>
      <c r="P85" s="552">
        <v>9622800</v>
      </c>
      <c r="Q85" s="548">
        <v>0</v>
      </c>
      <c r="R85" s="552">
        <v>0</v>
      </c>
      <c r="S85" s="548">
        <v>2736</v>
      </c>
      <c r="T85" s="552">
        <v>4924800</v>
      </c>
      <c r="U85" s="548">
        <v>2610</v>
      </c>
      <c r="V85" s="552">
        <v>4698000</v>
      </c>
      <c r="W85" s="552">
        <v>0</v>
      </c>
      <c r="X85" s="552">
        <v>0</v>
      </c>
      <c r="Y85" s="552">
        <v>2736</v>
      </c>
      <c r="Z85" s="552">
        <v>4924800</v>
      </c>
      <c r="AA85" s="552">
        <v>2736</v>
      </c>
      <c r="AB85" s="552">
        <v>4924800</v>
      </c>
      <c r="AC85" s="552">
        <v>0</v>
      </c>
      <c r="AD85" s="552">
        <v>0</v>
      </c>
      <c r="AE85" s="552">
        <v>0</v>
      </c>
      <c r="AF85" s="552">
        <v>0</v>
      </c>
      <c r="AG85" s="552">
        <v>0</v>
      </c>
      <c r="AH85" s="552">
        <v>0</v>
      </c>
      <c r="AI85" s="552">
        <v>0</v>
      </c>
      <c r="AJ85" s="552">
        <v>0</v>
      </c>
    </row>
    <row r="86" spans="1:36" ht="15.95" customHeight="1">
      <c r="A86" s="547"/>
      <c r="B86" s="548">
        <v>128</v>
      </c>
      <c r="C86" s="549">
        <v>6696</v>
      </c>
      <c r="D86" s="550" t="s">
        <v>11576</v>
      </c>
      <c r="E86" s="550" t="s">
        <v>3830</v>
      </c>
      <c r="F86" s="550" t="s">
        <v>3831</v>
      </c>
      <c r="G86" s="550" t="s">
        <v>1096</v>
      </c>
      <c r="H86" s="550" t="s">
        <v>1098</v>
      </c>
      <c r="I86" s="550" t="s">
        <v>11</v>
      </c>
      <c r="J86" s="550" t="s">
        <v>11577</v>
      </c>
      <c r="K86" s="551">
        <v>45439</v>
      </c>
      <c r="L86" s="552">
        <v>1800</v>
      </c>
      <c r="M86" s="552">
        <v>1800</v>
      </c>
      <c r="N86" s="552">
        <v>1800</v>
      </c>
      <c r="O86" s="552"/>
      <c r="P86" s="552"/>
      <c r="Q86" s="548">
        <v>3000</v>
      </c>
      <c r="R86" s="552">
        <v>5400000</v>
      </c>
      <c r="S86" s="548">
        <v>0</v>
      </c>
      <c r="T86" s="552">
        <v>0</v>
      </c>
      <c r="U86" s="548">
        <v>3000</v>
      </c>
      <c r="V86" s="552">
        <v>5400000</v>
      </c>
      <c r="W86" s="552">
        <v>0</v>
      </c>
      <c r="X86" s="552">
        <v>0</v>
      </c>
      <c r="Y86" s="552">
        <v>0</v>
      </c>
      <c r="Z86" s="552">
        <v>0</v>
      </c>
      <c r="AA86" s="552">
        <v>0</v>
      </c>
      <c r="AB86" s="552">
        <v>0</v>
      </c>
      <c r="AC86" s="552">
        <v>0</v>
      </c>
      <c r="AD86" s="552">
        <v>0</v>
      </c>
      <c r="AE86" s="552">
        <v>0</v>
      </c>
      <c r="AF86" s="552">
        <v>0</v>
      </c>
      <c r="AG86" s="552">
        <v>0</v>
      </c>
      <c r="AH86" s="552">
        <v>0</v>
      </c>
      <c r="AI86" s="552">
        <v>0</v>
      </c>
      <c r="AJ86" s="552">
        <v>0</v>
      </c>
    </row>
    <row r="87" spans="1:36" ht="15.95" customHeight="1">
      <c r="A87" s="547"/>
      <c r="B87" s="548">
        <v>129</v>
      </c>
      <c r="C87" s="549">
        <v>6691</v>
      </c>
      <c r="D87" s="550" t="s">
        <v>11578</v>
      </c>
      <c r="E87" s="550" t="s">
        <v>6084</v>
      </c>
      <c r="F87" s="550" t="s">
        <v>6085</v>
      </c>
      <c r="G87" s="550" t="s">
        <v>624</v>
      </c>
      <c r="H87" s="550" t="s">
        <v>327</v>
      </c>
      <c r="I87" s="550" t="s">
        <v>11</v>
      </c>
      <c r="J87" s="550" t="s">
        <v>11579</v>
      </c>
      <c r="K87" s="551">
        <v>44811</v>
      </c>
      <c r="L87" s="552">
        <v>1407</v>
      </c>
      <c r="M87" s="552">
        <v>1407</v>
      </c>
      <c r="N87" s="552">
        <v>1407</v>
      </c>
      <c r="O87" s="552"/>
      <c r="P87" s="552"/>
      <c r="Q87" s="548">
        <v>9990</v>
      </c>
      <c r="R87" s="552">
        <v>14055930</v>
      </c>
      <c r="S87" s="548">
        <v>0</v>
      </c>
      <c r="T87" s="552">
        <v>0</v>
      </c>
      <c r="U87" s="548">
        <v>9990</v>
      </c>
      <c r="V87" s="552">
        <v>14055930</v>
      </c>
      <c r="W87" s="552">
        <v>0</v>
      </c>
      <c r="X87" s="552">
        <v>0</v>
      </c>
      <c r="Y87" s="552">
        <v>0</v>
      </c>
      <c r="Z87" s="552">
        <v>0</v>
      </c>
      <c r="AA87" s="552">
        <v>0</v>
      </c>
      <c r="AB87" s="552">
        <v>0</v>
      </c>
      <c r="AC87" s="552">
        <v>0</v>
      </c>
      <c r="AD87" s="552">
        <v>0</v>
      </c>
      <c r="AE87" s="552">
        <v>0</v>
      </c>
      <c r="AF87" s="552">
        <v>0</v>
      </c>
      <c r="AG87" s="552">
        <v>0</v>
      </c>
      <c r="AH87" s="552">
        <v>0</v>
      </c>
      <c r="AI87" s="552">
        <v>0</v>
      </c>
      <c r="AJ87" s="552">
        <v>0</v>
      </c>
    </row>
    <row r="88" spans="1:36" ht="15.95" customHeight="1">
      <c r="A88" s="547"/>
      <c r="B88" s="548">
        <v>143</v>
      </c>
      <c r="C88" s="549">
        <v>6698</v>
      </c>
      <c r="D88" s="550" t="s">
        <v>11580</v>
      </c>
      <c r="E88" s="550" t="s">
        <v>3835</v>
      </c>
      <c r="F88" s="550" t="s">
        <v>3552</v>
      </c>
      <c r="G88" s="550" t="s">
        <v>695</v>
      </c>
      <c r="H88" s="550" t="s">
        <v>390</v>
      </c>
      <c r="I88" s="550" t="s">
        <v>11</v>
      </c>
      <c r="J88" s="550" t="s">
        <v>11581</v>
      </c>
      <c r="K88" s="551">
        <v>45339</v>
      </c>
      <c r="L88" s="552">
        <v>49</v>
      </c>
      <c r="M88" s="552">
        <v>49</v>
      </c>
      <c r="N88" s="552">
        <v>49</v>
      </c>
      <c r="O88" s="552"/>
      <c r="P88" s="552"/>
      <c r="Q88" s="548">
        <v>5600</v>
      </c>
      <c r="R88" s="552">
        <v>274400</v>
      </c>
      <c r="S88" s="548">
        <v>5600</v>
      </c>
      <c r="T88" s="552">
        <v>274400</v>
      </c>
      <c r="U88" s="548">
        <v>0</v>
      </c>
      <c r="V88" s="552">
        <v>0</v>
      </c>
      <c r="W88" s="552">
        <v>0</v>
      </c>
      <c r="X88" s="552">
        <v>0</v>
      </c>
      <c r="Y88" s="552">
        <v>5600</v>
      </c>
      <c r="Z88" s="552">
        <v>274400</v>
      </c>
      <c r="AA88" s="552">
        <v>0</v>
      </c>
      <c r="AB88" s="552">
        <v>0</v>
      </c>
      <c r="AC88" s="552">
        <v>5600</v>
      </c>
      <c r="AD88" s="552">
        <v>274400</v>
      </c>
      <c r="AE88" s="552">
        <v>0</v>
      </c>
      <c r="AF88" s="552">
        <v>0</v>
      </c>
      <c r="AG88" s="552">
        <v>0</v>
      </c>
      <c r="AH88" s="552">
        <v>0</v>
      </c>
      <c r="AI88" s="552">
        <v>0</v>
      </c>
      <c r="AJ88" s="552">
        <v>0</v>
      </c>
    </row>
    <row r="89" spans="1:36" ht="15.95" customHeight="1">
      <c r="A89" s="547"/>
      <c r="B89" s="548">
        <v>144</v>
      </c>
      <c r="C89" s="549">
        <v>6698</v>
      </c>
      <c r="D89" s="550" t="s">
        <v>11580</v>
      </c>
      <c r="E89" s="550" t="s">
        <v>3835</v>
      </c>
      <c r="F89" s="550" t="s">
        <v>3552</v>
      </c>
      <c r="G89" s="550" t="s">
        <v>695</v>
      </c>
      <c r="H89" s="550" t="s">
        <v>390</v>
      </c>
      <c r="I89" s="550" t="s">
        <v>11</v>
      </c>
      <c r="J89" s="550" t="s">
        <v>3836</v>
      </c>
      <c r="K89" s="551">
        <v>44984</v>
      </c>
      <c r="L89" s="552">
        <v>49</v>
      </c>
      <c r="M89" s="552">
        <v>49</v>
      </c>
      <c r="N89" s="552">
        <v>49</v>
      </c>
      <c r="O89" s="552">
        <v>5000</v>
      </c>
      <c r="P89" s="552">
        <v>245000</v>
      </c>
      <c r="Q89" s="548">
        <v>0</v>
      </c>
      <c r="R89" s="552">
        <v>0</v>
      </c>
      <c r="S89" s="548">
        <v>4986</v>
      </c>
      <c r="T89" s="552">
        <v>244314</v>
      </c>
      <c r="U89" s="548">
        <v>14</v>
      </c>
      <c r="V89" s="552">
        <v>686</v>
      </c>
      <c r="W89" s="552">
        <v>1935</v>
      </c>
      <c r="X89" s="552">
        <v>94815</v>
      </c>
      <c r="Y89" s="552">
        <v>4986</v>
      </c>
      <c r="Z89" s="552">
        <v>244314</v>
      </c>
      <c r="AA89" s="552">
        <v>2986</v>
      </c>
      <c r="AB89" s="552">
        <v>146314</v>
      </c>
      <c r="AC89" s="552">
        <v>2000</v>
      </c>
      <c r="AD89" s="552">
        <v>98000</v>
      </c>
      <c r="AE89" s="552">
        <v>0</v>
      </c>
      <c r="AF89" s="552">
        <v>0</v>
      </c>
      <c r="AG89" s="552">
        <v>0</v>
      </c>
      <c r="AH89" s="552">
        <v>0</v>
      </c>
      <c r="AI89" s="552">
        <v>0</v>
      </c>
      <c r="AJ89" s="552">
        <v>0</v>
      </c>
    </row>
    <row r="90" spans="1:36" ht="15.95" customHeight="1">
      <c r="A90" s="547"/>
      <c r="B90" s="548">
        <v>145</v>
      </c>
      <c r="C90" s="549">
        <v>6698</v>
      </c>
      <c r="D90" s="550" t="s">
        <v>11580</v>
      </c>
      <c r="E90" s="550" t="s">
        <v>3835</v>
      </c>
      <c r="F90" s="550" t="s">
        <v>3552</v>
      </c>
      <c r="G90" s="550" t="s">
        <v>695</v>
      </c>
      <c r="H90" s="550" t="s">
        <v>390</v>
      </c>
      <c r="I90" s="550" t="s">
        <v>11</v>
      </c>
      <c r="J90" s="550" t="s">
        <v>11582</v>
      </c>
      <c r="K90" s="551">
        <v>45066</v>
      </c>
      <c r="L90" s="552">
        <v>49</v>
      </c>
      <c r="M90" s="552">
        <v>49</v>
      </c>
      <c r="N90" s="552">
        <v>49</v>
      </c>
      <c r="O90" s="552">
        <v>2000</v>
      </c>
      <c r="P90" s="552">
        <v>98000</v>
      </c>
      <c r="Q90" s="548">
        <v>0</v>
      </c>
      <c r="R90" s="552">
        <v>0</v>
      </c>
      <c r="S90" s="548">
        <v>2000</v>
      </c>
      <c r="T90" s="552">
        <v>98000</v>
      </c>
      <c r="U90" s="548">
        <v>0</v>
      </c>
      <c r="V90" s="552">
        <v>0</v>
      </c>
      <c r="W90" s="552">
        <v>294</v>
      </c>
      <c r="X90" s="552">
        <v>14406</v>
      </c>
      <c r="Y90" s="552">
        <v>2000</v>
      </c>
      <c r="Z90" s="552">
        <v>98000</v>
      </c>
      <c r="AA90" s="552">
        <v>0</v>
      </c>
      <c r="AB90" s="552">
        <v>0</v>
      </c>
      <c r="AC90" s="552">
        <v>2000</v>
      </c>
      <c r="AD90" s="552">
        <v>98000</v>
      </c>
      <c r="AE90" s="552">
        <v>0</v>
      </c>
      <c r="AF90" s="552">
        <v>0</v>
      </c>
      <c r="AG90" s="552">
        <v>0</v>
      </c>
      <c r="AH90" s="552">
        <v>0</v>
      </c>
      <c r="AI90" s="552">
        <v>0</v>
      </c>
      <c r="AJ90" s="552">
        <v>0</v>
      </c>
    </row>
    <row r="91" spans="1:36" ht="15.95" customHeight="1">
      <c r="A91" s="547"/>
      <c r="B91" s="548">
        <v>146</v>
      </c>
      <c r="C91" s="549">
        <v>6698</v>
      </c>
      <c r="D91" s="550" t="s">
        <v>11580</v>
      </c>
      <c r="E91" s="550" t="s">
        <v>3835</v>
      </c>
      <c r="F91" s="550" t="s">
        <v>3552</v>
      </c>
      <c r="G91" s="550" t="s">
        <v>695</v>
      </c>
      <c r="H91" s="550" t="s">
        <v>390</v>
      </c>
      <c r="I91" s="550" t="s">
        <v>11</v>
      </c>
      <c r="J91" s="550" t="s">
        <v>11583</v>
      </c>
      <c r="K91" s="551">
        <v>45157</v>
      </c>
      <c r="L91" s="552">
        <v>49</v>
      </c>
      <c r="M91" s="552">
        <v>49</v>
      </c>
      <c r="N91" s="552">
        <v>49</v>
      </c>
      <c r="O91" s="552"/>
      <c r="P91" s="552"/>
      <c r="Q91" s="548">
        <v>7400</v>
      </c>
      <c r="R91" s="552">
        <v>362600</v>
      </c>
      <c r="S91" s="548">
        <v>7400</v>
      </c>
      <c r="T91" s="552">
        <v>362600</v>
      </c>
      <c r="U91" s="548">
        <v>0</v>
      </c>
      <c r="V91" s="552">
        <v>0</v>
      </c>
      <c r="W91" s="552">
        <v>706</v>
      </c>
      <c r="X91" s="552">
        <v>34594</v>
      </c>
      <c r="Y91" s="552">
        <v>7400</v>
      </c>
      <c r="Z91" s="552">
        <v>362600</v>
      </c>
      <c r="AA91" s="552">
        <v>0</v>
      </c>
      <c r="AB91" s="552">
        <v>0</v>
      </c>
      <c r="AC91" s="552">
        <v>7400</v>
      </c>
      <c r="AD91" s="552">
        <v>362600</v>
      </c>
      <c r="AE91" s="552">
        <v>0</v>
      </c>
      <c r="AF91" s="552">
        <v>0</v>
      </c>
      <c r="AG91" s="552">
        <v>0</v>
      </c>
      <c r="AH91" s="552">
        <v>0</v>
      </c>
      <c r="AI91" s="552">
        <v>0</v>
      </c>
      <c r="AJ91" s="552">
        <v>0</v>
      </c>
    </row>
    <row r="92" spans="1:36" ht="15.95" customHeight="1">
      <c r="A92" s="547"/>
      <c r="B92" s="548">
        <v>150</v>
      </c>
      <c r="C92" s="549">
        <v>6699</v>
      </c>
      <c r="D92" s="550" t="s">
        <v>11584</v>
      </c>
      <c r="E92" s="550" t="s">
        <v>3837</v>
      </c>
      <c r="F92" s="550" t="s">
        <v>3838</v>
      </c>
      <c r="G92" s="550" t="s">
        <v>695</v>
      </c>
      <c r="H92" s="550" t="s">
        <v>2474</v>
      </c>
      <c r="I92" s="550" t="s">
        <v>15</v>
      </c>
      <c r="J92" s="550" t="s">
        <v>3839</v>
      </c>
      <c r="K92" s="551">
        <v>44602</v>
      </c>
      <c r="L92" s="552">
        <v>9345</v>
      </c>
      <c r="M92" s="552">
        <v>9345</v>
      </c>
      <c r="N92" s="552">
        <v>9345</v>
      </c>
      <c r="O92" s="552">
        <v>140</v>
      </c>
      <c r="P92" s="552">
        <v>1308300</v>
      </c>
      <c r="Q92" s="548">
        <v>0</v>
      </c>
      <c r="R92" s="552">
        <v>0</v>
      </c>
      <c r="S92" s="548">
        <v>85</v>
      </c>
      <c r="T92" s="552">
        <v>794325</v>
      </c>
      <c r="U92" s="548">
        <v>55</v>
      </c>
      <c r="V92" s="552">
        <v>513975</v>
      </c>
      <c r="W92" s="552">
        <v>33</v>
      </c>
      <c r="X92" s="552">
        <v>308385</v>
      </c>
      <c r="Y92" s="552">
        <v>85</v>
      </c>
      <c r="Z92" s="552">
        <v>794325</v>
      </c>
      <c r="AA92" s="552">
        <v>55</v>
      </c>
      <c r="AB92" s="552">
        <v>513975</v>
      </c>
      <c r="AC92" s="552">
        <v>30</v>
      </c>
      <c r="AD92" s="552">
        <v>280350</v>
      </c>
      <c r="AE92" s="552">
        <v>0</v>
      </c>
      <c r="AF92" s="552">
        <v>0</v>
      </c>
      <c r="AG92" s="552">
        <v>0</v>
      </c>
      <c r="AH92" s="552">
        <v>0</v>
      </c>
      <c r="AI92" s="552">
        <v>0</v>
      </c>
      <c r="AJ92" s="552">
        <v>0</v>
      </c>
    </row>
    <row r="93" spans="1:36" ht="15.95" customHeight="1">
      <c r="A93" s="547"/>
      <c r="B93" s="548">
        <v>157</v>
      </c>
      <c r="C93" s="549">
        <v>7049</v>
      </c>
      <c r="D93" s="550" t="s">
        <v>11585</v>
      </c>
      <c r="E93" s="550" t="s">
        <v>7753</v>
      </c>
      <c r="F93" s="550" t="s">
        <v>7754</v>
      </c>
      <c r="G93" s="550" t="s">
        <v>1999</v>
      </c>
      <c r="H93" s="550" t="s">
        <v>2001</v>
      </c>
      <c r="I93" s="550" t="s">
        <v>11</v>
      </c>
      <c r="J93" s="550" t="s">
        <v>11586</v>
      </c>
      <c r="K93" s="551">
        <v>45205</v>
      </c>
      <c r="L93" s="552">
        <v>1278</v>
      </c>
      <c r="M93" s="552">
        <v>1278</v>
      </c>
      <c r="N93" s="552">
        <v>1278</v>
      </c>
      <c r="O93" s="552">
        <v>6000</v>
      </c>
      <c r="P93" s="552">
        <v>7668000</v>
      </c>
      <c r="Q93" s="548">
        <v>0</v>
      </c>
      <c r="R93" s="552">
        <v>0</v>
      </c>
      <c r="S93" s="548">
        <v>6000</v>
      </c>
      <c r="T93" s="552">
        <v>7668000</v>
      </c>
      <c r="U93" s="548">
        <v>0</v>
      </c>
      <c r="V93" s="552">
        <v>0</v>
      </c>
      <c r="W93" s="552">
        <v>0</v>
      </c>
      <c r="X93" s="552">
        <v>0</v>
      </c>
      <c r="Y93" s="552">
        <v>6000</v>
      </c>
      <c r="Z93" s="552">
        <v>7668000</v>
      </c>
      <c r="AA93" s="552">
        <v>6000</v>
      </c>
      <c r="AB93" s="552">
        <v>7668000</v>
      </c>
      <c r="AC93" s="552">
        <v>0</v>
      </c>
      <c r="AD93" s="552">
        <v>0</v>
      </c>
      <c r="AE93" s="552">
        <v>0</v>
      </c>
      <c r="AF93" s="552">
        <v>0</v>
      </c>
      <c r="AG93" s="552">
        <v>0</v>
      </c>
      <c r="AH93" s="552">
        <v>0</v>
      </c>
      <c r="AI93" s="552">
        <v>0</v>
      </c>
      <c r="AJ93" s="552">
        <v>0</v>
      </c>
    </row>
    <row r="94" spans="1:36" ht="15.95" customHeight="1">
      <c r="A94" s="547"/>
      <c r="B94" s="548">
        <v>158</v>
      </c>
      <c r="C94" s="549">
        <v>7049</v>
      </c>
      <c r="D94" s="550" t="s">
        <v>11585</v>
      </c>
      <c r="E94" s="550" t="s">
        <v>7753</v>
      </c>
      <c r="F94" s="550" t="s">
        <v>7754</v>
      </c>
      <c r="G94" s="550" t="s">
        <v>1999</v>
      </c>
      <c r="H94" s="550" t="s">
        <v>2001</v>
      </c>
      <c r="I94" s="550" t="s">
        <v>11</v>
      </c>
      <c r="J94" s="550" t="s">
        <v>11587</v>
      </c>
      <c r="K94" s="551">
        <v>45270</v>
      </c>
      <c r="L94" s="552">
        <v>1278</v>
      </c>
      <c r="M94" s="552">
        <v>1278</v>
      </c>
      <c r="N94" s="552">
        <v>1278</v>
      </c>
      <c r="O94" s="552"/>
      <c r="P94" s="552"/>
      <c r="Q94" s="548">
        <v>12000</v>
      </c>
      <c r="R94" s="552">
        <v>15336000</v>
      </c>
      <c r="S94" s="548">
        <v>1585</v>
      </c>
      <c r="T94" s="552">
        <v>2025630</v>
      </c>
      <c r="U94" s="548">
        <v>10415</v>
      </c>
      <c r="V94" s="552">
        <v>13310370</v>
      </c>
      <c r="W94" s="552">
        <v>0</v>
      </c>
      <c r="X94" s="552">
        <v>0</v>
      </c>
      <c r="Y94" s="552">
        <v>1585</v>
      </c>
      <c r="Z94" s="552">
        <v>2025630</v>
      </c>
      <c r="AA94" s="552">
        <v>1585</v>
      </c>
      <c r="AB94" s="552">
        <v>2025630</v>
      </c>
      <c r="AC94" s="552">
        <v>0</v>
      </c>
      <c r="AD94" s="552">
        <v>0</v>
      </c>
      <c r="AE94" s="552">
        <v>0</v>
      </c>
      <c r="AF94" s="552">
        <v>0</v>
      </c>
      <c r="AG94" s="552">
        <v>0</v>
      </c>
      <c r="AH94" s="552">
        <v>0</v>
      </c>
      <c r="AI94" s="552">
        <v>0</v>
      </c>
      <c r="AJ94" s="552">
        <v>0</v>
      </c>
    </row>
    <row r="95" spans="1:36" ht="15.95" customHeight="1">
      <c r="A95" s="547"/>
      <c r="B95" s="548">
        <v>183</v>
      </c>
      <c r="C95" s="549">
        <v>6814</v>
      </c>
      <c r="D95" s="550" t="s">
        <v>11588</v>
      </c>
      <c r="E95" s="550" t="s">
        <v>3845</v>
      </c>
      <c r="F95" s="550" t="s">
        <v>6370</v>
      </c>
      <c r="G95" s="550" t="s">
        <v>583</v>
      </c>
      <c r="H95" s="550" t="s">
        <v>222</v>
      </c>
      <c r="I95" s="550" t="s">
        <v>11</v>
      </c>
      <c r="J95" s="550" t="s">
        <v>11589</v>
      </c>
      <c r="K95" s="551">
        <v>44713</v>
      </c>
      <c r="L95" s="552">
        <v>1677</v>
      </c>
      <c r="M95" s="552">
        <v>1677</v>
      </c>
      <c r="N95" s="552">
        <v>1677</v>
      </c>
      <c r="O95" s="552"/>
      <c r="P95" s="552"/>
      <c r="Q95" s="548">
        <v>21000</v>
      </c>
      <c r="R95" s="552">
        <v>35217000</v>
      </c>
      <c r="S95" s="548">
        <v>15320</v>
      </c>
      <c r="T95" s="552">
        <v>25691640</v>
      </c>
      <c r="U95" s="548">
        <v>5680</v>
      </c>
      <c r="V95" s="552">
        <v>9525360</v>
      </c>
      <c r="W95" s="552">
        <v>1500</v>
      </c>
      <c r="X95" s="552">
        <v>2515500</v>
      </c>
      <c r="Y95" s="552">
        <v>15320</v>
      </c>
      <c r="Z95" s="552">
        <v>25691640</v>
      </c>
      <c r="AA95" s="552">
        <v>13820</v>
      </c>
      <c r="AB95" s="552">
        <v>23176140</v>
      </c>
      <c r="AC95" s="552">
        <v>1500</v>
      </c>
      <c r="AD95" s="552">
        <v>2515500</v>
      </c>
      <c r="AE95" s="552">
        <v>0</v>
      </c>
      <c r="AF95" s="552">
        <v>0</v>
      </c>
      <c r="AG95" s="552">
        <v>0</v>
      </c>
      <c r="AH95" s="552">
        <v>0</v>
      </c>
      <c r="AI95" s="552">
        <v>0</v>
      </c>
      <c r="AJ95" s="552">
        <v>0</v>
      </c>
    </row>
    <row r="96" spans="1:36" ht="15.95" customHeight="1">
      <c r="A96" s="547"/>
      <c r="B96" s="548">
        <v>184</v>
      </c>
      <c r="C96" s="549">
        <v>6815</v>
      </c>
      <c r="D96" s="550" t="s">
        <v>11590</v>
      </c>
      <c r="E96" s="550" t="s">
        <v>3846</v>
      </c>
      <c r="F96" s="550" t="s">
        <v>3847</v>
      </c>
      <c r="G96" s="550" t="s">
        <v>583</v>
      </c>
      <c r="H96" s="550" t="s">
        <v>390</v>
      </c>
      <c r="I96" s="550" t="s">
        <v>11</v>
      </c>
      <c r="J96" s="550" t="s">
        <v>3848</v>
      </c>
      <c r="K96" s="551">
        <v>44682</v>
      </c>
      <c r="L96" s="552">
        <v>2754</v>
      </c>
      <c r="M96" s="552">
        <v>2754</v>
      </c>
      <c r="N96" s="552">
        <v>2754</v>
      </c>
      <c r="O96" s="552">
        <v>12000</v>
      </c>
      <c r="P96" s="552">
        <v>33048000</v>
      </c>
      <c r="Q96" s="548">
        <v>0</v>
      </c>
      <c r="R96" s="552">
        <v>0</v>
      </c>
      <c r="S96" s="548">
        <v>11997</v>
      </c>
      <c r="T96" s="552">
        <v>33039738</v>
      </c>
      <c r="U96" s="548">
        <v>3</v>
      </c>
      <c r="V96" s="552">
        <v>8262</v>
      </c>
      <c r="W96" s="552">
        <v>0</v>
      </c>
      <c r="X96" s="552">
        <v>0</v>
      </c>
      <c r="Y96" s="552">
        <v>11997</v>
      </c>
      <c r="Z96" s="552">
        <v>33039738</v>
      </c>
      <c r="AA96" s="552">
        <v>11997</v>
      </c>
      <c r="AB96" s="552">
        <v>33039738</v>
      </c>
      <c r="AC96" s="552">
        <v>0</v>
      </c>
      <c r="AD96" s="552">
        <v>0</v>
      </c>
      <c r="AE96" s="552">
        <v>0</v>
      </c>
      <c r="AF96" s="552">
        <v>0</v>
      </c>
      <c r="AG96" s="552">
        <v>0</v>
      </c>
      <c r="AH96" s="552">
        <v>0</v>
      </c>
      <c r="AI96" s="552">
        <v>0</v>
      </c>
      <c r="AJ96" s="552">
        <v>0</v>
      </c>
    </row>
    <row r="97" spans="1:36" ht="15.95" customHeight="1">
      <c r="A97" s="547"/>
      <c r="B97" s="548">
        <v>185</v>
      </c>
      <c r="C97" s="549">
        <v>6815</v>
      </c>
      <c r="D97" s="550" t="s">
        <v>11590</v>
      </c>
      <c r="E97" s="550" t="s">
        <v>3846</v>
      </c>
      <c r="F97" s="550" t="s">
        <v>3847</v>
      </c>
      <c r="G97" s="550" t="s">
        <v>583</v>
      </c>
      <c r="H97" s="550" t="s">
        <v>390</v>
      </c>
      <c r="I97" s="550" t="s">
        <v>11</v>
      </c>
      <c r="J97" s="550" t="s">
        <v>11591</v>
      </c>
      <c r="K97" s="551">
        <v>45170</v>
      </c>
      <c r="L97" s="552">
        <v>2754</v>
      </c>
      <c r="M97" s="552">
        <v>2754</v>
      </c>
      <c r="N97" s="552">
        <v>2754</v>
      </c>
      <c r="O97" s="552"/>
      <c r="P97" s="552"/>
      <c r="Q97" s="548">
        <v>18000</v>
      </c>
      <c r="R97" s="552">
        <v>49572000</v>
      </c>
      <c r="S97" s="548">
        <v>0</v>
      </c>
      <c r="T97" s="552">
        <v>0</v>
      </c>
      <c r="U97" s="548">
        <v>18000</v>
      </c>
      <c r="V97" s="552">
        <v>49572000</v>
      </c>
      <c r="W97" s="552">
        <v>0</v>
      </c>
      <c r="X97" s="552">
        <v>0</v>
      </c>
      <c r="Y97" s="552">
        <v>0</v>
      </c>
      <c r="Z97" s="552">
        <v>0</v>
      </c>
      <c r="AA97" s="552">
        <v>0</v>
      </c>
      <c r="AB97" s="552">
        <v>0</v>
      </c>
      <c r="AC97" s="552">
        <v>0</v>
      </c>
      <c r="AD97" s="552">
        <v>0</v>
      </c>
      <c r="AE97" s="552">
        <v>0</v>
      </c>
      <c r="AF97" s="552">
        <v>0</v>
      </c>
      <c r="AG97" s="552">
        <v>0</v>
      </c>
      <c r="AH97" s="552">
        <v>0</v>
      </c>
      <c r="AI97" s="552">
        <v>0</v>
      </c>
      <c r="AJ97" s="552">
        <v>0</v>
      </c>
    </row>
    <row r="98" spans="1:36" ht="15.95" customHeight="1">
      <c r="A98" s="547"/>
      <c r="B98" s="548">
        <v>190</v>
      </c>
      <c r="C98" s="549">
        <v>7200</v>
      </c>
      <c r="D98" s="550" t="s">
        <v>11592</v>
      </c>
      <c r="E98" s="550" t="s">
        <v>3849</v>
      </c>
      <c r="F98" s="550" t="s">
        <v>3850</v>
      </c>
      <c r="G98" s="550" t="s">
        <v>3851</v>
      </c>
      <c r="H98" s="550" t="s">
        <v>1967</v>
      </c>
      <c r="I98" s="550" t="s">
        <v>11</v>
      </c>
      <c r="J98" s="550" t="s">
        <v>3852</v>
      </c>
      <c r="K98" s="551">
        <v>44954</v>
      </c>
      <c r="L98" s="552">
        <v>599</v>
      </c>
      <c r="M98" s="552">
        <v>599</v>
      </c>
      <c r="N98" s="552">
        <v>599</v>
      </c>
      <c r="O98" s="552">
        <v>405</v>
      </c>
      <c r="P98" s="552">
        <v>242595</v>
      </c>
      <c r="Q98" s="548">
        <v>7</v>
      </c>
      <c r="R98" s="552">
        <v>4193</v>
      </c>
      <c r="S98" s="548">
        <v>412</v>
      </c>
      <c r="T98" s="552">
        <v>246788</v>
      </c>
      <c r="U98" s="548">
        <v>0</v>
      </c>
      <c r="V98" s="552">
        <v>0</v>
      </c>
      <c r="W98" s="552">
        <v>18</v>
      </c>
      <c r="X98" s="552">
        <v>10782</v>
      </c>
      <c r="Y98" s="552">
        <v>412</v>
      </c>
      <c r="Z98" s="552">
        <v>246788</v>
      </c>
      <c r="AA98" s="552">
        <v>1</v>
      </c>
      <c r="AB98" s="552">
        <v>599</v>
      </c>
      <c r="AC98" s="552">
        <v>411</v>
      </c>
      <c r="AD98" s="552">
        <v>246189</v>
      </c>
      <c r="AE98" s="552">
        <v>0</v>
      </c>
      <c r="AF98" s="552">
        <v>0</v>
      </c>
      <c r="AG98" s="552">
        <v>0</v>
      </c>
      <c r="AH98" s="552">
        <v>0</v>
      </c>
      <c r="AI98" s="552">
        <v>0</v>
      </c>
      <c r="AJ98" s="552">
        <v>0</v>
      </c>
    </row>
    <row r="99" spans="1:36" ht="15.95" customHeight="1">
      <c r="A99" s="547"/>
      <c r="B99" s="548">
        <v>191</v>
      </c>
      <c r="C99" s="549">
        <v>7200</v>
      </c>
      <c r="D99" s="550" t="s">
        <v>11592</v>
      </c>
      <c r="E99" s="550" t="s">
        <v>3849</v>
      </c>
      <c r="F99" s="550" t="s">
        <v>3850</v>
      </c>
      <c r="G99" s="550" t="s">
        <v>3851</v>
      </c>
      <c r="H99" s="550" t="s">
        <v>1967</v>
      </c>
      <c r="I99" s="550" t="s">
        <v>11</v>
      </c>
      <c r="J99" s="550" t="s">
        <v>11593</v>
      </c>
      <c r="K99" s="551">
        <v>45404</v>
      </c>
      <c r="L99" s="552">
        <v>599</v>
      </c>
      <c r="M99" s="552">
        <v>599</v>
      </c>
      <c r="N99" s="552">
        <v>599</v>
      </c>
      <c r="O99" s="552"/>
      <c r="P99" s="552"/>
      <c r="Q99" s="548">
        <v>10001</v>
      </c>
      <c r="R99" s="552">
        <v>5990599</v>
      </c>
      <c r="S99" s="548">
        <v>2038</v>
      </c>
      <c r="T99" s="552">
        <v>1220762</v>
      </c>
      <c r="U99" s="548">
        <v>7963</v>
      </c>
      <c r="V99" s="552">
        <v>4769837</v>
      </c>
      <c r="W99" s="552">
        <v>0</v>
      </c>
      <c r="X99" s="552">
        <v>0</v>
      </c>
      <c r="Y99" s="552">
        <v>2038</v>
      </c>
      <c r="Z99" s="552">
        <v>1220762</v>
      </c>
      <c r="AA99" s="552">
        <v>0</v>
      </c>
      <c r="AB99" s="552">
        <v>0</v>
      </c>
      <c r="AC99" s="552">
        <v>2038</v>
      </c>
      <c r="AD99" s="552">
        <v>1220762</v>
      </c>
      <c r="AE99" s="552">
        <v>0</v>
      </c>
      <c r="AF99" s="552">
        <v>0</v>
      </c>
      <c r="AG99" s="552">
        <v>0</v>
      </c>
      <c r="AH99" s="552">
        <v>0</v>
      </c>
      <c r="AI99" s="552">
        <v>0</v>
      </c>
      <c r="AJ99" s="552">
        <v>0</v>
      </c>
    </row>
    <row r="100" spans="1:36" ht="15.95" customHeight="1">
      <c r="A100" s="547"/>
      <c r="B100" s="548">
        <v>192</v>
      </c>
      <c r="C100" s="549">
        <v>7200</v>
      </c>
      <c r="D100" s="550" t="s">
        <v>11592</v>
      </c>
      <c r="E100" s="550" t="s">
        <v>3849</v>
      </c>
      <c r="F100" s="550" t="s">
        <v>3850</v>
      </c>
      <c r="G100" s="550" t="s">
        <v>3851</v>
      </c>
      <c r="H100" s="550" t="s">
        <v>1967</v>
      </c>
      <c r="I100" s="550" t="s">
        <v>11</v>
      </c>
      <c r="J100" s="550" t="s">
        <v>4291</v>
      </c>
      <c r="K100" s="551">
        <v>45120</v>
      </c>
      <c r="L100" s="552">
        <v>599</v>
      </c>
      <c r="M100" s="552">
        <v>599</v>
      </c>
      <c r="N100" s="552">
        <v>599</v>
      </c>
      <c r="O100" s="552">
        <v>4900</v>
      </c>
      <c r="P100" s="552">
        <v>2935100</v>
      </c>
      <c r="Q100" s="548">
        <v>9</v>
      </c>
      <c r="R100" s="552">
        <v>5391</v>
      </c>
      <c r="S100" s="548">
        <v>4905</v>
      </c>
      <c r="T100" s="552">
        <v>2938095</v>
      </c>
      <c r="U100" s="548">
        <v>4</v>
      </c>
      <c r="V100" s="552">
        <v>2396</v>
      </c>
      <c r="W100" s="552">
        <v>1232</v>
      </c>
      <c r="X100" s="552">
        <v>737968</v>
      </c>
      <c r="Y100" s="552">
        <v>4905</v>
      </c>
      <c r="Z100" s="552">
        <v>2938095</v>
      </c>
      <c r="AA100" s="552">
        <v>2600</v>
      </c>
      <c r="AB100" s="552">
        <v>1557400</v>
      </c>
      <c r="AC100" s="552">
        <v>2305</v>
      </c>
      <c r="AD100" s="552">
        <v>1380695</v>
      </c>
      <c r="AE100" s="552">
        <v>0</v>
      </c>
      <c r="AF100" s="552">
        <v>0</v>
      </c>
      <c r="AG100" s="552">
        <v>0</v>
      </c>
      <c r="AH100" s="552">
        <v>0</v>
      </c>
      <c r="AI100" s="552">
        <v>0</v>
      </c>
      <c r="AJ100" s="552">
        <v>0</v>
      </c>
    </row>
    <row r="101" spans="1:36" ht="15.95" customHeight="1">
      <c r="A101" s="547"/>
      <c r="B101" s="548">
        <v>193</v>
      </c>
      <c r="C101" s="549">
        <v>7200</v>
      </c>
      <c r="D101" s="550" t="s">
        <v>11592</v>
      </c>
      <c r="E101" s="550" t="s">
        <v>3849</v>
      </c>
      <c r="F101" s="550" t="s">
        <v>3850</v>
      </c>
      <c r="G101" s="550" t="s">
        <v>3851</v>
      </c>
      <c r="H101" s="550" t="s">
        <v>1967</v>
      </c>
      <c r="I101" s="550" t="s">
        <v>11</v>
      </c>
      <c r="J101" s="550" t="s">
        <v>4104</v>
      </c>
      <c r="K101" s="551">
        <v>45277</v>
      </c>
      <c r="L101" s="552">
        <v>599</v>
      </c>
      <c r="M101" s="552">
        <v>599</v>
      </c>
      <c r="N101" s="552">
        <v>599</v>
      </c>
      <c r="O101" s="552"/>
      <c r="P101" s="552"/>
      <c r="Q101" s="548">
        <v>7500</v>
      </c>
      <c r="R101" s="552">
        <v>4492500</v>
      </c>
      <c r="S101" s="548">
        <v>6260</v>
      </c>
      <c r="T101" s="552">
        <v>3749740</v>
      </c>
      <c r="U101" s="548">
        <v>1240</v>
      </c>
      <c r="V101" s="552">
        <v>742760</v>
      </c>
      <c r="W101" s="552">
        <v>1968</v>
      </c>
      <c r="X101" s="552">
        <v>1178832</v>
      </c>
      <c r="Y101" s="552">
        <v>6260</v>
      </c>
      <c r="Z101" s="552">
        <v>3749740</v>
      </c>
      <c r="AA101" s="552">
        <v>60</v>
      </c>
      <c r="AB101" s="552">
        <v>35940</v>
      </c>
      <c r="AC101" s="552">
        <v>6200</v>
      </c>
      <c r="AD101" s="552">
        <v>3713800</v>
      </c>
      <c r="AE101" s="552">
        <v>0</v>
      </c>
      <c r="AF101" s="552">
        <v>0</v>
      </c>
      <c r="AG101" s="552">
        <v>0</v>
      </c>
      <c r="AH101" s="552">
        <v>0</v>
      </c>
      <c r="AI101" s="552">
        <v>0</v>
      </c>
      <c r="AJ101" s="552">
        <v>0</v>
      </c>
    </row>
    <row r="102" spans="1:36" ht="15.95" customHeight="1">
      <c r="A102" s="547"/>
      <c r="B102" s="548">
        <v>195</v>
      </c>
      <c r="C102" s="549">
        <v>5719</v>
      </c>
      <c r="D102" s="550"/>
      <c r="E102" s="550" t="s">
        <v>3853</v>
      </c>
      <c r="F102" s="550" t="s">
        <v>1601</v>
      </c>
      <c r="G102" s="550" t="s">
        <v>708</v>
      </c>
      <c r="H102" s="550" t="s">
        <v>965</v>
      </c>
      <c r="I102" s="550" t="s">
        <v>11</v>
      </c>
      <c r="J102" s="550" t="s">
        <v>3854</v>
      </c>
      <c r="K102" s="551">
        <v>44275</v>
      </c>
      <c r="L102" s="552">
        <v>1250</v>
      </c>
      <c r="M102" s="552">
        <v>1250</v>
      </c>
      <c r="N102" s="552">
        <v>1250</v>
      </c>
      <c r="O102" s="552">
        <v>1</v>
      </c>
      <c r="P102" s="552">
        <v>1250</v>
      </c>
      <c r="Q102" s="548">
        <v>0</v>
      </c>
      <c r="R102" s="552">
        <v>0</v>
      </c>
      <c r="S102" s="548">
        <v>1</v>
      </c>
      <c r="T102" s="552">
        <v>1250</v>
      </c>
      <c r="U102" s="548">
        <v>0</v>
      </c>
      <c r="V102" s="552">
        <v>0</v>
      </c>
      <c r="W102" s="552">
        <v>0</v>
      </c>
      <c r="X102" s="552">
        <v>0</v>
      </c>
      <c r="Y102" s="552">
        <v>1</v>
      </c>
      <c r="Z102" s="552">
        <v>1250</v>
      </c>
      <c r="AA102" s="552">
        <v>1</v>
      </c>
      <c r="AB102" s="552">
        <v>1250</v>
      </c>
      <c r="AC102" s="552">
        <v>0</v>
      </c>
      <c r="AD102" s="552">
        <v>0</v>
      </c>
      <c r="AE102" s="552">
        <v>0</v>
      </c>
      <c r="AF102" s="552">
        <v>0</v>
      </c>
      <c r="AG102" s="552">
        <v>0</v>
      </c>
      <c r="AH102" s="552">
        <v>0</v>
      </c>
      <c r="AI102" s="552">
        <v>0</v>
      </c>
      <c r="AJ102" s="552">
        <v>0</v>
      </c>
    </row>
    <row r="103" spans="1:36" ht="15.95" customHeight="1">
      <c r="A103" s="547"/>
      <c r="B103" s="548">
        <v>196</v>
      </c>
      <c r="C103" s="549">
        <v>6707</v>
      </c>
      <c r="D103" s="550" t="s">
        <v>11594</v>
      </c>
      <c r="E103" s="550" t="s">
        <v>3853</v>
      </c>
      <c r="F103" s="550" t="s">
        <v>1601</v>
      </c>
      <c r="G103" s="550" t="s">
        <v>708</v>
      </c>
      <c r="H103" s="550" t="s">
        <v>965</v>
      </c>
      <c r="I103" s="550" t="s">
        <v>11</v>
      </c>
      <c r="J103" s="550" t="s">
        <v>11595</v>
      </c>
      <c r="K103" s="551">
        <v>45061</v>
      </c>
      <c r="L103" s="552">
        <v>798</v>
      </c>
      <c r="M103" s="552">
        <v>798</v>
      </c>
      <c r="N103" s="552">
        <v>798</v>
      </c>
      <c r="O103" s="552">
        <v>3540</v>
      </c>
      <c r="P103" s="552">
        <v>2824920</v>
      </c>
      <c r="Q103" s="548">
        <v>0</v>
      </c>
      <c r="R103" s="552">
        <v>0</v>
      </c>
      <c r="S103" s="548">
        <v>3138</v>
      </c>
      <c r="T103" s="552">
        <v>2504124</v>
      </c>
      <c r="U103" s="548">
        <v>402</v>
      </c>
      <c r="V103" s="552">
        <v>320796</v>
      </c>
      <c r="W103" s="552">
        <v>0</v>
      </c>
      <c r="X103" s="552">
        <v>0</v>
      </c>
      <c r="Y103" s="552">
        <v>3138</v>
      </c>
      <c r="Z103" s="552">
        <v>2504124</v>
      </c>
      <c r="AA103" s="552">
        <v>3138</v>
      </c>
      <c r="AB103" s="552">
        <v>2504124</v>
      </c>
      <c r="AC103" s="552">
        <v>0</v>
      </c>
      <c r="AD103" s="552">
        <v>0</v>
      </c>
      <c r="AE103" s="552">
        <v>0</v>
      </c>
      <c r="AF103" s="552">
        <v>0</v>
      </c>
      <c r="AG103" s="552">
        <v>0</v>
      </c>
      <c r="AH103" s="552">
        <v>0</v>
      </c>
      <c r="AI103" s="552">
        <v>0</v>
      </c>
      <c r="AJ103" s="552">
        <v>0</v>
      </c>
    </row>
    <row r="104" spans="1:36" ht="15.95" customHeight="1">
      <c r="A104" s="547"/>
      <c r="B104" s="548">
        <v>197</v>
      </c>
      <c r="C104" s="549">
        <v>6707</v>
      </c>
      <c r="D104" s="550" t="s">
        <v>11594</v>
      </c>
      <c r="E104" s="550" t="s">
        <v>3853</v>
      </c>
      <c r="F104" s="550" t="s">
        <v>1601</v>
      </c>
      <c r="G104" s="550" t="s">
        <v>708</v>
      </c>
      <c r="H104" s="550" t="s">
        <v>965</v>
      </c>
      <c r="I104" s="550" t="s">
        <v>11</v>
      </c>
      <c r="J104" s="550" t="s">
        <v>11596</v>
      </c>
      <c r="K104" s="551">
        <v>45144</v>
      </c>
      <c r="L104" s="552">
        <v>798</v>
      </c>
      <c r="M104" s="552">
        <v>798</v>
      </c>
      <c r="N104" s="552">
        <v>798</v>
      </c>
      <c r="O104" s="552">
        <v>6480</v>
      </c>
      <c r="P104" s="552">
        <v>5171040</v>
      </c>
      <c r="Q104" s="548">
        <v>0</v>
      </c>
      <c r="R104" s="552">
        <v>0</v>
      </c>
      <c r="S104" s="548">
        <v>0</v>
      </c>
      <c r="T104" s="552">
        <v>0</v>
      </c>
      <c r="U104" s="548">
        <v>6480</v>
      </c>
      <c r="V104" s="552">
        <v>5171040</v>
      </c>
      <c r="W104" s="552">
        <v>0</v>
      </c>
      <c r="X104" s="552">
        <v>0</v>
      </c>
      <c r="Y104" s="552">
        <v>0</v>
      </c>
      <c r="Z104" s="552">
        <v>0</v>
      </c>
      <c r="AA104" s="552">
        <v>0</v>
      </c>
      <c r="AB104" s="552">
        <v>0</v>
      </c>
      <c r="AC104" s="552">
        <v>0</v>
      </c>
      <c r="AD104" s="552">
        <v>0</v>
      </c>
      <c r="AE104" s="552">
        <v>0</v>
      </c>
      <c r="AF104" s="552">
        <v>0</v>
      </c>
      <c r="AG104" s="552">
        <v>0</v>
      </c>
      <c r="AH104" s="552">
        <v>0</v>
      </c>
      <c r="AI104" s="552">
        <v>0</v>
      </c>
      <c r="AJ104" s="552">
        <v>0</v>
      </c>
    </row>
    <row r="105" spans="1:36" ht="15.95" customHeight="1">
      <c r="A105" s="547"/>
      <c r="B105" s="548">
        <v>198</v>
      </c>
      <c r="C105" s="549">
        <v>5948</v>
      </c>
      <c r="D105" s="550"/>
      <c r="E105" s="550" t="s">
        <v>3855</v>
      </c>
      <c r="F105" s="550" t="s">
        <v>1254</v>
      </c>
      <c r="G105" s="550" t="s">
        <v>3856</v>
      </c>
      <c r="H105" s="550" t="s">
        <v>1255</v>
      </c>
      <c r="I105" s="550" t="s">
        <v>1258</v>
      </c>
      <c r="J105" s="550" t="s">
        <v>3857</v>
      </c>
      <c r="K105" s="551">
        <v>44287</v>
      </c>
      <c r="L105" s="552">
        <v>3550</v>
      </c>
      <c r="M105" s="552">
        <v>3550</v>
      </c>
      <c r="N105" s="552">
        <v>3550</v>
      </c>
      <c r="O105" s="552">
        <v>1</v>
      </c>
      <c r="P105" s="552">
        <v>3550</v>
      </c>
      <c r="Q105" s="548">
        <v>0</v>
      </c>
      <c r="R105" s="552">
        <v>0</v>
      </c>
      <c r="S105" s="548">
        <v>1</v>
      </c>
      <c r="T105" s="552">
        <v>3550</v>
      </c>
      <c r="U105" s="548">
        <v>0</v>
      </c>
      <c r="V105" s="552">
        <v>0</v>
      </c>
      <c r="W105" s="552">
        <v>0</v>
      </c>
      <c r="X105" s="552">
        <v>0</v>
      </c>
      <c r="Y105" s="552">
        <v>1</v>
      </c>
      <c r="Z105" s="552">
        <v>3550</v>
      </c>
      <c r="AA105" s="552">
        <v>0</v>
      </c>
      <c r="AB105" s="552">
        <v>0</v>
      </c>
      <c r="AC105" s="552">
        <v>1</v>
      </c>
      <c r="AD105" s="552">
        <v>3550</v>
      </c>
      <c r="AE105" s="552">
        <v>0</v>
      </c>
      <c r="AF105" s="552">
        <v>0</v>
      </c>
      <c r="AG105" s="552">
        <v>0</v>
      </c>
      <c r="AH105" s="552">
        <v>0</v>
      </c>
      <c r="AI105" s="552">
        <v>0</v>
      </c>
      <c r="AJ105" s="552">
        <v>0</v>
      </c>
    </row>
    <row r="106" spans="1:36" ht="15.95" customHeight="1">
      <c r="A106" s="547"/>
      <c r="B106" s="548">
        <v>199</v>
      </c>
      <c r="C106" s="549">
        <v>5455</v>
      </c>
      <c r="D106" s="550"/>
      <c r="E106" s="550" t="s">
        <v>3858</v>
      </c>
      <c r="F106" s="550" t="s">
        <v>671</v>
      </c>
      <c r="G106" s="550" t="s">
        <v>668</v>
      </c>
      <c r="H106" s="550" t="s">
        <v>327</v>
      </c>
      <c r="I106" s="550" t="s">
        <v>11</v>
      </c>
      <c r="J106" s="550" t="s">
        <v>3859</v>
      </c>
      <c r="K106" s="551">
        <v>44567</v>
      </c>
      <c r="L106" s="552">
        <v>2436</v>
      </c>
      <c r="M106" s="552">
        <v>2436</v>
      </c>
      <c r="N106" s="552">
        <v>2436</v>
      </c>
      <c r="O106" s="552">
        <v>1297</v>
      </c>
      <c r="P106" s="552">
        <v>3159492</v>
      </c>
      <c r="Q106" s="548">
        <v>0</v>
      </c>
      <c r="R106" s="552">
        <v>0</v>
      </c>
      <c r="S106" s="548">
        <v>1113</v>
      </c>
      <c r="T106" s="552">
        <v>2711268</v>
      </c>
      <c r="U106" s="548">
        <v>184</v>
      </c>
      <c r="V106" s="552">
        <v>448224</v>
      </c>
      <c r="W106" s="552">
        <v>243</v>
      </c>
      <c r="X106" s="552">
        <v>591948</v>
      </c>
      <c r="Y106" s="552">
        <v>1113</v>
      </c>
      <c r="Z106" s="552">
        <v>2711268</v>
      </c>
      <c r="AA106" s="552">
        <v>1113</v>
      </c>
      <c r="AB106" s="552">
        <v>2711268</v>
      </c>
      <c r="AC106" s="552">
        <v>0</v>
      </c>
      <c r="AD106" s="552">
        <v>0</v>
      </c>
      <c r="AE106" s="552">
        <v>0</v>
      </c>
      <c r="AF106" s="552">
        <v>0</v>
      </c>
      <c r="AG106" s="552">
        <v>0</v>
      </c>
      <c r="AH106" s="552">
        <v>0</v>
      </c>
      <c r="AI106" s="552">
        <v>0</v>
      </c>
      <c r="AJ106" s="552">
        <v>0</v>
      </c>
    </row>
    <row r="107" spans="1:36" ht="15.95" customHeight="1">
      <c r="A107" s="547"/>
      <c r="B107" s="548">
        <v>200</v>
      </c>
      <c r="C107" s="549">
        <v>5455</v>
      </c>
      <c r="D107" s="550"/>
      <c r="E107" s="550" t="s">
        <v>3858</v>
      </c>
      <c r="F107" s="550" t="s">
        <v>671</v>
      </c>
      <c r="G107" s="550" t="s">
        <v>668</v>
      </c>
      <c r="H107" s="550" t="s">
        <v>327</v>
      </c>
      <c r="I107" s="550" t="s">
        <v>11</v>
      </c>
      <c r="J107" s="550" t="s">
        <v>3860</v>
      </c>
      <c r="K107" s="551">
        <v>45040</v>
      </c>
      <c r="L107" s="552">
        <v>2436</v>
      </c>
      <c r="M107" s="552">
        <v>2436</v>
      </c>
      <c r="N107" s="552">
        <v>2436</v>
      </c>
      <c r="O107" s="552">
        <v>4000</v>
      </c>
      <c r="P107" s="552">
        <v>9744000</v>
      </c>
      <c r="Q107" s="548">
        <v>0</v>
      </c>
      <c r="R107" s="552">
        <v>0</v>
      </c>
      <c r="S107" s="548">
        <v>10</v>
      </c>
      <c r="T107" s="552">
        <v>24360</v>
      </c>
      <c r="U107" s="548">
        <v>3990</v>
      </c>
      <c r="V107" s="552">
        <v>9719640</v>
      </c>
      <c r="W107" s="552">
        <v>0</v>
      </c>
      <c r="X107" s="552">
        <v>0</v>
      </c>
      <c r="Y107" s="552">
        <v>10</v>
      </c>
      <c r="Z107" s="552">
        <v>24360</v>
      </c>
      <c r="AA107" s="552">
        <v>10</v>
      </c>
      <c r="AB107" s="552">
        <v>24360</v>
      </c>
      <c r="AC107" s="552">
        <v>0</v>
      </c>
      <c r="AD107" s="552">
        <v>0</v>
      </c>
      <c r="AE107" s="552">
        <v>0</v>
      </c>
      <c r="AF107" s="552">
        <v>0</v>
      </c>
      <c r="AG107" s="552">
        <v>0</v>
      </c>
      <c r="AH107" s="552">
        <v>0</v>
      </c>
      <c r="AI107" s="552">
        <v>0</v>
      </c>
      <c r="AJ107" s="552">
        <v>0</v>
      </c>
    </row>
    <row r="108" spans="1:36" ht="15.95" customHeight="1">
      <c r="A108" s="547"/>
      <c r="B108" s="548">
        <v>201</v>
      </c>
      <c r="C108" s="549">
        <v>5456</v>
      </c>
      <c r="D108" s="550"/>
      <c r="E108" s="550" t="s">
        <v>3861</v>
      </c>
      <c r="F108" s="550" t="s">
        <v>669</v>
      </c>
      <c r="G108" s="550" t="s">
        <v>668</v>
      </c>
      <c r="H108" s="550" t="s">
        <v>238</v>
      </c>
      <c r="I108" s="550" t="s">
        <v>11</v>
      </c>
      <c r="J108" s="550" t="s">
        <v>3862</v>
      </c>
      <c r="K108" s="551">
        <v>44467</v>
      </c>
      <c r="L108" s="552">
        <v>4116</v>
      </c>
      <c r="M108" s="552">
        <v>4116</v>
      </c>
      <c r="N108" s="552">
        <v>4116</v>
      </c>
      <c r="O108" s="552">
        <v>1252</v>
      </c>
      <c r="P108" s="552">
        <v>5153232</v>
      </c>
      <c r="Q108" s="548">
        <v>0</v>
      </c>
      <c r="R108" s="552">
        <v>0</v>
      </c>
      <c r="S108" s="548">
        <v>1252</v>
      </c>
      <c r="T108" s="552">
        <v>5153232</v>
      </c>
      <c r="U108" s="548">
        <v>0</v>
      </c>
      <c r="V108" s="552">
        <v>0</v>
      </c>
      <c r="W108" s="552">
        <v>0</v>
      </c>
      <c r="X108" s="552">
        <v>0</v>
      </c>
      <c r="Y108" s="552">
        <v>1252</v>
      </c>
      <c r="Z108" s="552">
        <v>5153232</v>
      </c>
      <c r="AA108" s="552">
        <v>1252</v>
      </c>
      <c r="AB108" s="552">
        <v>5153232</v>
      </c>
      <c r="AC108" s="552">
        <v>0</v>
      </c>
      <c r="AD108" s="552">
        <v>0</v>
      </c>
      <c r="AE108" s="552">
        <v>0</v>
      </c>
      <c r="AF108" s="552">
        <v>0</v>
      </c>
      <c r="AG108" s="552">
        <v>0</v>
      </c>
      <c r="AH108" s="552">
        <v>0</v>
      </c>
      <c r="AI108" s="552">
        <v>0</v>
      </c>
      <c r="AJ108" s="552">
        <v>0</v>
      </c>
    </row>
    <row r="109" spans="1:36" ht="15.95" customHeight="1">
      <c r="A109" s="547"/>
      <c r="B109" s="548">
        <v>214</v>
      </c>
      <c r="C109" s="549">
        <v>6710</v>
      </c>
      <c r="D109" s="550" t="s">
        <v>11597</v>
      </c>
      <c r="E109" s="550" t="s">
        <v>3863</v>
      </c>
      <c r="F109" s="550" t="s">
        <v>3864</v>
      </c>
      <c r="G109" s="550" t="s">
        <v>816</v>
      </c>
      <c r="H109" s="550" t="s">
        <v>299</v>
      </c>
      <c r="I109" s="550" t="s">
        <v>11</v>
      </c>
      <c r="J109" s="550" t="s">
        <v>3865</v>
      </c>
      <c r="K109" s="551">
        <v>44512</v>
      </c>
      <c r="L109" s="552">
        <v>830</v>
      </c>
      <c r="M109" s="552">
        <v>830</v>
      </c>
      <c r="N109" s="552">
        <v>830</v>
      </c>
      <c r="O109" s="552">
        <v>5760</v>
      </c>
      <c r="P109" s="552">
        <v>4780800</v>
      </c>
      <c r="Q109" s="548">
        <v>0</v>
      </c>
      <c r="R109" s="552">
        <v>0</v>
      </c>
      <c r="S109" s="548">
        <v>5760</v>
      </c>
      <c r="T109" s="552">
        <v>4780800</v>
      </c>
      <c r="U109" s="548">
        <v>0</v>
      </c>
      <c r="V109" s="552">
        <v>0</v>
      </c>
      <c r="W109" s="552">
        <v>0</v>
      </c>
      <c r="X109" s="552">
        <v>0</v>
      </c>
      <c r="Y109" s="552">
        <v>5760</v>
      </c>
      <c r="Z109" s="552">
        <v>4780800</v>
      </c>
      <c r="AA109" s="552">
        <v>5760</v>
      </c>
      <c r="AB109" s="552">
        <v>4780800</v>
      </c>
      <c r="AC109" s="552">
        <v>0</v>
      </c>
      <c r="AD109" s="552">
        <v>0</v>
      </c>
      <c r="AE109" s="552">
        <v>0</v>
      </c>
      <c r="AF109" s="552">
        <v>0</v>
      </c>
      <c r="AG109" s="552">
        <v>0</v>
      </c>
      <c r="AH109" s="552">
        <v>0</v>
      </c>
      <c r="AI109" s="552">
        <v>0</v>
      </c>
      <c r="AJ109" s="552">
        <v>0</v>
      </c>
    </row>
    <row r="110" spans="1:36" ht="15.95" customHeight="1">
      <c r="A110" s="547"/>
      <c r="B110" s="548">
        <v>215</v>
      </c>
      <c r="C110" s="549">
        <v>6710</v>
      </c>
      <c r="D110" s="550" t="s">
        <v>11597</v>
      </c>
      <c r="E110" s="550" t="s">
        <v>3863</v>
      </c>
      <c r="F110" s="550" t="s">
        <v>3864</v>
      </c>
      <c r="G110" s="550" t="s">
        <v>816</v>
      </c>
      <c r="H110" s="550" t="s">
        <v>299</v>
      </c>
      <c r="I110" s="550" t="s">
        <v>11</v>
      </c>
      <c r="J110" s="550" t="s">
        <v>11598</v>
      </c>
      <c r="K110" s="551">
        <v>44930</v>
      </c>
      <c r="L110" s="552">
        <v>830</v>
      </c>
      <c r="M110" s="552">
        <v>830</v>
      </c>
      <c r="N110" s="552">
        <v>830</v>
      </c>
      <c r="O110" s="552"/>
      <c r="P110" s="552"/>
      <c r="Q110" s="548">
        <v>9990</v>
      </c>
      <c r="R110" s="552">
        <v>8291700</v>
      </c>
      <c r="S110" s="548">
        <v>0</v>
      </c>
      <c r="T110" s="552">
        <v>0</v>
      </c>
      <c r="U110" s="548">
        <v>9990</v>
      </c>
      <c r="V110" s="552">
        <v>8291700</v>
      </c>
      <c r="W110" s="552">
        <v>0</v>
      </c>
      <c r="X110" s="552">
        <v>0</v>
      </c>
      <c r="Y110" s="552">
        <v>0</v>
      </c>
      <c r="Z110" s="552">
        <v>0</v>
      </c>
      <c r="AA110" s="552">
        <v>0</v>
      </c>
      <c r="AB110" s="552">
        <v>0</v>
      </c>
      <c r="AC110" s="552">
        <v>0</v>
      </c>
      <c r="AD110" s="552">
        <v>0</v>
      </c>
      <c r="AE110" s="552">
        <v>0</v>
      </c>
      <c r="AF110" s="552">
        <v>0</v>
      </c>
      <c r="AG110" s="552">
        <v>0</v>
      </c>
      <c r="AH110" s="552">
        <v>0</v>
      </c>
      <c r="AI110" s="552">
        <v>0</v>
      </c>
      <c r="AJ110" s="552">
        <v>0</v>
      </c>
    </row>
    <row r="111" spans="1:36" ht="15.95" customHeight="1">
      <c r="A111" s="547"/>
      <c r="B111" s="548">
        <v>217</v>
      </c>
      <c r="C111" s="549">
        <v>4441</v>
      </c>
      <c r="D111" s="550" t="s">
        <v>11599</v>
      </c>
      <c r="E111" s="550" t="s">
        <v>3866</v>
      </c>
      <c r="F111" s="550" t="s">
        <v>3562</v>
      </c>
      <c r="G111" s="550" t="s">
        <v>784</v>
      </c>
      <c r="H111" s="550" t="s">
        <v>422</v>
      </c>
      <c r="I111" s="550" t="s">
        <v>520</v>
      </c>
      <c r="J111" s="550" t="s">
        <v>3867</v>
      </c>
      <c r="K111" s="551">
        <v>44469</v>
      </c>
      <c r="L111" s="552">
        <v>101430</v>
      </c>
      <c r="M111" s="552">
        <v>101430</v>
      </c>
      <c r="N111" s="552">
        <v>101430</v>
      </c>
      <c r="O111" s="552">
        <v>24</v>
      </c>
      <c r="P111" s="552">
        <v>2434320</v>
      </c>
      <c r="Q111" s="548">
        <v>1</v>
      </c>
      <c r="R111" s="552">
        <v>101430</v>
      </c>
      <c r="S111" s="548">
        <v>25</v>
      </c>
      <c r="T111" s="552">
        <v>2535750</v>
      </c>
      <c r="U111" s="548">
        <v>0</v>
      </c>
      <c r="V111" s="552">
        <v>0</v>
      </c>
      <c r="W111" s="552">
        <v>0</v>
      </c>
      <c r="X111" s="552">
        <v>0</v>
      </c>
      <c r="Y111" s="552">
        <v>25</v>
      </c>
      <c r="Z111" s="552">
        <v>2535750</v>
      </c>
      <c r="AA111" s="552">
        <v>0</v>
      </c>
      <c r="AB111" s="552">
        <v>0</v>
      </c>
      <c r="AC111" s="552">
        <v>25</v>
      </c>
      <c r="AD111" s="552">
        <v>2535750</v>
      </c>
      <c r="AE111" s="552">
        <v>0</v>
      </c>
      <c r="AF111" s="552">
        <v>0</v>
      </c>
      <c r="AG111" s="552">
        <v>0</v>
      </c>
      <c r="AH111" s="552">
        <v>0</v>
      </c>
      <c r="AI111" s="552">
        <v>0</v>
      </c>
      <c r="AJ111" s="552">
        <v>0</v>
      </c>
    </row>
    <row r="112" spans="1:36" ht="15.95" customHeight="1">
      <c r="A112" s="547"/>
      <c r="B112" s="548">
        <v>218</v>
      </c>
      <c r="C112" s="549">
        <v>6715</v>
      </c>
      <c r="D112" s="550" t="s">
        <v>11600</v>
      </c>
      <c r="E112" s="550" t="s">
        <v>3868</v>
      </c>
      <c r="F112" s="550" t="s">
        <v>2809</v>
      </c>
      <c r="G112" s="550" t="s">
        <v>1318</v>
      </c>
      <c r="H112" s="550" t="s">
        <v>238</v>
      </c>
      <c r="I112" s="550" t="s">
        <v>11</v>
      </c>
      <c r="J112" s="550" t="s">
        <v>3869</v>
      </c>
      <c r="K112" s="551">
        <v>44985</v>
      </c>
      <c r="L112" s="552">
        <v>51</v>
      </c>
      <c r="M112" s="552">
        <v>51</v>
      </c>
      <c r="N112" s="552">
        <v>51</v>
      </c>
      <c r="O112" s="552">
        <v>100</v>
      </c>
      <c r="P112" s="552">
        <v>5100</v>
      </c>
      <c r="Q112" s="548">
        <v>0</v>
      </c>
      <c r="R112" s="552">
        <v>0</v>
      </c>
      <c r="S112" s="548">
        <v>100</v>
      </c>
      <c r="T112" s="552">
        <v>5100</v>
      </c>
      <c r="U112" s="548">
        <v>0</v>
      </c>
      <c r="V112" s="552">
        <v>0</v>
      </c>
      <c r="W112" s="552">
        <v>2886</v>
      </c>
      <c r="X112" s="552">
        <v>147186</v>
      </c>
      <c r="Y112" s="552">
        <v>50</v>
      </c>
      <c r="Z112" s="552">
        <v>2550</v>
      </c>
      <c r="AA112" s="552">
        <v>0</v>
      </c>
      <c r="AB112" s="552">
        <v>0</v>
      </c>
      <c r="AC112" s="552">
        <v>50</v>
      </c>
      <c r="AD112" s="552">
        <v>2550</v>
      </c>
      <c r="AE112" s="552">
        <v>0</v>
      </c>
      <c r="AF112" s="552">
        <v>0</v>
      </c>
      <c r="AG112" s="552">
        <v>50</v>
      </c>
      <c r="AH112" s="552">
        <v>2550</v>
      </c>
      <c r="AI112" s="552">
        <v>0</v>
      </c>
      <c r="AJ112" s="552">
        <v>0</v>
      </c>
    </row>
    <row r="113" spans="1:36" ht="15.95" customHeight="1">
      <c r="A113" s="547"/>
      <c r="B113" s="548">
        <v>219</v>
      </c>
      <c r="C113" s="549">
        <v>6715</v>
      </c>
      <c r="D113" s="550" t="s">
        <v>11600</v>
      </c>
      <c r="E113" s="550" t="s">
        <v>3868</v>
      </c>
      <c r="F113" s="550" t="s">
        <v>2809</v>
      </c>
      <c r="G113" s="550" t="s">
        <v>1318</v>
      </c>
      <c r="H113" s="550" t="s">
        <v>238</v>
      </c>
      <c r="I113" s="550" t="s">
        <v>11</v>
      </c>
      <c r="J113" s="550" t="s">
        <v>11601</v>
      </c>
      <c r="K113" s="551">
        <v>45228</v>
      </c>
      <c r="L113" s="552">
        <v>51</v>
      </c>
      <c r="M113" s="552">
        <v>51</v>
      </c>
      <c r="N113" s="552">
        <v>51</v>
      </c>
      <c r="O113" s="552"/>
      <c r="P113" s="552"/>
      <c r="Q113" s="548">
        <v>22500</v>
      </c>
      <c r="R113" s="552">
        <v>1147500</v>
      </c>
      <c r="S113" s="548">
        <v>22500</v>
      </c>
      <c r="T113" s="552">
        <v>1147500</v>
      </c>
      <c r="U113" s="548">
        <v>0</v>
      </c>
      <c r="V113" s="552">
        <v>0</v>
      </c>
      <c r="W113" s="552">
        <v>14000</v>
      </c>
      <c r="X113" s="552">
        <v>714000</v>
      </c>
      <c r="Y113" s="552">
        <v>22500</v>
      </c>
      <c r="Z113" s="552">
        <v>1147500</v>
      </c>
      <c r="AA113" s="552">
        <v>0</v>
      </c>
      <c r="AB113" s="552">
        <v>0</v>
      </c>
      <c r="AC113" s="552">
        <v>22500</v>
      </c>
      <c r="AD113" s="552">
        <v>1147500</v>
      </c>
      <c r="AE113" s="552">
        <v>0</v>
      </c>
      <c r="AF113" s="552">
        <v>0</v>
      </c>
      <c r="AG113" s="552">
        <v>0</v>
      </c>
      <c r="AH113" s="552">
        <v>0</v>
      </c>
      <c r="AI113" s="552">
        <v>0</v>
      </c>
      <c r="AJ113" s="552">
        <v>0</v>
      </c>
    </row>
    <row r="114" spans="1:36" ht="15.95" customHeight="1">
      <c r="A114" s="547"/>
      <c r="B114" s="548">
        <v>220</v>
      </c>
      <c r="C114" s="549">
        <v>6715</v>
      </c>
      <c r="D114" s="550" t="s">
        <v>11600</v>
      </c>
      <c r="E114" s="550" t="s">
        <v>3868</v>
      </c>
      <c r="F114" s="550" t="s">
        <v>2809</v>
      </c>
      <c r="G114" s="550" t="s">
        <v>1318</v>
      </c>
      <c r="H114" s="550" t="s">
        <v>238</v>
      </c>
      <c r="I114" s="550" t="s">
        <v>11</v>
      </c>
      <c r="J114" s="550" t="s">
        <v>11602</v>
      </c>
      <c r="K114" s="551">
        <v>45228</v>
      </c>
      <c r="L114" s="552">
        <v>51</v>
      </c>
      <c r="M114" s="552">
        <v>51</v>
      </c>
      <c r="N114" s="552">
        <v>51</v>
      </c>
      <c r="O114" s="552"/>
      <c r="P114" s="552"/>
      <c r="Q114" s="548">
        <v>4000</v>
      </c>
      <c r="R114" s="552">
        <v>204000</v>
      </c>
      <c r="S114" s="548">
        <v>4000</v>
      </c>
      <c r="T114" s="552">
        <v>204000</v>
      </c>
      <c r="U114" s="548">
        <v>0</v>
      </c>
      <c r="V114" s="552">
        <v>0</v>
      </c>
      <c r="W114" s="552">
        <v>3565</v>
      </c>
      <c r="X114" s="552">
        <v>181815</v>
      </c>
      <c r="Y114" s="552">
        <v>4000</v>
      </c>
      <c r="Z114" s="552">
        <v>204000</v>
      </c>
      <c r="AA114" s="552">
        <v>0</v>
      </c>
      <c r="AB114" s="552">
        <v>0</v>
      </c>
      <c r="AC114" s="552">
        <v>4000</v>
      </c>
      <c r="AD114" s="552">
        <v>204000</v>
      </c>
      <c r="AE114" s="552">
        <v>0</v>
      </c>
      <c r="AF114" s="552">
        <v>0</v>
      </c>
      <c r="AG114" s="552">
        <v>0</v>
      </c>
      <c r="AH114" s="552">
        <v>0</v>
      </c>
      <c r="AI114" s="552">
        <v>0</v>
      </c>
      <c r="AJ114" s="552">
        <v>0</v>
      </c>
    </row>
    <row r="115" spans="1:36" ht="15.95" customHeight="1">
      <c r="A115" s="547"/>
      <c r="B115" s="548">
        <v>225</v>
      </c>
      <c r="C115" s="549">
        <v>5489</v>
      </c>
      <c r="D115" s="550"/>
      <c r="E115" s="550" t="s">
        <v>3870</v>
      </c>
      <c r="F115" s="550" t="s">
        <v>1321</v>
      </c>
      <c r="G115" s="550" t="s">
        <v>1321</v>
      </c>
      <c r="H115" s="550" t="s">
        <v>248</v>
      </c>
      <c r="I115" s="550" t="s">
        <v>11</v>
      </c>
      <c r="J115" s="550" t="s">
        <v>3871</v>
      </c>
      <c r="K115" s="551">
        <v>44409</v>
      </c>
      <c r="L115" s="552">
        <v>47</v>
      </c>
      <c r="M115" s="552">
        <v>47</v>
      </c>
      <c r="N115" s="552">
        <v>47</v>
      </c>
      <c r="O115" s="552">
        <v>203</v>
      </c>
      <c r="P115" s="552">
        <v>9541</v>
      </c>
      <c r="Q115" s="548">
        <v>3</v>
      </c>
      <c r="R115" s="552">
        <v>141</v>
      </c>
      <c r="S115" s="548">
        <v>206</v>
      </c>
      <c r="T115" s="552">
        <v>9682</v>
      </c>
      <c r="U115" s="548">
        <v>0</v>
      </c>
      <c r="V115" s="552">
        <v>0</v>
      </c>
      <c r="W115" s="552">
        <v>3</v>
      </c>
      <c r="X115" s="552">
        <v>141</v>
      </c>
      <c r="Y115" s="552">
        <v>206</v>
      </c>
      <c r="Z115" s="552">
        <v>9682</v>
      </c>
      <c r="AA115" s="552">
        <v>2</v>
      </c>
      <c r="AB115" s="552">
        <v>94</v>
      </c>
      <c r="AC115" s="552">
        <v>204</v>
      </c>
      <c r="AD115" s="552">
        <v>9588</v>
      </c>
      <c r="AE115" s="552">
        <v>0</v>
      </c>
      <c r="AF115" s="552">
        <v>0</v>
      </c>
      <c r="AG115" s="552">
        <v>0</v>
      </c>
      <c r="AH115" s="552">
        <v>0</v>
      </c>
      <c r="AI115" s="552">
        <v>0</v>
      </c>
      <c r="AJ115" s="552">
        <v>0</v>
      </c>
    </row>
    <row r="116" spans="1:36" ht="15.95" customHeight="1">
      <c r="A116" s="547"/>
      <c r="B116" s="548">
        <v>226</v>
      </c>
      <c r="C116" s="549">
        <v>7830</v>
      </c>
      <c r="D116" s="550" t="s">
        <v>11603</v>
      </c>
      <c r="E116" s="550" t="s">
        <v>11603</v>
      </c>
      <c r="F116" s="550" t="s">
        <v>11604</v>
      </c>
      <c r="G116" s="550" t="s">
        <v>11605</v>
      </c>
      <c r="H116" s="550" t="s">
        <v>258</v>
      </c>
      <c r="I116" s="550" t="s">
        <v>14</v>
      </c>
      <c r="J116" s="550" t="s">
        <v>11606</v>
      </c>
      <c r="K116" s="551">
        <v>45107</v>
      </c>
      <c r="L116" s="552">
        <v>0</v>
      </c>
      <c r="M116" s="552">
        <v>0</v>
      </c>
      <c r="N116" s="552">
        <v>0</v>
      </c>
      <c r="O116" s="552"/>
      <c r="P116" s="552"/>
      <c r="Q116" s="548">
        <v>80</v>
      </c>
      <c r="R116" s="552">
        <v>0</v>
      </c>
      <c r="S116" s="548">
        <v>80</v>
      </c>
      <c r="T116" s="552">
        <v>0</v>
      </c>
      <c r="U116" s="548">
        <v>0</v>
      </c>
      <c r="V116" s="552">
        <v>0</v>
      </c>
      <c r="W116" s="552">
        <v>0</v>
      </c>
      <c r="X116" s="552">
        <v>0</v>
      </c>
      <c r="Y116" s="552">
        <v>28</v>
      </c>
      <c r="Z116" s="552">
        <v>0</v>
      </c>
      <c r="AA116" s="552">
        <v>0</v>
      </c>
      <c r="AB116" s="552">
        <v>0</v>
      </c>
      <c r="AC116" s="552">
        <v>28</v>
      </c>
      <c r="AD116" s="552">
        <v>0</v>
      </c>
      <c r="AE116" s="552">
        <v>0</v>
      </c>
      <c r="AF116" s="552">
        <v>0</v>
      </c>
      <c r="AG116" s="552">
        <v>52</v>
      </c>
      <c r="AH116" s="552">
        <v>0</v>
      </c>
      <c r="AI116" s="552">
        <v>0</v>
      </c>
      <c r="AJ116" s="552">
        <v>0</v>
      </c>
    </row>
    <row r="117" spans="1:36" ht="15.95" customHeight="1">
      <c r="A117" s="547"/>
      <c r="B117" s="548">
        <v>233</v>
      </c>
      <c r="C117" s="549">
        <v>7593</v>
      </c>
      <c r="D117" s="550" t="s">
        <v>11607</v>
      </c>
      <c r="E117" s="550" t="s">
        <v>4253</v>
      </c>
      <c r="F117" s="550" t="s">
        <v>7764</v>
      </c>
      <c r="G117" s="550" t="s">
        <v>11608</v>
      </c>
      <c r="H117" s="550" t="s">
        <v>1165</v>
      </c>
      <c r="I117" s="550" t="s">
        <v>11</v>
      </c>
      <c r="J117" s="550" t="s">
        <v>11609</v>
      </c>
      <c r="K117" s="551">
        <v>45371</v>
      </c>
      <c r="L117" s="552">
        <v>3675</v>
      </c>
      <c r="M117" s="552">
        <v>3675</v>
      </c>
      <c r="N117" s="552">
        <v>3675</v>
      </c>
      <c r="O117" s="552"/>
      <c r="P117" s="552"/>
      <c r="Q117" s="548">
        <v>3270</v>
      </c>
      <c r="R117" s="552">
        <v>12017250</v>
      </c>
      <c r="S117" s="548">
        <v>0</v>
      </c>
      <c r="T117" s="552">
        <v>0</v>
      </c>
      <c r="U117" s="548">
        <v>3270</v>
      </c>
      <c r="V117" s="552">
        <v>12017250</v>
      </c>
      <c r="W117" s="552">
        <v>0</v>
      </c>
      <c r="X117" s="552">
        <v>0</v>
      </c>
      <c r="Y117" s="552">
        <v>0</v>
      </c>
      <c r="Z117" s="552">
        <v>0</v>
      </c>
      <c r="AA117" s="552">
        <v>0</v>
      </c>
      <c r="AB117" s="552">
        <v>0</v>
      </c>
      <c r="AC117" s="552">
        <v>0</v>
      </c>
      <c r="AD117" s="552">
        <v>0</v>
      </c>
      <c r="AE117" s="552">
        <v>0</v>
      </c>
      <c r="AF117" s="552">
        <v>0</v>
      </c>
      <c r="AG117" s="552">
        <v>0</v>
      </c>
      <c r="AH117" s="552">
        <v>0</v>
      </c>
      <c r="AI117" s="552">
        <v>0</v>
      </c>
      <c r="AJ117" s="552">
        <v>0</v>
      </c>
    </row>
    <row r="118" spans="1:36" ht="15.95" customHeight="1">
      <c r="A118" s="547"/>
      <c r="B118" s="548">
        <v>234</v>
      </c>
      <c r="C118" s="549">
        <v>7593</v>
      </c>
      <c r="D118" s="550" t="s">
        <v>11607</v>
      </c>
      <c r="E118" s="550" t="s">
        <v>4253</v>
      </c>
      <c r="F118" s="550" t="s">
        <v>7764</v>
      </c>
      <c r="G118" s="550" t="s">
        <v>11608</v>
      </c>
      <c r="H118" s="550" t="s">
        <v>1165</v>
      </c>
      <c r="I118" s="550" t="s">
        <v>11</v>
      </c>
      <c r="J118" s="550" t="s">
        <v>11610</v>
      </c>
      <c r="K118" s="551">
        <v>45410</v>
      </c>
      <c r="L118" s="552">
        <v>3675</v>
      </c>
      <c r="M118" s="552">
        <v>3675</v>
      </c>
      <c r="N118" s="552">
        <v>3675</v>
      </c>
      <c r="O118" s="552"/>
      <c r="P118" s="552"/>
      <c r="Q118" s="548">
        <v>2730</v>
      </c>
      <c r="R118" s="552">
        <v>10032750</v>
      </c>
      <c r="S118" s="548">
        <v>0</v>
      </c>
      <c r="T118" s="552">
        <v>0</v>
      </c>
      <c r="U118" s="548">
        <v>2730</v>
      </c>
      <c r="V118" s="552">
        <v>10032750</v>
      </c>
      <c r="W118" s="552">
        <v>0</v>
      </c>
      <c r="X118" s="552">
        <v>0</v>
      </c>
      <c r="Y118" s="552">
        <v>0</v>
      </c>
      <c r="Z118" s="552">
        <v>0</v>
      </c>
      <c r="AA118" s="552">
        <v>0</v>
      </c>
      <c r="AB118" s="552">
        <v>0</v>
      </c>
      <c r="AC118" s="552">
        <v>0</v>
      </c>
      <c r="AD118" s="552">
        <v>0</v>
      </c>
      <c r="AE118" s="552">
        <v>0</v>
      </c>
      <c r="AF118" s="552">
        <v>0</v>
      </c>
      <c r="AG118" s="552">
        <v>0</v>
      </c>
      <c r="AH118" s="552">
        <v>0</v>
      </c>
      <c r="AI118" s="552">
        <v>0</v>
      </c>
      <c r="AJ118" s="552">
        <v>0</v>
      </c>
    </row>
    <row r="119" spans="1:36" ht="15.95" customHeight="1">
      <c r="A119" s="547"/>
      <c r="B119" s="548">
        <v>235</v>
      </c>
      <c r="C119" s="549">
        <v>5492</v>
      </c>
      <c r="D119" s="550"/>
      <c r="E119" s="550" t="s">
        <v>3873</v>
      </c>
      <c r="F119" s="550" t="s">
        <v>1324</v>
      </c>
      <c r="G119" s="550" t="s">
        <v>2466</v>
      </c>
      <c r="H119" s="550" t="s">
        <v>390</v>
      </c>
      <c r="I119" s="550" t="s">
        <v>11</v>
      </c>
      <c r="J119" s="550" t="s">
        <v>3874</v>
      </c>
      <c r="K119" s="551">
        <v>44470</v>
      </c>
      <c r="L119" s="552">
        <v>27</v>
      </c>
      <c r="M119" s="552">
        <v>27</v>
      </c>
      <c r="N119" s="552">
        <v>27</v>
      </c>
      <c r="O119" s="552">
        <v>1</v>
      </c>
      <c r="P119" s="552">
        <v>27</v>
      </c>
      <c r="Q119" s="548">
        <v>0</v>
      </c>
      <c r="R119" s="552">
        <v>0</v>
      </c>
      <c r="S119" s="548">
        <v>1</v>
      </c>
      <c r="T119" s="552">
        <v>27</v>
      </c>
      <c r="U119" s="548">
        <v>0</v>
      </c>
      <c r="V119" s="552">
        <v>0</v>
      </c>
      <c r="W119" s="552">
        <v>0</v>
      </c>
      <c r="X119" s="552">
        <v>0</v>
      </c>
      <c r="Y119" s="552">
        <v>1</v>
      </c>
      <c r="Z119" s="552">
        <v>27</v>
      </c>
      <c r="AA119" s="552">
        <v>1</v>
      </c>
      <c r="AB119" s="552">
        <v>27</v>
      </c>
      <c r="AC119" s="552">
        <v>0</v>
      </c>
      <c r="AD119" s="552">
        <v>0</v>
      </c>
      <c r="AE119" s="552">
        <v>0</v>
      </c>
      <c r="AF119" s="552">
        <v>0</v>
      </c>
      <c r="AG119" s="552">
        <v>0</v>
      </c>
      <c r="AH119" s="552">
        <v>0</v>
      </c>
      <c r="AI119" s="552">
        <v>0</v>
      </c>
      <c r="AJ119" s="552">
        <v>0</v>
      </c>
    </row>
    <row r="120" spans="1:36" ht="15.95" customHeight="1">
      <c r="A120" s="547"/>
      <c r="B120" s="548">
        <v>236</v>
      </c>
      <c r="C120" s="549">
        <v>6716</v>
      </c>
      <c r="D120" s="550" t="s">
        <v>11611</v>
      </c>
      <c r="E120" s="550" t="s">
        <v>3873</v>
      </c>
      <c r="F120" s="550" t="s">
        <v>1324</v>
      </c>
      <c r="G120" s="550" t="s">
        <v>2466</v>
      </c>
      <c r="H120" s="550" t="s">
        <v>390</v>
      </c>
      <c r="I120" s="550" t="s">
        <v>11</v>
      </c>
      <c r="J120" s="550" t="s">
        <v>11612</v>
      </c>
      <c r="K120" s="551">
        <v>45246</v>
      </c>
      <c r="L120" s="552">
        <v>27</v>
      </c>
      <c r="M120" s="552">
        <v>27</v>
      </c>
      <c r="N120" s="552">
        <v>27</v>
      </c>
      <c r="O120" s="552">
        <v>19895</v>
      </c>
      <c r="P120" s="552">
        <v>537165</v>
      </c>
      <c r="Q120" s="548">
        <v>0</v>
      </c>
      <c r="R120" s="552">
        <v>0</v>
      </c>
      <c r="S120" s="548">
        <v>18504</v>
      </c>
      <c r="T120" s="552">
        <v>499608</v>
      </c>
      <c r="U120" s="548">
        <v>1391</v>
      </c>
      <c r="V120" s="552">
        <v>37557</v>
      </c>
      <c r="W120" s="552">
        <v>23455</v>
      </c>
      <c r="X120" s="552">
        <v>633285</v>
      </c>
      <c r="Y120" s="552">
        <v>18504</v>
      </c>
      <c r="Z120" s="552">
        <v>499608</v>
      </c>
      <c r="AA120" s="552">
        <v>3504</v>
      </c>
      <c r="AB120" s="552">
        <v>94608</v>
      </c>
      <c r="AC120" s="552">
        <v>15000</v>
      </c>
      <c r="AD120" s="552">
        <v>405000</v>
      </c>
      <c r="AE120" s="552">
        <v>0</v>
      </c>
      <c r="AF120" s="552">
        <v>0</v>
      </c>
      <c r="AG120" s="552">
        <v>0</v>
      </c>
      <c r="AH120" s="552">
        <v>0</v>
      </c>
      <c r="AI120" s="552">
        <v>0</v>
      </c>
      <c r="AJ120" s="552">
        <v>0</v>
      </c>
    </row>
    <row r="121" spans="1:36" ht="15.95" customHeight="1">
      <c r="A121" s="547"/>
      <c r="B121" s="548">
        <v>237</v>
      </c>
      <c r="C121" s="549">
        <v>6716</v>
      </c>
      <c r="D121" s="550" t="s">
        <v>11611</v>
      </c>
      <c r="E121" s="550" t="s">
        <v>3873</v>
      </c>
      <c r="F121" s="550" t="s">
        <v>1324</v>
      </c>
      <c r="G121" s="550" t="s">
        <v>2466</v>
      </c>
      <c r="H121" s="550" t="s">
        <v>390</v>
      </c>
      <c r="I121" s="550" t="s">
        <v>11</v>
      </c>
      <c r="J121" s="550" t="s">
        <v>11613</v>
      </c>
      <c r="K121" s="551">
        <v>45423</v>
      </c>
      <c r="L121" s="552">
        <v>27</v>
      </c>
      <c r="M121" s="552">
        <v>27</v>
      </c>
      <c r="N121" s="552">
        <v>27</v>
      </c>
      <c r="O121" s="552"/>
      <c r="P121" s="552"/>
      <c r="Q121" s="548">
        <v>30168</v>
      </c>
      <c r="R121" s="552">
        <v>814536</v>
      </c>
      <c r="S121" s="548">
        <v>13593</v>
      </c>
      <c r="T121" s="552">
        <v>367011</v>
      </c>
      <c r="U121" s="548">
        <v>16575</v>
      </c>
      <c r="V121" s="552">
        <v>447525</v>
      </c>
      <c r="W121" s="552">
        <v>2227</v>
      </c>
      <c r="X121" s="552">
        <v>60129</v>
      </c>
      <c r="Y121" s="552">
        <v>13548</v>
      </c>
      <c r="Z121" s="552">
        <v>365796</v>
      </c>
      <c r="AA121" s="552">
        <v>0</v>
      </c>
      <c r="AB121" s="552">
        <v>0</v>
      </c>
      <c r="AC121" s="552">
        <v>13548</v>
      </c>
      <c r="AD121" s="552">
        <v>365796</v>
      </c>
      <c r="AE121" s="552">
        <v>0</v>
      </c>
      <c r="AF121" s="552">
        <v>0</v>
      </c>
      <c r="AG121" s="552">
        <v>45</v>
      </c>
      <c r="AH121" s="552">
        <v>1215</v>
      </c>
      <c r="AI121" s="552">
        <v>0</v>
      </c>
      <c r="AJ121" s="552">
        <v>0</v>
      </c>
    </row>
    <row r="122" spans="1:36" ht="15.95" customHeight="1">
      <c r="A122" s="547"/>
      <c r="B122" s="548">
        <v>238</v>
      </c>
      <c r="C122" s="549">
        <v>6716</v>
      </c>
      <c r="D122" s="550" t="s">
        <v>11611</v>
      </c>
      <c r="E122" s="550" t="s">
        <v>3873</v>
      </c>
      <c r="F122" s="550" t="s">
        <v>1324</v>
      </c>
      <c r="G122" s="550" t="s">
        <v>2466</v>
      </c>
      <c r="H122" s="550" t="s">
        <v>390</v>
      </c>
      <c r="I122" s="550" t="s">
        <v>11</v>
      </c>
      <c r="J122" s="550" t="s">
        <v>11614</v>
      </c>
      <c r="K122" s="551">
        <v>45342</v>
      </c>
      <c r="L122" s="552">
        <v>27</v>
      </c>
      <c r="M122" s="552">
        <v>27</v>
      </c>
      <c r="N122" s="552">
        <v>27</v>
      </c>
      <c r="O122" s="552"/>
      <c r="P122" s="552"/>
      <c r="Q122" s="548">
        <v>29003</v>
      </c>
      <c r="R122" s="552">
        <v>783081</v>
      </c>
      <c r="S122" s="548">
        <v>28935</v>
      </c>
      <c r="T122" s="552">
        <v>781245</v>
      </c>
      <c r="U122" s="548">
        <v>68</v>
      </c>
      <c r="V122" s="552">
        <v>1836</v>
      </c>
      <c r="W122" s="552">
        <v>3146</v>
      </c>
      <c r="X122" s="552">
        <v>84942</v>
      </c>
      <c r="Y122" s="552">
        <v>28935</v>
      </c>
      <c r="Z122" s="552">
        <v>781245</v>
      </c>
      <c r="AA122" s="552">
        <v>0</v>
      </c>
      <c r="AB122" s="552">
        <v>0</v>
      </c>
      <c r="AC122" s="552">
        <v>28935</v>
      </c>
      <c r="AD122" s="552">
        <v>781245</v>
      </c>
      <c r="AE122" s="552">
        <v>0</v>
      </c>
      <c r="AF122" s="552">
        <v>0</v>
      </c>
      <c r="AG122" s="552">
        <v>0</v>
      </c>
      <c r="AH122" s="552">
        <v>0</v>
      </c>
      <c r="AI122" s="552">
        <v>0</v>
      </c>
      <c r="AJ122" s="552">
        <v>0</v>
      </c>
    </row>
    <row r="123" spans="1:36" ht="15.95" customHeight="1">
      <c r="A123" s="547"/>
      <c r="B123" s="548">
        <v>241</v>
      </c>
      <c r="C123" s="549">
        <v>6723</v>
      </c>
      <c r="D123" s="550" t="s">
        <v>11615</v>
      </c>
      <c r="E123" s="550" t="s">
        <v>3876</v>
      </c>
      <c r="F123" s="550" t="s">
        <v>544</v>
      </c>
      <c r="G123" s="550" t="s">
        <v>544</v>
      </c>
      <c r="H123" s="550" t="s">
        <v>546</v>
      </c>
      <c r="I123" s="550" t="s">
        <v>11</v>
      </c>
      <c r="J123" s="550" t="s">
        <v>3877</v>
      </c>
      <c r="K123" s="551">
        <v>44957</v>
      </c>
      <c r="L123" s="552">
        <v>252</v>
      </c>
      <c r="M123" s="552">
        <v>252</v>
      </c>
      <c r="N123" s="552">
        <v>252</v>
      </c>
      <c r="O123" s="552">
        <v>1000</v>
      </c>
      <c r="P123" s="552">
        <v>252000</v>
      </c>
      <c r="Q123" s="548">
        <v>0</v>
      </c>
      <c r="R123" s="552">
        <v>0</v>
      </c>
      <c r="S123" s="548">
        <v>275</v>
      </c>
      <c r="T123" s="552">
        <v>69300</v>
      </c>
      <c r="U123" s="548">
        <v>725</v>
      </c>
      <c r="V123" s="552">
        <v>182700</v>
      </c>
      <c r="W123" s="552">
        <v>0</v>
      </c>
      <c r="X123" s="552">
        <v>0</v>
      </c>
      <c r="Y123" s="552">
        <v>275</v>
      </c>
      <c r="Z123" s="552">
        <v>69300</v>
      </c>
      <c r="AA123" s="552">
        <v>275</v>
      </c>
      <c r="AB123" s="552">
        <v>69300</v>
      </c>
      <c r="AC123" s="552">
        <v>0</v>
      </c>
      <c r="AD123" s="552">
        <v>0</v>
      </c>
      <c r="AE123" s="552">
        <v>0</v>
      </c>
      <c r="AF123" s="552">
        <v>0</v>
      </c>
      <c r="AG123" s="552">
        <v>0</v>
      </c>
      <c r="AH123" s="552">
        <v>0</v>
      </c>
      <c r="AI123" s="552">
        <v>0</v>
      </c>
      <c r="AJ123" s="552">
        <v>0</v>
      </c>
    </row>
    <row r="124" spans="1:36" ht="15.95" customHeight="1">
      <c r="A124" s="547"/>
      <c r="B124" s="548">
        <v>243</v>
      </c>
      <c r="C124" s="549">
        <v>6883</v>
      </c>
      <c r="D124" s="550" t="s">
        <v>11616</v>
      </c>
      <c r="E124" s="550" t="s">
        <v>3880</v>
      </c>
      <c r="F124" s="550" t="s">
        <v>3881</v>
      </c>
      <c r="G124" s="550" t="s">
        <v>1488</v>
      </c>
      <c r="H124" s="550" t="s">
        <v>1173</v>
      </c>
      <c r="I124" s="550" t="s">
        <v>11</v>
      </c>
      <c r="J124" s="550" t="s">
        <v>3882</v>
      </c>
      <c r="K124" s="551">
        <v>45169</v>
      </c>
      <c r="L124" s="552">
        <v>4053</v>
      </c>
      <c r="M124" s="552">
        <v>4053</v>
      </c>
      <c r="N124" s="552">
        <v>4053</v>
      </c>
      <c r="O124" s="552">
        <v>142</v>
      </c>
      <c r="P124" s="552">
        <v>575526</v>
      </c>
      <c r="Q124" s="548">
        <v>0</v>
      </c>
      <c r="R124" s="552">
        <v>0</v>
      </c>
      <c r="S124" s="548">
        <v>142</v>
      </c>
      <c r="T124" s="552">
        <v>575526</v>
      </c>
      <c r="U124" s="548">
        <v>0</v>
      </c>
      <c r="V124" s="552">
        <v>0</v>
      </c>
      <c r="W124" s="552">
        <v>834</v>
      </c>
      <c r="X124" s="552">
        <v>3380202</v>
      </c>
      <c r="Y124" s="552">
        <v>132</v>
      </c>
      <c r="Z124" s="552">
        <v>534996</v>
      </c>
      <c r="AA124" s="552">
        <v>0</v>
      </c>
      <c r="AB124" s="552">
        <v>0</v>
      </c>
      <c r="AC124" s="552">
        <v>132</v>
      </c>
      <c r="AD124" s="552">
        <v>534996</v>
      </c>
      <c r="AE124" s="552">
        <v>0</v>
      </c>
      <c r="AF124" s="552">
        <v>0</v>
      </c>
      <c r="AG124" s="552">
        <v>10</v>
      </c>
      <c r="AH124" s="552">
        <v>40530</v>
      </c>
      <c r="AI124" s="552">
        <v>0</v>
      </c>
      <c r="AJ124" s="552">
        <v>0</v>
      </c>
    </row>
    <row r="125" spans="1:36" ht="15.95" customHeight="1">
      <c r="A125" s="547"/>
      <c r="B125" s="548">
        <v>244</v>
      </c>
      <c r="C125" s="549">
        <v>6883</v>
      </c>
      <c r="D125" s="550" t="s">
        <v>11616</v>
      </c>
      <c r="E125" s="550" t="s">
        <v>3880</v>
      </c>
      <c r="F125" s="550" t="s">
        <v>3881</v>
      </c>
      <c r="G125" s="550" t="s">
        <v>1488</v>
      </c>
      <c r="H125" s="550" t="s">
        <v>1173</v>
      </c>
      <c r="I125" s="550" t="s">
        <v>11</v>
      </c>
      <c r="J125" s="550" t="s">
        <v>11617</v>
      </c>
      <c r="K125" s="551">
        <v>45382</v>
      </c>
      <c r="L125" s="552">
        <v>4053</v>
      </c>
      <c r="M125" s="552">
        <v>4053</v>
      </c>
      <c r="N125" s="552">
        <v>4053</v>
      </c>
      <c r="O125" s="552">
        <v>3357</v>
      </c>
      <c r="P125" s="552">
        <v>13605921</v>
      </c>
      <c r="Q125" s="548">
        <v>0</v>
      </c>
      <c r="R125" s="552">
        <v>0</v>
      </c>
      <c r="S125" s="548">
        <v>3357</v>
      </c>
      <c r="T125" s="552">
        <v>13605921</v>
      </c>
      <c r="U125" s="548">
        <v>0</v>
      </c>
      <c r="V125" s="552">
        <v>0</v>
      </c>
      <c r="W125" s="552">
        <v>0</v>
      </c>
      <c r="X125" s="552">
        <v>0</v>
      </c>
      <c r="Y125" s="552">
        <v>3357</v>
      </c>
      <c r="Z125" s="552">
        <v>13605921</v>
      </c>
      <c r="AA125" s="552">
        <v>3357</v>
      </c>
      <c r="AB125" s="552">
        <v>13605921</v>
      </c>
      <c r="AC125" s="552">
        <v>0</v>
      </c>
      <c r="AD125" s="552">
        <v>0</v>
      </c>
      <c r="AE125" s="552">
        <v>0</v>
      </c>
      <c r="AF125" s="552">
        <v>0</v>
      </c>
      <c r="AG125" s="552">
        <v>0</v>
      </c>
      <c r="AH125" s="552">
        <v>0</v>
      </c>
      <c r="AI125" s="552">
        <v>0</v>
      </c>
      <c r="AJ125" s="552">
        <v>0</v>
      </c>
    </row>
    <row r="126" spans="1:36" ht="15.95" customHeight="1">
      <c r="A126" s="547"/>
      <c r="B126" s="548">
        <v>245</v>
      </c>
      <c r="C126" s="549">
        <v>6883</v>
      </c>
      <c r="D126" s="550" t="s">
        <v>11616</v>
      </c>
      <c r="E126" s="550" t="s">
        <v>3880</v>
      </c>
      <c r="F126" s="550" t="s">
        <v>3881</v>
      </c>
      <c r="G126" s="550" t="s">
        <v>1488</v>
      </c>
      <c r="H126" s="550" t="s">
        <v>1173</v>
      </c>
      <c r="I126" s="550" t="s">
        <v>11</v>
      </c>
      <c r="J126" s="550" t="s">
        <v>11618</v>
      </c>
      <c r="K126" s="551">
        <v>45535</v>
      </c>
      <c r="L126" s="552">
        <v>4053</v>
      </c>
      <c r="M126" s="552">
        <v>4053</v>
      </c>
      <c r="N126" s="552">
        <v>4053</v>
      </c>
      <c r="O126" s="552"/>
      <c r="P126" s="552"/>
      <c r="Q126" s="548">
        <v>25620</v>
      </c>
      <c r="R126" s="552">
        <v>103837860</v>
      </c>
      <c r="S126" s="548">
        <v>25441</v>
      </c>
      <c r="T126" s="552">
        <v>103112373</v>
      </c>
      <c r="U126" s="548">
        <v>179</v>
      </c>
      <c r="V126" s="552">
        <v>725487</v>
      </c>
      <c r="W126" s="552">
        <v>0</v>
      </c>
      <c r="X126" s="552">
        <v>0</v>
      </c>
      <c r="Y126" s="552">
        <v>25422</v>
      </c>
      <c r="Z126" s="552">
        <v>103035366</v>
      </c>
      <c r="AA126" s="552">
        <v>25422</v>
      </c>
      <c r="AB126" s="552">
        <v>103035366</v>
      </c>
      <c r="AC126" s="552">
        <v>0</v>
      </c>
      <c r="AD126" s="552">
        <v>0</v>
      </c>
      <c r="AE126" s="552">
        <v>0</v>
      </c>
      <c r="AF126" s="552">
        <v>0</v>
      </c>
      <c r="AG126" s="552">
        <v>19</v>
      </c>
      <c r="AH126" s="552">
        <v>77007</v>
      </c>
      <c r="AI126" s="552">
        <v>0</v>
      </c>
      <c r="AJ126" s="552">
        <v>0</v>
      </c>
    </row>
    <row r="127" spans="1:36" ht="15.95" customHeight="1">
      <c r="A127" s="547"/>
      <c r="B127" s="548">
        <v>246</v>
      </c>
      <c r="C127" s="549">
        <v>6820</v>
      </c>
      <c r="D127" s="550" t="s">
        <v>11619</v>
      </c>
      <c r="E127" s="550" t="s">
        <v>3885</v>
      </c>
      <c r="F127" s="550" t="s">
        <v>1977</v>
      </c>
      <c r="G127" s="550" t="s">
        <v>1976</v>
      </c>
      <c r="H127" s="550" t="s">
        <v>1978</v>
      </c>
      <c r="I127" s="550" t="s">
        <v>11</v>
      </c>
      <c r="J127" s="550" t="s">
        <v>3886</v>
      </c>
      <c r="K127" s="551">
        <v>45022</v>
      </c>
      <c r="L127" s="552">
        <v>2499</v>
      </c>
      <c r="M127" s="552">
        <v>2499</v>
      </c>
      <c r="N127" s="552">
        <v>2499</v>
      </c>
      <c r="O127" s="552">
        <v>189</v>
      </c>
      <c r="P127" s="552">
        <v>472311</v>
      </c>
      <c r="Q127" s="548">
        <v>0</v>
      </c>
      <c r="R127" s="552">
        <v>0</v>
      </c>
      <c r="S127" s="548">
        <v>28</v>
      </c>
      <c r="T127" s="552">
        <v>69972</v>
      </c>
      <c r="U127" s="548">
        <v>161</v>
      </c>
      <c r="V127" s="552">
        <v>402339</v>
      </c>
      <c r="W127" s="552">
        <v>0</v>
      </c>
      <c r="X127" s="552">
        <v>0</v>
      </c>
      <c r="Y127" s="552">
        <v>28</v>
      </c>
      <c r="Z127" s="552">
        <v>69972</v>
      </c>
      <c r="AA127" s="552">
        <v>0</v>
      </c>
      <c r="AB127" s="552">
        <v>0</v>
      </c>
      <c r="AC127" s="552">
        <v>28</v>
      </c>
      <c r="AD127" s="552">
        <v>69972</v>
      </c>
      <c r="AE127" s="552">
        <v>0</v>
      </c>
      <c r="AF127" s="552">
        <v>0</v>
      </c>
      <c r="AG127" s="552">
        <v>0</v>
      </c>
      <c r="AH127" s="552">
        <v>0</v>
      </c>
      <c r="AI127" s="552">
        <v>0</v>
      </c>
      <c r="AJ127" s="552">
        <v>0</v>
      </c>
    </row>
    <row r="128" spans="1:36" ht="15.95" customHeight="1">
      <c r="A128" s="547"/>
      <c r="B128" s="548">
        <v>247</v>
      </c>
      <c r="C128" s="549">
        <v>6820</v>
      </c>
      <c r="D128" s="550" t="s">
        <v>11619</v>
      </c>
      <c r="E128" s="550" t="s">
        <v>3885</v>
      </c>
      <c r="F128" s="550" t="s">
        <v>1977</v>
      </c>
      <c r="G128" s="550" t="s">
        <v>1976</v>
      </c>
      <c r="H128" s="550" t="s">
        <v>1978</v>
      </c>
      <c r="I128" s="550" t="s">
        <v>11</v>
      </c>
      <c r="J128" s="550" t="s">
        <v>11620</v>
      </c>
      <c r="K128" s="551">
        <v>45207</v>
      </c>
      <c r="L128" s="552">
        <v>2499</v>
      </c>
      <c r="M128" s="552">
        <v>2499</v>
      </c>
      <c r="N128" s="552">
        <v>2499</v>
      </c>
      <c r="O128" s="552">
        <v>40329</v>
      </c>
      <c r="P128" s="552">
        <v>100782171</v>
      </c>
      <c r="Q128" s="548">
        <v>0</v>
      </c>
      <c r="R128" s="552">
        <v>0</v>
      </c>
      <c r="S128" s="548">
        <v>40029</v>
      </c>
      <c r="T128" s="552">
        <v>100032471</v>
      </c>
      <c r="U128" s="548">
        <v>300</v>
      </c>
      <c r="V128" s="552">
        <v>749700</v>
      </c>
      <c r="W128" s="552">
        <v>0</v>
      </c>
      <c r="X128" s="552">
        <v>0</v>
      </c>
      <c r="Y128" s="552">
        <v>40029</v>
      </c>
      <c r="Z128" s="552">
        <v>100032471</v>
      </c>
      <c r="AA128" s="552">
        <v>40029</v>
      </c>
      <c r="AB128" s="552">
        <v>100032471</v>
      </c>
      <c r="AC128" s="552">
        <v>0</v>
      </c>
      <c r="AD128" s="552">
        <v>0</v>
      </c>
      <c r="AE128" s="552">
        <v>0</v>
      </c>
      <c r="AF128" s="552">
        <v>0</v>
      </c>
      <c r="AG128" s="552">
        <v>0</v>
      </c>
      <c r="AH128" s="552">
        <v>0</v>
      </c>
      <c r="AI128" s="552">
        <v>0</v>
      </c>
      <c r="AJ128" s="552">
        <v>0</v>
      </c>
    </row>
    <row r="129" spans="1:36" ht="15.95" customHeight="1">
      <c r="A129" s="547"/>
      <c r="B129" s="548">
        <v>248</v>
      </c>
      <c r="C129" s="549">
        <v>6724</v>
      </c>
      <c r="D129" s="550" t="s">
        <v>11621</v>
      </c>
      <c r="E129" s="550" t="s">
        <v>3887</v>
      </c>
      <c r="F129" s="550" t="s">
        <v>7810</v>
      </c>
      <c r="G129" s="550" t="s">
        <v>3888</v>
      </c>
      <c r="H129" s="550" t="s">
        <v>7809</v>
      </c>
      <c r="I129" s="550" t="s">
        <v>15</v>
      </c>
      <c r="J129" s="550" t="s">
        <v>11622</v>
      </c>
      <c r="K129" s="551">
        <v>44483</v>
      </c>
      <c r="L129" s="552">
        <v>6300</v>
      </c>
      <c r="M129" s="552">
        <v>6300</v>
      </c>
      <c r="N129" s="552">
        <v>6300</v>
      </c>
      <c r="O129" s="552"/>
      <c r="P129" s="552"/>
      <c r="Q129" s="548">
        <v>10</v>
      </c>
      <c r="R129" s="552">
        <v>63000</v>
      </c>
      <c r="S129" s="548">
        <v>10</v>
      </c>
      <c r="T129" s="552">
        <v>63000</v>
      </c>
      <c r="U129" s="548">
        <v>0</v>
      </c>
      <c r="V129" s="552">
        <v>0</v>
      </c>
      <c r="W129" s="552">
        <v>0</v>
      </c>
      <c r="X129" s="552">
        <v>0</v>
      </c>
      <c r="Y129" s="552">
        <v>5</v>
      </c>
      <c r="Z129" s="552">
        <v>31500</v>
      </c>
      <c r="AA129" s="552">
        <v>5</v>
      </c>
      <c r="AB129" s="552">
        <v>31500</v>
      </c>
      <c r="AC129" s="552">
        <v>0</v>
      </c>
      <c r="AD129" s="552">
        <v>0</v>
      </c>
      <c r="AE129" s="552">
        <v>0</v>
      </c>
      <c r="AF129" s="552">
        <v>0</v>
      </c>
      <c r="AG129" s="552">
        <v>5</v>
      </c>
      <c r="AH129" s="552">
        <v>31500</v>
      </c>
      <c r="AI129" s="552">
        <v>0</v>
      </c>
      <c r="AJ129" s="552">
        <v>0</v>
      </c>
    </row>
    <row r="130" spans="1:36" ht="15.95" customHeight="1">
      <c r="A130" s="547"/>
      <c r="B130" s="548">
        <v>249</v>
      </c>
      <c r="C130" s="549">
        <v>7191</v>
      </c>
      <c r="D130" s="550" t="s">
        <v>11623</v>
      </c>
      <c r="E130" s="550" t="s">
        <v>3889</v>
      </c>
      <c r="F130" s="550" t="s">
        <v>3891</v>
      </c>
      <c r="G130" s="550" t="s">
        <v>3890</v>
      </c>
      <c r="H130" s="550" t="s">
        <v>3892</v>
      </c>
      <c r="I130" s="550" t="s">
        <v>520</v>
      </c>
      <c r="J130" s="550" t="s">
        <v>3893</v>
      </c>
      <c r="K130" s="551">
        <v>44256</v>
      </c>
      <c r="L130" s="552">
        <v>30048</v>
      </c>
      <c r="M130" s="552">
        <v>30048</v>
      </c>
      <c r="N130" s="552">
        <v>30048</v>
      </c>
      <c r="O130" s="552">
        <v>7</v>
      </c>
      <c r="P130" s="552">
        <v>210336</v>
      </c>
      <c r="Q130" s="548">
        <v>0</v>
      </c>
      <c r="R130" s="552">
        <v>0</v>
      </c>
      <c r="S130" s="548">
        <v>7</v>
      </c>
      <c r="T130" s="552">
        <v>210336</v>
      </c>
      <c r="U130" s="548">
        <v>0</v>
      </c>
      <c r="V130" s="552">
        <v>0</v>
      </c>
      <c r="W130" s="552">
        <v>0</v>
      </c>
      <c r="X130" s="552">
        <v>0</v>
      </c>
      <c r="Y130" s="552">
        <v>7</v>
      </c>
      <c r="Z130" s="552">
        <v>210336</v>
      </c>
      <c r="AA130" s="552">
        <v>0</v>
      </c>
      <c r="AB130" s="552">
        <v>0</v>
      </c>
      <c r="AC130" s="552">
        <v>7</v>
      </c>
      <c r="AD130" s="552">
        <v>210336</v>
      </c>
      <c r="AE130" s="552">
        <v>0</v>
      </c>
      <c r="AF130" s="552">
        <v>0</v>
      </c>
      <c r="AG130" s="552">
        <v>0</v>
      </c>
      <c r="AH130" s="552">
        <v>0</v>
      </c>
      <c r="AI130" s="552">
        <v>0</v>
      </c>
      <c r="AJ130" s="552">
        <v>0</v>
      </c>
    </row>
    <row r="131" spans="1:36" ht="15.95" customHeight="1">
      <c r="A131" s="547"/>
      <c r="B131" s="548">
        <v>250</v>
      </c>
      <c r="C131" s="549">
        <v>7191</v>
      </c>
      <c r="D131" s="550" t="s">
        <v>11623</v>
      </c>
      <c r="E131" s="550" t="s">
        <v>3889</v>
      </c>
      <c r="F131" s="550" t="s">
        <v>3891</v>
      </c>
      <c r="G131" s="550" t="s">
        <v>3890</v>
      </c>
      <c r="H131" s="550" t="s">
        <v>3892</v>
      </c>
      <c r="I131" s="550" t="s">
        <v>520</v>
      </c>
      <c r="J131" s="550" t="s">
        <v>11624</v>
      </c>
      <c r="K131" s="551">
        <v>44531</v>
      </c>
      <c r="L131" s="552">
        <v>30048</v>
      </c>
      <c r="M131" s="552">
        <v>30048</v>
      </c>
      <c r="N131" s="552">
        <v>30048</v>
      </c>
      <c r="O131" s="552"/>
      <c r="P131" s="552"/>
      <c r="Q131" s="548">
        <v>30</v>
      </c>
      <c r="R131" s="552">
        <v>901440</v>
      </c>
      <c r="S131" s="548">
        <v>12</v>
      </c>
      <c r="T131" s="552">
        <v>360576</v>
      </c>
      <c r="U131" s="548">
        <v>18</v>
      </c>
      <c r="V131" s="552">
        <v>540864</v>
      </c>
      <c r="W131" s="552">
        <v>0</v>
      </c>
      <c r="X131" s="552">
        <v>0</v>
      </c>
      <c r="Y131" s="552">
        <v>12</v>
      </c>
      <c r="Z131" s="552">
        <v>360576</v>
      </c>
      <c r="AA131" s="552">
        <v>0</v>
      </c>
      <c r="AB131" s="552">
        <v>0</v>
      </c>
      <c r="AC131" s="552">
        <v>12</v>
      </c>
      <c r="AD131" s="552">
        <v>360576</v>
      </c>
      <c r="AE131" s="552">
        <v>0</v>
      </c>
      <c r="AF131" s="552">
        <v>0</v>
      </c>
      <c r="AG131" s="552">
        <v>0</v>
      </c>
      <c r="AH131" s="552">
        <v>0</v>
      </c>
      <c r="AI131" s="552">
        <v>0</v>
      </c>
      <c r="AJ131" s="552">
        <v>0</v>
      </c>
    </row>
    <row r="132" spans="1:36" ht="15.95" customHeight="1">
      <c r="A132" s="547"/>
      <c r="B132" s="548">
        <v>251</v>
      </c>
      <c r="C132" s="549">
        <v>7191</v>
      </c>
      <c r="D132" s="550" t="s">
        <v>11623</v>
      </c>
      <c r="E132" s="550" t="s">
        <v>3889</v>
      </c>
      <c r="F132" s="550" t="s">
        <v>3891</v>
      </c>
      <c r="G132" s="550" t="s">
        <v>3890</v>
      </c>
      <c r="H132" s="550" t="s">
        <v>3892</v>
      </c>
      <c r="I132" s="550" t="s">
        <v>520</v>
      </c>
      <c r="J132" s="550" t="s">
        <v>11625</v>
      </c>
      <c r="K132" s="551">
        <v>44835</v>
      </c>
      <c r="L132" s="552">
        <v>30048</v>
      </c>
      <c r="M132" s="552">
        <v>30048</v>
      </c>
      <c r="N132" s="552">
        <v>30048</v>
      </c>
      <c r="O132" s="552"/>
      <c r="P132" s="552"/>
      <c r="Q132" s="548">
        <v>30</v>
      </c>
      <c r="R132" s="552">
        <v>901440</v>
      </c>
      <c r="S132" s="548">
        <v>0</v>
      </c>
      <c r="T132" s="552">
        <v>0</v>
      </c>
      <c r="U132" s="548">
        <v>30</v>
      </c>
      <c r="V132" s="552">
        <v>901440</v>
      </c>
      <c r="W132" s="552">
        <v>0</v>
      </c>
      <c r="X132" s="552">
        <v>0</v>
      </c>
      <c r="Y132" s="552">
        <v>0</v>
      </c>
      <c r="Z132" s="552">
        <v>0</v>
      </c>
      <c r="AA132" s="552">
        <v>0</v>
      </c>
      <c r="AB132" s="552">
        <v>0</v>
      </c>
      <c r="AC132" s="552">
        <v>0</v>
      </c>
      <c r="AD132" s="552">
        <v>0</v>
      </c>
      <c r="AE132" s="552">
        <v>0</v>
      </c>
      <c r="AF132" s="552">
        <v>0</v>
      </c>
      <c r="AG132" s="552">
        <v>0</v>
      </c>
      <c r="AH132" s="552">
        <v>0</v>
      </c>
      <c r="AI132" s="552">
        <v>0</v>
      </c>
      <c r="AJ132" s="552">
        <v>0</v>
      </c>
    </row>
    <row r="133" spans="1:36" ht="15.95" customHeight="1">
      <c r="A133" s="547"/>
      <c r="B133" s="548">
        <v>254</v>
      </c>
      <c r="C133" s="549">
        <v>6993</v>
      </c>
      <c r="D133" s="550" t="s">
        <v>11626</v>
      </c>
      <c r="E133" s="550" t="s">
        <v>3896</v>
      </c>
      <c r="F133" s="550" t="s">
        <v>3897</v>
      </c>
      <c r="G133" s="550" t="s">
        <v>3898</v>
      </c>
      <c r="H133" s="550" t="s">
        <v>3899</v>
      </c>
      <c r="I133" s="550" t="s">
        <v>11</v>
      </c>
      <c r="J133" s="550" t="s">
        <v>11627</v>
      </c>
      <c r="K133" s="551">
        <v>45078</v>
      </c>
      <c r="L133" s="552">
        <v>6589</v>
      </c>
      <c r="M133" s="552">
        <v>6589</v>
      </c>
      <c r="N133" s="552">
        <v>6589</v>
      </c>
      <c r="O133" s="552">
        <v>2710</v>
      </c>
      <c r="P133" s="552">
        <v>17856190</v>
      </c>
      <c r="Q133" s="548">
        <v>0</v>
      </c>
      <c r="R133" s="552">
        <v>0</v>
      </c>
      <c r="S133" s="548">
        <v>2710</v>
      </c>
      <c r="T133" s="552">
        <v>17856190</v>
      </c>
      <c r="U133" s="548">
        <v>0</v>
      </c>
      <c r="V133" s="552">
        <v>0</v>
      </c>
      <c r="W133" s="552">
        <v>0</v>
      </c>
      <c r="X133" s="552">
        <v>0</v>
      </c>
      <c r="Y133" s="552">
        <v>2710</v>
      </c>
      <c r="Z133" s="552">
        <v>17856190</v>
      </c>
      <c r="AA133" s="552">
        <v>2710</v>
      </c>
      <c r="AB133" s="552">
        <v>17856190</v>
      </c>
      <c r="AC133" s="552">
        <v>0</v>
      </c>
      <c r="AD133" s="552">
        <v>0</v>
      </c>
      <c r="AE133" s="552">
        <v>0</v>
      </c>
      <c r="AF133" s="552">
        <v>0</v>
      </c>
      <c r="AG133" s="552">
        <v>0</v>
      </c>
      <c r="AH133" s="552">
        <v>0</v>
      </c>
      <c r="AI133" s="552">
        <v>0</v>
      </c>
      <c r="AJ133" s="552">
        <v>0</v>
      </c>
    </row>
    <row r="134" spans="1:36" ht="15.95" customHeight="1">
      <c r="A134" s="547"/>
      <c r="B134" s="548">
        <v>255</v>
      </c>
      <c r="C134" s="549">
        <v>6993</v>
      </c>
      <c r="D134" s="550" t="s">
        <v>11626</v>
      </c>
      <c r="E134" s="550" t="s">
        <v>3896</v>
      </c>
      <c r="F134" s="550" t="s">
        <v>3897</v>
      </c>
      <c r="G134" s="550" t="s">
        <v>3898</v>
      </c>
      <c r="H134" s="550" t="s">
        <v>3899</v>
      </c>
      <c r="I134" s="550" t="s">
        <v>11</v>
      </c>
      <c r="J134" s="550" t="s">
        <v>11628</v>
      </c>
      <c r="K134" s="551">
        <v>45108</v>
      </c>
      <c r="L134" s="552">
        <v>6589</v>
      </c>
      <c r="M134" s="552">
        <v>6589</v>
      </c>
      <c r="N134" s="552">
        <v>6589</v>
      </c>
      <c r="O134" s="552"/>
      <c r="P134" s="552"/>
      <c r="Q134" s="548">
        <v>3000</v>
      </c>
      <c r="R134" s="552">
        <v>19767000</v>
      </c>
      <c r="S134" s="548">
        <v>2941</v>
      </c>
      <c r="T134" s="552">
        <v>19378249</v>
      </c>
      <c r="U134" s="548">
        <v>59</v>
      </c>
      <c r="V134" s="552">
        <v>388751</v>
      </c>
      <c r="W134" s="552">
        <v>0</v>
      </c>
      <c r="X134" s="552">
        <v>0</v>
      </c>
      <c r="Y134" s="552">
        <v>2941</v>
      </c>
      <c r="Z134" s="552">
        <v>19378249</v>
      </c>
      <c r="AA134" s="552">
        <v>2940</v>
      </c>
      <c r="AB134" s="552">
        <v>19371660</v>
      </c>
      <c r="AC134" s="552">
        <v>1</v>
      </c>
      <c r="AD134" s="552">
        <v>6589</v>
      </c>
      <c r="AE134" s="552">
        <v>0</v>
      </c>
      <c r="AF134" s="552">
        <v>0</v>
      </c>
      <c r="AG134" s="552">
        <v>0</v>
      </c>
      <c r="AH134" s="552">
        <v>0</v>
      </c>
      <c r="AI134" s="552">
        <v>0</v>
      </c>
      <c r="AJ134" s="552">
        <v>0</v>
      </c>
    </row>
    <row r="135" spans="1:36" ht="15.95" customHeight="1">
      <c r="A135" s="547"/>
      <c r="B135" s="548">
        <v>256</v>
      </c>
      <c r="C135" s="549">
        <v>6993</v>
      </c>
      <c r="D135" s="550" t="s">
        <v>11626</v>
      </c>
      <c r="E135" s="550" t="s">
        <v>3896</v>
      </c>
      <c r="F135" s="550" t="s">
        <v>3897</v>
      </c>
      <c r="G135" s="550" t="s">
        <v>3898</v>
      </c>
      <c r="H135" s="550" t="s">
        <v>3899</v>
      </c>
      <c r="I135" s="550" t="s">
        <v>11</v>
      </c>
      <c r="J135" s="550" t="s">
        <v>11629</v>
      </c>
      <c r="K135" s="551">
        <v>45231</v>
      </c>
      <c r="L135" s="552">
        <v>6589</v>
      </c>
      <c r="M135" s="552">
        <v>6589</v>
      </c>
      <c r="N135" s="552">
        <v>6589</v>
      </c>
      <c r="O135" s="552"/>
      <c r="P135" s="552"/>
      <c r="Q135" s="548">
        <v>6000</v>
      </c>
      <c r="R135" s="552">
        <v>39534000</v>
      </c>
      <c r="S135" s="548">
        <v>5987</v>
      </c>
      <c r="T135" s="552">
        <v>39448343</v>
      </c>
      <c r="U135" s="548">
        <v>13</v>
      </c>
      <c r="V135" s="552">
        <v>85657</v>
      </c>
      <c r="W135" s="552">
        <v>0</v>
      </c>
      <c r="X135" s="552">
        <v>0</v>
      </c>
      <c r="Y135" s="552">
        <v>5987</v>
      </c>
      <c r="Z135" s="552">
        <v>39448343</v>
      </c>
      <c r="AA135" s="552">
        <v>5987</v>
      </c>
      <c r="AB135" s="552">
        <v>39448343</v>
      </c>
      <c r="AC135" s="552">
        <v>0</v>
      </c>
      <c r="AD135" s="552">
        <v>0</v>
      </c>
      <c r="AE135" s="552">
        <v>0</v>
      </c>
      <c r="AF135" s="552">
        <v>0</v>
      </c>
      <c r="AG135" s="552">
        <v>0</v>
      </c>
      <c r="AH135" s="552">
        <v>0</v>
      </c>
      <c r="AI135" s="552">
        <v>0</v>
      </c>
      <c r="AJ135" s="552">
        <v>0</v>
      </c>
    </row>
    <row r="136" spans="1:36" ht="15.95" customHeight="1">
      <c r="A136" s="547"/>
      <c r="B136" s="548">
        <v>257</v>
      </c>
      <c r="C136" s="549">
        <v>5379</v>
      </c>
      <c r="D136" s="550"/>
      <c r="E136" s="550" t="s">
        <v>3896</v>
      </c>
      <c r="F136" s="550" t="s">
        <v>1007</v>
      </c>
      <c r="G136" s="550" t="s">
        <v>3898</v>
      </c>
      <c r="H136" s="550" t="s">
        <v>1008</v>
      </c>
      <c r="I136" s="550" t="s">
        <v>10</v>
      </c>
      <c r="J136" s="550" t="s">
        <v>3900</v>
      </c>
      <c r="K136" s="551">
        <v>44440</v>
      </c>
      <c r="L136" s="552">
        <v>6589</v>
      </c>
      <c r="M136" s="552">
        <v>6589</v>
      </c>
      <c r="N136" s="552">
        <v>6589</v>
      </c>
      <c r="O136" s="552">
        <v>58</v>
      </c>
      <c r="P136" s="552">
        <v>382162</v>
      </c>
      <c r="Q136" s="548">
        <v>0</v>
      </c>
      <c r="R136" s="552">
        <v>0</v>
      </c>
      <c r="S136" s="548">
        <v>58</v>
      </c>
      <c r="T136" s="552">
        <v>382162</v>
      </c>
      <c r="U136" s="548">
        <v>0</v>
      </c>
      <c r="V136" s="552">
        <v>0</v>
      </c>
      <c r="W136" s="552">
        <v>0</v>
      </c>
      <c r="X136" s="552">
        <v>0</v>
      </c>
      <c r="Y136" s="552">
        <v>58</v>
      </c>
      <c r="Z136" s="552">
        <v>382162</v>
      </c>
      <c r="AA136" s="552">
        <v>58</v>
      </c>
      <c r="AB136" s="552">
        <v>382162</v>
      </c>
      <c r="AC136" s="552">
        <v>0</v>
      </c>
      <c r="AD136" s="552">
        <v>0</v>
      </c>
      <c r="AE136" s="552">
        <v>0</v>
      </c>
      <c r="AF136" s="552">
        <v>0</v>
      </c>
      <c r="AG136" s="552">
        <v>0</v>
      </c>
      <c r="AH136" s="552">
        <v>0</v>
      </c>
      <c r="AI136" s="552">
        <v>0</v>
      </c>
      <c r="AJ136" s="552">
        <v>0</v>
      </c>
    </row>
    <row r="137" spans="1:36" ht="15.95" customHeight="1">
      <c r="A137" s="547"/>
      <c r="B137" s="548">
        <v>258</v>
      </c>
      <c r="C137" s="549">
        <v>5380</v>
      </c>
      <c r="D137" s="550"/>
      <c r="E137" s="550" t="s">
        <v>3901</v>
      </c>
      <c r="F137" s="550" t="s">
        <v>1003</v>
      </c>
      <c r="G137" s="550" t="s">
        <v>788</v>
      </c>
      <c r="H137" s="550" t="s">
        <v>1004</v>
      </c>
      <c r="I137" s="550" t="s">
        <v>10</v>
      </c>
      <c r="J137" s="550" t="s">
        <v>3902</v>
      </c>
      <c r="K137" s="551">
        <v>44409</v>
      </c>
      <c r="L137" s="552">
        <v>5650</v>
      </c>
      <c r="M137" s="552">
        <v>5650</v>
      </c>
      <c r="N137" s="552">
        <v>5650</v>
      </c>
      <c r="O137" s="552">
        <v>50</v>
      </c>
      <c r="P137" s="552">
        <v>282500</v>
      </c>
      <c r="Q137" s="548">
        <v>0</v>
      </c>
      <c r="R137" s="552">
        <v>0</v>
      </c>
      <c r="S137" s="548">
        <v>50</v>
      </c>
      <c r="T137" s="552">
        <v>282500</v>
      </c>
      <c r="U137" s="548">
        <v>0</v>
      </c>
      <c r="V137" s="552">
        <v>0</v>
      </c>
      <c r="W137" s="552">
        <v>0</v>
      </c>
      <c r="X137" s="552">
        <v>0</v>
      </c>
      <c r="Y137" s="552">
        <v>47</v>
      </c>
      <c r="Z137" s="552">
        <v>265550</v>
      </c>
      <c r="AA137" s="552">
        <v>42</v>
      </c>
      <c r="AB137" s="552">
        <v>237300</v>
      </c>
      <c r="AC137" s="552">
        <v>5</v>
      </c>
      <c r="AD137" s="552">
        <v>28250</v>
      </c>
      <c r="AE137" s="552">
        <v>0</v>
      </c>
      <c r="AF137" s="552">
        <v>0</v>
      </c>
      <c r="AG137" s="552">
        <v>3</v>
      </c>
      <c r="AH137" s="552">
        <v>16950</v>
      </c>
      <c r="AI137" s="552">
        <v>0</v>
      </c>
      <c r="AJ137" s="552">
        <v>0</v>
      </c>
    </row>
    <row r="138" spans="1:36" ht="15.95" customHeight="1">
      <c r="A138" s="547"/>
      <c r="B138" s="548">
        <v>259</v>
      </c>
      <c r="C138" s="549">
        <v>6994</v>
      </c>
      <c r="D138" s="550" t="s">
        <v>11630</v>
      </c>
      <c r="E138" s="550" t="s">
        <v>3903</v>
      </c>
      <c r="F138" s="550" t="s">
        <v>3904</v>
      </c>
      <c r="G138" s="550" t="s">
        <v>1245</v>
      </c>
      <c r="H138" s="550" t="s">
        <v>3905</v>
      </c>
      <c r="I138" s="550" t="s">
        <v>11</v>
      </c>
      <c r="J138" s="550" t="s">
        <v>3906</v>
      </c>
      <c r="K138" s="551">
        <v>44986</v>
      </c>
      <c r="L138" s="552">
        <v>6500</v>
      </c>
      <c r="M138" s="552">
        <v>6500</v>
      </c>
      <c r="N138" s="552">
        <v>6500</v>
      </c>
      <c r="O138" s="552">
        <v>255</v>
      </c>
      <c r="P138" s="552">
        <v>1657500</v>
      </c>
      <c r="Q138" s="548">
        <v>0</v>
      </c>
      <c r="R138" s="552">
        <v>0</v>
      </c>
      <c r="S138" s="548">
        <v>255</v>
      </c>
      <c r="T138" s="552">
        <v>1657500</v>
      </c>
      <c r="U138" s="548">
        <v>0</v>
      </c>
      <c r="V138" s="552">
        <v>0</v>
      </c>
      <c r="W138" s="552">
        <v>0</v>
      </c>
      <c r="X138" s="552">
        <v>0</v>
      </c>
      <c r="Y138" s="552">
        <v>255</v>
      </c>
      <c r="Z138" s="552">
        <v>1657500</v>
      </c>
      <c r="AA138" s="552">
        <v>255</v>
      </c>
      <c r="AB138" s="552">
        <v>1657500</v>
      </c>
      <c r="AC138" s="552">
        <v>0</v>
      </c>
      <c r="AD138" s="552">
        <v>0</v>
      </c>
      <c r="AE138" s="552">
        <v>0</v>
      </c>
      <c r="AF138" s="552">
        <v>0</v>
      </c>
      <c r="AG138" s="552">
        <v>0</v>
      </c>
      <c r="AH138" s="552">
        <v>0</v>
      </c>
      <c r="AI138" s="552">
        <v>0</v>
      </c>
      <c r="AJ138" s="552">
        <v>0</v>
      </c>
    </row>
    <row r="139" spans="1:36" ht="15.95" customHeight="1">
      <c r="A139" s="547"/>
      <c r="B139" s="548">
        <v>260</v>
      </c>
      <c r="C139" s="549">
        <v>6994</v>
      </c>
      <c r="D139" s="550" t="s">
        <v>11630</v>
      </c>
      <c r="E139" s="550" t="s">
        <v>3903</v>
      </c>
      <c r="F139" s="550" t="s">
        <v>3904</v>
      </c>
      <c r="G139" s="550" t="s">
        <v>1245</v>
      </c>
      <c r="H139" s="550" t="s">
        <v>3905</v>
      </c>
      <c r="I139" s="550" t="s">
        <v>11</v>
      </c>
      <c r="J139" s="550" t="s">
        <v>11631</v>
      </c>
      <c r="K139" s="551">
        <v>45078</v>
      </c>
      <c r="L139" s="552">
        <v>6500</v>
      </c>
      <c r="M139" s="552">
        <v>6500</v>
      </c>
      <c r="N139" s="552">
        <v>6500</v>
      </c>
      <c r="O139" s="552"/>
      <c r="P139" s="552"/>
      <c r="Q139" s="548">
        <v>3000</v>
      </c>
      <c r="R139" s="552">
        <v>19500000</v>
      </c>
      <c r="S139" s="548">
        <v>750</v>
      </c>
      <c r="T139" s="552">
        <v>4875000</v>
      </c>
      <c r="U139" s="548">
        <v>2250</v>
      </c>
      <c r="V139" s="552">
        <v>14625000</v>
      </c>
      <c r="W139" s="552">
        <v>0</v>
      </c>
      <c r="X139" s="552">
        <v>0</v>
      </c>
      <c r="Y139" s="552">
        <v>750</v>
      </c>
      <c r="Z139" s="552">
        <v>4875000</v>
      </c>
      <c r="AA139" s="552">
        <v>750</v>
      </c>
      <c r="AB139" s="552">
        <v>4875000</v>
      </c>
      <c r="AC139" s="552">
        <v>0</v>
      </c>
      <c r="AD139" s="552">
        <v>0</v>
      </c>
      <c r="AE139" s="552">
        <v>0</v>
      </c>
      <c r="AF139" s="552">
        <v>0</v>
      </c>
      <c r="AG139" s="552">
        <v>0</v>
      </c>
      <c r="AH139" s="552">
        <v>0</v>
      </c>
      <c r="AI139" s="552">
        <v>0</v>
      </c>
      <c r="AJ139" s="552">
        <v>0</v>
      </c>
    </row>
    <row r="140" spans="1:36" ht="15.95" customHeight="1">
      <c r="A140" s="547"/>
      <c r="B140" s="548">
        <v>261</v>
      </c>
      <c r="C140" s="549">
        <v>6994</v>
      </c>
      <c r="D140" s="550" t="s">
        <v>11630</v>
      </c>
      <c r="E140" s="550" t="s">
        <v>3903</v>
      </c>
      <c r="F140" s="550" t="s">
        <v>3904</v>
      </c>
      <c r="G140" s="550" t="s">
        <v>1245</v>
      </c>
      <c r="H140" s="550" t="s">
        <v>3905</v>
      </c>
      <c r="I140" s="550" t="s">
        <v>11</v>
      </c>
      <c r="J140" s="550" t="s">
        <v>11632</v>
      </c>
      <c r="K140" s="551">
        <v>45078</v>
      </c>
      <c r="L140" s="552">
        <v>6500</v>
      </c>
      <c r="M140" s="552">
        <v>6500</v>
      </c>
      <c r="N140" s="552">
        <v>6500</v>
      </c>
      <c r="O140" s="552">
        <v>3000</v>
      </c>
      <c r="P140" s="552">
        <v>19500000</v>
      </c>
      <c r="Q140" s="548">
        <v>3000</v>
      </c>
      <c r="R140" s="552">
        <v>19500000</v>
      </c>
      <c r="S140" s="548">
        <v>5226</v>
      </c>
      <c r="T140" s="552">
        <v>33969000</v>
      </c>
      <c r="U140" s="548">
        <v>774</v>
      </c>
      <c r="V140" s="552">
        <v>5031000</v>
      </c>
      <c r="W140" s="552">
        <v>0</v>
      </c>
      <c r="X140" s="552">
        <v>0</v>
      </c>
      <c r="Y140" s="552">
        <v>5226</v>
      </c>
      <c r="Z140" s="552">
        <v>33969000</v>
      </c>
      <c r="AA140" s="552">
        <v>5226</v>
      </c>
      <c r="AB140" s="552">
        <v>33969000</v>
      </c>
      <c r="AC140" s="552">
        <v>0</v>
      </c>
      <c r="AD140" s="552">
        <v>0</v>
      </c>
      <c r="AE140" s="552">
        <v>0</v>
      </c>
      <c r="AF140" s="552">
        <v>0</v>
      </c>
      <c r="AG140" s="552">
        <v>0</v>
      </c>
      <c r="AH140" s="552">
        <v>0</v>
      </c>
      <c r="AI140" s="552">
        <v>0</v>
      </c>
      <c r="AJ140" s="552">
        <v>0</v>
      </c>
    </row>
    <row r="141" spans="1:36" ht="15.95" customHeight="1">
      <c r="A141" s="547"/>
      <c r="B141" s="548">
        <v>264</v>
      </c>
      <c r="C141" s="549">
        <v>6709</v>
      </c>
      <c r="D141" s="550" t="s">
        <v>11633</v>
      </c>
      <c r="E141" s="550" t="s">
        <v>3907</v>
      </c>
      <c r="F141" s="550" t="s">
        <v>3908</v>
      </c>
      <c r="G141" s="550" t="s">
        <v>1481</v>
      </c>
      <c r="H141" s="550" t="s">
        <v>1690</v>
      </c>
      <c r="I141" s="550" t="s">
        <v>11</v>
      </c>
      <c r="J141" s="550" t="s">
        <v>3909</v>
      </c>
      <c r="K141" s="551">
        <v>44743</v>
      </c>
      <c r="L141" s="552">
        <v>3450</v>
      </c>
      <c r="M141" s="552">
        <v>3450</v>
      </c>
      <c r="N141" s="552">
        <v>3450</v>
      </c>
      <c r="O141" s="552">
        <v>7137</v>
      </c>
      <c r="P141" s="552">
        <v>24622650</v>
      </c>
      <c r="Q141" s="548">
        <v>0</v>
      </c>
      <c r="R141" s="552">
        <v>0</v>
      </c>
      <c r="S141" s="548">
        <v>3197</v>
      </c>
      <c r="T141" s="552">
        <v>11029650</v>
      </c>
      <c r="U141" s="548">
        <v>3940</v>
      </c>
      <c r="V141" s="552">
        <v>13593000</v>
      </c>
      <c r="W141" s="552">
        <v>0</v>
      </c>
      <c r="X141" s="552">
        <v>0</v>
      </c>
      <c r="Y141" s="552">
        <v>3197</v>
      </c>
      <c r="Z141" s="552">
        <v>11029650</v>
      </c>
      <c r="AA141" s="552">
        <v>3197</v>
      </c>
      <c r="AB141" s="552">
        <v>11029650</v>
      </c>
      <c r="AC141" s="552">
        <v>0</v>
      </c>
      <c r="AD141" s="552">
        <v>0</v>
      </c>
      <c r="AE141" s="552">
        <v>0</v>
      </c>
      <c r="AF141" s="552">
        <v>0</v>
      </c>
      <c r="AG141" s="552">
        <v>0</v>
      </c>
      <c r="AH141" s="552">
        <v>0</v>
      </c>
      <c r="AI141" s="552">
        <v>0</v>
      </c>
      <c r="AJ141" s="552">
        <v>0</v>
      </c>
    </row>
    <row r="142" spans="1:36" ht="15.95" customHeight="1">
      <c r="A142" s="547"/>
      <c r="B142" s="548">
        <v>265</v>
      </c>
      <c r="C142" s="549">
        <v>6709</v>
      </c>
      <c r="D142" s="550" t="s">
        <v>11633</v>
      </c>
      <c r="E142" s="550" t="s">
        <v>3907</v>
      </c>
      <c r="F142" s="550" t="s">
        <v>3908</v>
      </c>
      <c r="G142" s="550" t="s">
        <v>1481</v>
      </c>
      <c r="H142" s="550" t="s">
        <v>1690</v>
      </c>
      <c r="I142" s="550" t="s">
        <v>11</v>
      </c>
      <c r="J142" s="550" t="s">
        <v>11634</v>
      </c>
      <c r="K142" s="551">
        <v>45046</v>
      </c>
      <c r="L142" s="552">
        <v>3450</v>
      </c>
      <c r="M142" s="552">
        <v>3450</v>
      </c>
      <c r="N142" s="552">
        <v>3450</v>
      </c>
      <c r="O142" s="552">
        <v>4980</v>
      </c>
      <c r="P142" s="552">
        <v>17181000</v>
      </c>
      <c r="Q142" s="548">
        <v>0</v>
      </c>
      <c r="R142" s="552">
        <v>0</v>
      </c>
      <c r="S142" s="548">
        <v>0</v>
      </c>
      <c r="T142" s="552">
        <v>0</v>
      </c>
      <c r="U142" s="548">
        <v>4980</v>
      </c>
      <c r="V142" s="552">
        <v>17181000</v>
      </c>
      <c r="W142" s="552">
        <v>0</v>
      </c>
      <c r="X142" s="552">
        <v>0</v>
      </c>
      <c r="Y142" s="552">
        <v>0</v>
      </c>
      <c r="Z142" s="552">
        <v>0</v>
      </c>
      <c r="AA142" s="552">
        <v>0</v>
      </c>
      <c r="AB142" s="552">
        <v>0</v>
      </c>
      <c r="AC142" s="552">
        <v>0</v>
      </c>
      <c r="AD142" s="552">
        <v>0</v>
      </c>
      <c r="AE142" s="552">
        <v>0</v>
      </c>
      <c r="AF142" s="552">
        <v>0</v>
      </c>
      <c r="AG142" s="552">
        <v>0</v>
      </c>
      <c r="AH142" s="552">
        <v>0</v>
      </c>
      <c r="AI142" s="552">
        <v>0</v>
      </c>
      <c r="AJ142" s="552">
        <v>0</v>
      </c>
    </row>
    <row r="143" spans="1:36" ht="15.95" customHeight="1">
      <c r="A143" s="547"/>
      <c r="B143" s="548">
        <v>267</v>
      </c>
      <c r="C143" s="549">
        <v>5381</v>
      </c>
      <c r="D143" s="550"/>
      <c r="E143" s="550" t="s">
        <v>3910</v>
      </c>
      <c r="F143" s="550" t="s">
        <v>1013</v>
      </c>
      <c r="G143" s="550" t="s">
        <v>1215</v>
      </c>
      <c r="H143" s="550" t="s">
        <v>1014</v>
      </c>
      <c r="I143" s="550" t="s">
        <v>10</v>
      </c>
      <c r="J143" s="550" t="s">
        <v>3911</v>
      </c>
      <c r="K143" s="551">
        <v>44652</v>
      </c>
      <c r="L143" s="552">
        <v>3258</v>
      </c>
      <c r="M143" s="552">
        <v>3258</v>
      </c>
      <c r="N143" s="552">
        <v>3258</v>
      </c>
      <c r="O143" s="552">
        <v>118</v>
      </c>
      <c r="P143" s="552">
        <v>384444</v>
      </c>
      <c r="Q143" s="548">
        <v>0</v>
      </c>
      <c r="R143" s="552">
        <v>0</v>
      </c>
      <c r="S143" s="548">
        <v>56</v>
      </c>
      <c r="T143" s="552">
        <v>182448</v>
      </c>
      <c r="U143" s="548">
        <v>62</v>
      </c>
      <c r="V143" s="552">
        <v>201996</v>
      </c>
      <c r="W143" s="552">
        <v>0</v>
      </c>
      <c r="X143" s="552">
        <v>0</v>
      </c>
      <c r="Y143" s="552">
        <v>56</v>
      </c>
      <c r="Z143" s="552">
        <v>182448</v>
      </c>
      <c r="AA143" s="552">
        <v>0</v>
      </c>
      <c r="AB143" s="552">
        <v>0</v>
      </c>
      <c r="AC143" s="552">
        <v>56</v>
      </c>
      <c r="AD143" s="552">
        <v>182448</v>
      </c>
      <c r="AE143" s="552">
        <v>0</v>
      </c>
      <c r="AF143" s="552">
        <v>0</v>
      </c>
      <c r="AG143" s="552">
        <v>0</v>
      </c>
      <c r="AH143" s="552">
        <v>0</v>
      </c>
      <c r="AI143" s="552">
        <v>0</v>
      </c>
      <c r="AJ143" s="552">
        <v>0</v>
      </c>
    </row>
    <row r="144" spans="1:36" ht="15.95" customHeight="1">
      <c r="A144" s="547"/>
      <c r="B144" s="548">
        <v>275</v>
      </c>
      <c r="C144" s="549">
        <v>6728</v>
      </c>
      <c r="D144" s="550" t="s">
        <v>11635</v>
      </c>
      <c r="E144" s="550" t="s">
        <v>3914</v>
      </c>
      <c r="F144" s="550" t="s">
        <v>6981</v>
      </c>
      <c r="G144" s="550" t="s">
        <v>2470</v>
      </c>
      <c r="H144" s="550" t="s">
        <v>384</v>
      </c>
      <c r="I144" s="550" t="s">
        <v>11</v>
      </c>
      <c r="J144" s="550" t="s">
        <v>11636</v>
      </c>
      <c r="K144" s="551">
        <v>45802</v>
      </c>
      <c r="L144" s="552">
        <v>129</v>
      </c>
      <c r="M144" s="552">
        <v>129</v>
      </c>
      <c r="N144" s="552">
        <v>129</v>
      </c>
      <c r="O144" s="552"/>
      <c r="P144" s="552"/>
      <c r="Q144" s="548">
        <v>20000</v>
      </c>
      <c r="R144" s="552">
        <v>2580000</v>
      </c>
      <c r="S144" s="548">
        <v>9200</v>
      </c>
      <c r="T144" s="552">
        <v>1186800</v>
      </c>
      <c r="U144" s="548">
        <v>10800</v>
      </c>
      <c r="V144" s="552">
        <v>1393200</v>
      </c>
      <c r="W144" s="552">
        <v>0</v>
      </c>
      <c r="X144" s="552">
        <v>0</v>
      </c>
      <c r="Y144" s="552">
        <v>9200</v>
      </c>
      <c r="Z144" s="552">
        <v>1186800</v>
      </c>
      <c r="AA144" s="552">
        <v>0</v>
      </c>
      <c r="AB144" s="552">
        <v>0</v>
      </c>
      <c r="AC144" s="552">
        <v>9200</v>
      </c>
      <c r="AD144" s="552">
        <v>1186800</v>
      </c>
      <c r="AE144" s="552">
        <v>0</v>
      </c>
      <c r="AF144" s="552">
        <v>0</v>
      </c>
      <c r="AG144" s="552">
        <v>0</v>
      </c>
      <c r="AH144" s="552">
        <v>0</v>
      </c>
      <c r="AI144" s="552">
        <v>0</v>
      </c>
      <c r="AJ144" s="552">
        <v>0</v>
      </c>
    </row>
    <row r="145" spans="1:36" ht="15.95" customHeight="1">
      <c r="A145" s="547"/>
      <c r="B145" s="548">
        <v>276</v>
      </c>
      <c r="C145" s="549">
        <v>6728</v>
      </c>
      <c r="D145" s="550" t="s">
        <v>11635</v>
      </c>
      <c r="E145" s="550" t="s">
        <v>3914</v>
      </c>
      <c r="F145" s="550" t="s">
        <v>6981</v>
      </c>
      <c r="G145" s="550" t="s">
        <v>2470</v>
      </c>
      <c r="H145" s="550" t="s">
        <v>384</v>
      </c>
      <c r="I145" s="550" t="s">
        <v>11</v>
      </c>
      <c r="J145" s="550" t="s">
        <v>11637</v>
      </c>
      <c r="K145" s="551">
        <v>45686</v>
      </c>
      <c r="L145" s="552">
        <v>129</v>
      </c>
      <c r="M145" s="552">
        <v>129</v>
      </c>
      <c r="N145" s="552">
        <v>129</v>
      </c>
      <c r="O145" s="552"/>
      <c r="P145" s="552"/>
      <c r="Q145" s="548">
        <v>27000</v>
      </c>
      <c r="R145" s="552">
        <v>3483000</v>
      </c>
      <c r="S145" s="548">
        <v>26800</v>
      </c>
      <c r="T145" s="552">
        <v>3457200</v>
      </c>
      <c r="U145" s="548">
        <v>200</v>
      </c>
      <c r="V145" s="552">
        <v>25800</v>
      </c>
      <c r="W145" s="552">
        <v>10520</v>
      </c>
      <c r="X145" s="552">
        <v>1357080</v>
      </c>
      <c r="Y145" s="552">
        <v>26800</v>
      </c>
      <c r="Z145" s="552">
        <v>3457200</v>
      </c>
      <c r="AA145" s="552">
        <v>0</v>
      </c>
      <c r="AB145" s="552">
        <v>0</v>
      </c>
      <c r="AC145" s="552">
        <v>26800</v>
      </c>
      <c r="AD145" s="552">
        <v>3457200</v>
      </c>
      <c r="AE145" s="552">
        <v>0</v>
      </c>
      <c r="AF145" s="552">
        <v>0</v>
      </c>
      <c r="AG145" s="552">
        <v>0</v>
      </c>
      <c r="AH145" s="552">
        <v>0</v>
      </c>
      <c r="AI145" s="552">
        <v>0</v>
      </c>
      <c r="AJ145" s="552">
        <v>0</v>
      </c>
    </row>
    <row r="146" spans="1:36" ht="15.95" customHeight="1">
      <c r="A146" s="547"/>
      <c r="B146" s="548">
        <v>277</v>
      </c>
      <c r="C146" s="549">
        <v>5420</v>
      </c>
      <c r="D146" s="550"/>
      <c r="E146" s="550" t="s">
        <v>3914</v>
      </c>
      <c r="F146" s="550" t="s">
        <v>1065</v>
      </c>
      <c r="G146" s="550" t="s">
        <v>2470</v>
      </c>
      <c r="H146" s="550" t="s">
        <v>384</v>
      </c>
      <c r="I146" s="550" t="s">
        <v>10</v>
      </c>
      <c r="J146" s="550" t="s">
        <v>3915</v>
      </c>
      <c r="K146" s="551">
        <v>44317</v>
      </c>
      <c r="L146" s="552">
        <v>120</v>
      </c>
      <c r="M146" s="552">
        <v>120</v>
      </c>
      <c r="N146" s="552">
        <v>120</v>
      </c>
      <c r="O146" s="552">
        <v>1017</v>
      </c>
      <c r="P146" s="552">
        <v>122040</v>
      </c>
      <c r="Q146" s="548">
        <v>0</v>
      </c>
      <c r="R146" s="552">
        <v>0</v>
      </c>
      <c r="S146" s="548">
        <v>1017</v>
      </c>
      <c r="T146" s="552">
        <v>122040</v>
      </c>
      <c r="U146" s="548">
        <v>0</v>
      </c>
      <c r="V146" s="552">
        <v>0</v>
      </c>
      <c r="W146" s="552">
        <v>5881</v>
      </c>
      <c r="X146" s="552">
        <v>705720</v>
      </c>
      <c r="Y146" s="552">
        <v>1017</v>
      </c>
      <c r="Z146" s="552">
        <v>122040</v>
      </c>
      <c r="AA146" s="552">
        <v>1017</v>
      </c>
      <c r="AB146" s="552">
        <v>122040</v>
      </c>
      <c r="AC146" s="552">
        <v>0</v>
      </c>
      <c r="AD146" s="552">
        <v>0</v>
      </c>
      <c r="AE146" s="552">
        <v>0</v>
      </c>
      <c r="AF146" s="552">
        <v>0</v>
      </c>
      <c r="AG146" s="552">
        <v>0</v>
      </c>
      <c r="AH146" s="552">
        <v>0</v>
      </c>
      <c r="AI146" s="552">
        <v>0</v>
      </c>
      <c r="AJ146" s="552">
        <v>0</v>
      </c>
    </row>
    <row r="147" spans="1:36" ht="15.95" customHeight="1">
      <c r="A147" s="547"/>
      <c r="B147" s="548">
        <v>278</v>
      </c>
      <c r="C147" s="549">
        <v>5421</v>
      </c>
      <c r="D147" s="550"/>
      <c r="E147" s="550" t="s">
        <v>3916</v>
      </c>
      <c r="F147" s="550" t="s">
        <v>1065</v>
      </c>
      <c r="G147" s="550" t="s">
        <v>2470</v>
      </c>
      <c r="H147" s="550" t="s">
        <v>384</v>
      </c>
      <c r="I147" s="550" t="s">
        <v>10</v>
      </c>
      <c r="J147" s="550" t="s">
        <v>3917</v>
      </c>
      <c r="K147" s="551">
        <v>44287</v>
      </c>
      <c r="L147" s="552">
        <v>120</v>
      </c>
      <c r="M147" s="552">
        <v>120</v>
      </c>
      <c r="N147" s="552">
        <v>120</v>
      </c>
      <c r="O147" s="552">
        <v>233</v>
      </c>
      <c r="P147" s="552">
        <v>27960</v>
      </c>
      <c r="Q147" s="548">
        <v>0</v>
      </c>
      <c r="R147" s="552">
        <v>0</v>
      </c>
      <c r="S147" s="548">
        <v>233</v>
      </c>
      <c r="T147" s="552">
        <v>27960</v>
      </c>
      <c r="U147" s="548">
        <v>0</v>
      </c>
      <c r="V147" s="552">
        <v>0</v>
      </c>
      <c r="W147" s="552">
        <v>0</v>
      </c>
      <c r="X147" s="552">
        <v>0</v>
      </c>
      <c r="Y147" s="552">
        <v>233</v>
      </c>
      <c r="Z147" s="552">
        <v>27960</v>
      </c>
      <c r="AA147" s="552">
        <v>224</v>
      </c>
      <c r="AB147" s="552">
        <v>26880</v>
      </c>
      <c r="AC147" s="552">
        <v>9</v>
      </c>
      <c r="AD147" s="552">
        <v>1080</v>
      </c>
      <c r="AE147" s="552">
        <v>0</v>
      </c>
      <c r="AF147" s="552">
        <v>0</v>
      </c>
      <c r="AG147" s="552">
        <v>0</v>
      </c>
      <c r="AH147" s="552">
        <v>0</v>
      </c>
      <c r="AI147" s="552">
        <v>0</v>
      </c>
      <c r="AJ147" s="552">
        <v>0</v>
      </c>
    </row>
    <row r="148" spans="1:36" ht="15.95" customHeight="1">
      <c r="A148" s="547"/>
      <c r="B148" s="548">
        <v>279</v>
      </c>
      <c r="C148" s="549">
        <v>7625</v>
      </c>
      <c r="D148" s="550" t="s">
        <v>11638</v>
      </c>
      <c r="E148" s="550" t="s">
        <v>5112</v>
      </c>
      <c r="F148" s="550" t="s">
        <v>5113</v>
      </c>
      <c r="G148" s="550" t="s">
        <v>309</v>
      </c>
      <c r="H148" s="550" t="s">
        <v>310</v>
      </c>
      <c r="I148" s="550" t="s">
        <v>10</v>
      </c>
      <c r="J148" s="550" t="s">
        <v>11639</v>
      </c>
      <c r="K148" s="551">
        <v>45139</v>
      </c>
      <c r="L148" s="552">
        <v>2765</v>
      </c>
      <c r="M148" s="552">
        <v>2765</v>
      </c>
      <c r="N148" s="552">
        <v>2765</v>
      </c>
      <c r="O148" s="552">
        <v>9600</v>
      </c>
      <c r="P148" s="552">
        <v>26544000</v>
      </c>
      <c r="Q148" s="548">
        <v>0</v>
      </c>
      <c r="R148" s="552">
        <v>0</v>
      </c>
      <c r="S148" s="548">
        <v>0</v>
      </c>
      <c r="T148" s="552">
        <v>0</v>
      </c>
      <c r="U148" s="548">
        <v>9600</v>
      </c>
      <c r="V148" s="552">
        <v>26544000</v>
      </c>
      <c r="W148" s="552">
        <v>0</v>
      </c>
      <c r="X148" s="552">
        <v>0</v>
      </c>
      <c r="Y148" s="552">
        <v>0</v>
      </c>
      <c r="Z148" s="552">
        <v>0</v>
      </c>
      <c r="AA148" s="552">
        <v>0</v>
      </c>
      <c r="AB148" s="552">
        <v>0</v>
      </c>
      <c r="AC148" s="552">
        <v>0</v>
      </c>
      <c r="AD148" s="552">
        <v>0</v>
      </c>
      <c r="AE148" s="552">
        <v>0</v>
      </c>
      <c r="AF148" s="552">
        <v>0</v>
      </c>
      <c r="AG148" s="552">
        <v>0</v>
      </c>
      <c r="AH148" s="552">
        <v>0</v>
      </c>
      <c r="AI148" s="552">
        <v>0</v>
      </c>
      <c r="AJ148" s="552">
        <v>0</v>
      </c>
    </row>
    <row r="149" spans="1:36" ht="15.95" customHeight="1">
      <c r="A149" s="547"/>
      <c r="B149" s="548">
        <v>280</v>
      </c>
      <c r="C149" s="549">
        <v>7625</v>
      </c>
      <c r="D149" s="550" t="s">
        <v>11638</v>
      </c>
      <c r="E149" s="550" t="s">
        <v>5112</v>
      </c>
      <c r="F149" s="550" t="s">
        <v>5113</v>
      </c>
      <c r="G149" s="550" t="s">
        <v>309</v>
      </c>
      <c r="H149" s="550" t="s">
        <v>310</v>
      </c>
      <c r="I149" s="550" t="s">
        <v>10</v>
      </c>
      <c r="J149" s="550" t="s">
        <v>11640</v>
      </c>
      <c r="K149" s="551">
        <v>45078</v>
      </c>
      <c r="L149" s="552">
        <v>2765</v>
      </c>
      <c r="M149" s="552">
        <v>2765</v>
      </c>
      <c r="N149" s="552">
        <v>2765</v>
      </c>
      <c r="O149" s="552">
        <v>4800</v>
      </c>
      <c r="P149" s="552">
        <v>13272000</v>
      </c>
      <c r="Q149" s="548">
        <v>0</v>
      </c>
      <c r="R149" s="552">
        <v>0</v>
      </c>
      <c r="S149" s="548">
        <v>1690</v>
      </c>
      <c r="T149" s="552">
        <v>4672850</v>
      </c>
      <c r="U149" s="548">
        <v>3110</v>
      </c>
      <c r="V149" s="552">
        <v>8599150</v>
      </c>
      <c r="W149" s="552">
        <v>0</v>
      </c>
      <c r="X149" s="552">
        <v>0</v>
      </c>
      <c r="Y149" s="552">
        <v>1690</v>
      </c>
      <c r="Z149" s="552">
        <v>4672850</v>
      </c>
      <c r="AA149" s="552">
        <v>1690</v>
      </c>
      <c r="AB149" s="552">
        <v>4672850</v>
      </c>
      <c r="AC149" s="552">
        <v>0</v>
      </c>
      <c r="AD149" s="552">
        <v>0</v>
      </c>
      <c r="AE149" s="552">
        <v>0</v>
      </c>
      <c r="AF149" s="552">
        <v>0</v>
      </c>
      <c r="AG149" s="552">
        <v>0</v>
      </c>
      <c r="AH149" s="552">
        <v>0</v>
      </c>
      <c r="AI149" s="552">
        <v>0</v>
      </c>
      <c r="AJ149" s="552">
        <v>0</v>
      </c>
    </row>
    <row r="150" spans="1:36" ht="15.95" customHeight="1">
      <c r="A150" s="547"/>
      <c r="B150" s="548">
        <v>281</v>
      </c>
      <c r="C150" s="549">
        <v>7625</v>
      </c>
      <c r="D150" s="550" t="s">
        <v>11638</v>
      </c>
      <c r="E150" s="550" t="s">
        <v>5112</v>
      </c>
      <c r="F150" s="550" t="s">
        <v>5113</v>
      </c>
      <c r="G150" s="550" t="s">
        <v>309</v>
      </c>
      <c r="H150" s="550" t="s">
        <v>310</v>
      </c>
      <c r="I150" s="550" t="s">
        <v>10</v>
      </c>
      <c r="J150" s="550" t="s">
        <v>11641</v>
      </c>
      <c r="K150" s="551">
        <v>44986</v>
      </c>
      <c r="L150" s="552">
        <v>2765</v>
      </c>
      <c r="M150" s="552">
        <v>2765</v>
      </c>
      <c r="N150" s="552">
        <v>2765</v>
      </c>
      <c r="O150" s="552">
        <v>1200</v>
      </c>
      <c r="P150" s="552">
        <v>3318000</v>
      </c>
      <c r="Q150" s="548">
        <v>0</v>
      </c>
      <c r="R150" s="552">
        <v>0</v>
      </c>
      <c r="S150" s="548">
        <v>1200</v>
      </c>
      <c r="T150" s="552">
        <v>3318000</v>
      </c>
      <c r="U150" s="548">
        <v>0</v>
      </c>
      <c r="V150" s="552">
        <v>0</v>
      </c>
      <c r="W150" s="552">
        <v>0</v>
      </c>
      <c r="X150" s="552">
        <v>0</v>
      </c>
      <c r="Y150" s="552">
        <v>1200</v>
      </c>
      <c r="Z150" s="552">
        <v>3318000</v>
      </c>
      <c r="AA150" s="552">
        <v>1200</v>
      </c>
      <c r="AB150" s="552">
        <v>3318000</v>
      </c>
      <c r="AC150" s="552">
        <v>0</v>
      </c>
      <c r="AD150" s="552">
        <v>0</v>
      </c>
      <c r="AE150" s="552">
        <v>0</v>
      </c>
      <c r="AF150" s="552">
        <v>0</v>
      </c>
      <c r="AG150" s="552">
        <v>0</v>
      </c>
      <c r="AH150" s="552">
        <v>0</v>
      </c>
      <c r="AI150" s="552">
        <v>0</v>
      </c>
      <c r="AJ150" s="552">
        <v>0</v>
      </c>
    </row>
    <row r="151" spans="1:36" ht="15.95" customHeight="1">
      <c r="A151" s="547"/>
      <c r="B151" s="548">
        <v>282</v>
      </c>
      <c r="C151" s="549">
        <v>7625</v>
      </c>
      <c r="D151" s="550" t="s">
        <v>11638</v>
      </c>
      <c r="E151" s="550" t="s">
        <v>5112</v>
      </c>
      <c r="F151" s="550" t="s">
        <v>5113</v>
      </c>
      <c r="G151" s="550" t="s">
        <v>309</v>
      </c>
      <c r="H151" s="550" t="s">
        <v>310</v>
      </c>
      <c r="I151" s="550" t="s">
        <v>10</v>
      </c>
      <c r="J151" s="550" t="s">
        <v>11642</v>
      </c>
      <c r="K151" s="551">
        <v>45139</v>
      </c>
      <c r="L151" s="552">
        <v>2765</v>
      </c>
      <c r="M151" s="552">
        <v>2765</v>
      </c>
      <c r="N151" s="552">
        <v>2765</v>
      </c>
      <c r="O151" s="552">
        <v>360</v>
      </c>
      <c r="P151" s="552">
        <v>995400</v>
      </c>
      <c r="Q151" s="548">
        <v>0</v>
      </c>
      <c r="R151" s="552">
        <v>0</v>
      </c>
      <c r="S151" s="548">
        <v>0</v>
      </c>
      <c r="T151" s="552">
        <v>0</v>
      </c>
      <c r="U151" s="548">
        <v>360</v>
      </c>
      <c r="V151" s="552">
        <v>995400</v>
      </c>
      <c r="W151" s="552">
        <v>0</v>
      </c>
      <c r="X151" s="552">
        <v>0</v>
      </c>
      <c r="Y151" s="552">
        <v>0</v>
      </c>
      <c r="Z151" s="552">
        <v>0</v>
      </c>
      <c r="AA151" s="552">
        <v>0</v>
      </c>
      <c r="AB151" s="552">
        <v>0</v>
      </c>
      <c r="AC151" s="552">
        <v>0</v>
      </c>
      <c r="AD151" s="552">
        <v>0</v>
      </c>
      <c r="AE151" s="552">
        <v>0</v>
      </c>
      <c r="AF151" s="552">
        <v>0</v>
      </c>
      <c r="AG151" s="552">
        <v>0</v>
      </c>
      <c r="AH151" s="552">
        <v>0</v>
      </c>
      <c r="AI151" s="552">
        <v>0</v>
      </c>
      <c r="AJ151" s="552">
        <v>0</v>
      </c>
    </row>
    <row r="152" spans="1:36" ht="15.95" customHeight="1">
      <c r="A152" s="547"/>
      <c r="B152" s="548">
        <v>283</v>
      </c>
      <c r="C152" s="549">
        <v>6816</v>
      </c>
      <c r="D152" s="550" t="s">
        <v>11643</v>
      </c>
      <c r="E152" s="550" t="s">
        <v>3919</v>
      </c>
      <c r="F152" s="550" t="s">
        <v>3920</v>
      </c>
      <c r="G152" s="550" t="s">
        <v>583</v>
      </c>
      <c r="H152" s="550" t="s">
        <v>390</v>
      </c>
      <c r="I152" s="550" t="s">
        <v>11</v>
      </c>
      <c r="J152" s="550" t="s">
        <v>11644</v>
      </c>
      <c r="K152" s="551">
        <v>45295</v>
      </c>
      <c r="L152" s="552">
        <v>1575</v>
      </c>
      <c r="M152" s="552">
        <v>1575</v>
      </c>
      <c r="N152" s="552">
        <v>1575</v>
      </c>
      <c r="O152" s="552"/>
      <c r="P152" s="552"/>
      <c r="Q152" s="548">
        <v>5400</v>
      </c>
      <c r="R152" s="552">
        <v>8505000</v>
      </c>
      <c r="S152" s="548">
        <v>0</v>
      </c>
      <c r="T152" s="552">
        <v>0</v>
      </c>
      <c r="U152" s="548">
        <v>5400</v>
      </c>
      <c r="V152" s="552">
        <v>8505000</v>
      </c>
      <c r="W152" s="552">
        <v>0</v>
      </c>
      <c r="X152" s="552">
        <v>0</v>
      </c>
      <c r="Y152" s="552">
        <v>0</v>
      </c>
      <c r="Z152" s="552">
        <v>0</v>
      </c>
      <c r="AA152" s="552">
        <v>0</v>
      </c>
      <c r="AB152" s="552">
        <v>0</v>
      </c>
      <c r="AC152" s="552">
        <v>0</v>
      </c>
      <c r="AD152" s="552">
        <v>0</v>
      </c>
      <c r="AE152" s="552">
        <v>0</v>
      </c>
      <c r="AF152" s="552">
        <v>0</v>
      </c>
      <c r="AG152" s="552">
        <v>0</v>
      </c>
      <c r="AH152" s="552">
        <v>0</v>
      </c>
      <c r="AI152" s="552">
        <v>0</v>
      </c>
      <c r="AJ152" s="552">
        <v>0</v>
      </c>
    </row>
    <row r="153" spans="1:36" ht="15.95" customHeight="1">
      <c r="A153" s="547"/>
      <c r="B153" s="548">
        <v>284</v>
      </c>
      <c r="C153" s="549">
        <v>6816</v>
      </c>
      <c r="D153" s="550" t="s">
        <v>11643</v>
      </c>
      <c r="E153" s="550" t="s">
        <v>3919</v>
      </c>
      <c r="F153" s="550" t="s">
        <v>3920</v>
      </c>
      <c r="G153" s="550" t="s">
        <v>583</v>
      </c>
      <c r="H153" s="550" t="s">
        <v>390</v>
      </c>
      <c r="I153" s="550" t="s">
        <v>11</v>
      </c>
      <c r="J153" s="550" t="s">
        <v>3780</v>
      </c>
      <c r="K153" s="551">
        <v>44988</v>
      </c>
      <c r="L153" s="552">
        <v>1575</v>
      </c>
      <c r="M153" s="552">
        <v>1575</v>
      </c>
      <c r="N153" s="552">
        <v>1575</v>
      </c>
      <c r="O153" s="552">
        <v>4815</v>
      </c>
      <c r="P153" s="552">
        <v>7583625</v>
      </c>
      <c r="Q153" s="548">
        <v>2100</v>
      </c>
      <c r="R153" s="552">
        <v>3307500</v>
      </c>
      <c r="S153" s="548">
        <v>6915</v>
      </c>
      <c r="T153" s="552">
        <v>10891125</v>
      </c>
      <c r="U153" s="548">
        <v>0</v>
      </c>
      <c r="V153" s="552">
        <v>0</v>
      </c>
      <c r="W153" s="552">
        <v>0</v>
      </c>
      <c r="X153" s="552">
        <v>0</v>
      </c>
      <c r="Y153" s="552">
        <v>6915</v>
      </c>
      <c r="Z153" s="552">
        <v>10891125</v>
      </c>
      <c r="AA153" s="552">
        <v>6915</v>
      </c>
      <c r="AB153" s="552">
        <v>10891125</v>
      </c>
      <c r="AC153" s="552">
        <v>0</v>
      </c>
      <c r="AD153" s="552">
        <v>0</v>
      </c>
      <c r="AE153" s="552">
        <v>0</v>
      </c>
      <c r="AF153" s="552">
        <v>0</v>
      </c>
      <c r="AG153" s="552">
        <v>0</v>
      </c>
      <c r="AH153" s="552">
        <v>0</v>
      </c>
      <c r="AI153" s="552">
        <v>0</v>
      </c>
      <c r="AJ153" s="552">
        <v>0</v>
      </c>
    </row>
    <row r="154" spans="1:36" ht="15.95" customHeight="1">
      <c r="A154" s="547"/>
      <c r="B154" s="548">
        <v>285</v>
      </c>
      <c r="C154" s="549">
        <v>6816</v>
      </c>
      <c r="D154" s="550" t="s">
        <v>11643</v>
      </c>
      <c r="E154" s="550" t="s">
        <v>3919</v>
      </c>
      <c r="F154" s="550" t="s">
        <v>3920</v>
      </c>
      <c r="G154" s="550" t="s">
        <v>583</v>
      </c>
      <c r="H154" s="550" t="s">
        <v>390</v>
      </c>
      <c r="I154" s="550" t="s">
        <v>11</v>
      </c>
      <c r="J154" s="550" t="s">
        <v>3844</v>
      </c>
      <c r="K154" s="551">
        <v>45038</v>
      </c>
      <c r="L154" s="552">
        <v>1575</v>
      </c>
      <c r="M154" s="552">
        <v>1575</v>
      </c>
      <c r="N154" s="552">
        <v>1575</v>
      </c>
      <c r="O154" s="552"/>
      <c r="P154" s="552"/>
      <c r="Q154" s="548">
        <v>27900</v>
      </c>
      <c r="R154" s="552">
        <v>43942500</v>
      </c>
      <c r="S154" s="548">
        <v>27870</v>
      </c>
      <c r="T154" s="552">
        <v>43895250</v>
      </c>
      <c r="U154" s="548">
        <v>30</v>
      </c>
      <c r="V154" s="552">
        <v>47250</v>
      </c>
      <c r="W154" s="552">
        <v>0</v>
      </c>
      <c r="X154" s="552">
        <v>0</v>
      </c>
      <c r="Y154" s="552">
        <v>27870</v>
      </c>
      <c r="Z154" s="552">
        <v>43895250</v>
      </c>
      <c r="AA154" s="552">
        <v>27870</v>
      </c>
      <c r="AB154" s="552">
        <v>43895250</v>
      </c>
      <c r="AC154" s="552">
        <v>0</v>
      </c>
      <c r="AD154" s="552">
        <v>0</v>
      </c>
      <c r="AE154" s="552">
        <v>0</v>
      </c>
      <c r="AF154" s="552">
        <v>0</v>
      </c>
      <c r="AG154" s="552">
        <v>0</v>
      </c>
      <c r="AH154" s="552">
        <v>0</v>
      </c>
      <c r="AI154" s="552">
        <v>0</v>
      </c>
      <c r="AJ154" s="552">
        <v>0</v>
      </c>
    </row>
    <row r="155" spans="1:36" ht="15.95" customHeight="1">
      <c r="A155" s="547"/>
      <c r="B155" s="548">
        <v>286</v>
      </c>
      <c r="C155" s="549">
        <v>6816</v>
      </c>
      <c r="D155" s="550" t="s">
        <v>11643</v>
      </c>
      <c r="E155" s="550" t="s">
        <v>3919</v>
      </c>
      <c r="F155" s="550" t="s">
        <v>3920</v>
      </c>
      <c r="G155" s="550" t="s">
        <v>583</v>
      </c>
      <c r="H155" s="550" t="s">
        <v>390</v>
      </c>
      <c r="I155" s="550" t="s">
        <v>11</v>
      </c>
      <c r="J155" s="550" t="s">
        <v>11645</v>
      </c>
      <c r="K155" s="551">
        <v>45234</v>
      </c>
      <c r="L155" s="552">
        <v>1575</v>
      </c>
      <c r="M155" s="552">
        <v>1575</v>
      </c>
      <c r="N155" s="552">
        <v>1575</v>
      </c>
      <c r="O155" s="552"/>
      <c r="P155" s="552"/>
      <c r="Q155" s="548">
        <v>4800</v>
      </c>
      <c r="R155" s="552">
        <v>7560000</v>
      </c>
      <c r="S155" s="548">
        <v>908</v>
      </c>
      <c r="T155" s="552">
        <v>1430100</v>
      </c>
      <c r="U155" s="548">
        <v>3892</v>
      </c>
      <c r="V155" s="552">
        <v>6129900</v>
      </c>
      <c r="W155" s="552">
        <v>0</v>
      </c>
      <c r="X155" s="552">
        <v>0</v>
      </c>
      <c r="Y155" s="552">
        <v>908</v>
      </c>
      <c r="Z155" s="552">
        <v>1430100</v>
      </c>
      <c r="AA155" s="552">
        <v>908</v>
      </c>
      <c r="AB155" s="552">
        <v>1430100</v>
      </c>
      <c r="AC155" s="552">
        <v>0</v>
      </c>
      <c r="AD155" s="552">
        <v>0</v>
      </c>
      <c r="AE155" s="552">
        <v>0</v>
      </c>
      <c r="AF155" s="552">
        <v>0</v>
      </c>
      <c r="AG155" s="552">
        <v>0</v>
      </c>
      <c r="AH155" s="552">
        <v>0</v>
      </c>
      <c r="AI155" s="552">
        <v>0</v>
      </c>
      <c r="AJ155" s="552">
        <v>0</v>
      </c>
    </row>
    <row r="156" spans="1:36" ht="15.95" customHeight="1">
      <c r="A156" s="547"/>
      <c r="B156" s="548">
        <v>287</v>
      </c>
      <c r="C156" s="549">
        <v>6816</v>
      </c>
      <c r="D156" s="550" t="s">
        <v>11643</v>
      </c>
      <c r="E156" s="550" t="s">
        <v>3919</v>
      </c>
      <c r="F156" s="550" t="s">
        <v>3920</v>
      </c>
      <c r="G156" s="550" t="s">
        <v>583</v>
      </c>
      <c r="H156" s="550" t="s">
        <v>390</v>
      </c>
      <c r="I156" s="550" t="s">
        <v>11</v>
      </c>
      <c r="J156" s="550" t="s">
        <v>11646</v>
      </c>
      <c r="K156" s="551">
        <v>45288</v>
      </c>
      <c r="L156" s="552">
        <v>1575</v>
      </c>
      <c r="M156" s="552">
        <v>1575</v>
      </c>
      <c r="N156" s="552">
        <v>1575</v>
      </c>
      <c r="O156" s="552"/>
      <c r="P156" s="552"/>
      <c r="Q156" s="548">
        <v>9780</v>
      </c>
      <c r="R156" s="552">
        <v>15403500</v>
      </c>
      <c r="S156" s="548">
        <v>0</v>
      </c>
      <c r="T156" s="552">
        <v>0</v>
      </c>
      <c r="U156" s="548">
        <v>9780</v>
      </c>
      <c r="V156" s="552">
        <v>15403500</v>
      </c>
      <c r="W156" s="552">
        <v>0</v>
      </c>
      <c r="X156" s="552">
        <v>0</v>
      </c>
      <c r="Y156" s="552">
        <v>0</v>
      </c>
      <c r="Z156" s="552">
        <v>0</v>
      </c>
      <c r="AA156" s="552">
        <v>0</v>
      </c>
      <c r="AB156" s="552">
        <v>0</v>
      </c>
      <c r="AC156" s="552">
        <v>0</v>
      </c>
      <c r="AD156" s="552">
        <v>0</v>
      </c>
      <c r="AE156" s="552">
        <v>0</v>
      </c>
      <c r="AF156" s="552">
        <v>0</v>
      </c>
      <c r="AG156" s="552">
        <v>0</v>
      </c>
      <c r="AH156" s="552">
        <v>0</v>
      </c>
      <c r="AI156" s="552">
        <v>0</v>
      </c>
      <c r="AJ156" s="552">
        <v>0</v>
      </c>
    </row>
    <row r="157" spans="1:36" ht="15.95" customHeight="1">
      <c r="A157" s="547"/>
      <c r="B157" s="548">
        <v>288</v>
      </c>
      <c r="C157" s="549">
        <v>6816</v>
      </c>
      <c r="D157" s="550" t="s">
        <v>11643</v>
      </c>
      <c r="E157" s="550" t="s">
        <v>3919</v>
      </c>
      <c r="F157" s="550" t="s">
        <v>3920</v>
      </c>
      <c r="G157" s="550" t="s">
        <v>583</v>
      </c>
      <c r="H157" s="550" t="s">
        <v>390</v>
      </c>
      <c r="I157" s="550" t="s">
        <v>11</v>
      </c>
      <c r="J157" s="550" t="s">
        <v>3921</v>
      </c>
      <c r="K157" s="551">
        <v>44893</v>
      </c>
      <c r="L157" s="552">
        <v>1575</v>
      </c>
      <c r="M157" s="552">
        <v>1575</v>
      </c>
      <c r="N157" s="552">
        <v>1575</v>
      </c>
      <c r="O157" s="552">
        <v>43</v>
      </c>
      <c r="P157" s="552">
        <v>67725</v>
      </c>
      <c r="Q157" s="548">
        <v>1</v>
      </c>
      <c r="R157" s="552">
        <v>1575</v>
      </c>
      <c r="S157" s="548">
        <v>22</v>
      </c>
      <c r="T157" s="552">
        <v>34650</v>
      </c>
      <c r="U157" s="548">
        <v>22</v>
      </c>
      <c r="V157" s="552">
        <v>34650</v>
      </c>
      <c r="W157" s="552">
        <v>0</v>
      </c>
      <c r="X157" s="552">
        <v>0</v>
      </c>
      <c r="Y157" s="552">
        <v>22</v>
      </c>
      <c r="Z157" s="552">
        <v>34650</v>
      </c>
      <c r="AA157" s="552">
        <v>0</v>
      </c>
      <c r="AB157" s="552">
        <v>0</v>
      </c>
      <c r="AC157" s="552">
        <v>22</v>
      </c>
      <c r="AD157" s="552">
        <v>34650</v>
      </c>
      <c r="AE157" s="552">
        <v>0</v>
      </c>
      <c r="AF157" s="552">
        <v>0</v>
      </c>
      <c r="AG157" s="552">
        <v>0</v>
      </c>
      <c r="AH157" s="552">
        <v>0</v>
      </c>
      <c r="AI157" s="552">
        <v>0</v>
      </c>
      <c r="AJ157" s="552">
        <v>0</v>
      </c>
    </row>
    <row r="158" spans="1:36" ht="15.95" customHeight="1">
      <c r="A158" s="547"/>
      <c r="B158" s="548">
        <v>291</v>
      </c>
      <c r="C158" s="549">
        <v>6984</v>
      </c>
      <c r="D158" s="550" t="s">
        <v>11647</v>
      </c>
      <c r="E158" s="550" t="s">
        <v>3922</v>
      </c>
      <c r="F158" s="550" t="s">
        <v>2600</v>
      </c>
      <c r="G158" s="550" t="s">
        <v>568</v>
      </c>
      <c r="H158" s="550" t="s">
        <v>570</v>
      </c>
      <c r="I158" s="550" t="s">
        <v>11</v>
      </c>
      <c r="J158" s="550" t="s">
        <v>3780</v>
      </c>
      <c r="K158" s="551">
        <v>45025</v>
      </c>
      <c r="L158" s="552">
        <v>252</v>
      </c>
      <c r="M158" s="552">
        <v>252</v>
      </c>
      <c r="N158" s="552">
        <v>252</v>
      </c>
      <c r="O158" s="552"/>
      <c r="P158" s="552"/>
      <c r="Q158" s="548">
        <v>26000</v>
      </c>
      <c r="R158" s="552">
        <v>6552000</v>
      </c>
      <c r="S158" s="548">
        <v>15120</v>
      </c>
      <c r="T158" s="552">
        <v>3810240</v>
      </c>
      <c r="U158" s="548">
        <v>10880</v>
      </c>
      <c r="V158" s="552">
        <v>2741760</v>
      </c>
      <c r="W158" s="552">
        <v>8460</v>
      </c>
      <c r="X158" s="552">
        <v>2131920</v>
      </c>
      <c r="Y158" s="552">
        <v>15120</v>
      </c>
      <c r="Z158" s="552">
        <v>3810240</v>
      </c>
      <c r="AA158" s="552">
        <v>0</v>
      </c>
      <c r="AB158" s="552">
        <v>0</v>
      </c>
      <c r="AC158" s="552">
        <v>15120</v>
      </c>
      <c r="AD158" s="552">
        <v>3810240</v>
      </c>
      <c r="AE158" s="552">
        <v>0</v>
      </c>
      <c r="AF158" s="552">
        <v>0</v>
      </c>
      <c r="AG158" s="552">
        <v>0</v>
      </c>
      <c r="AH158" s="552">
        <v>0</v>
      </c>
      <c r="AI158" s="552">
        <v>0</v>
      </c>
      <c r="AJ158" s="552">
        <v>0</v>
      </c>
    </row>
    <row r="159" spans="1:36" ht="15.95" customHeight="1">
      <c r="A159" s="547"/>
      <c r="B159" s="548">
        <v>292</v>
      </c>
      <c r="C159" s="549">
        <v>6984</v>
      </c>
      <c r="D159" s="550" t="s">
        <v>11647</v>
      </c>
      <c r="E159" s="550" t="s">
        <v>3922</v>
      </c>
      <c r="F159" s="550" t="s">
        <v>2600</v>
      </c>
      <c r="G159" s="550" t="s">
        <v>568</v>
      </c>
      <c r="H159" s="550" t="s">
        <v>570</v>
      </c>
      <c r="I159" s="550" t="s">
        <v>11</v>
      </c>
      <c r="J159" s="550" t="s">
        <v>3923</v>
      </c>
      <c r="K159" s="551">
        <v>44977</v>
      </c>
      <c r="L159" s="552">
        <v>252</v>
      </c>
      <c r="M159" s="552">
        <v>252</v>
      </c>
      <c r="N159" s="552">
        <v>252</v>
      </c>
      <c r="O159" s="552">
        <v>10214</v>
      </c>
      <c r="P159" s="552">
        <v>2573928</v>
      </c>
      <c r="Q159" s="548">
        <v>1000</v>
      </c>
      <c r="R159" s="552">
        <v>252000</v>
      </c>
      <c r="S159" s="548">
        <v>10952</v>
      </c>
      <c r="T159" s="552">
        <v>2759904</v>
      </c>
      <c r="U159" s="548">
        <v>262</v>
      </c>
      <c r="V159" s="552">
        <v>66024</v>
      </c>
      <c r="W159" s="552">
        <v>7269</v>
      </c>
      <c r="X159" s="552">
        <v>1831788</v>
      </c>
      <c r="Y159" s="552">
        <v>10832</v>
      </c>
      <c r="Z159" s="552">
        <v>2729664</v>
      </c>
      <c r="AA159" s="552">
        <v>6952</v>
      </c>
      <c r="AB159" s="552">
        <v>1751904</v>
      </c>
      <c r="AC159" s="552">
        <v>3880</v>
      </c>
      <c r="AD159" s="552">
        <v>977760</v>
      </c>
      <c r="AE159" s="552">
        <v>0</v>
      </c>
      <c r="AF159" s="552">
        <v>0</v>
      </c>
      <c r="AG159" s="552">
        <v>120</v>
      </c>
      <c r="AH159" s="552">
        <v>30240</v>
      </c>
      <c r="AI159" s="552">
        <v>0</v>
      </c>
      <c r="AJ159" s="552">
        <v>0</v>
      </c>
    </row>
    <row r="160" spans="1:36" ht="15.95" customHeight="1">
      <c r="A160" s="547"/>
      <c r="B160" s="548">
        <v>293</v>
      </c>
      <c r="C160" s="549">
        <v>6732</v>
      </c>
      <c r="D160" s="550" t="s">
        <v>11648</v>
      </c>
      <c r="E160" s="550" t="s">
        <v>3924</v>
      </c>
      <c r="F160" s="550" t="s">
        <v>1330</v>
      </c>
      <c r="G160" s="550" t="s">
        <v>1330</v>
      </c>
      <c r="H160" s="550" t="s">
        <v>291</v>
      </c>
      <c r="I160" s="550" t="s">
        <v>11</v>
      </c>
      <c r="J160" s="550" t="s">
        <v>11649</v>
      </c>
      <c r="K160" s="551">
        <v>45290</v>
      </c>
      <c r="L160" s="552">
        <v>100</v>
      </c>
      <c r="M160" s="552">
        <v>100</v>
      </c>
      <c r="N160" s="552">
        <v>100</v>
      </c>
      <c r="O160" s="552"/>
      <c r="P160" s="552"/>
      <c r="Q160" s="548">
        <v>7500</v>
      </c>
      <c r="R160" s="552">
        <v>750000</v>
      </c>
      <c r="S160" s="548">
        <v>5500</v>
      </c>
      <c r="T160" s="552">
        <v>550000</v>
      </c>
      <c r="U160" s="548">
        <v>2000</v>
      </c>
      <c r="V160" s="552">
        <v>200000</v>
      </c>
      <c r="W160" s="552">
        <v>5344</v>
      </c>
      <c r="X160" s="552">
        <v>534400</v>
      </c>
      <c r="Y160" s="552">
        <v>5500</v>
      </c>
      <c r="Z160" s="552">
        <v>550000</v>
      </c>
      <c r="AA160" s="552">
        <v>0</v>
      </c>
      <c r="AB160" s="552">
        <v>0</v>
      </c>
      <c r="AC160" s="552">
        <v>5500</v>
      </c>
      <c r="AD160" s="552">
        <v>550000</v>
      </c>
      <c r="AE160" s="552">
        <v>0</v>
      </c>
      <c r="AF160" s="552">
        <v>0</v>
      </c>
      <c r="AG160" s="552">
        <v>0</v>
      </c>
      <c r="AH160" s="552">
        <v>0</v>
      </c>
      <c r="AI160" s="552">
        <v>0</v>
      </c>
      <c r="AJ160" s="552">
        <v>0</v>
      </c>
    </row>
    <row r="161" spans="1:36" ht="15.95" customHeight="1">
      <c r="A161" s="547"/>
      <c r="B161" s="548">
        <v>294</v>
      </c>
      <c r="C161" s="549">
        <v>6732</v>
      </c>
      <c r="D161" s="550" t="s">
        <v>11648</v>
      </c>
      <c r="E161" s="550" t="s">
        <v>3924</v>
      </c>
      <c r="F161" s="550" t="s">
        <v>1330</v>
      </c>
      <c r="G161" s="550" t="s">
        <v>1330</v>
      </c>
      <c r="H161" s="550" t="s">
        <v>291</v>
      </c>
      <c r="I161" s="550" t="s">
        <v>11</v>
      </c>
      <c r="J161" s="550" t="s">
        <v>11650</v>
      </c>
      <c r="K161" s="551">
        <v>45408</v>
      </c>
      <c r="L161" s="552">
        <v>100</v>
      </c>
      <c r="M161" s="552">
        <v>100</v>
      </c>
      <c r="N161" s="552">
        <v>100</v>
      </c>
      <c r="O161" s="552"/>
      <c r="P161" s="552"/>
      <c r="Q161" s="548">
        <v>51500</v>
      </c>
      <c r="R161" s="552">
        <v>5150000</v>
      </c>
      <c r="S161" s="548">
        <v>22500</v>
      </c>
      <c r="T161" s="552">
        <v>2250000</v>
      </c>
      <c r="U161" s="548">
        <v>29000</v>
      </c>
      <c r="V161" s="552">
        <v>2900000</v>
      </c>
      <c r="W161" s="552">
        <v>5689</v>
      </c>
      <c r="X161" s="552">
        <v>568900</v>
      </c>
      <c r="Y161" s="552">
        <v>22500</v>
      </c>
      <c r="Z161" s="552">
        <v>2250000</v>
      </c>
      <c r="AA161" s="552">
        <v>0</v>
      </c>
      <c r="AB161" s="552">
        <v>0</v>
      </c>
      <c r="AC161" s="552">
        <v>22500</v>
      </c>
      <c r="AD161" s="552">
        <v>2250000</v>
      </c>
      <c r="AE161" s="552">
        <v>0</v>
      </c>
      <c r="AF161" s="552">
        <v>0</v>
      </c>
      <c r="AG161" s="552">
        <v>0</v>
      </c>
      <c r="AH161" s="552">
        <v>0</v>
      </c>
      <c r="AI161" s="552">
        <v>0</v>
      </c>
      <c r="AJ161" s="552">
        <v>0</v>
      </c>
    </row>
    <row r="162" spans="1:36" ht="15.95" customHeight="1">
      <c r="A162" s="547"/>
      <c r="B162" s="548">
        <v>295</v>
      </c>
      <c r="C162" s="549">
        <v>6732</v>
      </c>
      <c r="D162" s="550" t="s">
        <v>11648</v>
      </c>
      <c r="E162" s="550" t="s">
        <v>3924</v>
      </c>
      <c r="F162" s="550" t="s">
        <v>1330</v>
      </c>
      <c r="G162" s="550" t="s">
        <v>1330</v>
      </c>
      <c r="H162" s="550" t="s">
        <v>291</v>
      </c>
      <c r="I162" s="550" t="s">
        <v>11</v>
      </c>
      <c r="J162" s="550" t="s">
        <v>11651</v>
      </c>
      <c r="K162" s="551">
        <v>45220</v>
      </c>
      <c r="L162" s="552">
        <v>100</v>
      </c>
      <c r="M162" s="552">
        <v>100</v>
      </c>
      <c r="N162" s="552">
        <v>100</v>
      </c>
      <c r="O162" s="552">
        <v>10000</v>
      </c>
      <c r="P162" s="552">
        <v>1000000</v>
      </c>
      <c r="Q162" s="548">
        <v>12</v>
      </c>
      <c r="R162" s="552">
        <v>1200</v>
      </c>
      <c r="S162" s="548">
        <v>9706</v>
      </c>
      <c r="T162" s="552">
        <v>970600</v>
      </c>
      <c r="U162" s="548">
        <v>306</v>
      </c>
      <c r="V162" s="552">
        <v>30600</v>
      </c>
      <c r="W162" s="552">
        <v>1964</v>
      </c>
      <c r="X162" s="552">
        <v>196400</v>
      </c>
      <c r="Y162" s="552">
        <v>9706</v>
      </c>
      <c r="Z162" s="552">
        <v>970600</v>
      </c>
      <c r="AA162" s="552">
        <v>7247</v>
      </c>
      <c r="AB162" s="552">
        <v>724700</v>
      </c>
      <c r="AC162" s="552">
        <v>2459</v>
      </c>
      <c r="AD162" s="552">
        <v>245900</v>
      </c>
      <c r="AE162" s="552">
        <v>0</v>
      </c>
      <c r="AF162" s="552">
        <v>0</v>
      </c>
      <c r="AG162" s="552">
        <v>0</v>
      </c>
      <c r="AH162" s="552">
        <v>0</v>
      </c>
      <c r="AI162" s="552">
        <v>0</v>
      </c>
      <c r="AJ162" s="552">
        <v>0</v>
      </c>
    </row>
    <row r="163" spans="1:36" ht="15.95" customHeight="1">
      <c r="A163" s="547"/>
      <c r="B163" s="548">
        <v>296</v>
      </c>
      <c r="C163" s="549">
        <v>6732</v>
      </c>
      <c r="D163" s="550" t="s">
        <v>11648</v>
      </c>
      <c r="E163" s="550" t="s">
        <v>3924</v>
      </c>
      <c r="F163" s="550" t="s">
        <v>1330</v>
      </c>
      <c r="G163" s="550" t="s">
        <v>1330</v>
      </c>
      <c r="H163" s="550" t="s">
        <v>291</v>
      </c>
      <c r="I163" s="550" t="s">
        <v>11</v>
      </c>
      <c r="J163" s="550" t="s">
        <v>3926</v>
      </c>
      <c r="K163" s="551">
        <v>45064</v>
      </c>
      <c r="L163" s="552">
        <v>100</v>
      </c>
      <c r="M163" s="552">
        <v>100</v>
      </c>
      <c r="N163" s="552">
        <v>100</v>
      </c>
      <c r="O163" s="552">
        <v>500</v>
      </c>
      <c r="P163" s="552">
        <v>50000</v>
      </c>
      <c r="Q163" s="548">
        <v>0</v>
      </c>
      <c r="R163" s="552">
        <v>0</v>
      </c>
      <c r="S163" s="548">
        <v>500</v>
      </c>
      <c r="T163" s="552">
        <v>50000</v>
      </c>
      <c r="U163" s="548">
        <v>0</v>
      </c>
      <c r="V163" s="552">
        <v>0</v>
      </c>
      <c r="W163" s="552">
        <v>4300</v>
      </c>
      <c r="X163" s="552">
        <v>430000</v>
      </c>
      <c r="Y163" s="552">
        <v>500</v>
      </c>
      <c r="Z163" s="552">
        <v>50000</v>
      </c>
      <c r="AA163" s="552">
        <v>500</v>
      </c>
      <c r="AB163" s="552">
        <v>50000</v>
      </c>
      <c r="AC163" s="552">
        <v>0</v>
      </c>
      <c r="AD163" s="552">
        <v>0</v>
      </c>
      <c r="AE163" s="552">
        <v>0</v>
      </c>
      <c r="AF163" s="552">
        <v>0</v>
      </c>
      <c r="AG163" s="552">
        <v>0</v>
      </c>
      <c r="AH163" s="552">
        <v>0</v>
      </c>
      <c r="AI163" s="552">
        <v>0</v>
      </c>
      <c r="AJ163" s="552">
        <v>0</v>
      </c>
    </row>
    <row r="164" spans="1:36" ht="15.95" customHeight="1">
      <c r="A164" s="547"/>
      <c r="B164" s="548">
        <v>297</v>
      </c>
      <c r="C164" s="549">
        <v>6732</v>
      </c>
      <c r="D164" s="550" t="s">
        <v>11648</v>
      </c>
      <c r="E164" s="550" t="s">
        <v>3924</v>
      </c>
      <c r="F164" s="550" t="s">
        <v>1330</v>
      </c>
      <c r="G164" s="550" t="s">
        <v>1330</v>
      </c>
      <c r="H164" s="550" t="s">
        <v>291</v>
      </c>
      <c r="I164" s="550" t="s">
        <v>11</v>
      </c>
      <c r="J164" s="550" t="s">
        <v>3927</v>
      </c>
      <c r="K164" s="551">
        <v>45019</v>
      </c>
      <c r="L164" s="552">
        <v>100</v>
      </c>
      <c r="M164" s="552">
        <v>100</v>
      </c>
      <c r="N164" s="552">
        <v>100</v>
      </c>
      <c r="O164" s="552">
        <v>401</v>
      </c>
      <c r="P164" s="552">
        <v>40100</v>
      </c>
      <c r="Q164" s="548">
        <v>3</v>
      </c>
      <c r="R164" s="552">
        <v>300</v>
      </c>
      <c r="S164" s="548">
        <v>404</v>
      </c>
      <c r="T164" s="552">
        <v>40400</v>
      </c>
      <c r="U164" s="548">
        <v>0</v>
      </c>
      <c r="V164" s="552">
        <v>0</v>
      </c>
      <c r="W164" s="552">
        <v>2526</v>
      </c>
      <c r="X164" s="552">
        <v>252600</v>
      </c>
      <c r="Y164" s="552">
        <v>404</v>
      </c>
      <c r="Z164" s="552">
        <v>40400</v>
      </c>
      <c r="AA164" s="552">
        <v>0</v>
      </c>
      <c r="AB164" s="552">
        <v>0</v>
      </c>
      <c r="AC164" s="552">
        <v>404</v>
      </c>
      <c r="AD164" s="552">
        <v>40400</v>
      </c>
      <c r="AE164" s="552">
        <v>0</v>
      </c>
      <c r="AF164" s="552">
        <v>0</v>
      </c>
      <c r="AG164" s="552">
        <v>0</v>
      </c>
      <c r="AH164" s="552">
        <v>0</v>
      </c>
      <c r="AI164" s="552">
        <v>0</v>
      </c>
      <c r="AJ164" s="552">
        <v>0</v>
      </c>
    </row>
    <row r="165" spans="1:36" ht="15.95" customHeight="1">
      <c r="A165" s="547"/>
      <c r="B165" s="548">
        <v>298</v>
      </c>
      <c r="C165" s="549">
        <v>6733</v>
      </c>
      <c r="D165" s="550" t="s">
        <v>11652</v>
      </c>
      <c r="E165" s="550" t="s">
        <v>3928</v>
      </c>
      <c r="F165" s="550" t="s">
        <v>3929</v>
      </c>
      <c r="G165" s="550" t="s">
        <v>1330</v>
      </c>
      <c r="H165" s="550" t="s">
        <v>1580</v>
      </c>
      <c r="I165" s="550" t="s">
        <v>11</v>
      </c>
      <c r="J165" s="550" t="s">
        <v>11653</v>
      </c>
      <c r="K165" s="551">
        <v>45460</v>
      </c>
      <c r="L165" s="552">
        <v>140</v>
      </c>
      <c r="M165" s="552">
        <v>140</v>
      </c>
      <c r="N165" s="552">
        <v>140</v>
      </c>
      <c r="O165" s="552"/>
      <c r="P165" s="552"/>
      <c r="Q165" s="548">
        <v>30000</v>
      </c>
      <c r="R165" s="552">
        <v>4200000</v>
      </c>
      <c r="S165" s="548">
        <v>0</v>
      </c>
      <c r="T165" s="552">
        <v>0</v>
      </c>
      <c r="U165" s="548">
        <v>30000</v>
      </c>
      <c r="V165" s="552">
        <v>4200000</v>
      </c>
      <c r="W165" s="552">
        <v>0</v>
      </c>
      <c r="X165" s="552">
        <v>0</v>
      </c>
      <c r="Y165" s="552">
        <v>0</v>
      </c>
      <c r="Z165" s="552">
        <v>0</v>
      </c>
      <c r="AA165" s="552">
        <v>0</v>
      </c>
      <c r="AB165" s="552">
        <v>0</v>
      </c>
      <c r="AC165" s="552">
        <v>0</v>
      </c>
      <c r="AD165" s="552">
        <v>0</v>
      </c>
      <c r="AE165" s="552">
        <v>0</v>
      </c>
      <c r="AF165" s="552">
        <v>0</v>
      </c>
      <c r="AG165" s="552">
        <v>0</v>
      </c>
      <c r="AH165" s="552">
        <v>0</v>
      </c>
      <c r="AI165" s="552">
        <v>0</v>
      </c>
      <c r="AJ165" s="552">
        <v>0</v>
      </c>
    </row>
    <row r="166" spans="1:36" ht="15.95" customHeight="1">
      <c r="A166" s="547"/>
      <c r="B166" s="548">
        <v>299</v>
      </c>
      <c r="C166" s="549">
        <v>6733</v>
      </c>
      <c r="D166" s="550" t="s">
        <v>11652</v>
      </c>
      <c r="E166" s="550" t="s">
        <v>3928</v>
      </c>
      <c r="F166" s="550" t="s">
        <v>3929</v>
      </c>
      <c r="G166" s="550" t="s">
        <v>1330</v>
      </c>
      <c r="H166" s="550" t="s">
        <v>1580</v>
      </c>
      <c r="I166" s="550" t="s">
        <v>11</v>
      </c>
      <c r="J166" s="550" t="s">
        <v>3930</v>
      </c>
      <c r="K166" s="551">
        <v>44956</v>
      </c>
      <c r="L166" s="552">
        <v>140</v>
      </c>
      <c r="M166" s="552">
        <v>140</v>
      </c>
      <c r="N166" s="552">
        <v>140</v>
      </c>
      <c r="O166" s="552">
        <v>400</v>
      </c>
      <c r="P166" s="552">
        <v>56000</v>
      </c>
      <c r="Q166" s="548">
        <v>0</v>
      </c>
      <c r="R166" s="552">
        <v>0</v>
      </c>
      <c r="S166" s="548">
        <v>400</v>
      </c>
      <c r="T166" s="552">
        <v>56000</v>
      </c>
      <c r="U166" s="548">
        <v>0</v>
      </c>
      <c r="V166" s="552">
        <v>0</v>
      </c>
      <c r="W166" s="552">
        <v>4881</v>
      </c>
      <c r="X166" s="552">
        <v>683340</v>
      </c>
      <c r="Y166" s="552">
        <v>400</v>
      </c>
      <c r="Z166" s="552">
        <v>56000</v>
      </c>
      <c r="AA166" s="552">
        <v>0</v>
      </c>
      <c r="AB166" s="552">
        <v>0</v>
      </c>
      <c r="AC166" s="552">
        <v>400</v>
      </c>
      <c r="AD166" s="552">
        <v>56000</v>
      </c>
      <c r="AE166" s="552">
        <v>0</v>
      </c>
      <c r="AF166" s="552">
        <v>0</v>
      </c>
      <c r="AG166" s="552">
        <v>0</v>
      </c>
      <c r="AH166" s="552">
        <v>0</v>
      </c>
      <c r="AI166" s="552">
        <v>0</v>
      </c>
      <c r="AJ166" s="552">
        <v>0</v>
      </c>
    </row>
    <row r="167" spans="1:36" ht="15.95" customHeight="1">
      <c r="A167" s="547"/>
      <c r="B167" s="548">
        <v>300</v>
      </c>
      <c r="C167" s="549">
        <v>6733</v>
      </c>
      <c r="D167" s="550" t="s">
        <v>11652</v>
      </c>
      <c r="E167" s="550" t="s">
        <v>3928</v>
      </c>
      <c r="F167" s="550" t="s">
        <v>3929</v>
      </c>
      <c r="G167" s="550" t="s">
        <v>1330</v>
      </c>
      <c r="H167" s="550" t="s">
        <v>1580</v>
      </c>
      <c r="I167" s="550" t="s">
        <v>11</v>
      </c>
      <c r="J167" s="550" t="s">
        <v>3931</v>
      </c>
      <c r="K167" s="551">
        <v>45072</v>
      </c>
      <c r="L167" s="552">
        <v>140</v>
      </c>
      <c r="M167" s="552">
        <v>140</v>
      </c>
      <c r="N167" s="552">
        <v>140</v>
      </c>
      <c r="O167" s="552">
        <v>1000</v>
      </c>
      <c r="P167" s="552">
        <v>140000</v>
      </c>
      <c r="Q167" s="548">
        <v>0</v>
      </c>
      <c r="R167" s="552">
        <v>0</v>
      </c>
      <c r="S167" s="548">
        <v>1000</v>
      </c>
      <c r="T167" s="552">
        <v>140000</v>
      </c>
      <c r="U167" s="548">
        <v>0</v>
      </c>
      <c r="V167" s="552">
        <v>0</v>
      </c>
      <c r="W167" s="552">
        <v>0</v>
      </c>
      <c r="X167" s="552">
        <v>0</v>
      </c>
      <c r="Y167" s="552">
        <v>1000</v>
      </c>
      <c r="Z167" s="552">
        <v>140000</v>
      </c>
      <c r="AA167" s="552">
        <v>0</v>
      </c>
      <c r="AB167" s="552">
        <v>0</v>
      </c>
      <c r="AC167" s="552">
        <v>1000</v>
      </c>
      <c r="AD167" s="552">
        <v>140000</v>
      </c>
      <c r="AE167" s="552">
        <v>0</v>
      </c>
      <c r="AF167" s="552">
        <v>0</v>
      </c>
      <c r="AG167" s="552">
        <v>0</v>
      </c>
      <c r="AH167" s="552">
        <v>0</v>
      </c>
      <c r="AI167" s="552">
        <v>0</v>
      </c>
      <c r="AJ167" s="552">
        <v>0</v>
      </c>
    </row>
    <row r="168" spans="1:36" ht="15.95" customHeight="1">
      <c r="A168" s="547"/>
      <c r="B168" s="548">
        <v>306</v>
      </c>
      <c r="C168" s="549">
        <v>6742</v>
      </c>
      <c r="D168" s="550" t="s">
        <v>11654</v>
      </c>
      <c r="E168" s="550" t="s">
        <v>8060</v>
      </c>
      <c r="F168" s="550" t="s">
        <v>1216</v>
      </c>
      <c r="G168" s="550" t="s">
        <v>1215</v>
      </c>
      <c r="H168" s="550" t="s">
        <v>1217</v>
      </c>
      <c r="I168" s="550" t="s">
        <v>11</v>
      </c>
      <c r="J168" s="550" t="s">
        <v>11655</v>
      </c>
      <c r="K168" s="551">
        <v>45368</v>
      </c>
      <c r="L168" s="552">
        <v>720</v>
      </c>
      <c r="M168" s="552">
        <v>720</v>
      </c>
      <c r="N168" s="552">
        <v>720</v>
      </c>
      <c r="O168" s="552"/>
      <c r="P168" s="552"/>
      <c r="Q168" s="548">
        <v>600</v>
      </c>
      <c r="R168" s="552">
        <v>432000</v>
      </c>
      <c r="S168" s="548">
        <v>600</v>
      </c>
      <c r="T168" s="552">
        <v>432000</v>
      </c>
      <c r="U168" s="548">
        <v>0</v>
      </c>
      <c r="V168" s="552">
        <v>0</v>
      </c>
      <c r="W168" s="552">
        <v>30</v>
      </c>
      <c r="X168" s="552">
        <v>21600</v>
      </c>
      <c r="Y168" s="552">
        <v>600</v>
      </c>
      <c r="Z168" s="552">
        <v>432000</v>
      </c>
      <c r="AA168" s="552">
        <v>0</v>
      </c>
      <c r="AB168" s="552">
        <v>0</v>
      </c>
      <c r="AC168" s="552">
        <v>600</v>
      </c>
      <c r="AD168" s="552">
        <v>432000</v>
      </c>
      <c r="AE168" s="552">
        <v>0</v>
      </c>
      <c r="AF168" s="552">
        <v>0</v>
      </c>
      <c r="AG168" s="552">
        <v>0</v>
      </c>
      <c r="AH168" s="552">
        <v>0</v>
      </c>
      <c r="AI168" s="552">
        <v>0</v>
      </c>
      <c r="AJ168" s="552">
        <v>0</v>
      </c>
    </row>
    <row r="169" spans="1:36" ht="15.95" customHeight="1">
      <c r="A169" s="547"/>
      <c r="B169" s="548">
        <v>307</v>
      </c>
      <c r="C169" s="549">
        <v>6742</v>
      </c>
      <c r="D169" s="550" t="s">
        <v>11654</v>
      </c>
      <c r="E169" s="550" t="s">
        <v>8060</v>
      </c>
      <c r="F169" s="550" t="s">
        <v>1216</v>
      </c>
      <c r="G169" s="550" t="s">
        <v>1215</v>
      </c>
      <c r="H169" s="550" t="s">
        <v>1217</v>
      </c>
      <c r="I169" s="550" t="s">
        <v>11</v>
      </c>
      <c r="J169" s="550" t="s">
        <v>11656</v>
      </c>
      <c r="K169" s="551">
        <v>45213</v>
      </c>
      <c r="L169" s="552">
        <v>720</v>
      </c>
      <c r="M169" s="552">
        <v>720</v>
      </c>
      <c r="N169" s="552">
        <v>720</v>
      </c>
      <c r="O169" s="552">
        <v>3000</v>
      </c>
      <c r="P169" s="552">
        <v>2160000</v>
      </c>
      <c r="Q169" s="548">
        <v>0</v>
      </c>
      <c r="R169" s="552">
        <v>0</v>
      </c>
      <c r="S169" s="548">
        <v>3000</v>
      </c>
      <c r="T169" s="552">
        <v>2160000</v>
      </c>
      <c r="U169" s="548">
        <v>0</v>
      </c>
      <c r="V169" s="552">
        <v>0</v>
      </c>
      <c r="W169" s="552">
        <v>0</v>
      </c>
      <c r="X169" s="552">
        <v>0</v>
      </c>
      <c r="Y169" s="552">
        <v>3000</v>
      </c>
      <c r="Z169" s="552">
        <v>2160000</v>
      </c>
      <c r="AA169" s="552">
        <v>3000</v>
      </c>
      <c r="AB169" s="552">
        <v>2160000</v>
      </c>
      <c r="AC169" s="552">
        <v>0</v>
      </c>
      <c r="AD169" s="552">
        <v>0</v>
      </c>
      <c r="AE169" s="552">
        <v>0</v>
      </c>
      <c r="AF169" s="552">
        <v>0</v>
      </c>
      <c r="AG169" s="552">
        <v>0</v>
      </c>
      <c r="AH169" s="552">
        <v>0</v>
      </c>
      <c r="AI169" s="552">
        <v>0</v>
      </c>
      <c r="AJ169" s="552">
        <v>0</v>
      </c>
    </row>
    <row r="170" spans="1:36" ht="15.95" customHeight="1">
      <c r="A170" s="547"/>
      <c r="B170" s="548">
        <v>308</v>
      </c>
      <c r="C170" s="549">
        <v>6736</v>
      </c>
      <c r="D170" s="550" t="s">
        <v>11657</v>
      </c>
      <c r="E170" s="550" t="s">
        <v>6664</v>
      </c>
      <c r="F170" s="550" t="s">
        <v>6666</v>
      </c>
      <c r="G170" s="550" t="s">
        <v>6665</v>
      </c>
      <c r="H170" s="550" t="s">
        <v>869</v>
      </c>
      <c r="I170" s="550" t="s">
        <v>11</v>
      </c>
      <c r="J170" s="550" t="s">
        <v>11658</v>
      </c>
      <c r="K170" s="551">
        <v>45018</v>
      </c>
      <c r="L170" s="552">
        <v>1200</v>
      </c>
      <c r="M170" s="552">
        <v>1200</v>
      </c>
      <c r="N170" s="552">
        <v>1200</v>
      </c>
      <c r="O170" s="552"/>
      <c r="P170" s="552"/>
      <c r="Q170" s="548">
        <v>1980</v>
      </c>
      <c r="R170" s="552">
        <v>2376000</v>
      </c>
      <c r="S170" s="548">
        <v>147</v>
      </c>
      <c r="T170" s="552">
        <v>176400</v>
      </c>
      <c r="U170" s="548">
        <v>1833</v>
      </c>
      <c r="V170" s="552">
        <v>2199600</v>
      </c>
      <c r="W170" s="552">
        <v>0</v>
      </c>
      <c r="X170" s="552">
        <v>0</v>
      </c>
      <c r="Y170" s="552">
        <v>147</v>
      </c>
      <c r="Z170" s="552">
        <v>176400</v>
      </c>
      <c r="AA170" s="552">
        <v>147</v>
      </c>
      <c r="AB170" s="552">
        <v>176400</v>
      </c>
      <c r="AC170" s="552">
        <v>0</v>
      </c>
      <c r="AD170" s="552">
        <v>0</v>
      </c>
      <c r="AE170" s="552">
        <v>0</v>
      </c>
      <c r="AF170" s="552">
        <v>0</v>
      </c>
      <c r="AG170" s="552">
        <v>0</v>
      </c>
      <c r="AH170" s="552">
        <v>0</v>
      </c>
      <c r="AI170" s="552">
        <v>0</v>
      </c>
      <c r="AJ170" s="552">
        <v>0</v>
      </c>
    </row>
    <row r="171" spans="1:36" ht="15.95" customHeight="1">
      <c r="A171" s="547"/>
      <c r="B171" s="548">
        <v>309</v>
      </c>
      <c r="C171" s="549">
        <v>6743</v>
      </c>
      <c r="D171" s="550" t="s">
        <v>11659</v>
      </c>
      <c r="E171" s="550" t="s">
        <v>8164</v>
      </c>
      <c r="F171" s="550" t="s">
        <v>2471</v>
      </c>
      <c r="G171" s="550" t="s">
        <v>8165</v>
      </c>
      <c r="H171" s="550" t="s">
        <v>8166</v>
      </c>
      <c r="I171" s="550" t="s">
        <v>520</v>
      </c>
      <c r="J171" s="550" t="s">
        <v>11660</v>
      </c>
      <c r="K171" s="551">
        <v>45270</v>
      </c>
      <c r="L171" s="552">
        <v>567</v>
      </c>
      <c r="M171" s="552">
        <v>567</v>
      </c>
      <c r="N171" s="552">
        <v>567</v>
      </c>
      <c r="O171" s="552"/>
      <c r="P171" s="552"/>
      <c r="Q171" s="548">
        <v>100</v>
      </c>
      <c r="R171" s="552">
        <v>56700</v>
      </c>
      <c r="S171" s="548">
        <v>90</v>
      </c>
      <c r="T171" s="552">
        <v>51030</v>
      </c>
      <c r="U171" s="548">
        <v>10</v>
      </c>
      <c r="V171" s="552">
        <v>5670</v>
      </c>
      <c r="W171" s="552">
        <v>0</v>
      </c>
      <c r="X171" s="552">
        <v>0</v>
      </c>
      <c r="Y171" s="552">
        <v>0</v>
      </c>
      <c r="Z171" s="552">
        <v>0</v>
      </c>
      <c r="AA171" s="552">
        <v>0</v>
      </c>
      <c r="AB171" s="552">
        <v>0</v>
      </c>
      <c r="AC171" s="552">
        <v>0</v>
      </c>
      <c r="AD171" s="552">
        <v>0</v>
      </c>
      <c r="AE171" s="552">
        <v>0</v>
      </c>
      <c r="AF171" s="552">
        <v>0</v>
      </c>
      <c r="AG171" s="552">
        <v>90</v>
      </c>
      <c r="AH171" s="552">
        <v>51030</v>
      </c>
      <c r="AI171" s="552">
        <v>0</v>
      </c>
      <c r="AJ171" s="552">
        <v>0</v>
      </c>
    </row>
    <row r="172" spans="1:36" ht="15.95" customHeight="1">
      <c r="A172" s="547"/>
      <c r="B172" s="548">
        <v>310</v>
      </c>
      <c r="C172" s="549">
        <v>6452</v>
      </c>
      <c r="D172" s="550" t="s">
        <v>11661</v>
      </c>
      <c r="E172" s="550" t="s">
        <v>3932</v>
      </c>
      <c r="F172" s="550" t="s">
        <v>2471</v>
      </c>
      <c r="G172" s="550" t="s">
        <v>2472</v>
      </c>
      <c r="H172" s="550" t="s">
        <v>1016</v>
      </c>
      <c r="I172" s="550" t="s">
        <v>628</v>
      </c>
      <c r="J172" s="550" t="s">
        <v>3933</v>
      </c>
      <c r="K172" s="551">
        <v>44263</v>
      </c>
      <c r="L172" s="552">
        <v>630</v>
      </c>
      <c r="M172" s="552">
        <v>630</v>
      </c>
      <c r="N172" s="552">
        <v>630</v>
      </c>
      <c r="O172" s="552">
        <v>270</v>
      </c>
      <c r="P172" s="552">
        <v>170100</v>
      </c>
      <c r="Q172" s="548">
        <v>0</v>
      </c>
      <c r="R172" s="552">
        <v>0</v>
      </c>
      <c r="S172" s="548">
        <v>255</v>
      </c>
      <c r="T172" s="552">
        <v>160650</v>
      </c>
      <c r="U172" s="548">
        <v>15</v>
      </c>
      <c r="V172" s="552">
        <v>9450</v>
      </c>
      <c r="W172" s="552">
        <v>0</v>
      </c>
      <c r="X172" s="552">
        <v>0</v>
      </c>
      <c r="Y172" s="552">
        <v>1</v>
      </c>
      <c r="Z172" s="552">
        <v>630</v>
      </c>
      <c r="AA172" s="552">
        <v>0</v>
      </c>
      <c r="AB172" s="552">
        <v>0</v>
      </c>
      <c r="AC172" s="552">
        <v>1</v>
      </c>
      <c r="AD172" s="552">
        <v>630</v>
      </c>
      <c r="AE172" s="552">
        <v>0</v>
      </c>
      <c r="AF172" s="552">
        <v>0</v>
      </c>
      <c r="AG172" s="552">
        <v>254</v>
      </c>
      <c r="AH172" s="552">
        <v>160020</v>
      </c>
      <c r="AI172" s="552">
        <v>0</v>
      </c>
      <c r="AJ172" s="552">
        <v>0</v>
      </c>
    </row>
    <row r="173" spans="1:36" ht="15.95" customHeight="1">
      <c r="A173" s="547"/>
      <c r="B173" s="548">
        <v>312</v>
      </c>
      <c r="C173" s="549">
        <v>6741</v>
      </c>
      <c r="D173" s="550" t="s">
        <v>11662</v>
      </c>
      <c r="E173" s="550" t="s">
        <v>3934</v>
      </c>
      <c r="F173" s="550" t="s">
        <v>3935</v>
      </c>
      <c r="G173" s="550" t="s">
        <v>3936</v>
      </c>
      <c r="H173" s="550" t="s">
        <v>3937</v>
      </c>
      <c r="I173" s="550" t="s">
        <v>16</v>
      </c>
      <c r="J173" s="550" t="s">
        <v>3938</v>
      </c>
      <c r="K173" s="551">
        <v>45044</v>
      </c>
      <c r="L173" s="552">
        <v>5950</v>
      </c>
      <c r="M173" s="552">
        <v>5950</v>
      </c>
      <c r="N173" s="552">
        <v>5950</v>
      </c>
      <c r="O173" s="552">
        <v>3600</v>
      </c>
      <c r="P173" s="552">
        <v>21420000</v>
      </c>
      <c r="Q173" s="548">
        <v>0</v>
      </c>
      <c r="R173" s="552">
        <v>0</v>
      </c>
      <c r="S173" s="548">
        <v>2008</v>
      </c>
      <c r="T173" s="552">
        <v>11947600</v>
      </c>
      <c r="U173" s="548">
        <v>1592</v>
      </c>
      <c r="V173" s="552">
        <v>9472400</v>
      </c>
      <c r="W173" s="552">
        <v>0</v>
      </c>
      <c r="X173" s="552">
        <v>0</v>
      </c>
      <c r="Y173" s="552">
        <v>2008</v>
      </c>
      <c r="Z173" s="552">
        <v>11947600</v>
      </c>
      <c r="AA173" s="552">
        <v>2008</v>
      </c>
      <c r="AB173" s="552">
        <v>11947600</v>
      </c>
      <c r="AC173" s="552">
        <v>0</v>
      </c>
      <c r="AD173" s="552">
        <v>0</v>
      </c>
      <c r="AE173" s="552">
        <v>0</v>
      </c>
      <c r="AF173" s="552">
        <v>0</v>
      </c>
      <c r="AG173" s="552">
        <v>0</v>
      </c>
      <c r="AH173" s="552">
        <v>0</v>
      </c>
      <c r="AI173" s="552">
        <v>0</v>
      </c>
      <c r="AJ173" s="552">
        <v>0</v>
      </c>
    </row>
    <row r="174" spans="1:36" ht="15.95" customHeight="1">
      <c r="A174" s="547"/>
      <c r="B174" s="548">
        <v>313</v>
      </c>
      <c r="C174" s="549">
        <v>6936</v>
      </c>
      <c r="D174" s="550" t="s">
        <v>11663</v>
      </c>
      <c r="E174" s="550" t="s">
        <v>3939</v>
      </c>
      <c r="F174" s="550" t="s">
        <v>1148</v>
      </c>
      <c r="G174" s="550" t="s">
        <v>560</v>
      </c>
      <c r="H174" s="550" t="s">
        <v>1149</v>
      </c>
      <c r="I174" s="550" t="s">
        <v>520</v>
      </c>
      <c r="J174" s="550" t="s">
        <v>11664</v>
      </c>
      <c r="K174" s="551">
        <v>44779</v>
      </c>
      <c r="L174" s="552">
        <v>3675</v>
      </c>
      <c r="M174" s="552">
        <v>3675</v>
      </c>
      <c r="N174" s="552">
        <v>3675</v>
      </c>
      <c r="O174" s="552"/>
      <c r="P174" s="552"/>
      <c r="Q174" s="548">
        <v>5253</v>
      </c>
      <c r="R174" s="552">
        <v>19304775</v>
      </c>
      <c r="S174" s="548">
        <v>1751</v>
      </c>
      <c r="T174" s="552">
        <v>6434925</v>
      </c>
      <c r="U174" s="548">
        <v>3502</v>
      </c>
      <c r="V174" s="552">
        <v>12869850</v>
      </c>
      <c r="W174" s="552">
        <v>147</v>
      </c>
      <c r="X174" s="552">
        <v>540225</v>
      </c>
      <c r="Y174" s="552">
        <v>1751</v>
      </c>
      <c r="Z174" s="552">
        <v>6434925</v>
      </c>
      <c r="AA174" s="552">
        <v>1551</v>
      </c>
      <c r="AB174" s="552">
        <v>5699925</v>
      </c>
      <c r="AC174" s="552">
        <v>200</v>
      </c>
      <c r="AD174" s="552">
        <v>735000</v>
      </c>
      <c r="AE174" s="552">
        <v>0</v>
      </c>
      <c r="AF174" s="552">
        <v>0</v>
      </c>
      <c r="AG174" s="552">
        <v>0</v>
      </c>
      <c r="AH174" s="552">
        <v>0</v>
      </c>
      <c r="AI174" s="552">
        <v>0</v>
      </c>
      <c r="AJ174" s="552">
        <v>0</v>
      </c>
    </row>
    <row r="175" spans="1:36" ht="15.95" customHeight="1">
      <c r="A175" s="547"/>
      <c r="B175" s="548">
        <v>314</v>
      </c>
      <c r="C175" s="549">
        <v>6936</v>
      </c>
      <c r="D175" s="550" t="s">
        <v>11663</v>
      </c>
      <c r="E175" s="550" t="s">
        <v>3939</v>
      </c>
      <c r="F175" s="550" t="s">
        <v>1148</v>
      </c>
      <c r="G175" s="550" t="s">
        <v>560</v>
      </c>
      <c r="H175" s="550" t="s">
        <v>1149</v>
      </c>
      <c r="I175" s="550" t="s">
        <v>520</v>
      </c>
      <c r="J175" s="550" t="s">
        <v>11596</v>
      </c>
      <c r="K175" s="551">
        <v>44780</v>
      </c>
      <c r="L175" s="552">
        <v>3675</v>
      </c>
      <c r="M175" s="552">
        <v>3675</v>
      </c>
      <c r="N175" s="552">
        <v>3675</v>
      </c>
      <c r="O175" s="552"/>
      <c r="P175" s="552"/>
      <c r="Q175" s="548">
        <v>5200</v>
      </c>
      <c r="R175" s="552">
        <v>19110000</v>
      </c>
      <c r="S175" s="548">
        <v>4473</v>
      </c>
      <c r="T175" s="552">
        <v>16438275</v>
      </c>
      <c r="U175" s="548">
        <v>727</v>
      </c>
      <c r="V175" s="552">
        <v>2671725</v>
      </c>
      <c r="W175" s="552">
        <v>0</v>
      </c>
      <c r="X175" s="552">
        <v>0</v>
      </c>
      <c r="Y175" s="552">
        <v>4473</v>
      </c>
      <c r="Z175" s="552">
        <v>16438275</v>
      </c>
      <c r="AA175" s="552">
        <v>4473</v>
      </c>
      <c r="AB175" s="552">
        <v>16438275</v>
      </c>
      <c r="AC175" s="552">
        <v>0</v>
      </c>
      <c r="AD175" s="552">
        <v>0</v>
      </c>
      <c r="AE175" s="552">
        <v>0</v>
      </c>
      <c r="AF175" s="552">
        <v>0</v>
      </c>
      <c r="AG175" s="552">
        <v>0</v>
      </c>
      <c r="AH175" s="552">
        <v>0</v>
      </c>
      <c r="AI175" s="552">
        <v>0</v>
      </c>
      <c r="AJ175" s="552">
        <v>0</v>
      </c>
    </row>
    <row r="176" spans="1:36" ht="15.95" customHeight="1">
      <c r="A176" s="547"/>
      <c r="B176" s="548">
        <v>318</v>
      </c>
      <c r="C176" s="549">
        <v>7044</v>
      </c>
      <c r="D176" s="550" t="s">
        <v>11665</v>
      </c>
      <c r="E176" s="550" t="s">
        <v>3941</v>
      </c>
      <c r="F176" s="550" t="s">
        <v>1398</v>
      </c>
      <c r="G176" s="550" t="s">
        <v>1397</v>
      </c>
      <c r="H176" s="550" t="s">
        <v>291</v>
      </c>
      <c r="I176" s="550" t="s">
        <v>11</v>
      </c>
      <c r="J176" s="550" t="s">
        <v>3942</v>
      </c>
      <c r="K176" s="551">
        <v>44999</v>
      </c>
      <c r="L176" s="552">
        <v>120</v>
      </c>
      <c r="M176" s="552">
        <v>120</v>
      </c>
      <c r="N176" s="552">
        <v>120</v>
      </c>
      <c r="O176" s="552">
        <v>6219</v>
      </c>
      <c r="P176" s="552">
        <v>746280</v>
      </c>
      <c r="Q176" s="548">
        <v>4</v>
      </c>
      <c r="R176" s="552">
        <v>480</v>
      </c>
      <c r="S176" s="548">
        <v>5531</v>
      </c>
      <c r="T176" s="552">
        <v>663720</v>
      </c>
      <c r="U176" s="548">
        <v>692</v>
      </c>
      <c r="V176" s="552">
        <v>83040</v>
      </c>
      <c r="W176" s="552">
        <v>0</v>
      </c>
      <c r="X176" s="552">
        <v>0</v>
      </c>
      <c r="Y176" s="552">
        <v>5531</v>
      </c>
      <c r="Z176" s="552">
        <v>663720</v>
      </c>
      <c r="AA176" s="552">
        <v>5402</v>
      </c>
      <c r="AB176" s="552">
        <v>648240</v>
      </c>
      <c r="AC176" s="552">
        <v>129</v>
      </c>
      <c r="AD176" s="552">
        <v>15480</v>
      </c>
      <c r="AE176" s="552">
        <v>0</v>
      </c>
      <c r="AF176" s="552">
        <v>0</v>
      </c>
      <c r="AG176" s="552">
        <v>0</v>
      </c>
      <c r="AH176" s="552">
        <v>0</v>
      </c>
      <c r="AI176" s="552">
        <v>0</v>
      </c>
      <c r="AJ176" s="552">
        <v>0</v>
      </c>
    </row>
    <row r="177" spans="1:36" ht="15.95" customHeight="1">
      <c r="A177" s="547"/>
      <c r="B177" s="548">
        <v>319</v>
      </c>
      <c r="C177" s="549">
        <v>7044</v>
      </c>
      <c r="D177" s="550" t="s">
        <v>11665</v>
      </c>
      <c r="E177" s="550" t="s">
        <v>3941</v>
      </c>
      <c r="F177" s="550" t="s">
        <v>1398</v>
      </c>
      <c r="G177" s="550" t="s">
        <v>1397</v>
      </c>
      <c r="H177" s="550" t="s">
        <v>291</v>
      </c>
      <c r="I177" s="550" t="s">
        <v>11</v>
      </c>
      <c r="J177" s="550" t="s">
        <v>3943</v>
      </c>
      <c r="K177" s="551">
        <v>45089</v>
      </c>
      <c r="L177" s="552">
        <v>120</v>
      </c>
      <c r="M177" s="552">
        <v>120</v>
      </c>
      <c r="N177" s="552">
        <v>120</v>
      </c>
      <c r="O177" s="552">
        <v>6000</v>
      </c>
      <c r="P177" s="552">
        <v>720000</v>
      </c>
      <c r="Q177" s="548">
        <v>0</v>
      </c>
      <c r="R177" s="552">
        <v>0</v>
      </c>
      <c r="S177" s="548">
        <v>0</v>
      </c>
      <c r="T177" s="552">
        <v>0</v>
      </c>
      <c r="U177" s="548">
        <v>6000</v>
      </c>
      <c r="V177" s="552">
        <v>720000</v>
      </c>
      <c r="W177" s="552">
        <v>0</v>
      </c>
      <c r="X177" s="552">
        <v>0</v>
      </c>
      <c r="Y177" s="552">
        <v>0</v>
      </c>
      <c r="Z177" s="552">
        <v>0</v>
      </c>
      <c r="AA177" s="552">
        <v>0</v>
      </c>
      <c r="AB177" s="552">
        <v>0</v>
      </c>
      <c r="AC177" s="552">
        <v>0</v>
      </c>
      <c r="AD177" s="552">
        <v>0</v>
      </c>
      <c r="AE177" s="552">
        <v>0</v>
      </c>
      <c r="AF177" s="552">
        <v>0</v>
      </c>
      <c r="AG177" s="552">
        <v>0</v>
      </c>
      <c r="AH177" s="552">
        <v>0</v>
      </c>
      <c r="AI177" s="552">
        <v>0</v>
      </c>
      <c r="AJ177" s="552">
        <v>0</v>
      </c>
    </row>
    <row r="178" spans="1:36" ht="15.95" customHeight="1">
      <c r="A178" s="547"/>
      <c r="B178" s="548">
        <v>320</v>
      </c>
      <c r="C178" s="549">
        <v>7205</v>
      </c>
      <c r="D178" s="550" t="s">
        <v>11666</v>
      </c>
      <c r="E178" s="550" t="s">
        <v>3947</v>
      </c>
      <c r="F178" s="550" t="s">
        <v>3945</v>
      </c>
      <c r="G178" s="550" t="s">
        <v>1333</v>
      </c>
      <c r="H178" s="550" t="s">
        <v>238</v>
      </c>
      <c r="I178" s="550" t="s">
        <v>11</v>
      </c>
      <c r="J178" s="550" t="s">
        <v>11667</v>
      </c>
      <c r="K178" s="551">
        <v>45433</v>
      </c>
      <c r="L178" s="552">
        <v>53</v>
      </c>
      <c r="M178" s="552">
        <v>53</v>
      </c>
      <c r="N178" s="552">
        <v>53</v>
      </c>
      <c r="O178" s="552"/>
      <c r="P178" s="552"/>
      <c r="Q178" s="548">
        <v>500</v>
      </c>
      <c r="R178" s="552">
        <v>26500</v>
      </c>
      <c r="S178" s="548">
        <v>500</v>
      </c>
      <c r="T178" s="552">
        <v>26500</v>
      </c>
      <c r="U178" s="548">
        <v>0</v>
      </c>
      <c r="V178" s="552">
        <v>0</v>
      </c>
      <c r="W178" s="552">
        <v>500</v>
      </c>
      <c r="X178" s="552">
        <v>26500</v>
      </c>
      <c r="Y178" s="552">
        <v>500</v>
      </c>
      <c r="Z178" s="552">
        <v>26500</v>
      </c>
      <c r="AA178" s="552">
        <v>0</v>
      </c>
      <c r="AB178" s="552">
        <v>0</v>
      </c>
      <c r="AC178" s="552">
        <v>500</v>
      </c>
      <c r="AD178" s="552">
        <v>26500</v>
      </c>
      <c r="AE178" s="552">
        <v>0</v>
      </c>
      <c r="AF178" s="552">
        <v>0</v>
      </c>
      <c r="AG178" s="552">
        <v>0</v>
      </c>
      <c r="AH178" s="552">
        <v>0</v>
      </c>
      <c r="AI178" s="552">
        <v>0</v>
      </c>
      <c r="AJ178" s="552">
        <v>0</v>
      </c>
    </row>
    <row r="179" spans="1:36" ht="15.95" customHeight="1">
      <c r="A179" s="547"/>
      <c r="B179" s="548">
        <v>321</v>
      </c>
      <c r="C179" s="549">
        <v>6748</v>
      </c>
      <c r="D179" s="550" t="s">
        <v>11668</v>
      </c>
      <c r="E179" s="550" t="s">
        <v>3944</v>
      </c>
      <c r="F179" s="550" t="s">
        <v>3945</v>
      </c>
      <c r="G179" s="550" t="s">
        <v>1333</v>
      </c>
      <c r="H179" s="550" t="s">
        <v>238</v>
      </c>
      <c r="I179" s="550" t="s">
        <v>11</v>
      </c>
      <c r="J179" s="550" t="s">
        <v>3946</v>
      </c>
      <c r="K179" s="551">
        <v>44956</v>
      </c>
      <c r="L179" s="552">
        <v>53</v>
      </c>
      <c r="M179" s="552">
        <v>53</v>
      </c>
      <c r="N179" s="552">
        <v>53</v>
      </c>
      <c r="O179" s="552">
        <v>1993</v>
      </c>
      <c r="P179" s="552">
        <v>105629</v>
      </c>
      <c r="Q179" s="548">
        <v>0</v>
      </c>
      <c r="R179" s="552">
        <v>0</v>
      </c>
      <c r="S179" s="548">
        <v>1733</v>
      </c>
      <c r="T179" s="552">
        <v>91849</v>
      </c>
      <c r="U179" s="548">
        <v>260</v>
      </c>
      <c r="V179" s="552">
        <v>13780</v>
      </c>
      <c r="W179" s="552">
        <v>2311</v>
      </c>
      <c r="X179" s="552">
        <v>122483</v>
      </c>
      <c r="Y179" s="552">
        <v>1733</v>
      </c>
      <c r="Z179" s="552">
        <v>91849</v>
      </c>
      <c r="AA179" s="552">
        <v>1733</v>
      </c>
      <c r="AB179" s="552">
        <v>91849</v>
      </c>
      <c r="AC179" s="552">
        <v>0</v>
      </c>
      <c r="AD179" s="552">
        <v>0</v>
      </c>
      <c r="AE179" s="552">
        <v>0</v>
      </c>
      <c r="AF179" s="552">
        <v>0</v>
      </c>
      <c r="AG179" s="552">
        <v>0</v>
      </c>
      <c r="AH179" s="552">
        <v>0</v>
      </c>
      <c r="AI179" s="552">
        <v>0</v>
      </c>
      <c r="AJ179" s="552">
        <v>0</v>
      </c>
    </row>
    <row r="180" spans="1:36" ht="15.95" customHeight="1">
      <c r="A180" s="547"/>
      <c r="B180" s="548">
        <v>322</v>
      </c>
      <c r="C180" s="549">
        <v>6749</v>
      </c>
      <c r="D180" s="550" t="s">
        <v>11669</v>
      </c>
      <c r="E180" s="550" t="s">
        <v>3948</v>
      </c>
      <c r="F180" s="550" t="s">
        <v>1538</v>
      </c>
      <c r="G180" s="550" t="s">
        <v>1333</v>
      </c>
      <c r="H180" s="550" t="s">
        <v>238</v>
      </c>
      <c r="I180" s="550" t="s">
        <v>11</v>
      </c>
      <c r="J180" s="550" t="s">
        <v>3949</v>
      </c>
      <c r="K180" s="551">
        <v>45351</v>
      </c>
      <c r="L180" s="552">
        <v>980</v>
      </c>
      <c r="M180" s="552">
        <v>980</v>
      </c>
      <c r="N180" s="552">
        <v>980</v>
      </c>
      <c r="O180" s="552">
        <v>9000</v>
      </c>
      <c r="P180" s="552">
        <v>8820000</v>
      </c>
      <c r="Q180" s="548">
        <v>0</v>
      </c>
      <c r="R180" s="552">
        <v>0</v>
      </c>
      <c r="S180" s="548">
        <v>3000</v>
      </c>
      <c r="T180" s="552">
        <v>2940000</v>
      </c>
      <c r="U180" s="548">
        <v>6000</v>
      </c>
      <c r="V180" s="552">
        <v>5880000</v>
      </c>
      <c r="W180" s="552">
        <v>537</v>
      </c>
      <c r="X180" s="552">
        <v>526260</v>
      </c>
      <c r="Y180" s="552">
        <v>3000</v>
      </c>
      <c r="Z180" s="552">
        <v>2940000</v>
      </c>
      <c r="AA180" s="552">
        <v>0</v>
      </c>
      <c r="AB180" s="552">
        <v>0</v>
      </c>
      <c r="AC180" s="552">
        <v>3000</v>
      </c>
      <c r="AD180" s="552">
        <v>2940000</v>
      </c>
      <c r="AE180" s="552">
        <v>0</v>
      </c>
      <c r="AF180" s="552">
        <v>0</v>
      </c>
      <c r="AG180" s="552">
        <v>0</v>
      </c>
      <c r="AH180" s="552">
        <v>0</v>
      </c>
      <c r="AI180" s="552">
        <v>0</v>
      </c>
      <c r="AJ180" s="552">
        <v>0</v>
      </c>
    </row>
    <row r="181" spans="1:36" ht="15.95" customHeight="1">
      <c r="A181" s="547"/>
      <c r="B181" s="548">
        <v>323</v>
      </c>
      <c r="C181" s="549">
        <v>6749</v>
      </c>
      <c r="D181" s="550" t="s">
        <v>11669</v>
      </c>
      <c r="E181" s="550" t="s">
        <v>3948</v>
      </c>
      <c r="F181" s="550" t="s">
        <v>1538</v>
      </c>
      <c r="G181" s="550" t="s">
        <v>1333</v>
      </c>
      <c r="H181" s="550" t="s">
        <v>238</v>
      </c>
      <c r="I181" s="550" t="s">
        <v>11</v>
      </c>
      <c r="J181" s="550" t="s">
        <v>11670</v>
      </c>
      <c r="K181" s="551">
        <v>45535</v>
      </c>
      <c r="L181" s="552">
        <v>980</v>
      </c>
      <c r="M181" s="552">
        <v>980</v>
      </c>
      <c r="N181" s="552">
        <v>980</v>
      </c>
      <c r="O181" s="552"/>
      <c r="P181" s="552"/>
      <c r="Q181" s="548">
        <v>1000</v>
      </c>
      <c r="R181" s="552">
        <v>980000</v>
      </c>
      <c r="S181" s="548">
        <v>0</v>
      </c>
      <c r="T181" s="552">
        <v>0</v>
      </c>
      <c r="U181" s="548">
        <v>1000</v>
      </c>
      <c r="V181" s="552">
        <v>980000</v>
      </c>
      <c r="W181" s="552">
        <v>0</v>
      </c>
      <c r="X181" s="552">
        <v>0</v>
      </c>
      <c r="Y181" s="552">
        <v>0</v>
      </c>
      <c r="Z181" s="552">
        <v>0</v>
      </c>
      <c r="AA181" s="552">
        <v>0</v>
      </c>
      <c r="AB181" s="552">
        <v>0</v>
      </c>
      <c r="AC181" s="552">
        <v>0</v>
      </c>
      <c r="AD181" s="552">
        <v>0</v>
      </c>
      <c r="AE181" s="552">
        <v>0</v>
      </c>
      <c r="AF181" s="552">
        <v>0</v>
      </c>
      <c r="AG181" s="552">
        <v>0</v>
      </c>
      <c r="AH181" s="552">
        <v>0</v>
      </c>
      <c r="AI181" s="552">
        <v>0</v>
      </c>
      <c r="AJ181" s="552">
        <v>0</v>
      </c>
    </row>
    <row r="182" spans="1:36" ht="15.95" customHeight="1">
      <c r="A182" s="547"/>
      <c r="B182" s="548">
        <v>324</v>
      </c>
      <c r="C182" s="549">
        <v>5840</v>
      </c>
      <c r="D182" s="550"/>
      <c r="E182" s="550" t="s">
        <v>3948</v>
      </c>
      <c r="F182" s="550" t="s">
        <v>1538</v>
      </c>
      <c r="G182" s="550" t="s">
        <v>1333</v>
      </c>
      <c r="H182" s="550" t="s">
        <v>238</v>
      </c>
      <c r="I182" s="550" t="s">
        <v>10</v>
      </c>
      <c r="J182" s="550" t="s">
        <v>3950</v>
      </c>
      <c r="K182" s="551">
        <v>44835</v>
      </c>
      <c r="L182" s="552">
        <v>980</v>
      </c>
      <c r="M182" s="552">
        <v>980</v>
      </c>
      <c r="N182" s="552">
        <v>980</v>
      </c>
      <c r="O182" s="552">
        <v>300</v>
      </c>
      <c r="P182" s="552">
        <v>294000</v>
      </c>
      <c r="Q182" s="548">
        <v>3</v>
      </c>
      <c r="R182" s="552">
        <v>2940</v>
      </c>
      <c r="S182" s="548">
        <v>24</v>
      </c>
      <c r="T182" s="552">
        <v>23520</v>
      </c>
      <c r="U182" s="548">
        <v>279</v>
      </c>
      <c r="V182" s="552">
        <v>273420</v>
      </c>
      <c r="W182" s="552">
        <v>129</v>
      </c>
      <c r="X182" s="552">
        <v>126420</v>
      </c>
      <c r="Y182" s="552">
        <v>24</v>
      </c>
      <c r="Z182" s="552">
        <v>23520</v>
      </c>
      <c r="AA182" s="552">
        <v>0</v>
      </c>
      <c r="AB182" s="552">
        <v>0</v>
      </c>
      <c r="AC182" s="552">
        <v>24</v>
      </c>
      <c r="AD182" s="552">
        <v>23520</v>
      </c>
      <c r="AE182" s="552">
        <v>0</v>
      </c>
      <c r="AF182" s="552">
        <v>0</v>
      </c>
      <c r="AG182" s="552">
        <v>0</v>
      </c>
      <c r="AH182" s="552">
        <v>0</v>
      </c>
      <c r="AI182" s="552">
        <v>0</v>
      </c>
      <c r="AJ182" s="552">
        <v>0</v>
      </c>
    </row>
    <row r="183" spans="1:36" ht="15.95" customHeight="1">
      <c r="A183" s="547"/>
      <c r="B183" s="548">
        <v>325</v>
      </c>
      <c r="C183" s="549">
        <v>6681</v>
      </c>
      <c r="D183" s="550" t="s">
        <v>11671</v>
      </c>
      <c r="E183" s="550" t="s">
        <v>3951</v>
      </c>
      <c r="F183" s="550" t="s">
        <v>3952</v>
      </c>
      <c r="G183" s="550" t="s">
        <v>3953</v>
      </c>
      <c r="H183" s="550" t="s">
        <v>3954</v>
      </c>
      <c r="I183" s="550" t="s">
        <v>520</v>
      </c>
      <c r="J183" s="550" t="s">
        <v>11672</v>
      </c>
      <c r="K183" s="551">
        <v>45058</v>
      </c>
      <c r="L183" s="552">
        <v>5500</v>
      </c>
      <c r="M183" s="552">
        <v>5500</v>
      </c>
      <c r="N183" s="552">
        <v>5500</v>
      </c>
      <c r="O183" s="552"/>
      <c r="P183" s="552"/>
      <c r="Q183" s="548">
        <v>22000</v>
      </c>
      <c r="R183" s="552">
        <v>121000000</v>
      </c>
      <c r="S183" s="548">
        <v>0</v>
      </c>
      <c r="T183" s="552">
        <v>0</v>
      </c>
      <c r="U183" s="548">
        <v>22000</v>
      </c>
      <c r="V183" s="552">
        <v>121000000</v>
      </c>
      <c r="W183" s="552">
        <v>0</v>
      </c>
      <c r="X183" s="552">
        <v>0</v>
      </c>
      <c r="Y183" s="552">
        <v>0</v>
      </c>
      <c r="Z183" s="552">
        <v>0</v>
      </c>
      <c r="AA183" s="552">
        <v>0</v>
      </c>
      <c r="AB183" s="552">
        <v>0</v>
      </c>
      <c r="AC183" s="552">
        <v>0</v>
      </c>
      <c r="AD183" s="552">
        <v>0</v>
      </c>
      <c r="AE183" s="552">
        <v>0</v>
      </c>
      <c r="AF183" s="552">
        <v>0</v>
      </c>
      <c r="AG183" s="552">
        <v>0</v>
      </c>
      <c r="AH183" s="552">
        <v>0</v>
      </c>
      <c r="AI183" s="552">
        <v>0</v>
      </c>
      <c r="AJ183" s="552">
        <v>0</v>
      </c>
    </row>
    <row r="184" spans="1:36" ht="15.95" customHeight="1">
      <c r="A184" s="547"/>
      <c r="B184" s="548">
        <v>326</v>
      </c>
      <c r="C184" s="549">
        <v>6681</v>
      </c>
      <c r="D184" s="550" t="s">
        <v>11671</v>
      </c>
      <c r="E184" s="550" t="s">
        <v>3951</v>
      </c>
      <c r="F184" s="550" t="s">
        <v>3952</v>
      </c>
      <c r="G184" s="550" t="s">
        <v>3953</v>
      </c>
      <c r="H184" s="550" t="s">
        <v>3954</v>
      </c>
      <c r="I184" s="550" t="s">
        <v>520</v>
      </c>
      <c r="J184" s="550" t="s">
        <v>11673</v>
      </c>
      <c r="K184" s="551">
        <v>44848</v>
      </c>
      <c r="L184" s="552">
        <v>5500</v>
      </c>
      <c r="M184" s="552">
        <v>5500</v>
      </c>
      <c r="N184" s="552">
        <v>5500</v>
      </c>
      <c r="O184" s="552">
        <v>932</v>
      </c>
      <c r="P184" s="552">
        <v>5126000</v>
      </c>
      <c r="Q184" s="548">
        <v>0</v>
      </c>
      <c r="R184" s="552">
        <v>0</v>
      </c>
      <c r="S184" s="548">
        <v>932</v>
      </c>
      <c r="T184" s="552">
        <v>5126000</v>
      </c>
      <c r="U184" s="548">
        <v>0</v>
      </c>
      <c r="V184" s="552">
        <v>0</v>
      </c>
      <c r="W184" s="552">
        <v>0</v>
      </c>
      <c r="X184" s="552">
        <v>0</v>
      </c>
      <c r="Y184" s="552">
        <v>932</v>
      </c>
      <c r="Z184" s="552">
        <v>5126000</v>
      </c>
      <c r="AA184" s="552">
        <v>932</v>
      </c>
      <c r="AB184" s="552">
        <v>5126000</v>
      </c>
      <c r="AC184" s="552">
        <v>0</v>
      </c>
      <c r="AD184" s="552">
        <v>0</v>
      </c>
      <c r="AE184" s="552">
        <v>0</v>
      </c>
      <c r="AF184" s="552">
        <v>0</v>
      </c>
      <c r="AG184" s="552">
        <v>0</v>
      </c>
      <c r="AH184" s="552">
        <v>0</v>
      </c>
      <c r="AI184" s="552">
        <v>0</v>
      </c>
      <c r="AJ184" s="552">
        <v>0</v>
      </c>
    </row>
    <row r="185" spans="1:36" ht="15.95" customHeight="1">
      <c r="A185" s="547"/>
      <c r="B185" s="548">
        <v>327</v>
      </c>
      <c r="C185" s="549">
        <v>6681</v>
      </c>
      <c r="D185" s="550" t="s">
        <v>11671</v>
      </c>
      <c r="E185" s="550" t="s">
        <v>3951</v>
      </c>
      <c r="F185" s="550" t="s">
        <v>3952</v>
      </c>
      <c r="G185" s="550" t="s">
        <v>3953</v>
      </c>
      <c r="H185" s="550" t="s">
        <v>3954</v>
      </c>
      <c r="I185" s="550" t="s">
        <v>520</v>
      </c>
      <c r="J185" s="550" t="s">
        <v>11656</v>
      </c>
      <c r="K185" s="551">
        <v>44849</v>
      </c>
      <c r="L185" s="552">
        <v>5500</v>
      </c>
      <c r="M185" s="552">
        <v>5500</v>
      </c>
      <c r="N185" s="552">
        <v>5500</v>
      </c>
      <c r="O185" s="552"/>
      <c r="P185" s="552"/>
      <c r="Q185" s="548">
        <v>3600</v>
      </c>
      <c r="R185" s="552">
        <v>19800000</v>
      </c>
      <c r="S185" s="548">
        <v>3000</v>
      </c>
      <c r="T185" s="552">
        <v>16500000</v>
      </c>
      <c r="U185" s="548">
        <v>600</v>
      </c>
      <c r="V185" s="552">
        <v>3300000</v>
      </c>
      <c r="W185" s="552">
        <v>0</v>
      </c>
      <c r="X185" s="552">
        <v>0</v>
      </c>
      <c r="Y185" s="552">
        <v>2800</v>
      </c>
      <c r="Z185" s="552">
        <v>15400000</v>
      </c>
      <c r="AA185" s="552">
        <v>2800</v>
      </c>
      <c r="AB185" s="552">
        <v>15400000</v>
      </c>
      <c r="AC185" s="552">
        <v>0</v>
      </c>
      <c r="AD185" s="552">
        <v>0</v>
      </c>
      <c r="AE185" s="552">
        <v>0</v>
      </c>
      <c r="AF185" s="552">
        <v>0</v>
      </c>
      <c r="AG185" s="552">
        <v>200</v>
      </c>
      <c r="AH185" s="552">
        <v>1100000</v>
      </c>
      <c r="AI185" s="552">
        <v>0</v>
      </c>
      <c r="AJ185" s="552">
        <v>0</v>
      </c>
    </row>
    <row r="186" spans="1:36" ht="15.95" customHeight="1">
      <c r="A186" s="547"/>
      <c r="B186" s="548">
        <v>329</v>
      </c>
      <c r="C186" s="549">
        <v>6753</v>
      </c>
      <c r="D186" s="550" t="s">
        <v>11674</v>
      </c>
      <c r="E186" s="550" t="s">
        <v>3956</v>
      </c>
      <c r="F186" s="550" t="s">
        <v>2604</v>
      </c>
      <c r="G186" s="550" t="s">
        <v>2605</v>
      </c>
      <c r="H186" s="550" t="s">
        <v>3957</v>
      </c>
      <c r="I186" s="550" t="s">
        <v>520</v>
      </c>
      <c r="J186" s="550" t="s">
        <v>3958</v>
      </c>
      <c r="K186" s="551">
        <v>44274</v>
      </c>
      <c r="L186" s="552">
        <v>23940</v>
      </c>
      <c r="M186" s="552">
        <v>23940</v>
      </c>
      <c r="N186" s="552">
        <v>23940</v>
      </c>
      <c r="O186" s="552">
        <v>20</v>
      </c>
      <c r="P186" s="552">
        <v>478800</v>
      </c>
      <c r="Q186" s="548">
        <v>0</v>
      </c>
      <c r="R186" s="552">
        <v>0</v>
      </c>
      <c r="S186" s="548">
        <v>20</v>
      </c>
      <c r="T186" s="552">
        <v>478800</v>
      </c>
      <c r="U186" s="548">
        <v>0</v>
      </c>
      <c r="V186" s="552">
        <v>0</v>
      </c>
      <c r="W186" s="552">
        <v>0</v>
      </c>
      <c r="X186" s="552">
        <v>0</v>
      </c>
      <c r="Y186" s="552">
        <v>0</v>
      </c>
      <c r="Z186" s="552">
        <v>0</v>
      </c>
      <c r="AA186" s="552">
        <v>0</v>
      </c>
      <c r="AB186" s="552">
        <v>0</v>
      </c>
      <c r="AC186" s="552">
        <v>0</v>
      </c>
      <c r="AD186" s="552">
        <v>0</v>
      </c>
      <c r="AE186" s="552">
        <v>0</v>
      </c>
      <c r="AF186" s="552">
        <v>0</v>
      </c>
      <c r="AG186" s="552">
        <v>20</v>
      </c>
      <c r="AH186" s="552">
        <v>478800</v>
      </c>
      <c r="AI186" s="552">
        <v>0</v>
      </c>
      <c r="AJ186" s="552">
        <v>0</v>
      </c>
    </row>
    <row r="187" spans="1:36" ht="15.95" customHeight="1">
      <c r="A187" s="547"/>
      <c r="B187" s="548">
        <v>330</v>
      </c>
      <c r="C187" s="549">
        <v>6704</v>
      </c>
      <c r="D187" s="550" t="s">
        <v>11675</v>
      </c>
      <c r="E187" s="550" t="s">
        <v>3959</v>
      </c>
      <c r="F187" s="550" t="s">
        <v>3960</v>
      </c>
      <c r="G187" s="550" t="s">
        <v>3961</v>
      </c>
      <c r="H187" s="550" t="s">
        <v>3962</v>
      </c>
      <c r="I187" s="550" t="s">
        <v>11</v>
      </c>
      <c r="J187" s="550" t="s">
        <v>3963</v>
      </c>
      <c r="K187" s="551">
        <v>44625</v>
      </c>
      <c r="L187" s="552">
        <v>3129</v>
      </c>
      <c r="M187" s="552">
        <v>3129</v>
      </c>
      <c r="N187" s="552">
        <v>3129</v>
      </c>
      <c r="O187" s="552">
        <v>4770</v>
      </c>
      <c r="P187" s="552">
        <v>14925330</v>
      </c>
      <c r="Q187" s="548">
        <v>0</v>
      </c>
      <c r="R187" s="552">
        <v>0</v>
      </c>
      <c r="S187" s="548">
        <v>3108</v>
      </c>
      <c r="T187" s="552">
        <v>9724932</v>
      </c>
      <c r="U187" s="548">
        <v>1662</v>
      </c>
      <c r="V187" s="552">
        <v>5200398</v>
      </c>
      <c r="W187" s="552">
        <v>0</v>
      </c>
      <c r="X187" s="552">
        <v>0</v>
      </c>
      <c r="Y187" s="552">
        <v>3108</v>
      </c>
      <c r="Z187" s="552">
        <v>9724932</v>
      </c>
      <c r="AA187" s="552">
        <v>3108</v>
      </c>
      <c r="AB187" s="552">
        <v>9724932</v>
      </c>
      <c r="AC187" s="552">
        <v>0</v>
      </c>
      <c r="AD187" s="552">
        <v>0</v>
      </c>
      <c r="AE187" s="552">
        <v>0</v>
      </c>
      <c r="AF187" s="552">
        <v>0</v>
      </c>
      <c r="AG187" s="552">
        <v>0</v>
      </c>
      <c r="AH187" s="552">
        <v>0</v>
      </c>
      <c r="AI187" s="552">
        <v>0</v>
      </c>
      <c r="AJ187" s="552">
        <v>0</v>
      </c>
    </row>
    <row r="188" spans="1:36" ht="15.95" customHeight="1">
      <c r="A188" s="547"/>
      <c r="B188" s="548">
        <v>331</v>
      </c>
      <c r="C188" s="549">
        <v>6721</v>
      </c>
      <c r="D188" s="550" t="s">
        <v>11676</v>
      </c>
      <c r="E188" s="550" t="s">
        <v>3964</v>
      </c>
      <c r="F188" s="550" t="s">
        <v>1052</v>
      </c>
      <c r="G188" s="550" t="s">
        <v>3965</v>
      </c>
      <c r="H188" s="550" t="s">
        <v>2005</v>
      </c>
      <c r="I188" s="550" t="s">
        <v>11</v>
      </c>
      <c r="J188" s="550" t="s">
        <v>3852</v>
      </c>
      <c r="K188" s="551">
        <v>44929</v>
      </c>
      <c r="L188" s="552">
        <v>1743</v>
      </c>
      <c r="M188" s="552">
        <v>1743</v>
      </c>
      <c r="N188" s="552">
        <v>1743</v>
      </c>
      <c r="O188" s="552">
        <v>7380</v>
      </c>
      <c r="P188" s="552">
        <v>12863340</v>
      </c>
      <c r="Q188" s="548">
        <v>0</v>
      </c>
      <c r="R188" s="552">
        <v>0</v>
      </c>
      <c r="S188" s="548">
        <v>7380</v>
      </c>
      <c r="T188" s="552">
        <v>12863340</v>
      </c>
      <c r="U188" s="548">
        <v>0</v>
      </c>
      <c r="V188" s="552">
        <v>0</v>
      </c>
      <c r="W188" s="552">
        <v>0</v>
      </c>
      <c r="X188" s="552">
        <v>0</v>
      </c>
      <c r="Y188" s="552">
        <v>7380</v>
      </c>
      <c r="Z188" s="552">
        <v>12863340</v>
      </c>
      <c r="AA188" s="552">
        <v>7380</v>
      </c>
      <c r="AB188" s="552">
        <v>12863340</v>
      </c>
      <c r="AC188" s="552">
        <v>0</v>
      </c>
      <c r="AD188" s="552">
        <v>0</v>
      </c>
      <c r="AE188" s="552">
        <v>0</v>
      </c>
      <c r="AF188" s="552">
        <v>0</v>
      </c>
      <c r="AG188" s="552">
        <v>0</v>
      </c>
      <c r="AH188" s="552">
        <v>0</v>
      </c>
      <c r="AI188" s="552">
        <v>0</v>
      </c>
      <c r="AJ188" s="552">
        <v>0</v>
      </c>
    </row>
    <row r="189" spans="1:36" ht="15.95" customHeight="1">
      <c r="A189" s="547"/>
      <c r="B189" s="548">
        <v>332</v>
      </c>
      <c r="C189" s="549">
        <v>6721</v>
      </c>
      <c r="D189" s="550" t="s">
        <v>11676</v>
      </c>
      <c r="E189" s="550" t="s">
        <v>3964</v>
      </c>
      <c r="F189" s="550" t="s">
        <v>1052</v>
      </c>
      <c r="G189" s="550" t="s">
        <v>3965</v>
      </c>
      <c r="H189" s="550" t="s">
        <v>2005</v>
      </c>
      <c r="I189" s="550" t="s">
        <v>11</v>
      </c>
      <c r="J189" s="550" t="s">
        <v>3966</v>
      </c>
      <c r="K189" s="551">
        <v>45044</v>
      </c>
      <c r="L189" s="552">
        <v>1743</v>
      </c>
      <c r="M189" s="552">
        <v>1743</v>
      </c>
      <c r="N189" s="552">
        <v>1743</v>
      </c>
      <c r="O189" s="552">
        <v>10000</v>
      </c>
      <c r="P189" s="552">
        <v>17430000</v>
      </c>
      <c r="Q189" s="548">
        <v>0</v>
      </c>
      <c r="R189" s="552">
        <v>0</v>
      </c>
      <c r="S189" s="548">
        <v>10000</v>
      </c>
      <c r="T189" s="552">
        <v>17430000</v>
      </c>
      <c r="U189" s="548">
        <v>0</v>
      </c>
      <c r="V189" s="552">
        <v>0</v>
      </c>
      <c r="W189" s="552">
        <v>0</v>
      </c>
      <c r="X189" s="552">
        <v>0</v>
      </c>
      <c r="Y189" s="552">
        <v>10000</v>
      </c>
      <c r="Z189" s="552">
        <v>17430000</v>
      </c>
      <c r="AA189" s="552">
        <v>10000</v>
      </c>
      <c r="AB189" s="552">
        <v>17430000</v>
      </c>
      <c r="AC189" s="552">
        <v>0</v>
      </c>
      <c r="AD189" s="552">
        <v>0</v>
      </c>
      <c r="AE189" s="552">
        <v>0</v>
      </c>
      <c r="AF189" s="552">
        <v>0</v>
      </c>
      <c r="AG189" s="552">
        <v>0</v>
      </c>
      <c r="AH189" s="552">
        <v>0</v>
      </c>
      <c r="AI189" s="552">
        <v>0</v>
      </c>
      <c r="AJ189" s="552">
        <v>0</v>
      </c>
    </row>
    <row r="190" spans="1:36" ht="15.95" customHeight="1">
      <c r="A190" s="547"/>
      <c r="B190" s="548">
        <v>333</v>
      </c>
      <c r="C190" s="549">
        <v>6721</v>
      </c>
      <c r="D190" s="550" t="s">
        <v>11676</v>
      </c>
      <c r="E190" s="550" t="s">
        <v>3964</v>
      </c>
      <c r="F190" s="550" t="s">
        <v>1052</v>
      </c>
      <c r="G190" s="550" t="s">
        <v>3965</v>
      </c>
      <c r="H190" s="550" t="s">
        <v>2005</v>
      </c>
      <c r="I190" s="550" t="s">
        <v>11</v>
      </c>
      <c r="J190" s="550" t="s">
        <v>4896</v>
      </c>
      <c r="K190" s="551">
        <v>45239</v>
      </c>
      <c r="L190" s="552">
        <v>1743</v>
      </c>
      <c r="M190" s="552">
        <v>1743</v>
      </c>
      <c r="N190" s="552">
        <v>1743</v>
      </c>
      <c r="O190" s="552"/>
      <c r="P190" s="552"/>
      <c r="Q190" s="548">
        <v>7540</v>
      </c>
      <c r="R190" s="552">
        <v>13142220</v>
      </c>
      <c r="S190" s="548">
        <v>2800</v>
      </c>
      <c r="T190" s="552">
        <v>4880400</v>
      </c>
      <c r="U190" s="548">
        <v>4740</v>
      </c>
      <c r="V190" s="552">
        <v>8261820</v>
      </c>
      <c r="W190" s="552">
        <v>0</v>
      </c>
      <c r="X190" s="552">
        <v>0</v>
      </c>
      <c r="Y190" s="552">
        <v>2000</v>
      </c>
      <c r="Z190" s="552">
        <v>3486000</v>
      </c>
      <c r="AA190" s="552">
        <v>2000</v>
      </c>
      <c r="AB190" s="552">
        <v>3486000</v>
      </c>
      <c r="AC190" s="552">
        <v>0</v>
      </c>
      <c r="AD190" s="552">
        <v>0</v>
      </c>
      <c r="AE190" s="552">
        <v>0</v>
      </c>
      <c r="AF190" s="552">
        <v>0</v>
      </c>
      <c r="AG190" s="552">
        <v>800</v>
      </c>
      <c r="AH190" s="552">
        <v>1394400</v>
      </c>
      <c r="AI190" s="552">
        <v>0</v>
      </c>
      <c r="AJ190" s="552">
        <v>0</v>
      </c>
    </row>
    <row r="191" spans="1:36" ht="15.95" customHeight="1">
      <c r="A191" s="547"/>
      <c r="B191" s="548">
        <v>334</v>
      </c>
      <c r="C191" s="549">
        <v>6721</v>
      </c>
      <c r="D191" s="550" t="s">
        <v>11676</v>
      </c>
      <c r="E191" s="550" t="s">
        <v>3964</v>
      </c>
      <c r="F191" s="550" t="s">
        <v>1052</v>
      </c>
      <c r="G191" s="550" t="s">
        <v>3965</v>
      </c>
      <c r="H191" s="550" t="s">
        <v>2005</v>
      </c>
      <c r="I191" s="550" t="s">
        <v>11</v>
      </c>
      <c r="J191" s="550" t="s">
        <v>3886</v>
      </c>
      <c r="K191" s="551">
        <v>45239</v>
      </c>
      <c r="L191" s="552">
        <v>1743</v>
      </c>
      <c r="M191" s="552">
        <v>1743</v>
      </c>
      <c r="N191" s="552">
        <v>1743</v>
      </c>
      <c r="O191" s="552"/>
      <c r="P191" s="552"/>
      <c r="Q191" s="548">
        <v>19360</v>
      </c>
      <c r="R191" s="552">
        <v>33744480</v>
      </c>
      <c r="S191" s="548">
        <v>2400</v>
      </c>
      <c r="T191" s="552">
        <v>4183200</v>
      </c>
      <c r="U191" s="548">
        <v>16960</v>
      </c>
      <c r="V191" s="552">
        <v>29561280</v>
      </c>
      <c r="W191" s="552">
        <v>0</v>
      </c>
      <c r="X191" s="552">
        <v>0</v>
      </c>
      <c r="Y191" s="552">
        <v>2400</v>
      </c>
      <c r="Z191" s="552">
        <v>4183200</v>
      </c>
      <c r="AA191" s="552">
        <v>2400</v>
      </c>
      <c r="AB191" s="552">
        <v>4183200</v>
      </c>
      <c r="AC191" s="552">
        <v>0</v>
      </c>
      <c r="AD191" s="552">
        <v>0</v>
      </c>
      <c r="AE191" s="552">
        <v>0</v>
      </c>
      <c r="AF191" s="552">
        <v>0</v>
      </c>
      <c r="AG191" s="552">
        <v>0</v>
      </c>
      <c r="AH191" s="552">
        <v>0</v>
      </c>
      <c r="AI191" s="552">
        <v>0</v>
      </c>
      <c r="AJ191" s="552">
        <v>0</v>
      </c>
    </row>
    <row r="192" spans="1:36" ht="15.95" customHeight="1">
      <c r="A192" s="547"/>
      <c r="B192" s="548">
        <v>335</v>
      </c>
      <c r="C192" s="549">
        <v>6721</v>
      </c>
      <c r="D192" s="550" t="s">
        <v>11676</v>
      </c>
      <c r="E192" s="550" t="s">
        <v>3964</v>
      </c>
      <c r="F192" s="550" t="s">
        <v>1052</v>
      </c>
      <c r="G192" s="550" t="s">
        <v>3965</v>
      </c>
      <c r="H192" s="550" t="s">
        <v>2005</v>
      </c>
      <c r="I192" s="550" t="s">
        <v>11</v>
      </c>
      <c r="J192" s="550" t="s">
        <v>4987</v>
      </c>
      <c r="K192" s="551">
        <v>44981</v>
      </c>
      <c r="L192" s="552">
        <v>1743</v>
      </c>
      <c r="M192" s="552">
        <v>1743</v>
      </c>
      <c r="N192" s="552">
        <v>1743</v>
      </c>
      <c r="O192" s="552"/>
      <c r="P192" s="552"/>
      <c r="Q192" s="548">
        <v>10540</v>
      </c>
      <c r="R192" s="552">
        <v>18371220</v>
      </c>
      <c r="S192" s="548">
        <v>8242</v>
      </c>
      <c r="T192" s="552">
        <v>14365806</v>
      </c>
      <c r="U192" s="548">
        <v>2298</v>
      </c>
      <c r="V192" s="552">
        <v>4005414</v>
      </c>
      <c r="W192" s="552">
        <v>696</v>
      </c>
      <c r="X192" s="552">
        <v>1213128</v>
      </c>
      <c r="Y192" s="552">
        <v>8242</v>
      </c>
      <c r="Z192" s="552">
        <v>14365806</v>
      </c>
      <c r="AA192" s="552">
        <v>6936</v>
      </c>
      <c r="AB192" s="552">
        <v>12089448</v>
      </c>
      <c r="AC192" s="552">
        <v>1306</v>
      </c>
      <c r="AD192" s="552">
        <v>2276358</v>
      </c>
      <c r="AE192" s="552">
        <v>0</v>
      </c>
      <c r="AF192" s="552">
        <v>0</v>
      </c>
      <c r="AG192" s="552">
        <v>0</v>
      </c>
      <c r="AH192" s="552">
        <v>0</v>
      </c>
      <c r="AI192" s="552">
        <v>0</v>
      </c>
      <c r="AJ192" s="552">
        <v>0</v>
      </c>
    </row>
    <row r="193" spans="1:36" ht="15.95" customHeight="1">
      <c r="A193" s="547"/>
      <c r="B193" s="548">
        <v>336</v>
      </c>
      <c r="C193" s="549">
        <v>6721</v>
      </c>
      <c r="D193" s="550" t="s">
        <v>11676</v>
      </c>
      <c r="E193" s="550" t="s">
        <v>3964</v>
      </c>
      <c r="F193" s="550" t="s">
        <v>1052</v>
      </c>
      <c r="G193" s="550" t="s">
        <v>3965</v>
      </c>
      <c r="H193" s="550" t="s">
        <v>2005</v>
      </c>
      <c r="I193" s="550" t="s">
        <v>11</v>
      </c>
      <c r="J193" s="550" t="s">
        <v>4987</v>
      </c>
      <c r="K193" s="551">
        <v>45254</v>
      </c>
      <c r="L193" s="552">
        <v>1743</v>
      </c>
      <c r="M193" s="552">
        <v>1743</v>
      </c>
      <c r="N193" s="552">
        <v>1743</v>
      </c>
      <c r="O193" s="552"/>
      <c r="P193" s="552"/>
      <c r="Q193" s="548">
        <v>33100</v>
      </c>
      <c r="R193" s="552">
        <v>57693300</v>
      </c>
      <c r="S193" s="548">
        <v>0</v>
      </c>
      <c r="T193" s="552">
        <v>0</v>
      </c>
      <c r="U193" s="548">
        <v>33100</v>
      </c>
      <c r="V193" s="552">
        <v>57693300</v>
      </c>
      <c r="W193" s="552">
        <v>0</v>
      </c>
      <c r="X193" s="552">
        <v>0</v>
      </c>
      <c r="Y193" s="552">
        <v>0</v>
      </c>
      <c r="Z193" s="552">
        <v>0</v>
      </c>
      <c r="AA193" s="552">
        <v>0</v>
      </c>
      <c r="AB193" s="552">
        <v>0</v>
      </c>
      <c r="AC193" s="552">
        <v>0</v>
      </c>
      <c r="AD193" s="552">
        <v>0</v>
      </c>
      <c r="AE193" s="552">
        <v>0</v>
      </c>
      <c r="AF193" s="552">
        <v>0</v>
      </c>
      <c r="AG193" s="552">
        <v>0</v>
      </c>
      <c r="AH193" s="552">
        <v>0</v>
      </c>
      <c r="AI193" s="552">
        <v>0</v>
      </c>
      <c r="AJ193" s="552">
        <v>0</v>
      </c>
    </row>
    <row r="194" spans="1:36" ht="15.95" customHeight="1">
      <c r="A194" s="547"/>
      <c r="B194" s="548">
        <v>337</v>
      </c>
      <c r="C194" s="549">
        <v>6667</v>
      </c>
      <c r="D194" s="550" t="s">
        <v>11677</v>
      </c>
      <c r="E194" s="550" t="s">
        <v>3970</v>
      </c>
      <c r="F194" s="550" t="s">
        <v>3971</v>
      </c>
      <c r="G194" s="550" t="s">
        <v>1480</v>
      </c>
      <c r="H194" s="550" t="s">
        <v>1512</v>
      </c>
      <c r="I194" s="550" t="s">
        <v>520</v>
      </c>
      <c r="J194" s="550" t="s">
        <v>11678</v>
      </c>
      <c r="K194" s="551">
        <v>44897</v>
      </c>
      <c r="L194" s="552">
        <v>3350</v>
      </c>
      <c r="M194" s="552">
        <v>3350</v>
      </c>
      <c r="N194" s="552">
        <v>3350</v>
      </c>
      <c r="O194" s="552"/>
      <c r="P194" s="552"/>
      <c r="Q194" s="548">
        <v>1900</v>
      </c>
      <c r="R194" s="552">
        <v>6365000</v>
      </c>
      <c r="S194" s="548">
        <v>0</v>
      </c>
      <c r="T194" s="552">
        <v>0</v>
      </c>
      <c r="U194" s="548">
        <v>1900</v>
      </c>
      <c r="V194" s="552">
        <v>6365000</v>
      </c>
      <c r="W194" s="552">
        <v>0</v>
      </c>
      <c r="X194" s="552">
        <v>0</v>
      </c>
      <c r="Y194" s="552">
        <v>0</v>
      </c>
      <c r="Z194" s="552">
        <v>0</v>
      </c>
      <c r="AA194" s="552">
        <v>0</v>
      </c>
      <c r="AB194" s="552">
        <v>0</v>
      </c>
      <c r="AC194" s="552">
        <v>0</v>
      </c>
      <c r="AD194" s="552">
        <v>0</v>
      </c>
      <c r="AE194" s="552">
        <v>0</v>
      </c>
      <c r="AF194" s="552">
        <v>0</v>
      </c>
      <c r="AG194" s="552">
        <v>0</v>
      </c>
      <c r="AH194" s="552">
        <v>0</v>
      </c>
      <c r="AI194" s="552">
        <v>0</v>
      </c>
      <c r="AJ194" s="552">
        <v>0</v>
      </c>
    </row>
    <row r="195" spans="1:36" ht="15.95" customHeight="1">
      <c r="A195" s="547"/>
      <c r="B195" s="548">
        <v>338</v>
      </c>
      <c r="C195" s="549">
        <v>6667</v>
      </c>
      <c r="D195" s="550" t="s">
        <v>11677</v>
      </c>
      <c r="E195" s="550" t="s">
        <v>3970</v>
      </c>
      <c r="F195" s="550" t="s">
        <v>3971</v>
      </c>
      <c r="G195" s="550" t="s">
        <v>1480</v>
      </c>
      <c r="H195" s="550" t="s">
        <v>1512</v>
      </c>
      <c r="I195" s="550" t="s">
        <v>520</v>
      </c>
      <c r="J195" s="550" t="s">
        <v>11679</v>
      </c>
      <c r="K195" s="551">
        <v>44699</v>
      </c>
      <c r="L195" s="552">
        <v>3350</v>
      </c>
      <c r="M195" s="552">
        <v>3350</v>
      </c>
      <c r="N195" s="552">
        <v>3350</v>
      </c>
      <c r="O195" s="552">
        <v>2000</v>
      </c>
      <c r="P195" s="552">
        <v>6700000</v>
      </c>
      <c r="Q195" s="548">
        <v>0</v>
      </c>
      <c r="R195" s="552">
        <v>0</v>
      </c>
      <c r="S195" s="548">
        <v>1991</v>
      </c>
      <c r="T195" s="552">
        <v>6669850</v>
      </c>
      <c r="U195" s="548">
        <v>9</v>
      </c>
      <c r="V195" s="552">
        <v>30150</v>
      </c>
      <c r="W195" s="552">
        <v>600</v>
      </c>
      <c r="X195" s="552">
        <v>2010000</v>
      </c>
      <c r="Y195" s="552">
        <v>1991</v>
      </c>
      <c r="Z195" s="552">
        <v>6669850</v>
      </c>
      <c r="AA195" s="552">
        <v>1391</v>
      </c>
      <c r="AB195" s="552">
        <v>4659850</v>
      </c>
      <c r="AC195" s="552">
        <v>600</v>
      </c>
      <c r="AD195" s="552">
        <v>2010000</v>
      </c>
      <c r="AE195" s="552">
        <v>0</v>
      </c>
      <c r="AF195" s="552">
        <v>0</v>
      </c>
      <c r="AG195" s="552">
        <v>0</v>
      </c>
      <c r="AH195" s="552">
        <v>0</v>
      </c>
      <c r="AI195" s="552">
        <v>0</v>
      </c>
      <c r="AJ195" s="552">
        <v>0</v>
      </c>
    </row>
    <row r="196" spans="1:36" ht="15.95" customHeight="1">
      <c r="A196" s="547"/>
      <c r="B196" s="548">
        <v>339</v>
      </c>
      <c r="C196" s="549">
        <v>6757</v>
      </c>
      <c r="D196" s="550" t="s">
        <v>11680</v>
      </c>
      <c r="E196" s="550" t="s">
        <v>3972</v>
      </c>
      <c r="F196" s="550" t="s">
        <v>3973</v>
      </c>
      <c r="G196" s="550" t="s">
        <v>3974</v>
      </c>
      <c r="H196" s="550" t="s">
        <v>229</v>
      </c>
      <c r="I196" s="550" t="s">
        <v>11</v>
      </c>
      <c r="J196" s="550" t="s">
        <v>11644</v>
      </c>
      <c r="K196" s="551">
        <v>45302</v>
      </c>
      <c r="L196" s="552">
        <v>1050</v>
      </c>
      <c r="M196" s="552">
        <v>1050</v>
      </c>
      <c r="N196" s="552">
        <v>1050</v>
      </c>
      <c r="O196" s="552"/>
      <c r="P196" s="552"/>
      <c r="Q196" s="548">
        <v>2018</v>
      </c>
      <c r="R196" s="552">
        <v>2118900</v>
      </c>
      <c r="S196" s="548">
        <v>150</v>
      </c>
      <c r="T196" s="552">
        <v>157500</v>
      </c>
      <c r="U196" s="548">
        <v>1868</v>
      </c>
      <c r="V196" s="552">
        <v>1961400</v>
      </c>
      <c r="W196" s="552">
        <v>0</v>
      </c>
      <c r="X196" s="552">
        <v>0</v>
      </c>
      <c r="Y196" s="552">
        <v>150</v>
      </c>
      <c r="Z196" s="552">
        <v>157500</v>
      </c>
      <c r="AA196" s="552">
        <v>0</v>
      </c>
      <c r="AB196" s="552">
        <v>0</v>
      </c>
      <c r="AC196" s="552">
        <v>150</v>
      </c>
      <c r="AD196" s="552">
        <v>157500</v>
      </c>
      <c r="AE196" s="552">
        <v>0</v>
      </c>
      <c r="AF196" s="552">
        <v>0</v>
      </c>
      <c r="AG196" s="552">
        <v>0</v>
      </c>
      <c r="AH196" s="552">
        <v>0</v>
      </c>
      <c r="AI196" s="552">
        <v>0</v>
      </c>
      <c r="AJ196" s="552">
        <v>0</v>
      </c>
    </row>
    <row r="197" spans="1:36" ht="15.95" customHeight="1">
      <c r="A197" s="547"/>
      <c r="B197" s="548">
        <v>340</v>
      </c>
      <c r="C197" s="549">
        <v>6757</v>
      </c>
      <c r="D197" s="550" t="s">
        <v>11680</v>
      </c>
      <c r="E197" s="550" t="s">
        <v>3972</v>
      </c>
      <c r="F197" s="550" t="s">
        <v>3973</v>
      </c>
      <c r="G197" s="550" t="s">
        <v>3974</v>
      </c>
      <c r="H197" s="550" t="s">
        <v>229</v>
      </c>
      <c r="I197" s="550" t="s">
        <v>11</v>
      </c>
      <c r="J197" s="550" t="s">
        <v>3975</v>
      </c>
      <c r="K197" s="551">
        <v>44986</v>
      </c>
      <c r="L197" s="552">
        <v>1050</v>
      </c>
      <c r="M197" s="552">
        <v>1050</v>
      </c>
      <c r="N197" s="552">
        <v>1050</v>
      </c>
      <c r="O197" s="552">
        <v>3020</v>
      </c>
      <c r="P197" s="552">
        <v>3171000</v>
      </c>
      <c r="Q197" s="548">
        <v>17</v>
      </c>
      <c r="R197" s="552">
        <v>17850</v>
      </c>
      <c r="S197" s="548">
        <v>2761</v>
      </c>
      <c r="T197" s="552">
        <v>2899050</v>
      </c>
      <c r="U197" s="548">
        <v>276</v>
      </c>
      <c r="V197" s="552">
        <v>289800</v>
      </c>
      <c r="W197" s="552">
        <v>0</v>
      </c>
      <c r="X197" s="552">
        <v>0</v>
      </c>
      <c r="Y197" s="552">
        <v>2761</v>
      </c>
      <c r="Z197" s="552">
        <v>2899050</v>
      </c>
      <c r="AA197" s="552">
        <v>1969</v>
      </c>
      <c r="AB197" s="552">
        <v>2067450</v>
      </c>
      <c r="AC197" s="552">
        <v>792</v>
      </c>
      <c r="AD197" s="552">
        <v>831600</v>
      </c>
      <c r="AE197" s="552">
        <v>0</v>
      </c>
      <c r="AF197" s="552">
        <v>0</v>
      </c>
      <c r="AG197" s="552">
        <v>0</v>
      </c>
      <c r="AH197" s="552">
        <v>0</v>
      </c>
      <c r="AI197" s="552">
        <v>0</v>
      </c>
      <c r="AJ197" s="552">
        <v>0</v>
      </c>
    </row>
    <row r="198" spans="1:36" ht="15.95" customHeight="1">
      <c r="A198" s="547"/>
      <c r="B198" s="548">
        <v>350</v>
      </c>
      <c r="C198" s="549">
        <v>7207</v>
      </c>
      <c r="D198" s="550" t="s">
        <v>11681</v>
      </c>
      <c r="E198" s="550" t="s">
        <v>3979</v>
      </c>
      <c r="F198" s="550" t="s">
        <v>1278</v>
      </c>
      <c r="G198" s="550" t="s">
        <v>3980</v>
      </c>
      <c r="H198" s="550" t="s">
        <v>3981</v>
      </c>
      <c r="I198" s="550" t="s">
        <v>11</v>
      </c>
      <c r="J198" s="550" t="s">
        <v>11682</v>
      </c>
      <c r="K198" s="551">
        <v>44777</v>
      </c>
      <c r="L198" s="552">
        <v>3485</v>
      </c>
      <c r="M198" s="552">
        <v>3485</v>
      </c>
      <c r="N198" s="552">
        <v>3485</v>
      </c>
      <c r="O198" s="552"/>
      <c r="P198" s="552"/>
      <c r="Q198" s="548">
        <v>15000</v>
      </c>
      <c r="R198" s="552">
        <v>52275000</v>
      </c>
      <c r="S198" s="548">
        <v>15000</v>
      </c>
      <c r="T198" s="552">
        <v>52275000</v>
      </c>
      <c r="U198" s="548">
        <v>0</v>
      </c>
      <c r="V198" s="552">
        <v>0</v>
      </c>
      <c r="W198" s="552">
        <v>2000</v>
      </c>
      <c r="X198" s="552">
        <v>6970000</v>
      </c>
      <c r="Y198" s="552">
        <v>15000</v>
      </c>
      <c r="Z198" s="552">
        <v>52275000</v>
      </c>
      <c r="AA198" s="552">
        <v>13000</v>
      </c>
      <c r="AB198" s="552">
        <v>45305000</v>
      </c>
      <c r="AC198" s="552">
        <v>2000</v>
      </c>
      <c r="AD198" s="552">
        <v>6970000</v>
      </c>
      <c r="AE198" s="552">
        <v>0</v>
      </c>
      <c r="AF198" s="552">
        <v>0</v>
      </c>
      <c r="AG198" s="552">
        <v>0</v>
      </c>
      <c r="AH198" s="552">
        <v>0</v>
      </c>
      <c r="AI198" s="552">
        <v>0</v>
      </c>
      <c r="AJ198" s="552">
        <v>0</v>
      </c>
    </row>
    <row r="199" spans="1:36" ht="15.95" customHeight="1">
      <c r="A199" s="547"/>
      <c r="B199" s="548">
        <v>351</v>
      </c>
      <c r="C199" s="549">
        <v>7207</v>
      </c>
      <c r="D199" s="550" t="s">
        <v>11681</v>
      </c>
      <c r="E199" s="550" t="s">
        <v>3979</v>
      </c>
      <c r="F199" s="550" t="s">
        <v>1278</v>
      </c>
      <c r="G199" s="550" t="s">
        <v>3980</v>
      </c>
      <c r="H199" s="550" t="s">
        <v>3981</v>
      </c>
      <c r="I199" s="550" t="s">
        <v>11</v>
      </c>
      <c r="J199" s="550" t="s">
        <v>3982</v>
      </c>
      <c r="K199" s="551">
        <v>44656</v>
      </c>
      <c r="L199" s="552">
        <v>3485</v>
      </c>
      <c r="M199" s="552">
        <v>3485</v>
      </c>
      <c r="N199" s="552">
        <v>3485</v>
      </c>
      <c r="O199" s="552">
        <v>15</v>
      </c>
      <c r="P199" s="552">
        <v>52275</v>
      </c>
      <c r="Q199" s="548">
        <v>0</v>
      </c>
      <c r="R199" s="552">
        <v>0</v>
      </c>
      <c r="S199" s="548">
        <v>15</v>
      </c>
      <c r="T199" s="552">
        <v>52275</v>
      </c>
      <c r="U199" s="548">
        <v>0</v>
      </c>
      <c r="V199" s="552">
        <v>0</v>
      </c>
      <c r="W199" s="552">
        <v>0</v>
      </c>
      <c r="X199" s="552">
        <v>0</v>
      </c>
      <c r="Y199" s="552">
        <v>15</v>
      </c>
      <c r="Z199" s="552">
        <v>52275</v>
      </c>
      <c r="AA199" s="552">
        <v>15</v>
      </c>
      <c r="AB199" s="552">
        <v>52275</v>
      </c>
      <c r="AC199" s="552">
        <v>0</v>
      </c>
      <c r="AD199" s="552">
        <v>0</v>
      </c>
      <c r="AE199" s="552">
        <v>0</v>
      </c>
      <c r="AF199" s="552">
        <v>0</v>
      </c>
      <c r="AG199" s="552">
        <v>0</v>
      </c>
      <c r="AH199" s="552">
        <v>0</v>
      </c>
      <c r="AI199" s="552">
        <v>0</v>
      </c>
      <c r="AJ199" s="552">
        <v>0</v>
      </c>
    </row>
    <row r="200" spans="1:36" ht="15.95" customHeight="1">
      <c r="A200" s="547"/>
      <c r="B200" s="548">
        <v>352</v>
      </c>
      <c r="C200" s="549">
        <v>6763</v>
      </c>
      <c r="D200" s="550" t="s">
        <v>11683</v>
      </c>
      <c r="E200" s="550" t="s">
        <v>3977</v>
      </c>
      <c r="F200" s="550" t="s">
        <v>1278</v>
      </c>
      <c r="G200" s="550" t="s">
        <v>3980</v>
      </c>
      <c r="H200" s="550" t="s">
        <v>3981</v>
      </c>
      <c r="I200" s="550" t="s">
        <v>11</v>
      </c>
      <c r="J200" s="550" t="s">
        <v>11684</v>
      </c>
      <c r="K200" s="551">
        <v>44732</v>
      </c>
      <c r="L200" s="552">
        <v>3485</v>
      </c>
      <c r="M200" s="552">
        <v>3485</v>
      </c>
      <c r="N200" s="552">
        <v>3485</v>
      </c>
      <c r="O200" s="552">
        <v>2874</v>
      </c>
      <c r="P200" s="552">
        <v>10015890</v>
      </c>
      <c r="Q200" s="548">
        <v>0</v>
      </c>
      <c r="R200" s="552">
        <v>0</v>
      </c>
      <c r="S200" s="548">
        <v>2874</v>
      </c>
      <c r="T200" s="552">
        <v>10015890</v>
      </c>
      <c r="U200" s="548">
        <v>0</v>
      </c>
      <c r="V200" s="552">
        <v>0</v>
      </c>
      <c r="W200" s="552">
        <v>0</v>
      </c>
      <c r="X200" s="552">
        <v>0</v>
      </c>
      <c r="Y200" s="552">
        <v>2874</v>
      </c>
      <c r="Z200" s="552">
        <v>10015890</v>
      </c>
      <c r="AA200" s="552">
        <v>2874</v>
      </c>
      <c r="AB200" s="552">
        <v>10015890</v>
      </c>
      <c r="AC200" s="552">
        <v>0</v>
      </c>
      <c r="AD200" s="552">
        <v>0</v>
      </c>
      <c r="AE200" s="552">
        <v>0</v>
      </c>
      <c r="AF200" s="552">
        <v>0</v>
      </c>
      <c r="AG200" s="552">
        <v>0</v>
      </c>
      <c r="AH200" s="552">
        <v>0</v>
      </c>
      <c r="AI200" s="552">
        <v>0</v>
      </c>
      <c r="AJ200" s="552">
        <v>0</v>
      </c>
    </row>
    <row r="201" spans="1:36" ht="15.95" customHeight="1">
      <c r="A201" s="547"/>
      <c r="B201" s="548">
        <v>353</v>
      </c>
      <c r="C201" s="549">
        <v>6763</v>
      </c>
      <c r="D201" s="550" t="s">
        <v>11683</v>
      </c>
      <c r="E201" s="550" t="s">
        <v>3977</v>
      </c>
      <c r="F201" s="550" t="s">
        <v>1278</v>
      </c>
      <c r="G201" s="550" t="s">
        <v>3980</v>
      </c>
      <c r="H201" s="550" t="s">
        <v>3981</v>
      </c>
      <c r="I201" s="550" t="s">
        <v>11</v>
      </c>
      <c r="J201" s="550" t="s">
        <v>11682</v>
      </c>
      <c r="K201" s="551">
        <v>44777</v>
      </c>
      <c r="L201" s="552">
        <v>3485</v>
      </c>
      <c r="M201" s="552">
        <v>3485</v>
      </c>
      <c r="N201" s="552">
        <v>3485</v>
      </c>
      <c r="O201" s="552"/>
      <c r="P201" s="552"/>
      <c r="Q201" s="548">
        <v>15000</v>
      </c>
      <c r="R201" s="552">
        <v>52275000</v>
      </c>
      <c r="S201" s="548">
        <v>11946</v>
      </c>
      <c r="T201" s="552">
        <v>41631810</v>
      </c>
      <c r="U201" s="548">
        <v>3054</v>
      </c>
      <c r="V201" s="552">
        <v>10643190</v>
      </c>
      <c r="W201" s="552">
        <v>3188</v>
      </c>
      <c r="X201" s="552">
        <v>11110180</v>
      </c>
      <c r="Y201" s="552">
        <v>11946</v>
      </c>
      <c r="Z201" s="552">
        <v>41631810</v>
      </c>
      <c r="AA201" s="552">
        <v>7946</v>
      </c>
      <c r="AB201" s="552">
        <v>27691810</v>
      </c>
      <c r="AC201" s="552">
        <v>4000</v>
      </c>
      <c r="AD201" s="552">
        <v>13940000</v>
      </c>
      <c r="AE201" s="552">
        <v>0</v>
      </c>
      <c r="AF201" s="552">
        <v>0</v>
      </c>
      <c r="AG201" s="552">
        <v>0</v>
      </c>
      <c r="AH201" s="552">
        <v>0</v>
      </c>
      <c r="AI201" s="552">
        <v>0</v>
      </c>
      <c r="AJ201" s="552">
        <v>0</v>
      </c>
    </row>
    <row r="202" spans="1:36" ht="15.95" customHeight="1">
      <c r="A202" s="547"/>
      <c r="B202" s="548">
        <v>358</v>
      </c>
      <c r="C202" s="549">
        <v>6937</v>
      </c>
      <c r="D202" s="550" t="s">
        <v>11685</v>
      </c>
      <c r="E202" s="550" t="s">
        <v>3983</v>
      </c>
      <c r="F202" s="550" t="s">
        <v>1944</v>
      </c>
      <c r="G202" s="550" t="s">
        <v>560</v>
      </c>
      <c r="H202" s="550" t="s">
        <v>258</v>
      </c>
      <c r="I202" s="550" t="s">
        <v>11</v>
      </c>
      <c r="J202" s="550" t="s">
        <v>11686</v>
      </c>
      <c r="K202" s="551">
        <v>44986</v>
      </c>
      <c r="L202" s="552">
        <v>1092</v>
      </c>
      <c r="M202" s="552">
        <v>1092</v>
      </c>
      <c r="N202" s="552">
        <v>1092</v>
      </c>
      <c r="O202" s="552"/>
      <c r="P202" s="552"/>
      <c r="Q202" s="548">
        <v>2000</v>
      </c>
      <c r="R202" s="552">
        <v>2184000</v>
      </c>
      <c r="S202" s="548">
        <v>0</v>
      </c>
      <c r="T202" s="552">
        <v>0</v>
      </c>
      <c r="U202" s="548">
        <v>2000</v>
      </c>
      <c r="V202" s="552">
        <v>2184000</v>
      </c>
      <c r="W202" s="552">
        <v>0</v>
      </c>
      <c r="X202" s="552">
        <v>0</v>
      </c>
      <c r="Y202" s="552">
        <v>0</v>
      </c>
      <c r="Z202" s="552">
        <v>0</v>
      </c>
      <c r="AA202" s="552">
        <v>0</v>
      </c>
      <c r="AB202" s="552">
        <v>0</v>
      </c>
      <c r="AC202" s="552">
        <v>0</v>
      </c>
      <c r="AD202" s="552">
        <v>0</v>
      </c>
      <c r="AE202" s="552">
        <v>0</v>
      </c>
      <c r="AF202" s="552">
        <v>0</v>
      </c>
      <c r="AG202" s="552">
        <v>0</v>
      </c>
      <c r="AH202" s="552">
        <v>0</v>
      </c>
      <c r="AI202" s="552">
        <v>0</v>
      </c>
      <c r="AJ202" s="552">
        <v>0</v>
      </c>
    </row>
    <row r="203" spans="1:36" ht="15.95" customHeight="1">
      <c r="A203" s="547"/>
      <c r="B203" s="548">
        <v>359</v>
      </c>
      <c r="C203" s="549">
        <v>6937</v>
      </c>
      <c r="D203" s="550" t="s">
        <v>11685</v>
      </c>
      <c r="E203" s="550" t="s">
        <v>3983</v>
      </c>
      <c r="F203" s="550" t="s">
        <v>1944</v>
      </c>
      <c r="G203" s="550" t="s">
        <v>560</v>
      </c>
      <c r="H203" s="550" t="s">
        <v>258</v>
      </c>
      <c r="I203" s="550" t="s">
        <v>11</v>
      </c>
      <c r="J203" s="550" t="s">
        <v>3985</v>
      </c>
      <c r="K203" s="551">
        <v>44636</v>
      </c>
      <c r="L203" s="552">
        <v>1092</v>
      </c>
      <c r="M203" s="552">
        <v>1092</v>
      </c>
      <c r="N203" s="552">
        <v>1092</v>
      </c>
      <c r="O203" s="552">
        <v>2274</v>
      </c>
      <c r="P203" s="552">
        <v>2483208</v>
      </c>
      <c r="Q203" s="548">
        <v>0</v>
      </c>
      <c r="R203" s="552">
        <v>0</v>
      </c>
      <c r="S203" s="548">
        <v>2274</v>
      </c>
      <c r="T203" s="552">
        <v>2483208</v>
      </c>
      <c r="U203" s="548">
        <v>0</v>
      </c>
      <c r="V203" s="552">
        <v>0</v>
      </c>
      <c r="W203" s="552">
        <v>906</v>
      </c>
      <c r="X203" s="552">
        <v>989352</v>
      </c>
      <c r="Y203" s="552">
        <v>2274</v>
      </c>
      <c r="Z203" s="552">
        <v>2483208</v>
      </c>
      <c r="AA203" s="552">
        <v>1274</v>
      </c>
      <c r="AB203" s="552">
        <v>1391208</v>
      </c>
      <c r="AC203" s="552">
        <v>1000</v>
      </c>
      <c r="AD203" s="552">
        <v>1092000</v>
      </c>
      <c r="AE203" s="552">
        <v>0</v>
      </c>
      <c r="AF203" s="552">
        <v>0</v>
      </c>
      <c r="AG203" s="552">
        <v>0</v>
      </c>
      <c r="AH203" s="552">
        <v>0</v>
      </c>
      <c r="AI203" s="552">
        <v>0</v>
      </c>
      <c r="AJ203" s="552">
        <v>0</v>
      </c>
    </row>
    <row r="204" spans="1:36" ht="15.95" customHeight="1">
      <c r="A204" s="547"/>
      <c r="B204" s="548">
        <v>360</v>
      </c>
      <c r="C204" s="549">
        <v>6937</v>
      </c>
      <c r="D204" s="550" t="s">
        <v>11685</v>
      </c>
      <c r="E204" s="550" t="s">
        <v>3983</v>
      </c>
      <c r="F204" s="550" t="s">
        <v>1944</v>
      </c>
      <c r="G204" s="550" t="s">
        <v>560</v>
      </c>
      <c r="H204" s="550" t="s">
        <v>258</v>
      </c>
      <c r="I204" s="550" t="s">
        <v>11</v>
      </c>
      <c r="J204" s="550" t="s">
        <v>4731</v>
      </c>
      <c r="K204" s="551">
        <v>44799</v>
      </c>
      <c r="L204" s="552">
        <v>1092</v>
      </c>
      <c r="M204" s="552">
        <v>1092</v>
      </c>
      <c r="N204" s="552">
        <v>1092</v>
      </c>
      <c r="O204" s="552">
        <v>200</v>
      </c>
      <c r="P204" s="552">
        <v>218400</v>
      </c>
      <c r="Q204" s="548">
        <v>0</v>
      </c>
      <c r="R204" s="552">
        <v>0</v>
      </c>
      <c r="S204" s="548">
        <v>200</v>
      </c>
      <c r="T204" s="552">
        <v>218400</v>
      </c>
      <c r="U204" s="548">
        <v>0</v>
      </c>
      <c r="V204" s="552">
        <v>0</v>
      </c>
      <c r="W204" s="552">
        <v>0</v>
      </c>
      <c r="X204" s="552">
        <v>0</v>
      </c>
      <c r="Y204" s="552">
        <v>200</v>
      </c>
      <c r="Z204" s="552">
        <v>218400</v>
      </c>
      <c r="AA204" s="552">
        <v>200</v>
      </c>
      <c r="AB204" s="552">
        <v>218400</v>
      </c>
      <c r="AC204" s="552">
        <v>0</v>
      </c>
      <c r="AD204" s="552">
        <v>0</v>
      </c>
      <c r="AE204" s="552">
        <v>0</v>
      </c>
      <c r="AF204" s="552">
        <v>0</v>
      </c>
      <c r="AG204" s="552">
        <v>0</v>
      </c>
      <c r="AH204" s="552">
        <v>0</v>
      </c>
      <c r="AI204" s="552">
        <v>0</v>
      </c>
      <c r="AJ204" s="552">
        <v>0</v>
      </c>
    </row>
    <row r="205" spans="1:36" ht="15.95" customHeight="1">
      <c r="A205" s="547"/>
      <c r="B205" s="548">
        <v>361</v>
      </c>
      <c r="C205" s="549">
        <v>6980</v>
      </c>
      <c r="D205" s="550" t="s">
        <v>11687</v>
      </c>
      <c r="E205" s="550" t="s">
        <v>7678</v>
      </c>
      <c r="F205" s="550" t="s">
        <v>7680</v>
      </c>
      <c r="G205" s="550" t="s">
        <v>836</v>
      </c>
      <c r="H205" s="550" t="s">
        <v>7679</v>
      </c>
      <c r="I205" s="550" t="s">
        <v>7684</v>
      </c>
      <c r="J205" s="550" t="s">
        <v>11688</v>
      </c>
      <c r="K205" s="551">
        <v>44685</v>
      </c>
      <c r="L205" s="552">
        <v>1850</v>
      </c>
      <c r="M205" s="552">
        <v>1850</v>
      </c>
      <c r="N205" s="552">
        <v>1850</v>
      </c>
      <c r="O205" s="552"/>
      <c r="P205" s="552"/>
      <c r="Q205" s="548">
        <v>500</v>
      </c>
      <c r="R205" s="552">
        <v>925000</v>
      </c>
      <c r="S205" s="548">
        <v>500</v>
      </c>
      <c r="T205" s="552">
        <v>925000</v>
      </c>
      <c r="U205" s="548">
        <v>0</v>
      </c>
      <c r="V205" s="552">
        <v>0</v>
      </c>
      <c r="W205" s="552">
        <v>0</v>
      </c>
      <c r="X205" s="552">
        <v>0</v>
      </c>
      <c r="Y205" s="552">
        <v>500</v>
      </c>
      <c r="Z205" s="552">
        <v>925000</v>
      </c>
      <c r="AA205" s="552">
        <v>500</v>
      </c>
      <c r="AB205" s="552">
        <v>925000</v>
      </c>
      <c r="AC205" s="552">
        <v>0</v>
      </c>
      <c r="AD205" s="552">
        <v>0</v>
      </c>
      <c r="AE205" s="552">
        <v>0</v>
      </c>
      <c r="AF205" s="552">
        <v>0</v>
      </c>
      <c r="AG205" s="552">
        <v>0</v>
      </c>
      <c r="AH205" s="552">
        <v>0</v>
      </c>
      <c r="AI205" s="552">
        <v>0</v>
      </c>
      <c r="AJ205" s="552">
        <v>0</v>
      </c>
    </row>
    <row r="206" spans="1:36" ht="15.95" customHeight="1">
      <c r="A206" s="547"/>
      <c r="B206" s="548">
        <v>362</v>
      </c>
      <c r="C206" s="549">
        <v>6980</v>
      </c>
      <c r="D206" s="550" t="s">
        <v>11687</v>
      </c>
      <c r="E206" s="550" t="s">
        <v>7678</v>
      </c>
      <c r="F206" s="550" t="s">
        <v>7680</v>
      </c>
      <c r="G206" s="550" t="s">
        <v>836</v>
      </c>
      <c r="H206" s="550" t="s">
        <v>7679</v>
      </c>
      <c r="I206" s="550" t="s">
        <v>7684</v>
      </c>
      <c r="J206" s="550" t="s">
        <v>11688</v>
      </c>
      <c r="K206" s="551">
        <v>44695</v>
      </c>
      <c r="L206" s="552">
        <v>1850</v>
      </c>
      <c r="M206" s="552">
        <v>1850</v>
      </c>
      <c r="N206" s="552">
        <v>1850</v>
      </c>
      <c r="O206" s="552">
        <v>200</v>
      </c>
      <c r="P206" s="552">
        <v>370000</v>
      </c>
      <c r="Q206" s="548">
        <v>0</v>
      </c>
      <c r="R206" s="552">
        <v>0</v>
      </c>
      <c r="S206" s="548">
        <v>200</v>
      </c>
      <c r="T206" s="552">
        <v>370000</v>
      </c>
      <c r="U206" s="548">
        <v>0</v>
      </c>
      <c r="V206" s="552">
        <v>0</v>
      </c>
      <c r="W206" s="552">
        <v>800</v>
      </c>
      <c r="X206" s="552">
        <v>1480000</v>
      </c>
      <c r="Y206" s="552">
        <v>200</v>
      </c>
      <c r="Z206" s="552">
        <v>370000</v>
      </c>
      <c r="AA206" s="552">
        <v>200</v>
      </c>
      <c r="AB206" s="552">
        <v>370000</v>
      </c>
      <c r="AC206" s="552">
        <v>0</v>
      </c>
      <c r="AD206" s="552">
        <v>0</v>
      </c>
      <c r="AE206" s="552">
        <v>0</v>
      </c>
      <c r="AF206" s="552">
        <v>0</v>
      </c>
      <c r="AG206" s="552">
        <v>0</v>
      </c>
      <c r="AH206" s="552">
        <v>0</v>
      </c>
      <c r="AI206" s="552">
        <v>0</v>
      </c>
      <c r="AJ206" s="552">
        <v>0</v>
      </c>
    </row>
    <row r="207" spans="1:36" ht="15.95" customHeight="1">
      <c r="A207" s="547"/>
      <c r="B207" s="548">
        <v>363</v>
      </c>
      <c r="C207" s="549">
        <v>6971</v>
      </c>
      <c r="D207" s="550" t="s">
        <v>11689</v>
      </c>
      <c r="E207" s="550" t="s">
        <v>3986</v>
      </c>
      <c r="F207" s="550" t="s">
        <v>3987</v>
      </c>
      <c r="G207" s="550" t="s">
        <v>750</v>
      </c>
      <c r="H207" s="550" t="s">
        <v>232</v>
      </c>
      <c r="I207" s="550" t="s">
        <v>11</v>
      </c>
      <c r="J207" s="550" t="s">
        <v>3988</v>
      </c>
      <c r="K207" s="551">
        <v>44891</v>
      </c>
      <c r="L207" s="552">
        <v>2258</v>
      </c>
      <c r="M207" s="552">
        <v>2258</v>
      </c>
      <c r="N207" s="552">
        <v>2258</v>
      </c>
      <c r="O207" s="552">
        <v>100</v>
      </c>
      <c r="P207" s="552">
        <v>225800</v>
      </c>
      <c r="Q207" s="548">
        <v>0</v>
      </c>
      <c r="R207" s="552">
        <v>0</v>
      </c>
      <c r="S207" s="548">
        <v>100</v>
      </c>
      <c r="T207" s="552">
        <v>225800</v>
      </c>
      <c r="U207" s="548">
        <v>0</v>
      </c>
      <c r="V207" s="552">
        <v>0</v>
      </c>
      <c r="W207" s="552">
        <v>36</v>
      </c>
      <c r="X207" s="552">
        <v>81288</v>
      </c>
      <c r="Y207" s="552">
        <v>90</v>
      </c>
      <c r="Z207" s="552">
        <v>203220</v>
      </c>
      <c r="AA207" s="552">
        <v>0</v>
      </c>
      <c r="AB207" s="552">
        <v>0</v>
      </c>
      <c r="AC207" s="552">
        <v>90</v>
      </c>
      <c r="AD207" s="552">
        <v>203220</v>
      </c>
      <c r="AE207" s="552">
        <v>0</v>
      </c>
      <c r="AF207" s="552">
        <v>0</v>
      </c>
      <c r="AG207" s="552">
        <v>10</v>
      </c>
      <c r="AH207" s="552">
        <v>22580</v>
      </c>
      <c r="AI207" s="552">
        <v>0</v>
      </c>
      <c r="AJ207" s="552">
        <v>0</v>
      </c>
    </row>
    <row r="208" spans="1:36" ht="15.95" customHeight="1">
      <c r="A208" s="547"/>
      <c r="B208" s="548">
        <v>364</v>
      </c>
      <c r="C208" s="549">
        <v>6971</v>
      </c>
      <c r="D208" s="550" t="s">
        <v>11689</v>
      </c>
      <c r="E208" s="550" t="s">
        <v>3986</v>
      </c>
      <c r="F208" s="550" t="s">
        <v>3987</v>
      </c>
      <c r="G208" s="550" t="s">
        <v>750</v>
      </c>
      <c r="H208" s="550" t="s">
        <v>232</v>
      </c>
      <c r="I208" s="550" t="s">
        <v>11</v>
      </c>
      <c r="J208" s="550" t="s">
        <v>11690</v>
      </c>
      <c r="K208" s="551">
        <v>45024</v>
      </c>
      <c r="L208" s="552">
        <v>2258</v>
      </c>
      <c r="M208" s="552">
        <v>2258</v>
      </c>
      <c r="N208" s="552">
        <v>2258</v>
      </c>
      <c r="O208" s="552">
        <v>60</v>
      </c>
      <c r="P208" s="552">
        <v>135480</v>
      </c>
      <c r="Q208" s="548">
        <v>0</v>
      </c>
      <c r="R208" s="552">
        <v>0</v>
      </c>
      <c r="S208" s="548">
        <v>36</v>
      </c>
      <c r="T208" s="552">
        <v>81288</v>
      </c>
      <c r="U208" s="548">
        <v>24</v>
      </c>
      <c r="V208" s="552">
        <v>54192</v>
      </c>
      <c r="W208" s="552">
        <v>0</v>
      </c>
      <c r="X208" s="552">
        <v>0</v>
      </c>
      <c r="Y208" s="552">
        <v>16</v>
      </c>
      <c r="Z208" s="552">
        <v>36128</v>
      </c>
      <c r="AA208" s="552">
        <v>0</v>
      </c>
      <c r="AB208" s="552">
        <v>0</v>
      </c>
      <c r="AC208" s="552">
        <v>16</v>
      </c>
      <c r="AD208" s="552">
        <v>36128</v>
      </c>
      <c r="AE208" s="552">
        <v>0</v>
      </c>
      <c r="AF208" s="552">
        <v>0</v>
      </c>
      <c r="AG208" s="552">
        <v>20</v>
      </c>
      <c r="AH208" s="552">
        <v>45160</v>
      </c>
      <c r="AI208" s="552">
        <v>0</v>
      </c>
      <c r="AJ208" s="552">
        <v>0</v>
      </c>
    </row>
    <row r="209" spans="1:36" ht="15.95" customHeight="1">
      <c r="A209" s="547"/>
      <c r="B209" s="548">
        <v>365</v>
      </c>
      <c r="C209" s="549">
        <v>6971</v>
      </c>
      <c r="D209" s="550" t="s">
        <v>11689</v>
      </c>
      <c r="E209" s="550" t="s">
        <v>3986</v>
      </c>
      <c r="F209" s="550" t="s">
        <v>3987</v>
      </c>
      <c r="G209" s="550" t="s">
        <v>750</v>
      </c>
      <c r="H209" s="550" t="s">
        <v>232</v>
      </c>
      <c r="I209" s="550" t="s">
        <v>11</v>
      </c>
      <c r="J209" s="550" t="s">
        <v>11691</v>
      </c>
      <c r="K209" s="551">
        <v>45109</v>
      </c>
      <c r="L209" s="552">
        <v>2258</v>
      </c>
      <c r="M209" s="552">
        <v>2258</v>
      </c>
      <c r="N209" s="552">
        <v>2258</v>
      </c>
      <c r="O209" s="552"/>
      <c r="P209" s="552"/>
      <c r="Q209" s="548">
        <v>100</v>
      </c>
      <c r="R209" s="552">
        <v>225800</v>
      </c>
      <c r="S209" s="548">
        <v>100</v>
      </c>
      <c r="T209" s="552">
        <v>225800</v>
      </c>
      <c r="U209" s="548">
        <v>0</v>
      </c>
      <c r="V209" s="552">
        <v>0</v>
      </c>
      <c r="W209" s="552">
        <v>0</v>
      </c>
      <c r="X209" s="552">
        <v>0</v>
      </c>
      <c r="Y209" s="552">
        <v>100</v>
      </c>
      <c r="Z209" s="552">
        <v>225800</v>
      </c>
      <c r="AA209" s="552">
        <v>0</v>
      </c>
      <c r="AB209" s="552">
        <v>0</v>
      </c>
      <c r="AC209" s="552">
        <v>100</v>
      </c>
      <c r="AD209" s="552">
        <v>225800</v>
      </c>
      <c r="AE209" s="552">
        <v>0</v>
      </c>
      <c r="AF209" s="552">
        <v>0</v>
      </c>
      <c r="AG209" s="552">
        <v>0</v>
      </c>
      <c r="AH209" s="552">
        <v>0</v>
      </c>
      <c r="AI209" s="552">
        <v>0</v>
      </c>
      <c r="AJ209" s="552">
        <v>0</v>
      </c>
    </row>
    <row r="210" spans="1:36" ht="15.95" customHeight="1">
      <c r="A210" s="547"/>
      <c r="B210" s="548">
        <v>366</v>
      </c>
      <c r="C210" s="549">
        <v>6971</v>
      </c>
      <c r="D210" s="550" t="s">
        <v>11689</v>
      </c>
      <c r="E210" s="550" t="s">
        <v>3986</v>
      </c>
      <c r="F210" s="550" t="s">
        <v>3987</v>
      </c>
      <c r="G210" s="550" t="s">
        <v>750</v>
      </c>
      <c r="H210" s="550" t="s">
        <v>232</v>
      </c>
      <c r="I210" s="550" t="s">
        <v>11</v>
      </c>
      <c r="J210" s="550" t="s">
        <v>11692</v>
      </c>
      <c r="K210" s="551">
        <v>45220</v>
      </c>
      <c r="L210" s="552">
        <v>2258</v>
      </c>
      <c r="M210" s="552">
        <v>2258</v>
      </c>
      <c r="N210" s="552">
        <v>2258</v>
      </c>
      <c r="O210" s="552"/>
      <c r="P210" s="552"/>
      <c r="Q210" s="548">
        <v>300</v>
      </c>
      <c r="R210" s="552">
        <v>677400</v>
      </c>
      <c r="S210" s="548">
        <v>30</v>
      </c>
      <c r="T210" s="552">
        <v>67740</v>
      </c>
      <c r="U210" s="548">
        <v>270</v>
      </c>
      <c r="V210" s="552">
        <v>609660</v>
      </c>
      <c r="W210" s="552">
        <v>0</v>
      </c>
      <c r="X210" s="552">
        <v>0</v>
      </c>
      <c r="Y210" s="552">
        <v>0</v>
      </c>
      <c r="Z210" s="552">
        <v>0</v>
      </c>
      <c r="AA210" s="552">
        <v>0</v>
      </c>
      <c r="AB210" s="552">
        <v>0</v>
      </c>
      <c r="AC210" s="552">
        <v>0</v>
      </c>
      <c r="AD210" s="552">
        <v>0</v>
      </c>
      <c r="AE210" s="552">
        <v>0</v>
      </c>
      <c r="AF210" s="552">
        <v>0</v>
      </c>
      <c r="AG210" s="552">
        <v>30</v>
      </c>
      <c r="AH210" s="552">
        <v>67740</v>
      </c>
      <c r="AI210" s="552">
        <v>0</v>
      </c>
      <c r="AJ210" s="552">
        <v>0</v>
      </c>
    </row>
    <row r="211" spans="1:36" ht="15.95" customHeight="1">
      <c r="A211" s="547"/>
      <c r="B211" s="548">
        <v>367</v>
      </c>
      <c r="C211" s="549">
        <v>6731</v>
      </c>
      <c r="D211" s="550" t="s">
        <v>11693</v>
      </c>
      <c r="E211" s="550" t="s">
        <v>3990</v>
      </c>
      <c r="F211" s="550" t="s">
        <v>2481</v>
      </c>
      <c r="G211" s="550" t="s">
        <v>1330</v>
      </c>
      <c r="H211" s="550" t="s">
        <v>1580</v>
      </c>
      <c r="I211" s="550" t="s">
        <v>520</v>
      </c>
      <c r="J211" s="550" t="s">
        <v>11694</v>
      </c>
      <c r="K211" s="551">
        <v>44985</v>
      </c>
      <c r="L211" s="552">
        <v>8900</v>
      </c>
      <c r="M211" s="552">
        <v>8900</v>
      </c>
      <c r="N211" s="552">
        <v>8900</v>
      </c>
      <c r="O211" s="552">
        <v>100</v>
      </c>
      <c r="P211" s="552">
        <v>890000</v>
      </c>
      <c r="Q211" s="548">
        <v>3</v>
      </c>
      <c r="R211" s="552">
        <v>26700</v>
      </c>
      <c r="S211" s="548">
        <v>103</v>
      </c>
      <c r="T211" s="552">
        <v>916700</v>
      </c>
      <c r="U211" s="548">
        <v>0</v>
      </c>
      <c r="V211" s="552">
        <v>0</v>
      </c>
      <c r="W211" s="552">
        <v>0</v>
      </c>
      <c r="X211" s="552">
        <v>0</v>
      </c>
      <c r="Y211" s="552">
        <v>103</v>
      </c>
      <c r="Z211" s="552">
        <v>916700</v>
      </c>
      <c r="AA211" s="552">
        <v>0</v>
      </c>
      <c r="AB211" s="552">
        <v>0</v>
      </c>
      <c r="AC211" s="552">
        <v>103</v>
      </c>
      <c r="AD211" s="552">
        <v>916700</v>
      </c>
      <c r="AE211" s="552">
        <v>0</v>
      </c>
      <c r="AF211" s="552">
        <v>0</v>
      </c>
      <c r="AG211" s="552">
        <v>0</v>
      </c>
      <c r="AH211" s="552">
        <v>0</v>
      </c>
      <c r="AI211" s="552">
        <v>0</v>
      </c>
      <c r="AJ211" s="552">
        <v>0</v>
      </c>
    </row>
    <row r="212" spans="1:36" ht="15.95" customHeight="1">
      <c r="A212" s="547"/>
      <c r="B212" s="548">
        <v>368</v>
      </c>
      <c r="C212" s="549">
        <v>6731</v>
      </c>
      <c r="D212" s="550" t="s">
        <v>11693</v>
      </c>
      <c r="E212" s="550" t="s">
        <v>3990</v>
      </c>
      <c r="F212" s="550" t="s">
        <v>2481</v>
      </c>
      <c r="G212" s="550" t="s">
        <v>1330</v>
      </c>
      <c r="H212" s="550" t="s">
        <v>1580</v>
      </c>
      <c r="I212" s="550" t="s">
        <v>520</v>
      </c>
      <c r="J212" s="550" t="s">
        <v>11695</v>
      </c>
      <c r="K212" s="551">
        <v>45381</v>
      </c>
      <c r="L212" s="552">
        <v>8900</v>
      </c>
      <c r="M212" s="552">
        <v>8900</v>
      </c>
      <c r="N212" s="552">
        <v>8900</v>
      </c>
      <c r="O212" s="552"/>
      <c r="P212" s="552"/>
      <c r="Q212" s="548">
        <v>500</v>
      </c>
      <c r="R212" s="552">
        <v>4450000</v>
      </c>
      <c r="S212" s="548">
        <v>44</v>
      </c>
      <c r="T212" s="552">
        <v>391600</v>
      </c>
      <c r="U212" s="548">
        <v>456</v>
      </c>
      <c r="V212" s="552">
        <v>4058400</v>
      </c>
      <c r="W212" s="552">
        <v>0</v>
      </c>
      <c r="X212" s="552">
        <v>0</v>
      </c>
      <c r="Y212" s="552">
        <v>39</v>
      </c>
      <c r="Z212" s="552">
        <v>347100</v>
      </c>
      <c r="AA212" s="552">
        <v>0</v>
      </c>
      <c r="AB212" s="552">
        <v>0</v>
      </c>
      <c r="AC212" s="552">
        <v>39</v>
      </c>
      <c r="AD212" s="552">
        <v>347100</v>
      </c>
      <c r="AE212" s="552">
        <v>0</v>
      </c>
      <c r="AF212" s="552">
        <v>0</v>
      </c>
      <c r="AG212" s="552">
        <v>5</v>
      </c>
      <c r="AH212" s="552">
        <v>44500</v>
      </c>
      <c r="AI212" s="552">
        <v>0</v>
      </c>
      <c r="AJ212" s="552">
        <v>0</v>
      </c>
    </row>
    <row r="213" spans="1:36" ht="15.95" customHeight="1">
      <c r="A213" s="547"/>
      <c r="B213" s="548">
        <v>369</v>
      </c>
      <c r="C213" s="549">
        <v>6731</v>
      </c>
      <c r="D213" s="550" t="s">
        <v>11693</v>
      </c>
      <c r="E213" s="550" t="s">
        <v>3990</v>
      </c>
      <c r="F213" s="550" t="s">
        <v>2481</v>
      </c>
      <c r="G213" s="550" t="s">
        <v>1330</v>
      </c>
      <c r="H213" s="550" t="s">
        <v>1580</v>
      </c>
      <c r="I213" s="550" t="s">
        <v>520</v>
      </c>
      <c r="J213" s="550" t="s">
        <v>3991</v>
      </c>
      <c r="K213" s="551">
        <v>44835</v>
      </c>
      <c r="L213" s="552">
        <v>8900</v>
      </c>
      <c r="M213" s="552">
        <v>8900</v>
      </c>
      <c r="N213" s="552">
        <v>8900</v>
      </c>
      <c r="O213" s="552">
        <v>171</v>
      </c>
      <c r="P213" s="552">
        <v>1521900</v>
      </c>
      <c r="Q213" s="548">
        <v>0</v>
      </c>
      <c r="R213" s="552">
        <v>0</v>
      </c>
      <c r="S213" s="548">
        <v>171</v>
      </c>
      <c r="T213" s="552">
        <v>1521900</v>
      </c>
      <c r="U213" s="548">
        <v>0</v>
      </c>
      <c r="V213" s="552">
        <v>0</v>
      </c>
      <c r="W213" s="552">
        <v>0</v>
      </c>
      <c r="X213" s="552">
        <v>0</v>
      </c>
      <c r="Y213" s="552">
        <v>171</v>
      </c>
      <c r="Z213" s="552">
        <v>1521900</v>
      </c>
      <c r="AA213" s="552">
        <v>0</v>
      </c>
      <c r="AB213" s="552">
        <v>0</v>
      </c>
      <c r="AC213" s="552">
        <v>171</v>
      </c>
      <c r="AD213" s="552">
        <v>1521900</v>
      </c>
      <c r="AE213" s="552">
        <v>0</v>
      </c>
      <c r="AF213" s="552">
        <v>0</v>
      </c>
      <c r="AG213" s="552">
        <v>0</v>
      </c>
      <c r="AH213" s="552">
        <v>0</v>
      </c>
      <c r="AI213" s="552">
        <v>0</v>
      </c>
      <c r="AJ213" s="552">
        <v>0</v>
      </c>
    </row>
    <row r="214" spans="1:36" ht="15.95" customHeight="1">
      <c r="A214" s="547"/>
      <c r="B214" s="548">
        <v>370</v>
      </c>
      <c r="C214" s="549">
        <v>6731</v>
      </c>
      <c r="D214" s="550" t="s">
        <v>11693</v>
      </c>
      <c r="E214" s="550" t="s">
        <v>3990</v>
      </c>
      <c r="F214" s="550" t="s">
        <v>2481</v>
      </c>
      <c r="G214" s="550" t="s">
        <v>1330</v>
      </c>
      <c r="H214" s="550" t="s">
        <v>1580</v>
      </c>
      <c r="I214" s="550" t="s">
        <v>520</v>
      </c>
      <c r="J214" s="550" t="s">
        <v>3992</v>
      </c>
      <c r="K214" s="551">
        <v>44835</v>
      </c>
      <c r="L214" s="552">
        <v>8900</v>
      </c>
      <c r="M214" s="552">
        <v>8900</v>
      </c>
      <c r="N214" s="552">
        <v>8900</v>
      </c>
      <c r="O214" s="552">
        <v>64</v>
      </c>
      <c r="P214" s="552">
        <v>569600</v>
      </c>
      <c r="Q214" s="548">
        <v>0</v>
      </c>
      <c r="R214" s="552">
        <v>0</v>
      </c>
      <c r="S214" s="548">
        <v>63</v>
      </c>
      <c r="T214" s="552">
        <v>560700</v>
      </c>
      <c r="U214" s="548">
        <v>1</v>
      </c>
      <c r="V214" s="552">
        <v>8900</v>
      </c>
      <c r="W214" s="552">
        <v>0</v>
      </c>
      <c r="X214" s="552">
        <v>0</v>
      </c>
      <c r="Y214" s="552">
        <v>63</v>
      </c>
      <c r="Z214" s="552">
        <v>560700</v>
      </c>
      <c r="AA214" s="552">
        <v>0</v>
      </c>
      <c r="AB214" s="552">
        <v>0</v>
      </c>
      <c r="AC214" s="552">
        <v>63</v>
      </c>
      <c r="AD214" s="552">
        <v>560700</v>
      </c>
      <c r="AE214" s="552">
        <v>0</v>
      </c>
      <c r="AF214" s="552">
        <v>0</v>
      </c>
      <c r="AG214" s="552">
        <v>0</v>
      </c>
      <c r="AH214" s="552">
        <v>0</v>
      </c>
      <c r="AI214" s="552">
        <v>0</v>
      </c>
      <c r="AJ214" s="552">
        <v>0</v>
      </c>
    </row>
    <row r="215" spans="1:36" ht="15.95" customHeight="1">
      <c r="A215" s="547"/>
      <c r="B215" s="548">
        <v>373</v>
      </c>
      <c r="C215" s="549">
        <v>7597</v>
      </c>
      <c r="D215" s="550" t="s">
        <v>11696</v>
      </c>
      <c r="E215" s="550" t="s">
        <v>8009</v>
      </c>
      <c r="F215" s="550" t="s">
        <v>2950</v>
      </c>
      <c r="G215" s="550" t="s">
        <v>2482</v>
      </c>
      <c r="H215" s="550" t="s">
        <v>2483</v>
      </c>
      <c r="I215" s="550" t="s">
        <v>13</v>
      </c>
      <c r="J215" s="550" t="s">
        <v>11697</v>
      </c>
      <c r="K215" s="551">
        <v>45419</v>
      </c>
      <c r="L215" s="552">
        <v>5460</v>
      </c>
      <c r="M215" s="552">
        <v>5460</v>
      </c>
      <c r="N215" s="552">
        <v>5460</v>
      </c>
      <c r="O215" s="552"/>
      <c r="P215" s="552"/>
      <c r="Q215" s="548">
        <v>11250</v>
      </c>
      <c r="R215" s="552">
        <v>61425000</v>
      </c>
      <c r="S215" s="548">
        <v>550</v>
      </c>
      <c r="T215" s="552">
        <v>3003000</v>
      </c>
      <c r="U215" s="548">
        <v>10700</v>
      </c>
      <c r="V215" s="552">
        <v>58422000</v>
      </c>
      <c r="W215" s="552">
        <v>3</v>
      </c>
      <c r="X215" s="552">
        <v>16380</v>
      </c>
      <c r="Y215" s="552">
        <v>550</v>
      </c>
      <c r="Z215" s="552">
        <v>3003000</v>
      </c>
      <c r="AA215" s="552">
        <v>0</v>
      </c>
      <c r="AB215" s="552">
        <v>0</v>
      </c>
      <c r="AC215" s="552">
        <v>550</v>
      </c>
      <c r="AD215" s="552">
        <v>3003000</v>
      </c>
      <c r="AE215" s="552">
        <v>0</v>
      </c>
      <c r="AF215" s="552">
        <v>0</v>
      </c>
      <c r="AG215" s="552">
        <v>0</v>
      </c>
      <c r="AH215" s="552">
        <v>0</v>
      </c>
      <c r="AI215" s="552">
        <v>0</v>
      </c>
      <c r="AJ215" s="552">
        <v>0</v>
      </c>
    </row>
    <row r="216" spans="1:36" ht="15.95" customHeight="1">
      <c r="A216" s="547"/>
      <c r="B216" s="548">
        <v>374</v>
      </c>
      <c r="C216" s="549">
        <v>5694</v>
      </c>
      <c r="D216" s="550"/>
      <c r="E216" s="550" t="s">
        <v>11698</v>
      </c>
      <c r="F216" s="550" t="s">
        <v>1152</v>
      </c>
      <c r="G216" s="550" t="s">
        <v>9825</v>
      </c>
      <c r="H216" s="550" t="s">
        <v>9828</v>
      </c>
      <c r="I216" s="550" t="s">
        <v>11</v>
      </c>
      <c r="J216" s="550" t="s">
        <v>4093</v>
      </c>
      <c r="K216" s="551">
        <v>44487</v>
      </c>
      <c r="L216" s="552">
        <v>1600</v>
      </c>
      <c r="M216" s="552">
        <v>1600</v>
      </c>
      <c r="N216" s="552">
        <v>1600</v>
      </c>
      <c r="O216" s="552">
        <v>1713</v>
      </c>
      <c r="P216" s="552">
        <v>2740800</v>
      </c>
      <c r="Q216" s="548">
        <v>0</v>
      </c>
      <c r="R216" s="552">
        <v>0</v>
      </c>
      <c r="S216" s="548">
        <v>1712</v>
      </c>
      <c r="T216" s="552">
        <v>2739200</v>
      </c>
      <c r="U216" s="548">
        <v>1</v>
      </c>
      <c r="V216" s="552">
        <v>1600</v>
      </c>
      <c r="W216" s="552">
        <v>31</v>
      </c>
      <c r="X216" s="552">
        <v>49600</v>
      </c>
      <c r="Y216" s="552">
        <v>1712</v>
      </c>
      <c r="Z216" s="552">
        <v>2739200</v>
      </c>
      <c r="AA216" s="552">
        <v>1712</v>
      </c>
      <c r="AB216" s="552">
        <v>2739200</v>
      </c>
      <c r="AC216" s="552">
        <v>0</v>
      </c>
      <c r="AD216" s="552">
        <v>0</v>
      </c>
      <c r="AE216" s="552">
        <v>0</v>
      </c>
      <c r="AF216" s="552">
        <v>0</v>
      </c>
      <c r="AG216" s="552">
        <v>0</v>
      </c>
      <c r="AH216" s="552">
        <v>0</v>
      </c>
      <c r="AI216" s="552">
        <v>0</v>
      </c>
      <c r="AJ216" s="552">
        <v>0</v>
      </c>
    </row>
    <row r="217" spans="1:36" ht="15.95" customHeight="1">
      <c r="A217" s="547"/>
      <c r="B217" s="548">
        <v>375</v>
      </c>
      <c r="C217" s="549">
        <v>5694</v>
      </c>
      <c r="D217" s="550"/>
      <c r="E217" s="550" t="s">
        <v>11698</v>
      </c>
      <c r="F217" s="550" t="s">
        <v>1152</v>
      </c>
      <c r="G217" s="550" t="s">
        <v>9825</v>
      </c>
      <c r="H217" s="550" t="s">
        <v>9828</v>
      </c>
      <c r="I217" s="550" t="s">
        <v>11</v>
      </c>
      <c r="J217" s="550" t="s">
        <v>4280</v>
      </c>
      <c r="K217" s="551">
        <v>44372</v>
      </c>
      <c r="L217" s="552">
        <v>1600</v>
      </c>
      <c r="M217" s="552">
        <v>1600</v>
      </c>
      <c r="N217" s="552">
        <v>1600</v>
      </c>
      <c r="O217" s="552">
        <v>204</v>
      </c>
      <c r="P217" s="552">
        <v>326400</v>
      </c>
      <c r="Q217" s="548">
        <v>0</v>
      </c>
      <c r="R217" s="552">
        <v>0</v>
      </c>
      <c r="S217" s="548">
        <v>204</v>
      </c>
      <c r="T217" s="552">
        <v>326400</v>
      </c>
      <c r="U217" s="548">
        <v>0</v>
      </c>
      <c r="V217" s="552">
        <v>0</v>
      </c>
      <c r="W217" s="552">
        <v>0</v>
      </c>
      <c r="X217" s="552">
        <v>0</v>
      </c>
      <c r="Y217" s="552">
        <v>204</v>
      </c>
      <c r="Z217" s="552">
        <v>326400</v>
      </c>
      <c r="AA217" s="552">
        <v>204</v>
      </c>
      <c r="AB217" s="552">
        <v>326400</v>
      </c>
      <c r="AC217" s="552">
        <v>0</v>
      </c>
      <c r="AD217" s="552">
        <v>0</v>
      </c>
      <c r="AE217" s="552">
        <v>0</v>
      </c>
      <c r="AF217" s="552">
        <v>0</v>
      </c>
      <c r="AG217" s="552">
        <v>0</v>
      </c>
      <c r="AH217" s="552">
        <v>0</v>
      </c>
      <c r="AI217" s="552">
        <v>0</v>
      </c>
      <c r="AJ217" s="552">
        <v>0</v>
      </c>
    </row>
    <row r="218" spans="1:36" ht="15.95" customHeight="1">
      <c r="A218" s="547"/>
      <c r="B218" s="548">
        <v>376</v>
      </c>
      <c r="C218" s="549">
        <v>6771</v>
      </c>
      <c r="D218" s="550" t="s">
        <v>11699</v>
      </c>
      <c r="E218" s="550" t="s">
        <v>3994</v>
      </c>
      <c r="F218" s="550" t="s">
        <v>3995</v>
      </c>
      <c r="G218" s="550" t="s">
        <v>634</v>
      </c>
      <c r="H218" s="550" t="s">
        <v>235</v>
      </c>
      <c r="I218" s="550" t="s">
        <v>11</v>
      </c>
      <c r="J218" s="550" t="s">
        <v>3996</v>
      </c>
      <c r="K218" s="551">
        <v>45159</v>
      </c>
      <c r="L218" s="552">
        <v>1590</v>
      </c>
      <c r="M218" s="552">
        <v>1590</v>
      </c>
      <c r="N218" s="552">
        <v>1590</v>
      </c>
      <c r="O218" s="552">
        <v>2043</v>
      </c>
      <c r="P218" s="552">
        <v>3248370</v>
      </c>
      <c r="Q218" s="548">
        <v>23</v>
      </c>
      <c r="R218" s="552">
        <v>36570</v>
      </c>
      <c r="S218" s="548">
        <v>2065</v>
      </c>
      <c r="T218" s="552">
        <v>3283350</v>
      </c>
      <c r="U218" s="548">
        <v>1</v>
      </c>
      <c r="V218" s="552">
        <v>1590</v>
      </c>
      <c r="W218" s="552">
        <v>994</v>
      </c>
      <c r="X218" s="552">
        <v>1580460</v>
      </c>
      <c r="Y218" s="552">
        <v>2065</v>
      </c>
      <c r="Z218" s="552">
        <v>3283350</v>
      </c>
      <c r="AA218" s="552">
        <v>700</v>
      </c>
      <c r="AB218" s="552">
        <v>1113000</v>
      </c>
      <c r="AC218" s="552">
        <v>1365</v>
      </c>
      <c r="AD218" s="552">
        <v>2170350</v>
      </c>
      <c r="AE218" s="552">
        <v>0</v>
      </c>
      <c r="AF218" s="552">
        <v>0</v>
      </c>
      <c r="AG218" s="552">
        <v>0</v>
      </c>
      <c r="AH218" s="552">
        <v>0</v>
      </c>
      <c r="AI218" s="552">
        <v>0</v>
      </c>
      <c r="AJ218" s="552">
        <v>0</v>
      </c>
    </row>
    <row r="219" spans="1:36" ht="15.95" customHeight="1">
      <c r="A219" s="547"/>
      <c r="B219" s="548">
        <v>377</v>
      </c>
      <c r="C219" s="549">
        <v>6771</v>
      </c>
      <c r="D219" s="550" t="s">
        <v>11699</v>
      </c>
      <c r="E219" s="550" t="s">
        <v>3994</v>
      </c>
      <c r="F219" s="550" t="s">
        <v>3995</v>
      </c>
      <c r="G219" s="550" t="s">
        <v>634</v>
      </c>
      <c r="H219" s="550" t="s">
        <v>235</v>
      </c>
      <c r="I219" s="550" t="s">
        <v>11</v>
      </c>
      <c r="J219" s="550" t="s">
        <v>11700</v>
      </c>
      <c r="K219" s="551">
        <v>45425</v>
      </c>
      <c r="L219" s="552">
        <v>1590</v>
      </c>
      <c r="M219" s="552">
        <v>1590</v>
      </c>
      <c r="N219" s="552">
        <v>1590</v>
      </c>
      <c r="O219" s="552"/>
      <c r="P219" s="552"/>
      <c r="Q219" s="548">
        <v>6010</v>
      </c>
      <c r="R219" s="552">
        <v>9555900</v>
      </c>
      <c r="S219" s="548">
        <v>6008</v>
      </c>
      <c r="T219" s="552">
        <v>9552720</v>
      </c>
      <c r="U219" s="548">
        <v>2</v>
      </c>
      <c r="V219" s="552">
        <v>3180</v>
      </c>
      <c r="W219" s="552">
        <v>3553</v>
      </c>
      <c r="X219" s="552">
        <v>5649270</v>
      </c>
      <c r="Y219" s="552">
        <v>6008</v>
      </c>
      <c r="Z219" s="552">
        <v>9552720</v>
      </c>
      <c r="AA219" s="552">
        <v>0</v>
      </c>
      <c r="AB219" s="552">
        <v>0</v>
      </c>
      <c r="AC219" s="552">
        <v>6008</v>
      </c>
      <c r="AD219" s="552">
        <v>9552720</v>
      </c>
      <c r="AE219" s="552">
        <v>0</v>
      </c>
      <c r="AF219" s="552">
        <v>0</v>
      </c>
      <c r="AG219" s="552">
        <v>0</v>
      </c>
      <c r="AH219" s="552">
        <v>0</v>
      </c>
      <c r="AI219" s="552">
        <v>0</v>
      </c>
      <c r="AJ219" s="552">
        <v>0</v>
      </c>
    </row>
    <row r="220" spans="1:36" ht="15.95" customHeight="1">
      <c r="A220" s="547"/>
      <c r="B220" s="548">
        <v>378</v>
      </c>
      <c r="C220" s="549">
        <v>6771</v>
      </c>
      <c r="D220" s="550" t="s">
        <v>11699</v>
      </c>
      <c r="E220" s="550" t="s">
        <v>3994</v>
      </c>
      <c r="F220" s="550" t="s">
        <v>3995</v>
      </c>
      <c r="G220" s="550" t="s">
        <v>634</v>
      </c>
      <c r="H220" s="550" t="s">
        <v>235</v>
      </c>
      <c r="I220" s="550" t="s">
        <v>11</v>
      </c>
      <c r="J220" s="550" t="s">
        <v>11701</v>
      </c>
      <c r="K220" s="551">
        <v>45453</v>
      </c>
      <c r="L220" s="552">
        <v>1590</v>
      </c>
      <c r="M220" s="552">
        <v>1590</v>
      </c>
      <c r="N220" s="552">
        <v>1590</v>
      </c>
      <c r="O220" s="552"/>
      <c r="P220" s="552"/>
      <c r="Q220" s="548">
        <v>8001</v>
      </c>
      <c r="R220" s="552">
        <v>12721590</v>
      </c>
      <c r="S220" s="548">
        <v>503</v>
      </c>
      <c r="T220" s="552">
        <v>799770</v>
      </c>
      <c r="U220" s="548">
        <v>7498</v>
      </c>
      <c r="V220" s="552">
        <v>11921820</v>
      </c>
      <c r="W220" s="552">
        <v>0</v>
      </c>
      <c r="X220" s="552">
        <v>0</v>
      </c>
      <c r="Y220" s="552">
        <v>494</v>
      </c>
      <c r="Z220" s="552">
        <v>785460</v>
      </c>
      <c r="AA220" s="552">
        <v>0</v>
      </c>
      <c r="AB220" s="552">
        <v>0</v>
      </c>
      <c r="AC220" s="552">
        <v>494</v>
      </c>
      <c r="AD220" s="552">
        <v>785460</v>
      </c>
      <c r="AE220" s="552">
        <v>0</v>
      </c>
      <c r="AF220" s="552">
        <v>0</v>
      </c>
      <c r="AG220" s="552">
        <v>9</v>
      </c>
      <c r="AH220" s="552">
        <v>14310</v>
      </c>
      <c r="AI220" s="552">
        <v>0</v>
      </c>
      <c r="AJ220" s="552">
        <v>0</v>
      </c>
    </row>
    <row r="221" spans="1:36" ht="15.95" customHeight="1">
      <c r="A221" s="547"/>
      <c r="B221" s="548">
        <v>382</v>
      </c>
      <c r="C221" s="549">
        <v>6772</v>
      </c>
      <c r="D221" s="550" t="s">
        <v>11702</v>
      </c>
      <c r="E221" s="550" t="s">
        <v>3997</v>
      </c>
      <c r="F221" s="550" t="s">
        <v>3998</v>
      </c>
      <c r="G221" s="550" t="s">
        <v>634</v>
      </c>
      <c r="H221" s="550" t="s">
        <v>235</v>
      </c>
      <c r="I221" s="550" t="s">
        <v>11</v>
      </c>
      <c r="J221" s="550" t="s">
        <v>11703</v>
      </c>
      <c r="K221" s="551">
        <v>45281</v>
      </c>
      <c r="L221" s="552">
        <v>315</v>
      </c>
      <c r="M221" s="552">
        <v>315</v>
      </c>
      <c r="N221" s="552">
        <v>315</v>
      </c>
      <c r="O221" s="552"/>
      <c r="P221" s="552"/>
      <c r="Q221" s="548">
        <v>6800</v>
      </c>
      <c r="R221" s="552">
        <v>2142000</v>
      </c>
      <c r="S221" s="548">
        <v>6800</v>
      </c>
      <c r="T221" s="552">
        <v>2142000</v>
      </c>
      <c r="U221" s="548">
        <v>0</v>
      </c>
      <c r="V221" s="552">
        <v>0</v>
      </c>
      <c r="W221" s="552">
        <v>4800</v>
      </c>
      <c r="X221" s="552">
        <v>1512000</v>
      </c>
      <c r="Y221" s="552">
        <v>6800</v>
      </c>
      <c r="Z221" s="552">
        <v>2142000</v>
      </c>
      <c r="AA221" s="552">
        <v>0</v>
      </c>
      <c r="AB221" s="552">
        <v>0</v>
      </c>
      <c r="AC221" s="552">
        <v>6800</v>
      </c>
      <c r="AD221" s="552">
        <v>2142000</v>
      </c>
      <c r="AE221" s="552">
        <v>0</v>
      </c>
      <c r="AF221" s="552">
        <v>0</v>
      </c>
      <c r="AG221" s="552">
        <v>0</v>
      </c>
      <c r="AH221" s="552">
        <v>0</v>
      </c>
      <c r="AI221" s="552">
        <v>0</v>
      </c>
      <c r="AJ221" s="552">
        <v>0</v>
      </c>
    </row>
    <row r="222" spans="1:36" ht="15.95" customHeight="1">
      <c r="A222" s="547"/>
      <c r="B222" s="548">
        <v>383</v>
      </c>
      <c r="C222" s="549">
        <v>7033</v>
      </c>
      <c r="D222" s="550" t="s">
        <v>11704</v>
      </c>
      <c r="E222" s="550" t="s">
        <v>3999</v>
      </c>
      <c r="F222" s="550" t="s">
        <v>4000</v>
      </c>
      <c r="G222" s="550" t="s">
        <v>1780</v>
      </c>
      <c r="H222" s="550" t="s">
        <v>267</v>
      </c>
      <c r="I222" s="550" t="s">
        <v>11</v>
      </c>
      <c r="J222" s="550" t="s">
        <v>4001</v>
      </c>
      <c r="K222" s="551">
        <v>44835</v>
      </c>
      <c r="L222" s="552">
        <v>838</v>
      </c>
      <c r="M222" s="552">
        <v>838</v>
      </c>
      <c r="N222" s="552">
        <v>838</v>
      </c>
      <c r="O222" s="552">
        <v>409</v>
      </c>
      <c r="P222" s="552">
        <v>342742</v>
      </c>
      <c r="Q222" s="548">
        <v>6</v>
      </c>
      <c r="R222" s="552">
        <v>5028</v>
      </c>
      <c r="S222" s="548">
        <v>415</v>
      </c>
      <c r="T222" s="552">
        <v>347770</v>
      </c>
      <c r="U222" s="548">
        <v>0</v>
      </c>
      <c r="V222" s="552">
        <v>0</v>
      </c>
      <c r="W222" s="552">
        <v>0</v>
      </c>
      <c r="X222" s="552">
        <v>0</v>
      </c>
      <c r="Y222" s="552">
        <v>415</v>
      </c>
      <c r="Z222" s="552">
        <v>347770</v>
      </c>
      <c r="AA222" s="552">
        <v>0</v>
      </c>
      <c r="AB222" s="552">
        <v>0</v>
      </c>
      <c r="AC222" s="552">
        <v>415</v>
      </c>
      <c r="AD222" s="552">
        <v>347770</v>
      </c>
      <c r="AE222" s="552">
        <v>0</v>
      </c>
      <c r="AF222" s="552">
        <v>0</v>
      </c>
      <c r="AG222" s="552">
        <v>0</v>
      </c>
      <c r="AH222" s="552">
        <v>0</v>
      </c>
      <c r="AI222" s="552">
        <v>0</v>
      </c>
      <c r="AJ222" s="552">
        <v>0</v>
      </c>
    </row>
    <row r="223" spans="1:36" ht="15.95" customHeight="1">
      <c r="A223" s="547"/>
      <c r="B223" s="548">
        <v>384</v>
      </c>
      <c r="C223" s="549">
        <v>5383</v>
      </c>
      <c r="D223" s="550"/>
      <c r="E223" s="550" t="s">
        <v>3999</v>
      </c>
      <c r="F223" s="550" t="s">
        <v>1025</v>
      </c>
      <c r="G223" s="550" t="s">
        <v>1780</v>
      </c>
      <c r="H223" s="550" t="s">
        <v>267</v>
      </c>
      <c r="I223" s="550" t="s">
        <v>10</v>
      </c>
      <c r="J223" s="550" t="s">
        <v>4002</v>
      </c>
      <c r="K223" s="551">
        <v>44378</v>
      </c>
      <c r="L223" s="552">
        <v>838</v>
      </c>
      <c r="M223" s="552">
        <v>838</v>
      </c>
      <c r="N223" s="552">
        <v>838</v>
      </c>
      <c r="O223" s="552">
        <v>2657</v>
      </c>
      <c r="P223" s="552">
        <v>2226566</v>
      </c>
      <c r="Q223" s="548">
        <v>0</v>
      </c>
      <c r="R223" s="552">
        <v>0</v>
      </c>
      <c r="S223" s="548">
        <v>2657</v>
      </c>
      <c r="T223" s="552">
        <v>2226566</v>
      </c>
      <c r="U223" s="548">
        <v>0</v>
      </c>
      <c r="V223" s="552">
        <v>0</v>
      </c>
      <c r="W223" s="552">
        <v>826</v>
      </c>
      <c r="X223" s="552">
        <v>692188</v>
      </c>
      <c r="Y223" s="552">
        <v>2657</v>
      </c>
      <c r="Z223" s="552">
        <v>2226566</v>
      </c>
      <c r="AA223" s="552">
        <v>2657</v>
      </c>
      <c r="AB223" s="552">
        <v>2226566</v>
      </c>
      <c r="AC223" s="552">
        <v>0</v>
      </c>
      <c r="AD223" s="552">
        <v>0</v>
      </c>
      <c r="AE223" s="552">
        <v>0</v>
      </c>
      <c r="AF223" s="552">
        <v>0</v>
      </c>
      <c r="AG223" s="552">
        <v>0</v>
      </c>
      <c r="AH223" s="552">
        <v>0</v>
      </c>
      <c r="AI223" s="552">
        <v>0</v>
      </c>
      <c r="AJ223" s="552">
        <v>0</v>
      </c>
    </row>
    <row r="224" spans="1:36" ht="15.95" customHeight="1">
      <c r="A224" s="547"/>
      <c r="B224" s="548">
        <v>385</v>
      </c>
      <c r="C224" s="549">
        <v>5385</v>
      </c>
      <c r="D224" s="550"/>
      <c r="E224" s="550" t="s">
        <v>4003</v>
      </c>
      <c r="F224" s="550" t="s">
        <v>1020</v>
      </c>
      <c r="G224" s="550" t="s">
        <v>1780</v>
      </c>
      <c r="H224" s="550" t="s">
        <v>1021</v>
      </c>
      <c r="I224" s="550" t="s">
        <v>18</v>
      </c>
      <c r="J224" s="550" t="s">
        <v>4004</v>
      </c>
      <c r="K224" s="551">
        <v>44378</v>
      </c>
      <c r="L224" s="552">
        <v>53300</v>
      </c>
      <c r="M224" s="552">
        <v>53300</v>
      </c>
      <c r="N224" s="552">
        <v>53300</v>
      </c>
      <c r="O224" s="552">
        <v>578</v>
      </c>
      <c r="P224" s="552">
        <v>30807400</v>
      </c>
      <c r="Q224" s="548">
        <v>0</v>
      </c>
      <c r="R224" s="552">
        <v>0</v>
      </c>
      <c r="S224" s="548">
        <v>578</v>
      </c>
      <c r="T224" s="552">
        <v>30807400</v>
      </c>
      <c r="U224" s="548">
        <v>0</v>
      </c>
      <c r="V224" s="552">
        <v>0</v>
      </c>
      <c r="W224" s="552">
        <v>187</v>
      </c>
      <c r="X224" s="552">
        <v>9967100</v>
      </c>
      <c r="Y224" s="552">
        <v>578</v>
      </c>
      <c r="Z224" s="552">
        <v>30807400</v>
      </c>
      <c r="AA224" s="552">
        <v>386</v>
      </c>
      <c r="AB224" s="552">
        <v>20573800</v>
      </c>
      <c r="AC224" s="552">
        <v>192</v>
      </c>
      <c r="AD224" s="552">
        <v>10233600</v>
      </c>
      <c r="AE224" s="552">
        <v>0</v>
      </c>
      <c r="AF224" s="552">
        <v>0</v>
      </c>
      <c r="AG224" s="552">
        <v>0</v>
      </c>
      <c r="AH224" s="552">
        <v>0</v>
      </c>
      <c r="AI224" s="552">
        <v>0</v>
      </c>
      <c r="AJ224" s="552">
        <v>0</v>
      </c>
    </row>
    <row r="225" spans="1:36" ht="15.95" customHeight="1">
      <c r="A225" s="547"/>
      <c r="B225" s="548">
        <v>387</v>
      </c>
      <c r="C225" s="549">
        <v>6854</v>
      </c>
      <c r="D225" s="550" t="s">
        <v>11705</v>
      </c>
      <c r="E225" s="550" t="s">
        <v>4009</v>
      </c>
      <c r="F225" s="550" t="s">
        <v>4010</v>
      </c>
      <c r="G225" s="550" t="s">
        <v>4011</v>
      </c>
      <c r="H225" s="550" t="s">
        <v>4012</v>
      </c>
      <c r="I225" s="550" t="s">
        <v>3670</v>
      </c>
      <c r="J225" s="550" t="s">
        <v>11706</v>
      </c>
      <c r="K225" s="551">
        <v>45838</v>
      </c>
      <c r="L225" s="552">
        <v>47500</v>
      </c>
      <c r="M225" s="552">
        <v>47500</v>
      </c>
      <c r="N225" s="552">
        <v>47500</v>
      </c>
      <c r="O225" s="552"/>
      <c r="P225" s="552"/>
      <c r="Q225" s="548">
        <v>200</v>
      </c>
      <c r="R225" s="552">
        <v>9500000</v>
      </c>
      <c r="S225" s="548">
        <v>24</v>
      </c>
      <c r="T225" s="552">
        <v>1140000</v>
      </c>
      <c r="U225" s="548">
        <v>176</v>
      </c>
      <c r="V225" s="552">
        <v>8360000</v>
      </c>
      <c r="W225" s="552">
        <v>0</v>
      </c>
      <c r="X225" s="552">
        <v>0</v>
      </c>
      <c r="Y225" s="552">
        <v>24</v>
      </c>
      <c r="Z225" s="552">
        <v>1140000</v>
      </c>
      <c r="AA225" s="552">
        <v>24</v>
      </c>
      <c r="AB225" s="552">
        <v>1140000</v>
      </c>
      <c r="AC225" s="552">
        <v>0</v>
      </c>
      <c r="AD225" s="552">
        <v>0</v>
      </c>
      <c r="AE225" s="552">
        <v>0</v>
      </c>
      <c r="AF225" s="552">
        <v>0</v>
      </c>
      <c r="AG225" s="552">
        <v>0</v>
      </c>
      <c r="AH225" s="552">
        <v>0</v>
      </c>
      <c r="AI225" s="552">
        <v>0</v>
      </c>
      <c r="AJ225" s="552">
        <v>0</v>
      </c>
    </row>
    <row r="226" spans="1:36" ht="15.95" customHeight="1">
      <c r="A226" s="547"/>
      <c r="B226" s="548">
        <v>390</v>
      </c>
      <c r="C226" s="549">
        <v>5502</v>
      </c>
      <c r="D226" s="550"/>
      <c r="E226" s="550" t="s">
        <v>4013</v>
      </c>
      <c r="F226" s="550" t="s">
        <v>1338</v>
      </c>
      <c r="G226" s="550" t="s">
        <v>868</v>
      </c>
      <c r="H226" s="550" t="s">
        <v>869</v>
      </c>
      <c r="I226" s="550" t="s">
        <v>11</v>
      </c>
      <c r="J226" s="550" t="s">
        <v>4014</v>
      </c>
      <c r="K226" s="551">
        <v>44501</v>
      </c>
      <c r="L226" s="552">
        <v>263</v>
      </c>
      <c r="M226" s="552">
        <v>263</v>
      </c>
      <c r="N226" s="552">
        <v>263</v>
      </c>
      <c r="O226" s="552">
        <v>13700</v>
      </c>
      <c r="P226" s="552">
        <v>3603100</v>
      </c>
      <c r="Q226" s="548">
        <v>0</v>
      </c>
      <c r="R226" s="552">
        <v>0</v>
      </c>
      <c r="S226" s="548">
        <v>13611</v>
      </c>
      <c r="T226" s="552">
        <v>3579693</v>
      </c>
      <c r="U226" s="548">
        <v>89</v>
      </c>
      <c r="V226" s="552">
        <v>23407</v>
      </c>
      <c r="W226" s="552">
        <v>0</v>
      </c>
      <c r="X226" s="552">
        <v>0</v>
      </c>
      <c r="Y226" s="552">
        <v>16</v>
      </c>
      <c r="Z226" s="552">
        <v>4208</v>
      </c>
      <c r="AA226" s="552">
        <v>0</v>
      </c>
      <c r="AB226" s="552">
        <v>0</v>
      </c>
      <c r="AC226" s="552">
        <v>16</v>
      </c>
      <c r="AD226" s="552">
        <v>4208</v>
      </c>
      <c r="AE226" s="552">
        <v>0</v>
      </c>
      <c r="AF226" s="552">
        <v>0</v>
      </c>
      <c r="AG226" s="552">
        <v>13595</v>
      </c>
      <c r="AH226" s="552">
        <v>3575485</v>
      </c>
      <c r="AI226" s="552">
        <v>0</v>
      </c>
      <c r="AJ226" s="552">
        <v>0</v>
      </c>
    </row>
    <row r="227" spans="1:36" ht="15.95" customHeight="1">
      <c r="A227" s="547"/>
      <c r="B227" s="548">
        <v>391</v>
      </c>
      <c r="C227" s="549">
        <v>6792</v>
      </c>
      <c r="D227" s="550" t="s">
        <v>11707</v>
      </c>
      <c r="E227" s="550" t="s">
        <v>8353</v>
      </c>
      <c r="F227" s="550" t="s">
        <v>8354</v>
      </c>
      <c r="G227" s="550" t="s">
        <v>868</v>
      </c>
      <c r="H227" s="550" t="s">
        <v>1343</v>
      </c>
      <c r="I227" s="550" t="s">
        <v>11</v>
      </c>
      <c r="J227" s="550" t="s">
        <v>11658</v>
      </c>
      <c r="K227" s="551">
        <v>45391</v>
      </c>
      <c r="L227" s="552">
        <v>4900</v>
      </c>
      <c r="M227" s="552">
        <v>4900</v>
      </c>
      <c r="N227" s="552">
        <v>4900</v>
      </c>
      <c r="O227" s="552"/>
      <c r="P227" s="552"/>
      <c r="Q227" s="548">
        <v>5000</v>
      </c>
      <c r="R227" s="552">
        <v>24500000</v>
      </c>
      <c r="S227" s="548">
        <v>0</v>
      </c>
      <c r="T227" s="552">
        <v>0</v>
      </c>
      <c r="U227" s="548">
        <v>5000</v>
      </c>
      <c r="V227" s="552">
        <v>24500000</v>
      </c>
      <c r="W227" s="552">
        <v>0</v>
      </c>
      <c r="X227" s="552">
        <v>0</v>
      </c>
      <c r="Y227" s="552">
        <v>0</v>
      </c>
      <c r="Z227" s="552">
        <v>0</v>
      </c>
      <c r="AA227" s="552">
        <v>0</v>
      </c>
      <c r="AB227" s="552">
        <v>0</v>
      </c>
      <c r="AC227" s="552">
        <v>0</v>
      </c>
      <c r="AD227" s="552">
        <v>0</v>
      </c>
      <c r="AE227" s="552">
        <v>0</v>
      </c>
      <c r="AF227" s="552">
        <v>0</v>
      </c>
      <c r="AG227" s="552">
        <v>0</v>
      </c>
      <c r="AH227" s="552">
        <v>0</v>
      </c>
      <c r="AI227" s="552">
        <v>0</v>
      </c>
      <c r="AJ227" s="552">
        <v>0</v>
      </c>
    </row>
    <row r="228" spans="1:36" ht="15.95" customHeight="1">
      <c r="A228" s="547"/>
      <c r="B228" s="548">
        <v>392</v>
      </c>
      <c r="C228" s="549">
        <v>6779</v>
      </c>
      <c r="D228" s="550" t="s">
        <v>11708</v>
      </c>
      <c r="E228" s="550" t="s">
        <v>4015</v>
      </c>
      <c r="F228" s="550" t="s">
        <v>4016</v>
      </c>
      <c r="G228" s="550" t="s">
        <v>4017</v>
      </c>
      <c r="H228" s="550" t="s">
        <v>327</v>
      </c>
      <c r="I228" s="550" t="s">
        <v>11</v>
      </c>
      <c r="J228" s="550" t="s">
        <v>11709</v>
      </c>
      <c r="K228" s="551">
        <v>45406</v>
      </c>
      <c r="L228" s="552">
        <v>1400</v>
      </c>
      <c r="M228" s="552">
        <v>1400</v>
      </c>
      <c r="N228" s="552">
        <v>1400</v>
      </c>
      <c r="O228" s="552"/>
      <c r="P228" s="552"/>
      <c r="Q228" s="548">
        <v>3000</v>
      </c>
      <c r="R228" s="552">
        <v>4200000</v>
      </c>
      <c r="S228" s="548">
        <v>0</v>
      </c>
      <c r="T228" s="552">
        <v>0</v>
      </c>
      <c r="U228" s="548">
        <v>3000</v>
      </c>
      <c r="V228" s="552">
        <v>4200000</v>
      </c>
      <c r="W228" s="552">
        <v>0</v>
      </c>
      <c r="X228" s="552">
        <v>0</v>
      </c>
      <c r="Y228" s="552">
        <v>0</v>
      </c>
      <c r="Z228" s="552">
        <v>0</v>
      </c>
      <c r="AA228" s="552">
        <v>0</v>
      </c>
      <c r="AB228" s="552">
        <v>0</v>
      </c>
      <c r="AC228" s="552">
        <v>0</v>
      </c>
      <c r="AD228" s="552">
        <v>0</v>
      </c>
      <c r="AE228" s="552">
        <v>0</v>
      </c>
      <c r="AF228" s="552">
        <v>0</v>
      </c>
      <c r="AG228" s="552">
        <v>0</v>
      </c>
      <c r="AH228" s="552">
        <v>0</v>
      </c>
      <c r="AI228" s="552">
        <v>0</v>
      </c>
      <c r="AJ228" s="552">
        <v>0</v>
      </c>
    </row>
    <row r="229" spans="1:36" ht="15.95" customHeight="1">
      <c r="A229" s="547"/>
      <c r="B229" s="548">
        <v>393</v>
      </c>
      <c r="C229" s="549">
        <v>6779</v>
      </c>
      <c r="D229" s="550" t="s">
        <v>11708</v>
      </c>
      <c r="E229" s="550" t="s">
        <v>4015</v>
      </c>
      <c r="F229" s="550" t="s">
        <v>4016</v>
      </c>
      <c r="G229" s="550" t="s">
        <v>4017</v>
      </c>
      <c r="H229" s="550" t="s">
        <v>327</v>
      </c>
      <c r="I229" s="550" t="s">
        <v>11</v>
      </c>
      <c r="J229" s="550" t="s">
        <v>4018</v>
      </c>
      <c r="K229" s="551">
        <v>44897</v>
      </c>
      <c r="L229" s="552">
        <v>1400</v>
      </c>
      <c r="M229" s="552">
        <v>1400</v>
      </c>
      <c r="N229" s="552">
        <v>1400</v>
      </c>
      <c r="O229" s="552">
        <v>5000</v>
      </c>
      <c r="P229" s="552">
        <v>7000000</v>
      </c>
      <c r="Q229" s="548">
        <v>0</v>
      </c>
      <c r="R229" s="552">
        <v>0</v>
      </c>
      <c r="S229" s="548">
        <v>5000</v>
      </c>
      <c r="T229" s="552">
        <v>7000000</v>
      </c>
      <c r="U229" s="548">
        <v>0</v>
      </c>
      <c r="V229" s="552">
        <v>0</v>
      </c>
      <c r="W229" s="552">
        <v>0</v>
      </c>
      <c r="X229" s="552">
        <v>0</v>
      </c>
      <c r="Y229" s="552">
        <v>5000</v>
      </c>
      <c r="Z229" s="552">
        <v>7000000</v>
      </c>
      <c r="AA229" s="552">
        <v>5000</v>
      </c>
      <c r="AB229" s="552">
        <v>7000000</v>
      </c>
      <c r="AC229" s="552">
        <v>0</v>
      </c>
      <c r="AD229" s="552">
        <v>0</v>
      </c>
      <c r="AE229" s="552">
        <v>0</v>
      </c>
      <c r="AF229" s="552">
        <v>0</v>
      </c>
      <c r="AG229" s="552">
        <v>0</v>
      </c>
      <c r="AH229" s="552">
        <v>0</v>
      </c>
      <c r="AI229" s="552">
        <v>0</v>
      </c>
      <c r="AJ229" s="552">
        <v>0</v>
      </c>
    </row>
    <row r="230" spans="1:36" ht="15.95" customHeight="1">
      <c r="A230" s="547"/>
      <c r="B230" s="548">
        <v>394</v>
      </c>
      <c r="C230" s="549">
        <v>6782</v>
      </c>
      <c r="D230" s="550" t="s">
        <v>11710</v>
      </c>
      <c r="E230" s="550" t="s">
        <v>3878</v>
      </c>
      <c r="F230" s="550" t="s">
        <v>6760</v>
      </c>
      <c r="G230" s="550" t="s">
        <v>376</v>
      </c>
      <c r="H230" s="550" t="s">
        <v>550</v>
      </c>
      <c r="I230" s="550" t="s">
        <v>11</v>
      </c>
      <c r="J230" s="550" t="s">
        <v>11655</v>
      </c>
      <c r="K230" s="551">
        <v>45010</v>
      </c>
      <c r="L230" s="552">
        <v>2000</v>
      </c>
      <c r="M230" s="552">
        <v>2000</v>
      </c>
      <c r="N230" s="552">
        <v>2000</v>
      </c>
      <c r="O230" s="552"/>
      <c r="P230" s="552"/>
      <c r="Q230" s="548">
        <v>19980</v>
      </c>
      <c r="R230" s="552">
        <v>39960000</v>
      </c>
      <c r="S230" s="548">
        <v>0</v>
      </c>
      <c r="T230" s="552">
        <v>0</v>
      </c>
      <c r="U230" s="548">
        <v>19980</v>
      </c>
      <c r="V230" s="552">
        <v>39960000</v>
      </c>
      <c r="W230" s="552">
        <v>0</v>
      </c>
      <c r="X230" s="552">
        <v>0</v>
      </c>
      <c r="Y230" s="552">
        <v>0</v>
      </c>
      <c r="Z230" s="552">
        <v>0</v>
      </c>
      <c r="AA230" s="552">
        <v>0</v>
      </c>
      <c r="AB230" s="552">
        <v>0</v>
      </c>
      <c r="AC230" s="552">
        <v>0</v>
      </c>
      <c r="AD230" s="552">
        <v>0</v>
      </c>
      <c r="AE230" s="552">
        <v>0</v>
      </c>
      <c r="AF230" s="552">
        <v>0</v>
      </c>
      <c r="AG230" s="552">
        <v>0</v>
      </c>
      <c r="AH230" s="552">
        <v>0</v>
      </c>
      <c r="AI230" s="552">
        <v>0</v>
      </c>
      <c r="AJ230" s="552">
        <v>0</v>
      </c>
    </row>
    <row r="231" spans="1:36" ht="15.95" customHeight="1">
      <c r="A231" s="547"/>
      <c r="B231" s="548">
        <v>395</v>
      </c>
      <c r="C231" s="549">
        <v>6793</v>
      </c>
      <c r="D231" s="550" t="s">
        <v>11711</v>
      </c>
      <c r="E231" s="550" t="s">
        <v>4020</v>
      </c>
      <c r="F231" s="550" t="s">
        <v>1654</v>
      </c>
      <c r="G231" s="550" t="s">
        <v>868</v>
      </c>
      <c r="H231" s="550" t="s">
        <v>1340</v>
      </c>
      <c r="I231" s="550" t="s">
        <v>11</v>
      </c>
      <c r="J231" s="550" t="s">
        <v>11712</v>
      </c>
      <c r="K231" s="551">
        <v>45043</v>
      </c>
      <c r="L231" s="552">
        <v>875</v>
      </c>
      <c r="M231" s="552">
        <v>875</v>
      </c>
      <c r="N231" s="552">
        <v>875</v>
      </c>
      <c r="O231" s="552"/>
      <c r="P231" s="552"/>
      <c r="Q231" s="548">
        <v>10169</v>
      </c>
      <c r="R231" s="552">
        <v>8897875</v>
      </c>
      <c r="S231" s="548">
        <v>745</v>
      </c>
      <c r="T231" s="552">
        <v>651875</v>
      </c>
      <c r="U231" s="548">
        <v>9424</v>
      </c>
      <c r="V231" s="552">
        <v>8246000</v>
      </c>
      <c r="W231" s="552">
        <v>40</v>
      </c>
      <c r="X231" s="552">
        <v>35000</v>
      </c>
      <c r="Y231" s="552">
        <v>685</v>
      </c>
      <c r="Z231" s="552">
        <v>599375</v>
      </c>
      <c r="AA231" s="552">
        <v>367</v>
      </c>
      <c r="AB231" s="552">
        <v>321125</v>
      </c>
      <c r="AC231" s="552">
        <v>318</v>
      </c>
      <c r="AD231" s="552">
        <v>278250</v>
      </c>
      <c r="AE231" s="552">
        <v>0</v>
      </c>
      <c r="AF231" s="552">
        <v>0</v>
      </c>
      <c r="AG231" s="552">
        <v>60</v>
      </c>
      <c r="AH231" s="552">
        <v>52500</v>
      </c>
      <c r="AI231" s="552">
        <v>0</v>
      </c>
      <c r="AJ231" s="552">
        <v>0</v>
      </c>
    </row>
    <row r="232" spans="1:36" ht="15.95" customHeight="1">
      <c r="A232" s="547"/>
      <c r="B232" s="548">
        <v>396</v>
      </c>
      <c r="C232" s="549">
        <v>5549</v>
      </c>
      <c r="D232" s="550"/>
      <c r="E232" s="550" t="s">
        <v>4020</v>
      </c>
      <c r="F232" s="550" t="s">
        <v>1654</v>
      </c>
      <c r="G232" s="550" t="s">
        <v>1650</v>
      </c>
      <c r="H232" s="550" t="s">
        <v>1340</v>
      </c>
      <c r="I232" s="550" t="s">
        <v>10</v>
      </c>
      <c r="J232" s="550" t="s">
        <v>4021</v>
      </c>
      <c r="K232" s="551">
        <v>44307</v>
      </c>
      <c r="L232" s="552">
        <v>1400</v>
      </c>
      <c r="M232" s="552">
        <v>1400</v>
      </c>
      <c r="N232" s="552">
        <v>1400</v>
      </c>
      <c r="O232" s="552">
        <v>536</v>
      </c>
      <c r="P232" s="552">
        <v>750400</v>
      </c>
      <c r="Q232" s="548">
        <v>2</v>
      </c>
      <c r="R232" s="552">
        <v>2800</v>
      </c>
      <c r="S232" s="548">
        <v>538</v>
      </c>
      <c r="T232" s="552">
        <v>753200</v>
      </c>
      <c r="U232" s="548">
        <v>0</v>
      </c>
      <c r="V232" s="552">
        <v>0</v>
      </c>
      <c r="W232" s="552">
        <v>0</v>
      </c>
      <c r="X232" s="552">
        <v>0</v>
      </c>
      <c r="Y232" s="552">
        <v>476</v>
      </c>
      <c r="Z232" s="552">
        <v>666400</v>
      </c>
      <c r="AA232" s="552">
        <v>390</v>
      </c>
      <c r="AB232" s="552">
        <v>546000</v>
      </c>
      <c r="AC232" s="552">
        <v>86</v>
      </c>
      <c r="AD232" s="552">
        <v>120400</v>
      </c>
      <c r="AE232" s="552">
        <v>0</v>
      </c>
      <c r="AF232" s="552">
        <v>0</v>
      </c>
      <c r="AG232" s="552">
        <v>62</v>
      </c>
      <c r="AH232" s="552">
        <v>86800</v>
      </c>
      <c r="AI232" s="552">
        <v>0</v>
      </c>
      <c r="AJ232" s="552">
        <v>0</v>
      </c>
    </row>
    <row r="233" spans="1:36" ht="15.95" customHeight="1">
      <c r="A233" s="547"/>
      <c r="B233" s="548">
        <v>397</v>
      </c>
      <c r="C233" s="549">
        <v>5549</v>
      </c>
      <c r="D233" s="550"/>
      <c r="E233" s="550" t="s">
        <v>4020</v>
      </c>
      <c r="F233" s="550" t="s">
        <v>1654</v>
      </c>
      <c r="G233" s="550" t="s">
        <v>1650</v>
      </c>
      <c r="H233" s="550" t="s">
        <v>1340</v>
      </c>
      <c r="I233" s="550" t="s">
        <v>10</v>
      </c>
      <c r="J233" s="550" t="s">
        <v>4022</v>
      </c>
      <c r="K233" s="551">
        <v>44471</v>
      </c>
      <c r="L233" s="552">
        <v>1400</v>
      </c>
      <c r="M233" s="552">
        <v>1400</v>
      </c>
      <c r="N233" s="552">
        <v>1400</v>
      </c>
      <c r="O233" s="552">
        <v>3949</v>
      </c>
      <c r="P233" s="552">
        <v>5528600</v>
      </c>
      <c r="Q233" s="548">
        <v>0</v>
      </c>
      <c r="R233" s="552">
        <v>0</v>
      </c>
      <c r="S233" s="548">
        <v>3949</v>
      </c>
      <c r="T233" s="552">
        <v>5528600</v>
      </c>
      <c r="U233" s="548">
        <v>0</v>
      </c>
      <c r="V233" s="552">
        <v>0</v>
      </c>
      <c r="W233" s="552">
        <v>0</v>
      </c>
      <c r="X233" s="552">
        <v>0</v>
      </c>
      <c r="Y233" s="552">
        <v>3949</v>
      </c>
      <c r="Z233" s="552">
        <v>5528600</v>
      </c>
      <c r="AA233" s="552">
        <v>3949</v>
      </c>
      <c r="AB233" s="552">
        <v>5528600</v>
      </c>
      <c r="AC233" s="552">
        <v>0</v>
      </c>
      <c r="AD233" s="552">
        <v>0</v>
      </c>
      <c r="AE233" s="552">
        <v>0</v>
      </c>
      <c r="AF233" s="552">
        <v>0</v>
      </c>
      <c r="AG233" s="552">
        <v>0</v>
      </c>
      <c r="AH233" s="552">
        <v>0</v>
      </c>
      <c r="AI233" s="552">
        <v>0</v>
      </c>
      <c r="AJ233" s="552">
        <v>0</v>
      </c>
    </row>
    <row r="234" spans="1:36" ht="15.95" customHeight="1">
      <c r="A234" s="547"/>
      <c r="B234" s="548">
        <v>398</v>
      </c>
      <c r="C234" s="549">
        <v>5550</v>
      </c>
      <c r="D234" s="550"/>
      <c r="E234" s="550" t="s">
        <v>4023</v>
      </c>
      <c r="F234" s="550" t="s">
        <v>1656</v>
      </c>
      <c r="G234" s="550" t="s">
        <v>1650</v>
      </c>
      <c r="H234" s="550" t="s">
        <v>1343</v>
      </c>
      <c r="I234" s="550" t="s">
        <v>10</v>
      </c>
      <c r="J234" s="550" t="s">
        <v>4024</v>
      </c>
      <c r="K234" s="551">
        <v>44458</v>
      </c>
      <c r="L234" s="552">
        <v>2690</v>
      </c>
      <c r="M234" s="552">
        <v>2690</v>
      </c>
      <c r="N234" s="552">
        <v>2690</v>
      </c>
      <c r="O234" s="552">
        <v>134</v>
      </c>
      <c r="P234" s="552">
        <v>360460</v>
      </c>
      <c r="Q234" s="548">
        <v>0</v>
      </c>
      <c r="R234" s="552">
        <v>0</v>
      </c>
      <c r="S234" s="548">
        <v>134</v>
      </c>
      <c r="T234" s="552">
        <v>360460</v>
      </c>
      <c r="U234" s="548">
        <v>0</v>
      </c>
      <c r="V234" s="552">
        <v>0</v>
      </c>
      <c r="W234" s="552">
        <v>0</v>
      </c>
      <c r="X234" s="552">
        <v>0</v>
      </c>
      <c r="Y234" s="552">
        <v>134</v>
      </c>
      <c r="Z234" s="552">
        <v>360460</v>
      </c>
      <c r="AA234" s="552">
        <v>134</v>
      </c>
      <c r="AB234" s="552">
        <v>360460</v>
      </c>
      <c r="AC234" s="552">
        <v>0</v>
      </c>
      <c r="AD234" s="552">
        <v>0</v>
      </c>
      <c r="AE234" s="552">
        <v>0</v>
      </c>
      <c r="AF234" s="552">
        <v>0</v>
      </c>
      <c r="AG234" s="552">
        <v>0</v>
      </c>
      <c r="AH234" s="552">
        <v>0</v>
      </c>
      <c r="AI234" s="552">
        <v>0</v>
      </c>
      <c r="AJ234" s="552">
        <v>0</v>
      </c>
    </row>
    <row r="235" spans="1:36" ht="15.95" customHeight="1">
      <c r="A235" s="547"/>
      <c r="B235" s="548">
        <v>399</v>
      </c>
      <c r="C235" s="549">
        <v>5550</v>
      </c>
      <c r="D235" s="550"/>
      <c r="E235" s="550" t="s">
        <v>4023</v>
      </c>
      <c r="F235" s="550" t="s">
        <v>1656</v>
      </c>
      <c r="G235" s="550" t="s">
        <v>1650</v>
      </c>
      <c r="H235" s="550" t="s">
        <v>1343</v>
      </c>
      <c r="I235" s="550" t="s">
        <v>10</v>
      </c>
      <c r="J235" s="550" t="s">
        <v>4025</v>
      </c>
      <c r="K235" s="551">
        <v>44524</v>
      </c>
      <c r="L235" s="552">
        <v>2690</v>
      </c>
      <c r="M235" s="552">
        <v>2690</v>
      </c>
      <c r="N235" s="552">
        <v>2690</v>
      </c>
      <c r="O235" s="552">
        <v>5850</v>
      </c>
      <c r="P235" s="552">
        <v>15736500</v>
      </c>
      <c r="Q235" s="548">
        <v>0</v>
      </c>
      <c r="R235" s="552">
        <v>0</v>
      </c>
      <c r="S235" s="548">
        <v>5850</v>
      </c>
      <c r="T235" s="552">
        <v>15736500</v>
      </c>
      <c r="U235" s="548">
        <v>0</v>
      </c>
      <c r="V235" s="552">
        <v>0</v>
      </c>
      <c r="W235" s="552">
        <v>0</v>
      </c>
      <c r="X235" s="552">
        <v>0</v>
      </c>
      <c r="Y235" s="552">
        <v>5850</v>
      </c>
      <c r="Z235" s="552">
        <v>15736500</v>
      </c>
      <c r="AA235" s="552">
        <v>5850</v>
      </c>
      <c r="AB235" s="552">
        <v>15736500</v>
      </c>
      <c r="AC235" s="552">
        <v>0</v>
      </c>
      <c r="AD235" s="552">
        <v>0</v>
      </c>
      <c r="AE235" s="552">
        <v>0</v>
      </c>
      <c r="AF235" s="552">
        <v>0</v>
      </c>
      <c r="AG235" s="552">
        <v>0</v>
      </c>
      <c r="AH235" s="552">
        <v>0</v>
      </c>
      <c r="AI235" s="552">
        <v>0</v>
      </c>
      <c r="AJ235" s="552">
        <v>0</v>
      </c>
    </row>
    <row r="236" spans="1:36" ht="15.95" customHeight="1">
      <c r="A236" s="547"/>
      <c r="B236" s="548">
        <v>409</v>
      </c>
      <c r="C236" s="549">
        <v>7035</v>
      </c>
      <c r="D236" s="550" t="s">
        <v>11713</v>
      </c>
      <c r="E236" s="550" t="s">
        <v>4026</v>
      </c>
      <c r="F236" s="550" t="s">
        <v>4027</v>
      </c>
      <c r="G236" s="550" t="s">
        <v>1780</v>
      </c>
      <c r="H236" s="550" t="s">
        <v>1782</v>
      </c>
      <c r="I236" s="550" t="s">
        <v>15</v>
      </c>
      <c r="J236" s="550" t="s">
        <v>4028</v>
      </c>
      <c r="K236" s="551">
        <v>44863</v>
      </c>
      <c r="L236" s="552">
        <v>13650</v>
      </c>
      <c r="M236" s="552">
        <v>13650</v>
      </c>
      <c r="N236" s="552">
        <v>13650</v>
      </c>
      <c r="O236" s="552">
        <v>80</v>
      </c>
      <c r="P236" s="552">
        <v>1092000</v>
      </c>
      <c r="Q236" s="548">
        <v>0</v>
      </c>
      <c r="R236" s="552">
        <v>0</v>
      </c>
      <c r="S236" s="548">
        <v>28</v>
      </c>
      <c r="T236" s="552">
        <v>382200</v>
      </c>
      <c r="U236" s="548">
        <v>52</v>
      </c>
      <c r="V236" s="552">
        <v>709800</v>
      </c>
      <c r="W236" s="552">
        <v>1</v>
      </c>
      <c r="X236" s="552">
        <v>13650</v>
      </c>
      <c r="Y236" s="552">
        <v>28</v>
      </c>
      <c r="Z236" s="552">
        <v>382200</v>
      </c>
      <c r="AA236" s="552">
        <v>28</v>
      </c>
      <c r="AB236" s="552">
        <v>382200</v>
      </c>
      <c r="AC236" s="552">
        <v>0</v>
      </c>
      <c r="AD236" s="552">
        <v>0</v>
      </c>
      <c r="AE236" s="552">
        <v>0</v>
      </c>
      <c r="AF236" s="552">
        <v>0</v>
      </c>
      <c r="AG236" s="552">
        <v>0</v>
      </c>
      <c r="AH236" s="552">
        <v>0</v>
      </c>
      <c r="AI236" s="552">
        <v>0</v>
      </c>
      <c r="AJ236" s="552">
        <v>0</v>
      </c>
    </row>
    <row r="237" spans="1:36" ht="15.95" customHeight="1">
      <c r="A237" s="547"/>
      <c r="B237" s="548">
        <v>410</v>
      </c>
      <c r="C237" s="549">
        <v>6796</v>
      </c>
      <c r="D237" s="550" t="s">
        <v>11714</v>
      </c>
      <c r="E237" s="550" t="s">
        <v>7503</v>
      </c>
      <c r="F237" s="550" t="s">
        <v>7504</v>
      </c>
      <c r="G237" s="550" t="s">
        <v>1702</v>
      </c>
      <c r="H237" s="550" t="s">
        <v>327</v>
      </c>
      <c r="I237" s="550" t="s">
        <v>16</v>
      </c>
      <c r="J237" s="550" t="s">
        <v>11715</v>
      </c>
      <c r="K237" s="551">
        <v>45012</v>
      </c>
      <c r="L237" s="552">
        <v>248</v>
      </c>
      <c r="M237" s="552">
        <v>248</v>
      </c>
      <c r="N237" s="552">
        <v>248</v>
      </c>
      <c r="O237" s="552"/>
      <c r="P237" s="552"/>
      <c r="Q237" s="548">
        <v>3000</v>
      </c>
      <c r="R237" s="552">
        <v>744000</v>
      </c>
      <c r="S237" s="548">
        <v>3000</v>
      </c>
      <c r="T237" s="552">
        <v>744000</v>
      </c>
      <c r="U237" s="548">
        <v>0</v>
      </c>
      <c r="V237" s="552">
        <v>0</v>
      </c>
      <c r="W237" s="552">
        <v>0</v>
      </c>
      <c r="X237" s="552">
        <v>0</v>
      </c>
      <c r="Y237" s="552">
        <v>0</v>
      </c>
      <c r="Z237" s="552">
        <v>0</v>
      </c>
      <c r="AA237" s="552">
        <v>0</v>
      </c>
      <c r="AB237" s="552">
        <v>0</v>
      </c>
      <c r="AC237" s="552">
        <v>0</v>
      </c>
      <c r="AD237" s="552">
        <v>0</v>
      </c>
      <c r="AE237" s="552">
        <v>0</v>
      </c>
      <c r="AF237" s="552">
        <v>0</v>
      </c>
      <c r="AG237" s="552">
        <v>3000</v>
      </c>
      <c r="AH237" s="552">
        <v>744000</v>
      </c>
      <c r="AI237" s="552">
        <v>0</v>
      </c>
      <c r="AJ237" s="552">
        <v>0</v>
      </c>
    </row>
    <row r="238" spans="1:36" ht="15.95" customHeight="1">
      <c r="A238" s="547"/>
      <c r="B238" s="548">
        <v>411</v>
      </c>
      <c r="C238" s="549">
        <v>6796</v>
      </c>
      <c r="D238" s="550" t="s">
        <v>11714</v>
      </c>
      <c r="E238" s="550" t="s">
        <v>7503</v>
      </c>
      <c r="F238" s="550" t="s">
        <v>7504</v>
      </c>
      <c r="G238" s="550" t="s">
        <v>1702</v>
      </c>
      <c r="H238" s="550" t="s">
        <v>327</v>
      </c>
      <c r="I238" s="550" t="s">
        <v>16</v>
      </c>
      <c r="J238" s="550" t="s">
        <v>11716</v>
      </c>
      <c r="K238" s="551">
        <v>45069</v>
      </c>
      <c r="L238" s="552">
        <v>248</v>
      </c>
      <c r="M238" s="552">
        <v>248</v>
      </c>
      <c r="N238" s="552">
        <v>248</v>
      </c>
      <c r="O238" s="552"/>
      <c r="P238" s="552"/>
      <c r="Q238" s="548">
        <v>9600</v>
      </c>
      <c r="R238" s="552">
        <v>2380800</v>
      </c>
      <c r="S238" s="548">
        <v>9600</v>
      </c>
      <c r="T238" s="552">
        <v>2380800</v>
      </c>
      <c r="U238" s="548">
        <v>0</v>
      </c>
      <c r="V238" s="552">
        <v>0</v>
      </c>
      <c r="W238" s="552">
        <v>2660</v>
      </c>
      <c r="X238" s="552">
        <v>659680</v>
      </c>
      <c r="Y238" s="552">
        <v>3300</v>
      </c>
      <c r="Z238" s="552">
        <v>818400</v>
      </c>
      <c r="AA238" s="552">
        <v>0</v>
      </c>
      <c r="AB238" s="552">
        <v>0</v>
      </c>
      <c r="AC238" s="552">
        <v>3300</v>
      </c>
      <c r="AD238" s="552">
        <v>818400</v>
      </c>
      <c r="AE238" s="552">
        <v>0</v>
      </c>
      <c r="AF238" s="552">
        <v>0</v>
      </c>
      <c r="AG238" s="552">
        <v>6300</v>
      </c>
      <c r="AH238" s="552">
        <v>1562400</v>
      </c>
      <c r="AI238" s="552">
        <v>0</v>
      </c>
      <c r="AJ238" s="552">
        <v>0</v>
      </c>
    </row>
    <row r="239" spans="1:36" ht="15.95" customHeight="1">
      <c r="A239" s="547"/>
      <c r="B239" s="548">
        <v>412</v>
      </c>
      <c r="C239" s="549">
        <v>6796</v>
      </c>
      <c r="D239" s="550" t="s">
        <v>11714</v>
      </c>
      <c r="E239" s="550" t="s">
        <v>7503</v>
      </c>
      <c r="F239" s="550" t="s">
        <v>7504</v>
      </c>
      <c r="G239" s="550" t="s">
        <v>1702</v>
      </c>
      <c r="H239" s="550" t="s">
        <v>327</v>
      </c>
      <c r="I239" s="550" t="s">
        <v>16</v>
      </c>
      <c r="J239" s="550" t="s">
        <v>11717</v>
      </c>
      <c r="K239" s="551">
        <v>45177</v>
      </c>
      <c r="L239" s="552">
        <v>248</v>
      </c>
      <c r="M239" s="552">
        <v>248</v>
      </c>
      <c r="N239" s="552">
        <v>248</v>
      </c>
      <c r="O239" s="552"/>
      <c r="P239" s="552"/>
      <c r="Q239" s="548">
        <v>17402</v>
      </c>
      <c r="R239" s="552">
        <v>4315696</v>
      </c>
      <c r="S239" s="548">
        <v>12669</v>
      </c>
      <c r="T239" s="552">
        <v>3141912</v>
      </c>
      <c r="U239" s="548">
        <v>4733</v>
      </c>
      <c r="V239" s="552">
        <v>1173784</v>
      </c>
      <c r="W239" s="552">
        <v>606</v>
      </c>
      <c r="X239" s="552">
        <v>150288</v>
      </c>
      <c r="Y239" s="552">
        <v>4999</v>
      </c>
      <c r="Z239" s="552">
        <v>1239752</v>
      </c>
      <c r="AA239" s="552">
        <v>0</v>
      </c>
      <c r="AB239" s="552">
        <v>0</v>
      </c>
      <c r="AC239" s="552">
        <v>4999</v>
      </c>
      <c r="AD239" s="552">
        <v>1239752</v>
      </c>
      <c r="AE239" s="552">
        <v>0</v>
      </c>
      <c r="AF239" s="552">
        <v>0</v>
      </c>
      <c r="AG239" s="552">
        <v>7670</v>
      </c>
      <c r="AH239" s="552">
        <v>1902160</v>
      </c>
      <c r="AI239" s="552">
        <v>0</v>
      </c>
      <c r="AJ239" s="552">
        <v>0</v>
      </c>
    </row>
    <row r="240" spans="1:36" ht="15.95" customHeight="1">
      <c r="A240" s="547"/>
      <c r="B240" s="548">
        <v>413</v>
      </c>
      <c r="C240" s="549">
        <v>5345</v>
      </c>
      <c r="D240" s="550"/>
      <c r="E240" s="550" t="s">
        <v>4029</v>
      </c>
      <c r="F240" s="550" t="s">
        <v>1759</v>
      </c>
      <c r="G240" s="550" t="s">
        <v>1702</v>
      </c>
      <c r="H240" s="550" t="s">
        <v>327</v>
      </c>
      <c r="I240" s="550" t="s">
        <v>11</v>
      </c>
      <c r="J240" s="550" t="s">
        <v>4030</v>
      </c>
      <c r="K240" s="551">
        <v>44082</v>
      </c>
      <c r="L240" s="552">
        <v>1500</v>
      </c>
      <c r="M240" s="552">
        <v>1500</v>
      </c>
      <c r="N240" s="552">
        <v>1500</v>
      </c>
      <c r="O240" s="552">
        <v>13971</v>
      </c>
      <c r="P240" s="552">
        <v>20956500</v>
      </c>
      <c r="Q240" s="548">
        <v>0</v>
      </c>
      <c r="R240" s="552">
        <v>0</v>
      </c>
      <c r="S240" s="548">
        <v>13971</v>
      </c>
      <c r="T240" s="552">
        <v>20956500</v>
      </c>
      <c r="U240" s="548">
        <v>0</v>
      </c>
      <c r="V240" s="552">
        <v>0</v>
      </c>
      <c r="W240" s="552">
        <v>0</v>
      </c>
      <c r="X240" s="552">
        <v>0</v>
      </c>
      <c r="Y240" s="552">
        <v>955</v>
      </c>
      <c r="Z240" s="552">
        <v>1432500</v>
      </c>
      <c r="AA240" s="552">
        <v>955</v>
      </c>
      <c r="AB240" s="552">
        <v>1432500</v>
      </c>
      <c r="AC240" s="552">
        <v>0</v>
      </c>
      <c r="AD240" s="552">
        <v>0</v>
      </c>
      <c r="AE240" s="552">
        <v>0</v>
      </c>
      <c r="AF240" s="552">
        <v>0</v>
      </c>
      <c r="AG240" s="552">
        <v>13016</v>
      </c>
      <c r="AH240" s="552">
        <v>19524000</v>
      </c>
      <c r="AI240" s="552">
        <v>0</v>
      </c>
      <c r="AJ240" s="552">
        <v>0</v>
      </c>
    </row>
    <row r="241" spans="1:36" ht="15.95" customHeight="1">
      <c r="A241" s="547"/>
      <c r="B241" s="548">
        <v>414</v>
      </c>
      <c r="C241" s="549">
        <v>7598</v>
      </c>
      <c r="D241" s="550" t="s">
        <v>11718</v>
      </c>
      <c r="E241" s="550" t="s">
        <v>4029</v>
      </c>
      <c r="F241" s="550" t="s">
        <v>6636</v>
      </c>
      <c r="G241" s="550" t="s">
        <v>1702</v>
      </c>
      <c r="H241" s="550" t="s">
        <v>327</v>
      </c>
      <c r="I241" s="550" t="s">
        <v>11</v>
      </c>
      <c r="J241" s="550" t="s">
        <v>11719</v>
      </c>
      <c r="K241" s="551">
        <v>44812</v>
      </c>
      <c r="L241" s="552">
        <v>1100</v>
      </c>
      <c r="M241" s="552">
        <v>1100</v>
      </c>
      <c r="N241" s="552">
        <v>1100</v>
      </c>
      <c r="O241" s="552"/>
      <c r="P241" s="552"/>
      <c r="Q241" s="548">
        <v>13016</v>
      </c>
      <c r="R241" s="552">
        <v>14317600</v>
      </c>
      <c r="S241" s="548">
        <v>4920</v>
      </c>
      <c r="T241" s="552">
        <v>5412000</v>
      </c>
      <c r="U241" s="548">
        <v>8096</v>
      </c>
      <c r="V241" s="552">
        <v>8905600</v>
      </c>
      <c r="W241" s="552">
        <v>0</v>
      </c>
      <c r="X241" s="552">
        <v>0</v>
      </c>
      <c r="Y241" s="552">
        <v>4920</v>
      </c>
      <c r="Z241" s="552">
        <v>5412000</v>
      </c>
      <c r="AA241" s="552">
        <v>4920</v>
      </c>
      <c r="AB241" s="552">
        <v>5412000</v>
      </c>
      <c r="AC241" s="552">
        <v>0</v>
      </c>
      <c r="AD241" s="552">
        <v>0</v>
      </c>
      <c r="AE241" s="552">
        <v>0</v>
      </c>
      <c r="AF241" s="552">
        <v>0</v>
      </c>
      <c r="AG241" s="552">
        <v>0</v>
      </c>
      <c r="AH241" s="552">
        <v>0</v>
      </c>
      <c r="AI241" s="552">
        <v>0</v>
      </c>
      <c r="AJ241" s="552">
        <v>0</v>
      </c>
    </row>
    <row r="242" spans="1:36" ht="15.95" customHeight="1">
      <c r="A242" s="547"/>
      <c r="B242" s="548">
        <v>415</v>
      </c>
      <c r="C242" s="549">
        <v>4567</v>
      </c>
      <c r="D242" s="550" t="s">
        <v>11720</v>
      </c>
      <c r="E242" s="550" t="s">
        <v>4031</v>
      </c>
      <c r="F242" s="550" t="s">
        <v>4032</v>
      </c>
      <c r="G242" s="550" t="s">
        <v>4033</v>
      </c>
      <c r="H242" s="550" t="s">
        <v>903</v>
      </c>
      <c r="I242" s="550" t="s">
        <v>18</v>
      </c>
      <c r="J242" s="550" t="s">
        <v>4034</v>
      </c>
      <c r="K242" s="551">
        <v>44440</v>
      </c>
      <c r="L242" s="552">
        <v>487253</v>
      </c>
      <c r="M242" s="552">
        <v>487253</v>
      </c>
      <c r="N242" s="552">
        <v>487253</v>
      </c>
      <c r="O242" s="552">
        <v>5</v>
      </c>
      <c r="P242" s="552">
        <v>2436265</v>
      </c>
      <c r="Q242" s="548">
        <v>0</v>
      </c>
      <c r="R242" s="552">
        <v>0</v>
      </c>
      <c r="S242" s="548">
        <v>5</v>
      </c>
      <c r="T242" s="552">
        <v>2436265</v>
      </c>
      <c r="U242" s="548">
        <v>0</v>
      </c>
      <c r="V242" s="552">
        <v>0</v>
      </c>
      <c r="W242" s="552">
        <v>0</v>
      </c>
      <c r="X242" s="552">
        <v>0</v>
      </c>
      <c r="Y242" s="552">
        <v>0</v>
      </c>
      <c r="Z242" s="552">
        <v>0</v>
      </c>
      <c r="AA242" s="552">
        <v>0</v>
      </c>
      <c r="AB242" s="552">
        <v>0</v>
      </c>
      <c r="AC242" s="552">
        <v>0</v>
      </c>
      <c r="AD242" s="552">
        <v>0</v>
      </c>
      <c r="AE242" s="552">
        <v>0</v>
      </c>
      <c r="AF242" s="552">
        <v>0</v>
      </c>
      <c r="AG242" s="552">
        <v>5</v>
      </c>
      <c r="AH242" s="552">
        <v>2436265</v>
      </c>
      <c r="AI242" s="552">
        <v>0</v>
      </c>
      <c r="AJ242" s="552">
        <v>0</v>
      </c>
    </row>
    <row r="243" spans="1:36" ht="15.95" customHeight="1">
      <c r="A243" s="547"/>
      <c r="B243" s="548">
        <v>416</v>
      </c>
      <c r="C243" s="549">
        <v>6889</v>
      </c>
      <c r="D243" s="550" t="s">
        <v>11721</v>
      </c>
      <c r="E243" s="550" t="s">
        <v>4035</v>
      </c>
      <c r="F243" s="550" t="s">
        <v>989</v>
      </c>
      <c r="G243" s="550" t="s">
        <v>4036</v>
      </c>
      <c r="H243" s="550" t="s">
        <v>6301</v>
      </c>
      <c r="I243" s="550" t="s">
        <v>12</v>
      </c>
      <c r="J243" s="550" t="s">
        <v>11722</v>
      </c>
      <c r="K243" s="551">
        <v>45340</v>
      </c>
      <c r="L243" s="552">
        <v>4275</v>
      </c>
      <c r="M243" s="552">
        <v>4275</v>
      </c>
      <c r="N243" s="552">
        <v>4275</v>
      </c>
      <c r="O243" s="552"/>
      <c r="P243" s="552"/>
      <c r="Q243" s="548">
        <v>1000</v>
      </c>
      <c r="R243" s="552">
        <v>4275000</v>
      </c>
      <c r="S243" s="548">
        <v>0</v>
      </c>
      <c r="T243" s="552">
        <v>0</v>
      </c>
      <c r="U243" s="548">
        <v>1000</v>
      </c>
      <c r="V243" s="552">
        <v>4275000</v>
      </c>
      <c r="W243" s="552">
        <v>0</v>
      </c>
      <c r="X243" s="552">
        <v>0</v>
      </c>
      <c r="Y243" s="552">
        <v>0</v>
      </c>
      <c r="Z243" s="552">
        <v>0</v>
      </c>
      <c r="AA243" s="552">
        <v>0</v>
      </c>
      <c r="AB243" s="552">
        <v>0</v>
      </c>
      <c r="AC243" s="552">
        <v>0</v>
      </c>
      <c r="AD243" s="552">
        <v>0</v>
      </c>
      <c r="AE243" s="552">
        <v>0</v>
      </c>
      <c r="AF243" s="552">
        <v>0</v>
      </c>
      <c r="AG243" s="552">
        <v>0</v>
      </c>
      <c r="AH243" s="552">
        <v>0</v>
      </c>
      <c r="AI243" s="552">
        <v>0</v>
      </c>
      <c r="AJ243" s="552">
        <v>0</v>
      </c>
    </row>
    <row r="244" spans="1:36" ht="15.95" customHeight="1">
      <c r="A244" s="547"/>
      <c r="B244" s="548">
        <v>418</v>
      </c>
      <c r="C244" s="549">
        <v>6895</v>
      </c>
      <c r="D244" s="550" t="s">
        <v>11723</v>
      </c>
      <c r="E244" s="550" t="s">
        <v>7907</v>
      </c>
      <c r="F244" s="550" t="s">
        <v>7909</v>
      </c>
      <c r="G244" s="550" t="s">
        <v>736</v>
      </c>
      <c r="H244" s="550" t="s">
        <v>7908</v>
      </c>
      <c r="I244" s="550" t="s">
        <v>12</v>
      </c>
      <c r="J244" s="550" t="s">
        <v>11724</v>
      </c>
      <c r="K244" s="551">
        <v>44982</v>
      </c>
      <c r="L244" s="552">
        <v>2540</v>
      </c>
      <c r="M244" s="552">
        <v>2540</v>
      </c>
      <c r="N244" s="552">
        <v>2540</v>
      </c>
      <c r="O244" s="552"/>
      <c r="P244" s="552"/>
      <c r="Q244" s="548">
        <v>2490</v>
      </c>
      <c r="R244" s="552">
        <v>6324600</v>
      </c>
      <c r="S244" s="548">
        <v>2490</v>
      </c>
      <c r="T244" s="552">
        <v>6324600</v>
      </c>
      <c r="U244" s="548">
        <v>0</v>
      </c>
      <c r="V244" s="552">
        <v>0</v>
      </c>
      <c r="W244" s="552">
        <v>2395</v>
      </c>
      <c r="X244" s="552">
        <v>6083300</v>
      </c>
      <c r="Y244" s="552">
        <v>2490</v>
      </c>
      <c r="Z244" s="552">
        <v>6324600</v>
      </c>
      <c r="AA244" s="552">
        <v>0</v>
      </c>
      <c r="AB244" s="552">
        <v>0</v>
      </c>
      <c r="AC244" s="552">
        <v>2490</v>
      </c>
      <c r="AD244" s="552">
        <v>6324600</v>
      </c>
      <c r="AE244" s="552">
        <v>0</v>
      </c>
      <c r="AF244" s="552">
        <v>0</v>
      </c>
      <c r="AG244" s="552">
        <v>0</v>
      </c>
      <c r="AH244" s="552">
        <v>0</v>
      </c>
      <c r="AI244" s="552">
        <v>0</v>
      </c>
      <c r="AJ244" s="552">
        <v>0</v>
      </c>
    </row>
    <row r="245" spans="1:36" ht="15.95" customHeight="1">
      <c r="A245" s="547"/>
      <c r="B245" s="548">
        <v>419</v>
      </c>
      <c r="C245" s="549">
        <v>7074</v>
      </c>
      <c r="D245" s="550" t="s">
        <v>11725</v>
      </c>
      <c r="E245" s="550" t="s">
        <v>6431</v>
      </c>
      <c r="F245" s="550" t="s">
        <v>6432</v>
      </c>
      <c r="G245" s="550" t="s">
        <v>611</v>
      </c>
      <c r="H245" s="550" t="s">
        <v>291</v>
      </c>
      <c r="I245" s="550" t="s">
        <v>11</v>
      </c>
      <c r="J245" s="550" t="s">
        <v>11726</v>
      </c>
      <c r="K245" s="551">
        <v>45107</v>
      </c>
      <c r="L245" s="552">
        <v>8225</v>
      </c>
      <c r="M245" s="552">
        <v>8225</v>
      </c>
      <c r="N245" s="552">
        <v>8225</v>
      </c>
      <c r="O245" s="552"/>
      <c r="P245" s="552"/>
      <c r="Q245" s="548">
        <v>2996</v>
      </c>
      <c r="R245" s="552">
        <v>24642100</v>
      </c>
      <c r="S245" s="548">
        <v>2916</v>
      </c>
      <c r="T245" s="552">
        <v>23984100</v>
      </c>
      <c r="U245" s="548">
        <v>80</v>
      </c>
      <c r="V245" s="552">
        <v>658000</v>
      </c>
      <c r="W245" s="552">
        <v>0</v>
      </c>
      <c r="X245" s="552">
        <v>0</v>
      </c>
      <c r="Y245" s="552">
        <v>2915</v>
      </c>
      <c r="Z245" s="552">
        <v>23975875</v>
      </c>
      <c r="AA245" s="552">
        <v>2884</v>
      </c>
      <c r="AB245" s="552">
        <v>23720900</v>
      </c>
      <c r="AC245" s="552">
        <v>31</v>
      </c>
      <c r="AD245" s="552">
        <v>254975</v>
      </c>
      <c r="AE245" s="552">
        <v>0</v>
      </c>
      <c r="AF245" s="552">
        <v>0</v>
      </c>
      <c r="AG245" s="552">
        <v>1</v>
      </c>
      <c r="AH245" s="552">
        <v>8225</v>
      </c>
      <c r="AI245" s="552">
        <v>0</v>
      </c>
      <c r="AJ245" s="552">
        <v>0</v>
      </c>
    </row>
    <row r="246" spans="1:36" ht="15.95" customHeight="1">
      <c r="A246" s="547"/>
      <c r="B246" s="548">
        <v>421</v>
      </c>
      <c r="C246" s="549">
        <v>5678</v>
      </c>
      <c r="D246" s="550"/>
      <c r="E246" s="550" t="s">
        <v>4038</v>
      </c>
      <c r="F246" s="550" t="s">
        <v>1486</v>
      </c>
      <c r="G246" s="550" t="s">
        <v>1109</v>
      </c>
      <c r="H246" s="550" t="s">
        <v>310</v>
      </c>
      <c r="I246" s="550" t="s">
        <v>10</v>
      </c>
      <c r="J246" s="550" t="s">
        <v>4039</v>
      </c>
      <c r="K246" s="551">
        <v>44377</v>
      </c>
      <c r="L246" s="552">
        <v>9000</v>
      </c>
      <c r="M246" s="552">
        <v>9000</v>
      </c>
      <c r="N246" s="552">
        <v>9000</v>
      </c>
      <c r="O246" s="552">
        <v>6</v>
      </c>
      <c r="P246" s="552">
        <v>54000</v>
      </c>
      <c r="Q246" s="548">
        <v>0</v>
      </c>
      <c r="R246" s="552">
        <v>0</v>
      </c>
      <c r="S246" s="548">
        <v>6</v>
      </c>
      <c r="T246" s="552">
        <v>54000</v>
      </c>
      <c r="U246" s="548">
        <v>0</v>
      </c>
      <c r="V246" s="552">
        <v>0</v>
      </c>
      <c r="W246" s="552">
        <v>0</v>
      </c>
      <c r="X246" s="552">
        <v>0</v>
      </c>
      <c r="Y246" s="552">
        <v>6</v>
      </c>
      <c r="Z246" s="552">
        <v>54000</v>
      </c>
      <c r="AA246" s="552">
        <v>6</v>
      </c>
      <c r="AB246" s="552">
        <v>54000</v>
      </c>
      <c r="AC246" s="552">
        <v>0</v>
      </c>
      <c r="AD246" s="552">
        <v>0</v>
      </c>
      <c r="AE246" s="552">
        <v>0</v>
      </c>
      <c r="AF246" s="552">
        <v>0</v>
      </c>
      <c r="AG246" s="552">
        <v>0</v>
      </c>
      <c r="AH246" s="552">
        <v>0</v>
      </c>
      <c r="AI246" s="552">
        <v>0</v>
      </c>
      <c r="AJ246" s="552">
        <v>0</v>
      </c>
    </row>
    <row r="247" spans="1:36" ht="15.95" customHeight="1">
      <c r="A247" s="547"/>
      <c r="B247" s="548">
        <v>422</v>
      </c>
      <c r="C247" s="549">
        <v>6860</v>
      </c>
      <c r="D247" s="550" t="s">
        <v>11727</v>
      </c>
      <c r="E247" s="550" t="s">
        <v>4038</v>
      </c>
      <c r="F247" s="550" t="s">
        <v>1486</v>
      </c>
      <c r="G247" s="550" t="s">
        <v>1109</v>
      </c>
      <c r="H247" s="550" t="s">
        <v>4040</v>
      </c>
      <c r="I247" s="550" t="s">
        <v>11</v>
      </c>
      <c r="J247" s="550" t="s">
        <v>4041</v>
      </c>
      <c r="K247" s="551">
        <v>45077</v>
      </c>
      <c r="L247" s="552">
        <v>9500</v>
      </c>
      <c r="M247" s="552">
        <v>9500</v>
      </c>
      <c r="N247" s="552">
        <v>9500</v>
      </c>
      <c r="O247" s="552">
        <v>134</v>
      </c>
      <c r="P247" s="552">
        <v>1273000</v>
      </c>
      <c r="Q247" s="548">
        <v>0</v>
      </c>
      <c r="R247" s="552">
        <v>0</v>
      </c>
      <c r="S247" s="548">
        <v>16</v>
      </c>
      <c r="T247" s="552">
        <v>152000</v>
      </c>
      <c r="U247" s="548">
        <v>118</v>
      </c>
      <c r="V247" s="552">
        <v>1121000</v>
      </c>
      <c r="W247" s="552">
        <v>0</v>
      </c>
      <c r="X247" s="552">
        <v>0</v>
      </c>
      <c r="Y247" s="552">
        <v>2</v>
      </c>
      <c r="Z247" s="552">
        <v>19000</v>
      </c>
      <c r="AA247" s="552">
        <v>1</v>
      </c>
      <c r="AB247" s="552">
        <v>9500</v>
      </c>
      <c r="AC247" s="552">
        <v>1</v>
      </c>
      <c r="AD247" s="552">
        <v>9500</v>
      </c>
      <c r="AE247" s="552">
        <v>0</v>
      </c>
      <c r="AF247" s="552">
        <v>0</v>
      </c>
      <c r="AG247" s="552">
        <v>14</v>
      </c>
      <c r="AH247" s="552">
        <v>133000</v>
      </c>
      <c r="AI247" s="552">
        <v>0</v>
      </c>
      <c r="AJ247" s="552">
        <v>0</v>
      </c>
    </row>
    <row r="248" spans="1:36" ht="15.95" customHeight="1">
      <c r="A248" s="547"/>
      <c r="B248" s="548">
        <v>423</v>
      </c>
      <c r="C248" s="549">
        <v>6860</v>
      </c>
      <c r="D248" s="550" t="s">
        <v>11727</v>
      </c>
      <c r="E248" s="550" t="s">
        <v>4038</v>
      </c>
      <c r="F248" s="550" t="s">
        <v>1486</v>
      </c>
      <c r="G248" s="550" t="s">
        <v>1109</v>
      </c>
      <c r="H248" s="550" t="s">
        <v>4040</v>
      </c>
      <c r="I248" s="550" t="s">
        <v>11</v>
      </c>
      <c r="J248" s="550" t="s">
        <v>11728</v>
      </c>
      <c r="K248" s="551">
        <v>45138</v>
      </c>
      <c r="L248" s="552">
        <v>9500</v>
      </c>
      <c r="M248" s="552">
        <v>9500</v>
      </c>
      <c r="N248" s="552">
        <v>9500</v>
      </c>
      <c r="O248" s="552"/>
      <c r="P248" s="552"/>
      <c r="Q248" s="548">
        <v>7588</v>
      </c>
      <c r="R248" s="552">
        <v>72086000</v>
      </c>
      <c r="S248" s="548">
        <v>3456</v>
      </c>
      <c r="T248" s="552">
        <v>32832000</v>
      </c>
      <c r="U248" s="548">
        <v>4132</v>
      </c>
      <c r="V248" s="552">
        <v>39254000</v>
      </c>
      <c r="W248" s="552">
        <v>0</v>
      </c>
      <c r="X248" s="552">
        <v>0</v>
      </c>
      <c r="Y248" s="552">
        <v>3456</v>
      </c>
      <c r="Z248" s="552">
        <v>32832000</v>
      </c>
      <c r="AA248" s="552">
        <v>3456</v>
      </c>
      <c r="AB248" s="552">
        <v>32832000</v>
      </c>
      <c r="AC248" s="552">
        <v>0</v>
      </c>
      <c r="AD248" s="552">
        <v>0</v>
      </c>
      <c r="AE248" s="552">
        <v>0</v>
      </c>
      <c r="AF248" s="552">
        <v>0</v>
      </c>
      <c r="AG248" s="552">
        <v>0</v>
      </c>
      <c r="AH248" s="552">
        <v>0</v>
      </c>
      <c r="AI248" s="552">
        <v>0</v>
      </c>
      <c r="AJ248" s="552">
        <v>0</v>
      </c>
    </row>
    <row r="249" spans="1:36" ht="15.95" customHeight="1">
      <c r="A249" s="547"/>
      <c r="B249" s="548">
        <v>424</v>
      </c>
      <c r="C249" s="549">
        <v>5389</v>
      </c>
      <c r="D249" s="550"/>
      <c r="E249" s="550" t="s">
        <v>4042</v>
      </c>
      <c r="F249" s="550" t="s">
        <v>961</v>
      </c>
      <c r="G249" s="550" t="s">
        <v>4043</v>
      </c>
      <c r="H249" s="550" t="s">
        <v>962</v>
      </c>
      <c r="I249" s="550" t="s">
        <v>12</v>
      </c>
      <c r="J249" s="550" t="s">
        <v>4044</v>
      </c>
      <c r="K249" s="551">
        <v>44348</v>
      </c>
      <c r="L249" s="552">
        <v>3053</v>
      </c>
      <c r="M249" s="552">
        <v>3053</v>
      </c>
      <c r="N249" s="552">
        <v>3053</v>
      </c>
      <c r="O249" s="552">
        <v>1033</v>
      </c>
      <c r="P249" s="552">
        <v>3153749</v>
      </c>
      <c r="Q249" s="548">
        <v>0</v>
      </c>
      <c r="R249" s="552">
        <v>0</v>
      </c>
      <c r="S249" s="548">
        <v>1033</v>
      </c>
      <c r="T249" s="552">
        <v>3153749</v>
      </c>
      <c r="U249" s="548">
        <v>0</v>
      </c>
      <c r="V249" s="552">
        <v>0</v>
      </c>
      <c r="W249" s="552">
        <v>183</v>
      </c>
      <c r="X249" s="552">
        <v>558699</v>
      </c>
      <c r="Y249" s="552">
        <v>1033</v>
      </c>
      <c r="Z249" s="552">
        <v>3153749</v>
      </c>
      <c r="AA249" s="552">
        <v>1033</v>
      </c>
      <c r="AB249" s="552">
        <v>3153749</v>
      </c>
      <c r="AC249" s="552">
        <v>0</v>
      </c>
      <c r="AD249" s="552">
        <v>0</v>
      </c>
      <c r="AE249" s="552">
        <v>0</v>
      </c>
      <c r="AF249" s="552">
        <v>0</v>
      </c>
      <c r="AG249" s="552">
        <v>0</v>
      </c>
      <c r="AH249" s="552">
        <v>0</v>
      </c>
      <c r="AI249" s="552">
        <v>0</v>
      </c>
      <c r="AJ249" s="552">
        <v>0</v>
      </c>
    </row>
    <row r="250" spans="1:36" ht="15.95" customHeight="1">
      <c r="A250" s="547"/>
      <c r="B250" s="548">
        <v>425</v>
      </c>
      <c r="C250" s="549">
        <v>6892</v>
      </c>
      <c r="D250" s="550" t="s">
        <v>11729</v>
      </c>
      <c r="E250" s="550" t="s">
        <v>4045</v>
      </c>
      <c r="F250" s="550" t="s">
        <v>1983</v>
      </c>
      <c r="G250" s="550" t="s">
        <v>1982</v>
      </c>
      <c r="H250" s="550" t="s">
        <v>1984</v>
      </c>
      <c r="I250" s="550" t="s">
        <v>12</v>
      </c>
      <c r="J250" s="550" t="s">
        <v>11730</v>
      </c>
      <c r="K250" s="551">
        <v>45430</v>
      </c>
      <c r="L250" s="552">
        <v>2394</v>
      </c>
      <c r="M250" s="552">
        <v>2394</v>
      </c>
      <c r="N250" s="552">
        <v>2394</v>
      </c>
      <c r="O250" s="552"/>
      <c r="P250" s="552"/>
      <c r="Q250" s="548">
        <v>10307</v>
      </c>
      <c r="R250" s="552">
        <v>24674958</v>
      </c>
      <c r="S250" s="548">
        <v>7399</v>
      </c>
      <c r="T250" s="552">
        <v>17713206</v>
      </c>
      <c r="U250" s="548">
        <v>2908</v>
      </c>
      <c r="V250" s="552">
        <v>6961752</v>
      </c>
      <c r="W250" s="552">
        <v>5594</v>
      </c>
      <c r="X250" s="552">
        <v>13392036</v>
      </c>
      <c r="Y250" s="552">
        <v>6679</v>
      </c>
      <c r="Z250" s="552">
        <v>15989526</v>
      </c>
      <c r="AA250" s="552">
        <v>0</v>
      </c>
      <c r="AB250" s="552">
        <v>0</v>
      </c>
      <c r="AC250" s="552">
        <v>6679</v>
      </c>
      <c r="AD250" s="552">
        <v>15989526</v>
      </c>
      <c r="AE250" s="552">
        <v>0</v>
      </c>
      <c r="AF250" s="552">
        <v>0</v>
      </c>
      <c r="AG250" s="552">
        <v>720</v>
      </c>
      <c r="AH250" s="552">
        <v>1723680</v>
      </c>
      <c r="AI250" s="552">
        <v>0</v>
      </c>
      <c r="AJ250" s="552">
        <v>0</v>
      </c>
    </row>
    <row r="251" spans="1:36" ht="15.95" customHeight="1">
      <c r="A251" s="547"/>
      <c r="B251" s="548">
        <v>426</v>
      </c>
      <c r="C251" s="549">
        <v>5712</v>
      </c>
      <c r="D251" s="550"/>
      <c r="E251" s="550" t="s">
        <v>4046</v>
      </c>
      <c r="F251" s="550" t="s">
        <v>4047</v>
      </c>
      <c r="G251" s="550" t="s">
        <v>736</v>
      </c>
      <c r="H251" s="550" t="s">
        <v>4048</v>
      </c>
      <c r="I251" s="550" t="s">
        <v>12</v>
      </c>
      <c r="J251" s="550" t="s">
        <v>4049</v>
      </c>
      <c r="K251" s="551">
        <v>44491</v>
      </c>
      <c r="L251" s="552">
        <v>2900</v>
      </c>
      <c r="M251" s="552">
        <v>2900</v>
      </c>
      <c r="N251" s="552">
        <v>2900</v>
      </c>
      <c r="O251" s="552">
        <v>4726</v>
      </c>
      <c r="P251" s="552">
        <v>13705400</v>
      </c>
      <c r="Q251" s="548">
        <v>26</v>
      </c>
      <c r="R251" s="552">
        <v>75400</v>
      </c>
      <c r="S251" s="548">
        <v>4749</v>
      </c>
      <c r="T251" s="552">
        <v>13772100</v>
      </c>
      <c r="U251" s="548">
        <v>3</v>
      </c>
      <c r="V251" s="552">
        <v>8700</v>
      </c>
      <c r="W251" s="552">
        <v>5249</v>
      </c>
      <c r="X251" s="552">
        <v>15222100</v>
      </c>
      <c r="Y251" s="552">
        <v>4709</v>
      </c>
      <c r="Z251" s="552">
        <v>13656100</v>
      </c>
      <c r="AA251" s="552">
        <v>1106</v>
      </c>
      <c r="AB251" s="552">
        <v>3207400</v>
      </c>
      <c r="AC251" s="552">
        <v>3603</v>
      </c>
      <c r="AD251" s="552">
        <v>10448700</v>
      </c>
      <c r="AE251" s="552">
        <v>0</v>
      </c>
      <c r="AF251" s="552">
        <v>0</v>
      </c>
      <c r="AG251" s="552">
        <v>40</v>
      </c>
      <c r="AH251" s="552">
        <v>116000</v>
      </c>
      <c r="AI251" s="552">
        <v>0</v>
      </c>
      <c r="AJ251" s="552">
        <v>0</v>
      </c>
    </row>
    <row r="252" spans="1:36" ht="15.95" customHeight="1">
      <c r="A252" s="547"/>
      <c r="B252" s="548">
        <v>427</v>
      </c>
      <c r="C252" s="549">
        <v>6764</v>
      </c>
      <c r="D252" s="550" t="s">
        <v>11731</v>
      </c>
      <c r="E252" s="550" t="s">
        <v>4050</v>
      </c>
      <c r="F252" s="550" t="s">
        <v>4051</v>
      </c>
      <c r="G252" s="550" t="s">
        <v>2513</v>
      </c>
      <c r="H252" s="550" t="s">
        <v>4052</v>
      </c>
      <c r="I252" s="550" t="s">
        <v>891</v>
      </c>
      <c r="J252" s="550" t="s">
        <v>4053</v>
      </c>
      <c r="K252" s="551">
        <v>44500</v>
      </c>
      <c r="L252" s="552">
        <v>94999</v>
      </c>
      <c r="M252" s="552">
        <v>94999</v>
      </c>
      <c r="N252" s="552">
        <v>94999</v>
      </c>
      <c r="O252" s="552">
        <v>11</v>
      </c>
      <c r="P252" s="552">
        <v>1044989</v>
      </c>
      <c r="Q252" s="548">
        <v>0</v>
      </c>
      <c r="R252" s="552">
        <v>0</v>
      </c>
      <c r="S252" s="548">
        <v>11</v>
      </c>
      <c r="T252" s="552">
        <v>1044989</v>
      </c>
      <c r="U252" s="548">
        <v>0</v>
      </c>
      <c r="V252" s="552">
        <v>0</v>
      </c>
      <c r="W252" s="552">
        <v>0</v>
      </c>
      <c r="X252" s="552">
        <v>0</v>
      </c>
      <c r="Y252" s="552">
        <v>11</v>
      </c>
      <c r="Z252" s="552">
        <v>1044989</v>
      </c>
      <c r="AA252" s="552">
        <v>0</v>
      </c>
      <c r="AB252" s="552">
        <v>0</v>
      </c>
      <c r="AC252" s="552">
        <v>11</v>
      </c>
      <c r="AD252" s="552">
        <v>1044989</v>
      </c>
      <c r="AE252" s="552">
        <v>0</v>
      </c>
      <c r="AF252" s="552">
        <v>0</v>
      </c>
      <c r="AG252" s="552">
        <v>0</v>
      </c>
      <c r="AH252" s="552">
        <v>0</v>
      </c>
      <c r="AI252" s="552">
        <v>0</v>
      </c>
      <c r="AJ252" s="552">
        <v>0</v>
      </c>
    </row>
    <row r="253" spans="1:36" ht="15.95" customHeight="1">
      <c r="A253" s="547"/>
      <c r="B253" s="548">
        <v>428</v>
      </c>
      <c r="C253" s="549">
        <v>6764</v>
      </c>
      <c r="D253" s="550" t="s">
        <v>11731</v>
      </c>
      <c r="E253" s="550" t="s">
        <v>4050</v>
      </c>
      <c r="F253" s="550" t="s">
        <v>4051</v>
      </c>
      <c r="G253" s="550" t="s">
        <v>2513</v>
      </c>
      <c r="H253" s="550" t="s">
        <v>4052</v>
      </c>
      <c r="I253" s="550" t="s">
        <v>891</v>
      </c>
      <c r="J253" s="550" t="s">
        <v>11732</v>
      </c>
      <c r="K253" s="551">
        <v>44985</v>
      </c>
      <c r="L253" s="552">
        <v>94999</v>
      </c>
      <c r="M253" s="552">
        <v>94999</v>
      </c>
      <c r="N253" s="552">
        <v>94999</v>
      </c>
      <c r="O253" s="552"/>
      <c r="P253" s="552"/>
      <c r="Q253" s="548">
        <v>12</v>
      </c>
      <c r="R253" s="552">
        <v>1139988</v>
      </c>
      <c r="S253" s="548">
        <v>12</v>
      </c>
      <c r="T253" s="552">
        <v>1139988</v>
      </c>
      <c r="U253" s="548">
        <v>0</v>
      </c>
      <c r="V253" s="552">
        <v>0</v>
      </c>
      <c r="W253" s="552">
        <v>0</v>
      </c>
      <c r="X253" s="552">
        <v>0</v>
      </c>
      <c r="Y253" s="552">
        <v>12</v>
      </c>
      <c r="Z253" s="552">
        <v>1139988</v>
      </c>
      <c r="AA253" s="552">
        <v>0</v>
      </c>
      <c r="AB253" s="552">
        <v>0</v>
      </c>
      <c r="AC253" s="552">
        <v>12</v>
      </c>
      <c r="AD253" s="552">
        <v>1139988</v>
      </c>
      <c r="AE253" s="552">
        <v>0</v>
      </c>
      <c r="AF253" s="552">
        <v>0</v>
      </c>
      <c r="AG253" s="552">
        <v>0</v>
      </c>
      <c r="AH253" s="552">
        <v>0</v>
      </c>
      <c r="AI253" s="552">
        <v>0</v>
      </c>
      <c r="AJ253" s="552">
        <v>0</v>
      </c>
    </row>
    <row r="254" spans="1:36" ht="15.95" customHeight="1">
      <c r="A254" s="547"/>
      <c r="B254" s="548">
        <v>432</v>
      </c>
      <c r="C254" s="549">
        <v>7199</v>
      </c>
      <c r="D254" s="550" t="s">
        <v>11733</v>
      </c>
      <c r="E254" s="550" t="s">
        <v>4056</v>
      </c>
      <c r="F254" s="550" t="s">
        <v>4057</v>
      </c>
      <c r="G254" s="550" t="s">
        <v>3961</v>
      </c>
      <c r="H254" s="550" t="s">
        <v>3962</v>
      </c>
      <c r="I254" s="550" t="s">
        <v>11</v>
      </c>
      <c r="J254" s="550" t="s">
        <v>4058</v>
      </c>
      <c r="K254" s="551">
        <v>44449</v>
      </c>
      <c r="L254" s="552">
        <v>3238</v>
      </c>
      <c r="M254" s="552">
        <v>3238</v>
      </c>
      <c r="N254" s="552">
        <v>3238</v>
      </c>
      <c r="O254" s="552">
        <v>8</v>
      </c>
      <c r="P254" s="552">
        <v>25904</v>
      </c>
      <c r="Q254" s="548">
        <v>0</v>
      </c>
      <c r="R254" s="552">
        <v>0</v>
      </c>
      <c r="S254" s="548">
        <v>8</v>
      </c>
      <c r="T254" s="552">
        <v>25904</v>
      </c>
      <c r="U254" s="548">
        <v>0</v>
      </c>
      <c r="V254" s="552">
        <v>0</v>
      </c>
      <c r="W254" s="552">
        <v>0</v>
      </c>
      <c r="X254" s="552">
        <v>0</v>
      </c>
      <c r="Y254" s="552">
        <v>0</v>
      </c>
      <c r="Z254" s="552">
        <v>0</v>
      </c>
      <c r="AA254" s="552">
        <v>0</v>
      </c>
      <c r="AB254" s="552">
        <v>0</v>
      </c>
      <c r="AC254" s="552">
        <v>0</v>
      </c>
      <c r="AD254" s="552">
        <v>0</v>
      </c>
      <c r="AE254" s="552">
        <v>0</v>
      </c>
      <c r="AF254" s="552">
        <v>0</v>
      </c>
      <c r="AG254" s="552">
        <v>8</v>
      </c>
      <c r="AH254" s="552">
        <v>25904</v>
      </c>
      <c r="AI254" s="552">
        <v>0</v>
      </c>
      <c r="AJ254" s="552">
        <v>0</v>
      </c>
    </row>
    <row r="255" spans="1:36" ht="15.95" customHeight="1">
      <c r="A255" s="547"/>
      <c r="B255" s="548">
        <v>433</v>
      </c>
      <c r="C255" s="549">
        <v>7199</v>
      </c>
      <c r="D255" s="550" t="s">
        <v>11733</v>
      </c>
      <c r="E255" s="550" t="s">
        <v>4056</v>
      </c>
      <c r="F255" s="550" t="s">
        <v>4057</v>
      </c>
      <c r="G255" s="550" t="s">
        <v>3961</v>
      </c>
      <c r="H255" s="550" t="s">
        <v>3962</v>
      </c>
      <c r="I255" s="550" t="s">
        <v>11</v>
      </c>
      <c r="J255" s="550" t="s">
        <v>11734</v>
      </c>
      <c r="K255" s="551">
        <v>44686</v>
      </c>
      <c r="L255" s="552">
        <v>3238</v>
      </c>
      <c r="M255" s="552">
        <v>3238</v>
      </c>
      <c r="N255" s="552">
        <v>3238</v>
      </c>
      <c r="O255" s="552"/>
      <c r="P255" s="552"/>
      <c r="Q255" s="548">
        <v>1980</v>
      </c>
      <c r="R255" s="552">
        <v>6411240</v>
      </c>
      <c r="S255" s="548">
        <v>152</v>
      </c>
      <c r="T255" s="552">
        <v>492176</v>
      </c>
      <c r="U255" s="548">
        <v>1828</v>
      </c>
      <c r="V255" s="552">
        <v>5919064</v>
      </c>
      <c r="W255" s="552">
        <v>0</v>
      </c>
      <c r="X255" s="552">
        <v>0</v>
      </c>
      <c r="Y255" s="552">
        <v>152</v>
      </c>
      <c r="Z255" s="552">
        <v>492176</v>
      </c>
      <c r="AA255" s="552">
        <v>152</v>
      </c>
      <c r="AB255" s="552">
        <v>492176</v>
      </c>
      <c r="AC255" s="552">
        <v>0</v>
      </c>
      <c r="AD255" s="552">
        <v>0</v>
      </c>
      <c r="AE255" s="552">
        <v>0</v>
      </c>
      <c r="AF255" s="552">
        <v>0</v>
      </c>
      <c r="AG255" s="552">
        <v>0</v>
      </c>
      <c r="AH255" s="552">
        <v>0</v>
      </c>
      <c r="AI255" s="552">
        <v>0</v>
      </c>
      <c r="AJ255" s="552">
        <v>0</v>
      </c>
    </row>
    <row r="256" spans="1:36" ht="15.95" customHeight="1">
      <c r="A256" s="547"/>
      <c r="B256" s="548">
        <v>434</v>
      </c>
      <c r="C256" s="549">
        <v>6810</v>
      </c>
      <c r="D256" s="550" t="s">
        <v>11735</v>
      </c>
      <c r="E256" s="550" t="s">
        <v>4054</v>
      </c>
      <c r="F256" s="550" t="s">
        <v>4059</v>
      </c>
      <c r="G256" s="550" t="s">
        <v>1220</v>
      </c>
      <c r="H256" s="550" t="s">
        <v>267</v>
      </c>
      <c r="I256" s="550" t="s">
        <v>16</v>
      </c>
      <c r="J256" s="550" t="s">
        <v>4060</v>
      </c>
      <c r="K256" s="551">
        <v>45615</v>
      </c>
      <c r="L256" s="552">
        <v>2600</v>
      </c>
      <c r="M256" s="552">
        <v>2600</v>
      </c>
      <c r="N256" s="552">
        <v>2600</v>
      </c>
      <c r="O256" s="552">
        <v>6000</v>
      </c>
      <c r="P256" s="552">
        <v>15600000</v>
      </c>
      <c r="Q256" s="548">
        <v>0</v>
      </c>
      <c r="R256" s="552">
        <v>0</v>
      </c>
      <c r="S256" s="548">
        <v>1694</v>
      </c>
      <c r="T256" s="552">
        <v>4404400</v>
      </c>
      <c r="U256" s="548">
        <v>4306</v>
      </c>
      <c r="V256" s="552">
        <v>11195600</v>
      </c>
      <c r="W256" s="552">
        <v>0</v>
      </c>
      <c r="X256" s="552">
        <v>0</v>
      </c>
      <c r="Y256" s="552">
        <v>1694</v>
      </c>
      <c r="Z256" s="552">
        <v>4404400</v>
      </c>
      <c r="AA256" s="552">
        <v>1650</v>
      </c>
      <c r="AB256" s="552">
        <v>4290000</v>
      </c>
      <c r="AC256" s="552">
        <v>44</v>
      </c>
      <c r="AD256" s="552">
        <v>114400</v>
      </c>
      <c r="AE256" s="552">
        <v>0</v>
      </c>
      <c r="AF256" s="552">
        <v>0</v>
      </c>
      <c r="AG256" s="552">
        <v>0</v>
      </c>
      <c r="AH256" s="552">
        <v>0</v>
      </c>
      <c r="AI256" s="552">
        <v>0</v>
      </c>
      <c r="AJ256" s="552">
        <v>0</v>
      </c>
    </row>
    <row r="257" spans="1:36" ht="15.95" customHeight="1">
      <c r="A257" s="547"/>
      <c r="B257" s="548">
        <v>435</v>
      </c>
      <c r="C257" s="549">
        <v>6817</v>
      </c>
      <c r="D257" s="550" t="s">
        <v>11736</v>
      </c>
      <c r="E257" s="550" t="s">
        <v>4063</v>
      </c>
      <c r="F257" s="550" t="s">
        <v>4064</v>
      </c>
      <c r="G257" s="550" t="s">
        <v>583</v>
      </c>
      <c r="H257" s="550" t="s">
        <v>222</v>
      </c>
      <c r="I257" s="550" t="s">
        <v>11</v>
      </c>
      <c r="J257" s="550" t="s">
        <v>4065</v>
      </c>
      <c r="K257" s="551">
        <v>44978</v>
      </c>
      <c r="L257" s="552">
        <v>245</v>
      </c>
      <c r="M257" s="552">
        <v>245</v>
      </c>
      <c r="N257" s="552">
        <v>245</v>
      </c>
      <c r="O257" s="552">
        <v>7594</v>
      </c>
      <c r="P257" s="552">
        <v>1860530</v>
      </c>
      <c r="Q257" s="548">
        <v>0</v>
      </c>
      <c r="R257" s="552">
        <v>0</v>
      </c>
      <c r="S257" s="548">
        <v>7536</v>
      </c>
      <c r="T257" s="552">
        <v>1846320</v>
      </c>
      <c r="U257" s="548">
        <v>58</v>
      </c>
      <c r="V257" s="552">
        <v>14210</v>
      </c>
      <c r="W257" s="552">
        <v>0</v>
      </c>
      <c r="X257" s="552">
        <v>0</v>
      </c>
      <c r="Y257" s="552">
        <v>7536</v>
      </c>
      <c r="Z257" s="552">
        <v>1846320</v>
      </c>
      <c r="AA257" s="552">
        <v>7536</v>
      </c>
      <c r="AB257" s="552">
        <v>1846320</v>
      </c>
      <c r="AC257" s="552">
        <v>0</v>
      </c>
      <c r="AD257" s="552">
        <v>0</v>
      </c>
      <c r="AE257" s="552">
        <v>0</v>
      </c>
      <c r="AF257" s="552">
        <v>0</v>
      </c>
      <c r="AG257" s="552">
        <v>0</v>
      </c>
      <c r="AH257" s="552">
        <v>0</v>
      </c>
      <c r="AI257" s="552">
        <v>0</v>
      </c>
      <c r="AJ257" s="552">
        <v>0</v>
      </c>
    </row>
    <row r="258" spans="1:36" ht="15.95" customHeight="1">
      <c r="A258" s="547"/>
      <c r="B258" s="548">
        <v>436</v>
      </c>
      <c r="C258" s="549">
        <v>6918</v>
      </c>
      <c r="D258" s="550" t="s">
        <v>11737</v>
      </c>
      <c r="E258" s="550" t="s">
        <v>8339</v>
      </c>
      <c r="F258" s="550" t="s">
        <v>8340</v>
      </c>
      <c r="G258" s="550" t="s">
        <v>1240</v>
      </c>
      <c r="H258" s="550" t="s">
        <v>1988</v>
      </c>
      <c r="I258" s="550" t="s">
        <v>11</v>
      </c>
      <c r="J258" s="550" t="s">
        <v>11571</v>
      </c>
      <c r="K258" s="551">
        <v>45321</v>
      </c>
      <c r="L258" s="552">
        <v>2500</v>
      </c>
      <c r="M258" s="552">
        <v>2500</v>
      </c>
      <c r="N258" s="552">
        <v>2500</v>
      </c>
      <c r="O258" s="552"/>
      <c r="P258" s="552"/>
      <c r="Q258" s="548">
        <v>49980</v>
      </c>
      <c r="R258" s="552">
        <v>124950000</v>
      </c>
      <c r="S258" s="548">
        <v>2644</v>
      </c>
      <c r="T258" s="552">
        <v>6610000</v>
      </c>
      <c r="U258" s="548">
        <v>47336</v>
      </c>
      <c r="V258" s="552">
        <v>118340000</v>
      </c>
      <c r="W258" s="552">
        <v>0</v>
      </c>
      <c r="X258" s="552">
        <v>0</v>
      </c>
      <c r="Y258" s="552">
        <v>2644</v>
      </c>
      <c r="Z258" s="552">
        <v>6610000</v>
      </c>
      <c r="AA258" s="552">
        <v>2644</v>
      </c>
      <c r="AB258" s="552">
        <v>6610000</v>
      </c>
      <c r="AC258" s="552">
        <v>0</v>
      </c>
      <c r="AD258" s="552">
        <v>0</v>
      </c>
      <c r="AE258" s="552">
        <v>0</v>
      </c>
      <c r="AF258" s="552">
        <v>0</v>
      </c>
      <c r="AG258" s="552">
        <v>0</v>
      </c>
      <c r="AH258" s="552">
        <v>0</v>
      </c>
      <c r="AI258" s="552">
        <v>0</v>
      </c>
      <c r="AJ258" s="552">
        <v>0</v>
      </c>
    </row>
    <row r="259" spans="1:36" ht="15.95" customHeight="1">
      <c r="A259" s="547"/>
      <c r="B259" s="548">
        <v>437</v>
      </c>
      <c r="C259" s="549">
        <v>6918</v>
      </c>
      <c r="D259" s="550" t="s">
        <v>11737</v>
      </c>
      <c r="E259" s="550" t="s">
        <v>8339</v>
      </c>
      <c r="F259" s="550" t="s">
        <v>8340</v>
      </c>
      <c r="G259" s="550" t="s">
        <v>1240</v>
      </c>
      <c r="H259" s="550" t="s">
        <v>1988</v>
      </c>
      <c r="I259" s="550" t="s">
        <v>11</v>
      </c>
      <c r="J259" s="550" t="s">
        <v>11738</v>
      </c>
      <c r="K259" s="551">
        <v>45102</v>
      </c>
      <c r="L259" s="552">
        <v>2500</v>
      </c>
      <c r="M259" s="552">
        <v>2500</v>
      </c>
      <c r="N259" s="552">
        <v>2500</v>
      </c>
      <c r="O259" s="552">
        <v>1228</v>
      </c>
      <c r="P259" s="552">
        <v>3070000</v>
      </c>
      <c r="Q259" s="548">
        <v>0</v>
      </c>
      <c r="R259" s="552">
        <v>0</v>
      </c>
      <c r="S259" s="548">
        <v>1228</v>
      </c>
      <c r="T259" s="552">
        <v>3070000</v>
      </c>
      <c r="U259" s="548">
        <v>0</v>
      </c>
      <c r="V259" s="552">
        <v>0</v>
      </c>
      <c r="W259" s="552">
        <v>0</v>
      </c>
      <c r="X259" s="552">
        <v>0</v>
      </c>
      <c r="Y259" s="552">
        <v>1228</v>
      </c>
      <c r="Z259" s="552">
        <v>3070000</v>
      </c>
      <c r="AA259" s="552">
        <v>1228</v>
      </c>
      <c r="AB259" s="552">
        <v>3070000</v>
      </c>
      <c r="AC259" s="552">
        <v>0</v>
      </c>
      <c r="AD259" s="552">
        <v>0</v>
      </c>
      <c r="AE259" s="552">
        <v>0</v>
      </c>
      <c r="AF259" s="552">
        <v>0</v>
      </c>
      <c r="AG259" s="552">
        <v>0</v>
      </c>
      <c r="AH259" s="552">
        <v>0</v>
      </c>
      <c r="AI259" s="552">
        <v>0</v>
      </c>
      <c r="AJ259" s="552">
        <v>0</v>
      </c>
    </row>
    <row r="260" spans="1:36" ht="15.95" customHeight="1">
      <c r="A260" s="547"/>
      <c r="B260" s="548">
        <v>438</v>
      </c>
      <c r="C260" s="549">
        <v>6918</v>
      </c>
      <c r="D260" s="550" t="s">
        <v>11737</v>
      </c>
      <c r="E260" s="550" t="s">
        <v>8339</v>
      </c>
      <c r="F260" s="550" t="s">
        <v>8340</v>
      </c>
      <c r="G260" s="550" t="s">
        <v>1240</v>
      </c>
      <c r="H260" s="550" t="s">
        <v>1988</v>
      </c>
      <c r="I260" s="550" t="s">
        <v>11</v>
      </c>
      <c r="J260" s="550" t="s">
        <v>11739</v>
      </c>
      <c r="K260" s="551">
        <v>45102</v>
      </c>
      <c r="L260" s="552">
        <v>2500</v>
      </c>
      <c r="M260" s="552">
        <v>2500</v>
      </c>
      <c r="N260" s="552">
        <v>2500</v>
      </c>
      <c r="O260" s="552">
        <v>6480</v>
      </c>
      <c r="P260" s="552">
        <v>16200000</v>
      </c>
      <c r="Q260" s="548">
        <v>0</v>
      </c>
      <c r="R260" s="552">
        <v>0</v>
      </c>
      <c r="S260" s="548">
        <v>6480</v>
      </c>
      <c r="T260" s="552">
        <v>16200000</v>
      </c>
      <c r="U260" s="548">
        <v>0</v>
      </c>
      <c r="V260" s="552">
        <v>0</v>
      </c>
      <c r="W260" s="552">
        <v>0</v>
      </c>
      <c r="X260" s="552">
        <v>0</v>
      </c>
      <c r="Y260" s="552">
        <v>6480</v>
      </c>
      <c r="Z260" s="552">
        <v>16200000</v>
      </c>
      <c r="AA260" s="552">
        <v>6480</v>
      </c>
      <c r="AB260" s="552">
        <v>16200000</v>
      </c>
      <c r="AC260" s="552">
        <v>0</v>
      </c>
      <c r="AD260" s="552">
        <v>0</v>
      </c>
      <c r="AE260" s="552">
        <v>0</v>
      </c>
      <c r="AF260" s="552">
        <v>0</v>
      </c>
      <c r="AG260" s="552">
        <v>0</v>
      </c>
      <c r="AH260" s="552">
        <v>0</v>
      </c>
      <c r="AI260" s="552">
        <v>0</v>
      </c>
      <c r="AJ260" s="552">
        <v>0</v>
      </c>
    </row>
    <row r="261" spans="1:36" ht="15.95" customHeight="1">
      <c r="A261" s="547"/>
      <c r="B261" s="548">
        <v>439</v>
      </c>
      <c r="C261" s="549">
        <v>6919</v>
      </c>
      <c r="D261" s="550" t="s">
        <v>11740</v>
      </c>
      <c r="E261" s="550" t="s">
        <v>4066</v>
      </c>
      <c r="F261" s="550" t="s">
        <v>4067</v>
      </c>
      <c r="G261" s="550" t="s">
        <v>1240</v>
      </c>
      <c r="H261" s="550" t="s">
        <v>4068</v>
      </c>
      <c r="I261" s="550" t="s">
        <v>11</v>
      </c>
      <c r="J261" s="550" t="s">
        <v>11741</v>
      </c>
      <c r="K261" s="551">
        <v>45200</v>
      </c>
      <c r="L261" s="552">
        <v>2690</v>
      </c>
      <c r="M261" s="552">
        <v>2690</v>
      </c>
      <c r="N261" s="552">
        <v>2690</v>
      </c>
      <c r="O261" s="552">
        <v>30000</v>
      </c>
      <c r="P261" s="552">
        <v>80700000</v>
      </c>
      <c r="Q261" s="548">
        <v>0</v>
      </c>
      <c r="R261" s="552">
        <v>0</v>
      </c>
      <c r="S261" s="548">
        <v>30000</v>
      </c>
      <c r="T261" s="552">
        <v>80700000</v>
      </c>
      <c r="U261" s="548">
        <v>0</v>
      </c>
      <c r="V261" s="552">
        <v>0</v>
      </c>
      <c r="W261" s="552">
        <v>0</v>
      </c>
      <c r="X261" s="552">
        <v>0</v>
      </c>
      <c r="Y261" s="552">
        <v>30000</v>
      </c>
      <c r="Z261" s="552">
        <v>80700000</v>
      </c>
      <c r="AA261" s="552">
        <v>30000</v>
      </c>
      <c r="AB261" s="552">
        <v>80700000</v>
      </c>
      <c r="AC261" s="552">
        <v>0</v>
      </c>
      <c r="AD261" s="552">
        <v>0</v>
      </c>
      <c r="AE261" s="552">
        <v>0</v>
      </c>
      <c r="AF261" s="552">
        <v>0</v>
      </c>
      <c r="AG261" s="552">
        <v>0</v>
      </c>
      <c r="AH261" s="552">
        <v>0</v>
      </c>
      <c r="AI261" s="552">
        <v>0</v>
      </c>
      <c r="AJ261" s="552">
        <v>0</v>
      </c>
    </row>
    <row r="262" spans="1:36" ht="15.95" customHeight="1">
      <c r="A262" s="547"/>
      <c r="B262" s="548">
        <v>440</v>
      </c>
      <c r="C262" s="549">
        <v>6919</v>
      </c>
      <c r="D262" s="550" t="s">
        <v>11740</v>
      </c>
      <c r="E262" s="550" t="s">
        <v>4066</v>
      </c>
      <c r="F262" s="550" t="s">
        <v>4067</v>
      </c>
      <c r="G262" s="550" t="s">
        <v>1240</v>
      </c>
      <c r="H262" s="550" t="s">
        <v>4068</v>
      </c>
      <c r="I262" s="550" t="s">
        <v>11</v>
      </c>
      <c r="J262" s="550" t="s">
        <v>11742</v>
      </c>
      <c r="K262" s="551">
        <v>45321</v>
      </c>
      <c r="L262" s="552">
        <v>2690</v>
      </c>
      <c r="M262" s="552">
        <v>2690</v>
      </c>
      <c r="N262" s="552">
        <v>2690</v>
      </c>
      <c r="O262" s="552"/>
      <c r="P262" s="552"/>
      <c r="Q262" s="548">
        <v>20214</v>
      </c>
      <c r="R262" s="552">
        <v>54375660</v>
      </c>
      <c r="S262" s="548">
        <v>11045</v>
      </c>
      <c r="T262" s="552">
        <v>29711050</v>
      </c>
      <c r="U262" s="548">
        <v>9169</v>
      </c>
      <c r="V262" s="552">
        <v>24664610</v>
      </c>
      <c r="W262" s="552">
        <v>9</v>
      </c>
      <c r="X262" s="552">
        <v>24210</v>
      </c>
      <c r="Y262" s="552">
        <v>11026</v>
      </c>
      <c r="Z262" s="552">
        <v>29659940</v>
      </c>
      <c r="AA262" s="552">
        <v>10724</v>
      </c>
      <c r="AB262" s="552">
        <v>28847560</v>
      </c>
      <c r="AC262" s="552">
        <v>302</v>
      </c>
      <c r="AD262" s="552">
        <v>812380</v>
      </c>
      <c r="AE262" s="552">
        <v>0</v>
      </c>
      <c r="AF262" s="552">
        <v>0</v>
      </c>
      <c r="AG262" s="552">
        <v>19</v>
      </c>
      <c r="AH262" s="552">
        <v>51110</v>
      </c>
      <c r="AI262" s="552">
        <v>0</v>
      </c>
      <c r="AJ262" s="552">
        <v>0</v>
      </c>
    </row>
    <row r="263" spans="1:36" ht="15.95" customHeight="1">
      <c r="A263" s="547"/>
      <c r="B263" s="548">
        <v>441</v>
      </c>
      <c r="C263" s="549">
        <v>6919</v>
      </c>
      <c r="D263" s="550" t="s">
        <v>11740</v>
      </c>
      <c r="E263" s="550" t="s">
        <v>4066</v>
      </c>
      <c r="F263" s="550" t="s">
        <v>4067</v>
      </c>
      <c r="G263" s="550" t="s">
        <v>1240</v>
      </c>
      <c r="H263" s="550" t="s">
        <v>4068</v>
      </c>
      <c r="I263" s="550" t="s">
        <v>11</v>
      </c>
      <c r="J263" s="550" t="s">
        <v>11743</v>
      </c>
      <c r="K263" s="551">
        <v>45100</v>
      </c>
      <c r="L263" s="552">
        <v>2690</v>
      </c>
      <c r="M263" s="552">
        <v>2690</v>
      </c>
      <c r="N263" s="552">
        <v>2690</v>
      </c>
      <c r="O263" s="552">
        <v>8121</v>
      </c>
      <c r="P263" s="552">
        <v>21845490</v>
      </c>
      <c r="Q263" s="548">
        <v>14</v>
      </c>
      <c r="R263" s="552">
        <v>37660</v>
      </c>
      <c r="S263" s="548">
        <v>8125</v>
      </c>
      <c r="T263" s="552">
        <v>21856250</v>
      </c>
      <c r="U263" s="548">
        <v>10</v>
      </c>
      <c r="V263" s="552">
        <v>26900</v>
      </c>
      <c r="W263" s="552">
        <v>0</v>
      </c>
      <c r="X263" s="552">
        <v>0</v>
      </c>
      <c r="Y263" s="552">
        <v>8125</v>
      </c>
      <c r="Z263" s="552">
        <v>21856250</v>
      </c>
      <c r="AA263" s="552">
        <v>7763</v>
      </c>
      <c r="AB263" s="552">
        <v>20882470</v>
      </c>
      <c r="AC263" s="552">
        <v>362</v>
      </c>
      <c r="AD263" s="552">
        <v>973780</v>
      </c>
      <c r="AE263" s="552">
        <v>0</v>
      </c>
      <c r="AF263" s="552">
        <v>0</v>
      </c>
      <c r="AG263" s="552">
        <v>0</v>
      </c>
      <c r="AH263" s="552">
        <v>0</v>
      </c>
      <c r="AI263" s="552">
        <v>0</v>
      </c>
      <c r="AJ263" s="552">
        <v>0</v>
      </c>
    </row>
    <row r="264" spans="1:36" ht="15.95" customHeight="1">
      <c r="A264" s="547"/>
      <c r="B264" s="548">
        <v>442</v>
      </c>
      <c r="C264" s="549">
        <v>6908</v>
      </c>
      <c r="D264" s="550" t="s">
        <v>11744</v>
      </c>
      <c r="E264" s="550" t="s">
        <v>4069</v>
      </c>
      <c r="F264" s="550" t="s">
        <v>4070</v>
      </c>
      <c r="G264" s="550" t="s">
        <v>1618</v>
      </c>
      <c r="H264" s="550" t="s">
        <v>225</v>
      </c>
      <c r="I264" s="550" t="s">
        <v>11</v>
      </c>
      <c r="J264" s="550" t="s">
        <v>4071</v>
      </c>
      <c r="K264" s="551">
        <v>45043</v>
      </c>
      <c r="L264" s="552">
        <v>154</v>
      </c>
      <c r="M264" s="552">
        <v>154</v>
      </c>
      <c r="N264" s="552">
        <v>154</v>
      </c>
      <c r="O264" s="552">
        <v>12899</v>
      </c>
      <c r="P264" s="552">
        <v>1986446</v>
      </c>
      <c r="Q264" s="548">
        <v>4</v>
      </c>
      <c r="R264" s="552">
        <v>616</v>
      </c>
      <c r="S264" s="548">
        <v>12850</v>
      </c>
      <c r="T264" s="552">
        <v>1978900</v>
      </c>
      <c r="U264" s="548">
        <v>53</v>
      </c>
      <c r="V264" s="552">
        <v>8162</v>
      </c>
      <c r="W264" s="552">
        <v>0</v>
      </c>
      <c r="X264" s="552">
        <v>0</v>
      </c>
      <c r="Y264" s="552">
        <v>12850</v>
      </c>
      <c r="Z264" s="552">
        <v>1978900</v>
      </c>
      <c r="AA264" s="552">
        <v>12822</v>
      </c>
      <c r="AB264" s="552">
        <v>1974588</v>
      </c>
      <c r="AC264" s="552">
        <v>28</v>
      </c>
      <c r="AD264" s="552">
        <v>4312</v>
      </c>
      <c r="AE264" s="552">
        <v>0</v>
      </c>
      <c r="AF264" s="552">
        <v>0</v>
      </c>
      <c r="AG264" s="552">
        <v>0</v>
      </c>
      <c r="AH264" s="552">
        <v>0</v>
      </c>
      <c r="AI264" s="552">
        <v>0</v>
      </c>
      <c r="AJ264" s="552">
        <v>0</v>
      </c>
    </row>
    <row r="265" spans="1:36" ht="15.95" customHeight="1">
      <c r="A265" s="547"/>
      <c r="B265" s="548">
        <v>443</v>
      </c>
      <c r="C265" s="549">
        <v>6908</v>
      </c>
      <c r="D265" s="550" t="s">
        <v>11744</v>
      </c>
      <c r="E265" s="550" t="s">
        <v>4069</v>
      </c>
      <c r="F265" s="550" t="s">
        <v>4070</v>
      </c>
      <c r="G265" s="550" t="s">
        <v>1618</v>
      </c>
      <c r="H265" s="550" t="s">
        <v>225</v>
      </c>
      <c r="I265" s="550" t="s">
        <v>11</v>
      </c>
      <c r="J265" s="550" t="s">
        <v>11745</v>
      </c>
      <c r="K265" s="551">
        <v>45256</v>
      </c>
      <c r="L265" s="552">
        <v>154</v>
      </c>
      <c r="M265" s="552">
        <v>154</v>
      </c>
      <c r="N265" s="552">
        <v>154</v>
      </c>
      <c r="O265" s="552"/>
      <c r="P265" s="552"/>
      <c r="Q265" s="548">
        <v>30000</v>
      </c>
      <c r="R265" s="552">
        <v>4620000</v>
      </c>
      <c r="S265" s="548">
        <v>30000</v>
      </c>
      <c r="T265" s="552">
        <v>4620000</v>
      </c>
      <c r="U265" s="548">
        <v>0</v>
      </c>
      <c r="V265" s="552">
        <v>0</v>
      </c>
      <c r="W265" s="552">
        <v>0</v>
      </c>
      <c r="X265" s="552">
        <v>0</v>
      </c>
      <c r="Y265" s="552">
        <v>30000</v>
      </c>
      <c r="Z265" s="552">
        <v>4620000</v>
      </c>
      <c r="AA265" s="552">
        <v>30000</v>
      </c>
      <c r="AB265" s="552">
        <v>4620000</v>
      </c>
      <c r="AC265" s="552">
        <v>0</v>
      </c>
      <c r="AD265" s="552">
        <v>0</v>
      </c>
      <c r="AE265" s="552">
        <v>0</v>
      </c>
      <c r="AF265" s="552">
        <v>0</v>
      </c>
      <c r="AG265" s="552">
        <v>0</v>
      </c>
      <c r="AH265" s="552">
        <v>0</v>
      </c>
      <c r="AI265" s="552">
        <v>0</v>
      </c>
      <c r="AJ265" s="552">
        <v>0</v>
      </c>
    </row>
    <row r="266" spans="1:36" ht="15.95" customHeight="1">
      <c r="A266" s="547"/>
      <c r="B266" s="548">
        <v>444</v>
      </c>
      <c r="C266" s="549">
        <v>6909</v>
      </c>
      <c r="D266" s="550" t="s">
        <v>11746</v>
      </c>
      <c r="E266" s="550" t="s">
        <v>8486</v>
      </c>
      <c r="F266" s="550" t="s">
        <v>4070</v>
      </c>
      <c r="G266" s="550" t="s">
        <v>1618</v>
      </c>
      <c r="H266" s="550" t="s">
        <v>225</v>
      </c>
      <c r="I266" s="550" t="s">
        <v>11</v>
      </c>
      <c r="J266" s="550" t="s">
        <v>11747</v>
      </c>
      <c r="K266" s="551">
        <v>45296</v>
      </c>
      <c r="L266" s="552">
        <v>154</v>
      </c>
      <c r="M266" s="552">
        <v>154</v>
      </c>
      <c r="N266" s="552">
        <v>154</v>
      </c>
      <c r="O266" s="552"/>
      <c r="P266" s="552"/>
      <c r="Q266" s="548">
        <v>19980</v>
      </c>
      <c r="R266" s="552">
        <v>3076920</v>
      </c>
      <c r="S266" s="548">
        <v>19980</v>
      </c>
      <c r="T266" s="552">
        <v>3076920</v>
      </c>
      <c r="U266" s="548">
        <v>0</v>
      </c>
      <c r="V266" s="552">
        <v>0</v>
      </c>
      <c r="W266" s="552">
        <v>0</v>
      </c>
      <c r="X266" s="552">
        <v>0</v>
      </c>
      <c r="Y266" s="552">
        <v>19980</v>
      </c>
      <c r="Z266" s="552">
        <v>3076920</v>
      </c>
      <c r="AA266" s="552">
        <v>19980</v>
      </c>
      <c r="AB266" s="552">
        <v>3076920</v>
      </c>
      <c r="AC266" s="552">
        <v>0</v>
      </c>
      <c r="AD266" s="552">
        <v>0</v>
      </c>
      <c r="AE266" s="552">
        <v>0</v>
      </c>
      <c r="AF266" s="552">
        <v>0</v>
      </c>
      <c r="AG266" s="552">
        <v>0</v>
      </c>
      <c r="AH266" s="552">
        <v>0</v>
      </c>
      <c r="AI266" s="552">
        <v>0</v>
      </c>
      <c r="AJ266" s="552">
        <v>0</v>
      </c>
    </row>
    <row r="267" spans="1:36" ht="15.95" customHeight="1">
      <c r="A267" s="547"/>
      <c r="B267" s="548">
        <v>445</v>
      </c>
      <c r="C267" s="549">
        <v>6910</v>
      </c>
      <c r="D267" s="550" t="s">
        <v>11748</v>
      </c>
      <c r="E267" s="550" t="s">
        <v>4072</v>
      </c>
      <c r="F267" s="550" t="s">
        <v>4073</v>
      </c>
      <c r="G267" s="550" t="s">
        <v>1618</v>
      </c>
      <c r="H267" s="550" t="s">
        <v>994</v>
      </c>
      <c r="I267" s="550" t="s">
        <v>11</v>
      </c>
      <c r="J267" s="550" t="s">
        <v>11749</v>
      </c>
      <c r="K267" s="551">
        <v>45244</v>
      </c>
      <c r="L267" s="552">
        <v>204</v>
      </c>
      <c r="M267" s="552">
        <v>204</v>
      </c>
      <c r="N267" s="552">
        <v>204</v>
      </c>
      <c r="O267" s="552">
        <v>40845</v>
      </c>
      <c r="P267" s="552">
        <v>8332380</v>
      </c>
      <c r="Q267" s="548">
        <v>0</v>
      </c>
      <c r="R267" s="552">
        <v>0</v>
      </c>
      <c r="S267" s="548">
        <v>40845</v>
      </c>
      <c r="T267" s="552">
        <v>8332380</v>
      </c>
      <c r="U267" s="548">
        <v>0</v>
      </c>
      <c r="V267" s="552">
        <v>0</v>
      </c>
      <c r="W267" s="552">
        <v>0</v>
      </c>
      <c r="X267" s="552">
        <v>0</v>
      </c>
      <c r="Y267" s="552">
        <v>40845</v>
      </c>
      <c r="Z267" s="552">
        <v>8332380</v>
      </c>
      <c r="AA267" s="552">
        <v>40790</v>
      </c>
      <c r="AB267" s="552">
        <v>8321160</v>
      </c>
      <c r="AC267" s="552">
        <v>55</v>
      </c>
      <c r="AD267" s="552">
        <v>11220</v>
      </c>
      <c r="AE267" s="552">
        <v>0</v>
      </c>
      <c r="AF267" s="552">
        <v>0</v>
      </c>
      <c r="AG267" s="552">
        <v>0</v>
      </c>
      <c r="AH267" s="552">
        <v>0</v>
      </c>
      <c r="AI267" s="552">
        <v>0</v>
      </c>
      <c r="AJ267" s="552">
        <v>0</v>
      </c>
    </row>
    <row r="268" spans="1:36" ht="15.95" customHeight="1">
      <c r="A268" s="547"/>
      <c r="B268" s="548">
        <v>446</v>
      </c>
      <c r="C268" s="549">
        <v>6910</v>
      </c>
      <c r="D268" s="550" t="s">
        <v>11748</v>
      </c>
      <c r="E268" s="550" t="s">
        <v>4072</v>
      </c>
      <c r="F268" s="550" t="s">
        <v>4073</v>
      </c>
      <c r="G268" s="550" t="s">
        <v>1618</v>
      </c>
      <c r="H268" s="550" t="s">
        <v>994</v>
      </c>
      <c r="I268" s="550" t="s">
        <v>11</v>
      </c>
      <c r="J268" s="550" t="s">
        <v>11750</v>
      </c>
      <c r="K268" s="551">
        <v>45312</v>
      </c>
      <c r="L268" s="552">
        <v>204</v>
      </c>
      <c r="M268" s="552">
        <v>204</v>
      </c>
      <c r="N268" s="552">
        <v>204</v>
      </c>
      <c r="O268" s="552"/>
      <c r="P268" s="552"/>
      <c r="Q268" s="548">
        <v>19984</v>
      </c>
      <c r="R268" s="552">
        <v>4076736</v>
      </c>
      <c r="S268" s="548">
        <v>19941</v>
      </c>
      <c r="T268" s="552">
        <v>4067964</v>
      </c>
      <c r="U268" s="548">
        <v>43</v>
      </c>
      <c r="V268" s="552">
        <v>8772</v>
      </c>
      <c r="W268" s="552">
        <v>0</v>
      </c>
      <c r="X268" s="552">
        <v>0</v>
      </c>
      <c r="Y268" s="552">
        <v>19941</v>
      </c>
      <c r="Z268" s="552">
        <v>4067964</v>
      </c>
      <c r="AA268" s="552">
        <v>19920</v>
      </c>
      <c r="AB268" s="552">
        <v>4063680</v>
      </c>
      <c r="AC268" s="552">
        <v>21</v>
      </c>
      <c r="AD268" s="552">
        <v>4284</v>
      </c>
      <c r="AE268" s="552">
        <v>0</v>
      </c>
      <c r="AF268" s="552">
        <v>0</v>
      </c>
      <c r="AG268" s="552">
        <v>0</v>
      </c>
      <c r="AH268" s="552">
        <v>0</v>
      </c>
      <c r="AI268" s="552">
        <v>0</v>
      </c>
      <c r="AJ268" s="552">
        <v>0</v>
      </c>
    </row>
    <row r="269" spans="1:36" ht="15.95" customHeight="1">
      <c r="A269" s="547"/>
      <c r="B269" s="548">
        <v>447</v>
      </c>
      <c r="C269" s="549">
        <v>6827</v>
      </c>
      <c r="D269" s="550" t="s">
        <v>11751</v>
      </c>
      <c r="E269" s="550" t="s">
        <v>4076</v>
      </c>
      <c r="F269" s="550" t="s">
        <v>4077</v>
      </c>
      <c r="G269" s="550" t="s">
        <v>513</v>
      </c>
      <c r="H269" s="550" t="s">
        <v>4078</v>
      </c>
      <c r="I269" s="550" t="s">
        <v>520</v>
      </c>
      <c r="J269" s="550" t="s">
        <v>11752</v>
      </c>
      <c r="K269" s="551">
        <v>45020</v>
      </c>
      <c r="L269" s="552">
        <v>966</v>
      </c>
      <c r="M269" s="552">
        <v>966</v>
      </c>
      <c r="N269" s="552">
        <v>966</v>
      </c>
      <c r="O269" s="552">
        <v>1400</v>
      </c>
      <c r="P269" s="552">
        <v>1352400</v>
      </c>
      <c r="Q269" s="548">
        <v>0</v>
      </c>
      <c r="R269" s="552">
        <v>0</v>
      </c>
      <c r="S269" s="548">
        <v>559</v>
      </c>
      <c r="T269" s="552">
        <v>539994</v>
      </c>
      <c r="U269" s="548">
        <v>841</v>
      </c>
      <c r="V269" s="552">
        <v>812406</v>
      </c>
      <c r="W269" s="552">
        <v>0</v>
      </c>
      <c r="X269" s="552">
        <v>0</v>
      </c>
      <c r="Y269" s="552">
        <v>494</v>
      </c>
      <c r="Z269" s="552">
        <v>477204</v>
      </c>
      <c r="AA269" s="552">
        <v>0</v>
      </c>
      <c r="AB269" s="552">
        <v>0</v>
      </c>
      <c r="AC269" s="552">
        <v>494</v>
      </c>
      <c r="AD269" s="552">
        <v>477204</v>
      </c>
      <c r="AE269" s="552">
        <v>0</v>
      </c>
      <c r="AF269" s="552">
        <v>0</v>
      </c>
      <c r="AG269" s="552">
        <v>65</v>
      </c>
      <c r="AH269" s="552">
        <v>62790</v>
      </c>
      <c r="AI269" s="552">
        <v>0</v>
      </c>
      <c r="AJ269" s="552">
        <v>0</v>
      </c>
    </row>
    <row r="270" spans="1:36" ht="15.95" customHeight="1">
      <c r="A270" s="547"/>
      <c r="B270" s="548">
        <v>448</v>
      </c>
      <c r="C270" s="549">
        <v>6827</v>
      </c>
      <c r="D270" s="550" t="s">
        <v>11751</v>
      </c>
      <c r="E270" s="550" t="s">
        <v>4076</v>
      </c>
      <c r="F270" s="550" t="s">
        <v>4077</v>
      </c>
      <c r="G270" s="550" t="s">
        <v>513</v>
      </c>
      <c r="H270" s="550" t="s">
        <v>4078</v>
      </c>
      <c r="I270" s="550" t="s">
        <v>520</v>
      </c>
      <c r="J270" s="550" t="s">
        <v>4079</v>
      </c>
      <c r="K270" s="551">
        <v>44791</v>
      </c>
      <c r="L270" s="552">
        <v>966</v>
      </c>
      <c r="M270" s="552">
        <v>966</v>
      </c>
      <c r="N270" s="552">
        <v>966</v>
      </c>
      <c r="O270" s="552">
        <v>32</v>
      </c>
      <c r="P270" s="552">
        <v>30912</v>
      </c>
      <c r="Q270" s="548">
        <v>0</v>
      </c>
      <c r="R270" s="552">
        <v>0</v>
      </c>
      <c r="S270" s="548">
        <v>32</v>
      </c>
      <c r="T270" s="552">
        <v>30912</v>
      </c>
      <c r="U270" s="548">
        <v>0</v>
      </c>
      <c r="V270" s="552">
        <v>0</v>
      </c>
      <c r="W270" s="552">
        <v>0</v>
      </c>
      <c r="X270" s="552">
        <v>0</v>
      </c>
      <c r="Y270" s="552">
        <v>32</v>
      </c>
      <c r="Z270" s="552">
        <v>30912</v>
      </c>
      <c r="AA270" s="552">
        <v>0</v>
      </c>
      <c r="AB270" s="552">
        <v>0</v>
      </c>
      <c r="AC270" s="552">
        <v>32</v>
      </c>
      <c r="AD270" s="552">
        <v>30912</v>
      </c>
      <c r="AE270" s="552">
        <v>0</v>
      </c>
      <c r="AF270" s="552">
        <v>0</v>
      </c>
      <c r="AG270" s="552">
        <v>0</v>
      </c>
      <c r="AH270" s="552">
        <v>0</v>
      </c>
      <c r="AI270" s="552">
        <v>0</v>
      </c>
      <c r="AJ270" s="552">
        <v>0</v>
      </c>
    </row>
    <row r="271" spans="1:36" ht="15.95" customHeight="1">
      <c r="A271" s="547"/>
      <c r="B271" s="548">
        <v>452</v>
      </c>
      <c r="C271" s="549">
        <v>6912</v>
      </c>
      <c r="D271" s="550" t="s">
        <v>11753</v>
      </c>
      <c r="E271" s="550" t="s">
        <v>4082</v>
      </c>
      <c r="F271" s="550" t="s">
        <v>2494</v>
      </c>
      <c r="G271" s="550" t="s">
        <v>1618</v>
      </c>
      <c r="H271" s="550" t="s">
        <v>994</v>
      </c>
      <c r="I271" s="550" t="s">
        <v>11</v>
      </c>
      <c r="J271" s="550" t="s">
        <v>11754</v>
      </c>
      <c r="K271" s="551">
        <v>46169</v>
      </c>
      <c r="L271" s="552">
        <v>204</v>
      </c>
      <c r="M271" s="552">
        <v>204</v>
      </c>
      <c r="N271" s="552">
        <v>204</v>
      </c>
      <c r="O271" s="552"/>
      <c r="P271" s="552"/>
      <c r="Q271" s="548">
        <v>36000</v>
      </c>
      <c r="R271" s="552">
        <v>7344000</v>
      </c>
      <c r="S271" s="548">
        <v>10400</v>
      </c>
      <c r="T271" s="552">
        <v>2121600</v>
      </c>
      <c r="U271" s="548">
        <v>25600</v>
      </c>
      <c r="V271" s="552">
        <v>5222400</v>
      </c>
      <c r="W271" s="552">
        <v>0</v>
      </c>
      <c r="X271" s="552">
        <v>0</v>
      </c>
      <c r="Y271" s="552">
        <v>10400</v>
      </c>
      <c r="Z271" s="552">
        <v>2121600</v>
      </c>
      <c r="AA271" s="552">
        <v>10400</v>
      </c>
      <c r="AB271" s="552">
        <v>2121600</v>
      </c>
      <c r="AC271" s="552">
        <v>0</v>
      </c>
      <c r="AD271" s="552">
        <v>0</v>
      </c>
      <c r="AE271" s="552">
        <v>0</v>
      </c>
      <c r="AF271" s="552">
        <v>0</v>
      </c>
      <c r="AG271" s="552">
        <v>0</v>
      </c>
      <c r="AH271" s="552">
        <v>0</v>
      </c>
      <c r="AI271" s="552">
        <v>0</v>
      </c>
      <c r="AJ271" s="552">
        <v>0</v>
      </c>
    </row>
    <row r="272" spans="1:36" ht="15.95" customHeight="1">
      <c r="A272" s="547"/>
      <c r="B272" s="548">
        <v>453</v>
      </c>
      <c r="C272" s="549">
        <v>5765</v>
      </c>
      <c r="D272" s="550"/>
      <c r="E272" s="550" t="s">
        <v>4083</v>
      </c>
      <c r="F272" s="550" t="s">
        <v>1892</v>
      </c>
      <c r="G272" s="550" t="s">
        <v>4084</v>
      </c>
      <c r="H272" s="550" t="s">
        <v>327</v>
      </c>
      <c r="I272" s="550" t="s">
        <v>10</v>
      </c>
      <c r="J272" s="550" t="s">
        <v>4085</v>
      </c>
      <c r="K272" s="551">
        <v>44355</v>
      </c>
      <c r="L272" s="552">
        <v>5500</v>
      </c>
      <c r="M272" s="552">
        <v>5500</v>
      </c>
      <c r="N272" s="552">
        <v>5500</v>
      </c>
      <c r="O272" s="552">
        <v>5</v>
      </c>
      <c r="P272" s="552">
        <v>27500</v>
      </c>
      <c r="Q272" s="548">
        <v>0</v>
      </c>
      <c r="R272" s="552">
        <v>0</v>
      </c>
      <c r="S272" s="548">
        <v>5</v>
      </c>
      <c r="T272" s="552">
        <v>27500</v>
      </c>
      <c r="U272" s="548">
        <v>0</v>
      </c>
      <c r="V272" s="552">
        <v>0</v>
      </c>
      <c r="W272" s="552">
        <v>0</v>
      </c>
      <c r="X272" s="552">
        <v>0</v>
      </c>
      <c r="Y272" s="552">
        <v>0</v>
      </c>
      <c r="Z272" s="552">
        <v>0</v>
      </c>
      <c r="AA272" s="552">
        <v>0</v>
      </c>
      <c r="AB272" s="552">
        <v>0</v>
      </c>
      <c r="AC272" s="552">
        <v>0</v>
      </c>
      <c r="AD272" s="552">
        <v>0</v>
      </c>
      <c r="AE272" s="552">
        <v>0</v>
      </c>
      <c r="AF272" s="552">
        <v>0</v>
      </c>
      <c r="AG272" s="552">
        <v>5</v>
      </c>
      <c r="AH272" s="552">
        <v>27500</v>
      </c>
      <c r="AI272" s="552">
        <v>0</v>
      </c>
      <c r="AJ272" s="552">
        <v>0</v>
      </c>
    </row>
    <row r="273" spans="1:36" ht="15.95" customHeight="1">
      <c r="A273" s="547"/>
      <c r="B273" s="548">
        <v>454</v>
      </c>
      <c r="C273" s="549">
        <v>5605</v>
      </c>
      <c r="D273" s="550"/>
      <c r="E273" s="550" t="s">
        <v>4086</v>
      </c>
      <c r="F273" s="550" t="s">
        <v>732</v>
      </c>
      <c r="G273" s="550" t="s">
        <v>731</v>
      </c>
      <c r="H273" s="550" t="s">
        <v>733</v>
      </c>
      <c r="I273" s="550" t="s">
        <v>628</v>
      </c>
      <c r="J273" s="550" t="s">
        <v>4087</v>
      </c>
      <c r="K273" s="551">
        <v>44256</v>
      </c>
      <c r="L273" s="552">
        <v>72975</v>
      </c>
      <c r="M273" s="552">
        <v>72975</v>
      </c>
      <c r="N273" s="552">
        <v>72975</v>
      </c>
      <c r="O273" s="552">
        <v>10</v>
      </c>
      <c r="P273" s="552">
        <v>729750</v>
      </c>
      <c r="Q273" s="548">
        <v>0</v>
      </c>
      <c r="R273" s="552">
        <v>0</v>
      </c>
      <c r="S273" s="548">
        <v>10</v>
      </c>
      <c r="T273" s="552">
        <v>729750</v>
      </c>
      <c r="U273" s="548">
        <v>0</v>
      </c>
      <c r="V273" s="552">
        <v>0</v>
      </c>
      <c r="W273" s="552">
        <v>0</v>
      </c>
      <c r="X273" s="552">
        <v>0</v>
      </c>
      <c r="Y273" s="552">
        <v>0</v>
      </c>
      <c r="Z273" s="552">
        <v>0</v>
      </c>
      <c r="AA273" s="552">
        <v>0</v>
      </c>
      <c r="AB273" s="552">
        <v>0</v>
      </c>
      <c r="AC273" s="552">
        <v>0</v>
      </c>
      <c r="AD273" s="552">
        <v>0</v>
      </c>
      <c r="AE273" s="552">
        <v>0</v>
      </c>
      <c r="AF273" s="552">
        <v>0</v>
      </c>
      <c r="AG273" s="552">
        <v>10</v>
      </c>
      <c r="AH273" s="552">
        <v>729750</v>
      </c>
      <c r="AI273" s="552">
        <v>0</v>
      </c>
      <c r="AJ273" s="552">
        <v>0</v>
      </c>
    </row>
    <row r="274" spans="1:36" ht="15.95" customHeight="1">
      <c r="A274" s="547"/>
      <c r="B274" s="548">
        <v>455</v>
      </c>
      <c r="C274" s="549">
        <v>5606</v>
      </c>
      <c r="D274" s="550"/>
      <c r="E274" s="550" t="s">
        <v>4088</v>
      </c>
      <c r="F274" s="550" t="s">
        <v>732</v>
      </c>
      <c r="G274" s="550" t="s">
        <v>731</v>
      </c>
      <c r="H274" s="550" t="s">
        <v>733</v>
      </c>
      <c r="I274" s="550" t="s">
        <v>628</v>
      </c>
      <c r="J274" s="550" t="s">
        <v>4089</v>
      </c>
      <c r="K274" s="551">
        <v>44348</v>
      </c>
      <c r="L274" s="552">
        <v>72975</v>
      </c>
      <c r="M274" s="552">
        <v>72975</v>
      </c>
      <c r="N274" s="552">
        <v>72975</v>
      </c>
      <c r="O274" s="552">
        <v>10</v>
      </c>
      <c r="P274" s="552">
        <v>729750</v>
      </c>
      <c r="Q274" s="548">
        <v>0</v>
      </c>
      <c r="R274" s="552">
        <v>0</v>
      </c>
      <c r="S274" s="548">
        <v>10</v>
      </c>
      <c r="T274" s="552">
        <v>729750</v>
      </c>
      <c r="U274" s="548">
        <v>0</v>
      </c>
      <c r="V274" s="552">
        <v>0</v>
      </c>
      <c r="W274" s="552">
        <v>0</v>
      </c>
      <c r="X274" s="552">
        <v>0</v>
      </c>
      <c r="Y274" s="552">
        <v>0</v>
      </c>
      <c r="Z274" s="552">
        <v>0</v>
      </c>
      <c r="AA274" s="552">
        <v>0</v>
      </c>
      <c r="AB274" s="552">
        <v>0</v>
      </c>
      <c r="AC274" s="552">
        <v>0</v>
      </c>
      <c r="AD274" s="552">
        <v>0</v>
      </c>
      <c r="AE274" s="552">
        <v>0</v>
      </c>
      <c r="AF274" s="552">
        <v>0</v>
      </c>
      <c r="AG274" s="552">
        <v>10</v>
      </c>
      <c r="AH274" s="552">
        <v>729750</v>
      </c>
      <c r="AI274" s="552">
        <v>0</v>
      </c>
      <c r="AJ274" s="552">
        <v>0</v>
      </c>
    </row>
    <row r="275" spans="1:36" ht="15.95" customHeight="1">
      <c r="A275" s="547"/>
      <c r="B275" s="548">
        <v>456</v>
      </c>
      <c r="C275" s="549">
        <v>6829</v>
      </c>
      <c r="D275" s="550" t="s">
        <v>11755</v>
      </c>
      <c r="E275" s="550" t="s">
        <v>4086</v>
      </c>
      <c r="F275" s="550" t="s">
        <v>732</v>
      </c>
      <c r="G275" s="550" t="s">
        <v>11756</v>
      </c>
      <c r="H275" s="550" t="s">
        <v>6045</v>
      </c>
      <c r="I275" s="550" t="s">
        <v>520</v>
      </c>
      <c r="J275" s="550" t="s">
        <v>11757</v>
      </c>
      <c r="K275" s="551">
        <v>45318</v>
      </c>
      <c r="L275" s="552">
        <v>80283</v>
      </c>
      <c r="M275" s="552">
        <v>80283</v>
      </c>
      <c r="N275" s="552">
        <v>80283</v>
      </c>
      <c r="O275" s="552"/>
      <c r="P275" s="552"/>
      <c r="Q275" s="548">
        <v>10</v>
      </c>
      <c r="R275" s="552">
        <v>802830</v>
      </c>
      <c r="S275" s="548">
        <v>0</v>
      </c>
      <c r="T275" s="552">
        <v>0</v>
      </c>
      <c r="U275" s="548">
        <v>10</v>
      </c>
      <c r="V275" s="552">
        <v>802830</v>
      </c>
      <c r="W275" s="552">
        <v>0</v>
      </c>
      <c r="X275" s="552">
        <v>0</v>
      </c>
      <c r="Y275" s="552">
        <v>0</v>
      </c>
      <c r="Z275" s="552">
        <v>0</v>
      </c>
      <c r="AA275" s="552">
        <v>0</v>
      </c>
      <c r="AB275" s="552">
        <v>0</v>
      </c>
      <c r="AC275" s="552">
        <v>0</v>
      </c>
      <c r="AD275" s="552">
        <v>0</v>
      </c>
      <c r="AE275" s="552">
        <v>0</v>
      </c>
      <c r="AF275" s="552">
        <v>0</v>
      </c>
      <c r="AG275" s="552">
        <v>0</v>
      </c>
      <c r="AH275" s="552">
        <v>0</v>
      </c>
      <c r="AI275" s="552">
        <v>0</v>
      </c>
      <c r="AJ275" s="552">
        <v>0</v>
      </c>
    </row>
    <row r="276" spans="1:36" ht="15.95" customHeight="1">
      <c r="A276" s="547"/>
      <c r="B276" s="548">
        <v>457</v>
      </c>
      <c r="C276" s="549">
        <v>6811</v>
      </c>
      <c r="D276" s="550" t="s">
        <v>11758</v>
      </c>
      <c r="E276" s="550" t="s">
        <v>4090</v>
      </c>
      <c r="F276" s="550" t="s">
        <v>4091</v>
      </c>
      <c r="G276" s="550" t="s">
        <v>309</v>
      </c>
      <c r="H276" s="550" t="s">
        <v>229</v>
      </c>
      <c r="I276" s="550" t="s">
        <v>11</v>
      </c>
      <c r="J276" s="550" t="s">
        <v>4092</v>
      </c>
      <c r="K276" s="551">
        <v>44773</v>
      </c>
      <c r="L276" s="552">
        <v>2880</v>
      </c>
      <c r="M276" s="552">
        <v>2880</v>
      </c>
      <c r="N276" s="552">
        <v>2880</v>
      </c>
      <c r="O276" s="552">
        <v>21830</v>
      </c>
      <c r="P276" s="552">
        <v>62870400</v>
      </c>
      <c r="Q276" s="548">
        <v>0</v>
      </c>
      <c r="R276" s="552">
        <v>0</v>
      </c>
      <c r="S276" s="548">
        <v>7148</v>
      </c>
      <c r="T276" s="552">
        <v>20586240</v>
      </c>
      <c r="U276" s="548">
        <v>14682</v>
      </c>
      <c r="V276" s="552">
        <v>42284160</v>
      </c>
      <c r="W276" s="552">
        <v>0</v>
      </c>
      <c r="X276" s="552">
        <v>0</v>
      </c>
      <c r="Y276" s="552">
        <v>7148</v>
      </c>
      <c r="Z276" s="552">
        <v>20586240</v>
      </c>
      <c r="AA276" s="552">
        <v>7144</v>
      </c>
      <c r="AB276" s="552">
        <v>20574720</v>
      </c>
      <c r="AC276" s="552">
        <v>4</v>
      </c>
      <c r="AD276" s="552">
        <v>11520</v>
      </c>
      <c r="AE276" s="552">
        <v>0</v>
      </c>
      <c r="AF276" s="552">
        <v>0</v>
      </c>
      <c r="AG276" s="552">
        <v>0</v>
      </c>
      <c r="AH276" s="552">
        <v>0</v>
      </c>
      <c r="AI276" s="552">
        <v>0</v>
      </c>
      <c r="AJ276" s="552">
        <v>0</v>
      </c>
    </row>
    <row r="277" spans="1:36" ht="15.95" customHeight="1">
      <c r="A277" s="547"/>
      <c r="B277" s="548">
        <v>458</v>
      </c>
      <c r="C277" s="549">
        <v>7831</v>
      </c>
      <c r="D277" s="550" t="s">
        <v>11759</v>
      </c>
      <c r="E277" s="550" t="s">
        <v>11759</v>
      </c>
      <c r="F277" s="550" t="s">
        <v>11760</v>
      </c>
      <c r="G277" s="550" t="s">
        <v>11761</v>
      </c>
      <c r="H277" s="550" t="s">
        <v>387</v>
      </c>
      <c r="I277" s="550" t="s">
        <v>11</v>
      </c>
      <c r="J277" s="550" t="s">
        <v>11762</v>
      </c>
      <c r="K277" s="551">
        <v>45174</v>
      </c>
      <c r="L277" s="552">
        <v>0</v>
      </c>
      <c r="M277" s="552">
        <v>0</v>
      </c>
      <c r="N277" s="552">
        <v>0</v>
      </c>
      <c r="O277" s="552"/>
      <c r="P277" s="552"/>
      <c r="Q277" s="548">
        <v>2002</v>
      </c>
      <c r="R277" s="552">
        <v>0</v>
      </c>
      <c r="S277" s="548">
        <v>2002</v>
      </c>
      <c r="T277" s="552">
        <v>0</v>
      </c>
      <c r="U277" s="548">
        <v>0</v>
      </c>
      <c r="V277" s="552">
        <v>0</v>
      </c>
      <c r="W277" s="552">
        <v>0</v>
      </c>
      <c r="X277" s="552">
        <v>0</v>
      </c>
      <c r="Y277" s="552">
        <v>8</v>
      </c>
      <c r="Z277" s="552">
        <v>0</v>
      </c>
      <c r="AA277" s="552">
        <v>0</v>
      </c>
      <c r="AB277" s="552">
        <v>0</v>
      </c>
      <c r="AC277" s="552">
        <v>8</v>
      </c>
      <c r="AD277" s="552">
        <v>0</v>
      </c>
      <c r="AE277" s="552">
        <v>0</v>
      </c>
      <c r="AF277" s="552">
        <v>0</v>
      </c>
      <c r="AG277" s="552">
        <v>1994</v>
      </c>
      <c r="AH277" s="552">
        <v>0</v>
      </c>
      <c r="AI277" s="552">
        <v>0</v>
      </c>
      <c r="AJ277" s="552">
        <v>0</v>
      </c>
    </row>
    <row r="278" spans="1:36" ht="15.95" customHeight="1">
      <c r="A278" s="547"/>
      <c r="B278" s="548">
        <v>459</v>
      </c>
      <c r="C278" s="549">
        <v>5437</v>
      </c>
      <c r="D278" s="550"/>
      <c r="E278" s="550" t="s">
        <v>3876</v>
      </c>
      <c r="F278" s="550" t="s">
        <v>545</v>
      </c>
      <c r="G278" s="550" t="s">
        <v>544</v>
      </c>
      <c r="H278" s="550" t="s">
        <v>546</v>
      </c>
      <c r="I278" s="550" t="s">
        <v>11</v>
      </c>
      <c r="J278" s="550" t="s">
        <v>4093</v>
      </c>
      <c r="K278" s="551">
        <v>44133</v>
      </c>
      <c r="L278" s="552">
        <v>210</v>
      </c>
      <c r="M278" s="552">
        <v>210</v>
      </c>
      <c r="N278" s="552">
        <v>210</v>
      </c>
      <c r="O278" s="552">
        <v>406</v>
      </c>
      <c r="P278" s="552">
        <v>85260</v>
      </c>
      <c r="Q278" s="548">
        <v>0</v>
      </c>
      <c r="R278" s="552">
        <v>0</v>
      </c>
      <c r="S278" s="548">
        <v>406</v>
      </c>
      <c r="T278" s="552">
        <v>85260</v>
      </c>
      <c r="U278" s="548">
        <v>0</v>
      </c>
      <c r="V278" s="552">
        <v>0</v>
      </c>
      <c r="W278" s="552">
        <v>0</v>
      </c>
      <c r="X278" s="552">
        <v>0</v>
      </c>
      <c r="Y278" s="552">
        <v>0</v>
      </c>
      <c r="Z278" s="552">
        <v>0</v>
      </c>
      <c r="AA278" s="552">
        <v>0</v>
      </c>
      <c r="AB278" s="552">
        <v>0</v>
      </c>
      <c r="AC278" s="552">
        <v>0</v>
      </c>
      <c r="AD278" s="552">
        <v>0</v>
      </c>
      <c r="AE278" s="552">
        <v>0</v>
      </c>
      <c r="AF278" s="552">
        <v>0</v>
      </c>
      <c r="AG278" s="552">
        <v>406</v>
      </c>
      <c r="AH278" s="552">
        <v>85260</v>
      </c>
      <c r="AI278" s="552">
        <v>0</v>
      </c>
      <c r="AJ278" s="552">
        <v>0</v>
      </c>
    </row>
    <row r="279" spans="1:36" ht="15.95" customHeight="1">
      <c r="A279" s="547"/>
      <c r="B279" s="548">
        <v>460</v>
      </c>
      <c r="C279" s="549">
        <v>5683</v>
      </c>
      <c r="D279" s="550"/>
      <c r="E279" s="550" t="s">
        <v>4094</v>
      </c>
      <c r="F279" s="550" t="s">
        <v>1586</v>
      </c>
      <c r="G279" s="550" t="s">
        <v>1585</v>
      </c>
      <c r="H279" s="550" t="s">
        <v>1587</v>
      </c>
      <c r="I279" s="550" t="s">
        <v>13</v>
      </c>
      <c r="J279" s="550" t="s">
        <v>4095</v>
      </c>
      <c r="K279" s="551">
        <v>44348</v>
      </c>
      <c r="L279" s="552">
        <v>7900</v>
      </c>
      <c r="M279" s="552">
        <v>7900</v>
      </c>
      <c r="N279" s="552">
        <v>7900</v>
      </c>
      <c r="O279" s="552">
        <v>2539</v>
      </c>
      <c r="P279" s="552">
        <v>20058100</v>
      </c>
      <c r="Q279" s="548">
        <v>300</v>
      </c>
      <c r="R279" s="552">
        <v>2370000</v>
      </c>
      <c r="S279" s="548">
        <v>2838</v>
      </c>
      <c r="T279" s="552">
        <v>22420200</v>
      </c>
      <c r="U279" s="548">
        <v>1</v>
      </c>
      <c r="V279" s="552">
        <v>7900</v>
      </c>
      <c r="W279" s="552">
        <v>1803</v>
      </c>
      <c r="X279" s="552">
        <v>14243700</v>
      </c>
      <c r="Y279" s="552">
        <v>2838</v>
      </c>
      <c r="Z279" s="552">
        <v>22420200</v>
      </c>
      <c r="AA279" s="552">
        <v>1802</v>
      </c>
      <c r="AB279" s="552">
        <v>14235800</v>
      </c>
      <c r="AC279" s="552">
        <v>1036</v>
      </c>
      <c r="AD279" s="552">
        <v>8184400</v>
      </c>
      <c r="AE279" s="552">
        <v>0</v>
      </c>
      <c r="AF279" s="552">
        <v>0</v>
      </c>
      <c r="AG279" s="552">
        <v>0</v>
      </c>
      <c r="AH279" s="552">
        <v>0</v>
      </c>
      <c r="AI279" s="552">
        <v>300</v>
      </c>
      <c r="AJ279" s="552">
        <v>2370000</v>
      </c>
    </row>
    <row r="280" spans="1:36" ht="15.95" customHeight="1">
      <c r="A280" s="547"/>
      <c r="B280" s="548">
        <v>461</v>
      </c>
      <c r="C280" s="549">
        <v>6737</v>
      </c>
      <c r="D280" s="550" t="s">
        <v>11763</v>
      </c>
      <c r="E280" s="550" t="s">
        <v>4094</v>
      </c>
      <c r="F280" s="550" t="s">
        <v>1586</v>
      </c>
      <c r="G280" s="550" t="s">
        <v>1585</v>
      </c>
      <c r="H280" s="550" t="s">
        <v>1587</v>
      </c>
      <c r="I280" s="550" t="s">
        <v>13</v>
      </c>
      <c r="J280" s="550" t="s">
        <v>11764</v>
      </c>
      <c r="K280" s="551">
        <v>44774</v>
      </c>
      <c r="L280" s="552">
        <v>7750</v>
      </c>
      <c r="M280" s="552">
        <v>7750</v>
      </c>
      <c r="N280" s="552">
        <v>7750</v>
      </c>
      <c r="O280" s="552"/>
      <c r="P280" s="552"/>
      <c r="Q280" s="548">
        <v>1000</v>
      </c>
      <c r="R280" s="552">
        <v>7750000</v>
      </c>
      <c r="S280" s="548">
        <v>0</v>
      </c>
      <c r="T280" s="552">
        <v>0</v>
      </c>
      <c r="U280" s="548">
        <v>1000</v>
      </c>
      <c r="V280" s="552">
        <v>7750000</v>
      </c>
      <c r="W280" s="552">
        <v>0</v>
      </c>
      <c r="X280" s="552">
        <v>0</v>
      </c>
      <c r="Y280" s="552">
        <v>0</v>
      </c>
      <c r="Z280" s="552">
        <v>0</v>
      </c>
      <c r="AA280" s="552">
        <v>0</v>
      </c>
      <c r="AB280" s="552">
        <v>0</v>
      </c>
      <c r="AC280" s="552">
        <v>0</v>
      </c>
      <c r="AD280" s="552">
        <v>0</v>
      </c>
      <c r="AE280" s="552">
        <v>0</v>
      </c>
      <c r="AF280" s="552">
        <v>0</v>
      </c>
      <c r="AG280" s="552">
        <v>0</v>
      </c>
      <c r="AH280" s="552">
        <v>0</v>
      </c>
      <c r="AI280" s="552">
        <v>0</v>
      </c>
      <c r="AJ280" s="552">
        <v>0</v>
      </c>
    </row>
    <row r="281" spans="1:36" ht="15.95" customHeight="1">
      <c r="A281" s="547"/>
      <c r="B281" s="548">
        <v>467</v>
      </c>
      <c r="C281" s="549">
        <v>6783</v>
      </c>
      <c r="D281" s="550" t="s">
        <v>11765</v>
      </c>
      <c r="E281" s="550" t="s">
        <v>4101</v>
      </c>
      <c r="F281" s="550" t="s">
        <v>4102</v>
      </c>
      <c r="G281" s="550" t="s">
        <v>376</v>
      </c>
      <c r="H281" s="550" t="s">
        <v>4103</v>
      </c>
      <c r="I281" s="550" t="s">
        <v>11</v>
      </c>
      <c r="J281" s="550" t="s">
        <v>4104</v>
      </c>
      <c r="K281" s="551">
        <v>45093</v>
      </c>
      <c r="L281" s="552">
        <v>3150</v>
      </c>
      <c r="M281" s="552">
        <v>3150</v>
      </c>
      <c r="N281" s="552">
        <v>3150</v>
      </c>
      <c r="O281" s="552">
        <v>1915</v>
      </c>
      <c r="P281" s="552">
        <v>6032250</v>
      </c>
      <c r="Q281" s="548">
        <v>1</v>
      </c>
      <c r="R281" s="552">
        <v>3150</v>
      </c>
      <c r="S281" s="548">
        <v>1898</v>
      </c>
      <c r="T281" s="552">
        <v>5978700</v>
      </c>
      <c r="U281" s="548">
        <v>18</v>
      </c>
      <c r="V281" s="552">
        <v>56700</v>
      </c>
      <c r="W281" s="552">
        <v>0</v>
      </c>
      <c r="X281" s="552">
        <v>0</v>
      </c>
      <c r="Y281" s="552">
        <v>1898</v>
      </c>
      <c r="Z281" s="552">
        <v>5978700</v>
      </c>
      <c r="AA281" s="552">
        <v>1866</v>
      </c>
      <c r="AB281" s="552">
        <v>5877900</v>
      </c>
      <c r="AC281" s="552">
        <v>32</v>
      </c>
      <c r="AD281" s="552">
        <v>100800</v>
      </c>
      <c r="AE281" s="552">
        <v>0</v>
      </c>
      <c r="AF281" s="552">
        <v>0</v>
      </c>
      <c r="AG281" s="552">
        <v>0</v>
      </c>
      <c r="AH281" s="552">
        <v>0</v>
      </c>
      <c r="AI281" s="552">
        <v>0</v>
      </c>
      <c r="AJ281" s="552">
        <v>0</v>
      </c>
    </row>
    <row r="282" spans="1:36" ht="15.95" customHeight="1">
      <c r="A282" s="547"/>
      <c r="B282" s="548">
        <v>468</v>
      </c>
      <c r="C282" s="549">
        <v>6783</v>
      </c>
      <c r="D282" s="550" t="s">
        <v>11765</v>
      </c>
      <c r="E282" s="550" t="s">
        <v>4101</v>
      </c>
      <c r="F282" s="550" t="s">
        <v>4102</v>
      </c>
      <c r="G282" s="550" t="s">
        <v>376</v>
      </c>
      <c r="H282" s="550" t="s">
        <v>4103</v>
      </c>
      <c r="I282" s="550" t="s">
        <v>11</v>
      </c>
      <c r="J282" s="550" t="s">
        <v>11766</v>
      </c>
      <c r="K282" s="551">
        <v>45328</v>
      </c>
      <c r="L282" s="552">
        <v>3150</v>
      </c>
      <c r="M282" s="552">
        <v>3150</v>
      </c>
      <c r="N282" s="552">
        <v>3150</v>
      </c>
      <c r="O282" s="552"/>
      <c r="P282" s="552"/>
      <c r="Q282" s="548">
        <v>9000</v>
      </c>
      <c r="R282" s="552">
        <v>28350000</v>
      </c>
      <c r="S282" s="548">
        <v>7094</v>
      </c>
      <c r="T282" s="552">
        <v>22346100</v>
      </c>
      <c r="U282" s="548">
        <v>1906</v>
      </c>
      <c r="V282" s="552">
        <v>6003900</v>
      </c>
      <c r="W282" s="552">
        <v>0</v>
      </c>
      <c r="X282" s="552">
        <v>0</v>
      </c>
      <c r="Y282" s="552">
        <v>7094</v>
      </c>
      <c r="Z282" s="552">
        <v>22346100</v>
      </c>
      <c r="AA282" s="552">
        <v>7094</v>
      </c>
      <c r="AB282" s="552">
        <v>22346100</v>
      </c>
      <c r="AC282" s="552">
        <v>0</v>
      </c>
      <c r="AD282" s="552">
        <v>0</v>
      </c>
      <c r="AE282" s="552">
        <v>0</v>
      </c>
      <c r="AF282" s="552">
        <v>0</v>
      </c>
      <c r="AG282" s="552">
        <v>0</v>
      </c>
      <c r="AH282" s="552">
        <v>0</v>
      </c>
      <c r="AI282" s="552">
        <v>0</v>
      </c>
      <c r="AJ282" s="552">
        <v>0</v>
      </c>
    </row>
    <row r="283" spans="1:36" ht="15.95" customHeight="1">
      <c r="A283" s="547"/>
      <c r="B283" s="548">
        <v>469</v>
      </c>
      <c r="C283" s="549">
        <v>6783</v>
      </c>
      <c r="D283" s="550" t="s">
        <v>11765</v>
      </c>
      <c r="E283" s="550" t="s">
        <v>4101</v>
      </c>
      <c r="F283" s="550" t="s">
        <v>4102</v>
      </c>
      <c r="G283" s="550" t="s">
        <v>376</v>
      </c>
      <c r="H283" s="550" t="s">
        <v>4103</v>
      </c>
      <c r="I283" s="550" t="s">
        <v>11</v>
      </c>
      <c r="J283" s="550" t="s">
        <v>4105</v>
      </c>
      <c r="K283" s="551">
        <v>45108</v>
      </c>
      <c r="L283" s="552">
        <v>3150</v>
      </c>
      <c r="M283" s="552">
        <v>3150</v>
      </c>
      <c r="N283" s="552">
        <v>3150</v>
      </c>
      <c r="O283" s="552">
        <v>3000</v>
      </c>
      <c r="P283" s="552">
        <v>9450000</v>
      </c>
      <c r="Q283" s="548">
        <v>0</v>
      </c>
      <c r="R283" s="552">
        <v>0</v>
      </c>
      <c r="S283" s="548">
        <v>3000</v>
      </c>
      <c r="T283" s="552">
        <v>9450000</v>
      </c>
      <c r="U283" s="548">
        <v>0</v>
      </c>
      <c r="V283" s="552">
        <v>0</v>
      </c>
      <c r="W283" s="552">
        <v>0</v>
      </c>
      <c r="X283" s="552">
        <v>0</v>
      </c>
      <c r="Y283" s="552">
        <v>3000</v>
      </c>
      <c r="Z283" s="552">
        <v>9450000</v>
      </c>
      <c r="AA283" s="552">
        <v>3000</v>
      </c>
      <c r="AB283" s="552">
        <v>9450000</v>
      </c>
      <c r="AC283" s="552">
        <v>0</v>
      </c>
      <c r="AD283" s="552">
        <v>0</v>
      </c>
      <c r="AE283" s="552">
        <v>0</v>
      </c>
      <c r="AF283" s="552">
        <v>0</v>
      </c>
      <c r="AG283" s="552">
        <v>0</v>
      </c>
      <c r="AH283" s="552">
        <v>0</v>
      </c>
      <c r="AI283" s="552">
        <v>0</v>
      </c>
      <c r="AJ283" s="552">
        <v>0</v>
      </c>
    </row>
    <row r="284" spans="1:36" ht="15.95" customHeight="1">
      <c r="A284" s="547"/>
      <c r="B284" s="548">
        <v>470</v>
      </c>
      <c r="C284" s="549">
        <v>6783</v>
      </c>
      <c r="D284" s="550" t="s">
        <v>11765</v>
      </c>
      <c r="E284" s="550" t="s">
        <v>4101</v>
      </c>
      <c r="F284" s="550" t="s">
        <v>4102</v>
      </c>
      <c r="G284" s="550" t="s">
        <v>376</v>
      </c>
      <c r="H284" s="550" t="s">
        <v>4103</v>
      </c>
      <c r="I284" s="550" t="s">
        <v>11</v>
      </c>
      <c r="J284" s="550" t="s">
        <v>4896</v>
      </c>
      <c r="K284" s="551">
        <v>45250</v>
      </c>
      <c r="L284" s="552">
        <v>3150</v>
      </c>
      <c r="M284" s="552">
        <v>3150</v>
      </c>
      <c r="N284" s="552">
        <v>3150</v>
      </c>
      <c r="O284" s="552"/>
      <c r="P284" s="552"/>
      <c r="Q284" s="548">
        <v>29970</v>
      </c>
      <c r="R284" s="552">
        <v>94405500</v>
      </c>
      <c r="S284" s="548">
        <v>29914</v>
      </c>
      <c r="T284" s="552">
        <v>94229100</v>
      </c>
      <c r="U284" s="548">
        <v>56</v>
      </c>
      <c r="V284" s="552">
        <v>176400</v>
      </c>
      <c r="W284" s="552">
        <v>0</v>
      </c>
      <c r="X284" s="552">
        <v>0</v>
      </c>
      <c r="Y284" s="552">
        <v>29824</v>
      </c>
      <c r="Z284" s="552">
        <v>93945600</v>
      </c>
      <c r="AA284" s="552">
        <v>29824</v>
      </c>
      <c r="AB284" s="552">
        <v>93945600</v>
      </c>
      <c r="AC284" s="552">
        <v>0</v>
      </c>
      <c r="AD284" s="552">
        <v>0</v>
      </c>
      <c r="AE284" s="552">
        <v>0</v>
      </c>
      <c r="AF284" s="552">
        <v>0</v>
      </c>
      <c r="AG284" s="552">
        <v>90</v>
      </c>
      <c r="AH284" s="552">
        <v>283500</v>
      </c>
      <c r="AI284" s="552">
        <v>0</v>
      </c>
      <c r="AJ284" s="552">
        <v>0</v>
      </c>
    </row>
    <row r="285" spans="1:36" ht="15.95" customHeight="1">
      <c r="A285" s="547"/>
      <c r="B285" s="548">
        <v>474</v>
      </c>
      <c r="C285" s="549">
        <v>6668</v>
      </c>
      <c r="D285" s="550" t="s">
        <v>11767</v>
      </c>
      <c r="E285" s="550" t="s">
        <v>5769</v>
      </c>
      <c r="F285" s="550" t="s">
        <v>5770</v>
      </c>
      <c r="G285" s="550" t="s">
        <v>1480</v>
      </c>
      <c r="H285" s="550" t="s">
        <v>310</v>
      </c>
      <c r="I285" s="550" t="s">
        <v>11</v>
      </c>
      <c r="J285" s="550" t="s">
        <v>11768</v>
      </c>
      <c r="K285" s="551">
        <v>44972</v>
      </c>
      <c r="L285" s="552">
        <v>1100</v>
      </c>
      <c r="M285" s="552">
        <v>1100</v>
      </c>
      <c r="N285" s="552">
        <v>1100</v>
      </c>
      <c r="O285" s="552"/>
      <c r="P285" s="552"/>
      <c r="Q285" s="548">
        <v>14900</v>
      </c>
      <c r="R285" s="552">
        <v>16390000</v>
      </c>
      <c r="S285" s="548">
        <v>8100</v>
      </c>
      <c r="T285" s="552">
        <v>8910000</v>
      </c>
      <c r="U285" s="548">
        <v>6800</v>
      </c>
      <c r="V285" s="552">
        <v>7480000</v>
      </c>
      <c r="W285" s="552">
        <v>1311</v>
      </c>
      <c r="X285" s="552">
        <v>1442100</v>
      </c>
      <c r="Y285" s="552">
        <v>8100</v>
      </c>
      <c r="Z285" s="552">
        <v>8910000</v>
      </c>
      <c r="AA285" s="552">
        <v>0</v>
      </c>
      <c r="AB285" s="552">
        <v>0</v>
      </c>
      <c r="AC285" s="552">
        <v>8100</v>
      </c>
      <c r="AD285" s="552">
        <v>8910000</v>
      </c>
      <c r="AE285" s="552">
        <v>0</v>
      </c>
      <c r="AF285" s="552">
        <v>0</v>
      </c>
      <c r="AG285" s="552">
        <v>0</v>
      </c>
      <c r="AH285" s="552">
        <v>0</v>
      </c>
      <c r="AI285" s="552">
        <v>0</v>
      </c>
      <c r="AJ285" s="552">
        <v>0</v>
      </c>
    </row>
    <row r="286" spans="1:36" ht="15.95" customHeight="1">
      <c r="A286" s="547"/>
      <c r="B286" s="548">
        <v>475</v>
      </c>
      <c r="C286" s="549">
        <v>6668</v>
      </c>
      <c r="D286" s="550" t="s">
        <v>11767</v>
      </c>
      <c r="E286" s="550" t="s">
        <v>5769</v>
      </c>
      <c r="F286" s="550" t="s">
        <v>5770</v>
      </c>
      <c r="G286" s="550" t="s">
        <v>1480</v>
      </c>
      <c r="H286" s="550" t="s">
        <v>310</v>
      </c>
      <c r="I286" s="550" t="s">
        <v>11</v>
      </c>
      <c r="J286" s="550" t="s">
        <v>11769</v>
      </c>
      <c r="K286" s="551">
        <v>45014</v>
      </c>
      <c r="L286" s="552">
        <v>1100</v>
      </c>
      <c r="M286" s="552">
        <v>1100</v>
      </c>
      <c r="N286" s="552">
        <v>1100</v>
      </c>
      <c r="O286" s="552">
        <v>2000</v>
      </c>
      <c r="P286" s="552">
        <v>2200000</v>
      </c>
      <c r="Q286" s="548">
        <v>0</v>
      </c>
      <c r="R286" s="552">
        <v>0</v>
      </c>
      <c r="S286" s="548">
        <v>2000</v>
      </c>
      <c r="T286" s="552">
        <v>2200000</v>
      </c>
      <c r="U286" s="548">
        <v>0</v>
      </c>
      <c r="V286" s="552">
        <v>0</v>
      </c>
      <c r="W286" s="552">
        <v>1199</v>
      </c>
      <c r="X286" s="552">
        <v>1318900</v>
      </c>
      <c r="Y286" s="552">
        <v>2000</v>
      </c>
      <c r="Z286" s="552">
        <v>2200000</v>
      </c>
      <c r="AA286" s="552">
        <v>2000</v>
      </c>
      <c r="AB286" s="552">
        <v>2200000</v>
      </c>
      <c r="AC286" s="552">
        <v>0</v>
      </c>
      <c r="AD286" s="552">
        <v>0</v>
      </c>
      <c r="AE286" s="552">
        <v>0</v>
      </c>
      <c r="AF286" s="552">
        <v>0</v>
      </c>
      <c r="AG286" s="552">
        <v>0</v>
      </c>
      <c r="AH286" s="552">
        <v>0</v>
      </c>
      <c r="AI286" s="552">
        <v>0</v>
      </c>
      <c r="AJ286" s="552">
        <v>0</v>
      </c>
    </row>
    <row r="287" spans="1:36" ht="15.95" customHeight="1">
      <c r="A287" s="547"/>
      <c r="B287" s="548">
        <v>476</v>
      </c>
      <c r="C287" s="549">
        <v>6668</v>
      </c>
      <c r="D287" s="550" t="s">
        <v>11767</v>
      </c>
      <c r="E287" s="550" t="s">
        <v>5769</v>
      </c>
      <c r="F287" s="550" t="s">
        <v>5770</v>
      </c>
      <c r="G287" s="550" t="s">
        <v>1480</v>
      </c>
      <c r="H287" s="550" t="s">
        <v>310</v>
      </c>
      <c r="I287" s="550" t="s">
        <v>11</v>
      </c>
      <c r="J287" s="550" t="s">
        <v>11770</v>
      </c>
      <c r="K287" s="551">
        <v>45173</v>
      </c>
      <c r="L287" s="552">
        <v>1100</v>
      </c>
      <c r="M287" s="552">
        <v>1100</v>
      </c>
      <c r="N287" s="552">
        <v>1100</v>
      </c>
      <c r="O287" s="552"/>
      <c r="P287" s="552"/>
      <c r="Q287" s="548">
        <v>6200</v>
      </c>
      <c r="R287" s="552">
        <v>6820000</v>
      </c>
      <c r="S287" s="548">
        <v>0</v>
      </c>
      <c r="T287" s="552">
        <v>0</v>
      </c>
      <c r="U287" s="548">
        <v>6200</v>
      </c>
      <c r="V287" s="552">
        <v>6820000</v>
      </c>
      <c r="W287" s="552">
        <v>0</v>
      </c>
      <c r="X287" s="552">
        <v>0</v>
      </c>
      <c r="Y287" s="552">
        <v>0</v>
      </c>
      <c r="Z287" s="552">
        <v>0</v>
      </c>
      <c r="AA287" s="552">
        <v>0</v>
      </c>
      <c r="AB287" s="552">
        <v>0</v>
      </c>
      <c r="AC287" s="552">
        <v>0</v>
      </c>
      <c r="AD287" s="552">
        <v>0</v>
      </c>
      <c r="AE287" s="552">
        <v>0</v>
      </c>
      <c r="AF287" s="552">
        <v>0</v>
      </c>
      <c r="AG287" s="552">
        <v>0</v>
      </c>
      <c r="AH287" s="552">
        <v>0</v>
      </c>
      <c r="AI287" s="552">
        <v>0</v>
      </c>
      <c r="AJ287" s="552">
        <v>0</v>
      </c>
    </row>
    <row r="288" spans="1:36" ht="15.95" customHeight="1">
      <c r="A288" s="547"/>
      <c r="B288" s="548">
        <v>477</v>
      </c>
      <c r="C288" s="549">
        <v>6668</v>
      </c>
      <c r="D288" s="550" t="s">
        <v>11767</v>
      </c>
      <c r="E288" s="550" t="s">
        <v>5769</v>
      </c>
      <c r="F288" s="550" t="s">
        <v>5770</v>
      </c>
      <c r="G288" s="550" t="s">
        <v>1480</v>
      </c>
      <c r="H288" s="550" t="s">
        <v>310</v>
      </c>
      <c r="I288" s="550" t="s">
        <v>11</v>
      </c>
      <c r="J288" s="550" t="s">
        <v>11771</v>
      </c>
      <c r="K288" s="551">
        <v>44705</v>
      </c>
      <c r="L288" s="552">
        <v>1100</v>
      </c>
      <c r="M288" s="552">
        <v>1100</v>
      </c>
      <c r="N288" s="552">
        <v>1100</v>
      </c>
      <c r="O288" s="552">
        <v>899</v>
      </c>
      <c r="P288" s="552">
        <v>988900</v>
      </c>
      <c r="Q288" s="548">
        <v>0</v>
      </c>
      <c r="R288" s="552">
        <v>0</v>
      </c>
      <c r="S288" s="548">
        <v>899</v>
      </c>
      <c r="T288" s="552">
        <v>988900</v>
      </c>
      <c r="U288" s="548">
        <v>0</v>
      </c>
      <c r="V288" s="552">
        <v>0</v>
      </c>
      <c r="W288" s="552">
        <v>0</v>
      </c>
      <c r="X288" s="552">
        <v>0</v>
      </c>
      <c r="Y288" s="552">
        <v>899</v>
      </c>
      <c r="Z288" s="552">
        <v>988900</v>
      </c>
      <c r="AA288" s="552">
        <v>899</v>
      </c>
      <c r="AB288" s="552">
        <v>988900</v>
      </c>
      <c r="AC288" s="552">
        <v>0</v>
      </c>
      <c r="AD288" s="552">
        <v>0</v>
      </c>
      <c r="AE288" s="552">
        <v>0</v>
      </c>
      <c r="AF288" s="552">
        <v>0</v>
      </c>
      <c r="AG288" s="552">
        <v>0</v>
      </c>
      <c r="AH288" s="552">
        <v>0</v>
      </c>
      <c r="AI288" s="552">
        <v>0</v>
      </c>
      <c r="AJ288" s="552">
        <v>0</v>
      </c>
    </row>
    <row r="289" spans="1:36" ht="15.95" customHeight="1">
      <c r="A289" s="547"/>
      <c r="B289" s="548">
        <v>478</v>
      </c>
      <c r="C289" s="549">
        <v>6896</v>
      </c>
      <c r="D289" s="550" t="s">
        <v>11772</v>
      </c>
      <c r="E289" s="550" t="s">
        <v>7886</v>
      </c>
      <c r="F289" s="550" t="s">
        <v>7888</v>
      </c>
      <c r="G289" s="550" t="s">
        <v>736</v>
      </c>
      <c r="H289" s="550" t="s">
        <v>7887</v>
      </c>
      <c r="I289" s="550" t="s">
        <v>1258</v>
      </c>
      <c r="J289" s="550" t="s">
        <v>11773</v>
      </c>
      <c r="K289" s="551">
        <v>45258</v>
      </c>
      <c r="L289" s="552">
        <v>3486</v>
      </c>
      <c r="M289" s="552">
        <v>3486</v>
      </c>
      <c r="N289" s="552">
        <v>3486</v>
      </c>
      <c r="O289" s="552"/>
      <c r="P289" s="552"/>
      <c r="Q289" s="548">
        <v>4980</v>
      </c>
      <c r="R289" s="552">
        <v>17360280</v>
      </c>
      <c r="S289" s="548">
        <v>4050</v>
      </c>
      <c r="T289" s="552">
        <v>14118300</v>
      </c>
      <c r="U289" s="548">
        <v>930</v>
      </c>
      <c r="V289" s="552">
        <v>3241980</v>
      </c>
      <c r="W289" s="552">
        <v>1565</v>
      </c>
      <c r="X289" s="552">
        <v>5455590</v>
      </c>
      <c r="Y289" s="552">
        <v>4050</v>
      </c>
      <c r="Z289" s="552">
        <v>14118300</v>
      </c>
      <c r="AA289" s="552">
        <v>0</v>
      </c>
      <c r="AB289" s="552">
        <v>0</v>
      </c>
      <c r="AC289" s="552">
        <v>4050</v>
      </c>
      <c r="AD289" s="552">
        <v>14118300</v>
      </c>
      <c r="AE289" s="552">
        <v>0</v>
      </c>
      <c r="AF289" s="552">
        <v>0</v>
      </c>
      <c r="AG289" s="552">
        <v>0</v>
      </c>
      <c r="AH289" s="552">
        <v>0</v>
      </c>
      <c r="AI289" s="552">
        <v>0</v>
      </c>
      <c r="AJ289" s="552">
        <v>0</v>
      </c>
    </row>
    <row r="290" spans="1:36" ht="15.95" customHeight="1">
      <c r="A290" s="547"/>
      <c r="B290" s="548">
        <v>482</v>
      </c>
      <c r="C290" s="549">
        <v>6979</v>
      </c>
      <c r="D290" s="550" t="s">
        <v>11774</v>
      </c>
      <c r="E290" s="550" t="s">
        <v>4096</v>
      </c>
      <c r="F290" s="550" t="s">
        <v>3042</v>
      </c>
      <c r="G290" s="550" t="s">
        <v>1562</v>
      </c>
      <c r="H290" s="550" t="s">
        <v>7663</v>
      </c>
      <c r="I290" s="550" t="s">
        <v>13</v>
      </c>
      <c r="J290" s="550" t="s">
        <v>11775</v>
      </c>
      <c r="K290" s="551">
        <v>44934</v>
      </c>
      <c r="L290" s="552">
        <v>1050</v>
      </c>
      <c r="M290" s="552">
        <v>1050</v>
      </c>
      <c r="N290" s="552">
        <v>1050</v>
      </c>
      <c r="O290" s="552">
        <v>3960</v>
      </c>
      <c r="P290" s="552">
        <v>4158000</v>
      </c>
      <c r="Q290" s="548">
        <v>0</v>
      </c>
      <c r="R290" s="552">
        <v>0</v>
      </c>
      <c r="S290" s="548">
        <v>3729</v>
      </c>
      <c r="T290" s="552">
        <v>3915450</v>
      </c>
      <c r="U290" s="548">
        <v>231</v>
      </c>
      <c r="V290" s="552">
        <v>242550</v>
      </c>
      <c r="W290" s="552">
        <v>2446</v>
      </c>
      <c r="X290" s="552">
        <v>2568300</v>
      </c>
      <c r="Y290" s="552">
        <v>3729</v>
      </c>
      <c r="Z290" s="552">
        <v>3915450</v>
      </c>
      <c r="AA290" s="552">
        <v>0</v>
      </c>
      <c r="AB290" s="552">
        <v>0</v>
      </c>
      <c r="AC290" s="552">
        <v>3729</v>
      </c>
      <c r="AD290" s="552">
        <v>3915450</v>
      </c>
      <c r="AE290" s="552">
        <v>0</v>
      </c>
      <c r="AF290" s="552">
        <v>0</v>
      </c>
      <c r="AG290" s="552">
        <v>0</v>
      </c>
      <c r="AH290" s="552">
        <v>0</v>
      </c>
      <c r="AI290" s="552">
        <v>0</v>
      </c>
      <c r="AJ290" s="552">
        <v>0</v>
      </c>
    </row>
    <row r="291" spans="1:36" ht="15.95" customHeight="1">
      <c r="A291" s="547"/>
      <c r="B291" s="548">
        <v>483</v>
      </c>
      <c r="C291" s="549">
        <v>6979</v>
      </c>
      <c r="D291" s="550" t="s">
        <v>11774</v>
      </c>
      <c r="E291" s="550" t="s">
        <v>4096</v>
      </c>
      <c r="F291" s="550" t="s">
        <v>3042</v>
      </c>
      <c r="G291" s="550" t="s">
        <v>1562</v>
      </c>
      <c r="H291" s="550" t="s">
        <v>7663</v>
      </c>
      <c r="I291" s="550" t="s">
        <v>13</v>
      </c>
      <c r="J291" s="550" t="s">
        <v>11776</v>
      </c>
      <c r="K291" s="551">
        <v>44978</v>
      </c>
      <c r="L291" s="552">
        <v>1050</v>
      </c>
      <c r="M291" s="552">
        <v>1050</v>
      </c>
      <c r="N291" s="552">
        <v>1050</v>
      </c>
      <c r="O291" s="552"/>
      <c r="P291" s="552"/>
      <c r="Q291" s="548">
        <v>3960</v>
      </c>
      <c r="R291" s="552">
        <v>4158000</v>
      </c>
      <c r="S291" s="548">
        <v>3960</v>
      </c>
      <c r="T291" s="552">
        <v>4158000</v>
      </c>
      <c r="U291" s="548">
        <v>0</v>
      </c>
      <c r="V291" s="552">
        <v>0</v>
      </c>
      <c r="W291" s="552">
        <v>1073</v>
      </c>
      <c r="X291" s="552">
        <v>1126650</v>
      </c>
      <c r="Y291" s="552">
        <v>3960</v>
      </c>
      <c r="Z291" s="552">
        <v>4158000</v>
      </c>
      <c r="AA291" s="552">
        <v>0</v>
      </c>
      <c r="AB291" s="552">
        <v>0</v>
      </c>
      <c r="AC291" s="552">
        <v>3960</v>
      </c>
      <c r="AD291" s="552">
        <v>4158000</v>
      </c>
      <c r="AE291" s="552">
        <v>0</v>
      </c>
      <c r="AF291" s="552">
        <v>0</v>
      </c>
      <c r="AG291" s="552">
        <v>0</v>
      </c>
      <c r="AH291" s="552">
        <v>0</v>
      </c>
      <c r="AI291" s="552">
        <v>0</v>
      </c>
      <c r="AJ291" s="552">
        <v>0</v>
      </c>
    </row>
    <row r="292" spans="1:36" ht="15.95" customHeight="1">
      <c r="A292" s="547"/>
      <c r="B292" s="548">
        <v>484</v>
      </c>
      <c r="C292" s="549">
        <v>6979</v>
      </c>
      <c r="D292" s="550" t="s">
        <v>11774</v>
      </c>
      <c r="E292" s="550" t="s">
        <v>4096</v>
      </c>
      <c r="F292" s="550" t="s">
        <v>3042</v>
      </c>
      <c r="G292" s="550" t="s">
        <v>1562</v>
      </c>
      <c r="H292" s="550" t="s">
        <v>7663</v>
      </c>
      <c r="I292" s="550" t="s">
        <v>13</v>
      </c>
      <c r="J292" s="550" t="s">
        <v>11777</v>
      </c>
      <c r="K292" s="551">
        <v>44996</v>
      </c>
      <c r="L292" s="552">
        <v>1050</v>
      </c>
      <c r="M292" s="552">
        <v>1050</v>
      </c>
      <c r="N292" s="552">
        <v>1050</v>
      </c>
      <c r="O292" s="552"/>
      <c r="P292" s="552"/>
      <c r="Q292" s="548">
        <v>8472</v>
      </c>
      <c r="R292" s="552">
        <v>8895600</v>
      </c>
      <c r="S292" s="548">
        <v>4702</v>
      </c>
      <c r="T292" s="552">
        <v>4937100</v>
      </c>
      <c r="U292" s="548">
        <v>3770</v>
      </c>
      <c r="V292" s="552">
        <v>3958500</v>
      </c>
      <c r="W292" s="552">
        <v>157</v>
      </c>
      <c r="X292" s="552">
        <v>164850</v>
      </c>
      <c r="Y292" s="552">
        <v>1615</v>
      </c>
      <c r="Z292" s="552">
        <v>1695750</v>
      </c>
      <c r="AA292" s="552">
        <v>703</v>
      </c>
      <c r="AB292" s="552">
        <v>738150</v>
      </c>
      <c r="AC292" s="552">
        <v>912</v>
      </c>
      <c r="AD292" s="552">
        <v>957600</v>
      </c>
      <c r="AE292" s="552">
        <v>0</v>
      </c>
      <c r="AF292" s="552">
        <v>0</v>
      </c>
      <c r="AG292" s="552">
        <v>3087</v>
      </c>
      <c r="AH292" s="552">
        <v>3241350</v>
      </c>
      <c r="AI292" s="552">
        <v>0</v>
      </c>
      <c r="AJ292" s="552">
        <v>0</v>
      </c>
    </row>
    <row r="293" spans="1:36" ht="15.95" customHeight="1">
      <c r="A293" s="547"/>
      <c r="B293" s="548">
        <v>492</v>
      </c>
      <c r="C293" s="549">
        <v>7064</v>
      </c>
      <c r="D293" s="550" t="s">
        <v>11778</v>
      </c>
      <c r="E293" s="550" t="s">
        <v>4106</v>
      </c>
      <c r="F293" s="550" t="s">
        <v>1400</v>
      </c>
      <c r="G293" s="550" t="s">
        <v>592</v>
      </c>
      <c r="H293" s="550" t="s">
        <v>235</v>
      </c>
      <c r="I293" s="550" t="s">
        <v>11</v>
      </c>
      <c r="J293" s="550" t="s">
        <v>4107</v>
      </c>
      <c r="K293" s="551">
        <v>45107</v>
      </c>
      <c r="L293" s="552">
        <v>95</v>
      </c>
      <c r="M293" s="552">
        <v>95</v>
      </c>
      <c r="N293" s="552">
        <v>95</v>
      </c>
      <c r="O293" s="552">
        <v>13110</v>
      </c>
      <c r="P293" s="552">
        <v>1245450</v>
      </c>
      <c r="Q293" s="548">
        <v>0</v>
      </c>
      <c r="R293" s="552">
        <v>0</v>
      </c>
      <c r="S293" s="548">
        <v>12622</v>
      </c>
      <c r="T293" s="552">
        <v>1199090</v>
      </c>
      <c r="U293" s="548">
        <v>488</v>
      </c>
      <c r="V293" s="552">
        <v>46360</v>
      </c>
      <c r="W293" s="552">
        <v>387</v>
      </c>
      <c r="X293" s="552">
        <v>36765</v>
      </c>
      <c r="Y293" s="552">
        <v>12522</v>
      </c>
      <c r="Z293" s="552">
        <v>1189590</v>
      </c>
      <c r="AA293" s="552">
        <v>12410</v>
      </c>
      <c r="AB293" s="552">
        <v>1178950</v>
      </c>
      <c r="AC293" s="552">
        <v>112</v>
      </c>
      <c r="AD293" s="552">
        <v>10640</v>
      </c>
      <c r="AE293" s="552">
        <v>0</v>
      </c>
      <c r="AF293" s="552">
        <v>0</v>
      </c>
      <c r="AG293" s="552">
        <v>100</v>
      </c>
      <c r="AH293" s="552">
        <v>9500</v>
      </c>
      <c r="AI293" s="552">
        <v>0</v>
      </c>
      <c r="AJ293" s="552">
        <v>0</v>
      </c>
    </row>
    <row r="294" spans="1:36" ht="15.95" customHeight="1">
      <c r="A294" s="547"/>
      <c r="B294" s="548">
        <v>493</v>
      </c>
      <c r="C294" s="549">
        <v>7064</v>
      </c>
      <c r="D294" s="550" t="s">
        <v>11778</v>
      </c>
      <c r="E294" s="550" t="s">
        <v>4106</v>
      </c>
      <c r="F294" s="550" t="s">
        <v>1400</v>
      </c>
      <c r="G294" s="550" t="s">
        <v>592</v>
      </c>
      <c r="H294" s="550" t="s">
        <v>235</v>
      </c>
      <c r="I294" s="550" t="s">
        <v>11</v>
      </c>
      <c r="J294" s="550" t="s">
        <v>11779</v>
      </c>
      <c r="K294" s="551">
        <v>45374</v>
      </c>
      <c r="L294" s="552">
        <v>95</v>
      </c>
      <c r="M294" s="552">
        <v>95</v>
      </c>
      <c r="N294" s="552">
        <v>95</v>
      </c>
      <c r="O294" s="552"/>
      <c r="P294" s="552"/>
      <c r="Q294" s="548">
        <v>51600</v>
      </c>
      <c r="R294" s="552">
        <v>4902000</v>
      </c>
      <c r="S294" s="548">
        <v>50799</v>
      </c>
      <c r="T294" s="552">
        <v>4825905</v>
      </c>
      <c r="U294" s="548">
        <v>801</v>
      </c>
      <c r="V294" s="552">
        <v>76095</v>
      </c>
      <c r="W294" s="552">
        <v>12668</v>
      </c>
      <c r="X294" s="552">
        <v>1203460</v>
      </c>
      <c r="Y294" s="552">
        <v>50799</v>
      </c>
      <c r="Z294" s="552">
        <v>4825905</v>
      </c>
      <c r="AA294" s="552">
        <v>36799</v>
      </c>
      <c r="AB294" s="552">
        <v>3495905</v>
      </c>
      <c r="AC294" s="552">
        <v>14000</v>
      </c>
      <c r="AD294" s="552">
        <v>1330000</v>
      </c>
      <c r="AE294" s="552">
        <v>0</v>
      </c>
      <c r="AF294" s="552">
        <v>0</v>
      </c>
      <c r="AG294" s="552">
        <v>0</v>
      </c>
      <c r="AH294" s="552">
        <v>0</v>
      </c>
      <c r="AI294" s="552">
        <v>0</v>
      </c>
      <c r="AJ294" s="552">
        <v>0</v>
      </c>
    </row>
    <row r="295" spans="1:36" ht="15.95" customHeight="1">
      <c r="A295" s="547"/>
      <c r="B295" s="548">
        <v>494</v>
      </c>
      <c r="C295" s="549">
        <v>7064</v>
      </c>
      <c r="D295" s="550" t="s">
        <v>11778</v>
      </c>
      <c r="E295" s="550" t="s">
        <v>4106</v>
      </c>
      <c r="F295" s="550" t="s">
        <v>1400</v>
      </c>
      <c r="G295" s="550" t="s">
        <v>592</v>
      </c>
      <c r="H295" s="550" t="s">
        <v>235</v>
      </c>
      <c r="I295" s="550" t="s">
        <v>11</v>
      </c>
      <c r="J295" s="550" t="s">
        <v>11780</v>
      </c>
      <c r="K295" s="551">
        <v>45097</v>
      </c>
      <c r="L295" s="552">
        <v>95</v>
      </c>
      <c r="M295" s="552">
        <v>95</v>
      </c>
      <c r="N295" s="552">
        <v>95</v>
      </c>
      <c r="O295" s="552">
        <v>38420</v>
      </c>
      <c r="P295" s="552">
        <v>3649900</v>
      </c>
      <c r="Q295" s="548">
        <v>0</v>
      </c>
      <c r="R295" s="552">
        <v>0</v>
      </c>
      <c r="S295" s="548">
        <v>38420</v>
      </c>
      <c r="T295" s="552">
        <v>3649900</v>
      </c>
      <c r="U295" s="548">
        <v>0</v>
      </c>
      <c r="V295" s="552">
        <v>0</v>
      </c>
      <c r="W295" s="552">
        <v>4000</v>
      </c>
      <c r="X295" s="552">
        <v>380000</v>
      </c>
      <c r="Y295" s="552">
        <v>38420</v>
      </c>
      <c r="Z295" s="552">
        <v>3649900</v>
      </c>
      <c r="AA295" s="552">
        <v>34420</v>
      </c>
      <c r="AB295" s="552">
        <v>3269900</v>
      </c>
      <c r="AC295" s="552">
        <v>4000</v>
      </c>
      <c r="AD295" s="552">
        <v>380000</v>
      </c>
      <c r="AE295" s="552">
        <v>0</v>
      </c>
      <c r="AF295" s="552">
        <v>0</v>
      </c>
      <c r="AG295" s="552">
        <v>0</v>
      </c>
      <c r="AH295" s="552">
        <v>0</v>
      </c>
      <c r="AI295" s="552">
        <v>0</v>
      </c>
      <c r="AJ295" s="552">
        <v>0</v>
      </c>
    </row>
    <row r="296" spans="1:36" ht="15.95" customHeight="1">
      <c r="A296" s="547"/>
      <c r="B296" s="548">
        <v>495</v>
      </c>
      <c r="C296" s="549">
        <v>7064</v>
      </c>
      <c r="D296" s="550" t="s">
        <v>11778</v>
      </c>
      <c r="E296" s="550" t="s">
        <v>4106</v>
      </c>
      <c r="F296" s="550" t="s">
        <v>1400</v>
      </c>
      <c r="G296" s="550" t="s">
        <v>592</v>
      </c>
      <c r="H296" s="550" t="s">
        <v>235</v>
      </c>
      <c r="I296" s="550" t="s">
        <v>11</v>
      </c>
      <c r="J296" s="550" t="s">
        <v>11781</v>
      </c>
      <c r="K296" s="551">
        <v>45101</v>
      </c>
      <c r="L296" s="552">
        <v>95</v>
      </c>
      <c r="M296" s="552">
        <v>95</v>
      </c>
      <c r="N296" s="552">
        <v>95</v>
      </c>
      <c r="O296" s="552"/>
      <c r="P296" s="552"/>
      <c r="Q296" s="548">
        <v>20800</v>
      </c>
      <c r="R296" s="552">
        <v>1976000</v>
      </c>
      <c r="S296" s="548">
        <v>20800</v>
      </c>
      <c r="T296" s="552">
        <v>1976000</v>
      </c>
      <c r="U296" s="548">
        <v>0</v>
      </c>
      <c r="V296" s="552">
        <v>0</v>
      </c>
      <c r="W296" s="552">
        <v>9800</v>
      </c>
      <c r="X296" s="552">
        <v>931000</v>
      </c>
      <c r="Y296" s="552">
        <v>20800</v>
      </c>
      <c r="Z296" s="552">
        <v>1976000</v>
      </c>
      <c r="AA296" s="552">
        <v>10000</v>
      </c>
      <c r="AB296" s="552">
        <v>950000</v>
      </c>
      <c r="AC296" s="552">
        <v>10800</v>
      </c>
      <c r="AD296" s="552">
        <v>1026000</v>
      </c>
      <c r="AE296" s="552">
        <v>0</v>
      </c>
      <c r="AF296" s="552">
        <v>0</v>
      </c>
      <c r="AG296" s="552">
        <v>0</v>
      </c>
      <c r="AH296" s="552">
        <v>0</v>
      </c>
      <c r="AI296" s="552">
        <v>0</v>
      </c>
      <c r="AJ296" s="552">
        <v>0</v>
      </c>
    </row>
    <row r="297" spans="1:36" ht="15.95" customHeight="1">
      <c r="A297" s="547"/>
      <c r="B297" s="548">
        <v>535</v>
      </c>
      <c r="C297" s="549">
        <v>6795</v>
      </c>
      <c r="D297" s="550" t="s">
        <v>11782</v>
      </c>
      <c r="E297" s="550" t="s">
        <v>4111</v>
      </c>
      <c r="F297" s="550" t="s">
        <v>4112</v>
      </c>
      <c r="G297" s="550" t="s">
        <v>2501</v>
      </c>
      <c r="H297" s="550" t="s">
        <v>299</v>
      </c>
      <c r="I297" s="550" t="s">
        <v>11</v>
      </c>
      <c r="J297" s="550" t="s">
        <v>4113</v>
      </c>
      <c r="K297" s="551">
        <v>44821</v>
      </c>
      <c r="L297" s="552">
        <v>3150</v>
      </c>
      <c r="M297" s="552">
        <v>3150</v>
      </c>
      <c r="N297" s="552">
        <v>3150</v>
      </c>
      <c r="O297" s="552">
        <v>2576</v>
      </c>
      <c r="P297" s="552">
        <v>8114400</v>
      </c>
      <c r="Q297" s="548">
        <v>0</v>
      </c>
      <c r="R297" s="552">
        <v>0</v>
      </c>
      <c r="S297" s="548">
        <v>2576</v>
      </c>
      <c r="T297" s="552">
        <v>8114400</v>
      </c>
      <c r="U297" s="548">
        <v>0</v>
      </c>
      <c r="V297" s="552">
        <v>0</v>
      </c>
      <c r="W297" s="552">
        <v>1552</v>
      </c>
      <c r="X297" s="552">
        <v>4888800</v>
      </c>
      <c r="Y297" s="552">
        <v>2576</v>
      </c>
      <c r="Z297" s="552">
        <v>8114400</v>
      </c>
      <c r="AA297" s="552">
        <v>2176</v>
      </c>
      <c r="AB297" s="552">
        <v>6854400</v>
      </c>
      <c r="AC297" s="552">
        <v>400</v>
      </c>
      <c r="AD297" s="552">
        <v>1260000</v>
      </c>
      <c r="AE297" s="552">
        <v>0</v>
      </c>
      <c r="AF297" s="552">
        <v>0</v>
      </c>
      <c r="AG297" s="552">
        <v>0</v>
      </c>
      <c r="AH297" s="552">
        <v>0</v>
      </c>
      <c r="AI297" s="552">
        <v>0</v>
      </c>
      <c r="AJ297" s="552">
        <v>0</v>
      </c>
    </row>
    <row r="298" spans="1:36" ht="15.95" customHeight="1">
      <c r="A298" s="547"/>
      <c r="B298" s="548">
        <v>536</v>
      </c>
      <c r="C298" s="549">
        <v>6795</v>
      </c>
      <c r="D298" s="550" t="s">
        <v>11782</v>
      </c>
      <c r="E298" s="550" t="s">
        <v>4111</v>
      </c>
      <c r="F298" s="550" t="s">
        <v>4112</v>
      </c>
      <c r="G298" s="550" t="s">
        <v>2501</v>
      </c>
      <c r="H298" s="550" t="s">
        <v>299</v>
      </c>
      <c r="I298" s="550" t="s">
        <v>11</v>
      </c>
      <c r="J298" s="550" t="s">
        <v>11783</v>
      </c>
      <c r="K298" s="551">
        <v>44964</v>
      </c>
      <c r="L298" s="552">
        <v>3150</v>
      </c>
      <c r="M298" s="552">
        <v>3150</v>
      </c>
      <c r="N298" s="552">
        <v>3150</v>
      </c>
      <c r="O298" s="552"/>
      <c r="P298" s="552"/>
      <c r="Q298" s="548">
        <v>10000</v>
      </c>
      <c r="R298" s="552">
        <v>31500000</v>
      </c>
      <c r="S298" s="548">
        <v>3407</v>
      </c>
      <c r="T298" s="552">
        <v>10732050</v>
      </c>
      <c r="U298" s="548">
        <v>6593</v>
      </c>
      <c r="V298" s="552">
        <v>20767950</v>
      </c>
      <c r="W298" s="552">
        <v>668</v>
      </c>
      <c r="X298" s="552">
        <v>2104200</v>
      </c>
      <c r="Y298" s="552">
        <v>3407</v>
      </c>
      <c r="Z298" s="552">
        <v>10732050</v>
      </c>
      <c r="AA298" s="552">
        <v>1607</v>
      </c>
      <c r="AB298" s="552">
        <v>5062050</v>
      </c>
      <c r="AC298" s="552">
        <v>1800</v>
      </c>
      <c r="AD298" s="552">
        <v>5670000</v>
      </c>
      <c r="AE298" s="552">
        <v>0</v>
      </c>
      <c r="AF298" s="552">
        <v>0</v>
      </c>
      <c r="AG298" s="552">
        <v>0</v>
      </c>
      <c r="AH298" s="552">
        <v>0</v>
      </c>
      <c r="AI298" s="552">
        <v>0</v>
      </c>
      <c r="AJ298" s="552">
        <v>0</v>
      </c>
    </row>
    <row r="299" spans="1:36" ht="15.95" customHeight="1">
      <c r="A299" s="547"/>
      <c r="B299" s="548">
        <v>537</v>
      </c>
      <c r="C299" s="549">
        <v>6795</v>
      </c>
      <c r="D299" s="550" t="s">
        <v>11782</v>
      </c>
      <c r="E299" s="550" t="s">
        <v>4111</v>
      </c>
      <c r="F299" s="550" t="s">
        <v>4112</v>
      </c>
      <c r="G299" s="550" t="s">
        <v>2501</v>
      </c>
      <c r="H299" s="550" t="s">
        <v>299</v>
      </c>
      <c r="I299" s="550" t="s">
        <v>11</v>
      </c>
      <c r="J299" s="550" t="s">
        <v>4114</v>
      </c>
      <c r="K299" s="551">
        <v>44873</v>
      </c>
      <c r="L299" s="552">
        <v>3150</v>
      </c>
      <c r="M299" s="552">
        <v>3150</v>
      </c>
      <c r="N299" s="552">
        <v>3150</v>
      </c>
      <c r="O299" s="552">
        <v>6000</v>
      </c>
      <c r="P299" s="552">
        <v>18900000</v>
      </c>
      <c r="Q299" s="548">
        <v>0</v>
      </c>
      <c r="R299" s="552">
        <v>0</v>
      </c>
      <c r="S299" s="548">
        <v>6000</v>
      </c>
      <c r="T299" s="552">
        <v>18900000</v>
      </c>
      <c r="U299" s="548">
        <v>0</v>
      </c>
      <c r="V299" s="552">
        <v>0</v>
      </c>
      <c r="W299" s="552">
        <v>1764</v>
      </c>
      <c r="X299" s="552">
        <v>5556600</v>
      </c>
      <c r="Y299" s="552">
        <v>6000</v>
      </c>
      <c r="Z299" s="552">
        <v>18900000</v>
      </c>
      <c r="AA299" s="552">
        <v>4000</v>
      </c>
      <c r="AB299" s="552">
        <v>12600000</v>
      </c>
      <c r="AC299" s="552">
        <v>2000</v>
      </c>
      <c r="AD299" s="552">
        <v>6300000</v>
      </c>
      <c r="AE299" s="552">
        <v>0</v>
      </c>
      <c r="AF299" s="552">
        <v>0</v>
      </c>
      <c r="AG299" s="552">
        <v>0</v>
      </c>
      <c r="AH299" s="552">
        <v>0</v>
      </c>
      <c r="AI299" s="552">
        <v>0</v>
      </c>
      <c r="AJ299" s="552">
        <v>0</v>
      </c>
    </row>
    <row r="300" spans="1:36" ht="15.95" customHeight="1">
      <c r="A300" s="547"/>
      <c r="B300" s="548">
        <v>538</v>
      </c>
      <c r="C300" s="549">
        <v>6834</v>
      </c>
      <c r="D300" s="550" t="s">
        <v>11784</v>
      </c>
      <c r="E300" s="550" t="s">
        <v>4115</v>
      </c>
      <c r="F300" s="550" t="s">
        <v>2504</v>
      </c>
      <c r="G300" s="550" t="s">
        <v>2503</v>
      </c>
      <c r="H300" s="550" t="s">
        <v>327</v>
      </c>
      <c r="I300" s="550" t="s">
        <v>11</v>
      </c>
      <c r="J300" s="550" t="s">
        <v>3984</v>
      </c>
      <c r="K300" s="551">
        <v>44996</v>
      </c>
      <c r="L300" s="552">
        <v>3500</v>
      </c>
      <c r="M300" s="552">
        <v>3500</v>
      </c>
      <c r="N300" s="552">
        <v>3500</v>
      </c>
      <c r="O300" s="552">
        <v>2916</v>
      </c>
      <c r="P300" s="552">
        <v>10206000</v>
      </c>
      <c r="Q300" s="548">
        <v>0</v>
      </c>
      <c r="R300" s="552">
        <v>0</v>
      </c>
      <c r="S300" s="548">
        <v>399</v>
      </c>
      <c r="T300" s="552">
        <v>1396500</v>
      </c>
      <c r="U300" s="548">
        <v>2517</v>
      </c>
      <c r="V300" s="552">
        <v>8809500</v>
      </c>
      <c r="W300" s="552">
        <v>0</v>
      </c>
      <c r="X300" s="552">
        <v>0</v>
      </c>
      <c r="Y300" s="552">
        <v>399</v>
      </c>
      <c r="Z300" s="552">
        <v>1396500</v>
      </c>
      <c r="AA300" s="552">
        <v>399</v>
      </c>
      <c r="AB300" s="552">
        <v>1396500</v>
      </c>
      <c r="AC300" s="552">
        <v>0</v>
      </c>
      <c r="AD300" s="552">
        <v>0</v>
      </c>
      <c r="AE300" s="552">
        <v>0</v>
      </c>
      <c r="AF300" s="552">
        <v>0</v>
      </c>
      <c r="AG300" s="552">
        <v>0</v>
      </c>
      <c r="AH300" s="552">
        <v>0</v>
      </c>
      <c r="AI300" s="552">
        <v>0</v>
      </c>
      <c r="AJ300" s="552">
        <v>0</v>
      </c>
    </row>
    <row r="301" spans="1:36" ht="15.95" customHeight="1">
      <c r="A301" s="547"/>
      <c r="B301" s="548">
        <v>539</v>
      </c>
      <c r="C301" s="549">
        <v>6834</v>
      </c>
      <c r="D301" s="550" t="s">
        <v>11784</v>
      </c>
      <c r="E301" s="550" t="s">
        <v>4115</v>
      </c>
      <c r="F301" s="550" t="s">
        <v>2504</v>
      </c>
      <c r="G301" s="550" t="s">
        <v>2503</v>
      </c>
      <c r="H301" s="550" t="s">
        <v>327</v>
      </c>
      <c r="I301" s="550" t="s">
        <v>11</v>
      </c>
      <c r="J301" s="550" t="s">
        <v>4731</v>
      </c>
      <c r="K301" s="551">
        <v>45199</v>
      </c>
      <c r="L301" s="552">
        <v>3500</v>
      </c>
      <c r="M301" s="552">
        <v>3500</v>
      </c>
      <c r="N301" s="552">
        <v>3500</v>
      </c>
      <c r="O301" s="552">
        <v>1980</v>
      </c>
      <c r="P301" s="552">
        <v>6930000</v>
      </c>
      <c r="Q301" s="548">
        <v>0</v>
      </c>
      <c r="R301" s="552">
        <v>0</v>
      </c>
      <c r="S301" s="548">
        <v>0</v>
      </c>
      <c r="T301" s="552">
        <v>0</v>
      </c>
      <c r="U301" s="548">
        <v>1980</v>
      </c>
      <c r="V301" s="552">
        <v>6930000</v>
      </c>
      <c r="W301" s="552">
        <v>0</v>
      </c>
      <c r="X301" s="552">
        <v>0</v>
      </c>
      <c r="Y301" s="552">
        <v>0</v>
      </c>
      <c r="Z301" s="552">
        <v>0</v>
      </c>
      <c r="AA301" s="552">
        <v>0</v>
      </c>
      <c r="AB301" s="552">
        <v>0</v>
      </c>
      <c r="AC301" s="552">
        <v>0</v>
      </c>
      <c r="AD301" s="552">
        <v>0</v>
      </c>
      <c r="AE301" s="552">
        <v>0</v>
      </c>
      <c r="AF301" s="552">
        <v>0</v>
      </c>
      <c r="AG301" s="552">
        <v>0</v>
      </c>
      <c r="AH301" s="552">
        <v>0</v>
      </c>
      <c r="AI301" s="552">
        <v>0</v>
      </c>
      <c r="AJ301" s="552">
        <v>0</v>
      </c>
    </row>
    <row r="302" spans="1:36" ht="15.95" customHeight="1">
      <c r="A302" s="547"/>
      <c r="B302" s="548">
        <v>544</v>
      </c>
      <c r="C302" s="549">
        <v>6914</v>
      </c>
      <c r="D302" s="550" t="s">
        <v>11785</v>
      </c>
      <c r="E302" s="550" t="s">
        <v>6841</v>
      </c>
      <c r="F302" s="550" t="s">
        <v>6842</v>
      </c>
      <c r="G302" s="550" t="s">
        <v>1618</v>
      </c>
      <c r="H302" s="550" t="s">
        <v>994</v>
      </c>
      <c r="I302" s="550" t="s">
        <v>11</v>
      </c>
      <c r="J302" s="550" t="s">
        <v>11786</v>
      </c>
      <c r="K302" s="551">
        <v>45296</v>
      </c>
      <c r="L302" s="552">
        <v>450</v>
      </c>
      <c r="M302" s="552">
        <v>450</v>
      </c>
      <c r="N302" s="552">
        <v>450</v>
      </c>
      <c r="O302" s="552"/>
      <c r="P302" s="552"/>
      <c r="Q302" s="548">
        <v>26880</v>
      </c>
      <c r="R302" s="552">
        <v>12096000</v>
      </c>
      <c r="S302" s="548">
        <v>6879</v>
      </c>
      <c r="T302" s="552">
        <v>3095550</v>
      </c>
      <c r="U302" s="548">
        <v>20001</v>
      </c>
      <c r="V302" s="552">
        <v>9000450</v>
      </c>
      <c r="W302" s="552">
        <v>0</v>
      </c>
      <c r="X302" s="552">
        <v>0</v>
      </c>
      <c r="Y302" s="552">
        <v>6879</v>
      </c>
      <c r="Z302" s="552">
        <v>3095550</v>
      </c>
      <c r="AA302" s="552">
        <v>6822</v>
      </c>
      <c r="AB302" s="552">
        <v>3069900</v>
      </c>
      <c r="AC302" s="552">
        <v>57</v>
      </c>
      <c r="AD302" s="552">
        <v>25650</v>
      </c>
      <c r="AE302" s="552">
        <v>0</v>
      </c>
      <c r="AF302" s="552">
        <v>0</v>
      </c>
      <c r="AG302" s="552">
        <v>0</v>
      </c>
      <c r="AH302" s="552">
        <v>0</v>
      </c>
      <c r="AI302" s="552">
        <v>0</v>
      </c>
      <c r="AJ302" s="552">
        <v>0</v>
      </c>
    </row>
    <row r="303" spans="1:36" ht="15.95" customHeight="1">
      <c r="A303" s="547"/>
      <c r="B303" s="548">
        <v>545</v>
      </c>
      <c r="C303" s="549">
        <v>6914</v>
      </c>
      <c r="D303" s="550" t="s">
        <v>11785</v>
      </c>
      <c r="E303" s="550" t="s">
        <v>6841</v>
      </c>
      <c r="F303" s="550" t="s">
        <v>6842</v>
      </c>
      <c r="G303" s="550" t="s">
        <v>1618</v>
      </c>
      <c r="H303" s="550" t="s">
        <v>994</v>
      </c>
      <c r="I303" s="550" t="s">
        <v>11</v>
      </c>
      <c r="J303" s="550" t="s">
        <v>11787</v>
      </c>
      <c r="K303" s="551">
        <v>45315</v>
      </c>
      <c r="L303" s="552">
        <v>450</v>
      </c>
      <c r="M303" s="552">
        <v>450</v>
      </c>
      <c r="N303" s="552">
        <v>450</v>
      </c>
      <c r="O303" s="552"/>
      <c r="P303" s="552"/>
      <c r="Q303" s="548">
        <v>23072</v>
      </c>
      <c r="R303" s="552">
        <v>10382400</v>
      </c>
      <c r="S303" s="548">
        <v>0</v>
      </c>
      <c r="T303" s="552">
        <v>0</v>
      </c>
      <c r="U303" s="548">
        <v>23072</v>
      </c>
      <c r="V303" s="552">
        <v>10382400</v>
      </c>
      <c r="W303" s="552">
        <v>0</v>
      </c>
      <c r="X303" s="552">
        <v>0</v>
      </c>
      <c r="Y303" s="552">
        <v>0</v>
      </c>
      <c r="Z303" s="552">
        <v>0</v>
      </c>
      <c r="AA303" s="552">
        <v>0</v>
      </c>
      <c r="AB303" s="552">
        <v>0</v>
      </c>
      <c r="AC303" s="552">
        <v>0</v>
      </c>
      <c r="AD303" s="552">
        <v>0</v>
      </c>
      <c r="AE303" s="552">
        <v>0</v>
      </c>
      <c r="AF303" s="552">
        <v>0</v>
      </c>
      <c r="AG303" s="552">
        <v>0</v>
      </c>
      <c r="AH303" s="552">
        <v>0</v>
      </c>
      <c r="AI303" s="552">
        <v>0</v>
      </c>
      <c r="AJ303" s="552">
        <v>0</v>
      </c>
    </row>
    <row r="304" spans="1:36" ht="15.95" customHeight="1">
      <c r="A304" s="547"/>
      <c r="B304" s="548">
        <v>547</v>
      </c>
      <c r="C304" s="549">
        <v>7599</v>
      </c>
      <c r="D304" s="550"/>
      <c r="E304" s="550" t="s">
        <v>8287</v>
      </c>
      <c r="F304" s="550" t="s">
        <v>8288</v>
      </c>
      <c r="G304" s="550" t="s">
        <v>555</v>
      </c>
      <c r="H304" s="550" t="s">
        <v>232</v>
      </c>
      <c r="I304" s="550" t="s">
        <v>11</v>
      </c>
      <c r="J304" s="550" t="s">
        <v>11788</v>
      </c>
      <c r="K304" s="551">
        <v>45108</v>
      </c>
      <c r="L304" s="552">
        <v>3300</v>
      </c>
      <c r="M304" s="552">
        <v>3300</v>
      </c>
      <c r="N304" s="552">
        <v>3300</v>
      </c>
      <c r="O304" s="552"/>
      <c r="P304" s="552"/>
      <c r="Q304" s="548">
        <v>11000</v>
      </c>
      <c r="R304" s="552">
        <v>36300000</v>
      </c>
      <c r="S304" s="548">
        <v>607</v>
      </c>
      <c r="T304" s="552">
        <v>2003100</v>
      </c>
      <c r="U304" s="548">
        <v>10393</v>
      </c>
      <c r="V304" s="552">
        <v>34296900</v>
      </c>
      <c r="W304" s="552">
        <v>0</v>
      </c>
      <c r="X304" s="552">
        <v>0</v>
      </c>
      <c r="Y304" s="552">
        <v>607</v>
      </c>
      <c r="Z304" s="552">
        <v>2003100</v>
      </c>
      <c r="AA304" s="552">
        <v>607</v>
      </c>
      <c r="AB304" s="552">
        <v>2003100</v>
      </c>
      <c r="AC304" s="552">
        <v>0</v>
      </c>
      <c r="AD304" s="552">
        <v>0</v>
      </c>
      <c r="AE304" s="552">
        <v>0</v>
      </c>
      <c r="AF304" s="552">
        <v>0</v>
      </c>
      <c r="AG304" s="552">
        <v>0</v>
      </c>
      <c r="AH304" s="552">
        <v>0</v>
      </c>
      <c r="AI304" s="552">
        <v>0</v>
      </c>
      <c r="AJ304" s="552">
        <v>0</v>
      </c>
    </row>
    <row r="305" spans="1:36" ht="15.95" customHeight="1">
      <c r="A305" s="547"/>
      <c r="B305" s="548">
        <v>548</v>
      </c>
      <c r="C305" s="549">
        <v>7599</v>
      </c>
      <c r="D305" s="550"/>
      <c r="E305" s="550" t="s">
        <v>8287</v>
      </c>
      <c r="F305" s="550" t="s">
        <v>8288</v>
      </c>
      <c r="G305" s="550" t="s">
        <v>555</v>
      </c>
      <c r="H305" s="550" t="s">
        <v>232</v>
      </c>
      <c r="I305" s="550" t="s">
        <v>11</v>
      </c>
      <c r="J305" s="550" t="s">
        <v>11788</v>
      </c>
      <c r="K305" s="551">
        <v>45138</v>
      </c>
      <c r="L305" s="552">
        <v>3300</v>
      </c>
      <c r="M305" s="552">
        <v>3300</v>
      </c>
      <c r="N305" s="552">
        <v>3300</v>
      </c>
      <c r="O305" s="552"/>
      <c r="P305" s="552"/>
      <c r="Q305" s="548">
        <v>6990</v>
      </c>
      <c r="R305" s="552">
        <v>23067000</v>
      </c>
      <c r="S305" s="548">
        <v>6990</v>
      </c>
      <c r="T305" s="552">
        <v>23067000</v>
      </c>
      <c r="U305" s="548">
        <v>0</v>
      </c>
      <c r="V305" s="552">
        <v>0</v>
      </c>
      <c r="W305" s="552">
        <v>981</v>
      </c>
      <c r="X305" s="552">
        <v>3237300</v>
      </c>
      <c r="Y305" s="552">
        <v>6990</v>
      </c>
      <c r="Z305" s="552">
        <v>23067000</v>
      </c>
      <c r="AA305" s="552">
        <v>6000</v>
      </c>
      <c r="AB305" s="552">
        <v>19800000</v>
      </c>
      <c r="AC305" s="552">
        <v>990</v>
      </c>
      <c r="AD305" s="552">
        <v>3267000</v>
      </c>
      <c r="AE305" s="552">
        <v>0</v>
      </c>
      <c r="AF305" s="552">
        <v>0</v>
      </c>
      <c r="AG305" s="552">
        <v>0</v>
      </c>
      <c r="AH305" s="552">
        <v>0</v>
      </c>
      <c r="AI305" s="552">
        <v>0</v>
      </c>
      <c r="AJ305" s="552">
        <v>0</v>
      </c>
    </row>
    <row r="306" spans="1:36" ht="15.95" customHeight="1">
      <c r="A306" s="547"/>
      <c r="B306" s="548">
        <v>549</v>
      </c>
      <c r="C306" s="549">
        <v>6885</v>
      </c>
      <c r="D306" s="550" t="s">
        <v>11789</v>
      </c>
      <c r="E306" s="550" t="s">
        <v>4120</v>
      </c>
      <c r="F306" s="550" t="s">
        <v>4121</v>
      </c>
      <c r="G306" s="550" t="s">
        <v>1668</v>
      </c>
      <c r="H306" s="550" t="s">
        <v>869</v>
      </c>
      <c r="I306" s="550" t="s">
        <v>11</v>
      </c>
      <c r="J306" s="550" t="s">
        <v>11790</v>
      </c>
      <c r="K306" s="551">
        <v>45262</v>
      </c>
      <c r="L306" s="552">
        <v>4620</v>
      </c>
      <c r="M306" s="552">
        <v>4620</v>
      </c>
      <c r="N306" s="552">
        <v>4620</v>
      </c>
      <c r="O306" s="552"/>
      <c r="P306" s="552"/>
      <c r="Q306" s="548">
        <v>10000</v>
      </c>
      <c r="R306" s="552">
        <v>46200000</v>
      </c>
      <c r="S306" s="548">
        <v>568</v>
      </c>
      <c r="T306" s="552">
        <v>2624160</v>
      </c>
      <c r="U306" s="548">
        <v>9432</v>
      </c>
      <c r="V306" s="552">
        <v>43575840</v>
      </c>
      <c r="W306" s="552">
        <v>0</v>
      </c>
      <c r="X306" s="552">
        <v>0</v>
      </c>
      <c r="Y306" s="552">
        <v>568</v>
      </c>
      <c r="Z306" s="552">
        <v>2624160</v>
      </c>
      <c r="AA306" s="552">
        <v>568</v>
      </c>
      <c r="AB306" s="552">
        <v>2624160</v>
      </c>
      <c r="AC306" s="552">
        <v>0</v>
      </c>
      <c r="AD306" s="552">
        <v>0</v>
      </c>
      <c r="AE306" s="552">
        <v>0</v>
      </c>
      <c r="AF306" s="552">
        <v>0</v>
      </c>
      <c r="AG306" s="552">
        <v>0</v>
      </c>
      <c r="AH306" s="552">
        <v>0</v>
      </c>
      <c r="AI306" s="552">
        <v>0</v>
      </c>
      <c r="AJ306" s="552">
        <v>0</v>
      </c>
    </row>
    <row r="307" spans="1:36" ht="15.95" customHeight="1">
      <c r="A307" s="547"/>
      <c r="B307" s="548">
        <v>550</v>
      </c>
      <c r="C307" s="549">
        <v>6996</v>
      </c>
      <c r="D307" s="550" t="s">
        <v>11791</v>
      </c>
      <c r="E307" s="550" t="s">
        <v>4122</v>
      </c>
      <c r="F307" s="550" t="s">
        <v>1374</v>
      </c>
      <c r="G307" s="550" t="s">
        <v>855</v>
      </c>
      <c r="H307" s="550" t="s">
        <v>641</v>
      </c>
      <c r="I307" s="550" t="s">
        <v>11</v>
      </c>
      <c r="J307" s="550" t="s">
        <v>11792</v>
      </c>
      <c r="K307" s="551">
        <v>45218</v>
      </c>
      <c r="L307" s="552">
        <v>309</v>
      </c>
      <c r="M307" s="552">
        <v>309</v>
      </c>
      <c r="N307" s="552">
        <v>309</v>
      </c>
      <c r="O307" s="552">
        <v>6920</v>
      </c>
      <c r="P307" s="552">
        <v>2138280</v>
      </c>
      <c r="Q307" s="548">
        <v>12</v>
      </c>
      <c r="R307" s="552">
        <v>3708</v>
      </c>
      <c r="S307" s="548">
        <v>5644</v>
      </c>
      <c r="T307" s="552">
        <v>1743996</v>
      </c>
      <c r="U307" s="548">
        <v>1288</v>
      </c>
      <c r="V307" s="552">
        <v>397992</v>
      </c>
      <c r="W307" s="552">
        <v>3782</v>
      </c>
      <c r="X307" s="552">
        <v>1168638</v>
      </c>
      <c r="Y307" s="552">
        <v>5644</v>
      </c>
      <c r="Z307" s="552">
        <v>1743996</v>
      </c>
      <c r="AA307" s="552">
        <v>5000</v>
      </c>
      <c r="AB307" s="552">
        <v>1545000</v>
      </c>
      <c r="AC307" s="552">
        <v>644</v>
      </c>
      <c r="AD307" s="552">
        <v>198996</v>
      </c>
      <c r="AE307" s="552">
        <v>0</v>
      </c>
      <c r="AF307" s="552">
        <v>0</v>
      </c>
      <c r="AG307" s="552">
        <v>0</v>
      </c>
      <c r="AH307" s="552">
        <v>0</v>
      </c>
      <c r="AI307" s="552">
        <v>0</v>
      </c>
      <c r="AJ307" s="552">
        <v>0</v>
      </c>
    </row>
    <row r="308" spans="1:36" ht="15.95" customHeight="1">
      <c r="A308" s="547"/>
      <c r="B308" s="548">
        <v>551</v>
      </c>
      <c r="C308" s="549">
        <v>6996</v>
      </c>
      <c r="D308" s="550" t="s">
        <v>11791</v>
      </c>
      <c r="E308" s="550" t="s">
        <v>4122</v>
      </c>
      <c r="F308" s="550" t="s">
        <v>1374</v>
      </c>
      <c r="G308" s="550" t="s">
        <v>855</v>
      </c>
      <c r="H308" s="550" t="s">
        <v>641</v>
      </c>
      <c r="I308" s="550" t="s">
        <v>11</v>
      </c>
      <c r="J308" s="550" t="s">
        <v>11793</v>
      </c>
      <c r="K308" s="551">
        <v>45006</v>
      </c>
      <c r="L308" s="552">
        <v>309</v>
      </c>
      <c r="M308" s="552">
        <v>309</v>
      </c>
      <c r="N308" s="552">
        <v>309</v>
      </c>
      <c r="O308" s="552"/>
      <c r="P308" s="552"/>
      <c r="Q308" s="548">
        <v>8000</v>
      </c>
      <c r="R308" s="552">
        <v>2472000</v>
      </c>
      <c r="S308" s="548">
        <v>8000</v>
      </c>
      <c r="T308" s="552">
        <v>2472000</v>
      </c>
      <c r="U308" s="548">
        <v>0</v>
      </c>
      <c r="V308" s="552">
        <v>0</v>
      </c>
      <c r="W308" s="552">
        <v>5213</v>
      </c>
      <c r="X308" s="552">
        <v>1610817</v>
      </c>
      <c r="Y308" s="552">
        <v>8000</v>
      </c>
      <c r="Z308" s="552">
        <v>2472000</v>
      </c>
      <c r="AA308" s="552">
        <v>0</v>
      </c>
      <c r="AB308" s="552">
        <v>0</v>
      </c>
      <c r="AC308" s="552">
        <v>8000</v>
      </c>
      <c r="AD308" s="552">
        <v>2472000</v>
      </c>
      <c r="AE308" s="552">
        <v>0</v>
      </c>
      <c r="AF308" s="552">
        <v>0</v>
      </c>
      <c r="AG308" s="552">
        <v>0</v>
      </c>
      <c r="AH308" s="552">
        <v>0</v>
      </c>
      <c r="AI308" s="552">
        <v>0</v>
      </c>
      <c r="AJ308" s="552">
        <v>0</v>
      </c>
    </row>
    <row r="309" spans="1:36" ht="15.95" customHeight="1">
      <c r="A309" s="547"/>
      <c r="B309" s="548">
        <v>552</v>
      </c>
      <c r="C309" s="549">
        <v>6996</v>
      </c>
      <c r="D309" s="550" t="s">
        <v>11791</v>
      </c>
      <c r="E309" s="550" t="s">
        <v>4122</v>
      </c>
      <c r="F309" s="550" t="s">
        <v>1374</v>
      </c>
      <c r="G309" s="550" t="s">
        <v>855</v>
      </c>
      <c r="H309" s="550" t="s">
        <v>641</v>
      </c>
      <c r="I309" s="550" t="s">
        <v>11</v>
      </c>
      <c r="J309" s="550" t="s">
        <v>11794</v>
      </c>
      <c r="K309" s="551">
        <v>45216</v>
      </c>
      <c r="L309" s="552">
        <v>309</v>
      </c>
      <c r="M309" s="552">
        <v>309</v>
      </c>
      <c r="N309" s="552">
        <v>309</v>
      </c>
      <c r="O309" s="552"/>
      <c r="P309" s="552"/>
      <c r="Q309" s="548">
        <v>20041</v>
      </c>
      <c r="R309" s="552">
        <v>6192669</v>
      </c>
      <c r="S309" s="548">
        <v>17774</v>
      </c>
      <c r="T309" s="552">
        <v>5492166</v>
      </c>
      <c r="U309" s="548">
        <v>2267</v>
      </c>
      <c r="V309" s="552">
        <v>700503</v>
      </c>
      <c r="W309" s="552">
        <v>3624</v>
      </c>
      <c r="X309" s="552">
        <v>1119816</v>
      </c>
      <c r="Y309" s="552">
        <v>17774</v>
      </c>
      <c r="Z309" s="552">
        <v>5492166</v>
      </c>
      <c r="AA309" s="552">
        <v>10868</v>
      </c>
      <c r="AB309" s="552">
        <v>3358212</v>
      </c>
      <c r="AC309" s="552">
        <v>6906</v>
      </c>
      <c r="AD309" s="552">
        <v>2133954</v>
      </c>
      <c r="AE309" s="552">
        <v>0</v>
      </c>
      <c r="AF309" s="552">
        <v>0</v>
      </c>
      <c r="AG309" s="552">
        <v>0</v>
      </c>
      <c r="AH309" s="552">
        <v>0</v>
      </c>
      <c r="AI309" s="552">
        <v>0</v>
      </c>
      <c r="AJ309" s="552">
        <v>0</v>
      </c>
    </row>
    <row r="310" spans="1:36" ht="15.95" customHeight="1">
      <c r="A310" s="547"/>
      <c r="B310" s="548">
        <v>553</v>
      </c>
      <c r="C310" s="549">
        <v>6996</v>
      </c>
      <c r="D310" s="550" t="s">
        <v>11791</v>
      </c>
      <c r="E310" s="550" t="s">
        <v>4122</v>
      </c>
      <c r="F310" s="550" t="s">
        <v>1374</v>
      </c>
      <c r="G310" s="550" t="s">
        <v>855</v>
      </c>
      <c r="H310" s="550" t="s">
        <v>641</v>
      </c>
      <c r="I310" s="550" t="s">
        <v>11</v>
      </c>
      <c r="J310" s="550" t="s">
        <v>11795</v>
      </c>
      <c r="K310" s="551">
        <v>45215</v>
      </c>
      <c r="L310" s="552">
        <v>309</v>
      </c>
      <c r="M310" s="552">
        <v>309</v>
      </c>
      <c r="N310" s="552">
        <v>309</v>
      </c>
      <c r="O310" s="552"/>
      <c r="P310" s="552"/>
      <c r="Q310" s="548">
        <v>13000</v>
      </c>
      <c r="R310" s="552">
        <v>4017000</v>
      </c>
      <c r="S310" s="548">
        <v>13000</v>
      </c>
      <c r="T310" s="552">
        <v>4017000</v>
      </c>
      <c r="U310" s="548">
        <v>0</v>
      </c>
      <c r="V310" s="552">
        <v>0</v>
      </c>
      <c r="W310" s="552">
        <v>67</v>
      </c>
      <c r="X310" s="552">
        <v>20703</v>
      </c>
      <c r="Y310" s="552">
        <v>13000</v>
      </c>
      <c r="Z310" s="552">
        <v>4017000</v>
      </c>
      <c r="AA310" s="552">
        <v>5000</v>
      </c>
      <c r="AB310" s="552">
        <v>1545000</v>
      </c>
      <c r="AC310" s="552">
        <v>8000</v>
      </c>
      <c r="AD310" s="552">
        <v>2472000</v>
      </c>
      <c r="AE310" s="552">
        <v>0</v>
      </c>
      <c r="AF310" s="552">
        <v>0</v>
      </c>
      <c r="AG310" s="552">
        <v>0</v>
      </c>
      <c r="AH310" s="552">
        <v>0</v>
      </c>
      <c r="AI310" s="552">
        <v>0</v>
      </c>
      <c r="AJ310" s="552">
        <v>0</v>
      </c>
    </row>
    <row r="311" spans="1:36" ht="15.95" customHeight="1">
      <c r="A311" s="547"/>
      <c r="B311" s="548">
        <v>554</v>
      </c>
      <c r="C311" s="549">
        <v>6996</v>
      </c>
      <c r="D311" s="550" t="s">
        <v>11791</v>
      </c>
      <c r="E311" s="550" t="s">
        <v>4122</v>
      </c>
      <c r="F311" s="550" t="s">
        <v>1374</v>
      </c>
      <c r="G311" s="550" t="s">
        <v>855</v>
      </c>
      <c r="H311" s="550" t="s">
        <v>641</v>
      </c>
      <c r="I311" s="550" t="s">
        <v>11</v>
      </c>
      <c r="J311" s="550" t="s">
        <v>4123</v>
      </c>
      <c r="K311" s="551">
        <v>44984</v>
      </c>
      <c r="L311" s="552">
        <v>309</v>
      </c>
      <c r="M311" s="552">
        <v>309</v>
      </c>
      <c r="N311" s="552">
        <v>309</v>
      </c>
      <c r="O311" s="552">
        <v>423</v>
      </c>
      <c r="P311" s="552">
        <v>130707</v>
      </c>
      <c r="Q311" s="548">
        <v>3</v>
      </c>
      <c r="R311" s="552">
        <v>927</v>
      </c>
      <c r="S311" s="548">
        <v>426</v>
      </c>
      <c r="T311" s="552">
        <v>131634</v>
      </c>
      <c r="U311" s="548">
        <v>0</v>
      </c>
      <c r="V311" s="552">
        <v>0</v>
      </c>
      <c r="W311" s="552">
        <v>1538</v>
      </c>
      <c r="X311" s="552">
        <v>475242</v>
      </c>
      <c r="Y311" s="552">
        <v>426</v>
      </c>
      <c r="Z311" s="552">
        <v>131634</v>
      </c>
      <c r="AA311" s="552">
        <v>0</v>
      </c>
      <c r="AB311" s="552">
        <v>0</v>
      </c>
      <c r="AC311" s="552">
        <v>426</v>
      </c>
      <c r="AD311" s="552">
        <v>131634</v>
      </c>
      <c r="AE311" s="552">
        <v>0</v>
      </c>
      <c r="AF311" s="552">
        <v>0</v>
      </c>
      <c r="AG311" s="552">
        <v>0</v>
      </c>
      <c r="AH311" s="552">
        <v>0</v>
      </c>
      <c r="AI311" s="552">
        <v>0</v>
      </c>
      <c r="AJ311" s="552">
        <v>0</v>
      </c>
    </row>
    <row r="312" spans="1:36" ht="15.95" customHeight="1">
      <c r="A312" s="547"/>
      <c r="B312" s="548">
        <v>566</v>
      </c>
      <c r="C312" s="549">
        <v>6925</v>
      </c>
      <c r="D312" s="550" t="s">
        <v>11796</v>
      </c>
      <c r="E312" s="550" t="s">
        <v>4124</v>
      </c>
      <c r="F312" s="550" t="s">
        <v>1357</v>
      </c>
      <c r="G312" s="550" t="s">
        <v>1356</v>
      </c>
      <c r="H312" s="550" t="s">
        <v>238</v>
      </c>
      <c r="I312" s="550" t="s">
        <v>11</v>
      </c>
      <c r="J312" s="550" t="s">
        <v>3748</v>
      </c>
      <c r="K312" s="551">
        <v>44942</v>
      </c>
      <c r="L312" s="552">
        <v>98</v>
      </c>
      <c r="M312" s="552">
        <v>98</v>
      </c>
      <c r="N312" s="552">
        <v>98</v>
      </c>
      <c r="O312" s="552">
        <v>200</v>
      </c>
      <c r="P312" s="552">
        <v>19600</v>
      </c>
      <c r="Q312" s="548">
        <v>0</v>
      </c>
      <c r="R312" s="552">
        <v>0</v>
      </c>
      <c r="S312" s="548">
        <v>40</v>
      </c>
      <c r="T312" s="552">
        <v>3920</v>
      </c>
      <c r="U312" s="548">
        <v>160</v>
      </c>
      <c r="V312" s="552">
        <v>15680</v>
      </c>
      <c r="W312" s="552">
        <v>0</v>
      </c>
      <c r="X312" s="552">
        <v>0</v>
      </c>
      <c r="Y312" s="552">
        <v>0</v>
      </c>
      <c r="Z312" s="552">
        <v>0</v>
      </c>
      <c r="AA312" s="552">
        <v>0</v>
      </c>
      <c r="AB312" s="552">
        <v>0</v>
      </c>
      <c r="AC312" s="552">
        <v>0</v>
      </c>
      <c r="AD312" s="552">
        <v>0</v>
      </c>
      <c r="AE312" s="552">
        <v>0</v>
      </c>
      <c r="AF312" s="552">
        <v>0</v>
      </c>
      <c r="AG312" s="552">
        <v>40</v>
      </c>
      <c r="AH312" s="552">
        <v>3920</v>
      </c>
      <c r="AI312" s="552">
        <v>0</v>
      </c>
      <c r="AJ312" s="552">
        <v>0</v>
      </c>
    </row>
    <row r="313" spans="1:36" ht="15.95" customHeight="1">
      <c r="A313" s="547"/>
      <c r="B313" s="548">
        <v>567</v>
      </c>
      <c r="C313" s="549">
        <v>6925</v>
      </c>
      <c r="D313" s="550" t="s">
        <v>11796</v>
      </c>
      <c r="E313" s="550" t="s">
        <v>4124</v>
      </c>
      <c r="F313" s="550" t="s">
        <v>1357</v>
      </c>
      <c r="G313" s="550" t="s">
        <v>1356</v>
      </c>
      <c r="H313" s="550" t="s">
        <v>238</v>
      </c>
      <c r="I313" s="550" t="s">
        <v>11</v>
      </c>
      <c r="J313" s="550" t="s">
        <v>4125</v>
      </c>
      <c r="K313" s="551">
        <v>44920</v>
      </c>
      <c r="L313" s="552">
        <v>98</v>
      </c>
      <c r="M313" s="552">
        <v>98</v>
      </c>
      <c r="N313" s="552">
        <v>98</v>
      </c>
      <c r="O313" s="552">
        <v>800</v>
      </c>
      <c r="P313" s="552">
        <v>78400</v>
      </c>
      <c r="Q313" s="548">
        <v>0</v>
      </c>
      <c r="R313" s="552">
        <v>0</v>
      </c>
      <c r="S313" s="548">
        <v>220</v>
      </c>
      <c r="T313" s="552">
        <v>21560</v>
      </c>
      <c r="U313" s="548">
        <v>580</v>
      </c>
      <c r="V313" s="552">
        <v>56840</v>
      </c>
      <c r="W313" s="552">
        <v>174</v>
      </c>
      <c r="X313" s="552">
        <v>17052</v>
      </c>
      <c r="Y313" s="552">
        <v>200</v>
      </c>
      <c r="Z313" s="552">
        <v>19600</v>
      </c>
      <c r="AA313" s="552">
        <v>0</v>
      </c>
      <c r="AB313" s="552">
        <v>0</v>
      </c>
      <c r="AC313" s="552">
        <v>200</v>
      </c>
      <c r="AD313" s="552">
        <v>19600</v>
      </c>
      <c r="AE313" s="552">
        <v>0</v>
      </c>
      <c r="AF313" s="552">
        <v>0</v>
      </c>
      <c r="AG313" s="552">
        <v>20</v>
      </c>
      <c r="AH313" s="552">
        <v>1960</v>
      </c>
      <c r="AI313" s="552">
        <v>0</v>
      </c>
      <c r="AJ313" s="552">
        <v>0</v>
      </c>
    </row>
    <row r="314" spans="1:36" ht="15.95" customHeight="1">
      <c r="A314" s="547"/>
      <c r="B314" s="548">
        <v>568</v>
      </c>
      <c r="C314" s="549">
        <v>5515</v>
      </c>
      <c r="D314" s="550"/>
      <c r="E314" s="550" t="s">
        <v>4124</v>
      </c>
      <c r="F314" s="550" t="s">
        <v>1357</v>
      </c>
      <c r="G314" s="550" t="s">
        <v>1356</v>
      </c>
      <c r="H314" s="550" t="s">
        <v>238</v>
      </c>
      <c r="I314" s="550" t="s">
        <v>11</v>
      </c>
      <c r="J314" s="550" t="s">
        <v>4126</v>
      </c>
      <c r="K314" s="551">
        <v>44166</v>
      </c>
      <c r="L314" s="552">
        <v>98</v>
      </c>
      <c r="M314" s="552">
        <v>98</v>
      </c>
      <c r="N314" s="552">
        <v>98</v>
      </c>
      <c r="O314" s="552">
        <v>40</v>
      </c>
      <c r="P314" s="552">
        <v>3920</v>
      </c>
      <c r="Q314" s="548">
        <v>0</v>
      </c>
      <c r="R314" s="552">
        <v>0</v>
      </c>
      <c r="S314" s="548">
        <v>40</v>
      </c>
      <c r="T314" s="552">
        <v>3920</v>
      </c>
      <c r="U314" s="548">
        <v>0</v>
      </c>
      <c r="V314" s="552">
        <v>0</v>
      </c>
      <c r="W314" s="552">
        <v>0</v>
      </c>
      <c r="X314" s="552">
        <v>0</v>
      </c>
      <c r="Y314" s="552">
        <v>0</v>
      </c>
      <c r="Z314" s="552">
        <v>0</v>
      </c>
      <c r="AA314" s="552">
        <v>0</v>
      </c>
      <c r="AB314" s="552">
        <v>0</v>
      </c>
      <c r="AC314" s="552">
        <v>0</v>
      </c>
      <c r="AD314" s="552">
        <v>0</v>
      </c>
      <c r="AE314" s="552">
        <v>0</v>
      </c>
      <c r="AF314" s="552">
        <v>0</v>
      </c>
      <c r="AG314" s="552">
        <v>40</v>
      </c>
      <c r="AH314" s="552">
        <v>3920</v>
      </c>
      <c r="AI314" s="552">
        <v>0</v>
      </c>
      <c r="AJ314" s="552">
        <v>0</v>
      </c>
    </row>
    <row r="315" spans="1:36" ht="15.95" customHeight="1">
      <c r="A315" s="547"/>
      <c r="B315" s="548">
        <v>569</v>
      </c>
      <c r="C315" s="549">
        <v>5515</v>
      </c>
      <c r="D315" s="550"/>
      <c r="E315" s="550" t="s">
        <v>4124</v>
      </c>
      <c r="F315" s="550" t="s">
        <v>1357</v>
      </c>
      <c r="G315" s="550" t="s">
        <v>1356</v>
      </c>
      <c r="H315" s="550" t="s">
        <v>238</v>
      </c>
      <c r="I315" s="550" t="s">
        <v>11</v>
      </c>
      <c r="J315" s="550" t="s">
        <v>4127</v>
      </c>
      <c r="K315" s="551">
        <v>44470</v>
      </c>
      <c r="L315" s="552">
        <v>98</v>
      </c>
      <c r="M315" s="552">
        <v>98</v>
      </c>
      <c r="N315" s="552">
        <v>98</v>
      </c>
      <c r="O315" s="552"/>
      <c r="P315" s="552"/>
      <c r="Q315" s="548">
        <v>400</v>
      </c>
      <c r="R315" s="552">
        <v>39200</v>
      </c>
      <c r="S315" s="548">
        <v>400</v>
      </c>
      <c r="T315" s="552">
        <v>39200</v>
      </c>
      <c r="U315" s="548">
        <v>0</v>
      </c>
      <c r="V315" s="552">
        <v>0</v>
      </c>
      <c r="W315" s="552">
        <v>332</v>
      </c>
      <c r="X315" s="552">
        <v>32536</v>
      </c>
      <c r="Y315" s="552">
        <v>21</v>
      </c>
      <c r="Z315" s="552">
        <v>2058</v>
      </c>
      <c r="AA315" s="552">
        <v>21</v>
      </c>
      <c r="AB315" s="552">
        <v>2058</v>
      </c>
      <c r="AC315" s="552">
        <v>0</v>
      </c>
      <c r="AD315" s="552">
        <v>0</v>
      </c>
      <c r="AE315" s="552">
        <v>0</v>
      </c>
      <c r="AF315" s="552">
        <v>0</v>
      </c>
      <c r="AG315" s="552">
        <v>379</v>
      </c>
      <c r="AH315" s="552">
        <v>37142</v>
      </c>
      <c r="AI315" s="552">
        <v>400</v>
      </c>
      <c r="AJ315" s="552">
        <v>39200</v>
      </c>
    </row>
    <row r="316" spans="1:36" ht="15.95" customHeight="1">
      <c r="A316" s="547"/>
      <c r="B316" s="548">
        <v>570</v>
      </c>
      <c r="C316" s="549">
        <v>7190</v>
      </c>
      <c r="D316" s="550" t="s">
        <v>11797</v>
      </c>
      <c r="E316" s="550" t="s">
        <v>4128</v>
      </c>
      <c r="F316" s="550" t="s">
        <v>1312</v>
      </c>
      <c r="G316" s="550" t="s">
        <v>1311</v>
      </c>
      <c r="H316" s="550" t="s">
        <v>1313</v>
      </c>
      <c r="I316" s="550" t="s">
        <v>11</v>
      </c>
      <c r="J316" s="550" t="s">
        <v>11798</v>
      </c>
      <c r="K316" s="551">
        <v>45065</v>
      </c>
      <c r="L316" s="552">
        <v>118</v>
      </c>
      <c r="M316" s="552">
        <v>118</v>
      </c>
      <c r="N316" s="552">
        <v>118</v>
      </c>
      <c r="O316" s="552"/>
      <c r="P316" s="552"/>
      <c r="Q316" s="548">
        <v>7800</v>
      </c>
      <c r="R316" s="552">
        <v>920400</v>
      </c>
      <c r="S316" s="548">
        <v>7800</v>
      </c>
      <c r="T316" s="552">
        <v>920400</v>
      </c>
      <c r="U316" s="548">
        <v>0</v>
      </c>
      <c r="V316" s="552">
        <v>0</v>
      </c>
      <c r="W316" s="552">
        <v>3610</v>
      </c>
      <c r="X316" s="552">
        <v>425980</v>
      </c>
      <c r="Y316" s="552">
        <v>7800</v>
      </c>
      <c r="Z316" s="552">
        <v>920400</v>
      </c>
      <c r="AA316" s="552">
        <v>0</v>
      </c>
      <c r="AB316" s="552">
        <v>0</v>
      </c>
      <c r="AC316" s="552">
        <v>7800</v>
      </c>
      <c r="AD316" s="552">
        <v>920400</v>
      </c>
      <c r="AE316" s="552">
        <v>0</v>
      </c>
      <c r="AF316" s="552">
        <v>0</v>
      </c>
      <c r="AG316" s="552">
        <v>0</v>
      </c>
      <c r="AH316" s="552">
        <v>0</v>
      </c>
      <c r="AI316" s="552">
        <v>0</v>
      </c>
      <c r="AJ316" s="552">
        <v>0</v>
      </c>
    </row>
    <row r="317" spans="1:36" ht="15.95" customHeight="1">
      <c r="A317" s="547"/>
      <c r="B317" s="548">
        <v>571</v>
      </c>
      <c r="C317" s="549">
        <v>7190</v>
      </c>
      <c r="D317" s="550" t="s">
        <v>11797</v>
      </c>
      <c r="E317" s="550" t="s">
        <v>4128</v>
      </c>
      <c r="F317" s="550" t="s">
        <v>1312</v>
      </c>
      <c r="G317" s="550" t="s">
        <v>1311</v>
      </c>
      <c r="H317" s="550" t="s">
        <v>1313</v>
      </c>
      <c r="I317" s="550" t="s">
        <v>11</v>
      </c>
      <c r="J317" s="550" t="s">
        <v>11799</v>
      </c>
      <c r="K317" s="551">
        <v>44770</v>
      </c>
      <c r="L317" s="552">
        <v>118</v>
      </c>
      <c r="M317" s="552">
        <v>118</v>
      </c>
      <c r="N317" s="552">
        <v>118</v>
      </c>
      <c r="O317" s="552"/>
      <c r="P317" s="552"/>
      <c r="Q317" s="548">
        <v>11250</v>
      </c>
      <c r="R317" s="552">
        <v>1327500</v>
      </c>
      <c r="S317" s="548">
        <v>11250</v>
      </c>
      <c r="T317" s="552">
        <v>1327500</v>
      </c>
      <c r="U317" s="548">
        <v>0</v>
      </c>
      <c r="V317" s="552">
        <v>0</v>
      </c>
      <c r="W317" s="552">
        <v>7671</v>
      </c>
      <c r="X317" s="552">
        <v>905178</v>
      </c>
      <c r="Y317" s="552">
        <v>11250</v>
      </c>
      <c r="Z317" s="552">
        <v>1327500</v>
      </c>
      <c r="AA317" s="552">
        <v>0</v>
      </c>
      <c r="AB317" s="552">
        <v>0</v>
      </c>
      <c r="AC317" s="552">
        <v>11250</v>
      </c>
      <c r="AD317" s="552">
        <v>1327500</v>
      </c>
      <c r="AE317" s="552">
        <v>0</v>
      </c>
      <c r="AF317" s="552">
        <v>0</v>
      </c>
      <c r="AG317" s="552">
        <v>0</v>
      </c>
      <c r="AH317" s="552">
        <v>0</v>
      </c>
      <c r="AI317" s="552">
        <v>0</v>
      </c>
      <c r="AJ317" s="552">
        <v>0</v>
      </c>
    </row>
    <row r="318" spans="1:36" ht="15.95" customHeight="1">
      <c r="A318" s="547"/>
      <c r="B318" s="548">
        <v>572</v>
      </c>
      <c r="C318" s="549">
        <v>7600</v>
      </c>
      <c r="D318" s="550" t="s">
        <v>11800</v>
      </c>
      <c r="E318" s="550" t="s">
        <v>7633</v>
      </c>
      <c r="F318" s="550" t="s">
        <v>858</v>
      </c>
      <c r="G318" s="550" t="s">
        <v>347</v>
      </c>
      <c r="H318" s="550" t="s">
        <v>238</v>
      </c>
      <c r="I318" s="550" t="s">
        <v>11</v>
      </c>
      <c r="J318" s="550" t="s">
        <v>11801</v>
      </c>
      <c r="K318" s="551">
        <v>45431</v>
      </c>
      <c r="L318" s="552">
        <v>335</v>
      </c>
      <c r="M318" s="552">
        <v>335</v>
      </c>
      <c r="N318" s="552">
        <v>335</v>
      </c>
      <c r="O318" s="552"/>
      <c r="P318" s="552"/>
      <c r="Q318" s="548">
        <v>9000</v>
      </c>
      <c r="R318" s="552">
        <v>3015000</v>
      </c>
      <c r="S318" s="548">
        <v>9000</v>
      </c>
      <c r="T318" s="552">
        <v>3015000</v>
      </c>
      <c r="U318" s="548">
        <v>0</v>
      </c>
      <c r="V318" s="552">
        <v>0</v>
      </c>
      <c r="W318" s="552">
        <v>6891</v>
      </c>
      <c r="X318" s="552">
        <v>2308485</v>
      </c>
      <c r="Y318" s="552">
        <v>9000</v>
      </c>
      <c r="Z318" s="552">
        <v>3015000</v>
      </c>
      <c r="AA318" s="552">
        <v>0</v>
      </c>
      <c r="AB318" s="552">
        <v>0</v>
      </c>
      <c r="AC318" s="552">
        <v>9000</v>
      </c>
      <c r="AD318" s="552">
        <v>3015000</v>
      </c>
      <c r="AE318" s="552">
        <v>0</v>
      </c>
      <c r="AF318" s="552">
        <v>0</v>
      </c>
      <c r="AG318" s="552">
        <v>0</v>
      </c>
      <c r="AH318" s="552">
        <v>0</v>
      </c>
      <c r="AI318" s="552">
        <v>0</v>
      </c>
      <c r="AJ318" s="552">
        <v>0</v>
      </c>
    </row>
    <row r="319" spans="1:36" ht="15.95" customHeight="1">
      <c r="A319" s="547"/>
      <c r="B319" s="548">
        <v>573</v>
      </c>
      <c r="C319" s="549">
        <v>7600</v>
      </c>
      <c r="D319" s="550" t="s">
        <v>11800</v>
      </c>
      <c r="E319" s="550" t="s">
        <v>7633</v>
      </c>
      <c r="F319" s="550" t="s">
        <v>858</v>
      </c>
      <c r="G319" s="550" t="s">
        <v>347</v>
      </c>
      <c r="H319" s="550" t="s">
        <v>238</v>
      </c>
      <c r="I319" s="550" t="s">
        <v>11</v>
      </c>
      <c r="J319" s="550" t="s">
        <v>11802</v>
      </c>
      <c r="K319" s="551">
        <v>45367</v>
      </c>
      <c r="L319" s="552">
        <v>335</v>
      </c>
      <c r="M319" s="552">
        <v>335</v>
      </c>
      <c r="N319" s="552">
        <v>335</v>
      </c>
      <c r="O319" s="552"/>
      <c r="P319" s="552"/>
      <c r="Q319" s="548">
        <v>5000</v>
      </c>
      <c r="R319" s="552">
        <v>1675000</v>
      </c>
      <c r="S319" s="548">
        <v>2884</v>
      </c>
      <c r="T319" s="552">
        <v>966140</v>
      </c>
      <c r="U319" s="548">
        <v>2116</v>
      </c>
      <c r="V319" s="552">
        <v>708860</v>
      </c>
      <c r="W319" s="552">
        <v>850</v>
      </c>
      <c r="X319" s="552">
        <v>284750</v>
      </c>
      <c r="Y319" s="552">
        <v>2884</v>
      </c>
      <c r="Z319" s="552">
        <v>966140</v>
      </c>
      <c r="AA319" s="552">
        <v>884</v>
      </c>
      <c r="AB319" s="552">
        <v>296140</v>
      </c>
      <c r="AC319" s="552">
        <v>2000</v>
      </c>
      <c r="AD319" s="552">
        <v>670000</v>
      </c>
      <c r="AE319" s="552">
        <v>0</v>
      </c>
      <c r="AF319" s="552">
        <v>0</v>
      </c>
      <c r="AG319" s="552">
        <v>0</v>
      </c>
      <c r="AH319" s="552">
        <v>0</v>
      </c>
      <c r="AI319" s="552">
        <v>0</v>
      </c>
      <c r="AJ319" s="552">
        <v>0</v>
      </c>
    </row>
    <row r="320" spans="1:36" ht="15.95" customHeight="1">
      <c r="A320" s="547"/>
      <c r="B320" s="548">
        <v>591</v>
      </c>
      <c r="C320" s="549">
        <v>5075</v>
      </c>
      <c r="D320" s="550" t="s">
        <v>11803</v>
      </c>
      <c r="E320" s="550" t="s">
        <v>11803</v>
      </c>
      <c r="F320" s="550" t="s">
        <v>11804</v>
      </c>
      <c r="G320" s="550" t="s">
        <v>11805</v>
      </c>
      <c r="H320" s="550"/>
      <c r="I320" s="550" t="s">
        <v>11806</v>
      </c>
      <c r="J320" s="550" t="s">
        <v>11807</v>
      </c>
      <c r="K320" s="551">
        <v>45292</v>
      </c>
      <c r="L320" s="552">
        <v>2880</v>
      </c>
      <c r="M320" s="552">
        <v>2880</v>
      </c>
      <c r="N320" s="552">
        <v>2880</v>
      </c>
      <c r="O320" s="552">
        <v>1459</v>
      </c>
      <c r="P320" s="552">
        <v>4201920</v>
      </c>
      <c r="Q320" s="548">
        <v>0</v>
      </c>
      <c r="R320" s="552">
        <v>0</v>
      </c>
      <c r="S320" s="548">
        <v>0</v>
      </c>
      <c r="T320" s="552">
        <v>0</v>
      </c>
      <c r="U320" s="548">
        <v>1459</v>
      </c>
      <c r="V320" s="552">
        <v>4201920</v>
      </c>
      <c r="W320" s="552">
        <v>0</v>
      </c>
      <c r="X320" s="552">
        <v>0</v>
      </c>
      <c r="Y320" s="552">
        <v>0</v>
      </c>
      <c r="Z320" s="552">
        <v>0</v>
      </c>
      <c r="AA320" s="552">
        <v>0</v>
      </c>
      <c r="AB320" s="552">
        <v>0</v>
      </c>
      <c r="AC320" s="552">
        <v>0</v>
      </c>
      <c r="AD320" s="552">
        <v>0</v>
      </c>
      <c r="AE320" s="552">
        <v>0</v>
      </c>
      <c r="AF320" s="552">
        <v>0</v>
      </c>
      <c r="AG320" s="552">
        <v>0</v>
      </c>
      <c r="AH320" s="552">
        <v>0</v>
      </c>
      <c r="AI320" s="552">
        <v>0</v>
      </c>
      <c r="AJ320" s="552">
        <v>0</v>
      </c>
    </row>
    <row r="321" spans="1:36" ht="15.95" customHeight="1">
      <c r="A321" s="547"/>
      <c r="B321" s="548">
        <v>592</v>
      </c>
      <c r="C321" s="549">
        <v>5075</v>
      </c>
      <c r="D321" s="550" t="s">
        <v>11803</v>
      </c>
      <c r="E321" s="550" t="s">
        <v>11803</v>
      </c>
      <c r="F321" s="550" t="s">
        <v>11804</v>
      </c>
      <c r="G321" s="550" t="s">
        <v>11805</v>
      </c>
      <c r="H321" s="550"/>
      <c r="I321" s="550" t="s">
        <v>11806</v>
      </c>
      <c r="J321" s="550" t="s">
        <v>11808</v>
      </c>
      <c r="K321" s="551">
        <v>43831</v>
      </c>
      <c r="L321" s="552">
        <v>2880</v>
      </c>
      <c r="M321" s="552">
        <v>2880</v>
      </c>
      <c r="N321" s="552">
        <v>2880</v>
      </c>
      <c r="O321" s="552">
        <v>46.25</v>
      </c>
      <c r="P321" s="552">
        <v>133200</v>
      </c>
      <c r="Q321" s="548">
        <v>0</v>
      </c>
      <c r="R321" s="552">
        <v>0</v>
      </c>
      <c r="S321" s="548">
        <v>46.25</v>
      </c>
      <c r="T321" s="552">
        <v>133200</v>
      </c>
      <c r="U321" s="548">
        <v>0</v>
      </c>
      <c r="V321" s="552">
        <v>0</v>
      </c>
      <c r="W321" s="552">
        <v>0</v>
      </c>
      <c r="X321" s="552">
        <v>0</v>
      </c>
      <c r="Y321" s="552">
        <v>46.25</v>
      </c>
      <c r="Z321" s="552">
        <v>133200</v>
      </c>
      <c r="AA321" s="552">
        <v>0</v>
      </c>
      <c r="AB321" s="552">
        <v>0</v>
      </c>
      <c r="AC321" s="552">
        <v>46.25</v>
      </c>
      <c r="AD321" s="552">
        <v>133200</v>
      </c>
      <c r="AE321" s="552">
        <v>0</v>
      </c>
      <c r="AF321" s="552">
        <v>0</v>
      </c>
      <c r="AG321" s="552">
        <v>0</v>
      </c>
      <c r="AH321" s="552">
        <v>0</v>
      </c>
      <c r="AI321" s="552">
        <v>0</v>
      </c>
      <c r="AJ321" s="552">
        <v>0</v>
      </c>
    </row>
    <row r="322" spans="1:36" ht="15.95" customHeight="1">
      <c r="A322" s="547"/>
      <c r="B322" s="548">
        <v>593</v>
      </c>
      <c r="C322" s="549">
        <v>5075</v>
      </c>
      <c r="D322" s="550" t="s">
        <v>11803</v>
      </c>
      <c r="E322" s="550" t="s">
        <v>11803</v>
      </c>
      <c r="F322" s="550" t="s">
        <v>11804</v>
      </c>
      <c r="G322" s="550" t="s">
        <v>11805</v>
      </c>
      <c r="H322" s="550"/>
      <c r="I322" s="550" t="s">
        <v>11806</v>
      </c>
      <c r="J322" s="550" t="s">
        <v>11809</v>
      </c>
      <c r="K322" s="551">
        <v>44835</v>
      </c>
      <c r="L322" s="552">
        <v>2880</v>
      </c>
      <c r="M322" s="552">
        <v>2880</v>
      </c>
      <c r="N322" s="552">
        <v>2880</v>
      </c>
      <c r="O322" s="552">
        <v>1459</v>
      </c>
      <c r="P322" s="552">
        <v>4201920</v>
      </c>
      <c r="Q322" s="548">
        <v>0</v>
      </c>
      <c r="R322" s="552">
        <v>0</v>
      </c>
      <c r="S322" s="548">
        <v>436.75</v>
      </c>
      <c r="T322" s="552">
        <v>1257840</v>
      </c>
      <c r="U322" s="548">
        <v>1022.25</v>
      </c>
      <c r="V322" s="552">
        <v>2944080</v>
      </c>
      <c r="W322" s="552">
        <v>0</v>
      </c>
      <c r="X322" s="552">
        <v>0</v>
      </c>
      <c r="Y322" s="552">
        <v>436.75</v>
      </c>
      <c r="Z322" s="552">
        <v>1257840</v>
      </c>
      <c r="AA322" s="552">
        <v>0</v>
      </c>
      <c r="AB322" s="552">
        <v>0</v>
      </c>
      <c r="AC322" s="552">
        <v>436.75</v>
      </c>
      <c r="AD322" s="552">
        <v>1257840</v>
      </c>
      <c r="AE322" s="552">
        <v>0</v>
      </c>
      <c r="AF322" s="552">
        <v>0</v>
      </c>
      <c r="AG322" s="552">
        <v>0</v>
      </c>
      <c r="AH322" s="552">
        <v>0</v>
      </c>
      <c r="AI322" s="552">
        <v>0</v>
      </c>
      <c r="AJ322" s="552">
        <v>0</v>
      </c>
    </row>
    <row r="323" spans="1:36" ht="15.95" customHeight="1">
      <c r="A323" s="547"/>
      <c r="B323" s="548">
        <v>607</v>
      </c>
      <c r="C323" s="549">
        <v>6987</v>
      </c>
      <c r="D323" s="550" t="s">
        <v>11810</v>
      </c>
      <c r="E323" s="550" t="s">
        <v>4129</v>
      </c>
      <c r="F323" s="550" t="s">
        <v>4130</v>
      </c>
      <c r="G323" s="550" t="s">
        <v>4131</v>
      </c>
      <c r="H323" s="550" t="s">
        <v>753</v>
      </c>
      <c r="I323" s="550" t="s">
        <v>11</v>
      </c>
      <c r="J323" s="550" t="s">
        <v>4132</v>
      </c>
      <c r="K323" s="551">
        <v>44781</v>
      </c>
      <c r="L323" s="552">
        <v>4200</v>
      </c>
      <c r="M323" s="552">
        <v>4200</v>
      </c>
      <c r="N323" s="552">
        <v>4200</v>
      </c>
      <c r="O323" s="552">
        <v>4613</v>
      </c>
      <c r="P323" s="552">
        <v>19374600</v>
      </c>
      <c r="Q323" s="548">
        <v>20</v>
      </c>
      <c r="R323" s="552">
        <v>84000</v>
      </c>
      <c r="S323" s="548">
        <v>4251</v>
      </c>
      <c r="T323" s="552">
        <v>17854200</v>
      </c>
      <c r="U323" s="548">
        <v>382</v>
      </c>
      <c r="V323" s="552">
        <v>1604400</v>
      </c>
      <c r="W323" s="552">
        <v>0</v>
      </c>
      <c r="X323" s="552">
        <v>0</v>
      </c>
      <c r="Y323" s="552">
        <v>4128</v>
      </c>
      <c r="Z323" s="552">
        <v>17337600</v>
      </c>
      <c r="AA323" s="552">
        <v>3480</v>
      </c>
      <c r="AB323" s="552">
        <v>14616000</v>
      </c>
      <c r="AC323" s="552">
        <v>648</v>
      </c>
      <c r="AD323" s="552">
        <v>2721600</v>
      </c>
      <c r="AE323" s="552">
        <v>0</v>
      </c>
      <c r="AF323" s="552">
        <v>0</v>
      </c>
      <c r="AG323" s="552">
        <v>123</v>
      </c>
      <c r="AH323" s="552">
        <v>516600</v>
      </c>
      <c r="AI323" s="552">
        <v>0</v>
      </c>
      <c r="AJ323" s="552">
        <v>0</v>
      </c>
    </row>
    <row r="324" spans="1:36" ht="15.95" customHeight="1">
      <c r="A324" s="547"/>
      <c r="B324" s="548">
        <v>608</v>
      </c>
      <c r="C324" s="549">
        <v>6987</v>
      </c>
      <c r="D324" s="550" t="s">
        <v>11810</v>
      </c>
      <c r="E324" s="550" t="s">
        <v>4129</v>
      </c>
      <c r="F324" s="550" t="s">
        <v>4130</v>
      </c>
      <c r="G324" s="550" t="s">
        <v>4131</v>
      </c>
      <c r="H324" s="550" t="s">
        <v>753</v>
      </c>
      <c r="I324" s="550" t="s">
        <v>11</v>
      </c>
      <c r="J324" s="550" t="s">
        <v>11811</v>
      </c>
      <c r="K324" s="551">
        <v>44781</v>
      </c>
      <c r="L324" s="552">
        <v>4200</v>
      </c>
      <c r="M324" s="552">
        <v>4200</v>
      </c>
      <c r="N324" s="552">
        <v>4200</v>
      </c>
      <c r="O324" s="552"/>
      <c r="P324" s="552"/>
      <c r="Q324" s="548">
        <v>10000</v>
      </c>
      <c r="R324" s="552">
        <v>42000000</v>
      </c>
      <c r="S324" s="548">
        <v>6751</v>
      </c>
      <c r="T324" s="552">
        <v>28354200</v>
      </c>
      <c r="U324" s="548">
        <v>3249</v>
      </c>
      <c r="V324" s="552">
        <v>13645800</v>
      </c>
      <c r="W324" s="552">
        <v>0</v>
      </c>
      <c r="X324" s="552">
        <v>0</v>
      </c>
      <c r="Y324" s="552">
        <v>6751</v>
      </c>
      <c r="Z324" s="552">
        <v>28354200</v>
      </c>
      <c r="AA324" s="552">
        <v>6751</v>
      </c>
      <c r="AB324" s="552">
        <v>28354200</v>
      </c>
      <c r="AC324" s="552">
        <v>0</v>
      </c>
      <c r="AD324" s="552">
        <v>0</v>
      </c>
      <c r="AE324" s="552">
        <v>0</v>
      </c>
      <c r="AF324" s="552">
        <v>0</v>
      </c>
      <c r="AG324" s="552">
        <v>0</v>
      </c>
      <c r="AH324" s="552">
        <v>0</v>
      </c>
      <c r="AI324" s="552">
        <v>0</v>
      </c>
      <c r="AJ324" s="552">
        <v>0</v>
      </c>
    </row>
    <row r="325" spans="1:36" ht="15.95" customHeight="1">
      <c r="A325" s="547"/>
      <c r="B325" s="548">
        <v>609</v>
      </c>
      <c r="C325" s="549">
        <v>6857</v>
      </c>
      <c r="D325" s="550" t="s">
        <v>11812</v>
      </c>
      <c r="E325" s="550" t="s">
        <v>3993</v>
      </c>
      <c r="F325" s="550" t="s">
        <v>4133</v>
      </c>
      <c r="G325" s="550" t="s">
        <v>3793</v>
      </c>
      <c r="H325" s="550" t="s">
        <v>4134</v>
      </c>
      <c r="I325" s="550" t="s">
        <v>12</v>
      </c>
      <c r="J325" s="550" t="s">
        <v>11813</v>
      </c>
      <c r="K325" s="551">
        <v>45113</v>
      </c>
      <c r="L325" s="552">
        <v>720</v>
      </c>
      <c r="M325" s="552">
        <v>720</v>
      </c>
      <c r="N325" s="552">
        <v>720</v>
      </c>
      <c r="O325" s="552"/>
      <c r="P325" s="552"/>
      <c r="Q325" s="548">
        <v>3500</v>
      </c>
      <c r="R325" s="552">
        <v>2520000</v>
      </c>
      <c r="S325" s="548">
        <v>3500</v>
      </c>
      <c r="T325" s="552">
        <v>2520000</v>
      </c>
      <c r="U325" s="548">
        <v>0</v>
      </c>
      <c r="V325" s="552">
        <v>0</v>
      </c>
      <c r="W325" s="552">
        <v>2075</v>
      </c>
      <c r="X325" s="552">
        <v>1494000</v>
      </c>
      <c r="Y325" s="552">
        <v>3500</v>
      </c>
      <c r="Z325" s="552">
        <v>2520000</v>
      </c>
      <c r="AA325" s="552">
        <v>0</v>
      </c>
      <c r="AB325" s="552">
        <v>0</v>
      </c>
      <c r="AC325" s="552">
        <v>3500</v>
      </c>
      <c r="AD325" s="552">
        <v>2520000</v>
      </c>
      <c r="AE325" s="552">
        <v>0</v>
      </c>
      <c r="AF325" s="552">
        <v>0</v>
      </c>
      <c r="AG325" s="552">
        <v>0</v>
      </c>
      <c r="AH325" s="552">
        <v>0</v>
      </c>
      <c r="AI325" s="552">
        <v>0</v>
      </c>
      <c r="AJ325" s="552">
        <v>0</v>
      </c>
    </row>
    <row r="326" spans="1:36" ht="15.95" customHeight="1">
      <c r="A326" s="547"/>
      <c r="B326" s="548">
        <v>610</v>
      </c>
      <c r="C326" s="549">
        <v>6857</v>
      </c>
      <c r="D326" s="550" t="s">
        <v>11812</v>
      </c>
      <c r="E326" s="550" t="s">
        <v>3993</v>
      </c>
      <c r="F326" s="550" t="s">
        <v>4133</v>
      </c>
      <c r="G326" s="550" t="s">
        <v>3793</v>
      </c>
      <c r="H326" s="550" t="s">
        <v>4134</v>
      </c>
      <c r="I326" s="550" t="s">
        <v>12</v>
      </c>
      <c r="J326" s="550" t="s">
        <v>11814</v>
      </c>
      <c r="K326" s="551">
        <v>45383</v>
      </c>
      <c r="L326" s="552">
        <v>720</v>
      </c>
      <c r="M326" s="552">
        <v>720</v>
      </c>
      <c r="N326" s="552">
        <v>720</v>
      </c>
      <c r="O326" s="552"/>
      <c r="P326" s="552"/>
      <c r="Q326" s="548">
        <v>2000</v>
      </c>
      <c r="R326" s="552">
        <v>1440000</v>
      </c>
      <c r="S326" s="548">
        <v>2000</v>
      </c>
      <c r="T326" s="552">
        <v>1440000</v>
      </c>
      <c r="U326" s="548">
        <v>0</v>
      </c>
      <c r="V326" s="552">
        <v>0</v>
      </c>
      <c r="W326" s="552">
        <v>18</v>
      </c>
      <c r="X326" s="552">
        <v>12960</v>
      </c>
      <c r="Y326" s="552">
        <v>2000</v>
      </c>
      <c r="Z326" s="552">
        <v>1440000</v>
      </c>
      <c r="AA326" s="552">
        <v>0</v>
      </c>
      <c r="AB326" s="552">
        <v>0</v>
      </c>
      <c r="AC326" s="552">
        <v>2000</v>
      </c>
      <c r="AD326" s="552">
        <v>1440000</v>
      </c>
      <c r="AE326" s="552">
        <v>0</v>
      </c>
      <c r="AF326" s="552">
        <v>0</v>
      </c>
      <c r="AG326" s="552">
        <v>0</v>
      </c>
      <c r="AH326" s="552">
        <v>0</v>
      </c>
      <c r="AI326" s="552">
        <v>0</v>
      </c>
      <c r="AJ326" s="552">
        <v>0</v>
      </c>
    </row>
    <row r="327" spans="1:36" ht="15.95" customHeight="1">
      <c r="A327" s="547"/>
      <c r="B327" s="548">
        <v>611</v>
      </c>
      <c r="C327" s="549">
        <v>6859</v>
      </c>
      <c r="D327" s="550" t="s">
        <v>11815</v>
      </c>
      <c r="E327" s="550" t="s">
        <v>3976</v>
      </c>
      <c r="F327" s="550" t="s">
        <v>6296</v>
      </c>
      <c r="G327" s="550" t="s">
        <v>2083</v>
      </c>
      <c r="H327" s="550" t="s">
        <v>6295</v>
      </c>
      <c r="I327" s="550" t="s">
        <v>12</v>
      </c>
      <c r="J327" s="550" t="s">
        <v>11816</v>
      </c>
      <c r="K327" s="551">
        <v>44892</v>
      </c>
      <c r="L327" s="552">
        <v>2688</v>
      </c>
      <c r="M327" s="552">
        <v>2688</v>
      </c>
      <c r="N327" s="552">
        <v>2688</v>
      </c>
      <c r="O327" s="552"/>
      <c r="P327" s="552"/>
      <c r="Q327" s="548">
        <v>1000</v>
      </c>
      <c r="R327" s="552">
        <v>2688000</v>
      </c>
      <c r="S327" s="548">
        <v>449</v>
      </c>
      <c r="T327" s="552">
        <v>1206912</v>
      </c>
      <c r="U327" s="548">
        <v>551</v>
      </c>
      <c r="V327" s="552">
        <v>1481088</v>
      </c>
      <c r="W327" s="552">
        <v>0</v>
      </c>
      <c r="X327" s="552">
        <v>0</v>
      </c>
      <c r="Y327" s="552">
        <v>449</v>
      </c>
      <c r="Z327" s="552">
        <v>1206912</v>
      </c>
      <c r="AA327" s="552">
        <v>449</v>
      </c>
      <c r="AB327" s="552">
        <v>1206912</v>
      </c>
      <c r="AC327" s="552">
        <v>0</v>
      </c>
      <c r="AD327" s="552">
        <v>0</v>
      </c>
      <c r="AE327" s="552">
        <v>0</v>
      </c>
      <c r="AF327" s="552">
        <v>0</v>
      </c>
      <c r="AG327" s="552">
        <v>0</v>
      </c>
      <c r="AH327" s="552">
        <v>0</v>
      </c>
      <c r="AI327" s="552">
        <v>0</v>
      </c>
      <c r="AJ327" s="552">
        <v>0</v>
      </c>
    </row>
    <row r="328" spans="1:36" ht="15.95" customHeight="1">
      <c r="A328" s="547"/>
      <c r="B328" s="548">
        <v>612</v>
      </c>
      <c r="C328" s="549">
        <v>6837</v>
      </c>
      <c r="D328" s="550" t="s">
        <v>11817</v>
      </c>
      <c r="E328" s="550" t="s">
        <v>4135</v>
      </c>
      <c r="F328" s="550" t="s">
        <v>4136</v>
      </c>
      <c r="G328" s="550" t="s">
        <v>4137</v>
      </c>
      <c r="H328" s="550" t="s">
        <v>4138</v>
      </c>
      <c r="I328" s="550" t="s">
        <v>4139</v>
      </c>
      <c r="J328" s="550" t="s">
        <v>4140</v>
      </c>
      <c r="K328" s="551">
        <v>44835</v>
      </c>
      <c r="L328" s="552">
        <v>276500</v>
      </c>
      <c r="M328" s="552">
        <v>276500</v>
      </c>
      <c r="N328" s="552">
        <v>276500</v>
      </c>
      <c r="O328" s="552">
        <v>539</v>
      </c>
      <c r="P328" s="552">
        <v>149033500</v>
      </c>
      <c r="Q328" s="548">
        <v>0</v>
      </c>
      <c r="R328" s="552">
        <v>0</v>
      </c>
      <c r="S328" s="548">
        <v>527</v>
      </c>
      <c r="T328" s="552">
        <v>145715500</v>
      </c>
      <c r="U328" s="548">
        <v>12</v>
      </c>
      <c r="V328" s="552">
        <v>3318000</v>
      </c>
      <c r="W328" s="552">
        <v>0</v>
      </c>
      <c r="X328" s="552">
        <v>0</v>
      </c>
      <c r="Y328" s="552">
        <v>527</v>
      </c>
      <c r="Z328" s="552">
        <v>145715500</v>
      </c>
      <c r="AA328" s="552">
        <v>522</v>
      </c>
      <c r="AB328" s="552">
        <v>144333000</v>
      </c>
      <c r="AC328" s="552">
        <v>5</v>
      </c>
      <c r="AD328" s="552">
        <v>1382500</v>
      </c>
      <c r="AE328" s="552">
        <v>0</v>
      </c>
      <c r="AF328" s="552">
        <v>0</v>
      </c>
      <c r="AG328" s="552">
        <v>0</v>
      </c>
      <c r="AH328" s="552">
        <v>0</v>
      </c>
      <c r="AI328" s="552">
        <v>0</v>
      </c>
      <c r="AJ328" s="552">
        <v>0</v>
      </c>
    </row>
    <row r="329" spans="1:36" ht="15.95" customHeight="1">
      <c r="A329" s="547"/>
      <c r="B329" s="548">
        <v>613</v>
      </c>
      <c r="C329" s="549">
        <v>6866</v>
      </c>
      <c r="D329" s="550" t="s">
        <v>11818</v>
      </c>
      <c r="E329" s="550" t="s">
        <v>4141</v>
      </c>
      <c r="F329" s="550" t="s">
        <v>1798</v>
      </c>
      <c r="G329" s="550" t="s">
        <v>1352</v>
      </c>
      <c r="H329" s="550" t="s">
        <v>327</v>
      </c>
      <c r="I329" s="550" t="s">
        <v>11</v>
      </c>
      <c r="J329" s="550" t="s">
        <v>11819</v>
      </c>
      <c r="K329" s="551">
        <v>45077</v>
      </c>
      <c r="L329" s="552">
        <v>6279</v>
      </c>
      <c r="M329" s="552">
        <v>6279</v>
      </c>
      <c r="N329" s="552">
        <v>6279</v>
      </c>
      <c r="O329" s="552"/>
      <c r="P329" s="552"/>
      <c r="Q329" s="548">
        <v>900</v>
      </c>
      <c r="R329" s="552">
        <v>5651100</v>
      </c>
      <c r="S329" s="548">
        <v>0</v>
      </c>
      <c r="T329" s="552">
        <v>0</v>
      </c>
      <c r="U329" s="548">
        <v>900</v>
      </c>
      <c r="V329" s="552">
        <v>5651100</v>
      </c>
      <c r="W329" s="552">
        <v>0</v>
      </c>
      <c r="X329" s="552">
        <v>0</v>
      </c>
      <c r="Y329" s="552">
        <v>0</v>
      </c>
      <c r="Z329" s="552">
        <v>0</v>
      </c>
      <c r="AA329" s="552">
        <v>0</v>
      </c>
      <c r="AB329" s="552">
        <v>0</v>
      </c>
      <c r="AC329" s="552">
        <v>0</v>
      </c>
      <c r="AD329" s="552">
        <v>0</v>
      </c>
      <c r="AE329" s="552">
        <v>0</v>
      </c>
      <c r="AF329" s="552">
        <v>0</v>
      </c>
      <c r="AG329" s="552">
        <v>0</v>
      </c>
      <c r="AH329" s="552">
        <v>0</v>
      </c>
      <c r="AI329" s="552">
        <v>0</v>
      </c>
      <c r="AJ329" s="552">
        <v>0</v>
      </c>
    </row>
    <row r="330" spans="1:36" ht="15.95" customHeight="1">
      <c r="A330" s="547"/>
      <c r="B330" s="548">
        <v>614</v>
      </c>
      <c r="C330" s="549">
        <v>5578</v>
      </c>
      <c r="D330" s="550"/>
      <c r="E330" s="550" t="s">
        <v>4141</v>
      </c>
      <c r="F330" s="550" t="s">
        <v>1798</v>
      </c>
      <c r="G330" s="550" t="s">
        <v>1352</v>
      </c>
      <c r="H330" s="550" t="s">
        <v>327</v>
      </c>
      <c r="I330" s="550" t="s">
        <v>11</v>
      </c>
      <c r="J330" s="550" t="s">
        <v>4142</v>
      </c>
      <c r="K330" s="551">
        <v>44317</v>
      </c>
      <c r="L330" s="552">
        <v>5985</v>
      </c>
      <c r="M330" s="552">
        <v>5985</v>
      </c>
      <c r="N330" s="552">
        <v>5985</v>
      </c>
      <c r="O330" s="552">
        <v>1</v>
      </c>
      <c r="P330" s="552">
        <v>5985</v>
      </c>
      <c r="Q330" s="548">
        <v>0</v>
      </c>
      <c r="R330" s="552">
        <v>0</v>
      </c>
      <c r="S330" s="548">
        <v>1</v>
      </c>
      <c r="T330" s="552">
        <v>5985</v>
      </c>
      <c r="U330" s="548">
        <v>0</v>
      </c>
      <c r="V330" s="552">
        <v>0</v>
      </c>
      <c r="W330" s="552">
        <v>0</v>
      </c>
      <c r="X330" s="552">
        <v>0</v>
      </c>
      <c r="Y330" s="552">
        <v>0</v>
      </c>
      <c r="Z330" s="552">
        <v>0</v>
      </c>
      <c r="AA330" s="552">
        <v>0</v>
      </c>
      <c r="AB330" s="552">
        <v>0</v>
      </c>
      <c r="AC330" s="552">
        <v>0</v>
      </c>
      <c r="AD330" s="552">
        <v>0</v>
      </c>
      <c r="AE330" s="552">
        <v>0</v>
      </c>
      <c r="AF330" s="552">
        <v>0</v>
      </c>
      <c r="AG330" s="552">
        <v>1</v>
      </c>
      <c r="AH330" s="552">
        <v>5985</v>
      </c>
      <c r="AI330" s="552">
        <v>0</v>
      </c>
      <c r="AJ330" s="552">
        <v>0</v>
      </c>
    </row>
    <row r="331" spans="1:36" ht="15.95" customHeight="1">
      <c r="A331" s="547"/>
      <c r="B331" s="548">
        <v>623</v>
      </c>
      <c r="C331" s="549">
        <v>6872</v>
      </c>
      <c r="D331" s="550" t="s">
        <v>11820</v>
      </c>
      <c r="E331" s="550" t="s">
        <v>6119</v>
      </c>
      <c r="F331" s="550" t="s">
        <v>6120</v>
      </c>
      <c r="G331" s="550" t="s">
        <v>556</v>
      </c>
      <c r="H331" s="550" t="s">
        <v>327</v>
      </c>
      <c r="I331" s="550" t="s">
        <v>11</v>
      </c>
      <c r="J331" s="550" t="s">
        <v>11821</v>
      </c>
      <c r="K331" s="551">
        <v>44620</v>
      </c>
      <c r="L331" s="552">
        <v>3360</v>
      </c>
      <c r="M331" s="552">
        <v>3360</v>
      </c>
      <c r="N331" s="552">
        <v>3360</v>
      </c>
      <c r="O331" s="552"/>
      <c r="P331" s="552"/>
      <c r="Q331" s="548">
        <v>14980</v>
      </c>
      <c r="R331" s="552">
        <v>50332800</v>
      </c>
      <c r="S331" s="548">
        <v>14975</v>
      </c>
      <c r="T331" s="552">
        <v>50316000</v>
      </c>
      <c r="U331" s="548">
        <v>5</v>
      </c>
      <c r="V331" s="552">
        <v>16800</v>
      </c>
      <c r="W331" s="552">
        <v>0</v>
      </c>
      <c r="X331" s="552">
        <v>0</v>
      </c>
      <c r="Y331" s="552">
        <v>14975</v>
      </c>
      <c r="Z331" s="552">
        <v>50316000</v>
      </c>
      <c r="AA331" s="552">
        <v>14975</v>
      </c>
      <c r="AB331" s="552">
        <v>50316000</v>
      </c>
      <c r="AC331" s="552">
        <v>0</v>
      </c>
      <c r="AD331" s="552">
        <v>0</v>
      </c>
      <c r="AE331" s="552">
        <v>0</v>
      </c>
      <c r="AF331" s="552">
        <v>0</v>
      </c>
      <c r="AG331" s="552">
        <v>0</v>
      </c>
      <c r="AH331" s="552">
        <v>0</v>
      </c>
      <c r="AI331" s="552">
        <v>0</v>
      </c>
      <c r="AJ331" s="552">
        <v>0</v>
      </c>
    </row>
    <row r="332" spans="1:36" ht="15.95" customHeight="1">
      <c r="A332" s="547"/>
      <c r="B332" s="548">
        <v>625</v>
      </c>
      <c r="C332" s="549">
        <v>6675</v>
      </c>
      <c r="D332" s="550" t="s">
        <v>11822</v>
      </c>
      <c r="E332" s="550" t="s">
        <v>4146</v>
      </c>
      <c r="F332" s="550" t="s">
        <v>650</v>
      </c>
      <c r="G332" s="550" t="s">
        <v>649</v>
      </c>
      <c r="H332" s="550" t="s">
        <v>651</v>
      </c>
      <c r="I332" s="550" t="s">
        <v>11</v>
      </c>
      <c r="J332" s="550" t="s">
        <v>11823</v>
      </c>
      <c r="K332" s="551">
        <v>44937</v>
      </c>
      <c r="L332" s="552">
        <v>4725</v>
      </c>
      <c r="M332" s="552">
        <v>4725</v>
      </c>
      <c r="N332" s="552">
        <v>4725</v>
      </c>
      <c r="O332" s="552">
        <v>3028</v>
      </c>
      <c r="P332" s="552">
        <v>14307300</v>
      </c>
      <c r="Q332" s="548">
        <v>0</v>
      </c>
      <c r="R332" s="552">
        <v>0</v>
      </c>
      <c r="S332" s="548">
        <v>3028</v>
      </c>
      <c r="T332" s="552">
        <v>14307300</v>
      </c>
      <c r="U332" s="548">
        <v>0</v>
      </c>
      <c r="V332" s="552">
        <v>0</v>
      </c>
      <c r="W332" s="552">
        <v>0</v>
      </c>
      <c r="X332" s="552">
        <v>0</v>
      </c>
      <c r="Y332" s="552">
        <v>3028</v>
      </c>
      <c r="Z332" s="552">
        <v>14307300</v>
      </c>
      <c r="AA332" s="552">
        <v>3028</v>
      </c>
      <c r="AB332" s="552">
        <v>14307300</v>
      </c>
      <c r="AC332" s="552">
        <v>0</v>
      </c>
      <c r="AD332" s="552">
        <v>0</v>
      </c>
      <c r="AE332" s="552">
        <v>0</v>
      </c>
      <c r="AF332" s="552">
        <v>0</v>
      </c>
      <c r="AG332" s="552">
        <v>0</v>
      </c>
      <c r="AH332" s="552">
        <v>0</v>
      </c>
      <c r="AI332" s="552">
        <v>0</v>
      </c>
      <c r="AJ332" s="552">
        <v>0</v>
      </c>
    </row>
    <row r="333" spans="1:36" ht="15.95" customHeight="1">
      <c r="A333" s="547"/>
      <c r="B333" s="548">
        <v>626</v>
      </c>
      <c r="C333" s="549">
        <v>6675</v>
      </c>
      <c r="D333" s="550" t="s">
        <v>11822</v>
      </c>
      <c r="E333" s="550" t="s">
        <v>4146</v>
      </c>
      <c r="F333" s="550" t="s">
        <v>650</v>
      </c>
      <c r="G333" s="550" t="s">
        <v>649</v>
      </c>
      <c r="H333" s="550" t="s">
        <v>651</v>
      </c>
      <c r="I333" s="550" t="s">
        <v>11</v>
      </c>
      <c r="J333" s="550" t="s">
        <v>11824</v>
      </c>
      <c r="K333" s="551">
        <v>44957</v>
      </c>
      <c r="L333" s="552">
        <v>4725</v>
      </c>
      <c r="M333" s="552">
        <v>4725</v>
      </c>
      <c r="N333" s="552">
        <v>4725</v>
      </c>
      <c r="O333" s="552">
        <v>1374</v>
      </c>
      <c r="P333" s="552">
        <v>6492150</v>
      </c>
      <c r="Q333" s="548">
        <v>0</v>
      </c>
      <c r="R333" s="552">
        <v>0</v>
      </c>
      <c r="S333" s="548">
        <v>1374</v>
      </c>
      <c r="T333" s="552">
        <v>6492150</v>
      </c>
      <c r="U333" s="548">
        <v>0</v>
      </c>
      <c r="V333" s="552">
        <v>0</v>
      </c>
      <c r="W333" s="552">
        <v>0</v>
      </c>
      <c r="X333" s="552">
        <v>0</v>
      </c>
      <c r="Y333" s="552">
        <v>1374</v>
      </c>
      <c r="Z333" s="552">
        <v>6492150</v>
      </c>
      <c r="AA333" s="552">
        <v>1374</v>
      </c>
      <c r="AB333" s="552">
        <v>6492150</v>
      </c>
      <c r="AC333" s="552">
        <v>0</v>
      </c>
      <c r="AD333" s="552">
        <v>0</v>
      </c>
      <c r="AE333" s="552">
        <v>0</v>
      </c>
      <c r="AF333" s="552">
        <v>0</v>
      </c>
      <c r="AG333" s="552">
        <v>0</v>
      </c>
      <c r="AH333" s="552">
        <v>0</v>
      </c>
      <c r="AI333" s="552">
        <v>0</v>
      </c>
      <c r="AJ333" s="552">
        <v>0</v>
      </c>
    </row>
    <row r="334" spans="1:36" ht="15.95" customHeight="1">
      <c r="A334" s="547"/>
      <c r="B334" s="548">
        <v>627</v>
      </c>
      <c r="C334" s="549">
        <v>6675</v>
      </c>
      <c r="D334" s="550" t="s">
        <v>11822</v>
      </c>
      <c r="E334" s="550" t="s">
        <v>4146</v>
      </c>
      <c r="F334" s="550" t="s">
        <v>650</v>
      </c>
      <c r="G334" s="550" t="s">
        <v>649</v>
      </c>
      <c r="H334" s="550" t="s">
        <v>651</v>
      </c>
      <c r="I334" s="550" t="s">
        <v>11</v>
      </c>
      <c r="J334" s="550" t="s">
        <v>11825</v>
      </c>
      <c r="K334" s="551">
        <v>45033</v>
      </c>
      <c r="L334" s="552">
        <v>4725</v>
      </c>
      <c r="M334" s="552">
        <v>4725</v>
      </c>
      <c r="N334" s="552">
        <v>4725</v>
      </c>
      <c r="O334" s="552"/>
      <c r="P334" s="552"/>
      <c r="Q334" s="548">
        <v>6000</v>
      </c>
      <c r="R334" s="552">
        <v>28350000</v>
      </c>
      <c r="S334" s="548">
        <v>6000</v>
      </c>
      <c r="T334" s="552">
        <v>28350000</v>
      </c>
      <c r="U334" s="548">
        <v>0</v>
      </c>
      <c r="V334" s="552">
        <v>0</v>
      </c>
      <c r="W334" s="552">
        <v>0</v>
      </c>
      <c r="X334" s="552">
        <v>0</v>
      </c>
      <c r="Y334" s="552">
        <v>6000</v>
      </c>
      <c r="Z334" s="552">
        <v>28350000</v>
      </c>
      <c r="AA334" s="552">
        <v>6000</v>
      </c>
      <c r="AB334" s="552">
        <v>28350000</v>
      </c>
      <c r="AC334" s="552">
        <v>0</v>
      </c>
      <c r="AD334" s="552">
        <v>0</v>
      </c>
      <c r="AE334" s="552">
        <v>0</v>
      </c>
      <c r="AF334" s="552">
        <v>0</v>
      </c>
      <c r="AG334" s="552">
        <v>0</v>
      </c>
      <c r="AH334" s="552">
        <v>0</v>
      </c>
      <c r="AI334" s="552">
        <v>0</v>
      </c>
      <c r="AJ334" s="552">
        <v>0</v>
      </c>
    </row>
    <row r="335" spans="1:36" ht="15.95" customHeight="1">
      <c r="A335" s="547"/>
      <c r="B335" s="548">
        <v>628</v>
      </c>
      <c r="C335" s="549">
        <v>6675</v>
      </c>
      <c r="D335" s="550" t="s">
        <v>11822</v>
      </c>
      <c r="E335" s="550" t="s">
        <v>4146</v>
      </c>
      <c r="F335" s="550" t="s">
        <v>650</v>
      </c>
      <c r="G335" s="550" t="s">
        <v>649</v>
      </c>
      <c r="H335" s="550" t="s">
        <v>651</v>
      </c>
      <c r="I335" s="550" t="s">
        <v>11</v>
      </c>
      <c r="J335" s="550" t="s">
        <v>11826</v>
      </c>
      <c r="K335" s="551">
        <v>45090</v>
      </c>
      <c r="L335" s="552">
        <v>4725</v>
      </c>
      <c r="M335" s="552">
        <v>4725</v>
      </c>
      <c r="N335" s="552">
        <v>4725</v>
      </c>
      <c r="O335" s="552"/>
      <c r="P335" s="552"/>
      <c r="Q335" s="548">
        <v>6000</v>
      </c>
      <c r="R335" s="552">
        <v>28350000</v>
      </c>
      <c r="S335" s="548">
        <v>4338</v>
      </c>
      <c r="T335" s="552">
        <v>20497050</v>
      </c>
      <c r="U335" s="548">
        <v>1662</v>
      </c>
      <c r="V335" s="552">
        <v>7852950</v>
      </c>
      <c r="W335" s="552">
        <v>0</v>
      </c>
      <c r="X335" s="552">
        <v>0</v>
      </c>
      <c r="Y335" s="552">
        <v>4338</v>
      </c>
      <c r="Z335" s="552">
        <v>20497050</v>
      </c>
      <c r="AA335" s="552">
        <v>4338</v>
      </c>
      <c r="AB335" s="552">
        <v>20497050</v>
      </c>
      <c r="AC335" s="552">
        <v>0</v>
      </c>
      <c r="AD335" s="552">
        <v>0</v>
      </c>
      <c r="AE335" s="552">
        <v>0</v>
      </c>
      <c r="AF335" s="552">
        <v>0</v>
      </c>
      <c r="AG335" s="552">
        <v>0</v>
      </c>
      <c r="AH335" s="552">
        <v>0</v>
      </c>
      <c r="AI335" s="552">
        <v>0</v>
      </c>
      <c r="AJ335" s="552">
        <v>0</v>
      </c>
    </row>
    <row r="336" spans="1:36" ht="15.95" customHeight="1">
      <c r="A336" s="547"/>
      <c r="B336" s="548">
        <v>629</v>
      </c>
      <c r="C336" s="549">
        <v>6675</v>
      </c>
      <c r="D336" s="550" t="s">
        <v>11822</v>
      </c>
      <c r="E336" s="550" t="s">
        <v>4146</v>
      </c>
      <c r="F336" s="550" t="s">
        <v>650</v>
      </c>
      <c r="G336" s="550" t="s">
        <v>649</v>
      </c>
      <c r="H336" s="550" t="s">
        <v>651</v>
      </c>
      <c r="I336" s="550" t="s">
        <v>11</v>
      </c>
      <c r="J336" s="550" t="s">
        <v>11827</v>
      </c>
      <c r="K336" s="551">
        <v>45124</v>
      </c>
      <c r="L336" s="552">
        <v>4725</v>
      </c>
      <c r="M336" s="552">
        <v>4725</v>
      </c>
      <c r="N336" s="552">
        <v>4725</v>
      </c>
      <c r="O336" s="552"/>
      <c r="P336" s="552"/>
      <c r="Q336" s="548">
        <v>3000</v>
      </c>
      <c r="R336" s="552">
        <v>14175000</v>
      </c>
      <c r="S336" s="548">
        <v>0</v>
      </c>
      <c r="T336" s="552">
        <v>0</v>
      </c>
      <c r="U336" s="548">
        <v>3000</v>
      </c>
      <c r="V336" s="552">
        <v>14175000</v>
      </c>
      <c r="W336" s="552">
        <v>0</v>
      </c>
      <c r="X336" s="552">
        <v>0</v>
      </c>
      <c r="Y336" s="552">
        <v>0</v>
      </c>
      <c r="Z336" s="552">
        <v>0</v>
      </c>
      <c r="AA336" s="552">
        <v>0</v>
      </c>
      <c r="AB336" s="552">
        <v>0</v>
      </c>
      <c r="AC336" s="552">
        <v>0</v>
      </c>
      <c r="AD336" s="552">
        <v>0</v>
      </c>
      <c r="AE336" s="552">
        <v>0</v>
      </c>
      <c r="AF336" s="552">
        <v>0</v>
      </c>
      <c r="AG336" s="552">
        <v>0</v>
      </c>
      <c r="AH336" s="552">
        <v>0</v>
      </c>
      <c r="AI336" s="552">
        <v>0</v>
      </c>
      <c r="AJ336" s="552">
        <v>0</v>
      </c>
    </row>
    <row r="337" spans="1:36" ht="15.95" customHeight="1">
      <c r="A337" s="547"/>
      <c r="B337" s="548">
        <v>634</v>
      </c>
      <c r="C337" s="549">
        <v>5800</v>
      </c>
      <c r="D337" s="550"/>
      <c r="E337" s="550" t="s">
        <v>4147</v>
      </c>
      <c r="F337" s="550" t="s">
        <v>646</v>
      </c>
      <c r="G337" s="550" t="s">
        <v>645</v>
      </c>
      <c r="H337" s="550" t="s">
        <v>248</v>
      </c>
      <c r="I337" s="550" t="s">
        <v>10</v>
      </c>
      <c r="J337" s="550" t="s">
        <v>3984</v>
      </c>
      <c r="K337" s="551">
        <v>44161</v>
      </c>
      <c r="L337" s="552">
        <v>225</v>
      </c>
      <c r="M337" s="552">
        <v>225</v>
      </c>
      <c r="N337" s="552">
        <v>225</v>
      </c>
      <c r="O337" s="552">
        <v>28</v>
      </c>
      <c r="P337" s="552">
        <v>6300</v>
      </c>
      <c r="Q337" s="548">
        <v>0</v>
      </c>
      <c r="R337" s="552">
        <v>0</v>
      </c>
      <c r="S337" s="548">
        <v>28</v>
      </c>
      <c r="T337" s="552">
        <v>6300</v>
      </c>
      <c r="U337" s="548">
        <v>0</v>
      </c>
      <c r="V337" s="552">
        <v>0</v>
      </c>
      <c r="W337" s="552">
        <v>0</v>
      </c>
      <c r="X337" s="552">
        <v>0</v>
      </c>
      <c r="Y337" s="552">
        <v>28</v>
      </c>
      <c r="Z337" s="552">
        <v>6300</v>
      </c>
      <c r="AA337" s="552">
        <v>28</v>
      </c>
      <c r="AB337" s="552">
        <v>6300</v>
      </c>
      <c r="AC337" s="552">
        <v>0</v>
      </c>
      <c r="AD337" s="552">
        <v>0</v>
      </c>
      <c r="AE337" s="552">
        <v>0</v>
      </c>
      <c r="AF337" s="552">
        <v>0</v>
      </c>
      <c r="AG337" s="552">
        <v>0</v>
      </c>
      <c r="AH337" s="552">
        <v>0</v>
      </c>
      <c r="AI337" s="552">
        <v>0</v>
      </c>
      <c r="AJ337" s="552">
        <v>0</v>
      </c>
    </row>
    <row r="338" spans="1:36" ht="15.95" customHeight="1">
      <c r="A338" s="547"/>
      <c r="B338" s="548">
        <v>635</v>
      </c>
      <c r="C338" s="549">
        <v>6876</v>
      </c>
      <c r="D338" s="550" t="s">
        <v>11828</v>
      </c>
      <c r="E338" s="550" t="s">
        <v>4147</v>
      </c>
      <c r="F338" s="550" t="s">
        <v>646</v>
      </c>
      <c r="G338" s="550" t="s">
        <v>645</v>
      </c>
      <c r="H338" s="550" t="s">
        <v>248</v>
      </c>
      <c r="I338" s="550" t="s">
        <v>11</v>
      </c>
      <c r="J338" s="550" t="s">
        <v>11829</v>
      </c>
      <c r="K338" s="551">
        <v>45260</v>
      </c>
      <c r="L338" s="552">
        <v>198</v>
      </c>
      <c r="M338" s="552">
        <v>198</v>
      </c>
      <c r="N338" s="552">
        <v>198</v>
      </c>
      <c r="O338" s="552"/>
      <c r="P338" s="552"/>
      <c r="Q338" s="548">
        <v>3450</v>
      </c>
      <c r="R338" s="552">
        <v>683100</v>
      </c>
      <c r="S338" s="548">
        <v>1680</v>
      </c>
      <c r="T338" s="552">
        <v>332640</v>
      </c>
      <c r="U338" s="548">
        <v>1770</v>
      </c>
      <c r="V338" s="552">
        <v>350460</v>
      </c>
      <c r="W338" s="552">
        <v>253</v>
      </c>
      <c r="X338" s="552">
        <v>50094</v>
      </c>
      <c r="Y338" s="552">
        <v>1680</v>
      </c>
      <c r="Z338" s="552">
        <v>332640</v>
      </c>
      <c r="AA338" s="552">
        <v>0</v>
      </c>
      <c r="AB338" s="552">
        <v>0</v>
      </c>
      <c r="AC338" s="552">
        <v>1680</v>
      </c>
      <c r="AD338" s="552">
        <v>332640</v>
      </c>
      <c r="AE338" s="552">
        <v>0</v>
      </c>
      <c r="AF338" s="552">
        <v>0</v>
      </c>
      <c r="AG338" s="552">
        <v>0</v>
      </c>
      <c r="AH338" s="552">
        <v>0</v>
      </c>
      <c r="AI338" s="552">
        <v>0</v>
      </c>
      <c r="AJ338" s="552">
        <v>0</v>
      </c>
    </row>
    <row r="339" spans="1:36" ht="15.95" customHeight="1">
      <c r="A339" s="547"/>
      <c r="B339" s="548">
        <v>636</v>
      </c>
      <c r="C339" s="549">
        <v>7602</v>
      </c>
      <c r="D339" s="550" t="s">
        <v>11830</v>
      </c>
      <c r="E339" s="550" t="s">
        <v>6730</v>
      </c>
      <c r="F339" s="550" t="s">
        <v>6731</v>
      </c>
      <c r="G339" s="550" t="s">
        <v>1488</v>
      </c>
      <c r="H339" s="550" t="s">
        <v>1173</v>
      </c>
      <c r="I339" s="550" t="s">
        <v>11</v>
      </c>
      <c r="J339" s="550" t="s">
        <v>11831</v>
      </c>
      <c r="K339" s="551">
        <v>45340</v>
      </c>
      <c r="L339" s="552">
        <v>880</v>
      </c>
      <c r="M339" s="552">
        <v>880</v>
      </c>
      <c r="N339" s="552">
        <v>880</v>
      </c>
      <c r="O339" s="552"/>
      <c r="P339" s="552"/>
      <c r="Q339" s="548">
        <v>19980</v>
      </c>
      <c r="R339" s="552">
        <v>17582400</v>
      </c>
      <c r="S339" s="548">
        <v>1000</v>
      </c>
      <c r="T339" s="552">
        <v>880000</v>
      </c>
      <c r="U339" s="548">
        <v>18980</v>
      </c>
      <c r="V339" s="552">
        <v>16702400</v>
      </c>
      <c r="W339" s="552">
        <v>1000</v>
      </c>
      <c r="X339" s="552">
        <v>880000</v>
      </c>
      <c r="Y339" s="552">
        <v>1000</v>
      </c>
      <c r="Z339" s="552">
        <v>880000</v>
      </c>
      <c r="AA339" s="552">
        <v>0</v>
      </c>
      <c r="AB339" s="552">
        <v>0</v>
      </c>
      <c r="AC339" s="552">
        <v>1000</v>
      </c>
      <c r="AD339" s="552">
        <v>880000</v>
      </c>
      <c r="AE339" s="552">
        <v>0</v>
      </c>
      <c r="AF339" s="552">
        <v>0</v>
      </c>
      <c r="AG339" s="552">
        <v>0</v>
      </c>
      <c r="AH339" s="552">
        <v>0</v>
      </c>
      <c r="AI339" s="552">
        <v>0</v>
      </c>
      <c r="AJ339" s="552">
        <v>0</v>
      </c>
    </row>
    <row r="340" spans="1:36" ht="15.95" customHeight="1">
      <c r="A340" s="547"/>
      <c r="B340" s="548">
        <v>637</v>
      </c>
      <c r="C340" s="549">
        <v>7602</v>
      </c>
      <c r="D340" s="550" t="s">
        <v>11830</v>
      </c>
      <c r="E340" s="550" t="s">
        <v>6730</v>
      </c>
      <c r="F340" s="550" t="s">
        <v>6731</v>
      </c>
      <c r="G340" s="550" t="s">
        <v>1488</v>
      </c>
      <c r="H340" s="550" t="s">
        <v>1173</v>
      </c>
      <c r="I340" s="550" t="s">
        <v>11</v>
      </c>
      <c r="J340" s="550" t="s">
        <v>11832</v>
      </c>
      <c r="K340" s="551">
        <v>44908</v>
      </c>
      <c r="L340" s="552">
        <v>880</v>
      </c>
      <c r="M340" s="552">
        <v>880</v>
      </c>
      <c r="N340" s="552">
        <v>880</v>
      </c>
      <c r="O340" s="552"/>
      <c r="P340" s="552"/>
      <c r="Q340" s="548">
        <v>1980</v>
      </c>
      <c r="R340" s="552">
        <v>1742400</v>
      </c>
      <c r="S340" s="548">
        <v>1980</v>
      </c>
      <c r="T340" s="552">
        <v>1742400</v>
      </c>
      <c r="U340" s="548">
        <v>0</v>
      </c>
      <c r="V340" s="552">
        <v>0</v>
      </c>
      <c r="W340" s="552">
        <v>1371</v>
      </c>
      <c r="X340" s="552">
        <v>1206480</v>
      </c>
      <c r="Y340" s="552">
        <v>1980</v>
      </c>
      <c r="Z340" s="552">
        <v>1742400</v>
      </c>
      <c r="AA340" s="552">
        <v>0</v>
      </c>
      <c r="AB340" s="552">
        <v>0</v>
      </c>
      <c r="AC340" s="552">
        <v>1980</v>
      </c>
      <c r="AD340" s="552">
        <v>1742400</v>
      </c>
      <c r="AE340" s="552">
        <v>0</v>
      </c>
      <c r="AF340" s="552">
        <v>0</v>
      </c>
      <c r="AG340" s="552">
        <v>0</v>
      </c>
      <c r="AH340" s="552">
        <v>0</v>
      </c>
      <c r="AI340" s="552">
        <v>0</v>
      </c>
      <c r="AJ340" s="552">
        <v>0</v>
      </c>
    </row>
    <row r="341" spans="1:36" ht="15.95" customHeight="1">
      <c r="A341" s="547"/>
      <c r="B341" s="548">
        <v>638</v>
      </c>
      <c r="C341" s="549">
        <v>7603</v>
      </c>
      <c r="D341" s="550" t="s">
        <v>11833</v>
      </c>
      <c r="E341" s="550" t="s">
        <v>6125</v>
      </c>
      <c r="F341" s="550" t="s">
        <v>6126</v>
      </c>
      <c r="G341" s="550" t="s">
        <v>645</v>
      </c>
      <c r="H341" s="550" t="s">
        <v>291</v>
      </c>
      <c r="I341" s="550" t="s">
        <v>11</v>
      </c>
      <c r="J341" s="550" t="s">
        <v>11834</v>
      </c>
      <c r="K341" s="551">
        <v>45213</v>
      </c>
      <c r="L341" s="552">
        <v>1300</v>
      </c>
      <c r="M341" s="552">
        <v>1300</v>
      </c>
      <c r="N341" s="552">
        <v>1300</v>
      </c>
      <c r="O341" s="552"/>
      <c r="P341" s="552"/>
      <c r="Q341" s="548">
        <v>9120</v>
      </c>
      <c r="R341" s="552">
        <v>11856000</v>
      </c>
      <c r="S341" s="548">
        <v>8160</v>
      </c>
      <c r="T341" s="552">
        <v>10608000</v>
      </c>
      <c r="U341" s="548">
        <v>960</v>
      </c>
      <c r="V341" s="552">
        <v>1248000</v>
      </c>
      <c r="W341" s="552">
        <v>1335</v>
      </c>
      <c r="X341" s="552">
        <v>1735500</v>
      </c>
      <c r="Y341" s="552">
        <v>8126</v>
      </c>
      <c r="Z341" s="552">
        <v>10563800</v>
      </c>
      <c r="AA341" s="552">
        <v>5998</v>
      </c>
      <c r="AB341" s="552">
        <v>7797400</v>
      </c>
      <c r="AC341" s="552">
        <v>2128</v>
      </c>
      <c r="AD341" s="552">
        <v>2766400</v>
      </c>
      <c r="AE341" s="552">
        <v>0</v>
      </c>
      <c r="AF341" s="552">
        <v>0</v>
      </c>
      <c r="AG341" s="552">
        <v>34</v>
      </c>
      <c r="AH341" s="552">
        <v>44200</v>
      </c>
      <c r="AI341" s="552">
        <v>0</v>
      </c>
      <c r="AJ341" s="552">
        <v>0</v>
      </c>
    </row>
    <row r="342" spans="1:36" ht="15.95" customHeight="1">
      <c r="A342" s="547"/>
      <c r="B342" s="548">
        <v>641</v>
      </c>
      <c r="C342" s="549">
        <v>6887</v>
      </c>
      <c r="D342" s="550" t="s">
        <v>11835</v>
      </c>
      <c r="E342" s="550" t="s">
        <v>8426</v>
      </c>
      <c r="F342" s="550" t="s">
        <v>4151</v>
      </c>
      <c r="G342" s="550" t="s">
        <v>1668</v>
      </c>
      <c r="H342" s="550" t="s">
        <v>869</v>
      </c>
      <c r="I342" s="550" t="s">
        <v>11</v>
      </c>
      <c r="J342" s="550" t="s">
        <v>11672</v>
      </c>
      <c r="K342" s="551">
        <v>45423</v>
      </c>
      <c r="L342" s="552">
        <v>542</v>
      </c>
      <c r="M342" s="552">
        <v>542</v>
      </c>
      <c r="N342" s="552">
        <v>542</v>
      </c>
      <c r="O342" s="552"/>
      <c r="P342" s="552"/>
      <c r="Q342" s="548">
        <v>6200</v>
      </c>
      <c r="R342" s="552">
        <v>3360400</v>
      </c>
      <c r="S342" s="548">
        <v>0</v>
      </c>
      <c r="T342" s="552">
        <v>0</v>
      </c>
      <c r="U342" s="548">
        <v>6200</v>
      </c>
      <c r="V342" s="552">
        <v>3360400</v>
      </c>
      <c r="W342" s="552">
        <v>0</v>
      </c>
      <c r="X342" s="552">
        <v>0</v>
      </c>
      <c r="Y342" s="552">
        <v>0</v>
      </c>
      <c r="Z342" s="552">
        <v>0</v>
      </c>
      <c r="AA342" s="552">
        <v>0</v>
      </c>
      <c r="AB342" s="552">
        <v>0</v>
      </c>
      <c r="AC342" s="552">
        <v>0</v>
      </c>
      <c r="AD342" s="552">
        <v>0</v>
      </c>
      <c r="AE342" s="552">
        <v>0</v>
      </c>
      <c r="AF342" s="552">
        <v>0</v>
      </c>
      <c r="AG342" s="552">
        <v>0</v>
      </c>
      <c r="AH342" s="552">
        <v>0</v>
      </c>
      <c r="AI342" s="552">
        <v>0</v>
      </c>
      <c r="AJ342" s="552">
        <v>0</v>
      </c>
    </row>
    <row r="343" spans="1:36" ht="15.95" customHeight="1">
      <c r="A343" s="547"/>
      <c r="B343" s="548">
        <v>643</v>
      </c>
      <c r="C343" s="549">
        <v>6899</v>
      </c>
      <c r="D343" s="550" t="s">
        <v>11836</v>
      </c>
      <c r="E343" s="550" t="s">
        <v>4153</v>
      </c>
      <c r="F343" s="550" t="s">
        <v>4154</v>
      </c>
      <c r="G343" s="550" t="s">
        <v>4155</v>
      </c>
      <c r="H343" s="550" t="s">
        <v>4156</v>
      </c>
      <c r="I343" s="550" t="s">
        <v>520</v>
      </c>
      <c r="J343" s="550" t="s">
        <v>4157</v>
      </c>
      <c r="K343" s="551">
        <v>44956</v>
      </c>
      <c r="L343" s="552">
        <v>2415</v>
      </c>
      <c r="M343" s="552">
        <v>2415</v>
      </c>
      <c r="N343" s="552">
        <v>2415</v>
      </c>
      <c r="O343" s="552">
        <v>24</v>
      </c>
      <c r="P343" s="552">
        <v>57960</v>
      </c>
      <c r="Q343" s="548">
        <v>10</v>
      </c>
      <c r="R343" s="552">
        <v>24150</v>
      </c>
      <c r="S343" s="548">
        <v>10</v>
      </c>
      <c r="T343" s="552">
        <v>24150</v>
      </c>
      <c r="U343" s="548">
        <v>24</v>
      </c>
      <c r="V343" s="552">
        <v>57960</v>
      </c>
      <c r="W343" s="552">
        <v>0</v>
      </c>
      <c r="X343" s="552">
        <v>0</v>
      </c>
      <c r="Y343" s="552">
        <v>10</v>
      </c>
      <c r="Z343" s="552">
        <v>24150</v>
      </c>
      <c r="AA343" s="552">
        <v>0</v>
      </c>
      <c r="AB343" s="552">
        <v>0</v>
      </c>
      <c r="AC343" s="552">
        <v>10</v>
      </c>
      <c r="AD343" s="552">
        <v>24150</v>
      </c>
      <c r="AE343" s="552">
        <v>0</v>
      </c>
      <c r="AF343" s="552">
        <v>0</v>
      </c>
      <c r="AG343" s="552">
        <v>0</v>
      </c>
      <c r="AH343" s="552">
        <v>0</v>
      </c>
      <c r="AI343" s="552">
        <v>0</v>
      </c>
      <c r="AJ343" s="552">
        <v>0</v>
      </c>
    </row>
    <row r="344" spans="1:36" ht="15.95" customHeight="1">
      <c r="A344" s="547"/>
      <c r="B344" s="548">
        <v>644</v>
      </c>
      <c r="C344" s="549">
        <v>6899</v>
      </c>
      <c r="D344" s="550" t="s">
        <v>11836</v>
      </c>
      <c r="E344" s="550" t="s">
        <v>4153</v>
      </c>
      <c r="F344" s="550" t="s">
        <v>4154</v>
      </c>
      <c r="G344" s="550" t="s">
        <v>4155</v>
      </c>
      <c r="H344" s="550" t="s">
        <v>4156</v>
      </c>
      <c r="I344" s="550" t="s">
        <v>520</v>
      </c>
      <c r="J344" s="550" t="s">
        <v>11837</v>
      </c>
      <c r="K344" s="551">
        <v>45092</v>
      </c>
      <c r="L344" s="552">
        <v>2415</v>
      </c>
      <c r="M344" s="552">
        <v>2415</v>
      </c>
      <c r="N344" s="552">
        <v>2415</v>
      </c>
      <c r="O344" s="552">
        <v>90</v>
      </c>
      <c r="P344" s="552">
        <v>217350</v>
      </c>
      <c r="Q344" s="548">
        <v>0</v>
      </c>
      <c r="R344" s="552">
        <v>0</v>
      </c>
      <c r="S344" s="548">
        <v>34</v>
      </c>
      <c r="T344" s="552">
        <v>82110</v>
      </c>
      <c r="U344" s="548">
        <v>56</v>
      </c>
      <c r="V344" s="552">
        <v>135240</v>
      </c>
      <c r="W344" s="552">
        <v>0</v>
      </c>
      <c r="X344" s="552">
        <v>0</v>
      </c>
      <c r="Y344" s="552">
        <v>0</v>
      </c>
      <c r="Z344" s="552">
        <v>0</v>
      </c>
      <c r="AA344" s="552">
        <v>0</v>
      </c>
      <c r="AB344" s="552">
        <v>0</v>
      </c>
      <c r="AC344" s="552">
        <v>0</v>
      </c>
      <c r="AD344" s="552">
        <v>0</v>
      </c>
      <c r="AE344" s="552">
        <v>0</v>
      </c>
      <c r="AF344" s="552">
        <v>0</v>
      </c>
      <c r="AG344" s="552">
        <v>34</v>
      </c>
      <c r="AH344" s="552">
        <v>82110</v>
      </c>
      <c r="AI344" s="552">
        <v>0</v>
      </c>
      <c r="AJ344" s="552">
        <v>0</v>
      </c>
    </row>
    <row r="345" spans="1:36" ht="15.95" customHeight="1">
      <c r="A345" s="547"/>
      <c r="B345" s="548">
        <v>645</v>
      </c>
      <c r="C345" s="549">
        <v>6899</v>
      </c>
      <c r="D345" s="550" t="s">
        <v>11836</v>
      </c>
      <c r="E345" s="550" t="s">
        <v>4153</v>
      </c>
      <c r="F345" s="550" t="s">
        <v>4154</v>
      </c>
      <c r="G345" s="550" t="s">
        <v>4155</v>
      </c>
      <c r="H345" s="550" t="s">
        <v>4156</v>
      </c>
      <c r="I345" s="550" t="s">
        <v>520</v>
      </c>
      <c r="J345" s="550" t="s">
        <v>11838</v>
      </c>
      <c r="K345" s="551">
        <v>45113</v>
      </c>
      <c r="L345" s="552">
        <v>2415</v>
      </c>
      <c r="M345" s="552">
        <v>2415</v>
      </c>
      <c r="N345" s="552">
        <v>2415</v>
      </c>
      <c r="O345" s="552">
        <v>100</v>
      </c>
      <c r="P345" s="552">
        <v>241500</v>
      </c>
      <c r="Q345" s="548">
        <v>0</v>
      </c>
      <c r="R345" s="552">
        <v>0</v>
      </c>
      <c r="S345" s="548">
        <v>0</v>
      </c>
      <c r="T345" s="552">
        <v>0</v>
      </c>
      <c r="U345" s="548">
        <v>100</v>
      </c>
      <c r="V345" s="552">
        <v>241500</v>
      </c>
      <c r="W345" s="552">
        <v>0</v>
      </c>
      <c r="X345" s="552">
        <v>0</v>
      </c>
      <c r="Y345" s="552">
        <v>0</v>
      </c>
      <c r="Z345" s="552">
        <v>0</v>
      </c>
      <c r="AA345" s="552">
        <v>0</v>
      </c>
      <c r="AB345" s="552">
        <v>0</v>
      </c>
      <c r="AC345" s="552">
        <v>0</v>
      </c>
      <c r="AD345" s="552">
        <v>0</v>
      </c>
      <c r="AE345" s="552">
        <v>0</v>
      </c>
      <c r="AF345" s="552">
        <v>0</v>
      </c>
      <c r="AG345" s="552">
        <v>0</v>
      </c>
      <c r="AH345" s="552">
        <v>0</v>
      </c>
      <c r="AI345" s="552">
        <v>0</v>
      </c>
      <c r="AJ345" s="552">
        <v>0</v>
      </c>
    </row>
    <row r="346" spans="1:36" ht="15.95" customHeight="1">
      <c r="A346" s="547"/>
      <c r="B346" s="548">
        <v>650</v>
      </c>
      <c r="C346" s="549">
        <v>6858</v>
      </c>
      <c r="D346" s="550" t="s">
        <v>11839</v>
      </c>
      <c r="E346" s="550" t="s">
        <v>3792</v>
      </c>
      <c r="F346" s="550" t="s">
        <v>4158</v>
      </c>
      <c r="G346" s="550" t="s">
        <v>3793</v>
      </c>
      <c r="H346" s="550" t="s">
        <v>4159</v>
      </c>
      <c r="I346" s="550" t="s">
        <v>13</v>
      </c>
      <c r="J346" s="550" t="s">
        <v>4731</v>
      </c>
      <c r="K346" s="551">
        <v>44641</v>
      </c>
      <c r="L346" s="552">
        <v>1932</v>
      </c>
      <c r="M346" s="552">
        <v>1932</v>
      </c>
      <c r="N346" s="552">
        <v>1932</v>
      </c>
      <c r="O346" s="552">
        <v>8753</v>
      </c>
      <c r="P346" s="552">
        <v>16910796</v>
      </c>
      <c r="Q346" s="548">
        <v>10038</v>
      </c>
      <c r="R346" s="552">
        <v>19393416</v>
      </c>
      <c r="S346" s="548">
        <v>18772</v>
      </c>
      <c r="T346" s="552">
        <v>36267504</v>
      </c>
      <c r="U346" s="548">
        <v>19</v>
      </c>
      <c r="V346" s="552">
        <v>36708</v>
      </c>
      <c r="W346" s="552">
        <v>3653</v>
      </c>
      <c r="X346" s="552">
        <v>7057596</v>
      </c>
      <c r="Y346" s="552">
        <v>18772</v>
      </c>
      <c r="Z346" s="552">
        <v>36267504</v>
      </c>
      <c r="AA346" s="552">
        <v>12677</v>
      </c>
      <c r="AB346" s="552">
        <v>24491964</v>
      </c>
      <c r="AC346" s="552">
        <v>6095</v>
      </c>
      <c r="AD346" s="552">
        <v>11775540</v>
      </c>
      <c r="AE346" s="552">
        <v>0</v>
      </c>
      <c r="AF346" s="552">
        <v>0</v>
      </c>
      <c r="AG346" s="552">
        <v>0</v>
      </c>
      <c r="AH346" s="552">
        <v>0</v>
      </c>
      <c r="AI346" s="552">
        <v>0</v>
      </c>
      <c r="AJ346" s="552">
        <v>0</v>
      </c>
    </row>
    <row r="347" spans="1:36" ht="15.95" customHeight="1">
      <c r="A347" s="547"/>
      <c r="B347" s="548">
        <v>651</v>
      </c>
      <c r="C347" s="549">
        <v>6858</v>
      </c>
      <c r="D347" s="550" t="s">
        <v>11839</v>
      </c>
      <c r="E347" s="550" t="s">
        <v>3792</v>
      </c>
      <c r="F347" s="550" t="s">
        <v>4158</v>
      </c>
      <c r="G347" s="550" t="s">
        <v>3793</v>
      </c>
      <c r="H347" s="550" t="s">
        <v>4159</v>
      </c>
      <c r="I347" s="550" t="s">
        <v>13</v>
      </c>
      <c r="J347" s="550" t="s">
        <v>4708</v>
      </c>
      <c r="K347" s="551">
        <v>44641</v>
      </c>
      <c r="L347" s="552">
        <v>1932</v>
      </c>
      <c r="M347" s="552">
        <v>1932</v>
      </c>
      <c r="N347" s="552">
        <v>1932</v>
      </c>
      <c r="O347" s="552"/>
      <c r="P347" s="552"/>
      <c r="Q347" s="548">
        <v>4500</v>
      </c>
      <c r="R347" s="552">
        <v>8694000</v>
      </c>
      <c r="S347" s="548">
        <v>3218</v>
      </c>
      <c r="T347" s="552">
        <v>6217176</v>
      </c>
      <c r="U347" s="548">
        <v>1282</v>
      </c>
      <c r="V347" s="552">
        <v>2476824</v>
      </c>
      <c r="W347" s="552">
        <v>0</v>
      </c>
      <c r="X347" s="552">
        <v>0</v>
      </c>
      <c r="Y347" s="552">
        <v>3218</v>
      </c>
      <c r="Z347" s="552">
        <v>6217176</v>
      </c>
      <c r="AA347" s="552">
        <v>3218</v>
      </c>
      <c r="AB347" s="552">
        <v>6217176</v>
      </c>
      <c r="AC347" s="552">
        <v>0</v>
      </c>
      <c r="AD347" s="552">
        <v>0</v>
      </c>
      <c r="AE347" s="552">
        <v>0</v>
      </c>
      <c r="AF347" s="552">
        <v>0</v>
      </c>
      <c r="AG347" s="552">
        <v>0</v>
      </c>
      <c r="AH347" s="552">
        <v>0</v>
      </c>
      <c r="AI347" s="552">
        <v>0</v>
      </c>
      <c r="AJ347" s="552">
        <v>0</v>
      </c>
    </row>
    <row r="348" spans="1:36" ht="15.95" customHeight="1">
      <c r="A348" s="547"/>
      <c r="B348" s="548">
        <v>652</v>
      </c>
      <c r="C348" s="549">
        <v>6858</v>
      </c>
      <c r="D348" s="550" t="s">
        <v>11839</v>
      </c>
      <c r="E348" s="550" t="s">
        <v>3792</v>
      </c>
      <c r="F348" s="550" t="s">
        <v>4158</v>
      </c>
      <c r="G348" s="550" t="s">
        <v>3793</v>
      </c>
      <c r="H348" s="550" t="s">
        <v>4159</v>
      </c>
      <c r="I348" s="550" t="s">
        <v>13</v>
      </c>
      <c r="J348" s="550" t="s">
        <v>4665</v>
      </c>
      <c r="K348" s="551">
        <v>44669</v>
      </c>
      <c r="L348" s="552">
        <v>1932</v>
      </c>
      <c r="M348" s="552">
        <v>1932</v>
      </c>
      <c r="N348" s="552">
        <v>1932</v>
      </c>
      <c r="O348" s="552"/>
      <c r="P348" s="552"/>
      <c r="Q348" s="548">
        <v>9028</v>
      </c>
      <c r="R348" s="552">
        <v>17442096</v>
      </c>
      <c r="S348" s="548">
        <v>3831</v>
      </c>
      <c r="T348" s="552">
        <v>7401492</v>
      </c>
      <c r="U348" s="548">
        <v>5197</v>
      </c>
      <c r="V348" s="552">
        <v>10040604</v>
      </c>
      <c r="W348" s="552">
        <v>898</v>
      </c>
      <c r="X348" s="552">
        <v>1734936</v>
      </c>
      <c r="Y348" s="552">
        <v>3111</v>
      </c>
      <c r="Z348" s="552">
        <v>6010452</v>
      </c>
      <c r="AA348" s="552">
        <v>0</v>
      </c>
      <c r="AB348" s="552">
        <v>0</v>
      </c>
      <c r="AC348" s="552">
        <v>3111</v>
      </c>
      <c r="AD348" s="552">
        <v>6010452</v>
      </c>
      <c r="AE348" s="552">
        <v>0</v>
      </c>
      <c r="AF348" s="552">
        <v>0</v>
      </c>
      <c r="AG348" s="552">
        <v>720</v>
      </c>
      <c r="AH348" s="552">
        <v>1391040</v>
      </c>
      <c r="AI348" s="552">
        <v>0</v>
      </c>
      <c r="AJ348" s="552">
        <v>0</v>
      </c>
    </row>
    <row r="349" spans="1:36" ht="15.95" customHeight="1">
      <c r="A349" s="547"/>
      <c r="B349" s="548">
        <v>658</v>
      </c>
      <c r="C349" s="549">
        <v>6901</v>
      </c>
      <c r="D349" s="550" t="s">
        <v>11840</v>
      </c>
      <c r="E349" s="550" t="s">
        <v>5010</v>
      </c>
      <c r="F349" s="550" t="s">
        <v>8377</v>
      </c>
      <c r="G349" s="550" t="s">
        <v>1289</v>
      </c>
      <c r="H349" s="550" t="s">
        <v>8376</v>
      </c>
      <c r="I349" s="550" t="s">
        <v>11</v>
      </c>
      <c r="J349" s="550" t="s">
        <v>11841</v>
      </c>
      <c r="K349" s="551">
        <v>44958</v>
      </c>
      <c r="L349" s="552">
        <v>3400</v>
      </c>
      <c r="M349" s="552">
        <v>3400</v>
      </c>
      <c r="N349" s="552">
        <v>3400</v>
      </c>
      <c r="O349" s="552"/>
      <c r="P349" s="552"/>
      <c r="Q349" s="548">
        <v>4980</v>
      </c>
      <c r="R349" s="552">
        <v>16932000</v>
      </c>
      <c r="S349" s="548">
        <v>225</v>
      </c>
      <c r="T349" s="552">
        <v>765000</v>
      </c>
      <c r="U349" s="548">
        <v>4755</v>
      </c>
      <c r="V349" s="552">
        <v>16167000</v>
      </c>
      <c r="W349" s="552">
        <v>0</v>
      </c>
      <c r="X349" s="552">
        <v>0</v>
      </c>
      <c r="Y349" s="552">
        <v>225</v>
      </c>
      <c r="Z349" s="552">
        <v>765000</v>
      </c>
      <c r="AA349" s="552">
        <v>225</v>
      </c>
      <c r="AB349" s="552">
        <v>765000</v>
      </c>
      <c r="AC349" s="552">
        <v>0</v>
      </c>
      <c r="AD349" s="552">
        <v>0</v>
      </c>
      <c r="AE349" s="552">
        <v>0</v>
      </c>
      <c r="AF349" s="552">
        <v>0</v>
      </c>
      <c r="AG349" s="552">
        <v>0</v>
      </c>
      <c r="AH349" s="552">
        <v>0</v>
      </c>
      <c r="AI349" s="552">
        <v>0</v>
      </c>
      <c r="AJ349" s="552">
        <v>0</v>
      </c>
    </row>
    <row r="350" spans="1:36" ht="15.95" customHeight="1">
      <c r="A350" s="547"/>
      <c r="B350" s="548">
        <v>663</v>
      </c>
      <c r="C350" s="549">
        <v>5868</v>
      </c>
      <c r="D350" s="550"/>
      <c r="E350" s="550" t="s">
        <v>4162</v>
      </c>
      <c r="F350" s="550" t="s">
        <v>1120</v>
      </c>
      <c r="G350" s="550" t="s">
        <v>1119</v>
      </c>
      <c r="H350" s="550" t="s">
        <v>17</v>
      </c>
      <c r="I350" s="550" t="s">
        <v>11</v>
      </c>
      <c r="J350" s="550" t="s">
        <v>4163</v>
      </c>
      <c r="K350" s="551">
        <v>44447</v>
      </c>
      <c r="L350" s="552">
        <v>6750</v>
      </c>
      <c r="M350" s="552">
        <v>6750</v>
      </c>
      <c r="N350" s="552">
        <v>6750</v>
      </c>
      <c r="O350" s="552">
        <v>9420</v>
      </c>
      <c r="P350" s="552">
        <v>63585000</v>
      </c>
      <c r="Q350" s="548">
        <v>0</v>
      </c>
      <c r="R350" s="552">
        <v>0</v>
      </c>
      <c r="S350" s="548">
        <v>9420</v>
      </c>
      <c r="T350" s="552">
        <v>63585000</v>
      </c>
      <c r="U350" s="548">
        <v>0</v>
      </c>
      <c r="V350" s="552">
        <v>0</v>
      </c>
      <c r="W350" s="552">
        <v>0</v>
      </c>
      <c r="X350" s="552">
        <v>0</v>
      </c>
      <c r="Y350" s="552">
        <v>9131</v>
      </c>
      <c r="Z350" s="552">
        <v>61634250</v>
      </c>
      <c r="AA350" s="552">
        <v>9131</v>
      </c>
      <c r="AB350" s="552">
        <v>61634250</v>
      </c>
      <c r="AC350" s="552">
        <v>0</v>
      </c>
      <c r="AD350" s="552">
        <v>0</v>
      </c>
      <c r="AE350" s="552">
        <v>0</v>
      </c>
      <c r="AF350" s="552">
        <v>0</v>
      </c>
      <c r="AG350" s="552">
        <v>289</v>
      </c>
      <c r="AH350" s="552">
        <v>1950750</v>
      </c>
      <c r="AI350" s="552">
        <v>0</v>
      </c>
      <c r="AJ350" s="552">
        <v>0</v>
      </c>
    </row>
    <row r="351" spans="1:36" ht="15.95" customHeight="1">
      <c r="A351" s="547"/>
      <c r="B351" s="548">
        <v>666</v>
      </c>
      <c r="C351" s="549">
        <v>7061</v>
      </c>
      <c r="D351" s="550" t="s">
        <v>11842</v>
      </c>
      <c r="E351" s="550" t="s">
        <v>4164</v>
      </c>
      <c r="F351" s="550" t="s">
        <v>4165</v>
      </c>
      <c r="G351" s="550" t="s">
        <v>765</v>
      </c>
      <c r="H351" s="550" t="s">
        <v>272</v>
      </c>
      <c r="I351" s="550" t="s">
        <v>11</v>
      </c>
      <c r="J351" s="550" t="s">
        <v>4166</v>
      </c>
      <c r="K351" s="551">
        <v>44676</v>
      </c>
      <c r="L351" s="552">
        <v>1620</v>
      </c>
      <c r="M351" s="552">
        <v>1620</v>
      </c>
      <c r="N351" s="552">
        <v>1620</v>
      </c>
      <c r="O351" s="552">
        <v>156</v>
      </c>
      <c r="P351" s="552">
        <v>252720</v>
      </c>
      <c r="Q351" s="548">
        <v>0</v>
      </c>
      <c r="R351" s="552">
        <v>0</v>
      </c>
      <c r="S351" s="548">
        <v>41</v>
      </c>
      <c r="T351" s="552">
        <v>66420</v>
      </c>
      <c r="U351" s="548">
        <v>115</v>
      </c>
      <c r="V351" s="552">
        <v>186300</v>
      </c>
      <c r="W351" s="552">
        <v>0</v>
      </c>
      <c r="X351" s="552">
        <v>0</v>
      </c>
      <c r="Y351" s="552">
        <v>31</v>
      </c>
      <c r="Z351" s="552">
        <v>50220</v>
      </c>
      <c r="AA351" s="552">
        <v>0</v>
      </c>
      <c r="AB351" s="552">
        <v>0</v>
      </c>
      <c r="AC351" s="552">
        <v>31</v>
      </c>
      <c r="AD351" s="552">
        <v>50220</v>
      </c>
      <c r="AE351" s="552">
        <v>0</v>
      </c>
      <c r="AF351" s="552">
        <v>0</v>
      </c>
      <c r="AG351" s="552">
        <v>10</v>
      </c>
      <c r="AH351" s="552">
        <v>16200</v>
      </c>
      <c r="AI351" s="552">
        <v>0</v>
      </c>
      <c r="AJ351" s="552">
        <v>0</v>
      </c>
    </row>
    <row r="352" spans="1:36" ht="15.95" customHeight="1">
      <c r="A352" s="547"/>
      <c r="B352" s="548">
        <v>667</v>
      </c>
      <c r="C352" s="549">
        <v>7061</v>
      </c>
      <c r="D352" s="550" t="s">
        <v>11842</v>
      </c>
      <c r="E352" s="550" t="s">
        <v>4164</v>
      </c>
      <c r="F352" s="550" t="s">
        <v>4165</v>
      </c>
      <c r="G352" s="550" t="s">
        <v>765</v>
      </c>
      <c r="H352" s="550" t="s">
        <v>272</v>
      </c>
      <c r="I352" s="550" t="s">
        <v>11</v>
      </c>
      <c r="J352" s="550" t="s">
        <v>11843</v>
      </c>
      <c r="K352" s="551">
        <v>45099</v>
      </c>
      <c r="L352" s="552">
        <v>1620</v>
      </c>
      <c r="M352" s="552">
        <v>1620</v>
      </c>
      <c r="N352" s="552">
        <v>1620</v>
      </c>
      <c r="O352" s="552">
        <v>2000</v>
      </c>
      <c r="P352" s="552">
        <v>3240000</v>
      </c>
      <c r="Q352" s="548">
        <v>0</v>
      </c>
      <c r="R352" s="552">
        <v>0</v>
      </c>
      <c r="S352" s="548">
        <v>0</v>
      </c>
      <c r="T352" s="552">
        <v>0</v>
      </c>
      <c r="U352" s="548">
        <v>2000</v>
      </c>
      <c r="V352" s="552">
        <v>3240000</v>
      </c>
      <c r="W352" s="552">
        <v>0</v>
      </c>
      <c r="X352" s="552">
        <v>0</v>
      </c>
      <c r="Y352" s="552">
        <v>0</v>
      </c>
      <c r="Z352" s="552">
        <v>0</v>
      </c>
      <c r="AA352" s="552">
        <v>0</v>
      </c>
      <c r="AB352" s="552">
        <v>0</v>
      </c>
      <c r="AC352" s="552">
        <v>0</v>
      </c>
      <c r="AD352" s="552">
        <v>0</v>
      </c>
      <c r="AE352" s="552">
        <v>0</v>
      </c>
      <c r="AF352" s="552">
        <v>0</v>
      </c>
      <c r="AG352" s="552">
        <v>0</v>
      </c>
      <c r="AH352" s="552">
        <v>0</v>
      </c>
      <c r="AI352" s="552">
        <v>0</v>
      </c>
      <c r="AJ352" s="552">
        <v>0</v>
      </c>
    </row>
    <row r="353" spans="1:36" ht="15.95" customHeight="1">
      <c r="A353" s="547"/>
      <c r="B353" s="548">
        <v>668</v>
      </c>
      <c r="C353" s="549">
        <v>5612</v>
      </c>
      <c r="D353" s="550"/>
      <c r="E353" s="550" t="s">
        <v>4167</v>
      </c>
      <c r="F353" s="550" t="s">
        <v>766</v>
      </c>
      <c r="G353" s="550" t="s">
        <v>765</v>
      </c>
      <c r="H353" s="550" t="s">
        <v>767</v>
      </c>
      <c r="I353" s="550" t="s">
        <v>520</v>
      </c>
      <c r="J353" s="550" t="s">
        <v>4168</v>
      </c>
      <c r="K353" s="551">
        <v>45170</v>
      </c>
      <c r="L353" s="552">
        <v>9430</v>
      </c>
      <c r="M353" s="552">
        <v>9430</v>
      </c>
      <c r="N353" s="552">
        <v>9430</v>
      </c>
      <c r="O353" s="552">
        <v>74</v>
      </c>
      <c r="P353" s="552">
        <v>697820</v>
      </c>
      <c r="Q353" s="548">
        <v>0</v>
      </c>
      <c r="R353" s="552">
        <v>0</v>
      </c>
      <c r="S353" s="548">
        <v>27</v>
      </c>
      <c r="T353" s="552">
        <v>254610</v>
      </c>
      <c r="U353" s="548">
        <v>47</v>
      </c>
      <c r="V353" s="552">
        <v>443210</v>
      </c>
      <c r="W353" s="552">
        <v>0</v>
      </c>
      <c r="X353" s="552">
        <v>0</v>
      </c>
      <c r="Y353" s="552">
        <v>32</v>
      </c>
      <c r="Z353" s="552">
        <v>301760</v>
      </c>
      <c r="AA353" s="552">
        <v>0</v>
      </c>
      <c r="AB353" s="552">
        <v>0</v>
      </c>
      <c r="AC353" s="552">
        <v>32</v>
      </c>
      <c r="AD353" s="552">
        <v>301760</v>
      </c>
      <c r="AE353" s="552">
        <v>0</v>
      </c>
      <c r="AF353" s="552">
        <v>0</v>
      </c>
      <c r="AG353" s="552">
        <v>0</v>
      </c>
      <c r="AH353" s="552">
        <v>0</v>
      </c>
      <c r="AI353" s="552">
        <v>0</v>
      </c>
      <c r="AJ353" s="552">
        <v>0</v>
      </c>
    </row>
    <row r="354" spans="1:36" ht="15.95" customHeight="1">
      <c r="A354" s="547"/>
      <c r="B354" s="548">
        <v>669</v>
      </c>
      <c r="C354" s="549">
        <v>6657</v>
      </c>
      <c r="D354" s="550" t="s">
        <v>11844</v>
      </c>
      <c r="E354" s="550" t="s">
        <v>7421</v>
      </c>
      <c r="F354" s="550" t="s">
        <v>7422</v>
      </c>
      <c r="G354" s="550" t="s">
        <v>639</v>
      </c>
      <c r="H354" s="550" t="s">
        <v>641</v>
      </c>
      <c r="I354" s="550" t="s">
        <v>11</v>
      </c>
      <c r="J354" s="550" t="s">
        <v>4177</v>
      </c>
      <c r="K354" s="551">
        <v>44915</v>
      </c>
      <c r="L354" s="552">
        <v>3600</v>
      </c>
      <c r="M354" s="552">
        <v>3600</v>
      </c>
      <c r="N354" s="552">
        <v>3600</v>
      </c>
      <c r="O354" s="552"/>
      <c r="P354" s="552"/>
      <c r="Q354" s="548">
        <v>386</v>
      </c>
      <c r="R354" s="552">
        <v>1389600</v>
      </c>
      <c r="S354" s="548">
        <v>386</v>
      </c>
      <c r="T354" s="552">
        <v>1389600</v>
      </c>
      <c r="U354" s="548">
        <v>0</v>
      </c>
      <c r="V354" s="552">
        <v>0</v>
      </c>
      <c r="W354" s="552">
        <v>0</v>
      </c>
      <c r="X354" s="552">
        <v>0</v>
      </c>
      <c r="Y354" s="552">
        <v>386</v>
      </c>
      <c r="Z354" s="552">
        <v>1389600</v>
      </c>
      <c r="AA354" s="552">
        <v>386</v>
      </c>
      <c r="AB354" s="552">
        <v>1389600</v>
      </c>
      <c r="AC354" s="552">
        <v>0</v>
      </c>
      <c r="AD354" s="552">
        <v>0</v>
      </c>
      <c r="AE354" s="552">
        <v>0</v>
      </c>
      <c r="AF354" s="552">
        <v>0</v>
      </c>
      <c r="AG354" s="552">
        <v>0</v>
      </c>
      <c r="AH354" s="552">
        <v>0</v>
      </c>
      <c r="AI354" s="552">
        <v>0</v>
      </c>
      <c r="AJ354" s="552">
        <v>0</v>
      </c>
    </row>
    <row r="355" spans="1:36" ht="15.95" customHeight="1">
      <c r="A355" s="547"/>
      <c r="B355" s="548">
        <v>670</v>
      </c>
      <c r="C355" s="549">
        <v>6657</v>
      </c>
      <c r="D355" s="550" t="s">
        <v>11844</v>
      </c>
      <c r="E355" s="550" t="s">
        <v>7421</v>
      </c>
      <c r="F355" s="550" t="s">
        <v>7422</v>
      </c>
      <c r="G355" s="550" t="s">
        <v>639</v>
      </c>
      <c r="H355" s="550" t="s">
        <v>641</v>
      </c>
      <c r="I355" s="550" t="s">
        <v>11</v>
      </c>
      <c r="J355" s="550" t="s">
        <v>11845</v>
      </c>
      <c r="K355" s="551">
        <v>45247</v>
      </c>
      <c r="L355" s="552">
        <v>3600</v>
      </c>
      <c r="M355" s="552">
        <v>3600</v>
      </c>
      <c r="N355" s="552">
        <v>3600</v>
      </c>
      <c r="O355" s="552"/>
      <c r="P355" s="552"/>
      <c r="Q355" s="548">
        <v>2010</v>
      </c>
      <c r="R355" s="552">
        <v>7236000</v>
      </c>
      <c r="S355" s="548">
        <v>250</v>
      </c>
      <c r="T355" s="552">
        <v>900000</v>
      </c>
      <c r="U355" s="548">
        <v>1760</v>
      </c>
      <c r="V355" s="552">
        <v>6336000</v>
      </c>
      <c r="W355" s="552">
        <v>0</v>
      </c>
      <c r="X355" s="552">
        <v>0</v>
      </c>
      <c r="Y355" s="552">
        <v>250</v>
      </c>
      <c r="Z355" s="552">
        <v>900000</v>
      </c>
      <c r="AA355" s="552">
        <v>230</v>
      </c>
      <c r="AB355" s="552">
        <v>828000</v>
      </c>
      <c r="AC355" s="552">
        <v>20</v>
      </c>
      <c r="AD355" s="552">
        <v>72000</v>
      </c>
      <c r="AE355" s="552">
        <v>0</v>
      </c>
      <c r="AF355" s="552">
        <v>0</v>
      </c>
      <c r="AG355" s="552">
        <v>0</v>
      </c>
      <c r="AH355" s="552">
        <v>0</v>
      </c>
      <c r="AI355" s="552">
        <v>0</v>
      </c>
      <c r="AJ355" s="552">
        <v>0</v>
      </c>
    </row>
    <row r="356" spans="1:36" ht="15.95" customHeight="1">
      <c r="A356" s="547"/>
      <c r="B356" s="548">
        <v>671</v>
      </c>
      <c r="C356" s="549">
        <v>7604</v>
      </c>
      <c r="D356" s="550" t="s">
        <v>11846</v>
      </c>
      <c r="E356" s="550" t="s">
        <v>8326</v>
      </c>
      <c r="F356" s="550" t="s">
        <v>8327</v>
      </c>
      <c r="G356" s="550" t="s">
        <v>11847</v>
      </c>
      <c r="H356" s="550" t="s">
        <v>1680</v>
      </c>
      <c r="I356" s="550" t="s">
        <v>11</v>
      </c>
      <c r="J356" s="550" t="s">
        <v>11848</v>
      </c>
      <c r="K356" s="551">
        <v>45344</v>
      </c>
      <c r="L356" s="552">
        <v>3748</v>
      </c>
      <c r="M356" s="552">
        <v>3748</v>
      </c>
      <c r="N356" s="552">
        <v>3748</v>
      </c>
      <c r="O356" s="552"/>
      <c r="P356" s="552"/>
      <c r="Q356" s="548">
        <v>30200</v>
      </c>
      <c r="R356" s="552">
        <v>113189600</v>
      </c>
      <c r="S356" s="548">
        <v>4373</v>
      </c>
      <c r="T356" s="552">
        <v>16390004</v>
      </c>
      <c r="U356" s="548">
        <v>25827</v>
      </c>
      <c r="V356" s="552">
        <v>96799596</v>
      </c>
      <c r="W356" s="552">
        <v>2000</v>
      </c>
      <c r="X356" s="552">
        <v>7496000</v>
      </c>
      <c r="Y356" s="552">
        <v>4371</v>
      </c>
      <c r="Z356" s="552">
        <v>16382508</v>
      </c>
      <c r="AA356" s="552">
        <v>2108</v>
      </c>
      <c r="AB356" s="552">
        <v>7900784</v>
      </c>
      <c r="AC356" s="552">
        <v>2263</v>
      </c>
      <c r="AD356" s="552">
        <v>8481724</v>
      </c>
      <c r="AE356" s="552">
        <v>0</v>
      </c>
      <c r="AF356" s="552">
        <v>0</v>
      </c>
      <c r="AG356" s="552">
        <v>2</v>
      </c>
      <c r="AH356" s="552">
        <v>7496</v>
      </c>
      <c r="AI356" s="552">
        <v>0</v>
      </c>
      <c r="AJ356" s="552">
        <v>0</v>
      </c>
    </row>
    <row r="357" spans="1:36" ht="15.95" customHeight="1">
      <c r="A357" s="547"/>
      <c r="B357" s="548">
        <v>682</v>
      </c>
      <c r="C357" s="549">
        <v>7826</v>
      </c>
      <c r="D357" s="550" t="s">
        <v>11849</v>
      </c>
      <c r="E357" s="550" t="s">
        <v>6425</v>
      </c>
      <c r="F357" s="550" t="s">
        <v>11850</v>
      </c>
      <c r="G357" s="550" t="s">
        <v>1618</v>
      </c>
      <c r="H357" s="550" t="s">
        <v>225</v>
      </c>
      <c r="I357" s="550" t="s">
        <v>11</v>
      </c>
      <c r="J357" s="550" t="s">
        <v>11851</v>
      </c>
      <c r="K357" s="551">
        <v>46160</v>
      </c>
      <c r="L357" s="552">
        <v>589</v>
      </c>
      <c r="M357" s="552">
        <v>589</v>
      </c>
      <c r="N357" s="552">
        <v>589</v>
      </c>
      <c r="O357" s="552"/>
      <c r="P357" s="552"/>
      <c r="Q357" s="548">
        <v>49980</v>
      </c>
      <c r="R357" s="552">
        <v>29438220</v>
      </c>
      <c r="S357" s="548">
        <v>33478</v>
      </c>
      <c r="T357" s="552">
        <v>19718542</v>
      </c>
      <c r="U357" s="548">
        <v>16502</v>
      </c>
      <c r="V357" s="552">
        <v>9719678</v>
      </c>
      <c r="W357" s="552">
        <v>3000</v>
      </c>
      <c r="X357" s="552">
        <v>1767000</v>
      </c>
      <c r="Y357" s="552">
        <v>33467</v>
      </c>
      <c r="Z357" s="552">
        <v>19712063</v>
      </c>
      <c r="AA357" s="552">
        <v>30333</v>
      </c>
      <c r="AB357" s="552">
        <v>17866137</v>
      </c>
      <c r="AC357" s="552">
        <v>3134</v>
      </c>
      <c r="AD357" s="552">
        <v>1845926</v>
      </c>
      <c r="AE357" s="552">
        <v>0</v>
      </c>
      <c r="AF357" s="552">
        <v>0</v>
      </c>
      <c r="AG357" s="552">
        <v>11</v>
      </c>
      <c r="AH357" s="552">
        <v>6479</v>
      </c>
      <c r="AI357" s="552">
        <v>0</v>
      </c>
      <c r="AJ357" s="552">
        <v>0</v>
      </c>
    </row>
    <row r="358" spans="1:36" ht="15.95" customHeight="1">
      <c r="A358" s="547"/>
      <c r="B358" s="548">
        <v>693</v>
      </c>
      <c r="C358" s="549">
        <v>6766</v>
      </c>
      <c r="D358" s="550" t="s">
        <v>11852</v>
      </c>
      <c r="E358" s="550" t="s">
        <v>4169</v>
      </c>
      <c r="F358" s="550" t="s">
        <v>4170</v>
      </c>
      <c r="G358" s="550" t="s">
        <v>4171</v>
      </c>
      <c r="H358" s="550" t="s">
        <v>291</v>
      </c>
      <c r="I358" s="550" t="s">
        <v>11</v>
      </c>
      <c r="J358" s="550" t="s">
        <v>4779</v>
      </c>
      <c r="K358" s="551">
        <v>45396</v>
      </c>
      <c r="L358" s="552">
        <v>264</v>
      </c>
      <c r="M358" s="552">
        <v>264</v>
      </c>
      <c r="N358" s="552">
        <v>264</v>
      </c>
      <c r="O358" s="552"/>
      <c r="P358" s="552"/>
      <c r="Q358" s="548">
        <v>4000</v>
      </c>
      <c r="R358" s="552">
        <v>1056000</v>
      </c>
      <c r="S358" s="548">
        <v>4000</v>
      </c>
      <c r="T358" s="552">
        <v>1056000</v>
      </c>
      <c r="U358" s="548">
        <v>0</v>
      </c>
      <c r="V358" s="552">
        <v>0</v>
      </c>
      <c r="W358" s="552">
        <v>4000</v>
      </c>
      <c r="X358" s="552">
        <v>1056000</v>
      </c>
      <c r="Y358" s="552">
        <v>4000</v>
      </c>
      <c r="Z358" s="552">
        <v>1056000</v>
      </c>
      <c r="AA358" s="552">
        <v>0</v>
      </c>
      <c r="AB358" s="552">
        <v>0</v>
      </c>
      <c r="AC358" s="552">
        <v>4000</v>
      </c>
      <c r="AD358" s="552">
        <v>1056000</v>
      </c>
      <c r="AE358" s="552">
        <v>0</v>
      </c>
      <c r="AF358" s="552">
        <v>0</v>
      </c>
      <c r="AG358" s="552">
        <v>0</v>
      </c>
      <c r="AH358" s="552">
        <v>0</v>
      </c>
      <c r="AI358" s="552">
        <v>0</v>
      </c>
      <c r="AJ358" s="552">
        <v>0</v>
      </c>
    </row>
    <row r="359" spans="1:36" ht="15.95" customHeight="1">
      <c r="A359" s="547"/>
      <c r="B359" s="548">
        <v>699</v>
      </c>
      <c r="C359" s="549">
        <v>7606</v>
      </c>
      <c r="D359" s="550" t="s">
        <v>11853</v>
      </c>
      <c r="E359" s="550" t="s">
        <v>8281</v>
      </c>
      <c r="F359" s="550" t="s">
        <v>8282</v>
      </c>
      <c r="G359" s="550" t="s">
        <v>1750</v>
      </c>
      <c r="H359" s="550" t="s">
        <v>327</v>
      </c>
      <c r="I359" s="550" t="s">
        <v>11</v>
      </c>
      <c r="J359" s="550" t="s">
        <v>11593</v>
      </c>
      <c r="K359" s="551">
        <v>45325</v>
      </c>
      <c r="L359" s="552">
        <v>2037</v>
      </c>
      <c r="M359" s="552">
        <v>2037</v>
      </c>
      <c r="N359" s="552">
        <v>2037</v>
      </c>
      <c r="O359" s="552"/>
      <c r="P359" s="552"/>
      <c r="Q359" s="548">
        <v>3000</v>
      </c>
      <c r="R359" s="552">
        <v>6111000</v>
      </c>
      <c r="S359" s="548">
        <v>3000</v>
      </c>
      <c r="T359" s="552">
        <v>6111000</v>
      </c>
      <c r="U359" s="548">
        <v>0</v>
      </c>
      <c r="V359" s="552">
        <v>0</v>
      </c>
      <c r="W359" s="552">
        <v>0</v>
      </c>
      <c r="X359" s="552">
        <v>0</v>
      </c>
      <c r="Y359" s="552">
        <v>3000</v>
      </c>
      <c r="Z359" s="552">
        <v>6111000</v>
      </c>
      <c r="AA359" s="552">
        <v>3000</v>
      </c>
      <c r="AB359" s="552">
        <v>6111000</v>
      </c>
      <c r="AC359" s="552">
        <v>0</v>
      </c>
      <c r="AD359" s="552">
        <v>0</v>
      </c>
      <c r="AE359" s="552">
        <v>0</v>
      </c>
      <c r="AF359" s="552">
        <v>0</v>
      </c>
      <c r="AG359" s="552">
        <v>0</v>
      </c>
      <c r="AH359" s="552">
        <v>0</v>
      </c>
      <c r="AI359" s="552">
        <v>0</v>
      </c>
      <c r="AJ359" s="552">
        <v>0</v>
      </c>
    </row>
    <row r="360" spans="1:36" ht="15.95" customHeight="1">
      <c r="A360" s="547"/>
      <c r="B360" s="548">
        <v>700</v>
      </c>
      <c r="C360" s="549">
        <v>7606</v>
      </c>
      <c r="D360" s="550" t="s">
        <v>11853</v>
      </c>
      <c r="E360" s="550" t="s">
        <v>8281</v>
      </c>
      <c r="F360" s="550" t="s">
        <v>8282</v>
      </c>
      <c r="G360" s="550" t="s">
        <v>1750</v>
      </c>
      <c r="H360" s="550" t="s">
        <v>327</v>
      </c>
      <c r="I360" s="550" t="s">
        <v>11</v>
      </c>
      <c r="J360" s="550" t="s">
        <v>11854</v>
      </c>
      <c r="K360" s="551">
        <v>45382</v>
      </c>
      <c r="L360" s="552">
        <v>2037</v>
      </c>
      <c r="M360" s="552">
        <v>2037</v>
      </c>
      <c r="N360" s="552">
        <v>2037</v>
      </c>
      <c r="O360" s="552"/>
      <c r="P360" s="552"/>
      <c r="Q360" s="548">
        <v>36990</v>
      </c>
      <c r="R360" s="552">
        <v>75348630</v>
      </c>
      <c r="S360" s="548">
        <v>6182</v>
      </c>
      <c r="T360" s="552">
        <v>12592734</v>
      </c>
      <c r="U360" s="548">
        <v>30808</v>
      </c>
      <c r="V360" s="552">
        <v>62755896</v>
      </c>
      <c r="W360" s="552">
        <v>0</v>
      </c>
      <c r="X360" s="552">
        <v>0</v>
      </c>
      <c r="Y360" s="552">
        <v>6182</v>
      </c>
      <c r="Z360" s="552">
        <v>12592734</v>
      </c>
      <c r="AA360" s="552">
        <v>6182</v>
      </c>
      <c r="AB360" s="552">
        <v>12592734</v>
      </c>
      <c r="AC360" s="552">
        <v>0</v>
      </c>
      <c r="AD360" s="552">
        <v>0</v>
      </c>
      <c r="AE360" s="552">
        <v>0</v>
      </c>
      <c r="AF360" s="552">
        <v>0</v>
      </c>
      <c r="AG360" s="552">
        <v>0</v>
      </c>
      <c r="AH360" s="552">
        <v>0</v>
      </c>
      <c r="AI360" s="552">
        <v>0</v>
      </c>
      <c r="AJ360" s="552">
        <v>0</v>
      </c>
    </row>
    <row r="361" spans="1:36" ht="15.95" customHeight="1">
      <c r="A361" s="547"/>
      <c r="B361" s="548">
        <v>701</v>
      </c>
      <c r="C361" s="549">
        <v>7216</v>
      </c>
      <c r="D361" s="550" t="s">
        <v>11855</v>
      </c>
      <c r="E361" s="550" t="s">
        <v>4173</v>
      </c>
      <c r="F361" s="550" t="s">
        <v>4174</v>
      </c>
      <c r="G361" s="550" t="s">
        <v>588</v>
      </c>
      <c r="H361" s="550" t="s">
        <v>267</v>
      </c>
      <c r="I361" s="550" t="s">
        <v>10</v>
      </c>
      <c r="J361" s="550" t="s">
        <v>11856</v>
      </c>
      <c r="K361" s="551">
        <v>45363</v>
      </c>
      <c r="L361" s="552">
        <v>9832</v>
      </c>
      <c r="M361" s="552">
        <v>9832</v>
      </c>
      <c r="N361" s="552">
        <v>9832</v>
      </c>
      <c r="O361" s="552">
        <v>5590</v>
      </c>
      <c r="P361" s="552">
        <v>54960880</v>
      </c>
      <c r="Q361" s="548">
        <v>0</v>
      </c>
      <c r="R361" s="552">
        <v>0</v>
      </c>
      <c r="S361" s="548">
        <v>5202</v>
      </c>
      <c r="T361" s="552">
        <v>51146064</v>
      </c>
      <c r="U361" s="548">
        <v>388</v>
      </c>
      <c r="V361" s="552">
        <v>3814816</v>
      </c>
      <c r="W361" s="552">
        <v>0</v>
      </c>
      <c r="X361" s="552">
        <v>0</v>
      </c>
      <c r="Y361" s="552">
        <v>5202</v>
      </c>
      <c r="Z361" s="552">
        <v>51146064</v>
      </c>
      <c r="AA361" s="552">
        <v>5202</v>
      </c>
      <c r="AB361" s="552">
        <v>51146064</v>
      </c>
      <c r="AC361" s="552">
        <v>0</v>
      </c>
      <c r="AD361" s="552">
        <v>0</v>
      </c>
      <c r="AE361" s="552">
        <v>0</v>
      </c>
      <c r="AF361" s="552">
        <v>0</v>
      </c>
      <c r="AG361" s="552">
        <v>0</v>
      </c>
      <c r="AH361" s="552">
        <v>0</v>
      </c>
      <c r="AI361" s="552">
        <v>0</v>
      </c>
      <c r="AJ361" s="552">
        <v>0</v>
      </c>
    </row>
    <row r="362" spans="1:36" ht="15.95" customHeight="1">
      <c r="A362" s="547"/>
      <c r="B362" s="548">
        <v>706</v>
      </c>
      <c r="C362" s="549">
        <v>7607</v>
      </c>
      <c r="D362" s="550" t="s">
        <v>11857</v>
      </c>
      <c r="E362" s="550" t="s">
        <v>4175</v>
      </c>
      <c r="F362" s="550" t="s">
        <v>4176</v>
      </c>
      <c r="G362" s="550" t="s">
        <v>1247</v>
      </c>
      <c r="H362" s="550" t="s">
        <v>1249</v>
      </c>
      <c r="I362" s="550" t="s">
        <v>11</v>
      </c>
      <c r="J362" s="550" t="s">
        <v>4177</v>
      </c>
      <c r="K362" s="551">
        <v>44531</v>
      </c>
      <c r="L362" s="552">
        <v>6800</v>
      </c>
      <c r="M362" s="552">
        <v>6800</v>
      </c>
      <c r="N362" s="552">
        <v>6800</v>
      </c>
      <c r="O362" s="552">
        <v>5475</v>
      </c>
      <c r="P362" s="552">
        <v>37230000</v>
      </c>
      <c r="Q362" s="548">
        <v>0</v>
      </c>
      <c r="R362" s="552">
        <v>0</v>
      </c>
      <c r="S362" s="548">
        <v>5475</v>
      </c>
      <c r="T362" s="552">
        <v>37230000</v>
      </c>
      <c r="U362" s="548">
        <v>0</v>
      </c>
      <c r="V362" s="552">
        <v>0</v>
      </c>
      <c r="W362" s="552">
        <v>0</v>
      </c>
      <c r="X362" s="552">
        <v>0</v>
      </c>
      <c r="Y362" s="552">
        <v>5475</v>
      </c>
      <c r="Z362" s="552">
        <v>37230000</v>
      </c>
      <c r="AA362" s="552">
        <v>5475</v>
      </c>
      <c r="AB362" s="552">
        <v>37230000</v>
      </c>
      <c r="AC362" s="552">
        <v>0</v>
      </c>
      <c r="AD362" s="552">
        <v>0</v>
      </c>
      <c r="AE362" s="552">
        <v>0</v>
      </c>
      <c r="AF362" s="552">
        <v>0</v>
      </c>
      <c r="AG362" s="552">
        <v>0</v>
      </c>
      <c r="AH362" s="552">
        <v>0</v>
      </c>
      <c r="AI362" s="552">
        <v>0</v>
      </c>
      <c r="AJ362" s="552">
        <v>0</v>
      </c>
    </row>
    <row r="363" spans="1:36" ht="15.95" customHeight="1">
      <c r="A363" s="547"/>
      <c r="B363" s="548">
        <v>707</v>
      </c>
      <c r="C363" s="549">
        <v>6734</v>
      </c>
      <c r="D363" s="550" t="s">
        <v>11858</v>
      </c>
      <c r="E363" s="550" t="s">
        <v>7497</v>
      </c>
      <c r="F363" s="550" t="s">
        <v>1971</v>
      </c>
      <c r="G363" s="550" t="s">
        <v>1970</v>
      </c>
      <c r="H363" s="550" t="s">
        <v>1972</v>
      </c>
      <c r="I363" s="550" t="s">
        <v>11</v>
      </c>
      <c r="J363" s="550" t="s">
        <v>4291</v>
      </c>
      <c r="K363" s="551">
        <v>45163</v>
      </c>
      <c r="L363" s="552">
        <v>1785</v>
      </c>
      <c r="M363" s="552">
        <v>1785</v>
      </c>
      <c r="N363" s="552">
        <v>1785</v>
      </c>
      <c r="O363" s="552"/>
      <c r="P363" s="552"/>
      <c r="Q363" s="548">
        <v>3000</v>
      </c>
      <c r="R363" s="552">
        <v>5355000</v>
      </c>
      <c r="S363" s="548">
        <v>61</v>
      </c>
      <c r="T363" s="552">
        <v>108885</v>
      </c>
      <c r="U363" s="548">
        <v>2939</v>
      </c>
      <c r="V363" s="552">
        <v>5246115</v>
      </c>
      <c r="W363" s="552">
        <v>0</v>
      </c>
      <c r="X363" s="552">
        <v>0</v>
      </c>
      <c r="Y363" s="552">
        <v>61</v>
      </c>
      <c r="Z363" s="552">
        <v>108885</v>
      </c>
      <c r="AA363" s="552">
        <v>61</v>
      </c>
      <c r="AB363" s="552">
        <v>108885</v>
      </c>
      <c r="AC363" s="552">
        <v>0</v>
      </c>
      <c r="AD363" s="552">
        <v>0</v>
      </c>
      <c r="AE363" s="552">
        <v>0</v>
      </c>
      <c r="AF363" s="552">
        <v>0</v>
      </c>
      <c r="AG363" s="552">
        <v>0</v>
      </c>
      <c r="AH363" s="552">
        <v>0</v>
      </c>
      <c r="AI363" s="552">
        <v>0</v>
      </c>
      <c r="AJ363" s="552">
        <v>0</v>
      </c>
    </row>
    <row r="364" spans="1:36" ht="15.95" customHeight="1">
      <c r="A364" s="547"/>
      <c r="B364" s="548">
        <v>709</v>
      </c>
      <c r="C364" s="549">
        <v>6804</v>
      </c>
      <c r="D364" s="550" t="s">
        <v>11859</v>
      </c>
      <c r="E364" s="550" t="s">
        <v>6538</v>
      </c>
      <c r="F364" s="550" t="s">
        <v>6539</v>
      </c>
      <c r="G364" s="550" t="s">
        <v>659</v>
      </c>
      <c r="H364" s="550" t="s">
        <v>334</v>
      </c>
      <c r="I364" s="550" t="s">
        <v>11</v>
      </c>
      <c r="J364" s="550" t="s">
        <v>11860</v>
      </c>
      <c r="K364" s="551">
        <v>45199</v>
      </c>
      <c r="L364" s="552">
        <v>6400</v>
      </c>
      <c r="M364" s="552">
        <v>6400</v>
      </c>
      <c r="N364" s="552">
        <v>6400</v>
      </c>
      <c r="O364" s="552"/>
      <c r="P364" s="552"/>
      <c r="Q364" s="548">
        <v>2006</v>
      </c>
      <c r="R364" s="552">
        <v>12838400</v>
      </c>
      <c r="S364" s="548">
        <v>1989</v>
      </c>
      <c r="T364" s="552">
        <v>12729600</v>
      </c>
      <c r="U364" s="548">
        <v>17</v>
      </c>
      <c r="V364" s="552">
        <v>108800</v>
      </c>
      <c r="W364" s="552">
        <v>0</v>
      </c>
      <c r="X364" s="552">
        <v>0</v>
      </c>
      <c r="Y364" s="552">
        <v>1989</v>
      </c>
      <c r="Z364" s="552">
        <v>12729600</v>
      </c>
      <c r="AA364" s="552">
        <v>1420</v>
      </c>
      <c r="AB364" s="552">
        <v>9088000</v>
      </c>
      <c r="AC364" s="552">
        <v>569</v>
      </c>
      <c r="AD364" s="552">
        <v>3641600</v>
      </c>
      <c r="AE364" s="552">
        <v>0</v>
      </c>
      <c r="AF364" s="552">
        <v>0</v>
      </c>
      <c r="AG364" s="552">
        <v>0</v>
      </c>
      <c r="AH364" s="552">
        <v>0</v>
      </c>
      <c r="AI364" s="552">
        <v>0</v>
      </c>
      <c r="AJ364" s="552">
        <v>0</v>
      </c>
    </row>
    <row r="365" spans="1:36" ht="15.95" customHeight="1">
      <c r="A365" s="547"/>
      <c r="B365" s="548">
        <v>710</v>
      </c>
      <c r="C365" s="549">
        <v>6927</v>
      </c>
      <c r="D365" s="550" t="s">
        <v>11861</v>
      </c>
      <c r="E365" s="550" t="s">
        <v>8223</v>
      </c>
      <c r="F365" s="550" t="s">
        <v>8224</v>
      </c>
      <c r="G365" s="550" t="s">
        <v>8224</v>
      </c>
      <c r="H365" s="550" t="s">
        <v>8225</v>
      </c>
      <c r="I365" s="550" t="s">
        <v>11</v>
      </c>
      <c r="J365" s="550" t="s">
        <v>11862</v>
      </c>
      <c r="K365" s="551">
        <v>45007</v>
      </c>
      <c r="L365" s="552">
        <v>3420</v>
      </c>
      <c r="M365" s="552">
        <v>3420</v>
      </c>
      <c r="N365" s="552">
        <v>3420</v>
      </c>
      <c r="O365" s="552"/>
      <c r="P365" s="552"/>
      <c r="Q365" s="548">
        <v>100</v>
      </c>
      <c r="R365" s="552">
        <v>342000</v>
      </c>
      <c r="S365" s="548">
        <v>0</v>
      </c>
      <c r="T365" s="552">
        <v>0</v>
      </c>
      <c r="U365" s="548">
        <v>100</v>
      </c>
      <c r="V365" s="552">
        <v>342000</v>
      </c>
      <c r="W365" s="552">
        <v>0</v>
      </c>
      <c r="X365" s="552">
        <v>0</v>
      </c>
      <c r="Y365" s="552">
        <v>0</v>
      </c>
      <c r="Z365" s="552">
        <v>0</v>
      </c>
      <c r="AA365" s="552">
        <v>0</v>
      </c>
      <c r="AB365" s="552">
        <v>0</v>
      </c>
      <c r="AC365" s="552">
        <v>0</v>
      </c>
      <c r="AD365" s="552">
        <v>0</v>
      </c>
      <c r="AE365" s="552">
        <v>0</v>
      </c>
      <c r="AF365" s="552">
        <v>0</v>
      </c>
      <c r="AG365" s="552">
        <v>0</v>
      </c>
      <c r="AH365" s="552">
        <v>0</v>
      </c>
      <c r="AI365" s="552">
        <v>0</v>
      </c>
      <c r="AJ365" s="552">
        <v>0</v>
      </c>
    </row>
    <row r="366" spans="1:36" ht="15.95" customHeight="1">
      <c r="A366" s="547"/>
      <c r="B366" s="548">
        <v>711</v>
      </c>
      <c r="C366" s="549">
        <v>6954</v>
      </c>
      <c r="D366" s="550" t="s">
        <v>11863</v>
      </c>
      <c r="E366" s="550" t="s">
        <v>4061</v>
      </c>
      <c r="F366" s="550" t="s">
        <v>6491</v>
      </c>
      <c r="G366" s="550" t="s">
        <v>1241</v>
      </c>
      <c r="H366" s="550" t="s">
        <v>327</v>
      </c>
      <c r="I366" s="550" t="s">
        <v>11</v>
      </c>
      <c r="J366" s="550" t="s">
        <v>11864</v>
      </c>
      <c r="K366" s="551">
        <v>44761</v>
      </c>
      <c r="L366" s="552">
        <v>1500</v>
      </c>
      <c r="M366" s="552">
        <v>1500</v>
      </c>
      <c r="N366" s="552">
        <v>1500</v>
      </c>
      <c r="O366" s="552"/>
      <c r="P366" s="552"/>
      <c r="Q366" s="548">
        <v>2700</v>
      </c>
      <c r="R366" s="552">
        <v>4050000</v>
      </c>
      <c r="S366" s="548">
        <v>2697</v>
      </c>
      <c r="T366" s="552">
        <v>4045500</v>
      </c>
      <c r="U366" s="548">
        <v>3</v>
      </c>
      <c r="V366" s="552">
        <v>4500</v>
      </c>
      <c r="W366" s="552">
        <v>0</v>
      </c>
      <c r="X366" s="552">
        <v>0</v>
      </c>
      <c r="Y366" s="552">
        <v>2697</v>
      </c>
      <c r="Z366" s="552">
        <v>4045500</v>
      </c>
      <c r="AA366" s="552">
        <v>2697</v>
      </c>
      <c r="AB366" s="552">
        <v>4045500</v>
      </c>
      <c r="AC366" s="552">
        <v>0</v>
      </c>
      <c r="AD366" s="552">
        <v>0</v>
      </c>
      <c r="AE366" s="552">
        <v>0</v>
      </c>
      <c r="AF366" s="552">
        <v>0</v>
      </c>
      <c r="AG366" s="552">
        <v>0</v>
      </c>
      <c r="AH366" s="552">
        <v>0</v>
      </c>
      <c r="AI366" s="552">
        <v>0</v>
      </c>
      <c r="AJ366" s="552">
        <v>0</v>
      </c>
    </row>
    <row r="367" spans="1:36" ht="15.95" customHeight="1">
      <c r="A367" s="547"/>
      <c r="B367" s="548">
        <v>715</v>
      </c>
      <c r="C367" s="549">
        <v>6805</v>
      </c>
      <c r="D367" s="550" t="s">
        <v>11865</v>
      </c>
      <c r="E367" s="550" t="s">
        <v>4180</v>
      </c>
      <c r="F367" s="550" t="s">
        <v>4181</v>
      </c>
      <c r="G367" s="550" t="s">
        <v>659</v>
      </c>
      <c r="H367" s="550" t="s">
        <v>334</v>
      </c>
      <c r="I367" s="550" t="s">
        <v>11</v>
      </c>
      <c r="J367" s="550" t="s">
        <v>4182</v>
      </c>
      <c r="K367" s="551">
        <v>44290</v>
      </c>
      <c r="L367" s="552">
        <v>2890</v>
      </c>
      <c r="M367" s="552">
        <v>2890</v>
      </c>
      <c r="N367" s="552">
        <v>2890</v>
      </c>
      <c r="O367" s="552">
        <v>605</v>
      </c>
      <c r="P367" s="552">
        <v>1748450</v>
      </c>
      <c r="Q367" s="548">
        <v>0</v>
      </c>
      <c r="R367" s="552">
        <v>0</v>
      </c>
      <c r="S367" s="548">
        <v>605</v>
      </c>
      <c r="T367" s="552">
        <v>1748450</v>
      </c>
      <c r="U367" s="548">
        <v>0</v>
      </c>
      <c r="V367" s="552">
        <v>0</v>
      </c>
      <c r="W367" s="552">
        <v>0</v>
      </c>
      <c r="X367" s="552">
        <v>0</v>
      </c>
      <c r="Y367" s="552">
        <v>605</v>
      </c>
      <c r="Z367" s="552">
        <v>1748450</v>
      </c>
      <c r="AA367" s="552">
        <v>549</v>
      </c>
      <c r="AB367" s="552">
        <v>1586610</v>
      </c>
      <c r="AC367" s="552">
        <v>56</v>
      </c>
      <c r="AD367" s="552">
        <v>161840</v>
      </c>
      <c r="AE367" s="552">
        <v>0</v>
      </c>
      <c r="AF367" s="552">
        <v>0</v>
      </c>
      <c r="AG367" s="552">
        <v>0</v>
      </c>
      <c r="AH367" s="552">
        <v>0</v>
      </c>
      <c r="AI367" s="552">
        <v>0</v>
      </c>
      <c r="AJ367" s="552">
        <v>0</v>
      </c>
    </row>
    <row r="368" spans="1:36" ht="15.95" customHeight="1">
      <c r="A368" s="547"/>
      <c r="B368" s="548">
        <v>716</v>
      </c>
      <c r="C368" s="549">
        <v>6805</v>
      </c>
      <c r="D368" s="550" t="s">
        <v>11865</v>
      </c>
      <c r="E368" s="550" t="s">
        <v>4180</v>
      </c>
      <c r="F368" s="550" t="s">
        <v>4181</v>
      </c>
      <c r="G368" s="550" t="s">
        <v>659</v>
      </c>
      <c r="H368" s="550" t="s">
        <v>334</v>
      </c>
      <c r="I368" s="550" t="s">
        <v>11</v>
      </c>
      <c r="J368" s="550" t="s">
        <v>11866</v>
      </c>
      <c r="K368" s="551">
        <v>45269</v>
      </c>
      <c r="L368" s="552">
        <v>2890</v>
      </c>
      <c r="M368" s="552">
        <v>2890</v>
      </c>
      <c r="N368" s="552">
        <v>2890</v>
      </c>
      <c r="O368" s="552"/>
      <c r="P368" s="552"/>
      <c r="Q368" s="548">
        <v>4980</v>
      </c>
      <c r="R368" s="552">
        <v>14392200</v>
      </c>
      <c r="S368" s="548">
        <v>1080</v>
      </c>
      <c r="T368" s="552">
        <v>3121200</v>
      </c>
      <c r="U368" s="548">
        <v>3900</v>
      </c>
      <c r="V368" s="552">
        <v>11271000</v>
      </c>
      <c r="W368" s="552">
        <v>0</v>
      </c>
      <c r="X368" s="552">
        <v>0</v>
      </c>
      <c r="Y368" s="552">
        <v>1080</v>
      </c>
      <c r="Z368" s="552">
        <v>3121200</v>
      </c>
      <c r="AA368" s="552">
        <v>1080</v>
      </c>
      <c r="AB368" s="552">
        <v>3121200</v>
      </c>
      <c r="AC368" s="552">
        <v>0</v>
      </c>
      <c r="AD368" s="552">
        <v>0</v>
      </c>
      <c r="AE368" s="552">
        <v>0</v>
      </c>
      <c r="AF368" s="552">
        <v>0</v>
      </c>
      <c r="AG368" s="552">
        <v>0</v>
      </c>
      <c r="AH368" s="552">
        <v>0</v>
      </c>
      <c r="AI368" s="552">
        <v>0</v>
      </c>
      <c r="AJ368" s="552">
        <v>0</v>
      </c>
    </row>
    <row r="369" spans="1:36" ht="15.95" customHeight="1">
      <c r="A369" s="547"/>
      <c r="B369" s="548">
        <v>717</v>
      </c>
      <c r="C369" s="549">
        <v>6922</v>
      </c>
      <c r="D369" s="550" t="s">
        <v>11867</v>
      </c>
      <c r="E369" s="550" t="s">
        <v>4183</v>
      </c>
      <c r="F369" s="550" t="s">
        <v>4184</v>
      </c>
      <c r="G369" s="550" t="s">
        <v>1522</v>
      </c>
      <c r="H369" s="550" t="s">
        <v>225</v>
      </c>
      <c r="I369" s="550" t="s">
        <v>11</v>
      </c>
      <c r="J369" s="550" t="s">
        <v>4185</v>
      </c>
      <c r="K369" s="551">
        <v>44843</v>
      </c>
      <c r="L369" s="552">
        <v>1890</v>
      </c>
      <c r="M369" s="552">
        <v>1890</v>
      </c>
      <c r="N369" s="552">
        <v>1890</v>
      </c>
      <c r="O369" s="552">
        <v>4007</v>
      </c>
      <c r="P369" s="552">
        <v>7573230</v>
      </c>
      <c r="Q369" s="548">
        <v>6</v>
      </c>
      <c r="R369" s="552">
        <v>11340</v>
      </c>
      <c r="S369" s="548">
        <v>4012</v>
      </c>
      <c r="T369" s="552">
        <v>7582680</v>
      </c>
      <c r="U369" s="548">
        <v>1</v>
      </c>
      <c r="V369" s="552">
        <v>1890</v>
      </c>
      <c r="W369" s="552">
        <v>0</v>
      </c>
      <c r="X369" s="552">
        <v>0</v>
      </c>
      <c r="Y369" s="552">
        <v>4012</v>
      </c>
      <c r="Z369" s="552">
        <v>7582680</v>
      </c>
      <c r="AA369" s="552">
        <v>3479</v>
      </c>
      <c r="AB369" s="552">
        <v>6575310</v>
      </c>
      <c r="AC369" s="552">
        <v>533</v>
      </c>
      <c r="AD369" s="552">
        <v>1007370</v>
      </c>
      <c r="AE369" s="552">
        <v>0</v>
      </c>
      <c r="AF369" s="552">
        <v>0</v>
      </c>
      <c r="AG369" s="552">
        <v>0</v>
      </c>
      <c r="AH369" s="552">
        <v>0</v>
      </c>
      <c r="AI369" s="552">
        <v>0</v>
      </c>
      <c r="AJ369" s="552">
        <v>0</v>
      </c>
    </row>
    <row r="370" spans="1:36" ht="15.95" customHeight="1">
      <c r="A370" s="547"/>
      <c r="B370" s="548">
        <v>718</v>
      </c>
      <c r="C370" s="549">
        <v>6922</v>
      </c>
      <c r="D370" s="550" t="s">
        <v>11867</v>
      </c>
      <c r="E370" s="550" t="s">
        <v>4183</v>
      </c>
      <c r="F370" s="550" t="s">
        <v>4184</v>
      </c>
      <c r="G370" s="550" t="s">
        <v>1522</v>
      </c>
      <c r="H370" s="550" t="s">
        <v>225</v>
      </c>
      <c r="I370" s="550" t="s">
        <v>11</v>
      </c>
      <c r="J370" s="550" t="s">
        <v>11868</v>
      </c>
      <c r="K370" s="551">
        <v>44853</v>
      </c>
      <c r="L370" s="552">
        <v>1890</v>
      </c>
      <c r="M370" s="552">
        <v>1890</v>
      </c>
      <c r="N370" s="552">
        <v>1890</v>
      </c>
      <c r="O370" s="552">
        <v>30000</v>
      </c>
      <c r="P370" s="552">
        <v>56700000</v>
      </c>
      <c r="Q370" s="548">
        <v>3</v>
      </c>
      <c r="R370" s="552">
        <v>5670</v>
      </c>
      <c r="S370" s="548">
        <v>30003</v>
      </c>
      <c r="T370" s="552">
        <v>56705670</v>
      </c>
      <c r="U370" s="548">
        <v>0</v>
      </c>
      <c r="V370" s="552">
        <v>0</v>
      </c>
      <c r="W370" s="552">
        <v>0</v>
      </c>
      <c r="X370" s="552">
        <v>0</v>
      </c>
      <c r="Y370" s="552">
        <v>30003</v>
      </c>
      <c r="Z370" s="552">
        <v>56705670</v>
      </c>
      <c r="AA370" s="552">
        <v>29300</v>
      </c>
      <c r="AB370" s="552">
        <v>55377000</v>
      </c>
      <c r="AC370" s="552">
        <v>703</v>
      </c>
      <c r="AD370" s="552">
        <v>1328670</v>
      </c>
      <c r="AE370" s="552">
        <v>0</v>
      </c>
      <c r="AF370" s="552">
        <v>0</v>
      </c>
      <c r="AG370" s="552">
        <v>0</v>
      </c>
      <c r="AH370" s="552">
        <v>0</v>
      </c>
      <c r="AI370" s="552">
        <v>0</v>
      </c>
      <c r="AJ370" s="552">
        <v>0</v>
      </c>
    </row>
    <row r="371" spans="1:36" ht="15.95" customHeight="1">
      <c r="A371" s="547"/>
      <c r="B371" s="548">
        <v>719</v>
      </c>
      <c r="C371" s="549">
        <v>6922</v>
      </c>
      <c r="D371" s="550" t="s">
        <v>11867</v>
      </c>
      <c r="E371" s="550" t="s">
        <v>4183</v>
      </c>
      <c r="F371" s="550" t="s">
        <v>4184</v>
      </c>
      <c r="G371" s="550" t="s">
        <v>1522</v>
      </c>
      <c r="H371" s="550" t="s">
        <v>225</v>
      </c>
      <c r="I371" s="550" t="s">
        <v>11</v>
      </c>
      <c r="J371" s="550" t="s">
        <v>11869</v>
      </c>
      <c r="K371" s="551">
        <v>45326</v>
      </c>
      <c r="L371" s="552">
        <v>1890</v>
      </c>
      <c r="M371" s="552">
        <v>1890</v>
      </c>
      <c r="N371" s="552">
        <v>1890</v>
      </c>
      <c r="O371" s="552"/>
      <c r="P371" s="552"/>
      <c r="Q371" s="548">
        <v>30000</v>
      </c>
      <c r="R371" s="552">
        <v>56700000</v>
      </c>
      <c r="S371" s="548">
        <v>7261</v>
      </c>
      <c r="T371" s="552">
        <v>13723290</v>
      </c>
      <c r="U371" s="548">
        <v>22739</v>
      </c>
      <c r="V371" s="552">
        <v>42976710</v>
      </c>
      <c r="W371" s="552">
        <v>0</v>
      </c>
      <c r="X371" s="552">
        <v>0</v>
      </c>
      <c r="Y371" s="552">
        <v>7261</v>
      </c>
      <c r="Z371" s="552">
        <v>13723290</v>
      </c>
      <c r="AA371" s="552">
        <v>7204</v>
      </c>
      <c r="AB371" s="552">
        <v>13615560</v>
      </c>
      <c r="AC371" s="552">
        <v>57</v>
      </c>
      <c r="AD371" s="552">
        <v>107730</v>
      </c>
      <c r="AE371" s="552">
        <v>0</v>
      </c>
      <c r="AF371" s="552">
        <v>0</v>
      </c>
      <c r="AG371" s="552">
        <v>0</v>
      </c>
      <c r="AH371" s="552">
        <v>0</v>
      </c>
      <c r="AI371" s="552">
        <v>0</v>
      </c>
      <c r="AJ371" s="552">
        <v>0</v>
      </c>
    </row>
    <row r="372" spans="1:36" ht="15.95" customHeight="1">
      <c r="A372" s="547"/>
      <c r="B372" s="548">
        <v>720</v>
      </c>
      <c r="C372" s="549">
        <v>6983</v>
      </c>
      <c r="D372" s="550" t="s">
        <v>11870</v>
      </c>
      <c r="E372" s="550" t="s">
        <v>7616</v>
      </c>
      <c r="F372" s="550" t="s">
        <v>7619</v>
      </c>
      <c r="G372" s="550" t="s">
        <v>11871</v>
      </c>
      <c r="H372" s="550" t="s">
        <v>7618</v>
      </c>
      <c r="I372" s="550" t="s">
        <v>11</v>
      </c>
      <c r="J372" s="550" t="s">
        <v>11872</v>
      </c>
      <c r="K372" s="551">
        <v>44636</v>
      </c>
      <c r="L372" s="552">
        <v>2500</v>
      </c>
      <c r="M372" s="552">
        <v>2500</v>
      </c>
      <c r="N372" s="552">
        <v>2500</v>
      </c>
      <c r="O372" s="552"/>
      <c r="P372" s="552"/>
      <c r="Q372" s="548">
        <v>2496</v>
      </c>
      <c r="R372" s="552">
        <v>6240000</v>
      </c>
      <c r="S372" s="548">
        <v>1617</v>
      </c>
      <c r="T372" s="552">
        <v>4042500</v>
      </c>
      <c r="U372" s="548">
        <v>879</v>
      </c>
      <c r="V372" s="552">
        <v>2197500</v>
      </c>
      <c r="W372" s="552">
        <v>0</v>
      </c>
      <c r="X372" s="552">
        <v>0</v>
      </c>
      <c r="Y372" s="552">
        <v>1617</v>
      </c>
      <c r="Z372" s="552">
        <v>4042500</v>
      </c>
      <c r="AA372" s="552">
        <v>1617</v>
      </c>
      <c r="AB372" s="552">
        <v>4042500</v>
      </c>
      <c r="AC372" s="552">
        <v>0</v>
      </c>
      <c r="AD372" s="552">
        <v>0</v>
      </c>
      <c r="AE372" s="552">
        <v>0</v>
      </c>
      <c r="AF372" s="552">
        <v>0</v>
      </c>
      <c r="AG372" s="552">
        <v>0</v>
      </c>
      <c r="AH372" s="552">
        <v>0</v>
      </c>
      <c r="AI372" s="552">
        <v>0</v>
      </c>
      <c r="AJ372" s="552">
        <v>0</v>
      </c>
    </row>
    <row r="373" spans="1:36" ht="15.95" customHeight="1">
      <c r="A373" s="547"/>
      <c r="B373" s="548">
        <v>721</v>
      </c>
      <c r="C373" s="549">
        <v>6983</v>
      </c>
      <c r="D373" s="550" t="s">
        <v>11870</v>
      </c>
      <c r="E373" s="550" t="s">
        <v>7616</v>
      </c>
      <c r="F373" s="550" t="s">
        <v>7619</v>
      </c>
      <c r="G373" s="550" t="s">
        <v>11871</v>
      </c>
      <c r="H373" s="550" t="s">
        <v>7618</v>
      </c>
      <c r="I373" s="550" t="s">
        <v>11</v>
      </c>
      <c r="J373" s="550" t="s">
        <v>11873</v>
      </c>
      <c r="K373" s="551">
        <v>44688</v>
      </c>
      <c r="L373" s="552">
        <v>2500</v>
      </c>
      <c r="M373" s="552">
        <v>2500</v>
      </c>
      <c r="N373" s="552">
        <v>2500</v>
      </c>
      <c r="O373" s="552"/>
      <c r="P373" s="552"/>
      <c r="Q373" s="548">
        <v>2496</v>
      </c>
      <c r="R373" s="552">
        <v>6240000</v>
      </c>
      <c r="S373" s="548">
        <v>0</v>
      </c>
      <c r="T373" s="552">
        <v>0</v>
      </c>
      <c r="U373" s="548">
        <v>2496</v>
      </c>
      <c r="V373" s="552">
        <v>6240000</v>
      </c>
      <c r="W373" s="552">
        <v>0</v>
      </c>
      <c r="X373" s="552">
        <v>0</v>
      </c>
      <c r="Y373" s="552">
        <v>0</v>
      </c>
      <c r="Z373" s="552">
        <v>0</v>
      </c>
      <c r="AA373" s="552">
        <v>0</v>
      </c>
      <c r="AB373" s="552">
        <v>0</v>
      </c>
      <c r="AC373" s="552">
        <v>0</v>
      </c>
      <c r="AD373" s="552">
        <v>0</v>
      </c>
      <c r="AE373" s="552">
        <v>0</v>
      </c>
      <c r="AF373" s="552">
        <v>0</v>
      </c>
      <c r="AG373" s="552">
        <v>0</v>
      </c>
      <c r="AH373" s="552">
        <v>0</v>
      </c>
      <c r="AI373" s="552">
        <v>0</v>
      </c>
      <c r="AJ373" s="552">
        <v>0</v>
      </c>
    </row>
    <row r="374" spans="1:36" ht="15.95" customHeight="1">
      <c r="A374" s="547"/>
      <c r="B374" s="548">
        <v>722</v>
      </c>
      <c r="C374" s="549">
        <v>6940</v>
      </c>
      <c r="D374" s="550" t="s">
        <v>11874</v>
      </c>
      <c r="E374" s="550" t="s">
        <v>4186</v>
      </c>
      <c r="F374" s="550" t="s">
        <v>743</v>
      </c>
      <c r="G374" s="550" t="s">
        <v>742</v>
      </c>
      <c r="H374" s="550" t="s">
        <v>4187</v>
      </c>
      <c r="I374" s="550" t="s">
        <v>520</v>
      </c>
      <c r="J374" s="550" t="s">
        <v>4188</v>
      </c>
      <c r="K374" s="551">
        <v>44439</v>
      </c>
      <c r="L374" s="552">
        <v>43995</v>
      </c>
      <c r="M374" s="552">
        <v>43995</v>
      </c>
      <c r="N374" s="552">
        <v>43995</v>
      </c>
      <c r="O374" s="552">
        <v>10</v>
      </c>
      <c r="P374" s="552">
        <v>439950</v>
      </c>
      <c r="Q374" s="548">
        <v>0</v>
      </c>
      <c r="R374" s="552">
        <v>0</v>
      </c>
      <c r="S374" s="548">
        <v>10</v>
      </c>
      <c r="T374" s="552">
        <v>439950</v>
      </c>
      <c r="U374" s="548">
        <v>0</v>
      </c>
      <c r="V374" s="552">
        <v>0</v>
      </c>
      <c r="W374" s="552">
        <v>0</v>
      </c>
      <c r="X374" s="552">
        <v>0</v>
      </c>
      <c r="Y374" s="552">
        <v>0</v>
      </c>
      <c r="Z374" s="552">
        <v>0</v>
      </c>
      <c r="AA374" s="552">
        <v>0</v>
      </c>
      <c r="AB374" s="552">
        <v>0</v>
      </c>
      <c r="AC374" s="552">
        <v>0</v>
      </c>
      <c r="AD374" s="552">
        <v>0</v>
      </c>
      <c r="AE374" s="552">
        <v>0</v>
      </c>
      <c r="AF374" s="552">
        <v>0</v>
      </c>
      <c r="AG374" s="552">
        <v>10</v>
      </c>
      <c r="AH374" s="552">
        <v>439950</v>
      </c>
      <c r="AI374" s="552">
        <v>0</v>
      </c>
      <c r="AJ374" s="552">
        <v>0</v>
      </c>
    </row>
    <row r="375" spans="1:36" ht="15.95" customHeight="1">
      <c r="A375" s="547"/>
      <c r="B375" s="548">
        <v>723</v>
      </c>
      <c r="C375" s="549">
        <v>6947</v>
      </c>
      <c r="D375" s="550" t="s">
        <v>11875</v>
      </c>
      <c r="E375" s="550" t="s">
        <v>4189</v>
      </c>
      <c r="F375" s="550" t="s">
        <v>4190</v>
      </c>
      <c r="G375" s="550" t="s">
        <v>747</v>
      </c>
      <c r="H375" s="550" t="s">
        <v>4191</v>
      </c>
      <c r="I375" s="550" t="s">
        <v>15</v>
      </c>
      <c r="J375" s="550" t="s">
        <v>4192</v>
      </c>
      <c r="K375" s="551">
        <v>44863</v>
      </c>
      <c r="L375" s="552">
        <v>23400</v>
      </c>
      <c r="M375" s="552">
        <v>23400</v>
      </c>
      <c r="N375" s="552">
        <v>23400</v>
      </c>
      <c r="O375" s="552">
        <v>310</v>
      </c>
      <c r="P375" s="552">
        <v>7254000</v>
      </c>
      <c r="Q375" s="548">
        <v>0</v>
      </c>
      <c r="R375" s="552">
        <v>0</v>
      </c>
      <c r="S375" s="548">
        <v>206</v>
      </c>
      <c r="T375" s="552">
        <v>4820400</v>
      </c>
      <c r="U375" s="548">
        <v>104</v>
      </c>
      <c r="V375" s="552">
        <v>2433600</v>
      </c>
      <c r="W375" s="552">
        <v>0</v>
      </c>
      <c r="X375" s="552">
        <v>0</v>
      </c>
      <c r="Y375" s="552">
        <v>196</v>
      </c>
      <c r="Z375" s="552">
        <v>4586400</v>
      </c>
      <c r="AA375" s="552">
        <v>196</v>
      </c>
      <c r="AB375" s="552">
        <v>4586400</v>
      </c>
      <c r="AC375" s="552">
        <v>0</v>
      </c>
      <c r="AD375" s="552">
        <v>0</v>
      </c>
      <c r="AE375" s="552">
        <v>0</v>
      </c>
      <c r="AF375" s="552">
        <v>0</v>
      </c>
      <c r="AG375" s="552">
        <v>10</v>
      </c>
      <c r="AH375" s="552">
        <v>234000</v>
      </c>
      <c r="AI375" s="552">
        <v>0</v>
      </c>
      <c r="AJ375" s="552">
        <v>0</v>
      </c>
    </row>
    <row r="376" spans="1:36" ht="15.95" customHeight="1">
      <c r="A376" s="547"/>
      <c r="B376" s="548">
        <v>724</v>
      </c>
      <c r="C376" s="549">
        <v>6946</v>
      </c>
      <c r="D376" s="550" t="s">
        <v>11876</v>
      </c>
      <c r="E376" s="550" t="s">
        <v>3989</v>
      </c>
      <c r="F376" s="550" t="s">
        <v>1068</v>
      </c>
      <c r="G376" s="550" t="s">
        <v>747</v>
      </c>
      <c r="H376" s="550" t="s">
        <v>4193</v>
      </c>
      <c r="I376" s="550" t="s">
        <v>658</v>
      </c>
      <c r="J376" s="550" t="s">
        <v>11672</v>
      </c>
      <c r="K376" s="551">
        <v>45049</v>
      </c>
      <c r="L376" s="552">
        <v>1320</v>
      </c>
      <c r="M376" s="552">
        <v>1320</v>
      </c>
      <c r="N376" s="552">
        <v>1320</v>
      </c>
      <c r="O376" s="552"/>
      <c r="P376" s="552"/>
      <c r="Q376" s="548">
        <v>960</v>
      </c>
      <c r="R376" s="552">
        <v>1267200</v>
      </c>
      <c r="S376" s="548">
        <v>172</v>
      </c>
      <c r="T376" s="552">
        <v>227040</v>
      </c>
      <c r="U376" s="548">
        <v>788</v>
      </c>
      <c r="V376" s="552">
        <v>1040160</v>
      </c>
      <c r="W376" s="552">
        <v>67</v>
      </c>
      <c r="X376" s="552">
        <v>88440</v>
      </c>
      <c r="Y376" s="552">
        <v>172</v>
      </c>
      <c r="Z376" s="552">
        <v>227040</v>
      </c>
      <c r="AA376" s="552">
        <v>42</v>
      </c>
      <c r="AB376" s="552">
        <v>55440</v>
      </c>
      <c r="AC376" s="552">
        <v>130</v>
      </c>
      <c r="AD376" s="552">
        <v>171600</v>
      </c>
      <c r="AE376" s="552">
        <v>0</v>
      </c>
      <c r="AF376" s="552">
        <v>0</v>
      </c>
      <c r="AG376" s="552">
        <v>0</v>
      </c>
      <c r="AH376" s="552">
        <v>0</v>
      </c>
      <c r="AI376" s="552">
        <v>0</v>
      </c>
      <c r="AJ376" s="552">
        <v>0</v>
      </c>
    </row>
    <row r="377" spans="1:36" ht="15.95" customHeight="1">
      <c r="A377" s="547"/>
      <c r="B377" s="548">
        <v>725</v>
      </c>
      <c r="C377" s="549">
        <v>6946</v>
      </c>
      <c r="D377" s="550" t="s">
        <v>11876</v>
      </c>
      <c r="E377" s="550" t="s">
        <v>3989</v>
      </c>
      <c r="F377" s="550" t="s">
        <v>1068</v>
      </c>
      <c r="G377" s="550" t="s">
        <v>747</v>
      </c>
      <c r="H377" s="550" t="s">
        <v>4193</v>
      </c>
      <c r="I377" s="550" t="s">
        <v>658</v>
      </c>
      <c r="J377" s="550" t="s">
        <v>4194</v>
      </c>
      <c r="K377" s="551">
        <v>44657</v>
      </c>
      <c r="L377" s="552">
        <v>1320</v>
      </c>
      <c r="M377" s="552">
        <v>1320</v>
      </c>
      <c r="N377" s="552">
        <v>1320</v>
      </c>
      <c r="O377" s="552">
        <v>15</v>
      </c>
      <c r="P377" s="552">
        <v>19800</v>
      </c>
      <c r="Q377" s="548">
        <v>7</v>
      </c>
      <c r="R377" s="552">
        <v>9240</v>
      </c>
      <c r="S377" s="548">
        <v>15</v>
      </c>
      <c r="T377" s="552">
        <v>19800</v>
      </c>
      <c r="U377" s="548">
        <v>7</v>
      </c>
      <c r="V377" s="552">
        <v>9240</v>
      </c>
      <c r="W377" s="552">
        <v>284</v>
      </c>
      <c r="X377" s="552">
        <v>374880</v>
      </c>
      <c r="Y377" s="552">
        <v>15</v>
      </c>
      <c r="Z377" s="552">
        <v>19800</v>
      </c>
      <c r="AA377" s="552">
        <v>0</v>
      </c>
      <c r="AB377" s="552">
        <v>0</v>
      </c>
      <c r="AC377" s="552">
        <v>15</v>
      </c>
      <c r="AD377" s="552">
        <v>19800</v>
      </c>
      <c r="AE377" s="552">
        <v>0</v>
      </c>
      <c r="AF377" s="552">
        <v>0</v>
      </c>
      <c r="AG377" s="552">
        <v>0</v>
      </c>
      <c r="AH377" s="552">
        <v>0</v>
      </c>
      <c r="AI377" s="552">
        <v>0</v>
      </c>
      <c r="AJ377" s="552">
        <v>0</v>
      </c>
    </row>
    <row r="378" spans="1:36" ht="15.95" customHeight="1">
      <c r="A378" s="547"/>
      <c r="B378" s="548">
        <v>726</v>
      </c>
      <c r="C378" s="549">
        <v>4741</v>
      </c>
      <c r="D378" s="550" t="s">
        <v>11877</v>
      </c>
      <c r="E378" s="550" t="s">
        <v>4195</v>
      </c>
      <c r="F378" s="550" t="s">
        <v>1068</v>
      </c>
      <c r="G378" s="550" t="s">
        <v>747</v>
      </c>
      <c r="H378" s="550" t="s">
        <v>2525</v>
      </c>
      <c r="I378" s="550" t="s">
        <v>18</v>
      </c>
      <c r="J378" s="550" t="s">
        <v>4196</v>
      </c>
      <c r="K378" s="551">
        <v>43962</v>
      </c>
      <c r="L378" s="552">
        <v>11886</v>
      </c>
      <c r="M378" s="552">
        <v>11886</v>
      </c>
      <c r="N378" s="552">
        <v>11886</v>
      </c>
      <c r="O378" s="552">
        <v>4</v>
      </c>
      <c r="P378" s="552">
        <v>47544</v>
      </c>
      <c r="Q378" s="548">
        <v>0</v>
      </c>
      <c r="R378" s="552">
        <v>0</v>
      </c>
      <c r="S378" s="548">
        <v>0</v>
      </c>
      <c r="T378" s="552">
        <v>0</v>
      </c>
      <c r="U378" s="548">
        <v>4</v>
      </c>
      <c r="V378" s="552">
        <v>47544</v>
      </c>
      <c r="W378" s="552">
        <v>0</v>
      </c>
      <c r="X378" s="552">
        <v>0</v>
      </c>
      <c r="Y378" s="552">
        <v>0</v>
      </c>
      <c r="Z378" s="552">
        <v>0</v>
      </c>
      <c r="AA378" s="552">
        <v>0</v>
      </c>
      <c r="AB378" s="552">
        <v>0</v>
      </c>
      <c r="AC378" s="552">
        <v>0</v>
      </c>
      <c r="AD378" s="552">
        <v>0</v>
      </c>
      <c r="AE378" s="552">
        <v>0</v>
      </c>
      <c r="AF378" s="552">
        <v>0</v>
      </c>
      <c r="AG378" s="552">
        <v>0</v>
      </c>
      <c r="AH378" s="552">
        <v>0</v>
      </c>
      <c r="AI378" s="552">
        <v>0</v>
      </c>
      <c r="AJ378" s="552">
        <v>0</v>
      </c>
    </row>
    <row r="379" spans="1:36" ht="15.95" customHeight="1">
      <c r="A379" s="547"/>
      <c r="B379" s="548">
        <v>734</v>
      </c>
      <c r="C379" s="549">
        <v>7215</v>
      </c>
      <c r="D379" s="550" t="s">
        <v>11878</v>
      </c>
      <c r="E379" s="550" t="s">
        <v>4197</v>
      </c>
      <c r="F379" s="550" t="s">
        <v>4198</v>
      </c>
      <c r="G379" s="550" t="s">
        <v>4199</v>
      </c>
      <c r="H379" s="550" t="s">
        <v>327</v>
      </c>
      <c r="I379" s="550" t="s">
        <v>10</v>
      </c>
      <c r="J379" s="550" t="s">
        <v>4200</v>
      </c>
      <c r="K379" s="551">
        <v>44927</v>
      </c>
      <c r="L379" s="552">
        <v>7600</v>
      </c>
      <c r="M379" s="552">
        <v>7600</v>
      </c>
      <c r="N379" s="552">
        <v>7600</v>
      </c>
      <c r="O379" s="552">
        <v>4238</v>
      </c>
      <c r="P379" s="552">
        <v>32208800</v>
      </c>
      <c r="Q379" s="548">
        <v>0</v>
      </c>
      <c r="R379" s="552">
        <v>0</v>
      </c>
      <c r="S379" s="548">
        <v>4238</v>
      </c>
      <c r="T379" s="552">
        <v>32208800</v>
      </c>
      <c r="U379" s="548">
        <v>0</v>
      </c>
      <c r="V379" s="552">
        <v>0</v>
      </c>
      <c r="W379" s="552">
        <v>0</v>
      </c>
      <c r="X379" s="552">
        <v>0</v>
      </c>
      <c r="Y379" s="552">
        <v>4238</v>
      </c>
      <c r="Z379" s="552">
        <v>32208800</v>
      </c>
      <c r="AA379" s="552">
        <v>4238</v>
      </c>
      <c r="AB379" s="552">
        <v>32208800</v>
      </c>
      <c r="AC379" s="552">
        <v>0</v>
      </c>
      <c r="AD379" s="552">
        <v>0</v>
      </c>
      <c r="AE379" s="552">
        <v>0</v>
      </c>
      <c r="AF379" s="552">
        <v>0</v>
      </c>
      <c r="AG379" s="552">
        <v>0</v>
      </c>
      <c r="AH379" s="552">
        <v>0</v>
      </c>
      <c r="AI379" s="552">
        <v>0</v>
      </c>
      <c r="AJ379" s="552">
        <v>0</v>
      </c>
    </row>
    <row r="380" spans="1:36" ht="15.95" customHeight="1">
      <c r="A380" s="547"/>
      <c r="B380" s="548">
        <v>735</v>
      </c>
      <c r="C380" s="549">
        <v>7215</v>
      </c>
      <c r="D380" s="550" t="s">
        <v>11878</v>
      </c>
      <c r="E380" s="550" t="s">
        <v>4197</v>
      </c>
      <c r="F380" s="550" t="s">
        <v>4198</v>
      </c>
      <c r="G380" s="550" t="s">
        <v>4199</v>
      </c>
      <c r="H380" s="550" t="s">
        <v>327</v>
      </c>
      <c r="I380" s="550" t="s">
        <v>10</v>
      </c>
      <c r="J380" s="550" t="s">
        <v>4201</v>
      </c>
      <c r="K380" s="551">
        <v>44743</v>
      </c>
      <c r="L380" s="552">
        <v>7600</v>
      </c>
      <c r="M380" s="552">
        <v>7600</v>
      </c>
      <c r="N380" s="552">
        <v>7600</v>
      </c>
      <c r="O380" s="552">
        <v>47</v>
      </c>
      <c r="P380" s="552">
        <v>357200</v>
      </c>
      <c r="Q380" s="548">
        <v>0</v>
      </c>
      <c r="R380" s="552">
        <v>0</v>
      </c>
      <c r="S380" s="548">
        <v>31</v>
      </c>
      <c r="T380" s="552">
        <v>235600</v>
      </c>
      <c r="U380" s="548">
        <v>16</v>
      </c>
      <c r="V380" s="552">
        <v>121600</v>
      </c>
      <c r="W380" s="552">
        <v>0</v>
      </c>
      <c r="X380" s="552">
        <v>0</v>
      </c>
      <c r="Y380" s="552">
        <v>0</v>
      </c>
      <c r="Z380" s="552">
        <v>0</v>
      </c>
      <c r="AA380" s="552">
        <v>0</v>
      </c>
      <c r="AB380" s="552">
        <v>0</v>
      </c>
      <c r="AC380" s="552">
        <v>0</v>
      </c>
      <c r="AD380" s="552">
        <v>0</v>
      </c>
      <c r="AE380" s="552">
        <v>0</v>
      </c>
      <c r="AF380" s="552">
        <v>0</v>
      </c>
      <c r="AG380" s="552">
        <v>31</v>
      </c>
      <c r="AH380" s="552">
        <v>235600</v>
      </c>
      <c r="AI380" s="552">
        <v>0</v>
      </c>
      <c r="AJ380" s="552">
        <v>0</v>
      </c>
    </row>
    <row r="381" spans="1:36" ht="15.95" customHeight="1">
      <c r="A381" s="547"/>
      <c r="B381" s="548">
        <v>740</v>
      </c>
      <c r="C381" s="549">
        <v>6722</v>
      </c>
      <c r="D381" s="550" t="s">
        <v>11879</v>
      </c>
      <c r="E381" s="550" t="s">
        <v>4202</v>
      </c>
      <c r="F381" s="550" t="s">
        <v>2004</v>
      </c>
      <c r="G381" s="550" t="s">
        <v>3965</v>
      </c>
      <c r="H381" s="550" t="s">
        <v>2005</v>
      </c>
      <c r="I381" s="550" t="s">
        <v>11</v>
      </c>
      <c r="J381" s="550" t="s">
        <v>11880</v>
      </c>
      <c r="K381" s="551">
        <v>44652</v>
      </c>
      <c r="L381" s="552">
        <v>3585</v>
      </c>
      <c r="M381" s="552">
        <v>3585</v>
      </c>
      <c r="N381" s="552">
        <v>3585</v>
      </c>
      <c r="O381" s="552">
        <v>6126</v>
      </c>
      <c r="P381" s="552">
        <v>21961710</v>
      </c>
      <c r="Q381" s="548">
        <v>6</v>
      </c>
      <c r="R381" s="552">
        <v>21510</v>
      </c>
      <c r="S381" s="548">
        <v>6132</v>
      </c>
      <c r="T381" s="552">
        <v>21983220</v>
      </c>
      <c r="U381" s="548">
        <v>0</v>
      </c>
      <c r="V381" s="552">
        <v>0</v>
      </c>
      <c r="W381" s="552">
        <v>0</v>
      </c>
      <c r="X381" s="552">
        <v>0</v>
      </c>
      <c r="Y381" s="552">
        <v>332</v>
      </c>
      <c r="Z381" s="552">
        <v>1190220</v>
      </c>
      <c r="AA381" s="552">
        <v>0</v>
      </c>
      <c r="AB381" s="552">
        <v>0</v>
      </c>
      <c r="AC381" s="552">
        <v>332</v>
      </c>
      <c r="AD381" s="552">
        <v>1190220</v>
      </c>
      <c r="AE381" s="552">
        <v>0</v>
      </c>
      <c r="AF381" s="552">
        <v>0</v>
      </c>
      <c r="AG381" s="552">
        <v>5800</v>
      </c>
      <c r="AH381" s="552">
        <v>20793000</v>
      </c>
      <c r="AI381" s="552">
        <v>0</v>
      </c>
      <c r="AJ381" s="552">
        <v>0</v>
      </c>
    </row>
    <row r="382" spans="1:36" ht="15.95" customHeight="1">
      <c r="A382" s="547"/>
      <c r="B382" s="548">
        <v>741</v>
      </c>
      <c r="C382" s="549">
        <v>6722</v>
      </c>
      <c r="D382" s="550" t="s">
        <v>11879</v>
      </c>
      <c r="E382" s="550" t="s">
        <v>4202</v>
      </c>
      <c r="F382" s="550" t="s">
        <v>2004</v>
      </c>
      <c r="G382" s="550" t="s">
        <v>3965</v>
      </c>
      <c r="H382" s="550" t="s">
        <v>2005</v>
      </c>
      <c r="I382" s="550" t="s">
        <v>11</v>
      </c>
      <c r="J382" s="550" t="s">
        <v>11881</v>
      </c>
      <c r="K382" s="551">
        <v>44927</v>
      </c>
      <c r="L382" s="552">
        <v>3585</v>
      </c>
      <c r="M382" s="552">
        <v>3585</v>
      </c>
      <c r="N382" s="552">
        <v>3585</v>
      </c>
      <c r="O382" s="552"/>
      <c r="P382" s="552"/>
      <c r="Q382" s="548">
        <v>3000</v>
      </c>
      <c r="R382" s="552">
        <v>10755000</v>
      </c>
      <c r="S382" s="548">
        <v>2953</v>
      </c>
      <c r="T382" s="552">
        <v>10586505</v>
      </c>
      <c r="U382" s="548">
        <v>47</v>
      </c>
      <c r="V382" s="552">
        <v>168495</v>
      </c>
      <c r="W382" s="552">
        <v>0</v>
      </c>
      <c r="X382" s="552">
        <v>0</v>
      </c>
      <c r="Y382" s="552">
        <v>1553</v>
      </c>
      <c r="Z382" s="552">
        <v>5567505</v>
      </c>
      <c r="AA382" s="552">
        <v>0</v>
      </c>
      <c r="AB382" s="552">
        <v>0</v>
      </c>
      <c r="AC382" s="552">
        <v>1553</v>
      </c>
      <c r="AD382" s="552">
        <v>5567505</v>
      </c>
      <c r="AE382" s="552">
        <v>0</v>
      </c>
      <c r="AF382" s="552">
        <v>0</v>
      </c>
      <c r="AG382" s="552">
        <v>1400</v>
      </c>
      <c r="AH382" s="552">
        <v>5019000</v>
      </c>
      <c r="AI382" s="552">
        <v>0</v>
      </c>
      <c r="AJ382" s="552">
        <v>0</v>
      </c>
    </row>
    <row r="383" spans="1:36" ht="15.95" customHeight="1">
      <c r="A383" s="547"/>
      <c r="B383" s="548">
        <v>742</v>
      </c>
      <c r="C383" s="549">
        <v>6722</v>
      </c>
      <c r="D383" s="550" t="s">
        <v>11879</v>
      </c>
      <c r="E383" s="550" t="s">
        <v>4202</v>
      </c>
      <c r="F383" s="550" t="s">
        <v>2004</v>
      </c>
      <c r="G383" s="550" t="s">
        <v>3965</v>
      </c>
      <c r="H383" s="550" t="s">
        <v>2005</v>
      </c>
      <c r="I383" s="550" t="s">
        <v>11</v>
      </c>
      <c r="J383" s="550" t="s">
        <v>11882</v>
      </c>
      <c r="K383" s="551">
        <v>44958</v>
      </c>
      <c r="L383" s="552">
        <v>3585</v>
      </c>
      <c r="M383" s="552">
        <v>3585</v>
      </c>
      <c r="N383" s="552">
        <v>3585</v>
      </c>
      <c r="O383" s="552"/>
      <c r="P383" s="552"/>
      <c r="Q383" s="548">
        <v>12800</v>
      </c>
      <c r="R383" s="552">
        <v>45888000</v>
      </c>
      <c r="S383" s="548">
        <v>30</v>
      </c>
      <c r="T383" s="552">
        <v>107550</v>
      </c>
      <c r="U383" s="548">
        <v>12770</v>
      </c>
      <c r="V383" s="552">
        <v>45780450</v>
      </c>
      <c r="W383" s="552">
        <v>0</v>
      </c>
      <c r="X383" s="552">
        <v>0</v>
      </c>
      <c r="Y383" s="552">
        <v>30</v>
      </c>
      <c r="Z383" s="552">
        <v>107550</v>
      </c>
      <c r="AA383" s="552">
        <v>30</v>
      </c>
      <c r="AB383" s="552">
        <v>107550</v>
      </c>
      <c r="AC383" s="552">
        <v>0</v>
      </c>
      <c r="AD383" s="552">
        <v>0</v>
      </c>
      <c r="AE383" s="552">
        <v>0</v>
      </c>
      <c r="AF383" s="552">
        <v>0</v>
      </c>
      <c r="AG383" s="552">
        <v>0</v>
      </c>
      <c r="AH383" s="552">
        <v>0</v>
      </c>
      <c r="AI383" s="552">
        <v>0</v>
      </c>
      <c r="AJ383" s="552">
        <v>0</v>
      </c>
    </row>
    <row r="384" spans="1:36" ht="15.95" customHeight="1">
      <c r="A384" s="547"/>
      <c r="B384" s="548">
        <v>750</v>
      </c>
      <c r="C384" s="549">
        <v>7609</v>
      </c>
      <c r="D384" s="550" t="s">
        <v>11883</v>
      </c>
      <c r="E384" s="550" t="s">
        <v>7593</v>
      </c>
      <c r="F384" s="550" t="s">
        <v>7594</v>
      </c>
      <c r="G384" s="550" t="s">
        <v>607</v>
      </c>
      <c r="H384" s="550" t="s">
        <v>327</v>
      </c>
      <c r="I384" s="550" t="s">
        <v>11</v>
      </c>
      <c r="J384" s="550" t="s">
        <v>11884</v>
      </c>
      <c r="K384" s="551">
        <v>44865</v>
      </c>
      <c r="L384" s="552">
        <v>2940</v>
      </c>
      <c r="M384" s="552">
        <v>2940</v>
      </c>
      <c r="N384" s="552">
        <v>2940</v>
      </c>
      <c r="O384" s="552">
        <v>4464</v>
      </c>
      <c r="P384" s="552">
        <v>13124160</v>
      </c>
      <c r="Q384" s="548">
        <v>0</v>
      </c>
      <c r="R384" s="552">
        <v>0</v>
      </c>
      <c r="S384" s="548">
        <v>3500</v>
      </c>
      <c r="T384" s="552">
        <v>10290000</v>
      </c>
      <c r="U384" s="548">
        <v>964</v>
      </c>
      <c r="V384" s="552">
        <v>2834160</v>
      </c>
      <c r="W384" s="552">
        <v>0</v>
      </c>
      <c r="X384" s="552">
        <v>0</v>
      </c>
      <c r="Y384" s="552">
        <v>3500</v>
      </c>
      <c r="Z384" s="552">
        <v>10290000</v>
      </c>
      <c r="AA384" s="552">
        <v>3482</v>
      </c>
      <c r="AB384" s="552">
        <v>10237080</v>
      </c>
      <c r="AC384" s="552">
        <v>18</v>
      </c>
      <c r="AD384" s="552">
        <v>52920</v>
      </c>
      <c r="AE384" s="552">
        <v>0</v>
      </c>
      <c r="AF384" s="552">
        <v>0</v>
      </c>
      <c r="AG384" s="552">
        <v>0</v>
      </c>
      <c r="AH384" s="552">
        <v>0</v>
      </c>
      <c r="AI384" s="552">
        <v>0</v>
      </c>
      <c r="AJ384" s="552">
        <v>0</v>
      </c>
    </row>
    <row r="385" spans="1:36" ht="15.95" customHeight="1">
      <c r="A385" s="547"/>
      <c r="B385" s="548">
        <v>751</v>
      </c>
      <c r="C385" s="549">
        <v>7609</v>
      </c>
      <c r="D385" s="550" t="s">
        <v>11883</v>
      </c>
      <c r="E385" s="550" t="s">
        <v>7593</v>
      </c>
      <c r="F385" s="550" t="s">
        <v>7594</v>
      </c>
      <c r="G385" s="550" t="s">
        <v>607</v>
      </c>
      <c r="H385" s="550" t="s">
        <v>327</v>
      </c>
      <c r="I385" s="550" t="s">
        <v>11</v>
      </c>
      <c r="J385" s="550" t="s">
        <v>11885</v>
      </c>
      <c r="K385" s="551">
        <v>44865</v>
      </c>
      <c r="L385" s="552">
        <v>2940</v>
      </c>
      <c r="M385" s="552">
        <v>2940</v>
      </c>
      <c r="N385" s="552">
        <v>2940</v>
      </c>
      <c r="O385" s="552">
        <v>5400</v>
      </c>
      <c r="P385" s="552">
        <v>15876000</v>
      </c>
      <c r="Q385" s="548">
        <v>0</v>
      </c>
      <c r="R385" s="552">
        <v>0</v>
      </c>
      <c r="S385" s="548">
        <v>90</v>
      </c>
      <c r="T385" s="552">
        <v>264600</v>
      </c>
      <c r="U385" s="548">
        <v>5310</v>
      </c>
      <c r="V385" s="552">
        <v>15611400</v>
      </c>
      <c r="W385" s="552">
        <v>0</v>
      </c>
      <c r="X385" s="552">
        <v>0</v>
      </c>
      <c r="Y385" s="552">
        <v>90</v>
      </c>
      <c r="Z385" s="552">
        <v>264600</v>
      </c>
      <c r="AA385" s="552">
        <v>90</v>
      </c>
      <c r="AB385" s="552">
        <v>264600</v>
      </c>
      <c r="AC385" s="552">
        <v>0</v>
      </c>
      <c r="AD385" s="552">
        <v>0</v>
      </c>
      <c r="AE385" s="552">
        <v>0</v>
      </c>
      <c r="AF385" s="552">
        <v>0</v>
      </c>
      <c r="AG385" s="552">
        <v>0</v>
      </c>
      <c r="AH385" s="552">
        <v>0</v>
      </c>
      <c r="AI385" s="552">
        <v>0</v>
      </c>
      <c r="AJ385" s="552">
        <v>0</v>
      </c>
    </row>
    <row r="386" spans="1:36" ht="15.95" customHeight="1">
      <c r="A386" s="547"/>
      <c r="B386" s="548">
        <v>752</v>
      </c>
      <c r="C386" s="549">
        <v>5523</v>
      </c>
      <c r="D386" s="550"/>
      <c r="E386" s="550" t="s">
        <v>4205</v>
      </c>
      <c r="F386" s="550" t="s">
        <v>1366</v>
      </c>
      <c r="G386" s="550" t="s">
        <v>1365</v>
      </c>
      <c r="H386" s="550" t="s">
        <v>310</v>
      </c>
      <c r="I386" s="550" t="s">
        <v>11</v>
      </c>
      <c r="J386" s="550" t="s">
        <v>4206</v>
      </c>
      <c r="K386" s="551">
        <v>44501</v>
      </c>
      <c r="L386" s="552">
        <v>245</v>
      </c>
      <c r="M386" s="552">
        <v>245</v>
      </c>
      <c r="N386" s="552">
        <v>245</v>
      </c>
      <c r="O386" s="552">
        <v>70</v>
      </c>
      <c r="P386" s="552">
        <v>17150</v>
      </c>
      <c r="Q386" s="548">
        <v>0</v>
      </c>
      <c r="R386" s="552">
        <v>0</v>
      </c>
      <c r="S386" s="548">
        <v>70</v>
      </c>
      <c r="T386" s="552">
        <v>17150</v>
      </c>
      <c r="U386" s="548">
        <v>0</v>
      </c>
      <c r="V386" s="552">
        <v>0</v>
      </c>
      <c r="W386" s="552">
        <v>0</v>
      </c>
      <c r="X386" s="552">
        <v>0</v>
      </c>
      <c r="Y386" s="552">
        <v>70</v>
      </c>
      <c r="Z386" s="552">
        <v>17150</v>
      </c>
      <c r="AA386" s="552">
        <v>70</v>
      </c>
      <c r="AB386" s="552">
        <v>17150</v>
      </c>
      <c r="AC386" s="552">
        <v>0</v>
      </c>
      <c r="AD386" s="552">
        <v>0</v>
      </c>
      <c r="AE386" s="552">
        <v>0</v>
      </c>
      <c r="AF386" s="552">
        <v>0</v>
      </c>
      <c r="AG386" s="552">
        <v>0</v>
      </c>
      <c r="AH386" s="552">
        <v>0</v>
      </c>
      <c r="AI386" s="552">
        <v>0</v>
      </c>
      <c r="AJ386" s="552">
        <v>0</v>
      </c>
    </row>
    <row r="387" spans="1:36" ht="15.95" customHeight="1">
      <c r="A387" s="547"/>
      <c r="B387" s="548">
        <v>753</v>
      </c>
      <c r="C387" s="549">
        <v>5523</v>
      </c>
      <c r="D387" s="550"/>
      <c r="E387" s="550" t="s">
        <v>4205</v>
      </c>
      <c r="F387" s="550" t="s">
        <v>1366</v>
      </c>
      <c r="G387" s="550" t="s">
        <v>1365</v>
      </c>
      <c r="H387" s="550" t="s">
        <v>310</v>
      </c>
      <c r="I387" s="550" t="s">
        <v>11</v>
      </c>
      <c r="J387" s="550" t="s">
        <v>4207</v>
      </c>
      <c r="K387" s="551">
        <v>44409</v>
      </c>
      <c r="L387" s="552">
        <v>245</v>
      </c>
      <c r="M387" s="552">
        <v>245</v>
      </c>
      <c r="N387" s="552">
        <v>245</v>
      </c>
      <c r="O387" s="552">
        <v>405</v>
      </c>
      <c r="P387" s="552">
        <v>99225</v>
      </c>
      <c r="Q387" s="548">
        <v>0</v>
      </c>
      <c r="R387" s="552">
        <v>0</v>
      </c>
      <c r="S387" s="548">
        <v>405</v>
      </c>
      <c r="T387" s="552">
        <v>99225</v>
      </c>
      <c r="U387" s="548">
        <v>0</v>
      </c>
      <c r="V387" s="552">
        <v>0</v>
      </c>
      <c r="W387" s="552">
        <v>0</v>
      </c>
      <c r="X387" s="552">
        <v>0</v>
      </c>
      <c r="Y387" s="552">
        <v>405</v>
      </c>
      <c r="Z387" s="552">
        <v>99225</v>
      </c>
      <c r="AA387" s="552">
        <v>396</v>
      </c>
      <c r="AB387" s="552">
        <v>97020</v>
      </c>
      <c r="AC387" s="552">
        <v>9</v>
      </c>
      <c r="AD387" s="552">
        <v>2205</v>
      </c>
      <c r="AE387" s="552">
        <v>0</v>
      </c>
      <c r="AF387" s="552">
        <v>0</v>
      </c>
      <c r="AG387" s="552">
        <v>0</v>
      </c>
      <c r="AH387" s="552">
        <v>0</v>
      </c>
      <c r="AI387" s="552">
        <v>0</v>
      </c>
      <c r="AJ387" s="552">
        <v>0</v>
      </c>
    </row>
    <row r="388" spans="1:36" ht="15.95" customHeight="1">
      <c r="A388" s="547"/>
      <c r="B388" s="548">
        <v>757</v>
      </c>
      <c r="C388" s="549">
        <v>7217</v>
      </c>
      <c r="D388" s="550" t="s">
        <v>11886</v>
      </c>
      <c r="E388" s="550" t="s">
        <v>4209</v>
      </c>
      <c r="F388" s="550" t="s">
        <v>4210</v>
      </c>
      <c r="G388" s="550" t="s">
        <v>882</v>
      </c>
      <c r="H388" s="550" t="s">
        <v>1580</v>
      </c>
      <c r="I388" s="550" t="s">
        <v>10</v>
      </c>
      <c r="J388" s="550" t="s">
        <v>4211</v>
      </c>
      <c r="K388" s="551">
        <v>44610</v>
      </c>
      <c r="L388" s="552">
        <v>659</v>
      </c>
      <c r="M388" s="552">
        <v>659</v>
      </c>
      <c r="N388" s="552">
        <v>659</v>
      </c>
      <c r="O388" s="552">
        <v>5854</v>
      </c>
      <c r="P388" s="552">
        <v>3857786</v>
      </c>
      <c r="Q388" s="548">
        <v>3</v>
      </c>
      <c r="R388" s="552">
        <v>1977</v>
      </c>
      <c r="S388" s="548">
        <v>5784</v>
      </c>
      <c r="T388" s="552">
        <v>3811656</v>
      </c>
      <c r="U388" s="548">
        <v>73</v>
      </c>
      <c r="V388" s="552">
        <v>48107</v>
      </c>
      <c r="W388" s="552">
        <v>0</v>
      </c>
      <c r="X388" s="552">
        <v>0</v>
      </c>
      <c r="Y388" s="552">
        <v>5777</v>
      </c>
      <c r="Z388" s="552">
        <v>3807043</v>
      </c>
      <c r="AA388" s="552">
        <v>5577</v>
      </c>
      <c r="AB388" s="552">
        <v>3675243</v>
      </c>
      <c r="AC388" s="552">
        <v>200</v>
      </c>
      <c r="AD388" s="552">
        <v>131800</v>
      </c>
      <c r="AE388" s="552">
        <v>0</v>
      </c>
      <c r="AF388" s="552">
        <v>0</v>
      </c>
      <c r="AG388" s="552">
        <v>7</v>
      </c>
      <c r="AH388" s="552">
        <v>4613</v>
      </c>
      <c r="AI388" s="552">
        <v>0</v>
      </c>
      <c r="AJ388" s="552">
        <v>0</v>
      </c>
    </row>
    <row r="389" spans="1:36" ht="15.95" customHeight="1">
      <c r="A389" s="547"/>
      <c r="B389" s="548">
        <v>758</v>
      </c>
      <c r="C389" s="549">
        <v>7217</v>
      </c>
      <c r="D389" s="550" t="s">
        <v>11886</v>
      </c>
      <c r="E389" s="550" t="s">
        <v>4209</v>
      </c>
      <c r="F389" s="550" t="s">
        <v>4210</v>
      </c>
      <c r="G389" s="550" t="s">
        <v>882</v>
      </c>
      <c r="H389" s="550" t="s">
        <v>1580</v>
      </c>
      <c r="I389" s="550" t="s">
        <v>10</v>
      </c>
      <c r="J389" s="550" t="s">
        <v>11887</v>
      </c>
      <c r="K389" s="551">
        <v>44957</v>
      </c>
      <c r="L389" s="552">
        <v>659</v>
      </c>
      <c r="M389" s="552">
        <v>659</v>
      </c>
      <c r="N389" s="552">
        <v>659</v>
      </c>
      <c r="O389" s="552"/>
      <c r="P389" s="552"/>
      <c r="Q389" s="548">
        <v>19980</v>
      </c>
      <c r="R389" s="552">
        <v>13166820</v>
      </c>
      <c r="S389" s="548">
        <v>8790</v>
      </c>
      <c r="T389" s="552">
        <v>5792610</v>
      </c>
      <c r="U389" s="548">
        <v>11190</v>
      </c>
      <c r="V389" s="552">
        <v>7374210</v>
      </c>
      <c r="W389" s="552">
        <v>0</v>
      </c>
      <c r="X389" s="552">
        <v>0</v>
      </c>
      <c r="Y389" s="552">
        <v>8790</v>
      </c>
      <c r="Z389" s="552">
        <v>5792610</v>
      </c>
      <c r="AA389" s="552">
        <v>8790</v>
      </c>
      <c r="AB389" s="552">
        <v>5792610</v>
      </c>
      <c r="AC389" s="552">
        <v>0</v>
      </c>
      <c r="AD389" s="552">
        <v>0</v>
      </c>
      <c r="AE389" s="552">
        <v>0</v>
      </c>
      <c r="AF389" s="552">
        <v>0</v>
      </c>
      <c r="AG389" s="552">
        <v>0</v>
      </c>
      <c r="AH389" s="552">
        <v>0</v>
      </c>
      <c r="AI389" s="552">
        <v>0</v>
      </c>
      <c r="AJ389" s="552">
        <v>0</v>
      </c>
    </row>
    <row r="390" spans="1:36" ht="15.95" customHeight="1">
      <c r="A390" s="547"/>
      <c r="B390" s="548">
        <v>759</v>
      </c>
      <c r="C390" s="549">
        <v>7217</v>
      </c>
      <c r="D390" s="550" t="s">
        <v>11886</v>
      </c>
      <c r="E390" s="550" t="s">
        <v>4209</v>
      </c>
      <c r="F390" s="550" t="s">
        <v>4210</v>
      </c>
      <c r="G390" s="550" t="s">
        <v>882</v>
      </c>
      <c r="H390" s="550" t="s">
        <v>1580</v>
      </c>
      <c r="I390" s="550" t="s">
        <v>10</v>
      </c>
      <c r="J390" s="550" t="s">
        <v>4212</v>
      </c>
      <c r="K390" s="551">
        <v>44443</v>
      </c>
      <c r="L390" s="552">
        <v>659</v>
      </c>
      <c r="M390" s="552">
        <v>659</v>
      </c>
      <c r="N390" s="552">
        <v>659</v>
      </c>
      <c r="O390" s="552">
        <v>75</v>
      </c>
      <c r="P390" s="552">
        <v>49425</v>
      </c>
      <c r="Q390" s="548">
        <v>1</v>
      </c>
      <c r="R390" s="552">
        <v>659</v>
      </c>
      <c r="S390" s="548">
        <v>76</v>
      </c>
      <c r="T390" s="552">
        <v>50084</v>
      </c>
      <c r="U390" s="548">
        <v>0</v>
      </c>
      <c r="V390" s="552">
        <v>0</v>
      </c>
      <c r="W390" s="552">
        <v>0</v>
      </c>
      <c r="X390" s="552">
        <v>0</v>
      </c>
      <c r="Y390" s="552">
        <v>76</v>
      </c>
      <c r="Z390" s="552">
        <v>50084</v>
      </c>
      <c r="AA390" s="552">
        <v>0</v>
      </c>
      <c r="AB390" s="552">
        <v>0</v>
      </c>
      <c r="AC390" s="552">
        <v>76</v>
      </c>
      <c r="AD390" s="552">
        <v>50084</v>
      </c>
      <c r="AE390" s="552">
        <v>0</v>
      </c>
      <c r="AF390" s="552">
        <v>0</v>
      </c>
      <c r="AG390" s="552">
        <v>0</v>
      </c>
      <c r="AH390" s="552">
        <v>0</v>
      </c>
      <c r="AI390" s="552">
        <v>0</v>
      </c>
      <c r="AJ390" s="552">
        <v>0</v>
      </c>
    </row>
    <row r="391" spans="1:36" ht="15.95" customHeight="1">
      <c r="A391" s="547"/>
      <c r="B391" s="548">
        <v>760</v>
      </c>
      <c r="C391" s="549">
        <v>6841</v>
      </c>
      <c r="D391" s="550" t="s">
        <v>11888</v>
      </c>
      <c r="E391" s="550" t="s">
        <v>4178</v>
      </c>
      <c r="F391" s="550" t="s">
        <v>4213</v>
      </c>
      <c r="G391" s="550" t="s">
        <v>4214</v>
      </c>
      <c r="H391" s="550" t="s">
        <v>4215</v>
      </c>
      <c r="I391" s="550" t="s">
        <v>4139</v>
      </c>
      <c r="J391" s="550" t="s">
        <v>11889</v>
      </c>
      <c r="K391" s="551">
        <v>44593</v>
      </c>
      <c r="L391" s="552">
        <v>227850</v>
      </c>
      <c r="M391" s="552">
        <v>227850</v>
      </c>
      <c r="N391" s="552">
        <v>227850</v>
      </c>
      <c r="O391" s="552">
        <v>747</v>
      </c>
      <c r="P391" s="552">
        <v>170203950</v>
      </c>
      <c r="Q391" s="548">
        <v>500</v>
      </c>
      <c r="R391" s="552">
        <v>113925000</v>
      </c>
      <c r="S391" s="548">
        <v>1247</v>
      </c>
      <c r="T391" s="552">
        <v>284128950</v>
      </c>
      <c r="U391" s="548">
        <v>0</v>
      </c>
      <c r="V391" s="552">
        <v>0</v>
      </c>
      <c r="W391" s="552">
        <v>0</v>
      </c>
      <c r="X391" s="552">
        <v>0</v>
      </c>
      <c r="Y391" s="552">
        <v>1247</v>
      </c>
      <c r="Z391" s="552">
        <v>284128950</v>
      </c>
      <c r="AA391" s="552">
        <v>1226</v>
      </c>
      <c r="AB391" s="552">
        <v>279344100</v>
      </c>
      <c r="AC391" s="552">
        <v>21</v>
      </c>
      <c r="AD391" s="552">
        <v>4784850</v>
      </c>
      <c r="AE391" s="552">
        <v>0</v>
      </c>
      <c r="AF391" s="552">
        <v>0</v>
      </c>
      <c r="AG391" s="552">
        <v>0</v>
      </c>
      <c r="AH391" s="552">
        <v>0</v>
      </c>
      <c r="AI391" s="552">
        <v>0</v>
      </c>
      <c r="AJ391" s="552">
        <v>0</v>
      </c>
    </row>
    <row r="392" spans="1:36" ht="15.95" customHeight="1">
      <c r="A392" s="547"/>
      <c r="B392" s="548">
        <v>761</v>
      </c>
      <c r="C392" s="549">
        <v>6841</v>
      </c>
      <c r="D392" s="550" t="s">
        <v>11888</v>
      </c>
      <c r="E392" s="550" t="s">
        <v>4178</v>
      </c>
      <c r="F392" s="550" t="s">
        <v>4213</v>
      </c>
      <c r="G392" s="550" t="s">
        <v>4214</v>
      </c>
      <c r="H392" s="550" t="s">
        <v>4215</v>
      </c>
      <c r="I392" s="550" t="s">
        <v>4139</v>
      </c>
      <c r="J392" s="550" t="s">
        <v>11890</v>
      </c>
      <c r="K392" s="551">
        <v>44866</v>
      </c>
      <c r="L392" s="552">
        <v>227850</v>
      </c>
      <c r="M392" s="552">
        <v>227850</v>
      </c>
      <c r="N392" s="552">
        <v>227850</v>
      </c>
      <c r="O392" s="552"/>
      <c r="P392" s="552"/>
      <c r="Q392" s="548">
        <v>3000</v>
      </c>
      <c r="R392" s="552">
        <v>683550000</v>
      </c>
      <c r="S392" s="548">
        <v>1109</v>
      </c>
      <c r="T392" s="552">
        <v>252685650</v>
      </c>
      <c r="U392" s="548">
        <v>1891</v>
      </c>
      <c r="V392" s="552">
        <v>430864350</v>
      </c>
      <c r="W392" s="552">
        <v>3</v>
      </c>
      <c r="X392" s="552">
        <v>683550</v>
      </c>
      <c r="Y392" s="552">
        <v>1109</v>
      </c>
      <c r="Z392" s="552">
        <v>252685650</v>
      </c>
      <c r="AA392" s="552">
        <v>1098</v>
      </c>
      <c r="AB392" s="552">
        <v>250179300</v>
      </c>
      <c r="AC392" s="552">
        <v>11</v>
      </c>
      <c r="AD392" s="552">
        <v>2506350</v>
      </c>
      <c r="AE392" s="552">
        <v>0</v>
      </c>
      <c r="AF392" s="552">
        <v>0</v>
      </c>
      <c r="AG392" s="552">
        <v>0</v>
      </c>
      <c r="AH392" s="552">
        <v>0</v>
      </c>
      <c r="AI392" s="552">
        <v>0</v>
      </c>
      <c r="AJ392" s="552">
        <v>0</v>
      </c>
    </row>
    <row r="393" spans="1:36" ht="15.95" customHeight="1">
      <c r="A393" s="547"/>
      <c r="B393" s="548">
        <v>762</v>
      </c>
      <c r="C393" s="549">
        <v>6842</v>
      </c>
      <c r="D393" s="550" t="s">
        <v>11891</v>
      </c>
      <c r="E393" s="550" t="s">
        <v>4216</v>
      </c>
      <c r="F393" s="550" t="s">
        <v>4213</v>
      </c>
      <c r="G393" s="550" t="s">
        <v>4214</v>
      </c>
      <c r="H393" s="550" t="s">
        <v>4215</v>
      </c>
      <c r="I393" s="550" t="s">
        <v>4139</v>
      </c>
      <c r="J393" s="550" t="s">
        <v>11892</v>
      </c>
      <c r="K393" s="551">
        <v>44805</v>
      </c>
      <c r="L393" s="552">
        <v>227850</v>
      </c>
      <c r="M393" s="552">
        <v>227850</v>
      </c>
      <c r="N393" s="552">
        <v>227850</v>
      </c>
      <c r="O393" s="552"/>
      <c r="P393" s="552"/>
      <c r="Q393" s="548">
        <v>1000</v>
      </c>
      <c r="R393" s="552">
        <v>227850000</v>
      </c>
      <c r="S393" s="548">
        <v>999</v>
      </c>
      <c r="T393" s="552">
        <v>227622150</v>
      </c>
      <c r="U393" s="548">
        <v>1</v>
      </c>
      <c r="V393" s="552">
        <v>227850</v>
      </c>
      <c r="W393" s="552">
        <v>0</v>
      </c>
      <c r="X393" s="552">
        <v>0</v>
      </c>
      <c r="Y393" s="552">
        <v>999</v>
      </c>
      <c r="Z393" s="552">
        <v>227622150</v>
      </c>
      <c r="AA393" s="552">
        <v>995</v>
      </c>
      <c r="AB393" s="552">
        <v>226710750</v>
      </c>
      <c r="AC393" s="552">
        <v>4</v>
      </c>
      <c r="AD393" s="552">
        <v>911400</v>
      </c>
      <c r="AE393" s="552">
        <v>0</v>
      </c>
      <c r="AF393" s="552">
        <v>0</v>
      </c>
      <c r="AG393" s="552">
        <v>0</v>
      </c>
      <c r="AH393" s="552">
        <v>0</v>
      </c>
      <c r="AI393" s="552">
        <v>0</v>
      </c>
      <c r="AJ393" s="552">
        <v>0</v>
      </c>
    </row>
    <row r="394" spans="1:36" ht="15.95" customHeight="1">
      <c r="A394" s="547"/>
      <c r="B394" s="548">
        <v>768</v>
      </c>
      <c r="C394" s="549">
        <v>6945</v>
      </c>
      <c r="D394" s="550" t="s">
        <v>11893</v>
      </c>
      <c r="E394" s="550" t="s">
        <v>7860</v>
      </c>
      <c r="F394" s="550" t="s">
        <v>7861</v>
      </c>
      <c r="G394" s="550" t="s">
        <v>747</v>
      </c>
      <c r="H394" s="550" t="s">
        <v>7060</v>
      </c>
      <c r="I394" s="550" t="s">
        <v>15</v>
      </c>
      <c r="J394" s="550" t="s">
        <v>11894</v>
      </c>
      <c r="K394" s="551">
        <v>45443</v>
      </c>
      <c r="L394" s="552">
        <v>9345</v>
      </c>
      <c r="M394" s="552">
        <v>9345</v>
      </c>
      <c r="N394" s="552">
        <v>9345</v>
      </c>
      <c r="O394" s="552"/>
      <c r="P394" s="552"/>
      <c r="Q394" s="548">
        <v>96</v>
      </c>
      <c r="R394" s="552">
        <v>897120</v>
      </c>
      <c r="S394" s="548">
        <v>40</v>
      </c>
      <c r="T394" s="552">
        <v>373800</v>
      </c>
      <c r="U394" s="548">
        <v>56</v>
      </c>
      <c r="V394" s="552">
        <v>523320</v>
      </c>
      <c r="W394" s="552">
        <v>0</v>
      </c>
      <c r="X394" s="552">
        <v>0</v>
      </c>
      <c r="Y394" s="552">
        <v>5</v>
      </c>
      <c r="Z394" s="552">
        <v>46725</v>
      </c>
      <c r="AA394" s="552">
        <v>0</v>
      </c>
      <c r="AB394" s="552">
        <v>0</v>
      </c>
      <c r="AC394" s="552">
        <v>5</v>
      </c>
      <c r="AD394" s="552">
        <v>46725</v>
      </c>
      <c r="AE394" s="552">
        <v>0</v>
      </c>
      <c r="AF394" s="552">
        <v>0</v>
      </c>
      <c r="AG394" s="552">
        <v>35</v>
      </c>
      <c r="AH394" s="552">
        <v>327075</v>
      </c>
      <c r="AI394" s="552">
        <v>0</v>
      </c>
      <c r="AJ394" s="552">
        <v>0</v>
      </c>
    </row>
    <row r="395" spans="1:36" ht="15.95" customHeight="1">
      <c r="A395" s="547"/>
      <c r="B395" s="548">
        <v>769</v>
      </c>
      <c r="C395" s="549">
        <v>6945</v>
      </c>
      <c r="D395" s="550" t="s">
        <v>11893</v>
      </c>
      <c r="E395" s="550" t="s">
        <v>7860</v>
      </c>
      <c r="F395" s="550" t="s">
        <v>7861</v>
      </c>
      <c r="G395" s="550" t="s">
        <v>747</v>
      </c>
      <c r="H395" s="550" t="s">
        <v>7060</v>
      </c>
      <c r="I395" s="550" t="s">
        <v>15</v>
      </c>
      <c r="J395" s="550" t="s">
        <v>11895</v>
      </c>
      <c r="K395" s="551">
        <v>45445</v>
      </c>
      <c r="L395" s="552">
        <v>9345</v>
      </c>
      <c r="M395" s="552">
        <v>9345</v>
      </c>
      <c r="N395" s="552">
        <v>9345</v>
      </c>
      <c r="O395" s="552"/>
      <c r="P395" s="552"/>
      <c r="Q395" s="548">
        <v>197</v>
      </c>
      <c r="R395" s="552">
        <v>1840965</v>
      </c>
      <c r="S395" s="548">
        <v>0</v>
      </c>
      <c r="T395" s="552">
        <v>0</v>
      </c>
      <c r="U395" s="548">
        <v>197</v>
      </c>
      <c r="V395" s="552">
        <v>1840965</v>
      </c>
      <c r="W395" s="552">
        <v>0</v>
      </c>
      <c r="X395" s="552">
        <v>0</v>
      </c>
      <c r="Y395" s="552">
        <v>0</v>
      </c>
      <c r="Z395" s="552">
        <v>0</v>
      </c>
      <c r="AA395" s="552">
        <v>0</v>
      </c>
      <c r="AB395" s="552">
        <v>0</v>
      </c>
      <c r="AC395" s="552">
        <v>0</v>
      </c>
      <c r="AD395" s="552">
        <v>0</v>
      </c>
      <c r="AE395" s="552">
        <v>0</v>
      </c>
      <c r="AF395" s="552">
        <v>0</v>
      </c>
      <c r="AG395" s="552">
        <v>0</v>
      </c>
      <c r="AH395" s="552">
        <v>0</v>
      </c>
      <c r="AI395" s="552">
        <v>0</v>
      </c>
      <c r="AJ395" s="552">
        <v>0</v>
      </c>
    </row>
    <row r="396" spans="1:36" ht="15.95" customHeight="1">
      <c r="A396" s="547"/>
      <c r="B396" s="548">
        <v>770</v>
      </c>
      <c r="C396" s="549">
        <v>6945</v>
      </c>
      <c r="D396" s="550" t="s">
        <v>11893</v>
      </c>
      <c r="E396" s="550" t="s">
        <v>7860</v>
      </c>
      <c r="F396" s="550" t="s">
        <v>7861</v>
      </c>
      <c r="G396" s="550" t="s">
        <v>747</v>
      </c>
      <c r="H396" s="550" t="s">
        <v>7060</v>
      </c>
      <c r="I396" s="550" t="s">
        <v>15</v>
      </c>
      <c r="J396" s="550" t="s">
        <v>11896</v>
      </c>
      <c r="K396" s="551">
        <v>45234</v>
      </c>
      <c r="L396" s="552">
        <v>9345</v>
      </c>
      <c r="M396" s="552">
        <v>9345</v>
      </c>
      <c r="N396" s="552">
        <v>9345</v>
      </c>
      <c r="O396" s="552">
        <v>48</v>
      </c>
      <c r="P396" s="552">
        <v>448560</v>
      </c>
      <c r="Q396" s="548">
        <v>1</v>
      </c>
      <c r="R396" s="552">
        <v>9345</v>
      </c>
      <c r="S396" s="548">
        <v>34</v>
      </c>
      <c r="T396" s="552">
        <v>317730</v>
      </c>
      <c r="U396" s="548">
        <v>15</v>
      </c>
      <c r="V396" s="552">
        <v>140175</v>
      </c>
      <c r="W396" s="552">
        <v>0</v>
      </c>
      <c r="X396" s="552">
        <v>0</v>
      </c>
      <c r="Y396" s="552">
        <v>17</v>
      </c>
      <c r="Z396" s="552">
        <v>158865</v>
      </c>
      <c r="AA396" s="552">
        <v>0</v>
      </c>
      <c r="AB396" s="552">
        <v>0</v>
      </c>
      <c r="AC396" s="552">
        <v>17</v>
      </c>
      <c r="AD396" s="552">
        <v>158865</v>
      </c>
      <c r="AE396" s="552">
        <v>0</v>
      </c>
      <c r="AF396" s="552">
        <v>0</v>
      </c>
      <c r="AG396" s="552">
        <v>32</v>
      </c>
      <c r="AH396" s="552">
        <v>299040</v>
      </c>
      <c r="AI396" s="552">
        <v>0</v>
      </c>
      <c r="AJ396" s="552">
        <v>0</v>
      </c>
    </row>
    <row r="397" spans="1:36" ht="15.95" customHeight="1">
      <c r="A397" s="547"/>
      <c r="B397" s="548">
        <v>776</v>
      </c>
      <c r="C397" s="549">
        <v>6965</v>
      </c>
      <c r="D397" s="550" t="s">
        <v>11897</v>
      </c>
      <c r="E397" s="550" t="s">
        <v>4217</v>
      </c>
      <c r="F397" s="550" t="s">
        <v>2147</v>
      </c>
      <c r="G397" s="550" t="s">
        <v>392</v>
      </c>
      <c r="H397" s="550" t="s">
        <v>267</v>
      </c>
      <c r="I397" s="550" t="s">
        <v>658</v>
      </c>
      <c r="J397" s="550" t="s">
        <v>4218</v>
      </c>
      <c r="K397" s="551">
        <v>44899</v>
      </c>
      <c r="L397" s="552">
        <v>19600</v>
      </c>
      <c r="M397" s="552">
        <v>19600</v>
      </c>
      <c r="N397" s="552">
        <v>19600</v>
      </c>
      <c r="O397" s="552">
        <v>227</v>
      </c>
      <c r="P397" s="552">
        <v>4449200</v>
      </c>
      <c r="Q397" s="548">
        <v>5</v>
      </c>
      <c r="R397" s="552">
        <v>98000</v>
      </c>
      <c r="S397" s="548">
        <v>230</v>
      </c>
      <c r="T397" s="552">
        <v>4508000</v>
      </c>
      <c r="U397" s="548">
        <v>2</v>
      </c>
      <c r="V397" s="552">
        <v>39200</v>
      </c>
      <c r="W397" s="552">
        <v>0</v>
      </c>
      <c r="X397" s="552">
        <v>0</v>
      </c>
      <c r="Y397" s="552">
        <v>230</v>
      </c>
      <c r="Z397" s="552">
        <v>4508000</v>
      </c>
      <c r="AA397" s="552">
        <v>0</v>
      </c>
      <c r="AB397" s="552">
        <v>0</v>
      </c>
      <c r="AC397" s="552">
        <v>230</v>
      </c>
      <c r="AD397" s="552">
        <v>4508000</v>
      </c>
      <c r="AE397" s="552">
        <v>0</v>
      </c>
      <c r="AF397" s="552">
        <v>0</v>
      </c>
      <c r="AG397" s="552">
        <v>0</v>
      </c>
      <c r="AH397" s="552">
        <v>0</v>
      </c>
      <c r="AI397" s="552">
        <v>0</v>
      </c>
      <c r="AJ397" s="552">
        <v>0</v>
      </c>
    </row>
    <row r="398" spans="1:36" ht="15.95" customHeight="1">
      <c r="A398" s="547"/>
      <c r="B398" s="548">
        <v>777</v>
      </c>
      <c r="C398" s="549">
        <v>6965</v>
      </c>
      <c r="D398" s="550" t="s">
        <v>11897</v>
      </c>
      <c r="E398" s="550" t="s">
        <v>4217</v>
      </c>
      <c r="F398" s="550" t="s">
        <v>2147</v>
      </c>
      <c r="G398" s="550" t="s">
        <v>392</v>
      </c>
      <c r="H398" s="550" t="s">
        <v>267</v>
      </c>
      <c r="I398" s="550" t="s">
        <v>658</v>
      </c>
      <c r="J398" s="550" t="s">
        <v>11898</v>
      </c>
      <c r="K398" s="551">
        <v>44904</v>
      </c>
      <c r="L398" s="552">
        <v>19600</v>
      </c>
      <c r="M398" s="552">
        <v>19600</v>
      </c>
      <c r="N398" s="552">
        <v>19600</v>
      </c>
      <c r="O398" s="552"/>
      <c r="P398" s="552"/>
      <c r="Q398" s="548">
        <v>100</v>
      </c>
      <c r="R398" s="552">
        <v>1960000</v>
      </c>
      <c r="S398" s="548">
        <v>46</v>
      </c>
      <c r="T398" s="552">
        <v>901600</v>
      </c>
      <c r="U398" s="548">
        <v>54</v>
      </c>
      <c r="V398" s="552">
        <v>1058400</v>
      </c>
      <c r="W398" s="552">
        <v>0</v>
      </c>
      <c r="X398" s="552">
        <v>0</v>
      </c>
      <c r="Y398" s="552">
        <v>46</v>
      </c>
      <c r="Z398" s="552">
        <v>901600</v>
      </c>
      <c r="AA398" s="552">
        <v>0</v>
      </c>
      <c r="AB398" s="552">
        <v>0</v>
      </c>
      <c r="AC398" s="552">
        <v>46</v>
      </c>
      <c r="AD398" s="552">
        <v>901600</v>
      </c>
      <c r="AE398" s="552">
        <v>0</v>
      </c>
      <c r="AF398" s="552">
        <v>0</v>
      </c>
      <c r="AG398" s="552">
        <v>0</v>
      </c>
      <c r="AH398" s="552">
        <v>0</v>
      </c>
      <c r="AI398" s="552">
        <v>0</v>
      </c>
      <c r="AJ398" s="552">
        <v>0</v>
      </c>
    </row>
    <row r="399" spans="1:36" ht="15.95" customHeight="1">
      <c r="A399" s="547"/>
      <c r="B399" s="548">
        <v>778</v>
      </c>
      <c r="C399" s="549">
        <v>6964</v>
      </c>
      <c r="D399" s="550" t="s">
        <v>11899</v>
      </c>
      <c r="E399" s="550" t="s">
        <v>4219</v>
      </c>
      <c r="F399" s="550" t="s">
        <v>913</v>
      </c>
      <c r="G399" s="550" t="s">
        <v>4220</v>
      </c>
      <c r="H399" s="550" t="s">
        <v>4221</v>
      </c>
      <c r="I399" s="550" t="s">
        <v>520</v>
      </c>
      <c r="J399" s="550" t="s">
        <v>4222</v>
      </c>
      <c r="K399" s="551">
        <v>45012</v>
      </c>
      <c r="L399" s="552">
        <v>88788</v>
      </c>
      <c r="M399" s="552">
        <v>88788</v>
      </c>
      <c r="N399" s="552">
        <v>88788</v>
      </c>
      <c r="O399" s="552">
        <v>18</v>
      </c>
      <c r="P399" s="552">
        <v>1598184</v>
      </c>
      <c r="Q399" s="548">
        <v>0</v>
      </c>
      <c r="R399" s="552">
        <v>0</v>
      </c>
      <c r="S399" s="548">
        <v>18</v>
      </c>
      <c r="T399" s="552">
        <v>1598184</v>
      </c>
      <c r="U399" s="548">
        <v>0</v>
      </c>
      <c r="V399" s="552">
        <v>0</v>
      </c>
      <c r="W399" s="552">
        <v>0</v>
      </c>
      <c r="X399" s="552">
        <v>0</v>
      </c>
      <c r="Y399" s="552">
        <v>0</v>
      </c>
      <c r="Z399" s="552">
        <v>0</v>
      </c>
      <c r="AA399" s="552">
        <v>0</v>
      </c>
      <c r="AB399" s="552">
        <v>0</v>
      </c>
      <c r="AC399" s="552">
        <v>0</v>
      </c>
      <c r="AD399" s="552">
        <v>0</v>
      </c>
      <c r="AE399" s="552">
        <v>0</v>
      </c>
      <c r="AF399" s="552">
        <v>0</v>
      </c>
      <c r="AG399" s="552">
        <v>18</v>
      </c>
      <c r="AH399" s="552">
        <v>1598184</v>
      </c>
      <c r="AI399" s="552">
        <v>0</v>
      </c>
      <c r="AJ399" s="552">
        <v>0</v>
      </c>
    </row>
    <row r="400" spans="1:36" ht="15.95" customHeight="1">
      <c r="A400" s="547"/>
      <c r="B400" s="548">
        <v>779</v>
      </c>
      <c r="C400" s="549">
        <v>6966</v>
      </c>
      <c r="D400" s="550" t="s">
        <v>11900</v>
      </c>
      <c r="E400" s="550" t="s">
        <v>6238</v>
      </c>
      <c r="F400" s="550" t="s">
        <v>2533</v>
      </c>
      <c r="G400" s="550" t="s">
        <v>392</v>
      </c>
      <c r="H400" s="550" t="s">
        <v>267</v>
      </c>
      <c r="I400" s="550" t="s">
        <v>658</v>
      </c>
      <c r="J400" s="550" t="s">
        <v>11901</v>
      </c>
      <c r="K400" s="551">
        <v>45046</v>
      </c>
      <c r="L400" s="552">
        <v>34950</v>
      </c>
      <c r="M400" s="552">
        <v>34950</v>
      </c>
      <c r="N400" s="552">
        <v>34950</v>
      </c>
      <c r="O400" s="552"/>
      <c r="P400" s="552"/>
      <c r="Q400" s="548">
        <v>100</v>
      </c>
      <c r="R400" s="552">
        <v>3495000</v>
      </c>
      <c r="S400" s="548">
        <v>0</v>
      </c>
      <c r="T400" s="552">
        <v>0</v>
      </c>
      <c r="U400" s="548">
        <v>100</v>
      </c>
      <c r="V400" s="552">
        <v>3495000</v>
      </c>
      <c r="W400" s="552">
        <v>0</v>
      </c>
      <c r="X400" s="552">
        <v>0</v>
      </c>
      <c r="Y400" s="552">
        <v>0</v>
      </c>
      <c r="Z400" s="552">
        <v>0</v>
      </c>
      <c r="AA400" s="552">
        <v>0</v>
      </c>
      <c r="AB400" s="552">
        <v>0</v>
      </c>
      <c r="AC400" s="552">
        <v>0</v>
      </c>
      <c r="AD400" s="552">
        <v>0</v>
      </c>
      <c r="AE400" s="552">
        <v>0</v>
      </c>
      <c r="AF400" s="552">
        <v>0</v>
      </c>
      <c r="AG400" s="552">
        <v>0</v>
      </c>
      <c r="AH400" s="552">
        <v>0</v>
      </c>
      <c r="AI400" s="552">
        <v>0</v>
      </c>
      <c r="AJ400" s="552">
        <v>0</v>
      </c>
    </row>
    <row r="401" spans="1:36" ht="15.95" customHeight="1">
      <c r="A401" s="547"/>
      <c r="B401" s="548">
        <v>782</v>
      </c>
      <c r="C401" s="549">
        <v>5714</v>
      </c>
      <c r="D401" s="550"/>
      <c r="E401" s="550" t="s">
        <v>4223</v>
      </c>
      <c r="F401" s="550" t="s">
        <v>1559</v>
      </c>
      <c r="G401" s="550" t="s">
        <v>2535</v>
      </c>
      <c r="H401" s="550" t="s">
        <v>4224</v>
      </c>
      <c r="I401" s="550" t="s">
        <v>12</v>
      </c>
      <c r="J401" s="550" t="s">
        <v>4225</v>
      </c>
      <c r="K401" s="551">
        <v>44154</v>
      </c>
      <c r="L401" s="552">
        <v>2800</v>
      </c>
      <c r="M401" s="552">
        <v>2800</v>
      </c>
      <c r="N401" s="552">
        <v>2800</v>
      </c>
      <c r="O401" s="552">
        <v>5</v>
      </c>
      <c r="P401" s="552">
        <v>14000</v>
      </c>
      <c r="Q401" s="548">
        <v>0</v>
      </c>
      <c r="R401" s="552">
        <v>0</v>
      </c>
      <c r="S401" s="548">
        <v>5</v>
      </c>
      <c r="T401" s="552">
        <v>14000</v>
      </c>
      <c r="U401" s="548">
        <v>0</v>
      </c>
      <c r="V401" s="552">
        <v>0</v>
      </c>
      <c r="W401" s="552">
        <v>0</v>
      </c>
      <c r="X401" s="552">
        <v>0</v>
      </c>
      <c r="Y401" s="552">
        <v>0</v>
      </c>
      <c r="Z401" s="552">
        <v>0</v>
      </c>
      <c r="AA401" s="552">
        <v>0</v>
      </c>
      <c r="AB401" s="552">
        <v>0</v>
      </c>
      <c r="AC401" s="552">
        <v>0</v>
      </c>
      <c r="AD401" s="552">
        <v>0</v>
      </c>
      <c r="AE401" s="552">
        <v>0</v>
      </c>
      <c r="AF401" s="552">
        <v>0</v>
      </c>
      <c r="AG401" s="552">
        <v>5</v>
      </c>
      <c r="AH401" s="552">
        <v>14000</v>
      </c>
      <c r="AI401" s="552">
        <v>0</v>
      </c>
      <c r="AJ401" s="552">
        <v>0</v>
      </c>
    </row>
    <row r="402" spans="1:36" ht="15.95" customHeight="1">
      <c r="A402" s="547"/>
      <c r="B402" s="548">
        <v>784</v>
      </c>
      <c r="C402" s="549">
        <v>6948</v>
      </c>
      <c r="D402" s="550" t="s">
        <v>11902</v>
      </c>
      <c r="E402" s="550" t="s">
        <v>4226</v>
      </c>
      <c r="F402" s="550" t="s">
        <v>4227</v>
      </c>
      <c r="G402" s="550" t="s">
        <v>4228</v>
      </c>
      <c r="H402" s="550" t="s">
        <v>4229</v>
      </c>
      <c r="I402" s="550" t="s">
        <v>12</v>
      </c>
      <c r="J402" s="550" t="s">
        <v>4799</v>
      </c>
      <c r="K402" s="551">
        <v>44996</v>
      </c>
      <c r="L402" s="552">
        <v>1386</v>
      </c>
      <c r="M402" s="552">
        <v>1386</v>
      </c>
      <c r="N402" s="552">
        <v>1386</v>
      </c>
      <c r="O402" s="552">
        <v>1821</v>
      </c>
      <c r="P402" s="552">
        <v>2523906</v>
      </c>
      <c r="Q402" s="548">
        <v>14</v>
      </c>
      <c r="R402" s="552">
        <v>19404</v>
      </c>
      <c r="S402" s="548">
        <v>1823</v>
      </c>
      <c r="T402" s="552">
        <v>2526678</v>
      </c>
      <c r="U402" s="548">
        <v>12</v>
      </c>
      <c r="V402" s="552">
        <v>16632</v>
      </c>
      <c r="W402" s="552">
        <v>35</v>
      </c>
      <c r="X402" s="552">
        <v>48510</v>
      </c>
      <c r="Y402" s="552">
        <v>1823</v>
      </c>
      <c r="Z402" s="552">
        <v>2526678</v>
      </c>
      <c r="AA402" s="552">
        <v>152</v>
      </c>
      <c r="AB402" s="552">
        <v>210672</v>
      </c>
      <c r="AC402" s="552">
        <v>1671</v>
      </c>
      <c r="AD402" s="552">
        <v>2316006</v>
      </c>
      <c r="AE402" s="552">
        <v>0</v>
      </c>
      <c r="AF402" s="552">
        <v>0</v>
      </c>
      <c r="AG402" s="552">
        <v>0</v>
      </c>
      <c r="AH402" s="552">
        <v>0</v>
      </c>
      <c r="AI402" s="552">
        <v>0</v>
      </c>
      <c r="AJ402" s="552">
        <v>0</v>
      </c>
    </row>
    <row r="403" spans="1:36" ht="15.95" customHeight="1">
      <c r="A403" s="547"/>
      <c r="B403" s="548">
        <v>785</v>
      </c>
      <c r="C403" s="549">
        <v>5992</v>
      </c>
      <c r="D403" s="550"/>
      <c r="E403" s="550" t="s">
        <v>4230</v>
      </c>
      <c r="F403" s="550" t="s">
        <v>2090</v>
      </c>
      <c r="G403" s="550" t="s">
        <v>2089</v>
      </c>
      <c r="H403" s="550" t="s">
        <v>327</v>
      </c>
      <c r="I403" s="550" t="s">
        <v>10</v>
      </c>
      <c r="J403" s="550" t="s">
        <v>4231</v>
      </c>
      <c r="K403" s="551">
        <v>44720</v>
      </c>
      <c r="L403" s="552">
        <v>1900</v>
      </c>
      <c r="M403" s="552">
        <v>1900</v>
      </c>
      <c r="N403" s="552">
        <v>1900</v>
      </c>
      <c r="O403" s="552">
        <v>12</v>
      </c>
      <c r="P403" s="552">
        <v>22800</v>
      </c>
      <c r="Q403" s="548">
        <v>0</v>
      </c>
      <c r="R403" s="552">
        <v>0</v>
      </c>
      <c r="S403" s="548">
        <v>9</v>
      </c>
      <c r="T403" s="552">
        <v>17100</v>
      </c>
      <c r="U403" s="548">
        <v>3</v>
      </c>
      <c r="V403" s="552">
        <v>5700</v>
      </c>
      <c r="W403" s="552">
        <v>0</v>
      </c>
      <c r="X403" s="552">
        <v>0</v>
      </c>
      <c r="Y403" s="552">
        <v>9</v>
      </c>
      <c r="Z403" s="552">
        <v>17100</v>
      </c>
      <c r="AA403" s="552">
        <v>0</v>
      </c>
      <c r="AB403" s="552">
        <v>0</v>
      </c>
      <c r="AC403" s="552">
        <v>9</v>
      </c>
      <c r="AD403" s="552">
        <v>17100</v>
      </c>
      <c r="AE403" s="552">
        <v>0</v>
      </c>
      <c r="AF403" s="552">
        <v>0</v>
      </c>
      <c r="AG403" s="552">
        <v>0</v>
      </c>
      <c r="AH403" s="552">
        <v>0</v>
      </c>
      <c r="AI403" s="552">
        <v>0</v>
      </c>
      <c r="AJ403" s="552">
        <v>0</v>
      </c>
    </row>
    <row r="404" spans="1:36" ht="15.95" customHeight="1">
      <c r="A404" s="547"/>
      <c r="B404" s="548">
        <v>786</v>
      </c>
      <c r="C404" s="549">
        <v>5992</v>
      </c>
      <c r="D404" s="550"/>
      <c r="E404" s="550" t="s">
        <v>4230</v>
      </c>
      <c r="F404" s="550" t="s">
        <v>2090</v>
      </c>
      <c r="G404" s="550" t="s">
        <v>2089</v>
      </c>
      <c r="H404" s="550" t="s">
        <v>327</v>
      </c>
      <c r="I404" s="550" t="s">
        <v>10</v>
      </c>
      <c r="J404" s="550" t="s">
        <v>4232</v>
      </c>
      <c r="K404" s="551">
        <v>45118</v>
      </c>
      <c r="L404" s="552">
        <v>1900</v>
      </c>
      <c r="M404" s="552">
        <v>1900</v>
      </c>
      <c r="N404" s="552">
        <v>1900</v>
      </c>
      <c r="O404" s="552">
        <v>294</v>
      </c>
      <c r="P404" s="552">
        <v>558600</v>
      </c>
      <c r="Q404" s="548">
        <v>0</v>
      </c>
      <c r="R404" s="552">
        <v>0</v>
      </c>
      <c r="S404" s="548">
        <v>294</v>
      </c>
      <c r="T404" s="552">
        <v>558600</v>
      </c>
      <c r="U404" s="548">
        <v>0</v>
      </c>
      <c r="V404" s="552">
        <v>0</v>
      </c>
      <c r="W404" s="552">
        <v>0</v>
      </c>
      <c r="X404" s="552">
        <v>0</v>
      </c>
      <c r="Y404" s="552">
        <v>294</v>
      </c>
      <c r="Z404" s="552">
        <v>558600</v>
      </c>
      <c r="AA404" s="552">
        <v>294</v>
      </c>
      <c r="AB404" s="552">
        <v>558600</v>
      </c>
      <c r="AC404" s="552">
        <v>0</v>
      </c>
      <c r="AD404" s="552">
        <v>0</v>
      </c>
      <c r="AE404" s="552">
        <v>0</v>
      </c>
      <c r="AF404" s="552">
        <v>0</v>
      </c>
      <c r="AG404" s="552">
        <v>0</v>
      </c>
      <c r="AH404" s="552">
        <v>0</v>
      </c>
      <c r="AI404" s="552">
        <v>0</v>
      </c>
      <c r="AJ404" s="552">
        <v>0</v>
      </c>
    </row>
    <row r="405" spans="1:36" ht="15.95" customHeight="1">
      <c r="A405" s="547"/>
      <c r="B405" s="548">
        <v>787</v>
      </c>
      <c r="C405" s="549">
        <v>6888</v>
      </c>
      <c r="D405" s="550" t="s">
        <v>11903</v>
      </c>
      <c r="E405" s="550" t="s">
        <v>4230</v>
      </c>
      <c r="F405" s="550" t="s">
        <v>2090</v>
      </c>
      <c r="G405" s="550" t="s">
        <v>2089</v>
      </c>
      <c r="H405" s="550" t="s">
        <v>327</v>
      </c>
      <c r="I405" s="550" t="s">
        <v>11</v>
      </c>
      <c r="J405" s="550" t="s">
        <v>11904</v>
      </c>
      <c r="K405" s="551">
        <v>45944</v>
      </c>
      <c r="L405" s="552">
        <v>1900</v>
      </c>
      <c r="M405" s="552">
        <v>1900</v>
      </c>
      <c r="N405" s="552">
        <v>1900</v>
      </c>
      <c r="O405" s="552"/>
      <c r="P405" s="552"/>
      <c r="Q405" s="548">
        <v>600</v>
      </c>
      <c r="R405" s="552">
        <v>1140000</v>
      </c>
      <c r="S405" s="548">
        <v>0</v>
      </c>
      <c r="T405" s="552">
        <v>0</v>
      </c>
      <c r="U405" s="548">
        <v>600</v>
      </c>
      <c r="V405" s="552">
        <v>1140000</v>
      </c>
      <c r="W405" s="552">
        <v>0</v>
      </c>
      <c r="X405" s="552">
        <v>0</v>
      </c>
      <c r="Y405" s="552">
        <v>0</v>
      </c>
      <c r="Z405" s="552">
        <v>0</v>
      </c>
      <c r="AA405" s="552">
        <v>0</v>
      </c>
      <c r="AB405" s="552">
        <v>0</v>
      </c>
      <c r="AC405" s="552">
        <v>0</v>
      </c>
      <c r="AD405" s="552">
        <v>0</v>
      </c>
      <c r="AE405" s="552">
        <v>0</v>
      </c>
      <c r="AF405" s="552">
        <v>0</v>
      </c>
      <c r="AG405" s="552">
        <v>0</v>
      </c>
      <c r="AH405" s="552">
        <v>0</v>
      </c>
      <c r="AI405" s="552">
        <v>0</v>
      </c>
      <c r="AJ405" s="552">
        <v>0</v>
      </c>
    </row>
    <row r="406" spans="1:36" ht="15.95" customHeight="1">
      <c r="A406" s="547"/>
      <c r="B406" s="548">
        <v>788</v>
      </c>
      <c r="C406" s="549">
        <v>7070</v>
      </c>
      <c r="D406" s="550" t="s">
        <v>11905</v>
      </c>
      <c r="E406" s="550" t="s">
        <v>4236</v>
      </c>
      <c r="F406" s="550" t="s">
        <v>4237</v>
      </c>
      <c r="G406" s="550" t="s">
        <v>1800</v>
      </c>
      <c r="H406" s="550" t="s">
        <v>229</v>
      </c>
      <c r="I406" s="550" t="s">
        <v>11</v>
      </c>
      <c r="J406" s="550" t="s">
        <v>3780</v>
      </c>
      <c r="K406" s="551">
        <v>44627</v>
      </c>
      <c r="L406" s="552">
        <v>2500</v>
      </c>
      <c r="M406" s="552">
        <v>2500</v>
      </c>
      <c r="N406" s="552">
        <v>2500</v>
      </c>
      <c r="O406" s="552">
        <v>638</v>
      </c>
      <c r="P406" s="552">
        <v>1595000</v>
      </c>
      <c r="Q406" s="548">
        <v>0</v>
      </c>
      <c r="R406" s="552">
        <v>0</v>
      </c>
      <c r="S406" s="548">
        <v>638</v>
      </c>
      <c r="T406" s="552">
        <v>1595000</v>
      </c>
      <c r="U406" s="548">
        <v>0</v>
      </c>
      <c r="V406" s="552">
        <v>0</v>
      </c>
      <c r="W406" s="552">
        <v>0</v>
      </c>
      <c r="X406" s="552">
        <v>0</v>
      </c>
      <c r="Y406" s="552">
        <v>638</v>
      </c>
      <c r="Z406" s="552">
        <v>1595000</v>
      </c>
      <c r="AA406" s="552">
        <v>638</v>
      </c>
      <c r="AB406" s="552">
        <v>1595000</v>
      </c>
      <c r="AC406" s="552">
        <v>0</v>
      </c>
      <c r="AD406" s="552">
        <v>0</v>
      </c>
      <c r="AE406" s="552">
        <v>0</v>
      </c>
      <c r="AF406" s="552">
        <v>0</v>
      </c>
      <c r="AG406" s="552">
        <v>0</v>
      </c>
      <c r="AH406" s="552">
        <v>0</v>
      </c>
      <c r="AI406" s="552">
        <v>0</v>
      </c>
      <c r="AJ406" s="552">
        <v>0</v>
      </c>
    </row>
    <row r="407" spans="1:36" ht="15.95" customHeight="1">
      <c r="A407" s="547"/>
      <c r="B407" s="548">
        <v>792</v>
      </c>
      <c r="C407" s="549">
        <v>7188</v>
      </c>
      <c r="D407" s="550" t="s">
        <v>11906</v>
      </c>
      <c r="E407" s="550" t="s">
        <v>4238</v>
      </c>
      <c r="F407" s="550" t="s">
        <v>4239</v>
      </c>
      <c r="G407" s="550" t="s">
        <v>639</v>
      </c>
      <c r="H407" s="550" t="s">
        <v>2435</v>
      </c>
      <c r="I407" s="550" t="s">
        <v>4240</v>
      </c>
      <c r="J407" s="550" t="s">
        <v>11907</v>
      </c>
      <c r="K407" s="551">
        <v>44827</v>
      </c>
      <c r="L407" s="552">
        <v>4095</v>
      </c>
      <c r="M407" s="552">
        <v>4095</v>
      </c>
      <c r="N407" s="552">
        <v>4095</v>
      </c>
      <c r="O407" s="552">
        <v>47</v>
      </c>
      <c r="P407" s="552">
        <v>192465</v>
      </c>
      <c r="Q407" s="548">
        <v>100</v>
      </c>
      <c r="R407" s="552">
        <v>409500</v>
      </c>
      <c r="S407" s="548">
        <v>96</v>
      </c>
      <c r="T407" s="552">
        <v>393120</v>
      </c>
      <c r="U407" s="548">
        <v>51</v>
      </c>
      <c r="V407" s="552">
        <v>208845</v>
      </c>
      <c r="W407" s="552">
        <v>41</v>
      </c>
      <c r="X407" s="552">
        <v>167895</v>
      </c>
      <c r="Y407" s="552">
        <v>94</v>
      </c>
      <c r="Z407" s="552">
        <v>384930</v>
      </c>
      <c r="AA407" s="552">
        <v>42</v>
      </c>
      <c r="AB407" s="552">
        <v>171990</v>
      </c>
      <c r="AC407" s="552">
        <v>52</v>
      </c>
      <c r="AD407" s="552">
        <v>212940</v>
      </c>
      <c r="AE407" s="552">
        <v>0</v>
      </c>
      <c r="AF407" s="552">
        <v>0</v>
      </c>
      <c r="AG407" s="552">
        <v>2</v>
      </c>
      <c r="AH407" s="552">
        <v>8190</v>
      </c>
      <c r="AI407" s="552">
        <v>0</v>
      </c>
      <c r="AJ407" s="552">
        <v>0</v>
      </c>
    </row>
    <row r="408" spans="1:36" ht="15.95" customHeight="1">
      <c r="A408" s="547"/>
      <c r="B408" s="548">
        <v>793</v>
      </c>
      <c r="C408" s="549">
        <v>6977</v>
      </c>
      <c r="D408" s="550" t="s">
        <v>11908</v>
      </c>
      <c r="E408" s="550" t="s">
        <v>3720</v>
      </c>
      <c r="F408" s="550" t="s">
        <v>1369</v>
      </c>
      <c r="G408" s="550" t="s">
        <v>750</v>
      </c>
      <c r="H408" s="550" t="s">
        <v>833</v>
      </c>
      <c r="I408" s="550" t="s">
        <v>11</v>
      </c>
      <c r="J408" s="550" t="s">
        <v>4241</v>
      </c>
      <c r="K408" s="551">
        <v>44977</v>
      </c>
      <c r="L408" s="552">
        <v>84</v>
      </c>
      <c r="M408" s="552">
        <v>84</v>
      </c>
      <c r="N408" s="552">
        <v>84</v>
      </c>
      <c r="O408" s="552">
        <v>982</v>
      </c>
      <c r="P408" s="552">
        <v>82488</v>
      </c>
      <c r="Q408" s="548">
        <v>3</v>
      </c>
      <c r="R408" s="552">
        <v>252</v>
      </c>
      <c r="S408" s="548">
        <v>20</v>
      </c>
      <c r="T408" s="552">
        <v>1680</v>
      </c>
      <c r="U408" s="548">
        <v>965</v>
      </c>
      <c r="V408" s="552">
        <v>81060</v>
      </c>
      <c r="W408" s="552">
        <v>920</v>
      </c>
      <c r="X408" s="552">
        <v>77280</v>
      </c>
      <c r="Y408" s="552">
        <v>20</v>
      </c>
      <c r="Z408" s="552">
        <v>1680</v>
      </c>
      <c r="AA408" s="552">
        <v>0</v>
      </c>
      <c r="AB408" s="552">
        <v>0</v>
      </c>
      <c r="AC408" s="552">
        <v>20</v>
      </c>
      <c r="AD408" s="552">
        <v>1680</v>
      </c>
      <c r="AE408" s="552">
        <v>0</v>
      </c>
      <c r="AF408" s="552">
        <v>0</v>
      </c>
      <c r="AG408" s="552">
        <v>0</v>
      </c>
      <c r="AH408" s="552">
        <v>0</v>
      </c>
      <c r="AI408" s="552">
        <v>0</v>
      </c>
      <c r="AJ408" s="552">
        <v>0</v>
      </c>
    </row>
    <row r="409" spans="1:36" ht="15.95" customHeight="1">
      <c r="A409" s="547"/>
      <c r="B409" s="548">
        <v>794</v>
      </c>
      <c r="C409" s="549">
        <v>6977</v>
      </c>
      <c r="D409" s="550" t="s">
        <v>11908</v>
      </c>
      <c r="E409" s="550" t="s">
        <v>3720</v>
      </c>
      <c r="F409" s="550" t="s">
        <v>1369</v>
      </c>
      <c r="G409" s="550" t="s">
        <v>750</v>
      </c>
      <c r="H409" s="550" t="s">
        <v>833</v>
      </c>
      <c r="I409" s="550" t="s">
        <v>11</v>
      </c>
      <c r="J409" s="550" t="s">
        <v>4241</v>
      </c>
      <c r="K409" s="551">
        <v>44979</v>
      </c>
      <c r="L409" s="552">
        <v>84</v>
      </c>
      <c r="M409" s="552">
        <v>84</v>
      </c>
      <c r="N409" s="552">
        <v>84</v>
      </c>
      <c r="O409" s="552">
        <v>189</v>
      </c>
      <c r="P409" s="552">
        <v>15876</v>
      </c>
      <c r="Q409" s="548">
        <v>0</v>
      </c>
      <c r="R409" s="552">
        <v>0</v>
      </c>
      <c r="S409" s="548">
        <v>179</v>
      </c>
      <c r="T409" s="552">
        <v>15036</v>
      </c>
      <c r="U409" s="548">
        <v>10</v>
      </c>
      <c r="V409" s="552">
        <v>840</v>
      </c>
      <c r="W409" s="552">
        <v>6091</v>
      </c>
      <c r="X409" s="552">
        <v>511644</v>
      </c>
      <c r="Y409" s="552">
        <v>179</v>
      </c>
      <c r="Z409" s="552">
        <v>15036</v>
      </c>
      <c r="AA409" s="552">
        <v>179</v>
      </c>
      <c r="AB409" s="552">
        <v>15036</v>
      </c>
      <c r="AC409" s="552">
        <v>0</v>
      </c>
      <c r="AD409" s="552">
        <v>0</v>
      </c>
      <c r="AE409" s="552">
        <v>0</v>
      </c>
      <c r="AF409" s="552">
        <v>0</v>
      </c>
      <c r="AG409" s="552">
        <v>0</v>
      </c>
      <c r="AH409" s="552">
        <v>0</v>
      </c>
      <c r="AI409" s="552">
        <v>0</v>
      </c>
      <c r="AJ409" s="552">
        <v>0</v>
      </c>
    </row>
    <row r="410" spans="1:36" ht="15.95" customHeight="1">
      <c r="A410" s="547"/>
      <c r="B410" s="548">
        <v>795</v>
      </c>
      <c r="C410" s="549">
        <v>6977</v>
      </c>
      <c r="D410" s="550" t="s">
        <v>11908</v>
      </c>
      <c r="E410" s="550" t="s">
        <v>3720</v>
      </c>
      <c r="F410" s="550" t="s">
        <v>1369</v>
      </c>
      <c r="G410" s="550" t="s">
        <v>750</v>
      </c>
      <c r="H410" s="550" t="s">
        <v>833</v>
      </c>
      <c r="I410" s="550" t="s">
        <v>11</v>
      </c>
      <c r="J410" s="550" t="s">
        <v>11909</v>
      </c>
      <c r="K410" s="551">
        <v>45361</v>
      </c>
      <c r="L410" s="552">
        <v>84</v>
      </c>
      <c r="M410" s="552">
        <v>84</v>
      </c>
      <c r="N410" s="552">
        <v>84</v>
      </c>
      <c r="O410" s="552"/>
      <c r="P410" s="552"/>
      <c r="Q410" s="548">
        <v>10000</v>
      </c>
      <c r="R410" s="552">
        <v>840000</v>
      </c>
      <c r="S410" s="548">
        <v>10000</v>
      </c>
      <c r="T410" s="552">
        <v>840000</v>
      </c>
      <c r="U410" s="548">
        <v>0</v>
      </c>
      <c r="V410" s="552">
        <v>0</v>
      </c>
      <c r="W410" s="552">
        <v>3751</v>
      </c>
      <c r="X410" s="552">
        <v>315084</v>
      </c>
      <c r="Y410" s="552">
        <v>10000</v>
      </c>
      <c r="Z410" s="552">
        <v>840000</v>
      </c>
      <c r="AA410" s="552">
        <v>0</v>
      </c>
      <c r="AB410" s="552">
        <v>0</v>
      </c>
      <c r="AC410" s="552">
        <v>10000</v>
      </c>
      <c r="AD410" s="552">
        <v>840000</v>
      </c>
      <c r="AE410" s="552">
        <v>0</v>
      </c>
      <c r="AF410" s="552">
        <v>0</v>
      </c>
      <c r="AG410" s="552">
        <v>0</v>
      </c>
      <c r="AH410" s="552">
        <v>0</v>
      </c>
      <c r="AI410" s="552">
        <v>0</v>
      </c>
      <c r="AJ410" s="552">
        <v>0</v>
      </c>
    </row>
    <row r="411" spans="1:36" ht="15.95" customHeight="1">
      <c r="A411" s="547"/>
      <c r="B411" s="548">
        <v>796</v>
      </c>
      <c r="C411" s="549">
        <v>6977</v>
      </c>
      <c r="D411" s="550" t="s">
        <v>11908</v>
      </c>
      <c r="E411" s="550" t="s">
        <v>3720</v>
      </c>
      <c r="F411" s="550" t="s">
        <v>1369</v>
      </c>
      <c r="G411" s="550" t="s">
        <v>750</v>
      </c>
      <c r="H411" s="550" t="s">
        <v>833</v>
      </c>
      <c r="I411" s="550" t="s">
        <v>11</v>
      </c>
      <c r="J411" s="550" t="s">
        <v>11910</v>
      </c>
      <c r="K411" s="551">
        <v>45030</v>
      </c>
      <c r="L411" s="552">
        <v>84</v>
      </c>
      <c r="M411" s="552">
        <v>84</v>
      </c>
      <c r="N411" s="552">
        <v>84</v>
      </c>
      <c r="O411" s="552">
        <v>21000</v>
      </c>
      <c r="P411" s="552">
        <v>1764000</v>
      </c>
      <c r="Q411" s="548">
        <v>0</v>
      </c>
      <c r="R411" s="552">
        <v>0</v>
      </c>
      <c r="S411" s="548">
        <v>20946</v>
      </c>
      <c r="T411" s="552">
        <v>1759464</v>
      </c>
      <c r="U411" s="548">
        <v>54</v>
      </c>
      <c r="V411" s="552">
        <v>4536</v>
      </c>
      <c r="W411" s="552">
        <v>9321</v>
      </c>
      <c r="X411" s="552">
        <v>782964</v>
      </c>
      <c r="Y411" s="552">
        <v>20946</v>
      </c>
      <c r="Z411" s="552">
        <v>1759464</v>
      </c>
      <c r="AA411" s="552">
        <v>4946</v>
      </c>
      <c r="AB411" s="552">
        <v>415464</v>
      </c>
      <c r="AC411" s="552">
        <v>16000</v>
      </c>
      <c r="AD411" s="552">
        <v>1344000</v>
      </c>
      <c r="AE411" s="552">
        <v>0</v>
      </c>
      <c r="AF411" s="552">
        <v>0</v>
      </c>
      <c r="AG411" s="552">
        <v>0</v>
      </c>
      <c r="AH411" s="552">
        <v>0</v>
      </c>
      <c r="AI411" s="552">
        <v>0</v>
      </c>
      <c r="AJ411" s="552">
        <v>0</v>
      </c>
    </row>
    <row r="412" spans="1:36" ht="15.95" customHeight="1">
      <c r="A412" s="547"/>
      <c r="B412" s="548">
        <v>797</v>
      </c>
      <c r="C412" s="549">
        <v>6977</v>
      </c>
      <c r="D412" s="550" t="s">
        <v>11908</v>
      </c>
      <c r="E412" s="550" t="s">
        <v>3720</v>
      </c>
      <c r="F412" s="550" t="s">
        <v>1369</v>
      </c>
      <c r="G412" s="550" t="s">
        <v>750</v>
      </c>
      <c r="H412" s="550" t="s">
        <v>833</v>
      </c>
      <c r="I412" s="550" t="s">
        <v>11</v>
      </c>
      <c r="J412" s="550" t="s">
        <v>11911</v>
      </c>
      <c r="K412" s="551">
        <v>45391</v>
      </c>
      <c r="L412" s="552">
        <v>84</v>
      </c>
      <c r="M412" s="552">
        <v>84</v>
      </c>
      <c r="N412" s="552">
        <v>84</v>
      </c>
      <c r="O412" s="552"/>
      <c r="P412" s="552"/>
      <c r="Q412" s="548">
        <v>19000</v>
      </c>
      <c r="R412" s="552">
        <v>1596000</v>
      </c>
      <c r="S412" s="548">
        <v>4000</v>
      </c>
      <c r="T412" s="552">
        <v>336000</v>
      </c>
      <c r="U412" s="548">
        <v>15000</v>
      </c>
      <c r="V412" s="552">
        <v>1260000</v>
      </c>
      <c r="W412" s="552">
        <v>339</v>
      </c>
      <c r="X412" s="552">
        <v>28476</v>
      </c>
      <c r="Y412" s="552">
        <v>4000</v>
      </c>
      <c r="Z412" s="552">
        <v>336000</v>
      </c>
      <c r="AA412" s="552">
        <v>0</v>
      </c>
      <c r="AB412" s="552">
        <v>0</v>
      </c>
      <c r="AC412" s="552">
        <v>4000</v>
      </c>
      <c r="AD412" s="552">
        <v>336000</v>
      </c>
      <c r="AE412" s="552">
        <v>0</v>
      </c>
      <c r="AF412" s="552">
        <v>0</v>
      </c>
      <c r="AG412" s="552">
        <v>0</v>
      </c>
      <c r="AH412" s="552">
        <v>0</v>
      </c>
      <c r="AI412" s="552">
        <v>0</v>
      </c>
      <c r="AJ412" s="552">
        <v>0</v>
      </c>
    </row>
    <row r="413" spans="1:36" ht="15.95" customHeight="1">
      <c r="A413" s="547"/>
      <c r="B413" s="548">
        <v>804</v>
      </c>
      <c r="C413" s="549">
        <v>6981</v>
      </c>
      <c r="D413" s="550" t="s">
        <v>11912</v>
      </c>
      <c r="E413" s="550" t="s">
        <v>7705</v>
      </c>
      <c r="F413" s="550" t="s">
        <v>7706</v>
      </c>
      <c r="G413" s="550" t="s">
        <v>836</v>
      </c>
      <c r="H413" s="550" t="s">
        <v>838</v>
      </c>
      <c r="I413" s="550" t="s">
        <v>11</v>
      </c>
      <c r="J413" s="550" t="s">
        <v>11913</v>
      </c>
      <c r="K413" s="551">
        <v>45350</v>
      </c>
      <c r="L413" s="552">
        <v>1015</v>
      </c>
      <c r="M413" s="552">
        <v>1015</v>
      </c>
      <c r="N413" s="552">
        <v>1015</v>
      </c>
      <c r="O413" s="552"/>
      <c r="P413" s="552"/>
      <c r="Q413" s="548">
        <v>2480</v>
      </c>
      <c r="R413" s="552">
        <v>2517200</v>
      </c>
      <c r="S413" s="548">
        <v>2480</v>
      </c>
      <c r="T413" s="552">
        <v>2517200</v>
      </c>
      <c r="U413" s="548">
        <v>0</v>
      </c>
      <c r="V413" s="552">
        <v>0</v>
      </c>
      <c r="W413" s="552">
        <v>2305</v>
      </c>
      <c r="X413" s="552">
        <v>2339575</v>
      </c>
      <c r="Y413" s="552">
        <v>2480</v>
      </c>
      <c r="Z413" s="552">
        <v>2517200</v>
      </c>
      <c r="AA413" s="552">
        <v>0</v>
      </c>
      <c r="AB413" s="552">
        <v>0</v>
      </c>
      <c r="AC413" s="552">
        <v>2480</v>
      </c>
      <c r="AD413" s="552">
        <v>2517200</v>
      </c>
      <c r="AE413" s="552">
        <v>0</v>
      </c>
      <c r="AF413" s="552">
        <v>0</v>
      </c>
      <c r="AG413" s="552">
        <v>0</v>
      </c>
      <c r="AH413" s="552">
        <v>0</v>
      </c>
      <c r="AI413" s="552">
        <v>0</v>
      </c>
      <c r="AJ413" s="552">
        <v>0</v>
      </c>
    </row>
    <row r="414" spans="1:36" ht="15.95" customHeight="1">
      <c r="A414" s="547"/>
      <c r="B414" s="548">
        <v>805</v>
      </c>
      <c r="C414" s="549">
        <v>6981</v>
      </c>
      <c r="D414" s="550" t="s">
        <v>11912</v>
      </c>
      <c r="E414" s="550" t="s">
        <v>7705</v>
      </c>
      <c r="F414" s="550" t="s">
        <v>7706</v>
      </c>
      <c r="G414" s="550" t="s">
        <v>836</v>
      </c>
      <c r="H414" s="550" t="s">
        <v>838</v>
      </c>
      <c r="I414" s="550" t="s">
        <v>11</v>
      </c>
      <c r="J414" s="550" t="s">
        <v>11914</v>
      </c>
      <c r="K414" s="551">
        <v>45352</v>
      </c>
      <c r="L414" s="552">
        <v>1015</v>
      </c>
      <c r="M414" s="552">
        <v>1015</v>
      </c>
      <c r="N414" s="552">
        <v>1015</v>
      </c>
      <c r="O414" s="552"/>
      <c r="P414" s="552"/>
      <c r="Q414" s="548">
        <v>2464</v>
      </c>
      <c r="R414" s="552">
        <v>2500960</v>
      </c>
      <c r="S414" s="548">
        <v>0</v>
      </c>
      <c r="T414" s="552">
        <v>0</v>
      </c>
      <c r="U414" s="548">
        <v>2464</v>
      </c>
      <c r="V414" s="552">
        <v>2500960</v>
      </c>
      <c r="W414" s="552">
        <v>0</v>
      </c>
      <c r="X414" s="552">
        <v>0</v>
      </c>
      <c r="Y414" s="552">
        <v>0</v>
      </c>
      <c r="Z414" s="552">
        <v>0</v>
      </c>
      <c r="AA414" s="552">
        <v>0</v>
      </c>
      <c r="AB414" s="552">
        <v>0</v>
      </c>
      <c r="AC414" s="552">
        <v>0</v>
      </c>
      <c r="AD414" s="552">
        <v>0</v>
      </c>
      <c r="AE414" s="552">
        <v>0</v>
      </c>
      <c r="AF414" s="552">
        <v>0</v>
      </c>
      <c r="AG414" s="552">
        <v>0</v>
      </c>
      <c r="AH414" s="552">
        <v>0</v>
      </c>
      <c r="AI414" s="552">
        <v>0</v>
      </c>
      <c r="AJ414" s="552">
        <v>0</v>
      </c>
    </row>
    <row r="415" spans="1:36" ht="15.95" customHeight="1">
      <c r="A415" s="547"/>
      <c r="B415" s="548">
        <v>806</v>
      </c>
      <c r="C415" s="549">
        <v>6981</v>
      </c>
      <c r="D415" s="550" t="s">
        <v>11912</v>
      </c>
      <c r="E415" s="550" t="s">
        <v>7705</v>
      </c>
      <c r="F415" s="550" t="s">
        <v>7706</v>
      </c>
      <c r="G415" s="550" t="s">
        <v>836</v>
      </c>
      <c r="H415" s="550" t="s">
        <v>838</v>
      </c>
      <c r="I415" s="550" t="s">
        <v>11</v>
      </c>
      <c r="J415" s="550" t="s">
        <v>11915</v>
      </c>
      <c r="K415" s="551">
        <v>45352</v>
      </c>
      <c r="L415" s="552">
        <v>1015</v>
      </c>
      <c r="M415" s="552">
        <v>1015</v>
      </c>
      <c r="N415" s="552">
        <v>1015</v>
      </c>
      <c r="O415" s="552"/>
      <c r="P415" s="552"/>
      <c r="Q415" s="548">
        <v>2528</v>
      </c>
      <c r="R415" s="552">
        <v>2565920</v>
      </c>
      <c r="S415" s="548">
        <v>0</v>
      </c>
      <c r="T415" s="552">
        <v>0</v>
      </c>
      <c r="U415" s="548">
        <v>2528</v>
      </c>
      <c r="V415" s="552">
        <v>2565920</v>
      </c>
      <c r="W415" s="552">
        <v>0</v>
      </c>
      <c r="X415" s="552">
        <v>0</v>
      </c>
      <c r="Y415" s="552">
        <v>0</v>
      </c>
      <c r="Z415" s="552">
        <v>0</v>
      </c>
      <c r="AA415" s="552">
        <v>0</v>
      </c>
      <c r="AB415" s="552">
        <v>0</v>
      </c>
      <c r="AC415" s="552">
        <v>0</v>
      </c>
      <c r="AD415" s="552">
        <v>0</v>
      </c>
      <c r="AE415" s="552">
        <v>0</v>
      </c>
      <c r="AF415" s="552">
        <v>0</v>
      </c>
      <c r="AG415" s="552">
        <v>0</v>
      </c>
      <c r="AH415" s="552">
        <v>0</v>
      </c>
      <c r="AI415" s="552">
        <v>0</v>
      </c>
      <c r="AJ415" s="552">
        <v>0</v>
      </c>
    </row>
    <row r="416" spans="1:36" ht="15.95" customHeight="1">
      <c r="A416" s="547"/>
      <c r="B416" s="548">
        <v>810</v>
      </c>
      <c r="C416" s="549">
        <v>6972</v>
      </c>
      <c r="D416" s="550" t="s">
        <v>11916</v>
      </c>
      <c r="E416" s="550" t="s">
        <v>4242</v>
      </c>
      <c r="F416" s="550" t="s">
        <v>1771</v>
      </c>
      <c r="G416" s="550" t="s">
        <v>750</v>
      </c>
      <c r="H416" s="550" t="s">
        <v>1772</v>
      </c>
      <c r="I416" s="550" t="s">
        <v>15</v>
      </c>
      <c r="J416" s="550" t="s">
        <v>4243</v>
      </c>
      <c r="K416" s="551">
        <v>44962</v>
      </c>
      <c r="L416" s="552">
        <v>15740</v>
      </c>
      <c r="M416" s="552">
        <v>15740</v>
      </c>
      <c r="N416" s="552">
        <v>15740</v>
      </c>
      <c r="O416" s="552">
        <v>1</v>
      </c>
      <c r="P416" s="552">
        <v>15740</v>
      </c>
      <c r="Q416" s="548">
        <v>0</v>
      </c>
      <c r="R416" s="552">
        <v>0</v>
      </c>
      <c r="S416" s="548">
        <v>1</v>
      </c>
      <c r="T416" s="552">
        <v>15740</v>
      </c>
      <c r="U416" s="548">
        <v>0</v>
      </c>
      <c r="V416" s="552">
        <v>0</v>
      </c>
      <c r="W416" s="552">
        <v>0</v>
      </c>
      <c r="X416" s="552">
        <v>0</v>
      </c>
      <c r="Y416" s="552">
        <v>1</v>
      </c>
      <c r="Z416" s="552">
        <v>15740</v>
      </c>
      <c r="AA416" s="552">
        <v>0</v>
      </c>
      <c r="AB416" s="552">
        <v>0</v>
      </c>
      <c r="AC416" s="552">
        <v>1</v>
      </c>
      <c r="AD416" s="552">
        <v>15740</v>
      </c>
      <c r="AE416" s="552">
        <v>0</v>
      </c>
      <c r="AF416" s="552">
        <v>0</v>
      </c>
      <c r="AG416" s="552">
        <v>0</v>
      </c>
      <c r="AH416" s="552">
        <v>0</v>
      </c>
      <c r="AI416" s="552">
        <v>0</v>
      </c>
      <c r="AJ416" s="552">
        <v>0</v>
      </c>
    </row>
    <row r="417" spans="1:36" ht="15.95" customHeight="1">
      <c r="A417" s="547"/>
      <c r="B417" s="548">
        <v>811</v>
      </c>
      <c r="C417" s="549">
        <v>6972</v>
      </c>
      <c r="D417" s="550" t="s">
        <v>11916</v>
      </c>
      <c r="E417" s="550" t="s">
        <v>4242</v>
      </c>
      <c r="F417" s="550" t="s">
        <v>1771</v>
      </c>
      <c r="G417" s="550" t="s">
        <v>750</v>
      </c>
      <c r="H417" s="550" t="s">
        <v>1772</v>
      </c>
      <c r="I417" s="550" t="s">
        <v>15</v>
      </c>
      <c r="J417" s="550" t="s">
        <v>11917</v>
      </c>
      <c r="K417" s="551">
        <v>45321</v>
      </c>
      <c r="L417" s="552">
        <v>15740</v>
      </c>
      <c r="M417" s="552">
        <v>15740</v>
      </c>
      <c r="N417" s="552">
        <v>15740</v>
      </c>
      <c r="O417" s="552"/>
      <c r="P417" s="552"/>
      <c r="Q417" s="548">
        <v>193</v>
      </c>
      <c r="R417" s="552">
        <v>3037820</v>
      </c>
      <c r="S417" s="548">
        <v>193</v>
      </c>
      <c r="T417" s="552">
        <v>3037820</v>
      </c>
      <c r="U417" s="548">
        <v>0</v>
      </c>
      <c r="V417" s="552">
        <v>0</v>
      </c>
      <c r="W417" s="552">
        <v>0</v>
      </c>
      <c r="X417" s="552">
        <v>0</v>
      </c>
      <c r="Y417" s="552">
        <v>97</v>
      </c>
      <c r="Z417" s="552">
        <v>1526780</v>
      </c>
      <c r="AA417" s="552">
        <v>0</v>
      </c>
      <c r="AB417" s="552">
        <v>0</v>
      </c>
      <c r="AC417" s="552">
        <v>97</v>
      </c>
      <c r="AD417" s="552">
        <v>1526780</v>
      </c>
      <c r="AE417" s="552">
        <v>0</v>
      </c>
      <c r="AF417" s="552">
        <v>0</v>
      </c>
      <c r="AG417" s="552">
        <v>96</v>
      </c>
      <c r="AH417" s="552">
        <v>1511040</v>
      </c>
      <c r="AI417" s="552">
        <v>0</v>
      </c>
      <c r="AJ417" s="552">
        <v>0</v>
      </c>
    </row>
    <row r="418" spans="1:36" ht="15.95" customHeight="1">
      <c r="A418" s="547"/>
      <c r="B418" s="548">
        <v>812</v>
      </c>
      <c r="C418" s="549">
        <v>6972</v>
      </c>
      <c r="D418" s="550" t="s">
        <v>11916</v>
      </c>
      <c r="E418" s="550" t="s">
        <v>4242</v>
      </c>
      <c r="F418" s="550" t="s">
        <v>1771</v>
      </c>
      <c r="G418" s="550" t="s">
        <v>750</v>
      </c>
      <c r="H418" s="550" t="s">
        <v>1772</v>
      </c>
      <c r="I418" s="550" t="s">
        <v>15</v>
      </c>
      <c r="J418" s="550" t="s">
        <v>11918</v>
      </c>
      <c r="K418" s="551">
        <v>45431</v>
      </c>
      <c r="L418" s="552">
        <v>15740</v>
      </c>
      <c r="M418" s="552">
        <v>15740</v>
      </c>
      <c r="N418" s="552">
        <v>15740</v>
      </c>
      <c r="O418" s="552"/>
      <c r="P418" s="552"/>
      <c r="Q418" s="548">
        <v>288</v>
      </c>
      <c r="R418" s="552">
        <v>4533120</v>
      </c>
      <c r="S418" s="548">
        <v>63</v>
      </c>
      <c r="T418" s="552">
        <v>991620</v>
      </c>
      <c r="U418" s="548">
        <v>225</v>
      </c>
      <c r="V418" s="552">
        <v>3541500</v>
      </c>
      <c r="W418" s="552">
        <v>0</v>
      </c>
      <c r="X418" s="552">
        <v>0</v>
      </c>
      <c r="Y418" s="552">
        <v>63</v>
      </c>
      <c r="Z418" s="552">
        <v>991620</v>
      </c>
      <c r="AA418" s="552">
        <v>0</v>
      </c>
      <c r="AB418" s="552">
        <v>0</v>
      </c>
      <c r="AC418" s="552">
        <v>63</v>
      </c>
      <c r="AD418" s="552">
        <v>991620</v>
      </c>
      <c r="AE418" s="552">
        <v>0</v>
      </c>
      <c r="AF418" s="552">
        <v>0</v>
      </c>
      <c r="AG418" s="552">
        <v>0</v>
      </c>
      <c r="AH418" s="552">
        <v>0</v>
      </c>
      <c r="AI418" s="552">
        <v>0</v>
      </c>
      <c r="AJ418" s="552">
        <v>0</v>
      </c>
    </row>
    <row r="419" spans="1:36" ht="15.95" customHeight="1">
      <c r="A419" s="547"/>
      <c r="B419" s="548">
        <v>813</v>
      </c>
      <c r="C419" s="549">
        <v>6973</v>
      </c>
      <c r="D419" s="550" t="s">
        <v>11919</v>
      </c>
      <c r="E419" s="550" t="s">
        <v>4244</v>
      </c>
      <c r="F419" s="550" t="s">
        <v>1771</v>
      </c>
      <c r="G419" s="550" t="s">
        <v>750</v>
      </c>
      <c r="H419" s="550" t="s">
        <v>1772</v>
      </c>
      <c r="I419" s="550" t="s">
        <v>15</v>
      </c>
      <c r="J419" s="550" t="s">
        <v>4245</v>
      </c>
      <c r="K419" s="551">
        <v>44963</v>
      </c>
      <c r="L419" s="552">
        <v>15740</v>
      </c>
      <c r="M419" s="552">
        <v>15740</v>
      </c>
      <c r="N419" s="552">
        <v>15740</v>
      </c>
      <c r="O419" s="552">
        <v>195</v>
      </c>
      <c r="P419" s="552">
        <v>3069300</v>
      </c>
      <c r="Q419" s="548">
        <v>0</v>
      </c>
      <c r="R419" s="552">
        <v>0</v>
      </c>
      <c r="S419" s="548">
        <v>193</v>
      </c>
      <c r="T419" s="552">
        <v>3037820</v>
      </c>
      <c r="U419" s="548">
        <v>2</v>
      </c>
      <c r="V419" s="552">
        <v>31480</v>
      </c>
      <c r="W419" s="552">
        <v>0</v>
      </c>
      <c r="X419" s="552">
        <v>0</v>
      </c>
      <c r="Y419" s="552">
        <v>193</v>
      </c>
      <c r="Z419" s="552">
        <v>3037820</v>
      </c>
      <c r="AA419" s="552">
        <v>0</v>
      </c>
      <c r="AB419" s="552">
        <v>0</v>
      </c>
      <c r="AC419" s="552">
        <v>193</v>
      </c>
      <c r="AD419" s="552">
        <v>3037820</v>
      </c>
      <c r="AE419" s="552">
        <v>0</v>
      </c>
      <c r="AF419" s="552">
        <v>0</v>
      </c>
      <c r="AG419" s="552">
        <v>0</v>
      </c>
      <c r="AH419" s="552">
        <v>0</v>
      </c>
      <c r="AI419" s="552">
        <v>0</v>
      </c>
      <c r="AJ419" s="552">
        <v>0</v>
      </c>
    </row>
    <row r="420" spans="1:36" ht="15.95" customHeight="1">
      <c r="A420" s="547"/>
      <c r="B420" s="548">
        <v>814</v>
      </c>
      <c r="C420" s="549">
        <v>6973</v>
      </c>
      <c r="D420" s="550" t="s">
        <v>11919</v>
      </c>
      <c r="E420" s="550" t="s">
        <v>4244</v>
      </c>
      <c r="F420" s="550" t="s">
        <v>1771</v>
      </c>
      <c r="G420" s="550" t="s">
        <v>750</v>
      </c>
      <c r="H420" s="550" t="s">
        <v>1772</v>
      </c>
      <c r="I420" s="550" t="s">
        <v>15</v>
      </c>
      <c r="J420" s="550" t="s">
        <v>11920</v>
      </c>
      <c r="K420" s="551">
        <v>45125</v>
      </c>
      <c r="L420" s="552">
        <v>15740</v>
      </c>
      <c r="M420" s="552">
        <v>15740</v>
      </c>
      <c r="N420" s="552">
        <v>15740</v>
      </c>
      <c r="O420" s="552">
        <v>480</v>
      </c>
      <c r="P420" s="552">
        <v>7555200</v>
      </c>
      <c r="Q420" s="548">
        <v>4</v>
      </c>
      <c r="R420" s="552">
        <v>62960</v>
      </c>
      <c r="S420" s="548">
        <v>472</v>
      </c>
      <c r="T420" s="552">
        <v>7429280</v>
      </c>
      <c r="U420" s="548">
        <v>12</v>
      </c>
      <c r="V420" s="552">
        <v>188880</v>
      </c>
      <c r="W420" s="552">
        <v>0</v>
      </c>
      <c r="X420" s="552">
        <v>0</v>
      </c>
      <c r="Y420" s="552">
        <v>303</v>
      </c>
      <c r="Z420" s="552">
        <v>4769220</v>
      </c>
      <c r="AA420" s="552">
        <v>0</v>
      </c>
      <c r="AB420" s="552">
        <v>0</v>
      </c>
      <c r="AC420" s="552">
        <v>303</v>
      </c>
      <c r="AD420" s="552">
        <v>4769220</v>
      </c>
      <c r="AE420" s="552">
        <v>0</v>
      </c>
      <c r="AF420" s="552">
        <v>0</v>
      </c>
      <c r="AG420" s="552">
        <v>169</v>
      </c>
      <c r="AH420" s="552">
        <v>2660060</v>
      </c>
      <c r="AI420" s="552">
        <v>0</v>
      </c>
      <c r="AJ420" s="552">
        <v>0</v>
      </c>
    </row>
    <row r="421" spans="1:36" ht="15.95" customHeight="1">
      <c r="A421" s="547"/>
      <c r="B421" s="548">
        <v>815</v>
      </c>
      <c r="C421" s="549">
        <v>6973</v>
      </c>
      <c r="D421" s="550" t="s">
        <v>11919</v>
      </c>
      <c r="E421" s="550" t="s">
        <v>4244</v>
      </c>
      <c r="F421" s="550" t="s">
        <v>1771</v>
      </c>
      <c r="G421" s="550" t="s">
        <v>750</v>
      </c>
      <c r="H421" s="550" t="s">
        <v>1772</v>
      </c>
      <c r="I421" s="550" t="s">
        <v>15</v>
      </c>
      <c r="J421" s="550" t="s">
        <v>11921</v>
      </c>
      <c r="K421" s="551">
        <v>45431</v>
      </c>
      <c r="L421" s="552">
        <v>15740</v>
      </c>
      <c r="M421" s="552">
        <v>15740</v>
      </c>
      <c r="N421" s="552">
        <v>15740</v>
      </c>
      <c r="O421" s="552"/>
      <c r="P421" s="552"/>
      <c r="Q421" s="548">
        <v>48</v>
      </c>
      <c r="R421" s="552">
        <v>755520</v>
      </c>
      <c r="S421" s="548">
        <v>0</v>
      </c>
      <c r="T421" s="552">
        <v>0</v>
      </c>
      <c r="U421" s="548">
        <v>48</v>
      </c>
      <c r="V421" s="552">
        <v>755520</v>
      </c>
      <c r="W421" s="552">
        <v>0</v>
      </c>
      <c r="X421" s="552">
        <v>0</v>
      </c>
      <c r="Y421" s="552">
        <v>0</v>
      </c>
      <c r="Z421" s="552">
        <v>0</v>
      </c>
      <c r="AA421" s="552">
        <v>0</v>
      </c>
      <c r="AB421" s="552">
        <v>0</v>
      </c>
      <c r="AC421" s="552">
        <v>0</v>
      </c>
      <c r="AD421" s="552">
        <v>0</v>
      </c>
      <c r="AE421" s="552">
        <v>0</v>
      </c>
      <c r="AF421" s="552">
        <v>0</v>
      </c>
      <c r="AG421" s="552">
        <v>0</v>
      </c>
      <c r="AH421" s="552">
        <v>0</v>
      </c>
      <c r="AI421" s="552">
        <v>0</v>
      </c>
      <c r="AJ421" s="552">
        <v>0</v>
      </c>
    </row>
    <row r="422" spans="1:36" ht="15.95" customHeight="1">
      <c r="A422" s="547"/>
      <c r="B422" s="548">
        <v>816</v>
      </c>
      <c r="C422" s="549">
        <v>6974</v>
      </c>
      <c r="D422" s="550" t="s">
        <v>11922</v>
      </c>
      <c r="E422" s="550" t="s">
        <v>6065</v>
      </c>
      <c r="F422" s="550" t="s">
        <v>6066</v>
      </c>
      <c r="G422" s="550" t="s">
        <v>750</v>
      </c>
      <c r="H422" s="550" t="s">
        <v>1772</v>
      </c>
      <c r="I422" s="550" t="s">
        <v>658</v>
      </c>
      <c r="J422" s="550" t="s">
        <v>11923</v>
      </c>
      <c r="K422" s="551">
        <v>44775</v>
      </c>
      <c r="L422" s="552">
        <v>42000</v>
      </c>
      <c r="M422" s="552">
        <v>42000</v>
      </c>
      <c r="N422" s="552">
        <v>42000</v>
      </c>
      <c r="O422" s="552"/>
      <c r="P422" s="552"/>
      <c r="Q422" s="548">
        <v>200</v>
      </c>
      <c r="R422" s="552">
        <v>8400000</v>
      </c>
      <c r="S422" s="548">
        <v>0</v>
      </c>
      <c r="T422" s="552">
        <v>0</v>
      </c>
      <c r="U422" s="548">
        <v>200</v>
      </c>
      <c r="V422" s="552">
        <v>8400000</v>
      </c>
      <c r="W422" s="552">
        <v>0</v>
      </c>
      <c r="X422" s="552">
        <v>0</v>
      </c>
      <c r="Y422" s="552">
        <v>0</v>
      </c>
      <c r="Z422" s="552">
        <v>0</v>
      </c>
      <c r="AA422" s="552">
        <v>0</v>
      </c>
      <c r="AB422" s="552">
        <v>0</v>
      </c>
      <c r="AC422" s="552">
        <v>0</v>
      </c>
      <c r="AD422" s="552">
        <v>0</v>
      </c>
      <c r="AE422" s="552">
        <v>0</v>
      </c>
      <c r="AF422" s="552">
        <v>0</v>
      </c>
      <c r="AG422" s="552">
        <v>0</v>
      </c>
      <c r="AH422" s="552">
        <v>0</v>
      </c>
      <c r="AI422" s="552">
        <v>0</v>
      </c>
      <c r="AJ422" s="552">
        <v>0</v>
      </c>
    </row>
    <row r="423" spans="1:36" ht="15.95" customHeight="1">
      <c r="A423" s="547"/>
      <c r="B423" s="548">
        <v>817</v>
      </c>
      <c r="C423" s="549">
        <v>6974</v>
      </c>
      <c r="D423" s="550" t="s">
        <v>11922</v>
      </c>
      <c r="E423" s="550" t="s">
        <v>6065</v>
      </c>
      <c r="F423" s="550" t="s">
        <v>6066</v>
      </c>
      <c r="G423" s="550" t="s">
        <v>750</v>
      </c>
      <c r="H423" s="550" t="s">
        <v>1772</v>
      </c>
      <c r="I423" s="550" t="s">
        <v>658</v>
      </c>
      <c r="J423" s="550" t="s">
        <v>11923</v>
      </c>
      <c r="K423" s="551">
        <v>45506</v>
      </c>
      <c r="L423" s="552">
        <v>42000</v>
      </c>
      <c r="M423" s="552">
        <v>42000</v>
      </c>
      <c r="N423" s="552">
        <v>42000</v>
      </c>
      <c r="O423" s="552"/>
      <c r="P423" s="552"/>
      <c r="Q423" s="548">
        <v>300</v>
      </c>
      <c r="R423" s="552">
        <v>12600000</v>
      </c>
      <c r="S423" s="548">
        <v>0</v>
      </c>
      <c r="T423" s="552">
        <v>0</v>
      </c>
      <c r="U423" s="548">
        <v>300</v>
      </c>
      <c r="V423" s="552">
        <v>12600000</v>
      </c>
      <c r="W423" s="552">
        <v>0</v>
      </c>
      <c r="X423" s="552">
        <v>0</v>
      </c>
      <c r="Y423" s="552">
        <v>0</v>
      </c>
      <c r="Z423" s="552">
        <v>0</v>
      </c>
      <c r="AA423" s="552">
        <v>0</v>
      </c>
      <c r="AB423" s="552">
        <v>0</v>
      </c>
      <c r="AC423" s="552">
        <v>0</v>
      </c>
      <c r="AD423" s="552">
        <v>0</v>
      </c>
      <c r="AE423" s="552">
        <v>0</v>
      </c>
      <c r="AF423" s="552">
        <v>0</v>
      </c>
      <c r="AG423" s="552">
        <v>0</v>
      </c>
      <c r="AH423" s="552">
        <v>0</v>
      </c>
      <c r="AI423" s="552">
        <v>0</v>
      </c>
      <c r="AJ423" s="552">
        <v>0</v>
      </c>
    </row>
    <row r="424" spans="1:36" ht="15.95" customHeight="1">
      <c r="A424" s="547"/>
      <c r="B424" s="548">
        <v>818</v>
      </c>
      <c r="C424" s="549">
        <v>6985</v>
      </c>
      <c r="D424" s="550" t="s">
        <v>11924</v>
      </c>
      <c r="E424" s="550" t="s">
        <v>4246</v>
      </c>
      <c r="F424" s="550" t="s">
        <v>4247</v>
      </c>
      <c r="G424" s="550" t="s">
        <v>4248</v>
      </c>
      <c r="H424" s="550" t="s">
        <v>4249</v>
      </c>
      <c r="I424" s="550" t="s">
        <v>11</v>
      </c>
      <c r="J424" s="550" t="s">
        <v>11562</v>
      </c>
      <c r="K424" s="551">
        <v>45170</v>
      </c>
      <c r="L424" s="552">
        <v>1974</v>
      </c>
      <c r="M424" s="552">
        <v>1974</v>
      </c>
      <c r="N424" s="552">
        <v>1974</v>
      </c>
      <c r="O424" s="552">
        <v>10230</v>
      </c>
      <c r="P424" s="552">
        <v>20194020</v>
      </c>
      <c r="Q424" s="548">
        <v>0</v>
      </c>
      <c r="R424" s="552">
        <v>0</v>
      </c>
      <c r="S424" s="548">
        <v>10230</v>
      </c>
      <c r="T424" s="552">
        <v>20194020</v>
      </c>
      <c r="U424" s="548">
        <v>0</v>
      </c>
      <c r="V424" s="552">
        <v>0</v>
      </c>
      <c r="W424" s="552">
        <v>0</v>
      </c>
      <c r="X424" s="552">
        <v>0</v>
      </c>
      <c r="Y424" s="552">
        <v>10230</v>
      </c>
      <c r="Z424" s="552">
        <v>20194020</v>
      </c>
      <c r="AA424" s="552">
        <v>10230</v>
      </c>
      <c r="AB424" s="552">
        <v>20194020</v>
      </c>
      <c r="AC424" s="552">
        <v>0</v>
      </c>
      <c r="AD424" s="552">
        <v>0</v>
      </c>
      <c r="AE424" s="552">
        <v>0</v>
      </c>
      <c r="AF424" s="552">
        <v>0</v>
      </c>
      <c r="AG424" s="552">
        <v>0</v>
      </c>
      <c r="AH424" s="552">
        <v>0</v>
      </c>
      <c r="AI424" s="552">
        <v>0</v>
      </c>
      <c r="AJ424" s="552">
        <v>0</v>
      </c>
    </row>
    <row r="425" spans="1:36" ht="15.95" customHeight="1">
      <c r="A425" s="547"/>
      <c r="B425" s="548">
        <v>819</v>
      </c>
      <c r="C425" s="549">
        <v>6985</v>
      </c>
      <c r="D425" s="550" t="s">
        <v>11924</v>
      </c>
      <c r="E425" s="550" t="s">
        <v>4246</v>
      </c>
      <c r="F425" s="550" t="s">
        <v>4247</v>
      </c>
      <c r="G425" s="550" t="s">
        <v>4248</v>
      </c>
      <c r="H425" s="550" t="s">
        <v>4249</v>
      </c>
      <c r="I425" s="550" t="s">
        <v>11</v>
      </c>
      <c r="J425" s="550" t="s">
        <v>11562</v>
      </c>
      <c r="K425" s="551">
        <v>45182</v>
      </c>
      <c r="L425" s="552">
        <v>1974</v>
      </c>
      <c r="M425" s="552">
        <v>1974</v>
      </c>
      <c r="N425" s="552">
        <v>1974</v>
      </c>
      <c r="O425" s="552">
        <v>10000</v>
      </c>
      <c r="P425" s="552">
        <v>19740000</v>
      </c>
      <c r="Q425" s="548">
        <v>0</v>
      </c>
      <c r="R425" s="552">
        <v>0</v>
      </c>
      <c r="S425" s="548">
        <v>10000</v>
      </c>
      <c r="T425" s="552">
        <v>19740000</v>
      </c>
      <c r="U425" s="548">
        <v>0</v>
      </c>
      <c r="V425" s="552">
        <v>0</v>
      </c>
      <c r="W425" s="552">
        <v>0</v>
      </c>
      <c r="X425" s="552">
        <v>0</v>
      </c>
      <c r="Y425" s="552">
        <v>9880</v>
      </c>
      <c r="Z425" s="552">
        <v>19503120</v>
      </c>
      <c r="AA425" s="552">
        <v>9880</v>
      </c>
      <c r="AB425" s="552">
        <v>19503120</v>
      </c>
      <c r="AC425" s="552">
        <v>0</v>
      </c>
      <c r="AD425" s="552">
        <v>0</v>
      </c>
      <c r="AE425" s="552">
        <v>0</v>
      </c>
      <c r="AF425" s="552">
        <v>0</v>
      </c>
      <c r="AG425" s="552">
        <v>120</v>
      </c>
      <c r="AH425" s="552">
        <v>236880</v>
      </c>
      <c r="AI425" s="552">
        <v>0</v>
      </c>
      <c r="AJ425" s="552">
        <v>0</v>
      </c>
    </row>
    <row r="426" spans="1:36" ht="15.95" customHeight="1">
      <c r="A426" s="547"/>
      <c r="B426" s="548">
        <v>820</v>
      </c>
      <c r="C426" s="549">
        <v>6985</v>
      </c>
      <c r="D426" s="550" t="s">
        <v>11924</v>
      </c>
      <c r="E426" s="550" t="s">
        <v>4246</v>
      </c>
      <c r="F426" s="550" t="s">
        <v>4247</v>
      </c>
      <c r="G426" s="550" t="s">
        <v>4248</v>
      </c>
      <c r="H426" s="550" t="s">
        <v>4249</v>
      </c>
      <c r="I426" s="550" t="s">
        <v>11</v>
      </c>
      <c r="J426" s="550" t="s">
        <v>4172</v>
      </c>
      <c r="K426" s="551">
        <v>45344</v>
      </c>
      <c r="L426" s="552">
        <v>1974</v>
      </c>
      <c r="M426" s="552">
        <v>1974</v>
      </c>
      <c r="N426" s="552">
        <v>1974</v>
      </c>
      <c r="O426" s="552"/>
      <c r="P426" s="552"/>
      <c r="Q426" s="548">
        <v>20960</v>
      </c>
      <c r="R426" s="552">
        <v>41375040</v>
      </c>
      <c r="S426" s="548">
        <v>3379</v>
      </c>
      <c r="T426" s="552">
        <v>6670146</v>
      </c>
      <c r="U426" s="548">
        <v>17581</v>
      </c>
      <c r="V426" s="552">
        <v>34704894</v>
      </c>
      <c r="W426" s="552">
        <v>0</v>
      </c>
      <c r="X426" s="552">
        <v>0</v>
      </c>
      <c r="Y426" s="552">
        <v>3379</v>
      </c>
      <c r="Z426" s="552">
        <v>6670146</v>
      </c>
      <c r="AA426" s="552">
        <v>3379</v>
      </c>
      <c r="AB426" s="552">
        <v>6670146</v>
      </c>
      <c r="AC426" s="552">
        <v>0</v>
      </c>
      <c r="AD426" s="552">
        <v>0</v>
      </c>
      <c r="AE426" s="552">
        <v>0</v>
      </c>
      <c r="AF426" s="552">
        <v>0</v>
      </c>
      <c r="AG426" s="552">
        <v>0</v>
      </c>
      <c r="AH426" s="552">
        <v>0</v>
      </c>
      <c r="AI426" s="552">
        <v>0</v>
      </c>
      <c r="AJ426" s="552">
        <v>0</v>
      </c>
    </row>
    <row r="427" spans="1:36" ht="15.95" customHeight="1">
      <c r="A427" s="547"/>
      <c r="B427" s="548">
        <v>821</v>
      </c>
      <c r="C427" s="549">
        <v>6985</v>
      </c>
      <c r="D427" s="550" t="s">
        <v>11924</v>
      </c>
      <c r="E427" s="550" t="s">
        <v>4246</v>
      </c>
      <c r="F427" s="550" t="s">
        <v>4247</v>
      </c>
      <c r="G427" s="550" t="s">
        <v>4248</v>
      </c>
      <c r="H427" s="550" t="s">
        <v>4249</v>
      </c>
      <c r="I427" s="550" t="s">
        <v>11</v>
      </c>
      <c r="J427" s="550" t="s">
        <v>11925</v>
      </c>
      <c r="K427" s="551">
        <v>45389</v>
      </c>
      <c r="L427" s="552">
        <v>1974</v>
      </c>
      <c r="M427" s="552">
        <v>1974</v>
      </c>
      <c r="N427" s="552">
        <v>1974</v>
      </c>
      <c r="O427" s="552"/>
      <c r="P427" s="552"/>
      <c r="Q427" s="548">
        <v>9040</v>
      </c>
      <c r="R427" s="552">
        <v>17844960</v>
      </c>
      <c r="S427" s="548">
        <v>0</v>
      </c>
      <c r="T427" s="552">
        <v>0</v>
      </c>
      <c r="U427" s="548">
        <v>9040</v>
      </c>
      <c r="V427" s="552">
        <v>17844960</v>
      </c>
      <c r="W427" s="552">
        <v>0</v>
      </c>
      <c r="X427" s="552">
        <v>0</v>
      </c>
      <c r="Y427" s="552">
        <v>0</v>
      </c>
      <c r="Z427" s="552">
        <v>0</v>
      </c>
      <c r="AA427" s="552">
        <v>0</v>
      </c>
      <c r="AB427" s="552">
        <v>0</v>
      </c>
      <c r="AC427" s="552">
        <v>0</v>
      </c>
      <c r="AD427" s="552">
        <v>0</v>
      </c>
      <c r="AE427" s="552">
        <v>0</v>
      </c>
      <c r="AF427" s="552">
        <v>0</v>
      </c>
      <c r="AG427" s="552">
        <v>0</v>
      </c>
      <c r="AH427" s="552">
        <v>0</v>
      </c>
      <c r="AI427" s="552">
        <v>0</v>
      </c>
      <c r="AJ427" s="552">
        <v>0</v>
      </c>
    </row>
    <row r="428" spans="1:36" ht="15.95" customHeight="1">
      <c r="A428" s="547"/>
      <c r="B428" s="548">
        <v>822</v>
      </c>
      <c r="C428" s="549">
        <v>6750</v>
      </c>
      <c r="D428" s="550" t="s">
        <v>11926</v>
      </c>
      <c r="E428" s="550" t="s">
        <v>6797</v>
      </c>
      <c r="F428" s="550" t="s">
        <v>6798</v>
      </c>
      <c r="G428" s="550" t="s">
        <v>1333</v>
      </c>
      <c r="H428" s="550" t="s">
        <v>238</v>
      </c>
      <c r="I428" s="550" t="s">
        <v>11</v>
      </c>
      <c r="J428" s="550" t="s">
        <v>11927</v>
      </c>
      <c r="K428" s="551">
        <v>44800</v>
      </c>
      <c r="L428" s="552">
        <v>366</v>
      </c>
      <c r="M428" s="552">
        <v>366</v>
      </c>
      <c r="N428" s="552">
        <v>366</v>
      </c>
      <c r="O428" s="552"/>
      <c r="P428" s="552"/>
      <c r="Q428" s="548">
        <v>2500</v>
      </c>
      <c r="R428" s="552">
        <v>915000</v>
      </c>
      <c r="S428" s="548">
        <v>2500</v>
      </c>
      <c r="T428" s="552">
        <v>915000</v>
      </c>
      <c r="U428" s="548">
        <v>0</v>
      </c>
      <c r="V428" s="552">
        <v>0</v>
      </c>
      <c r="W428" s="552">
        <v>2563</v>
      </c>
      <c r="X428" s="552">
        <v>938058</v>
      </c>
      <c r="Y428" s="552">
        <v>2500</v>
      </c>
      <c r="Z428" s="552">
        <v>915000</v>
      </c>
      <c r="AA428" s="552">
        <v>0</v>
      </c>
      <c r="AB428" s="552">
        <v>0</v>
      </c>
      <c r="AC428" s="552">
        <v>2500</v>
      </c>
      <c r="AD428" s="552">
        <v>915000</v>
      </c>
      <c r="AE428" s="552">
        <v>0</v>
      </c>
      <c r="AF428" s="552">
        <v>0</v>
      </c>
      <c r="AG428" s="552">
        <v>0</v>
      </c>
      <c r="AH428" s="552">
        <v>0</v>
      </c>
      <c r="AI428" s="552">
        <v>0</v>
      </c>
      <c r="AJ428" s="552">
        <v>0</v>
      </c>
    </row>
    <row r="429" spans="1:36" ht="15.95" customHeight="1">
      <c r="A429" s="547"/>
      <c r="B429" s="548">
        <v>823</v>
      </c>
      <c r="C429" s="549">
        <v>6990</v>
      </c>
      <c r="D429" s="550" t="s">
        <v>11928</v>
      </c>
      <c r="E429" s="550" t="s">
        <v>4251</v>
      </c>
      <c r="F429" s="550" t="s">
        <v>4252</v>
      </c>
      <c r="G429" s="550" t="s">
        <v>788</v>
      </c>
      <c r="H429" s="550" t="s">
        <v>390</v>
      </c>
      <c r="I429" s="550" t="s">
        <v>11</v>
      </c>
      <c r="J429" s="550" t="s">
        <v>11929</v>
      </c>
      <c r="K429" s="551">
        <v>44798</v>
      </c>
      <c r="L429" s="552">
        <v>1515</v>
      </c>
      <c r="M429" s="552">
        <v>1515</v>
      </c>
      <c r="N429" s="552">
        <v>1515</v>
      </c>
      <c r="O429" s="552"/>
      <c r="P429" s="552"/>
      <c r="Q429" s="548">
        <v>6990</v>
      </c>
      <c r="R429" s="552">
        <v>10589850</v>
      </c>
      <c r="S429" s="548">
        <v>451</v>
      </c>
      <c r="T429" s="552">
        <v>683265</v>
      </c>
      <c r="U429" s="548">
        <v>6539</v>
      </c>
      <c r="V429" s="552">
        <v>9906585</v>
      </c>
      <c r="W429" s="552">
        <v>0</v>
      </c>
      <c r="X429" s="552">
        <v>0</v>
      </c>
      <c r="Y429" s="552">
        <v>451</v>
      </c>
      <c r="Z429" s="552">
        <v>683265</v>
      </c>
      <c r="AA429" s="552">
        <v>451</v>
      </c>
      <c r="AB429" s="552">
        <v>683265</v>
      </c>
      <c r="AC429" s="552">
        <v>0</v>
      </c>
      <c r="AD429" s="552">
        <v>0</v>
      </c>
      <c r="AE429" s="552">
        <v>0</v>
      </c>
      <c r="AF429" s="552">
        <v>0</v>
      </c>
      <c r="AG429" s="552">
        <v>0</v>
      </c>
      <c r="AH429" s="552">
        <v>0</v>
      </c>
      <c r="AI429" s="552">
        <v>0</v>
      </c>
      <c r="AJ429" s="552">
        <v>0</v>
      </c>
    </row>
    <row r="430" spans="1:36" ht="15.95" customHeight="1">
      <c r="A430" s="547"/>
      <c r="B430" s="548">
        <v>833</v>
      </c>
      <c r="C430" s="549">
        <v>6662</v>
      </c>
      <c r="D430" s="550" t="s">
        <v>11930</v>
      </c>
      <c r="E430" s="550" t="s">
        <v>6211</v>
      </c>
      <c r="F430" s="550" t="s">
        <v>6214</v>
      </c>
      <c r="G430" s="550" t="s">
        <v>6212</v>
      </c>
      <c r="H430" s="550" t="s">
        <v>6213</v>
      </c>
      <c r="I430" s="550" t="s">
        <v>12</v>
      </c>
      <c r="J430" s="550" t="s">
        <v>11931</v>
      </c>
      <c r="K430" s="551">
        <v>45108</v>
      </c>
      <c r="L430" s="552">
        <v>3751</v>
      </c>
      <c r="M430" s="552">
        <v>3751</v>
      </c>
      <c r="N430" s="552">
        <v>3751</v>
      </c>
      <c r="O430" s="552"/>
      <c r="P430" s="552"/>
      <c r="Q430" s="548">
        <v>1248</v>
      </c>
      <c r="R430" s="552">
        <v>4681248</v>
      </c>
      <c r="S430" s="548">
        <v>1248</v>
      </c>
      <c r="T430" s="552">
        <v>4681248</v>
      </c>
      <c r="U430" s="548">
        <v>0</v>
      </c>
      <c r="V430" s="552">
        <v>0</v>
      </c>
      <c r="W430" s="552">
        <v>0</v>
      </c>
      <c r="X430" s="552">
        <v>0</v>
      </c>
      <c r="Y430" s="552">
        <v>0</v>
      </c>
      <c r="Z430" s="552">
        <v>0</v>
      </c>
      <c r="AA430" s="552">
        <v>0</v>
      </c>
      <c r="AB430" s="552">
        <v>0</v>
      </c>
      <c r="AC430" s="552">
        <v>0</v>
      </c>
      <c r="AD430" s="552">
        <v>0</v>
      </c>
      <c r="AE430" s="552">
        <v>0</v>
      </c>
      <c r="AF430" s="552">
        <v>0</v>
      </c>
      <c r="AG430" s="552">
        <v>1248</v>
      </c>
      <c r="AH430" s="552">
        <v>4681248</v>
      </c>
      <c r="AI430" s="552">
        <v>0</v>
      </c>
      <c r="AJ430" s="552">
        <v>0</v>
      </c>
    </row>
    <row r="431" spans="1:36" ht="15.95" customHeight="1">
      <c r="A431" s="547"/>
      <c r="B431" s="548">
        <v>834</v>
      </c>
      <c r="C431" s="549">
        <v>6662</v>
      </c>
      <c r="D431" s="550" t="s">
        <v>11930</v>
      </c>
      <c r="E431" s="550" t="s">
        <v>6211</v>
      </c>
      <c r="F431" s="550" t="s">
        <v>6214</v>
      </c>
      <c r="G431" s="550" t="s">
        <v>6212</v>
      </c>
      <c r="H431" s="550" t="s">
        <v>6213</v>
      </c>
      <c r="I431" s="550" t="s">
        <v>12</v>
      </c>
      <c r="J431" s="550" t="s">
        <v>11932</v>
      </c>
      <c r="K431" s="551">
        <v>45169</v>
      </c>
      <c r="L431" s="552">
        <v>3751</v>
      </c>
      <c r="M431" s="552">
        <v>3751</v>
      </c>
      <c r="N431" s="552">
        <v>3751</v>
      </c>
      <c r="O431" s="552"/>
      <c r="P431" s="552"/>
      <c r="Q431" s="548">
        <v>1343</v>
      </c>
      <c r="R431" s="552">
        <v>5037593</v>
      </c>
      <c r="S431" s="548">
        <v>946</v>
      </c>
      <c r="T431" s="552">
        <v>3548446</v>
      </c>
      <c r="U431" s="548">
        <v>397</v>
      </c>
      <c r="V431" s="552">
        <v>1489147</v>
      </c>
      <c r="W431" s="552">
        <v>0</v>
      </c>
      <c r="X431" s="552">
        <v>0</v>
      </c>
      <c r="Y431" s="552">
        <v>946</v>
      </c>
      <c r="Z431" s="552">
        <v>3548446</v>
      </c>
      <c r="AA431" s="552">
        <v>0</v>
      </c>
      <c r="AB431" s="552">
        <v>0</v>
      </c>
      <c r="AC431" s="552">
        <v>946</v>
      </c>
      <c r="AD431" s="552">
        <v>3548446</v>
      </c>
      <c r="AE431" s="552">
        <v>0</v>
      </c>
      <c r="AF431" s="552">
        <v>0</v>
      </c>
      <c r="AG431" s="552">
        <v>0</v>
      </c>
      <c r="AH431" s="552">
        <v>0</v>
      </c>
      <c r="AI431" s="552">
        <v>0</v>
      </c>
      <c r="AJ431" s="552">
        <v>0</v>
      </c>
    </row>
    <row r="432" spans="1:36" ht="15.95" customHeight="1">
      <c r="A432" s="547"/>
      <c r="B432" s="548">
        <v>838</v>
      </c>
      <c r="C432" s="549">
        <v>7013</v>
      </c>
      <c r="D432" s="550" t="s">
        <v>11933</v>
      </c>
      <c r="E432" s="550" t="s">
        <v>4254</v>
      </c>
      <c r="F432" s="550" t="s">
        <v>793</v>
      </c>
      <c r="G432" s="550" t="s">
        <v>792</v>
      </c>
      <c r="H432" s="550" t="s">
        <v>794</v>
      </c>
      <c r="I432" s="550" t="s">
        <v>520</v>
      </c>
      <c r="J432" s="550" t="s">
        <v>4255</v>
      </c>
      <c r="K432" s="551">
        <v>45340</v>
      </c>
      <c r="L432" s="552">
        <v>13520</v>
      </c>
      <c r="M432" s="552">
        <v>13520</v>
      </c>
      <c r="N432" s="552">
        <v>13520</v>
      </c>
      <c r="O432" s="552">
        <v>192</v>
      </c>
      <c r="P432" s="552">
        <v>2595840</v>
      </c>
      <c r="Q432" s="548">
        <v>0</v>
      </c>
      <c r="R432" s="552">
        <v>0</v>
      </c>
      <c r="S432" s="548">
        <v>69</v>
      </c>
      <c r="T432" s="552">
        <v>932880</v>
      </c>
      <c r="U432" s="548">
        <v>123</v>
      </c>
      <c r="V432" s="552">
        <v>1662960</v>
      </c>
      <c r="W432" s="552">
        <v>0</v>
      </c>
      <c r="X432" s="552">
        <v>0</v>
      </c>
      <c r="Y432" s="552">
        <v>54</v>
      </c>
      <c r="Z432" s="552">
        <v>730080</v>
      </c>
      <c r="AA432" s="552">
        <v>0</v>
      </c>
      <c r="AB432" s="552">
        <v>0</v>
      </c>
      <c r="AC432" s="552">
        <v>54</v>
      </c>
      <c r="AD432" s="552">
        <v>730080</v>
      </c>
      <c r="AE432" s="552">
        <v>0</v>
      </c>
      <c r="AF432" s="552">
        <v>0</v>
      </c>
      <c r="AG432" s="552">
        <v>15</v>
      </c>
      <c r="AH432" s="552">
        <v>202800</v>
      </c>
      <c r="AI432" s="552">
        <v>0</v>
      </c>
      <c r="AJ432" s="552">
        <v>0</v>
      </c>
    </row>
    <row r="433" spans="1:36" ht="15.95" customHeight="1">
      <c r="A433" s="547"/>
      <c r="B433" s="548">
        <v>839</v>
      </c>
      <c r="C433" s="549">
        <v>5587</v>
      </c>
      <c r="D433" s="550"/>
      <c r="E433" s="550" t="s">
        <v>4256</v>
      </c>
      <c r="F433" s="550" t="s">
        <v>793</v>
      </c>
      <c r="G433" s="550" t="s">
        <v>792</v>
      </c>
      <c r="H433" s="550" t="s">
        <v>794</v>
      </c>
      <c r="I433" s="550" t="s">
        <v>520</v>
      </c>
      <c r="J433" s="550" t="s">
        <v>4257</v>
      </c>
      <c r="K433" s="551">
        <v>44690</v>
      </c>
      <c r="L433" s="552">
        <v>13500</v>
      </c>
      <c r="M433" s="552">
        <v>13500</v>
      </c>
      <c r="N433" s="552">
        <v>13500</v>
      </c>
      <c r="O433" s="552">
        <v>4</v>
      </c>
      <c r="P433" s="552">
        <v>54000</v>
      </c>
      <c r="Q433" s="548">
        <v>0</v>
      </c>
      <c r="R433" s="552">
        <v>0</v>
      </c>
      <c r="S433" s="548">
        <v>4</v>
      </c>
      <c r="T433" s="552">
        <v>54000</v>
      </c>
      <c r="U433" s="548">
        <v>0</v>
      </c>
      <c r="V433" s="552">
        <v>0</v>
      </c>
      <c r="W433" s="552">
        <v>0</v>
      </c>
      <c r="X433" s="552">
        <v>0</v>
      </c>
      <c r="Y433" s="552">
        <v>4</v>
      </c>
      <c r="Z433" s="552">
        <v>54000</v>
      </c>
      <c r="AA433" s="552">
        <v>0</v>
      </c>
      <c r="AB433" s="552">
        <v>0</v>
      </c>
      <c r="AC433" s="552">
        <v>4</v>
      </c>
      <c r="AD433" s="552">
        <v>54000</v>
      </c>
      <c r="AE433" s="552">
        <v>0</v>
      </c>
      <c r="AF433" s="552">
        <v>0</v>
      </c>
      <c r="AG433" s="552">
        <v>0</v>
      </c>
      <c r="AH433" s="552">
        <v>0</v>
      </c>
      <c r="AI433" s="552">
        <v>0</v>
      </c>
      <c r="AJ433" s="552">
        <v>0</v>
      </c>
    </row>
    <row r="434" spans="1:36" ht="15.95" customHeight="1">
      <c r="A434" s="547"/>
      <c r="B434" s="548">
        <v>840</v>
      </c>
      <c r="C434" s="549">
        <v>6998</v>
      </c>
      <c r="D434" s="550" t="s">
        <v>11934</v>
      </c>
      <c r="E434" s="550" t="s">
        <v>4258</v>
      </c>
      <c r="F434" s="550" t="s">
        <v>855</v>
      </c>
      <c r="G434" s="550" t="s">
        <v>855</v>
      </c>
      <c r="H434" s="550" t="s">
        <v>334</v>
      </c>
      <c r="I434" s="550" t="s">
        <v>11</v>
      </c>
      <c r="J434" s="550" t="s">
        <v>11935</v>
      </c>
      <c r="K434" s="551">
        <v>45391</v>
      </c>
      <c r="L434" s="552">
        <v>190</v>
      </c>
      <c r="M434" s="552">
        <v>190</v>
      </c>
      <c r="N434" s="552">
        <v>190</v>
      </c>
      <c r="O434" s="552"/>
      <c r="P434" s="552"/>
      <c r="Q434" s="548">
        <v>4500</v>
      </c>
      <c r="R434" s="552">
        <v>855000</v>
      </c>
      <c r="S434" s="548">
        <v>4500</v>
      </c>
      <c r="T434" s="552">
        <v>855000</v>
      </c>
      <c r="U434" s="548">
        <v>0</v>
      </c>
      <c r="V434" s="552">
        <v>0</v>
      </c>
      <c r="W434" s="552">
        <v>1149</v>
      </c>
      <c r="X434" s="552">
        <v>218310</v>
      </c>
      <c r="Y434" s="552">
        <v>4500</v>
      </c>
      <c r="Z434" s="552">
        <v>855000</v>
      </c>
      <c r="AA434" s="552">
        <v>0</v>
      </c>
      <c r="AB434" s="552">
        <v>0</v>
      </c>
      <c r="AC434" s="552">
        <v>4500</v>
      </c>
      <c r="AD434" s="552">
        <v>855000</v>
      </c>
      <c r="AE434" s="552">
        <v>0</v>
      </c>
      <c r="AF434" s="552">
        <v>0</v>
      </c>
      <c r="AG434" s="552">
        <v>0</v>
      </c>
      <c r="AH434" s="552">
        <v>0</v>
      </c>
      <c r="AI434" s="552">
        <v>0</v>
      </c>
      <c r="AJ434" s="552">
        <v>0</v>
      </c>
    </row>
    <row r="435" spans="1:36" ht="15.95" customHeight="1">
      <c r="A435" s="547"/>
      <c r="B435" s="548">
        <v>841</v>
      </c>
      <c r="C435" s="549">
        <v>6998</v>
      </c>
      <c r="D435" s="550" t="s">
        <v>11934</v>
      </c>
      <c r="E435" s="550" t="s">
        <v>4258</v>
      </c>
      <c r="F435" s="550" t="s">
        <v>855</v>
      </c>
      <c r="G435" s="550" t="s">
        <v>855</v>
      </c>
      <c r="H435" s="550" t="s">
        <v>334</v>
      </c>
      <c r="I435" s="550" t="s">
        <v>11</v>
      </c>
      <c r="J435" s="550" t="s">
        <v>11936</v>
      </c>
      <c r="K435" s="551">
        <v>45081</v>
      </c>
      <c r="L435" s="552">
        <v>190</v>
      </c>
      <c r="M435" s="552">
        <v>190</v>
      </c>
      <c r="N435" s="552">
        <v>190</v>
      </c>
      <c r="O435" s="552"/>
      <c r="P435" s="552"/>
      <c r="Q435" s="548">
        <v>6000</v>
      </c>
      <c r="R435" s="552">
        <v>1140000</v>
      </c>
      <c r="S435" s="548">
        <v>6000</v>
      </c>
      <c r="T435" s="552">
        <v>1140000</v>
      </c>
      <c r="U435" s="548">
        <v>0</v>
      </c>
      <c r="V435" s="552">
        <v>0</v>
      </c>
      <c r="W435" s="552">
        <v>6000</v>
      </c>
      <c r="X435" s="552">
        <v>1140000</v>
      </c>
      <c r="Y435" s="552">
        <v>6000</v>
      </c>
      <c r="Z435" s="552">
        <v>1140000</v>
      </c>
      <c r="AA435" s="552">
        <v>0</v>
      </c>
      <c r="AB435" s="552">
        <v>0</v>
      </c>
      <c r="AC435" s="552">
        <v>6000</v>
      </c>
      <c r="AD435" s="552">
        <v>1140000</v>
      </c>
      <c r="AE435" s="552">
        <v>0</v>
      </c>
      <c r="AF435" s="552">
        <v>0</v>
      </c>
      <c r="AG435" s="552">
        <v>0</v>
      </c>
      <c r="AH435" s="552">
        <v>0</v>
      </c>
      <c r="AI435" s="552">
        <v>0</v>
      </c>
      <c r="AJ435" s="552">
        <v>0</v>
      </c>
    </row>
    <row r="436" spans="1:36" ht="15.95" customHeight="1">
      <c r="A436" s="547"/>
      <c r="B436" s="548">
        <v>842</v>
      </c>
      <c r="C436" s="549">
        <v>7610</v>
      </c>
      <c r="D436" s="550" t="s">
        <v>11937</v>
      </c>
      <c r="E436" s="550" t="s">
        <v>4271</v>
      </c>
      <c r="F436" s="550" t="s">
        <v>6183</v>
      </c>
      <c r="G436" s="550" t="s">
        <v>855</v>
      </c>
      <c r="H436" s="550" t="s">
        <v>641</v>
      </c>
      <c r="I436" s="550" t="s">
        <v>11</v>
      </c>
      <c r="J436" s="550" t="s">
        <v>11938</v>
      </c>
      <c r="K436" s="551">
        <v>45296</v>
      </c>
      <c r="L436" s="552">
        <v>1315</v>
      </c>
      <c r="M436" s="552">
        <v>1315</v>
      </c>
      <c r="N436" s="552">
        <v>1315</v>
      </c>
      <c r="O436" s="552"/>
      <c r="P436" s="552"/>
      <c r="Q436" s="548">
        <v>4800</v>
      </c>
      <c r="R436" s="552">
        <v>6312000</v>
      </c>
      <c r="S436" s="548">
        <v>0</v>
      </c>
      <c r="T436" s="552">
        <v>0</v>
      </c>
      <c r="U436" s="548">
        <v>4800</v>
      </c>
      <c r="V436" s="552">
        <v>6312000</v>
      </c>
      <c r="W436" s="552">
        <v>0</v>
      </c>
      <c r="X436" s="552">
        <v>0</v>
      </c>
      <c r="Y436" s="552">
        <v>0</v>
      </c>
      <c r="Z436" s="552">
        <v>0</v>
      </c>
      <c r="AA436" s="552">
        <v>0</v>
      </c>
      <c r="AB436" s="552">
        <v>0</v>
      </c>
      <c r="AC436" s="552">
        <v>0</v>
      </c>
      <c r="AD436" s="552">
        <v>0</v>
      </c>
      <c r="AE436" s="552">
        <v>0</v>
      </c>
      <c r="AF436" s="552">
        <v>0</v>
      </c>
      <c r="AG436" s="552">
        <v>0</v>
      </c>
      <c r="AH436" s="552">
        <v>0</v>
      </c>
      <c r="AI436" s="552">
        <v>0</v>
      </c>
      <c r="AJ436" s="552">
        <v>0</v>
      </c>
    </row>
    <row r="437" spans="1:36" ht="15.95" customHeight="1">
      <c r="A437" s="547"/>
      <c r="B437" s="548">
        <v>844</v>
      </c>
      <c r="C437" s="549">
        <v>7213</v>
      </c>
      <c r="D437" s="550" t="s">
        <v>11939</v>
      </c>
      <c r="E437" s="550" t="s">
        <v>4259</v>
      </c>
      <c r="F437" s="550" t="s">
        <v>4260</v>
      </c>
      <c r="G437" s="550" t="s">
        <v>882</v>
      </c>
      <c r="H437" s="550" t="s">
        <v>262</v>
      </c>
      <c r="I437" s="550" t="s">
        <v>10</v>
      </c>
      <c r="J437" s="550" t="s">
        <v>4261</v>
      </c>
      <c r="K437" s="551">
        <v>44501</v>
      </c>
      <c r="L437" s="552">
        <v>58240</v>
      </c>
      <c r="M437" s="552">
        <v>58240</v>
      </c>
      <c r="N437" s="552">
        <v>58240</v>
      </c>
      <c r="O437" s="552">
        <v>43</v>
      </c>
      <c r="P437" s="552">
        <v>2504320</v>
      </c>
      <c r="Q437" s="548">
        <v>0</v>
      </c>
      <c r="R437" s="552">
        <v>0</v>
      </c>
      <c r="S437" s="548">
        <v>42</v>
      </c>
      <c r="T437" s="552">
        <v>2446080</v>
      </c>
      <c r="U437" s="548">
        <v>1</v>
      </c>
      <c r="V437" s="552">
        <v>58240</v>
      </c>
      <c r="W437" s="552">
        <v>0</v>
      </c>
      <c r="X437" s="552">
        <v>0</v>
      </c>
      <c r="Y437" s="552">
        <v>42</v>
      </c>
      <c r="Z437" s="552">
        <v>2446080</v>
      </c>
      <c r="AA437" s="552">
        <v>0</v>
      </c>
      <c r="AB437" s="552">
        <v>0</v>
      </c>
      <c r="AC437" s="552">
        <v>42</v>
      </c>
      <c r="AD437" s="552">
        <v>2446080</v>
      </c>
      <c r="AE437" s="552">
        <v>0</v>
      </c>
      <c r="AF437" s="552">
        <v>0</v>
      </c>
      <c r="AG437" s="552">
        <v>0</v>
      </c>
      <c r="AH437" s="552">
        <v>0</v>
      </c>
      <c r="AI437" s="552">
        <v>0</v>
      </c>
      <c r="AJ437" s="552">
        <v>0</v>
      </c>
    </row>
    <row r="438" spans="1:36" ht="15.95" customHeight="1">
      <c r="A438" s="547"/>
      <c r="B438" s="548">
        <v>846</v>
      </c>
      <c r="C438" s="549">
        <v>6848</v>
      </c>
      <c r="D438" s="550" t="s">
        <v>11940</v>
      </c>
      <c r="E438" s="550" t="s">
        <v>4262</v>
      </c>
      <c r="F438" s="550" t="s">
        <v>4263</v>
      </c>
      <c r="G438" s="550" t="s">
        <v>555</v>
      </c>
      <c r="H438" s="550" t="s">
        <v>262</v>
      </c>
      <c r="I438" s="550" t="s">
        <v>11</v>
      </c>
      <c r="J438" s="550" t="s">
        <v>4264</v>
      </c>
      <c r="K438" s="551">
        <v>44957</v>
      </c>
      <c r="L438" s="552">
        <v>6500</v>
      </c>
      <c r="M438" s="552">
        <v>6500</v>
      </c>
      <c r="N438" s="552">
        <v>6500</v>
      </c>
      <c r="O438" s="552">
        <v>7906</v>
      </c>
      <c r="P438" s="552">
        <v>51389000</v>
      </c>
      <c r="Q438" s="548">
        <v>0</v>
      </c>
      <c r="R438" s="552">
        <v>0</v>
      </c>
      <c r="S438" s="548">
        <v>7900</v>
      </c>
      <c r="T438" s="552">
        <v>51350000</v>
      </c>
      <c r="U438" s="548">
        <v>6</v>
      </c>
      <c r="V438" s="552">
        <v>39000</v>
      </c>
      <c r="W438" s="552">
        <v>0</v>
      </c>
      <c r="X438" s="552">
        <v>0</v>
      </c>
      <c r="Y438" s="552">
        <v>7900</v>
      </c>
      <c r="Z438" s="552">
        <v>51350000</v>
      </c>
      <c r="AA438" s="552">
        <v>7900</v>
      </c>
      <c r="AB438" s="552">
        <v>51350000</v>
      </c>
      <c r="AC438" s="552">
        <v>0</v>
      </c>
      <c r="AD438" s="552">
        <v>0</v>
      </c>
      <c r="AE438" s="552">
        <v>0</v>
      </c>
      <c r="AF438" s="552">
        <v>0</v>
      </c>
      <c r="AG438" s="552">
        <v>0</v>
      </c>
      <c r="AH438" s="552">
        <v>0</v>
      </c>
      <c r="AI438" s="552">
        <v>0</v>
      </c>
      <c r="AJ438" s="552">
        <v>0</v>
      </c>
    </row>
    <row r="439" spans="1:36" ht="15.95" customHeight="1">
      <c r="A439" s="547"/>
      <c r="B439" s="548">
        <v>847</v>
      </c>
      <c r="C439" s="549">
        <v>7222</v>
      </c>
      <c r="D439" s="550" t="s">
        <v>11941</v>
      </c>
      <c r="E439" s="550" t="s">
        <v>4265</v>
      </c>
      <c r="F439" s="550" t="s">
        <v>4266</v>
      </c>
      <c r="G439" s="550" t="s">
        <v>1302</v>
      </c>
      <c r="H439" s="550" t="s">
        <v>235</v>
      </c>
      <c r="I439" s="550" t="s">
        <v>10</v>
      </c>
      <c r="J439" s="550" t="s">
        <v>11942</v>
      </c>
      <c r="K439" s="551">
        <v>45016</v>
      </c>
      <c r="L439" s="552">
        <v>2540</v>
      </c>
      <c r="M439" s="552">
        <v>2540</v>
      </c>
      <c r="N439" s="552">
        <v>2540</v>
      </c>
      <c r="O439" s="552">
        <v>100</v>
      </c>
      <c r="P439" s="552">
        <v>254000</v>
      </c>
      <c r="Q439" s="548">
        <v>0</v>
      </c>
      <c r="R439" s="552">
        <v>0</v>
      </c>
      <c r="S439" s="548">
        <v>100</v>
      </c>
      <c r="T439" s="552">
        <v>254000</v>
      </c>
      <c r="U439" s="548">
        <v>0</v>
      </c>
      <c r="V439" s="552">
        <v>0</v>
      </c>
      <c r="W439" s="552">
        <v>0</v>
      </c>
      <c r="X439" s="552">
        <v>0</v>
      </c>
      <c r="Y439" s="552">
        <v>100</v>
      </c>
      <c r="Z439" s="552">
        <v>254000</v>
      </c>
      <c r="AA439" s="552">
        <v>1</v>
      </c>
      <c r="AB439" s="552">
        <v>2540</v>
      </c>
      <c r="AC439" s="552">
        <v>99</v>
      </c>
      <c r="AD439" s="552">
        <v>251460</v>
      </c>
      <c r="AE439" s="552">
        <v>0</v>
      </c>
      <c r="AF439" s="552">
        <v>0</v>
      </c>
      <c r="AG439" s="552">
        <v>0</v>
      </c>
      <c r="AH439" s="552">
        <v>0</v>
      </c>
      <c r="AI439" s="552">
        <v>0</v>
      </c>
      <c r="AJ439" s="552">
        <v>0</v>
      </c>
    </row>
    <row r="440" spans="1:36" ht="15.95" customHeight="1">
      <c r="A440" s="547"/>
      <c r="B440" s="548">
        <v>849</v>
      </c>
      <c r="C440" s="549">
        <v>6890</v>
      </c>
      <c r="D440" s="550" t="s">
        <v>11943</v>
      </c>
      <c r="E440" s="550" t="s">
        <v>4267</v>
      </c>
      <c r="F440" s="550" t="s">
        <v>4268</v>
      </c>
      <c r="G440" s="550" t="s">
        <v>4269</v>
      </c>
      <c r="H440" s="550" t="s">
        <v>663</v>
      </c>
      <c r="I440" s="550" t="s">
        <v>11</v>
      </c>
      <c r="J440" s="550" t="s">
        <v>11944</v>
      </c>
      <c r="K440" s="551">
        <v>45000</v>
      </c>
      <c r="L440" s="552">
        <v>1050</v>
      </c>
      <c r="M440" s="552">
        <v>1050</v>
      </c>
      <c r="N440" s="552">
        <v>1050</v>
      </c>
      <c r="O440" s="552"/>
      <c r="P440" s="552"/>
      <c r="Q440" s="548">
        <v>6000</v>
      </c>
      <c r="R440" s="552">
        <v>6300000</v>
      </c>
      <c r="S440" s="548">
        <v>683</v>
      </c>
      <c r="T440" s="552">
        <v>717150</v>
      </c>
      <c r="U440" s="548">
        <v>5317</v>
      </c>
      <c r="V440" s="552">
        <v>5582850</v>
      </c>
      <c r="W440" s="552">
        <v>0</v>
      </c>
      <c r="X440" s="552">
        <v>0</v>
      </c>
      <c r="Y440" s="552">
        <v>683</v>
      </c>
      <c r="Z440" s="552">
        <v>717150</v>
      </c>
      <c r="AA440" s="552">
        <v>683</v>
      </c>
      <c r="AB440" s="552">
        <v>717150</v>
      </c>
      <c r="AC440" s="552">
        <v>0</v>
      </c>
      <c r="AD440" s="552">
        <v>0</v>
      </c>
      <c r="AE440" s="552">
        <v>0</v>
      </c>
      <c r="AF440" s="552">
        <v>0</v>
      </c>
      <c r="AG440" s="552">
        <v>0</v>
      </c>
      <c r="AH440" s="552">
        <v>0</v>
      </c>
      <c r="AI440" s="552">
        <v>0</v>
      </c>
      <c r="AJ440" s="552">
        <v>0</v>
      </c>
    </row>
    <row r="441" spans="1:36" ht="15.95" customHeight="1">
      <c r="A441" s="547"/>
      <c r="B441" s="548">
        <v>850</v>
      </c>
      <c r="C441" s="549">
        <v>6890</v>
      </c>
      <c r="D441" s="550" t="s">
        <v>11943</v>
      </c>
      <c r="E441" s="550" t="s">
        <v>4267</v>
      </c>
      <c r="F441" s="550" t="s">
        <v>4268</v>
      </c>
      <c r="G441" s="550" t="s">
        <v>4269</v>
      </c>
      <c r="H441" s="550" t="s">
        <v>663</v>
      </c>
      <c r="I441" s="550" t="s">
        <v>11</v>
      </c>
      <c r="J441" s="550" t="s">
        <v>4270</v>
      </c>
      <c r="K441" s="551">
        <v>44531</v>
      </c>
      <c r="L441" s="552">
        <v>1050</v>
      </c>
      <c r="M441" s="552">
        <v>1050</v>
      </c>
      <c r="N441" s="552">
        <v>1050</v>
      </c>
      <c r="O441" s="552">
        <v>1844</v>
      </c>
      <c r="P441" s="552">
        <v>1936200</v>
      </c>
      <c r="Q441" s="548">
        <v>0</v>
      </c>
      <c r="R441" s="552">
        <v>0</v>
      </c>
      <c r="S441" s="548">
        <v>1844</v>
      </c>
      <c r="T441" s="552">
        <v>1936200</v>
      </c>
      <c r="U441" s="548">
        <v>0</v>
      </c>
      <c r="V441" s="552">
        <v>0</v>
      </c>
      <c r="W441" s="552">
        <v>0</v>
      </c>
      <c r="X441" s="552">
        <v>0</v>
      </c>
      <c r="Y441" s="552">
        <v>1844</v>
      </c>
      <c r="Z441" s="552">
        <v>1936200</v>
      </c>
      <c r="AA441" s="552">
        <v>1844</v>
      </c>
      <c r="AB441" s="552">
        <v>1936200</v>
      </c>
      <c r="AC441" s="552">
        <v>0</v>
      </c>
      <c r="AD441" s="552">
        <v>0</v>
      </c>
      <c r="AE441" s="552">
        <v>0</v>
      </c>
      <c r="AF441" s="552">
        <v>0</v>
      </c>
      <c r="AG441" s="552">
        <v>0</v>
      </c>
      <c r="AH441" s="552">
        <v>0</v>
      </c>
      <c r="AI441" s="552">
        <v>0</v>
      </c>
      <c r="AJ441" s="552">
        <v>0</v>
      </c>
    </row>
    <row r="442" spans="1:36" ht="15.95" customHeight="1">
      <c r="A442" s="547"/>
      <c r="B442" s="548">
        <v>851</v>
      </c>
      <c r="C442" s="549">
        <v>6890</v>
      </c>
      <c r="D442" s="550" t="s">
        <v>11943</v>
      </c>
      <c r="E442" s="550" t="s">
        <v>4267</v>
      </c>
      <c r="F442" s="550" t="s">
        <v>4268</v>
      </c>
      <c r="G442" s="550" t="s">
        <v>4269</v>
      </c>
      <c r="H442" s="550" t="s">
        <v>663</v>
      </c>
      <c r="I442" s="550" t="s">
        <v>11</v>
      </c>
      <c r="J442" s="550" t="s">
        <v>3925</v>
      </c>
      <c r="K442" s="551">
        <v>44593</v>
      </c>
      <c r="L442" s="552">
        <v>1050</v>
      </c>
      <c r="M442" s="552">
        <v>1050</v>
      </c>
      <c r="N442" s="552">
        <v>1050</v>
      </c>
      <c r="O442" s="552">
        <v>3000</v>
      </c>
      <c r="P442" s="552">
        <v>3150000</v>
      </c>
      <c r="Q442" s="548">
        <v>0</v>
      </c>
      <c r="R442" s="552">
        <v>0</v>
      </c>
      <c r="S442" s="548">
        <v>3000</v>
      </c>
      <c r="T442" s="552">
        <v>3150000</v>
      </c>
      <c r="U442" s="548">
        <v>0</v>
      </c>
      <c r="V442" s="552">
        <v>0</v>
      </c>
      <c r="W442" s="552">
        <v>0</v>
      </c>
      <c r="X442" s="552">
        <v>0</v>
      </c>
      <c r="Y442" s="552">
        <v>3000</v>
      </c>
      <c r="Z442" s="552">
        <v>3150000</v>
      </c>
      <c r="AA442" s="552">
        <v>3000</v>
      </c>
      <c r="AB442" s="552">
        <v>3150000</v>
      </c>
      <c r="AC442" s="552">
        <v>0</v>
      </c>
      <c r="AD442" s="552">
        <v>0</v>
      </c>
      <c r="AE442" s="552">
        <v>0</v>
      </c>
      <c r="AF442" s="552">
        <v>0</v>
      </c>
      <c r="AG442" s="552">
        <v>0</v>
      </c>
      <c r="AH442" s="552">
        <v>0</v>
      </c>
      <c r="AI442" s="552">
        <v>0</v>
      </c>
      <c r="AJ442" s="552">
        <v>0</v>
      </c>
    </row>
    <row r="443" spans="1:36" ht="15.95" customHeight="1">
      <c r="A443" s="547"/>
      <c r="B443" s="548">
        <v>852</v>
      </c>
      <c r="C443" s="549">
        <v>7000</v>
      </c>
      <c r="D443" s="550" t="s">
        <v>11945</v>
      </c>
      <c r="E443" s="550" t="s">
        <v>6187</v>
      </c>
      <c r="F443" s="550" t="s">
        <v>1176</v>
      </c>
      <c r="G443" s="550" t="s">
        <v>855</v>
      </c>
      <c r="H443" s="550" t="s">
        <v>1177</v>
      </c>
      <c r="I443" s="550" t="s">
        <v>11</v>
      </c>
      <c r="J443" s="550" t="s">
        <v>11946</v>
      </c>
      <c r="K443" s="551">
        <v>44987</v>
      </c>
      <c r="L443" s="552">
        <v>2290</v>
      </c>
      <c r="M443" s="552">
        <v>2290</v>
      </c>
      <c r="N443" s="552">
        <v>2290</v>
      </c>
      <c r="O443" s="552"/>
      <c r="P443" s="552"/>
      <c r="Q443" s="548">
        <v>500</v>
      </c>
      <c r="R443" s="552">
        <v>1145000</v>
      </c>
      <c r="S443" s="548">
        <v>500</v>
      </c>
      <c r="T443" s="552">
        <v>1145000</v>
      </c>
      <c r="U443" s="548">
        <v>0</v>
      </c>
      <c r="V443" s="552">
        <v>0</v>
      </c>
      <c r="W443" s="552">
        <v>80</v>
      </c>
      <c r="X443" s="552">
        <v>183200</v>
      </c>
      <c r="Y443" s="552">
        <v>500</v>
      </c>
      <c r="Z443" s="552">
        <v>1145000</v>
      </c>
      <c r="AA443" s="552">
        <v>0</v>
      </c>
      <c r="AB443" s="552">
        <v>0</v>
      </c>
      <c r="AC443" s="552">
        <v>500</v>
      </c>
      <c r="AD443" s="552">
        <v>1145000</v>
      </c>
      <c r="AE443" s="552">
        <v>0</v>
      </c>
      <c r="AF443" s="552">
        <v>0</v>
      </c>
      <c r="AG443" s="552">
        <v>0</v>
      </c>
      <c r="AH443" s="552">
        <v>0</v>
      </c>
      <c r="AI443" s="552">
        <v>0</v>
      </c>
      <c r="AJ443" s="552">
        <v>0</v>
      </c>
    </row>
    <row r="444" spans="1:36" ht="15.95" customHeight="1">
      <c r="A444" s="547"/>
      <c r="B444" s="548">
        <v>853</v>
      </c>
      <c r="C444" s="549">
        <v>7001</v>
      </c>
      <c r="D444" s="550" t="s">
        <v>11947</v>
      </c>
      <c r="E444" s="550" t="s">
        <v>4272</v>
      </c>
      <c r="F444" s="550" t="s">
        <v>4273</v>
      </c>
      <c r="G444" s="550" t="s">
        <v>855</v>
      </c>
      <c r="H444" s="550" t="s">
        <v>334</v>
      </c>
      <c r="I444" s="550" t="s">
        <v>11</v>
      </c>
      <c r="J444" s="550" t="s">
        <v>3975</v>
      </c>
      <c r="K444" s="551">
        <v>44992</v>
      </c>
      <c r="L444" s="552">
        <v>900</v>
      </c>
      <c r="M444" s="552">
        <v>900</v>
      </c>
      <c r="N444" s="552">
        <v>900</v>
      </c>
      <c r="O444" s="552">
        <v>937</v>
      </c>
      <c r="P444" s="552">
        <v>843300</v>
      </c>
      <c r="Q444" s="548">
        <v>0</v>
      </c>
      <c r="R444" s="552">
        <v>0</v>
      </c>
      <c r="S444" s="548">
        <v>0</v>
      </c>
      <c r="T444" s="552">
        <v>0</v>
      </c>
      <c r="U444" s="548">
        <v>937</v>
      </c>
      <c r="V444" s="552">
        <v>843300</v>
      </c>
      <c r="W444" s="552">
        <v>180</v>
      </c>
      <c r="X444" s="552">
        <v>162000</v>
      </c>
      <c r="Y444" s="552">
        <v>0</v>
      </c>
      <c r="Z444" s="552">
        <v>0</v>
      </c>
      <c r="AA444" s="552">
        <v>0</v>
      </c>
      <c r="AB444" s="552">
        <v>0</v>
      </c>
      <c r="AC444" s="552">
        <v>0</v>
      </c>
      <c r="AD444" s="552">
        <v>0</v>
      </c>
      <c r="AE444" s="552">
        <v>0</v>
      </c>
      <c r="AF444" s="552">
        <v>0</v>
      </c>
      <c r="AG444" s="552">
        <v>0</v>
      </c>
      <c r="AH444" s="552">
        <v>0</v>
      </c>
      <c r="AI444" s="552">
        <v>0</v>
      </c>
      <c r="AJ444" s="552">
        <v>0</v>
      </c>
    </row>
    <row r="445" spans="1:36" ht="15.95" customHeight="1">
      <c r="A445" s="547"/>
      <c r="B445" s="548">
        <v>854</v>
      </c>
      <c r="C445" s="549">
        <v>7001</v>
      </c>
      <c r="D445" s="550" t="s">
        <v>11947</v>
      </c>
      <c r="E445" s="550" t="s">
        <v>4272</v>
      </c>
      <c r="F445" s="550" t="s">
        <v>4273</v>
      </c>
      <c r="G445" s="550" t="s">
        <v>855</v>
      </c>
      <c r="H445" s="550" t="s">
        <v>334</v>
      </c>
      <c r="I445" s="550" t="s">
        <v>11</v>
      </c>
      <c r="J445" s="550" t="s">
        <v>11948</v>
      </c>
      <c r="K445" s="551">
        <v>44993</v>
      </c>
      <c r="L445" s="552">
        <v>900</v>
      </c>
      <c r="M445" s="552">
        <v>900</v>
      </c>
      <c r="N445" s="552">
        <v>900</v>
      </c>
      <c r="O445" s="552">
        <v>5000</v>
      </c>
      <c r="P445" s="552">
        <v>4500000</v>
      </c>
      <c r="Q445" s="548">
        <v>0</v>
      </c>
      <c r="R445" s="552">
        <v>0</v>
      </c>
      <c r="S445" s="548">
        <v>5000</v>
      </c>
      <c r="T445" s="552">
        <v>4500000</v>
      </c>
      <c r="U445" s="548">
        <v>0</v>
      </c>
      <c r="V445" s="552">
        <v>0</v>
      </c>
      <c r="W445" s="552">
        <v>1221</v>
      </c>
      <c r="X445" s="552">
        <v>1098900</v>
      </c>
      <c r="Y445" s="552">
        <v>5000</v>
      </c>
      <c r="Z445" s="552">
        <v>4500000</v>
      </c>
      <c r="AA445" s="552">
        <v>0</v>
      </c>
      <c r="AB445" s="552">
        <v>0</v>
      </c>
      <c r="AC445" s="552">
        <v>5000</v>
      </c>
      <c r="AD445" s="552">
        <v>4500000</v>
      </c>
      <c r="AE445" s="552">
        <v>0</v>
      </c>
      <c r="AF445" s="552">
        <v>0</v>
      </c>
      <c r="AG445" s="552">
        <v>0</v>
      </c>
      <c r="AH445" s="552">
        <v>0</v>
      </c>
      <c r="AI445" s="552">
        <v>0</v>
      </c>
      <c r="AJ445" s="552">
        <v>0</v>
      </c>
    </row>
    <row r="446" spans="1:36" ht="15.95" customHeight="1">
      <c r="A446" s="547"/>
      <c r="B446" s="548">
        <v>855</v>
      </c>
      <c r="C446" s="549">
        <v>7001</v>
      </c>
      <c r="D446" s="550" t="s">
        <v>11947</v>
      </c>
      <c r="E446" s="550" t="s">
        <v>4272</v>
      </c>
      <c r="F446" s="550" t="s">
        <v>4273</v>
      </c>
      <c r="G446" s="550" t="s">
        <v>855</v>
      </c>
      <c r="H446" s="550" t="s">
        <v>334</v>
      </c>
      <c r="I446" s="550" t="s">
        <v>11</v>
      </c>
      <c r="J446" s="550" t="s">
        <v>11949</v>
      </c>
      <c r="K446" s="551">
        <v>45302</v>
      </c>
      <c r="L446" s="552">
        <v>900</v>
      </c>
      <c r="M446" s="552">
        <v>900</v>
      </c>
      <c r="N446" s="552">
        <v>900</v>
      </c>
      <c r="O446" s="552"/>
      <c r="P446" s="552"/>
      <c r="Q446" s="548">
        <v>20000</v>
      </c>
      <c r="R446" s="552">
        <v>18000000</v>
      </c>
      <c r="S446" s="548">
        <v>2556</v>
      </c>
      <c r="T446" s="552">
        <v>2300400</v>
      </c>
      <c r="U446" s="548">
        <v>17444</v>
      </c>
      <c r="V446" s="552">
        <v>15699600</v>
      </c>
      <c r="W446" s="552">
        <v>0</v>
      </c>
      <c r="X446" s="552">
        <v>0</v>
      </c>
      <c r="Y446" s="552">
        <v>2556</v>
      </c>
      <c r="Z446" s="552">
        <v>2300400</v>
      </c>
      <c r="AA446" s="552">
        <v>556</v>
      </c>
      <c r="AB446" s="552">
        <v>500400</v>
      </c>
      <c r="AC446" s="552">
        <v>2000</v>
      </c>
      <c r="AD446" s="552">
        <v>1800000</v>
      </c>
      <c r="AE446" s="552">
        <v>0</v>
      </c>
      <c r="AF446" s="552">
        <v>0</v>
      </c>
      <c r="AG446" s="552">
        <v>0</v>
      </c>
      <c r="AH446" s="552">
        <v>0</v>
      </c>
      <c r="AI446" s="552">
        <v>0</v>
      </c>
      <c r="AJ446" s="552">
        <v>0</v>
      </c>
    </row>
    <row r="447" spans="1:36" ht="15.95" customHeight="1">
      <c r="A447" s="547"/>
      <c r="B447" s="548">
        <v>856</v>
      </c>
      <c r="C447" s="549">
        <v>7014</v>
      </c>
      <c r="D447" s="550" t="s">
        <v>11950</v>
      </c>
      <c r="E447" s="550" t="s">
        <v>4274</v>
      </c>
      <c r="F447" s="550" t="s">
        <v>1934</v>
      </c>
      <c r="G447" s="550" t="s">
        <v>792</v>
      </c>
      <c r="H447" s="550" t="s">
        <v>4275</v>
      </c>
      <c r="I447" s="550" t="s">
        <v>15</v>
      </c>
      <c r="J447" s="550" t="s">
        <v>11673</v>
      </c>
      <c r="K447" s="551">
        <v>45222</v>
      </c>
      <c r="L447" s="552">
        <v>9345</v>
      </c>
      <c r="M447" s="552">
        <v>9345</v>
      </c>
      <c r="N447" s="552">
        <v>9345</v>
      </c>
      <c r="O447" s="552">
        <v>50</v>
      </c>
      <c r="P447" s="552">
        <v>467250</v>
      </c>
      <c r="Q447" s="548">
        <v>0</v>
      </c>
      <c r="R447" s="552">
        <v>0</v>
      </c>
      <c r="S447" s="548">
        <v>50</v>
      </c>
      <c r="T447" s="552">
        <v>467250</v>
      </c>
      <c r="U447" s="548">
        <v>0</v>
      </c>
      <c r="V447" s="552">
        <v>0</v>
      </c>
      <c r="W447" s="552">
        <v>19</v>
      </c>
      <c r="X447" s="552">
        <v>177555</v>
      </c>
      <c r="Y447" s="552">
        <v>50</v>
      </c>
      <c r="Z447" s="552">
        <v>467250</v>
      </c>
      <c r="AA447" s="552">
        <v>30</v>
      </c>
      <c r="AB447" s="552">
        <v>280350</v>
      </c>
      <c r="AC447" s="552">
        <v>20</v>
      </c>
      <c r="AD447" s="552">
        <v>186900</v>
      </c>
      <c r="AE447" s="552">
        <v>0</v>
      </c>
      <c r="AF447" s="552">
        <v>0</v>
      </c>
      <c r="AG447" s="552">
        <v>0</v>
      </c>
      <c r="AH447" s="552">
        <v>0</v>
      </c>
      <c r="AI447" s="552">
        <v>0</v>
      </c>
      <c r="AJ447" s="552">
        <v>0</v>
      </c>
    </row>
    <row r="448" spans="1:36" ht="15.95" customHeight="1">
      <c r="A448" s="547"/>
      <c r="B448" s="548">
        <v>857</v>
      </c>
      <c r="C448" s="549">
        <v>7014</v>
      </c>
      <c r="D448" s="550" t="s">
        <v>11950</v>
      </c>
      <c r="E448" s="550" t="s">
        <v>4274</v>
      </c>
      <c r="F448" s="550" t="s">
        <v>1934</v>
      </c>
      <c r="G448" s="550" t="s">
        <v>792</v>
      </c>
      <c r="H448" s="550" t="s">
        <v>4275</v>
      </c>
      <c r="I448" s="550" t="s">
        <v>15</v>
      </c>
      <c r="J448" s="550" t="s">
        <v>4276</v>
      </c>
      <c r="K448" s="551">
        <v>44752</v>
      </c>
      <c r="L448" s="552">
        <v>9345</v>
      </c>
      <c r="M448" s="552">
        <v>9345</v>
      </c>
      <c r="N448" s="552">
        <v>9345</v>
      </c>
      <c r="O448" s="552">
        <v>129</v>
      </c>
      <c r="P448" s="552">
        <v>1205505</v>
      </c>
      <c r="Q448" s="548">
        <v>0</v>
      </c>
      <c r="R448" s="552">
        <v>0</v>
      </c>
      <c r="S448" s="548">
        <v>129</v>
      </c>
      <c r="T448" s="552">
        <v>1205505</v>
      </c>
      <c r="U448" s="548">
        <v>0</v>
      </c>
      <c r="V448" s="552">
        <v>0</v>
      </c>
      <c r="W448" s="552">
        <v>61</v>
      </c>
      <c r="X448" s="552">
        <v>570045</v>
      </c>
      <c r="Y448" s="552">
        <v>129</v>
      </c>
      <c r="Z448" s="552">
        <v>1205505</v>
      </c>
      <c r="AA448" s="552">
        <v>97</v>
      </c>
      <c r="AB448" s="552">
        <v>906465</v>
      </c>
      <c r="AC448" s="552">
        <v>32</v>
      </c>
      <c r="AD448" s="552">
        <v>299040</v>
      </c>
      <c r="AE448" s="552">
        <v>0</v>
      </c>
      <c r="AF448" s="552">
        <v>0</v>
      </c>
      <c r="AG448" s="552">
        <v>0</v>
      </c>
      <c r="AH448" s="552">
        <v>0</v>
      </c>
      <c r="AI448" s="552">
        <v>0</v>
      </c>
      <c r="AJ448" s="552">
        <v>0</v>
      </c>
    </row>
    <row r="449" spans="1:36" ht="15.95" customHeight="1">
      <c r="A449" s="547"/>
      <c r="B449" s="548">
        <v>858</v>
      </c>
      <c r="C449" s="549">
        <v>4813</v>
      </c>
      <c r="D449" s="550" t="s">
        <v>11951</v>
      </c>
      <c r="E449" s="550" t="s">
        <v>4277</v>
      </c>
      <c r="F449" s="550" t="s">
        <v>2544</v>
      </c>
      <c r="G449" s="550" t="s">
        <v>870</v>
      </c>
      <c r="H449" s="550" t="s">
        <v>2545</v>
      </c>
      <c r="I449" s="550" t="s">
        <v>14</v>
      </c>
      <c r="J449" s="550" t="s">
        <v>4278</v>
      </c>
      <c r="K449" s="551">
        <v>43235</v>
      </c>
      <c r="L449" s="552">
        <v>42300</v>
      </c>
      <c r="M449" s="552">
        <v>42300</v>
      </c>
      <c r="N449" s="552">
        <v>42300</v>
      </c>
      <c r="O449" s="552">
        <v>5</v>
      </c>
      <c r="P449" s="552">
        <v>211500</v>
      </c>
      <c r="Q449" s="548">
        <v>0</v>
      </c>
      <c r="R449" s="552">
        <v>0</v>
      </c>
      <c r="S449" s="548">
        <v>0</v>
      </c>
      <c r="T449" s="552">
        <v>0</v>
      </c>
      <c r="U449" s="548">
        <v>5</v>
      </c>
      <c r="V449" s="552">
        <v>211500</v>
      </c>
      <c r="W449" s="552">
        <v>0</v>
      </c>
      <c r="X449" s="552">
        <v>0</v>
      </c>
      <c r="Y449" s="552">
        <v>0</v>
      </c>
      <c r="Z449" s="552">
        <v>0</v>
      </c>
      <c r="AA449" s="552">
        <v>0</v>
      </c>
      <c r="AB449" s="552">
        <v>0</v>
      </c>
      <c r="AC449" s="552">
        <v>0</v>
      </c>
      <c r="AD449" s="552">
        <v>0</v>
      </c>
      <c r="AE449" s="552">
        <v>0</v>
      </c>
      <c r="AF449" s="552">
        <v>0</v>
      </c>
      <c r="AG449" s="552">
        <v>0</v>
      </c>
      <c r="AH449" s="552">
        <v>0</v>
      </c>
      <c r="AI449" s="552">
        <v>0</v>
      </c>
      <c r="AJ449" s="552">
        <v>0</v>
      </c>
    </row>
    <row r="450" spans="1:36" ht="15.95" customHeight="1">
      <c r="A450" s="547"/>
      <c r="B450" s="548">
        <v>862</v>
      </c>
      <c r="C450" s="549">
        <v>6879</v>
      </c>
      <c r="D450" s="550" t="s">
        <v>11952</v>
      </c>
      <c r="E450" s="550" t="s">
        <v>4281</v>
      </c>
      <c r="F450" s="550" t="s">
        <v>4282</v>
      </c>
      <c r="G450" s="550" t="s">
        <v>645</v>
      </c>
      <c r="H450" s="550" t="s">
        <v>248</v>
      </c>
      <c r="I450" s="550" t="s">
        <v>11</v>
      </c>
      <c r="J450" s="550" t="s">
        <v>11953</v>
      </c>
      <c r="K450" s="551">
        <v>45254</v>
      </c>
      <c r="L450" s="552">
        <v>2090</v>
      </c>
      <c r="M450" s="552">
        <v>2090</v>
      </c>
      <c r="N450" s="552">
        <v>2090</v>
      </c>
      <c r="O450" s="552"/>
      <c r="P450" s="552"/>
      <c r="Q450" s="548">
        <v>45990</v>
      </c>
      <c r="R450" s="552">
        <v>96119100</v>
      </c>
      <c r="S450" s="548">
        <v>43645</v>
      </c>
      <c r="T450" s="552">
        <v>91218050</v>
      </c>
      <c r="U450" s="548">
        <v>2345</v>
      </c>
      <c r="V450" s="552">
        <v>4901050</v>
      </c>
      <c r="W450" s="552">
        <v>574</v>
      </c>
      <c r="X450" s="552">
        <v>1199660</v>
      </c>
      <c r="Y450" s="552">
        <v>43645</v>
      </c>
      <c r="Z450" s="552">
        <v>91218050</v>
      </c>
      <c r="AA450" s="552">
        <v>42055</v>
      </c>
      <c r="AB450" s="552">
        <v>87894950</v>
      </c>
      <c r="AC450" s="552">
        <v>1590</v>
      </c>
      <c r="AD450" s="552">
        <v>3323100</v>
      </c>
      <c r="AE450" s="552">
        <v>0</v>
      </c>
      <c r="AF450" s="552">
        <v>0</v>
      </c>
      <c r="AG450" s="552">
        <v>0</v>
      </c>
      <c r="AH450" s="552">
        <v>0</v>
      </c>
      <c r="AI450" s="552">
        <v>990</v>
      </c>
      <c r="AJ450" s="552">
        <v>2069100</v>
      </c>
    </row>
    <row r="451" spans="1:36" ht="15.95" customHeight="1">
      <c r="A451" s="547"/>
      <c r="B451" s="548">
        <v>863</v>
      </c>
      <c r="C451" s="549">
        <v>6879</v>
      </c>
      <c r="D451" s="550" t="s">
        <v>11952</v>
      </c>
      <c r="E451" s="550" t="s">
        <v>4281</v>
      </c>
      <c r="F451" s="550" t="s">
        <v>4282</v>
      </c>
      <c r="G451" s="550" t="s">
        <v>645</v>
      </c>
      <c r="H451" s="550" t="s">
        <v>248</v>
      </c>
      <c r="I451" s="550" t="s">
        <v>11</v>
      </c>
      <c r="J451" s="550" t="s">
        <v>11644</v>
      </c>
      <c r="K451" s="551">
        <v>45307</v>
      </c>
      <c r="L451" s="552">
        <v>2090</v>
      </c>
      <c r="M451" s="552">
        <v>2090</v>
      </c>
      <c r="N451" s="552">
        <v>2090</v>
      </c>
      <c r="O451" s="552"/>
      <c r="P451" s="552"/>
      <c r="Q451" s="548">
        <v>24990</v>
      </c>
      <c r="R451" s="552">
        <v>52229100</v>
      </c>
      <c r="S451" s="548">
        <v>0</v>
      </c>
      <c r="T451" s="552">
        <v>0</v>
      </c>
      <c r="U451" s="548">
        <v>24990</v>
      </c>
      <c r="V451" s="552">
        <v>52229100</v>
      </c>
      <c r="W451" s="552">
        <v>0</v>
      </c>
      <c r="X451" s="552">
        <v>0</v>
      </c>
      <c r="Y451" s="552">
        <v>0</v>
      </c>
      <c r="Z451" s="552">
        <v>0</v>
      </c>
      <c r="AA451" s="552">
        <v>0</v>
      </c>
      <c r="AB451" s="552">
        <v>0</v>
      </c>
      <c r="AC451" s="552">
        <v>0</v>
      </c>
      <c r="AD451" s="552">
        <v>0</v>
      </c>
      <c r="AE451" s="552">
        <v>0</v>
      </c>
      <c r="AF451" s="552">
        <v>0</v>
      </c>
      <c r="AG451" s="552">
        <v>0</v>
      </c>
      <c r="AH451" s="552">
        <v>0</v>
      </c>
      <c r="AI451" s="552">
        <v>0</v>
      </c>
      <c r="AJ451" s="552">
        <v>0</v>
      </c>
    </row>
    <row r="452" spans="1:36" ht="15.95" customHeight="1">
      <c r="A452" s="547"/>
      <c r="B452" s="548">
        <v>864</v>
      </c>
      <c r="C452" s="549">
        <v>6879</v>
      </c>
      <c r="D452" s="550" t="s">
        <v>11952</v>
      </c>
      <c r="E452" s="550" t="s">
        <v>4281</v>
      </c>
      <c r="F452" s="550" t="s">
        <v>4282</v>
      </c>
      <c r="G452" s="550" t="s">
        <v>645</v>
      </c>
      <c r="H452" s="550" t="s">
        <v>248</v>
      </c>
      <c r="I452" s="550" t="s">
        <v>11</v>
      </c>
      <c r="J452" s="550" t="s">
        <v>11954</v>
      </c>
      <c r="K452" s="551">
        <v>45216</v>
      </c>
      <c r="L452" s="552">
        <v>2090</v>
      </c>
      <c r="M452" s="552">
        <v>2090</v>
      </c>
      <c r="N452" s="552">
        <v>2090</v>
      </c>
      <c r="O452" s="552">
        <v>6800</v>
      </c>
      <c r="P452" s="552">
        <v>14212000</v>
      </c>
      <c r="Q452" s="548">
        <v>0</v>
      </c>
      <c r="R452" s="552">
        <v>0</v>
      </c>
      <c r="S452" s="548">
        <v>6800</v>
      </c>
      <c r="T452" s="552">
        <v>14212000</v>
      </c>
      <c r="U452" s="548">
        <v>0</v>
      </c>
      <c r="V452" s="552">
        <v>0</v>
      </c>
      <c r="W452" s="552">
        <v>0</v>
      </c>
      <c r="X452" s="552">
        <v>0</v>
      </c>
      <c r="Y452" s="552">
        <v>6800</v>
      </c>
      <c r="Z452" s="552">
        <v>14212000</v>
      </c>
      <c r="AA452" s="552">
        <v>6800</v>
      </c>
      <c r="AB452" s="552">
        <v>14212000</v>
      </c>
      <c r="AC452" s="552">
        <v>0</v>
      </c>
      <c r="AD452" s="552">
        <v>0</v>
      </c>
      <c r="AE452" s="552">
        <v>0</v>
      </c>
      <c r="AF452" s="552">
        <v>0</v>
      </c>
      <c r="AG452" s="552">
        <v>0</v>
      </c>
      <c r="AH452" s="552">
        <v>0</v>
      </c>
      <c r="AI452" s="552">
        <v>0</v>
      </c>
      <c r="AJ452" s="552">
        <v>0</v>
      </c>
    </row>
    <row r="453" spans="1:36" ht="15.95" customHeight="1">
      <c r="A453" s="547"/>
      <c r="B453" s="548">
        <v>867</v>
      </c>
      <c r="C453" s="549">
        <v>7206</v>
      </c>
      <c r="D453" s="550" t="s">
        <v>11955</v>
      </c>
      <c r="E453" s="550" t="s">
        <v>6808</v>
      </c>
      <c r="F453" s="550" t="s">
        <v>6809</v>
      </c>
      <c r="G453" s="550" t="s">
        <v>3974</v>
      </c>
      <c r="H453" s="550" t="s">
        <v>267</v>
      </c>
      <c r="I453" s="550" t="s">
        <v>11</v>
      </c>
      <c r="J453" s="550" t="s">
        <v>11956</v>
      </c>
      <c r="K453" s="551">
        <v>45320</v>
      </c>
      <c r="L453" s="552">
        <v>630</v>
      </c>
      <c r="M453" s="552">
        <v>630</v>
      </c>
      <c r="N453" s="552">
        <v>630</v>
      </c>
      <c r="O453" s="552"/>
      <c r="P453" s="552"/>
      <c r="Q453" s="548">
        <v>9990</v>
      </c>
      <c r="R453" s="552">
        <v>6293700</v>
      </c>
      <c r="S453" s="548">
        <v>0</v>
      </c>
      <c r="T453" s="552">
        <v>0</v>
      </c>
      <c r="U453" s="548">
        <v>9990</v>
      </c>
      <c r="V453" s="552">
        <v>6293700</v>
      </c>
      <c r="W453" s="552">
        <v>0</v>
      </c>
      <c r="X453" s="552">
        <v>0</v>
      </c>
      <c r="Y453" s="552">
        <v>0</v>
      </c>
      <c r="Z453" s="552">
        <v>0</v>
      </c>
      <c r="AA453" s="552">
        <v>0</v>
      </c>
      <c r="AB453" s="552">
        <v>0</v>
      </c>
      <c r="AC453" s="552">
        <v>0</v>
      </c>
      <c r="AD453" s="552">
        <v>0</v>
      </c>
      <c r="AE453" s="552">
        <v>0</v>
      </c>
      <c r="AF453" s="552">
        <v>0</v>
      </c>
      <c r="AG453" s="552">
        <v>0</v>
      </c>
      <c r="AH453" s="552">
        <v>0</v>
      </c>
      <c r="AI453" s="552">
        <v>0</v>
      </c>
      <c r="AJ453" s="552">
        <v>0</v>
      </c>
    </row>
    <row r="454" spans="1:36" ht="15.95" customHeight="1">
      <c r="A454" s="547"/>
      <c r="B454" s="548">
        <v>868</v>
      </c>
      <c r="C454" s="549">
        <v>7019</v>
      </c>
      <c r="D454" s="550" t="s">
        <v>11957</v>
      </c>
      <c r="E454" s="550" t="s">
        <v>4283</v>
      </c>
      <c r="F454" s="550" t="s">
        <v>4284</v>
      </c>
      <c r="G454" s="550" t="s">
        <v>4285</v>
      </c>
      <c r="H454" s="550" t="s">
        <v>327</v>
      </c>
      <c r="I454" s="550" t="s">
        <v>11</v>
      </c>
      <c r="J454" s="550" t="s">
        <v>4286</v>
      </c>
      <c r="K454" s="551">
        <v>45077</v>
      </c>
      <c r="L454" s="552">
        <v>5481</v>
      </c>
      <c r="M454" s="552">
        <v>5481</v>
      </c>
      <c r="N454" s="552">
        <v>5481</v>
      </c>
      <c r="O454" s="552">
        <v>2</v>
      </c>
      <c r="P454" s="552">
        <v>10962</v>
      </c>
      <c r="Q454" s="548">
        <v>0</v>
      </c>
      <c r="R454" s="552">
        <v>0</v>
      </c>
      <c r="S454" s="548">
        <v>2</v>
      </c>
      <c r="T454" s="552">
        <v>10962</v>
      </c>
      <c r="U454" s="548">
        <v>0</v>
      </c>
      <c r="V454" s="552">
        <v>0</v>
      </c>
      <c r="W454" s="552">
        <v>0</v>
      </c>
      <c r="X454" s="552">
        <v>0</v>
      </c>
      <c r="Y454" s="552">
        <v>2</v>
      </c>
      <c r="Z454" s="552">
        <v>10962</v>
      </c>
      <c r="AA454" s="552">
        <v>2</v>
      </c>
      <c r="AB454" s="552">
        <v>10962</v>
      </c>
      <c r="AC454" s="552">
        <v>0</v>
      </c>
      <c r="AD454" s="552">
        <v>0</v>
      </c>
      <c r="AE454" s="552">
        <v>0</v>
      </c>
      <c r="AF454" s="552">
        <v>0</v>
      </c>
      <c r="AG454" s="552">
        <v>0</v>
      </c>
      <c r="AH454" s="552">
        <v>0</v>
      </c>
      <c r="AI454" s="552">
        <v>0</v>
      </c>
      <c r="AJ454" s="552">
        <v>0</v>
      </c>
    </row>
    <row r="455" spans="1:36" ht="15.95" customHeight="1">
      <c r="A455" s="547"/>
      <c r="B455" s="548">
        <v>869</v>
      </c>
      <c r="C455" s="549">
        <v>7019</v>
      </c>
      <c r="D455" s="550" t="s">
        <v>11957</v>
      </c>
      <c r="E455" s="550" t="s">
        <v>4283</v>
      </c>
      <c r="F455" s="550" t="s">
        <v>4284</v>
      </c>
      <c r="G455" s="550" t="s">
        <v>4285</v>
      </c>
      <c r="H455" s="550" t="s">
        <v>327</v>
      </c>
      <c r="I455" s="550" t="s">
        <v>11</v>
      </c>
      <c r="J455" s="550" t="s">
        <v>11958</v>
      </c>
      <c r="K455" s="551">
        <v>45199</v>
      </c>
      <c r="L455" s="552">
        <v>5481</v>
      </c>
      <c r="M455" s="552">
        <v>5481</v>
      </c>
      <c r="N455" s="552">
        <v>5481</v>
      </c>
      <c r="O455" s="552"/>
      <c r="P455" s="552"/>
      <c r="Q455" s="548">
        <v>1120</v>
      </c>
      <c r="R455" s="552">
        <v>6138720</v>
      </c>
      <c r="S455" s="548">
        <v>1120</v>
      </c>
      <c r="T455" s="552">
        <v>6138720</v>
      </c>
      <c r="U455" s="548">
        <v>0</v>
      </c>
      <c r="V455" s="552">
        <v>0</v>
      </c>
      <c r="W455" s="552">
        <v>0</v>
      </c>
      <c r="X455" s="552">
        <v>0</v>
      </c>
      <c r="Y455" s="552">
        <v>1120</v>
      </c>
      <c r="Z455" s="552">
        <v>6138720</v>
      </c>
      <c r="AA455" s="552">
        <v>1120</v>
      </c>
      <c r="AB455" s="552">
        <v>6138720</v>
      </c>
      <c r="AC455" s="552">
        <v>0</v>
      </c>
      <c r="AD455" s="552">
        <v>0</v>
      </c>
      <c r="AE455" s="552">
        <v>0</v>
      </c>
      <c r="AF455" s="552">
        <v>0</v>
      </c>
      <c r="AG455" s="552">
        <v>0</v>
      </c>
      <c r="AH455" s="552">
        <v>0</v>
      </c>
      <c r="AI455" s="552">
        <v>0</v>
      </c>
      <c r="AJ455" s="552">
        <v>0</v>
      </c>
    </row>
    <row r="456" spans="1:36" ht="15.95" customHeight="1">
      <c r="A456" s="547"/>
      <c r="B456" s="548">
        <v>870</v>
      </c>
      <c r="C456" s="549">
        <v>7019</v>
      </c>
      <c r="D456" s="550" t="s">
        <v>11957</v>
      </c>
      <c r="E456" s="550" t="s">
        <v>4283</v>
      </c>
      <c r="F456" s="550" t="s">
        <v>4284</v>
      </c>
      <c r="G456" s="550" t="s">
        <v>4285</v>
      </c>
      <c r="H456" s="550" t="s">
        <v>327</v>
      </c>
      <c r="I456" s="550" t="s">
        <v>11</v>
      </c>
      <c r="J456" s="550" t="s">
        <v>11959</v>
      </c>
      <c r="K456" s="551">
        <v>45287</v>
      </c>
      <c r="L456" s="552">
        <v>5481</v>
      </c>
      <c r="M456" s="552">
        <v>5481</v>
      </c>
      <c r="N456" s="552">
        <v>5481</v>
      </c>
      <c r="O456" s="552"/>
      <c r="P456" s="552"/>
      <c r="Q456" s="548">
        <v>2968</v>
      </c>
      <c r="R456" s="552">
        <v>16267608</v>
      </c>
      <c r="S456" s="548">
        <v>2968</v>
      </c>
      <c r="T456" s="552">
        <v>16267608</v>
      </c>
      <c r="U456" s="548">
        <v>0</v>
      </c>
      <c r="V456" s="552">
        <v>0</v>
      </c>
      <c r="W456" s="552">
        <v>0</v>
      </c>
      <c r="X456" s="552">
        <v>0</v>
      </c>
      <c r="Y456" s="552">
        <v>2968</v>
      </c>
      <c r="Z456" s="552">
        <v>16267608</v>
      </c>
      <c r="AA456" s="552">
        <v>2968</v>
      </c>
      <c r="AB456" s="552">
        <v>16267608</v>
      </c>
      <c r="AC456" s="552">
        <v>0</v>
      </c>
      <c r="AD456" s="552">
        <v>0</v>
      </c>
      <c r="AE456" s="552">
        <v>0</v>
      </c>
      <c r="AF456" s="552">
        <v>0</v>
      </c>
      <c r="AG456" s="552">
        <v>0</v>
      </c>
      <c r="AH456" s="552">
        <v>0</v>
      </c>
      <c r="AI456" s="552">
        <v>0</v>
      </c>
      <c r="AJ456" s="552">
        <v>0</v>
      </c>
    </row>
    <row r="457" spans="1:36" ht="15.95" customHeight="1">
      <c r="A457" s="547"/>
      <c r="B457" s="548">
        <v>871</v>
      </c>
      <c r="C457" s="549">
        <v>7019</v>
      </c>
      <c r="D457" s="550" t="s">
        <v>11957</v>
      </c>
      <c r="E457" s="550" t="s">
        <v>4283</v>
      </c>
      <c r="F457" s="550" t="s">
        <v>4284</v>
      </c>
      <c r="G457" s="550" t="s">
        <v>4285</v>
      </c>
      <c r="H457" s="550" t="s">
        <v>327</v>
      </c>
      <c r="I457" s="550" t="s">
        <v>11</v>
      </c>
      <c r="J457" s="550" t="s">
        <v>11960</v>
      </c>
      <c r="K457" s="551">
        <v>45304</v>
      </c>
      <c r="L457" s="552">
        <v>5481</v>
      </c>
      <c r="M457" s="552">
        <v>5481</v>
      </c>
      <c r="N457" s="552">
        <v>5481</v>
      </c>
      <c r="O457" s="552"/>
      <c r="P457" s="552"/>
      <c r="Q457" s="548">
        <v>1120</v>
      </c>
      <c r="R457" s="552">
        <v>6138720</v>
      </c>
      <c r="S457" s="548">
        <v>1120</v>
      </c>
      <c r="T457" s="552">
        <v>6138720</v>
      </c>
      <c r="U457" s="548">
        <v>0</v>
      </c>
      <c r="V457" s="552">
        <v>0</v>
      </c>
      <c r="W457" s="552">
        <v>0</v>
      </c>
      <c r="X457" s="552">
        <v>0</v>
      </c>
      <c r="Y457" s="552">
        <v>1120</v>
      </c>
      <c r="Z457" s="552">
        <v>6138720</v>
      </c>
      <c r="AA457" s="552">
        <v>1120</v>
      </c>
      <c r="AB457" s="552">
        <v>6138720</v>
      </c>
      <c r="AC457" s="552">
        <v>0</v>
      </c>
      <c r="AD457" s="552">
        <v>0</v>
      </c>
      <c r="AE457" s="552">
        <v>0</v>
      </c>
      <c r="AF457" s="552">
        <v>0</v>
      </c>
      <c r="AG457" s="552">
        <v>0</v>
      </c>
      <c r="AH457" s="552">
        <v>0</v>
      </c>
      <c r="AI457" s="552">
        <v>0</v>
      </c>
      <c r="AJ457" s="552">
        <v>0</v>
      </c>
    </row>
    <row r="458" spans="1:36" ht="15.95" customHeight="1">
      <c r="A458" s="547"/>
      <c r="B458" s="548">
        <v>872</v>
      </c>
      <c r="C458" s="549">
        <v>7019</v>
      </c>
      <c r="D458" s="550" t="s">
        <v>11957</v>
      </c>
      <c r="E458" s="550" t="s">
        <v>4283</v>
      </c>
      <c r="F458" s="550" t="s">
        <v>4284</v>
      </c>
      <c r="G458" s="550" t="s">
        <v>4285</v>
      </c>
      <c r="H458" s="550" t="s">
        <v>327</v>
      </c>
      <c r="I458" s="550" t="s">
        <v>11</v>
      </c>
      <c r="J458" s="550" t="s">
        <v>11961</v>
      </c>
      <c r="K458" s="551">
        <v>45304</v>
      </c>
      <c r="L458" s="552">
        <v>5481</v>
      </c>
      <c r="M458" s="552">
        <v>5481</v>
      </c>
      <c r="N458" s="552">
        <v>5481</v>
      </c>
      <c r="O458" s="552"/>
      <c r="P458" s="552"/>
      <c r="Q458" s="548">
        <v>4928</v>
      </c>
      <c r="R458" s="552">
        <v>27010368</v>
      </c>
      <c r="S458" s="548">
        <v>1936</v>
      </c>
      <c r="T458" s="552">
        <v>10611216</v>
      </c>
      <c r="U458" s="548">
        <v>2992</v>
      </c>
      <c r="V458" s="552">
        <v>16399152</v>
      </c>
      <c r="W458" s="552">
        <v>0</v>
      </c>
      <c r="X458" s="552">
        <v>0</v>
      </c>
      <c r="Y458" s="552">
        <v>1936</v>
      </c>
      <c r="Z458" s="552">
        <v>10611216</v>
      </c>
      <c r="AA458" s="552">
        <v>1936</v>
      </c>
      <c r="AB458" s="552">
        <v>10611216</v>
      </c>
      <c r="AC458" s="552">
        <v>0</v>
      </c>
      <c r="AD458" s="552">
        <v>0</v>
      </c>
      <c r="AE458" s="552">
        <v>0</v>
      </c>
      <c r="AF458" s="552">
        <v>0</v>
      </c>
      <c r="AG458" s="552">
        <v>0</v>
      </c>
      <c r="AH458" s="552">
        <v>0</v>
      </c>
      <c r="AI458" s="552">
        <v>0</v>
      </c>
      <c r="AJ458" s="552">
        <v>0</v>
      </c>
    </row>
    <row r="459" spans="1:36" ht="15.95" customHeight="1">
      <c r="A459" s="547"/>
      <c r="B459" s="548">
        <v>879</v>
      </c>
      <c r="C459" s="549">
        <v>6942</v>
      </c>
      <c r="D459" s="550" t="s">
        <v>11962</v>
      </c>
      <c r="E459" s="550" t="s">
        <v>8215</v>
      </c>
      <c r="F459" s="550" t="s">
        <v>8217</v>
      </c>
      <c r="G459" s="550" t="s">
        <v>8207</v>
      </c>
      <c r="H459" s="550" t="s">
        <v>8216</v>
      </c>
      <c r="I459" s="550" t="s">
        <v>15</v>
      </c>
      <c r="J459" s="550" t="s">
        <v>11963</v>
      </c>
      <c r="K459" s="551">
        <v>45361</v>
      </c>
      <c r="L459" s="552">
        <v>14000</v>
      </c>
      <c r="M459" s="552">
        <v>14000</v>
      </c>
      <c r="N459" s="552">
        <v>14000</v>
      </c>
      <c r="O459" s="552"/>
      <c r="P459" s="552"/>
      <c r="Q459" s="548">
        <v>700</v>
      </c>
      <c r="R459" s="552">
        <v>9800000</v>
      </c>
      <c r="S459" s="548">
        <v>30</v>
      </c>
      <c r="T459" s="552">
        <v>420000</v>
      </c>
      <c r="U459" s="548">
        <v>670</v>
      </c>
      <c r="V459" s="552">
        <v>9380000</v>
      </c>
      <c r="W459" s="552">
        <v>0</v>
      </c>
      <c r="X459" s="552">
        <v>0</v>
      </c>
      <c r="Y459" s="552">
        <v>30</v>
      </c>
      <c r="Z459" s="552">
        <v>420000</v>
      </c>
      <c r="AA459" s="552">
        <v>30</v>
      </c>
      <c r="AB459" s="552">
        <v>420000</v>
      </c>
      <c r="AC459" s="552">
        <v>0</v>
      </c>
      <c r="AD459" s="552">
        <v>0</v>
      </c>
      <c r="AE459" s="552">
        <v>0</v>
      </c>
      <c r="AF459" s="552">
        <v>0</v>
      </c>
      <c r="AG459" s="552">
        <v>0</v>
      </c>
      <c r="AH459" s="552">
        <v>0</v>
      </c>
      <c r="AI459" s="552">
        <v>0</v>
      </c>
      <c r="AJ459" s="552">
        <v>0</v>
      </c>
    </row>
    <row r="460" spans="1:36" ht="15.95" customHeight="1">
      <c r="A460" s="547"/>
      <c r="B460" s="548">
        <v>884</v>
      </c>
      <c r="C460" s="549">
        <v>6708</v>
      </c>
      <c r="D460" s="550" t="s">
        <v>11964</v>
      </c>
      <c r="E460" s="550" t="s">
        <v>4289</v>
      </c>
      <c r="F460" s="550" t="s">
        <v>709</v>
      </c>
      <c r="G460" s="550" t="s">
        <v>708</v>
      </c>
      <c r="H460" s="550" t="s">
        <v>272</v>
      </c>
      <c r="I460" s="550" t="s">
        <v>13</v>
      </c>
      <c r="J460" s="550" t="s">
        <v>11965</v>
      </c>
      <c r="K460" s="551">
        <v>45078</v>
      </c>
      <c r="L460" s="552">
        <v>3150</v>
      </c>
      <c r="M460" s="552">
        <v>3150</v>
      </c>
      <c r="N460" s="552">
        <v>3150</v>
      </c>
      <c r="O460" s="552"/>
      <c r="P460" s="552"/>
      <c r="Q460" s="548">
        <v>6000</v>
      </c>
      <c r="R460" s="552">
        <v>18900000</v>
      </c>
      <c r="S460" s="548">
        <v>0</v>
      </c>
      <c r="T460" s="552">
        <v>0</v>
      </c>
      <c r="U460" s="548">
        <v>6000</v>
      </c>
      <c r="V460" s="552">
        <v>18900000</v>
      </c>
      <c r="W460" s="552">
        <v>0</v>
      </c>
      <c r="X460" s="552">
        <v>0</v>
      </c>
      <c r="Y460" s="552">
        <v>0</v>
      </c>
      <c r="Z460" s="552">
        <v>0</v>
      </c>
      <c r="AA460" s="552">
        <v>0</v>
      </c>
      <c r="AB460" s="552">
        <v>0</v>
      </c>
      <c r="AC460" s="552">
        <v>0</v>
      </c>
      <c r="AD460" s="552">
        <v>0</v>
      </c>
      <c r="AE460" s="552">
        <v>0</v>
      </c>
      <c r="AF460" s="552">
        <v>0</v>
      </c>
      <c r="AG460" s="552">
        <v>0</v>
      </c>
      <c r="AH460" s="552">
        <v>0</v>
      </c>
      <c r="AI460" s="552">
        <v>0</v>
      </c>
      <c r="AJ460" s="552">
        <v>0</v>
      </c>
    </row>
    <row r="461" spans="1:36" ht="15.95" customHeight="1">
      <c r="A461" s="547"/>
      <c r="B461" s="548">
        <v>885</v>
      </c>
      <c r="C461" s="549">
        <v>7228</v>
      </c>
      <c r="D461" s="550" t="s">
        <v>11966</v>
      </c>
      <c r="E461" s="550" t="s">
        <v>4290</v>
      </c>
      <c r="F461" s="550" t="s">
        <v>1994</v>
      </c>
      <c r="G461" s="550" t="s">
        <v>1302</v>
      </c>
      <c r="H461" s="550" t="s">
        <v>238</v>
      </c>
      <c r="I461" s="550" t="s">
        <v>10</v>
      </c>
      <c r="J461" s="550" t="s">
        <v>3966</v>
      </c>
      <c r="K461" s="551">
        <v>45150</v>
      </c>
      <c r="L461" s="552">
        <v>924</v>
      </c>
      <c r="M461" s="552">
        <v>924</v>
      </c>
      <c r="N461" s="552">
        <v>924</v>
      </c>
      <c r="O461" s="552">
        <v>531</v>
      </c>
      <c r="P461" s="552">
        <v>490644</v>
      </c>
      <c r="Q461" s="548">
        <v>8</v>
      </c>
      <c r="R461" s="552">
        <v>7392</v>
      </c>
      <c r="S461" s="548">
        <v>143</v>
      </c>
      <c r="T461" s="552">
        <v>132132</v>
      </c>
      <c r="U461" s="548">
        <v>396</v>
      </c>
      <c r="V461" s="552">
        <v>365904</v>
      </c>
      <c r="W461" s="552">
        <v>0</v>
      </c>
      <c r="X461" s="552">
        <v>0</v>
      </c>
      <c r="Y461" s="552">
        <v>135</v>
      </c>
      <c r="Z461" s="552">
        <v>124740</v>
      </c>
      <c r="AA461" s="552">
        <v>0</v>
      </c>
      <c r="AB461" s="552">
        <v>0</v>
      </c>
      <c r="AC461" s="552">
        <v>135</v>
      </c>
      <c r="AD461" s="552">
        <v>124740</v>
      </c>
      <c r="AE461" s="552">
        <v>0</v>
      </c>
      <c r="AF461" s="552">
        <v>0</v>
      </c>
      <c r="AG461" s="552">
        <v>8</v>
      </c>
      <c r="AH461" s="552">
        <v>7392</v>
      </c>
      <c r="AI461" s="552">
        <v>0</v>
      </c>
      <c r="AJ461" s="552">
        <v>0</v>
      </c>
    </row>
    <row r="462" spans="1:36" ht="15.95" customHeight="1">
      <c r="A462" s="547"/>
      <c r="B462" s="548">
        <v>886</v>
      </c>
      <c r="C462" s="549">
        <v>7227</v>
      </c>
      <c r="D462" s="550" t="s">
        <v>11967</v>
      </c>
      <c r="E462" s="550" t="s">
        <v>5719</v>
      </c>
      <c r="F462" s="550" t="s">
        <v>5720</v>
      </c>
      <c r="G462" s="550" t="s">
        <v>1302</v>
      </c>
      <c r="H462" s="550" t="s">
        <v>327</v>
      </c>
      <c r="I462" s="550" t="s">
        <v>10</v>
      </c>
      <c r="J462" s="550" t="s">
        <v>4104</v>
      </c>
      <c r="K462" s="551">
        <v>45107</v>
      </c>
      <c r="L462" s="552">
        <v>903</v>
      </c>
      <c r="M462" s="552">
        <v>903</v>
      </c>
      <c r="N462" s="552">
        <v>903</v>
      </c>
      <c r="O462" s="552">
        <v>1</v>
      </c>
      <c r="P462" s="552">
        <v>903</v>
      </c>
      <c r="Q462" s="548">
        <v>0</v>
      </c>
      <c r="R462" s="552">
        <v>0</v>
      </c>
      <c r="S462" s="548">
        <v>1</v>
      </c>
      <c r="T462" s="552">
        <v>903</v>
      </c>
      <c r="U462" s="548">
        <v>0</v>
      </c>
      <c r="V462" s="552">
        <v>0</v>
      </c>
      <c r="W462" s="552">
        <v>0</v>
      </c>
      <c r="X462" s="552">
        <v>0</v>
      </c>
      <c r="Y462" s="552">
        <v>1</v>
      </c>
      <c r="Z462" s="552">
        <v>903</v>
      </c>
      <c r="AA462" s="552">
        <v>1</v>
      </c>
      <c r="AB462" s="552">
        <v>903</v>
      </c>
      <c r="AC462" s="552">
        <v>0</v>
      </c>
      <c r="AD462" s="552">
        <v>0</v>
      </c>
      <c r="AE462" s="552">
        <v>0</v>
      </c>
      <c r="AF462" s="552">
        <v>0</v>
      </c>
      <c r="AG462" s="552">
        <v>0</v>
      </c>
      <c r="AH462" s="552">
        <v>0</v>
      </c>
      <c r="AI462" s="552">
        <v>0</v>
      </c>
      <c r="AJ462" s="552">
        <v>0</v>
      </c>
    </row>
    <row r="463" spans="1:36" ht="15.95" customHeight="1">
      <c r="A463" s="547"/>
      <c r="B463" s="548">
        <v>887</v>
      </c>
      <c r="C463" s="549">
        <v>7227</v>
      </c>
      <c r="D463" s="550" t="s">
        <v>11967</v>
      </c>
      <c r="E463" s="550" t="s">
        <v>5719</v>
      </c>
      <c r="F463" s="550" t="s">
        <v>5720</v>
      </c>
      <c r="G463" s="550" t="s">
        <v>1302</v>
      </c>
      <c r="H463" s="550" t="s">
        <v>327</v>
      </c>
      <c r="I463" s="550" t="s">
        <v>10</v>
      </c>
      <c r="J463" s="550" t="s">
        <v>4105</v>
      </c>
      <c r="K463" s="551">
        <v>45195</v>
      </c>
      <c r="L463" s="552">
        <v>903</v>
      </c>
      <c r="M463" s="552">
        <v>903</v>
      </c>
      <c r="N463" s="552">
        <v>903</v>
      </c>
      <c r="O463" s="552"/>
      <c r="P463" s="552"/>
      <c r="Q463" s="548">
        <v>9990</v>
      </c>
      <c r="R463" s="552">
        <v>9020970</v>
      </c>
      <c r="S463" s="548">
        <v>9990</v>
      </c>
      <c r="T463" s="552">
        <v>9020970</v>
      </c>
      <c r="U463" s="548">
        <v>0</v>
      </c>
      <c r="V463" s="552">
        <v>0</v>
      </c>
      <c r="W463" s="552">
        <v>0</v>
      </c>
      <c r="X463" s="552">
        <v>0</v>
      </c>
      <c r="Y463" s="552">
        <v>9990</v>
      </c>
      <c r="Z463" s="552">
        <v>9020970</v>
      </c>
      <c r="AA463" s="552">
        <v>9990</v>
      </c>
      <c r="AB463" s="552">
        <v>9020970</v>
      </c>
      <c r="AC463" s="552">
        <v>0</v>
      </c>
      <c r="AD463" s="552">
        <v>0</v>
      </c>
      <c r="AE463" s="552">
        <v>0</v>
      </c>
      <c r="AF463" s="552">
        <v>0</v>
      </c>
      <c r="AG463" s="552">
        <v>0</v>
      </c>
      <c r="AH463" s="552">
        <v>0</v>
      </c>
      <c r="AI463" s="552">
        <v>0</v>
      </c>
      <c r="AJ463" s="552">
        <v>0</v>
      </c>
    </row>
    <row r="464" spans="1:36" ht="15.95" customHeight="1">
      <c r="A464" s="547"/>
      <c r="B464" s="548">
        <v>888</v>
      </c>
      <c r="C464" s="549">
        <v>7611</v>
      </c>
      <c r="D464" s="550" t="s">
        <v>11968</v>
      </c>
      <c r="E464" s="550" t="s">
        <v>6166</v>
      </c>
      <c r="F464" s="550" t="s">
        <v>6167</v>
      </c>
      <c r="G464" s="550" t="s">
        <v>365</v>
      </c>
      <c r="H464" s="550" t="s">
        <v>238</v>
      </c>
      <c r="I464" s="550" t="s">
        <v>11</v>
      </c>
      <c r="J464" s="550" t="s">
        <v>11969</v>
      </c>
      <c r="K464" s="551">
        <v>45112</v>
      </c>
      <c r="L464" s="552">
        <v>1590</v>
      </c>
      <c r="M464" s="552">
        <v>1590</v>
      </c>
      <c r="N464" s="552">
        <v>1590</v>
      </c>
      <c r="O464" s="552">
        <v>4592</v>
      </c>
      <c r="P464" s="552">
        <v>7301280</v>
      </c>
      <c r="Q464" s="548">
        <v>3990</v>
      </c>
      <c r="R464" s="552">
        <v>6344100</v>
      </c>
      <c r="S464" s="548">
        <v>8582</v>
      </c>
      <c r="T464" s="552">
        <v>13645380</v>
      </c>
      <c r="U464" s="548">
        <v>0</v>
      </c>
      <c r="V464" s="552">
        <v>0</v>
      </c>
      <c r="W464" s="552">
        <v>0</v>
      </c>
      <c r="X464" s="552">
        <v>0</v>
      </c>
      <c r="Y464" s="552">
        <v>8582</v>
      </c>
      <c r="Z464" s="552">
        <v>13645380</v>
      </c>
      <c r="AA464" s="552">
        <v>8582</v>
      </c>
      <c r="AB464" s="552">
        <v>13645380</v>
      </c>
      <c r="AC464" s="552">
        <v>0</v>
      </c>
      <c r="AD464" s="552">
        <v>0</v>
      </c>
      <c r="AE464" s="552">
        <v>0</v>
      </c>
      <c r="AF464" s="552">
        <v>0</v>
      </c>
      <c r="AG464" s="552">
        <v>0</v>
      </c>
      <c r="AH464" s="552">
        <v>0</v>
      </c>
      <c r="AI464" s="552">
        <v>0</v>
      </c>
      <c r="AJ464" s="552">
        <v>0</v>
      </c>
    </row>
    <row r="465" spans="1:36" ht="15.95" customHeight="1">
      <c r="A465" s="547"/>
      <c r="B465" s="548">
        <v>889</v>
      </c>
      <c r="C465" s="549">
        <v>6775</v>
      </c>
      <c r="D465" s="550" t="s">
        <v>11970</v>
      </c>
      <c r="E465" s="550" t="s">
        <v>6005</v>
      </c>
      <c r="F465" s="550" t="s">
        <v>6008</v>
      </c>
      <c r="G465" s="550" t="s">
        <v>6006</v>
      </c>
      <c r="H465" s="550" t="s">
        <v>6007</v>
      </c>
      <c r="I465" s="550" t="s">
        <v>11</v>
      </c>
      <c r="J465" s="550" t="s">
        <v>11971</v>
      </c>
      <c r="K465" s="551">
        <v>45016</v>
      </c>
      <c r="L465" s="552">
        <v>13986</v>
      </c>
      <c r="M465" s="552">
        <v>13986</v>
      </c>
      <c r="N465" s="552">
        <v>13986</v>
      </c>
      <c r="O465" s="552"/>
      <c r="P465" s="552"/>
      <c r="Q465" s="548">
        <v>4980</v>
      </c>
      <c r="R465" s="552">
        <v>69650280</v>
      </c>
      <c r="S465" s="548">
        <v>0</v>
      </c>
      <c r="T465" s="552">
        <v>0</v>
      </c>
      <c r="U465" s="548">
        <v>4980</v>
      </c>
      <c r="V465" s="552">
        <v>69650280</v>
      </c>
      <c r="W465" s="552">
        <v>0</v>
      </c>
      <c r="X465" s="552">
        <v>0</v>
      </c>
      <c r="Y465" s="552">
        <v>0</v>
      </c>
      <c r="Z465" s="552">
        <v>0</v>
      </c>
      <c r="AA465" s="552">
        <v>0</v>
      </c>
      <c r="AB465" s="552">
        <v>0</v>
      </c>
      <c r="AC465" s="552">
        <v>0</v>
      </c>
      <c r="AD465" s="552">
        <v>0</v>
      </c>
      <c r="AE465" s="552">
        <v>0</v>
      </c>
      <c r="AF465" s="552">
        <v>0</v>
      </c>
      <c r="AG465" s="552">
        <v>0</v>
      </c>
      <c r="AH465" s="552">
        <v>0</v>
      </c>
      <c r="AI465" s="552">
        <v>0</v>
      </c>
      <c r="AJ465" s="552">
        <v>0</v>
      </c>
    </row>
    <row r="466" spans="1:36" ht="15.95" customHeight="1">
      <c r="A466" s="547"/>
      <c r="B466" s="548">
        <v>890</v>
      </c>
      <c r="C466" s="549">
        <v>7023</v>
      </c>
      <c r="D466" s="550" t="s">
        <v>11972</v>
      </c>
      <c r="E466" s="550" t="s">
        <v>4292</v>
      </c>
      <c r="F466" s="550" t="s">
        <v>1381</v>
      </c>
      <c r="G466" s="550" t="s">
        <v>1380</v>
      </c>
      <c r="H466" s="550" t="s">
        <v>310</v>
      </c>
      <c r="I466" s="550" t="s">
        <v>11</v>
      </c>
      <c r="J466" s="550" t="s">
        <v>4293</v>
      </c>
      <c r="K466" s="551">
        <v>44991</v>
      </c>
      <c r="L466" s="552">
        <v>312</v>
      </c>
      <c r="M466" s="552">
        <v>312</v>
      </c>
      <c r="N466" s="552">
        <v>312</v>
      </c>
      <c r="O466" s="552">
        <v>400</v>
      </c>
      <c r="P466" s="552">
        <v>124800</v>
      </c>
      <c r="Q466" s="548">
        <v>0</v>
      </c>
      <c r="R466" s="552">
        <v>0</v>
      </c>
      <c r="S466" s="548">
        <v>400</v>
      </c>
      <c r="T466" s="552">
        <v>124800</v>
      </c>
      <c r="U466" s="548">
        <v>0</v>
      </c>
      <c r="V466" s="552">
        <v>0</v>
      </c>
      <c r="W466" s="552">
        <v>625</v>
      </c>
      <c r="X466" s="552">
        <v>195000</v>
      </c>
      <c r="Y466" s="552">
        <v>400</v>
      </c>
      <c r="Z466" s="552">
        <v>124800</v>
      </c>
      <c r="AA466" s="552">
        <v>400</v>
      </c>
      <c r="AB466" s="552">
        <v>124800</v>
      </c>
      <c r="AC466" s="552">
        <v>0</v>
      </c>
      <c r="AD466" s="552">
        <v>0</v>
      </c>
      <c r="AE466" s="552">
        <v>0</v>
      </c>
      <c r="AF466" s="552">
        <v>0</v>
      </c>
      <c r="AG466" s="552">
        <v>0</v>
      </c>
      <c r="AH466" s="552">
        <v>0</v>
      </c>
      <c r="AI466" s="552">
        <v>0</v>
      </c>
      <c r="AJ466" s="552">
        <v>0</v>
      </c>
    </row>
    <row r="467" spans="1:36" ht="15.95" customHeight="1">
      <c r="A467" s="547"/>
      <c r="B467" s="548">
        <v>891</v>
      </c>
      <c r="C467" s="549">
        <v>7023</v>
      </c>
      <c r="D467" s="550" t="s">
        <v>11972</v>
      </c>
      <c r="E467" s="550" t="s">
        <v>4292</v>
      </c>
      <c r="F467" s="550" t="s">
        <v>1381</v>
      </c>
      <c r="G467" s="550" t="s">
        <v>1380</v>
      </c>
      <c r="H467" s="550" t="s">
        <v>310</v>
      </c>
      <c r="I467" s="550" t="s">
        <v>11</v>
      </c>
      <c r="J467" s="550" t="s">
        <v>11973</v>
      </c>
      <c r="K467" s="551">
        <v>45172</v>
      </c>
      <c r="L467" s="552">
        <v>312</v>
      </c>
      <c r="M467" s="552">
        <v>312</v>
      </c>
      <c r="N467" s="552">
        <v>312</v>
      </c>
      <c r="O467" s="552">
        <v>2000</v>
      </c>
      <c r="P467" s="552">
        <v>624000</v>
      </c>
      <c r="Q467" s="548">
        <v>0</v>
      </c>
      <c r="R467" s="552">
        <v>0</v>
      </c>
      <c r="S467" s="548">
        <v>1699</v>
      </c>
      <c r="T467" s="552">
        <v>530088</v>
      </c>
      <c r="U467" s="548">
        <v>301</v>
      </c>
      <c r="V467" s="552">
        <v>93912</v>
      </c>
      <c r="W467" s="552">
        <v>1718</v>
      </c>
      <c r="X467" s="552">
        <v>536016</v>
      </c>
      <c r="Y467" s="552">
        <v>1699</v>
      </c>
      <c r="Z467" s="552">
        <v>530088</v>
      </c>
      <c r="AA467" s="552">
        <v>99</v>
      </c>
      <c r="AB467" s="552">
        <v>30888</v>
      </c>
      <c r="AC467" s="552">
        <v>1600</v>
      </c>
      <c r="AD467" s="552">
        <v>499200</v>
      </c>
      <c r="AE467" s="552">
        <v>0</v>
      </c>
      <c r="AF467" s="552">
        <v>0</v>
      </c>
      <c r="AG467" s="552">
        <v>0</v>
      </c>
      <c r="AH467" s="552">
        <v>0</v>
      </c>
      <c r="AI467" s="552">
        <v>0</v>
      </c>
      <c r="AJ467" s="552">
        <v>0</v>
      </c>
    </row>
    <row r="468" spans="1:36" ht="15.95" customHeight="1">
      <c r="A468" s="547"/>
      <c r="B468" s="548">
        <v>892</v>
      </c>
      <c r="C468" s="549">
        <v>7023</v>
      </c>
      <c r="D468" s="550" t="s">
        <v>11972</v>
      </c>
      <c r="E468" s="550" t="s">
        <v>4292</v>
      </c>
      <c r="F468" s="550" t="s">
        <v>1381</v>
      </c>
      <c r="G468" s="550" t="s">
        <v>1380</v>
      </c>
      <c r="H468" s="550" t="s">
        <v>310</v>
      </c>
      <c r="I468" s="550" t="s">
        <v>11</v>
      </c>
      <c r="J468" s="550" t="s">
        <v>11974</v>
      </c>
      <c r="K468" s="551">
        <v>45409</v>
      </c>
      <c r="L468" s="552">
        <v>312</v>
      </c>
      <c r="M468" s="552">
        <v>312</v>
      </c>
      <c r="N468" s="552">
        <v>312</v>
      </c>
      <c r="O468" s="552"/>
      <c r="P468" s="552"/>
      <c r="Q468" s="548">
        <v>1000</v>
      </c>
      <c r="R468" s="552">
        <v>312000</v>
      </c>
      <c r="S468" s="548">
        <v>0</v>
      </c>
      <c r="T468" s="552">
        <v>0</v>
      </c>
      <c r="U468" s="548">
        <v>1000</v>
      </c>
      <c r="V468" s="552">
        <v>312000</v>
      </c>
      <c r="W468" s="552">
        <v>0</v>
      </c>
      <c r="X468" s="552">
        <v>0</v>
      </c>
      <c r="Y468" s="552">
        <v>0</v>
      </c>
      <c r="Z468" s="552">
        <v>0</v>
      </c>
      <c r="AA468" s="552">
        <v>0</v>
      </c>
      <c r="AB468" s="552">
        <v>0</v>
      </c>
      <c r="AC468" s="552">
        <v>0</v>
      </c>
      <c r="AD468" s="552">
        <v>0</v>
      </c>
      <c r="AE468" s="552">
        <v>0</v>
      </c>
      <c r="AF468" s="552">
        <v>0</v>
      </c>
      <c r="AG468" s="552">
        <v>0</v>
      </c>
      <c r="AH468" s="552">
        <v>0</v>
      </c>
      <c r="AI468" s="552">
        <v>0</v>
      </c>
      <c r="AJ468" s="552">
        <v>0</v>
      </c>
    </row>
    <row r="469" spans="1:36" ht="15.95" customHeight="1">
      <c r="A469" s="547"/>
      <c r="B469" s="548">
        <v>893</v>
      </c>
      <c r="C469" s="549">
        <v>7023</v>
      </c>
      <c r="D469" s="550" t="s">
        <v>11972</v>
      </c>
      <c r="E469" s="550" t="s">
        <v>4292</v>
      </c>
      <c r="F469" s="550" t="s">
        <v>1381</v>
      </c>
      <c r="G469" s="550" t="s">
        <v>1380</v>
      </c>
      <c r="H469" s="550" t="s">
        <v>310</v>
      </c>
      <c r="I469" s="550" t="s">
        <v>11</v>
      </c>
      <c r="J469" s="550" t="s">
        <v>11975</v>
      </c>
      <c r="K469" s="551">
        <v>45359</v>
      </c>
      <c r="L469" s="552">
        <v>312</v>
      </c>
      <c r="M469" s="552">
        <v>312</v>
      </c>
      <c r="N469" s="552">
        <v>312</v>
      </c>
      <c r="O469" s="552"/>
      <c r="P469" s="552"/>
      <c r="Q469" s="548">
        <v>500</v>
      </c>
      <c r="R469" s="552">
        <v>156000</v>
      </c>
      <c r="S469" s="548">
        <v>0</v>
      </c>
      <c r="T469" s="552">
        <v>0</v>
      </c>
      <c r="U469" s="548">
        <v>500</v>
      </c>
      <c r="V469" s="552">
        <v>156000</v>
      </c>
      <c r="W469" s="552">
        <v>0</v>
      </c>
      <c r="X469" s="552">
        <v>0</v>
      </c>
      <c r="Y469" s="552">
        <v>0</v>
      </c>
      <c r="Z469" s="552">
        <v>0</v>
      </c>
      <c r="AA469" s="552">
        <v>0</v>
      </c>
      <c r="AB469" s="552">
        <v>0</v>
      </c>
      <c r="AC469" s="552">
        <v>0</v>
      </c>
      <c r="AD469" s="552">
        <v>0</v>
      </c>
      <c r="AE469" s="552">
        <v>0</v>
      </c>
      <c r="AF469" s="552">
        <v>0</v>
      </c>
      <c r="AG469" s="552">
        <v>0</v>
      </c>
      <c r="AH469" s="552">
        <v>0</v>
      </c>
      <c r="AI469" s="552">
        <v>0</v>
      </c>
      <c r="AJ469" s="552">
        <v>0</v>
      </c>
    </row>
    <row r="470" spans="1:36" ht="15.95" customHeight="1">
      <c r="A470" s="547"/>
      <c r="B470" s="548">
        <v>894</v>
      </c>
      <c r="C470" s="549">
        <v>7023</v>
      </c>
      <c r="D470" s="550" t="s">
        <v>11972</v>
      </c>
      <c r="E470" s="550" t="s">
        <v>4292</v>
      </c>
      <c r="F470" s="550" t="s">
        <v>1381</v>
      </c>
      <c r="G470" s="550" t="s">
        <v>1380</v>
      </c>
      <c r="H470" s="550" t="s">
        <v>310</v>
      </c>
      <c r="I470" s="550" t="s">
        <v>11</v>
      </c>
      <c r="J470" s="550" t="s">
        <v>4294</v>
      </c>
      <c r="K470" s="551">
        <v>44963</v>
      </c>
      <c r="L470" s="552">
        <v>312</v>
      </c>
      <c r="M470" s="552">
        <v>312</v>
      </c>
      <c r="N470" s="552">
        <v>312</v>
      </c>
      <c r="O470" s="552">
        <v>1874</v>
      </c>
      <c r="P470" s="552">
        <v>584688</v>
      </c>
      <c r="Q470" s="548">
        <v>0</v>
      </c>
      <c r="R470" s="552">
        <v>0</v>
      </c>
      <c r="S470" s="548">
        <v>1874</v>
      </c>
      <c r="T470" s="552">
        <v>584688</v>
      </c>
      <c r="U470" s="548">
        <v>0</v>
      </c>
      <c r="V470" s="552">
        <v>0</v>
      </c>
      <c r="W470" s="552">
        <v>1669</v>
      </c>
      <c r="X470" s="552">
        <v>520728</v>
      </c>
      <c r="Y470" s="552">
        <v>1874</v>
      </c>
      <c r="Z470" s="552">
        <v>584688</v>
      </c>
      <c r="AA470" s="552">
        <v>1874</v>
      </c>
      <c r="AB470" s="552">
        <v>584688</v>
      </c>
      <c r="AC470" s="552">
        <v>0</v>
      </c>
      <c r="AD470" s="552">
        <v>0</v>
      </c>
      <c r="AE470" s="552">
        <v>0</v>
      </c>
      <c r="AF470" s="552">
        <v>0</v>
      </c>
      <c r="AG470" s="552">
        <v>0</v>
      </c>
      <c r="AH470" s="552">
        <v>0</v>
      </c>
      <c r="AI470" s="552">
        <v>0</v>
      </c>
      <c r="AJ470" s="552">
        <v>0</v>
      </c>
    </row>
    <row r="471" spans="1:36" ht="15.95" customHeight="1">
      <c r="A471" s="547"/>
      <c r="B471" s="548">
        <v>895</v>
      </c>
      <c r="C471" s="549">
        <v>7024</v>
      </c>
      <c r="D471" s="550" t="s">
        <v>11976</v>
      </c>
      <c r="E471" s="550" t="s">
        <v>4295</v>
      </c>
      <c r="F471" s="550" t="s">
        <v>1383</v>
      </c>
      <c r="G471" s="550" t="s">
        <v>1380</v>
      </c>
      <c r="H471" s="550" t="s">
        <v>869</v>
      </c>
      <c r="I471" s="550" t="s">
        <v>11</v>
      </c>
      <c r="J471" s="550" t="s">
        <v>4296</v>
      </c>
      <c r="K471" s="551">
        <v>45113</v>
      </c>
      <c r="L471" s="552">
        <v>599</v>
      </c>
      <c r="M471" s="552">
        <v>599</v>
      </c>
      <c r="N471" s="552">
        <v>599</v>
      </c>
      <c r="O471" s="552">
        <v>9381</v>
      </c>
      <c r="P471" s="552">
        <v>5619219</v>
      </c>
      <c r="Q471" s="548">
        <v>9</v>
      </c>
      <c r="R471" s="552">
        <v>5391</v>
      </c>
      <c r="S471" s="548">
        <v>8916</v>
      </c>
      <c r="T471" s="552">
        <v>5340684</v>
      </c>
      <c r="U471" s="548">
        <v>474</v>
      </c>
      <c r="V471" s="552">
        <v>283926</v>
      </c>
      <c r="W471" s="552">
        <v>100</v>
      </c>
      <c r="X471" s="552">
        <v>59900</v>
      </c>
      <c r="Y471" s="552">
        <v>8916</v>
      </c>
      <c r="Z471" s="552">
        <v>5340684</v>
      </c>
      <c r="AA471" s="552">
        <v>8409</v>
      </c>
      <c r="AB471" s="552">
        <v>5036991</v>
      </c>
      <c r="AC471" s="552">
        <v>507</v>
      </c>
      <c r="AD471" s="552">
        <v>303693</v>
      </c>
      <c r="AE471" s="552">
        <v>0</v>
      </c>
      <c r="AF471" s="552">
        <v>0</v>
      </c>
      <c r="AG471" s="552">
        <v>0</v>
      </c>
      <c r="AH471" s="552">
        <v>0</v>
      </c>
      <c r="AI471" s="552">
        <v>0</v>
      </c>
      <c r="AJ471" s="552">
        <v>0</v>
      </c>
    </row>
    <row r="472" spans="1:36" ht="15.95" customHeight="1">
      <c r="A472" s="547"/>
      <c r="B472" s="548">
        <v>896</v>
      </c>
      <c r="C472" s="549">
        <v>7024</v>
      </c>
      <c r="D472" s="550" t="s">
        <v>11976</v>
      </c>
      <c r="E472" s="550" t="s">
        <v>4295</v>
      </c>
      <c r="F472" s="550" t="s">
        <v>1383</v>
      </c>
      <c r="G472" s="550" t="s">
        <v>1380</v>
      </c>
      <c r="H472" s="550" t="s">
        <v>869</v>
      </c>
      <c r="I472" s="550" t="s">
        <v>11</v>
      </c>
      <c r="J472" s="550" t="s">
        <v>11977</v>
      </c>
      <c r="K472" s="551">
        <v>45359</v>
      </c>
      <c r="L472" s="552">
        <v>599</v>
      </c>
      <c r="M472" s="552">
        <v>599</v>
      </c>
      <c r="N472" s="552">
        <v>599</v>
      </c>
      <c r="O472" s="552"/>
      <c r="P472" s="552"/>
      <c r="Q472" s="548">
        <v>6000</v>
      </c>
      <c r="R472" s="552">
        <v>3594000</v>
      </c>
      <c r="S472" s="548">
        <v>2310</v>
      </c>
      <c r="T472" s="552">
        <v>1383690</v>
      </c>
      <c r="U472" s="548">
        <v>3690</v>
      </c>
      <c r="V472" s="552">
        <v>2210310</v>
      </c>
      <c r="W472" s="552">
        <v>382</v>
      </c>
      <c r="X472" s="552">
        <v>228818</v>
      </c>
      <c r="Y472" s="552">
        <v>2310</v>
      </c>
      <c r="Z472" s="552">
        <v>1383690</v>
      </c>
      <c r="AA472" s="552">
        <v>0</v>
      </c>
      <c r="AB472" s="552">
        <v>0</v>
      </c>
      <c r="AC472" s="552">
        <v>2310</v>
      </c>
      <c r="AD472" s="552">
        <v>1383690</v>
      </c>
      <c r="AE472" s="552">
        <v>0</v>
      </c>
      <c r="AF472" s="552">
        <v>0</v>
      </c>
      <c r="AG472" s="552">
        <v>0</v>
      </c>
      <c r="AH472" s="552">
        <v>0</v>
      </c>
      <c r="AI472" s="552">
        <v>0</v>
      </c>
      <c r="AJ472" s="552">
        <v>0</v>
      </c>
    </row>
    <row r="473" spans="1:36" ht="15.95" customHeight="1">
      <c r="A473" s="547"/>
      <c r="B473" s="548">
        <v>897</v>
      </c>
      <c r="C473" s="549">
        <v>7024</v>
      </c>
      <c r="D473" s="550" t="s">
        <v>11976</v>
      </c>
      <c r="E473" s="550" t="s">
        <v>4295</v>
      </c>
      <c r="F473" s="550" t="s">
        <v>1383</v>
      </c>
      <c r="G473" s="550" t="s">
        <v>1380</v>
      </c>
      <c r="H473" s="550" t="s">
        <v>869</v>
      </c>
      <c r="I473" s="550" t="s">
        <v>11</v>
      </c>
      <c r="J473" s="550" t="s">
        <v>4297</v>
      </c>
      <c r="K473" s="551">
        <v>44964</v>
      </c>
      <c r="L473" s="552">
        <v>599</v>
      </c>
      <c r="M473" s="552">
        <v>599</v>
      </c>
      <c r="N473" s="552">
        <v>599</v>
      </c>
      <c r="O473" s="552">
        <v>39</v>
      </c>
      <c r="P473" s="552">
        <v>23361</v>
      </c>
      <c r="Q473" s="548">
        <v>1</v>
      </c>
      <c r="R473" s="552">
        <v>599</v>
      </c>
      <c r="S473" s="548">
        <v>40</v>
      </c>
      <c r="T473" s="552">
        <v>23960</v>
      </c>
      <c r="U473" s="548">
        <v>0</v>
      </c>
      <c r="V473" s="552">
        <v>0</v>
      </c>
      <c r="W473" s="552">
        <v>760</v>
      </c>
      <c r="X473" s="552">
        <v>455240</v>
      </c>
      <c r="Y473" s="552">
        <v>40</v>
      </c>
      <c r="Z473" s="552">
        <v>23960</v>
      </c>
      <c r="AA473" s="552">
        <v>0</v>
      </c>
      <c r="AB473" s="552">
        <v>0</v>
      </c>
      <c r="AC473" s="552">
        <v>40</v>
      </c>
      <c r="AD473" s="552">
        <v>23960</v>
      </c>
      <c r="AE473" s="552">
        <v>0</v>
      </c>
      <c r="AF473" s="552">
        <v>0</v>
      </c>
      <c r="AG473" s="552">
        <v>0</v>
      </c>
      <c r="AH473" s="552">
        <v>0</v>
      </c>
      <c r="AI473" s="552">
        <v>0</v>
      </c>
      <c r="AJ473" s="552">
        <v>0</v>
      </c>
    </row>
    <row r="474" spans="1:36" ht="15.95" customHeight="1">
      <c r="A474" s="547"/>
      <c r="B474" s="548">
        <v>900</v>
      </c>
      <c r="C474" s="549">
        <v>6729</v>
      </c>
      <c r="D474" s="550" t="s">
        <v>11978</v>
      </c>
      <c r="E474" s="550" t="s">
        <v>4298</v>
      </c>
      <c r="F474" s="550" t="s">
        <v>1168</v>
      </c>
      <c r="G474" s="550" t="s">
        <v>1167</v>
      </c>
      <c r="H474" s="550" t="s">
        <v>258</v>
      </c>
      <c r="I474" s="550" t="s">
        <v>11</v>
      </c>
      <c r="J474" s="550" t="s">
        <v>11979</v>
      </c>
      <c r="K474" s="551">
        <v>44610</v>
      </c>
      <c r="L474" s="552">
        <v>3990</v>
      </c>
      <c r="M474" s="552">
        <v>3990</v>
      </c>
      <c r="N474" s="552">
        <v>3990</v>
      </c>
      <c r="O474" s="552"/>
      <c r="P474" s="552"/>
      <c r="Q474" s="548">
        <v>6960</v>
      </c>
      <c r="R474" s="552">
        <v>27770400</v>
      </c>
      <c r="S474" s="548">
        <v>6053</v>
      </c>
      <c r="T474" s="552">
        <v>24151470</v>
      </c>
      <c r="U474" s="548">
        <v>907</v>
      </c>
      <c r="V474" s="552">
        <v>3618930</v>
      </c>
      <c r="W474" s="552">
        <v>0</v>
      </c>
      <c r="X474" s="552">
        <v>0</v>
      </c>
      <c r="Y474" s="552">
        <v>1013</v>
      </c>
      <c r="Z474" s="552">
        <v>4041870</v>
      </c>
      <c r="AA474" s="552">
        <v>1013</v>
      </c>
      <c r="AB474" s="552">
        <v>4041870</v>
      </c>
      <c r="AC474" s="552">
        <v>0</v>
      </c>
      <c r="AD474" s="552">
        <v>0</v>
      </c>
      <c r="AE474" s="552">
        <v>0</v>
      </c>
      <c r="AF474" s="552">
        <v>0</v>
      </c>
      <c r="AG474" s="552">
        <v>5040</v>
      </c>
      <c r="AH474" s="552">
        <v>20109600</v>
      </c>
      <c r="AI474" s="552">
        <v>0</v>
      </c>
      <c r="AJ474" s="552">
        <v>0</v>
      </c>
    </row>
    <row r="475" spans="1:36" ht="15.95" customHeight="1">
      <c r="A475" s="547"/>
      <c r="B475" s="548">
        <v>901</v>
      </c>
      <c r="C475" s="549">
        <v>7189</v>
      </c>
      <c r="D475" s="550" t="s">
        <v>11980</v>
      </c>
      <c r="E475" s="550" t="s">
        <v>6205</v>
      </c>
      <c r="F475" s="550" t="s">
        <v>1532</v>
      </c>
      <c r="G475" s="550" t="s">
        <v>359</v>
      </c>
      <c r="H475" s="550" t="s">
        <v>258</v>
      </c>
      <c r="I475" s="550" t="s">
        <v>11</v>
      </c>
      <c r="J475" s="550" t="s">
        <v>11981</v>
      </c>
      <c r="K475" s="551">
        <v>46022</v>
      </c>
      <c r="L475" s="552">
        <v>1750</v>
      </c>
      <c r="M475" s="552">
        <v>1750</v>
      </c>
      <c r="N475" s="552">
        <v>1750</v>
      </c>
      <c r="O475" s="552"/>
      <c r="P475" s="552"/>
      <c r="Q475" s="548">
        <v>1000</v>
      </c>
      <c r="R475" s="552">
        <v>1750000</v>
      </c>
      <c r="S475" s="548">
        <v>0</v>
      </c>
      <c r="T475" s="552">
        <v>0</v>
      </c>
      <c r="U475" s="548">
        <v>1000</v>
      </c>
      <c r="V475" s="552">
        <v>1750000</v>
      </c>
      <c r="W475" s="552">
        <v>0</v>
      </c>
      <c r="X475" s="552">
        <v>0</v>
      </c>
      <c r="Y475" s="552">
        <v>0</v>
      </c>
      <c r="Z475" s="552">
        <v>0</v>
      </c>
      <c r="AA475" s="552">
        <v>0</v>
      </c>
      <c r="AB475" s="552">
        <v>0</v>
      </c>
      <c r="AC475" s="552">
        <v>0</v>
      </c>
      <c r="AD475" s="552">
        <v>0</v>
      </c>
      <c r="AE475" s="552">
        <v>0</v>
      </c>
      <c r="AF475" s="552">
        <v>0</v>
      </c>
      <c r="AG475" s="552">
        <v>0</v>
      </c>
      <c r="AH475" s="552">
        <v>0</v>
      </c>
      <c r="AI475" s="552">
        <v>0</v>
      </c>
      <c r="AJ475" s="552">
        <v>0</v>
      </c>
    </row>
    <row r="476" spans="1:36" ht="15.95" customHeight="1">
      <c r="A476" s="547"/>
      <c r="B476" s="548">
        <v>911</v>
      </c>
      <c r="C476" s="549">
        <v>6649</v>
      </c>
      <c r="D476" s="550" t="s">
        <v>11982</v>
      </c>
      <c r="E476" s="550" t="s">
        <v>4300</v>
      </c>
      <c r="F476" s="550" t="s">
        <v>4301</v>
      </c>
      <c r="G476" s="550" t="s">
        <v>289</v>
      </c>
      <c r="H476" s="550" t="s">
        <v>258</v>
      </c>
      <c r="I476" s="550" t="s">
        <v>11</v>
      </c>
      <c r="J476" s="550" t="s">
        <v>11983</v>
      </c>
      <c r="K476" s="551">
        <v>45149</v>
      </c>
      <c r="L476" s="552">
        <v>4000</v>
      </c>
      <c r="M476" s="552">
        <v>4000</v>
      </c>
      <c r="N476" s="552">
        <v>4000</v>
      </c>
      <c r="O476" s="552">
        <v>9616</v>
      </c>
      <c r="P476" s="552">
        <v>38464000</v>
      </c>
      <c r="Q476" s="548">
        <v>4</v>
      </c>
      <c r="R476" s="552">
        <v>16000</v>
      </c>
      <c r="S476" s="548">
        <v>9376</v>
      </c>
      <c r="T476" s="552">
        <v>37504000</v>
      </c>
      <c r="U476" s="548">
        <v>244</v>
      </c>
      <c r="V476" s="552">
        <v>976000</v>
      </c>
      <c r="W476" s="552">
        <v>0</v>
      </c>
      <c r="X476" s="552">
        <v>0</v>
      </c>
      <c r="Y476" s="552">
        <v>9352</v>
      </c>
      <c r="Z476" s="552">
        <v>37408000</v>
      </c>
      <c r="AA476" s="552">
        <v>9229</v>
      </c>
      <c r="AB476" s="552">
        <v>36916000</v>
      </c>
      <c r="AC476" s="552">
        <v>123</v>
      </c>
      <c r="AD476" s="552">
        <v>492000</v>
      </c>
      <c r="AE476" s="552">
        <v>0</v>
      </c>
      <c r="AF476" s="552">
        <v>0</v>
      </c>
      <c r="AG476" s="552">
        <v>24</v>
      </c>
      <c r="AH476" s="552">
        <v>96000</v>
      </c>
      <c r="AI476" s="552">
        <v>0</v>
      </c>
      <c r="AJ476" s="552">
        <v>0</v>
      </c>
    </row>
    <row r="477" spans="1:36" ht="15.95" customHeight="1">
      <c r="A477" s="547"/>
      <c r="B477" s="548">
        <v>912</v>
      </c>
      <c r="C477" s="549">
        <v>6776</v>
      </c>
      <c r="D477" s="550" t="s">
        <v>11984</v>
      </c>
      <c r="E477" s="550" t="s">
        <v>6630</v>
      </c>
      <c r="F477" s="550" t="s">
        <v>6631</v>
      </c>
      <c r="G477" s="550" t="s">
        <v>6006</v>
      </c>
      <c r="H477" s="550" t="s">
        <v>310</v>
      </c>
      <c r="I477" s="550" t="s">
        <v>11</v>
      </c>
      <c r="J477" s="550" t="s">
        <v>11985</v>
      </c>
      <c r="K477" s="551">
        <v>45152</v>
      </c>
      <c r="L477" s="552">
        <v>4000</v>
      </c>
      <c r="M477" s="552">
        <v>4000</v>
      </c>
      <c r="N477" s="552">
        <v>4000</v>
      </c>
      <c r="O477" s="552"/>
      <c r="P477" s="552"/>
      <c r="Q477" s="548">
        <v>3000</v>
      </c>
      <c r="R477" s="552">
        <v>12000000</v>
      </c>
      <c r="S477" s="548">
        <v>0</v>
      </c>
      <c r="T477" s="552">
        <v>0</v>
      </c>
      <c r="U477" s="548">
        <v>3000</v>
      </c>
      <c r="V477" s="552">
        <v>12000000</v>
      </c>
      <c r="W477" s="552">
        <v>0</v>
      </c>
      <c r="X477" s="552">
        <v>0</v>
      </c>
      <c r="Y477" s="552">
        <v>0</v>
      </c>
      <c r="Z477" s="552">
        <v>0</v>
      </c>
      <c r="AA477" s="552">
        <v>0</v>
      </c>
      <c r="AB477" s="552">
        <v>0</v>
      </c>
      <c r="AC477" s="552">
        <v>0</v>
      </c>
      <c r="AD477" s="552">
        <v>0</v>
      </c>
      <c r="AE477" s="552">
        <v>0</v>
      </c>
      <c r="AF477" s="552">
        <v>0</v>
      </c>
      <c r="AG477" s="552">
        <v>0</v>
      </c>
      <c r="AH477" s="552">
        <v>0</v>
      </c>
      <c r="AI477" s="552">
        <v>0</v>
      </c>
      <c r="AJ477" s="552">
        <v>0</v>
      </c>
    </row>
    <row r="478" spans="1:36" ht="15.95" customHeight="1">
      <c r="A478" s="547"/>
      <c r="B478" s="548">
        <v>913</v>
      </c>
      <c r="C478" s="549">
        <v>6880</v>
      </c>
      <c r="D478" s="550" t="s">
        <v>11986</v>
      </c>
      <c r="E478" s="550" t="s">
        <v>4279</v>
      </c>
      <c r="F478" s="550" t="s">
        <v>4306</v>
      </c>
      <c r="G478" s="550" t="s">
        <v>645</v>
      </c>
      <c r="H478" s="550" t="s">
        <v>291</v>
      </c>
      <c r="I478" s="550" t="s">
        <v>11</v>
      </c>
      <c r="J478" s="550" t="s">
        <v>11987</v>
      </c>
      <c r="K478" s="551">
        <v>45240</v>
      </c>
      <c r="L478" s="552">
        <v>990</v>
      </c>
      <c r="M478" s="552">
        <v>990</v>
      </c>
      <c r="N478" s="552">
        <v>990</v>
      </c>
      <c r="O478" s="552">
        <v>9746</v>
      </c>
      <c r="P478" s="552">
        <v>9648540</v>
      </c>
      <c r="Q478" s="548">
        <v>0</v>
      </c>
      <c r="R478" s="552">
        <v>0</v>
      </c>
      <c r="S478" s="548">
        <v>9717</v>
      </c>
      <c r="T478" s="552">
        <v>9619830</v>
      </c>
      <c r="U478" s="548">
        <v>29</v>
      </c>
      <c r="V478" s="552">
        <v>28710</v>
      </c>
      <c r="W478" s="552">
        <v>800</v>
      </c>
      <c r="X478" s="552">
        <v>792000</v>
      </c>
      <c r="Y478" s="552">
        <v>9717</v>
      </c>
      <c r="Z478" s="552">
        <v>9619830</v>
      </c>
      <c r="AA478" s="552">
        <v>8846</v>
      </c>
      <c r="AB478" s="552">
        <v>8757540</v>
      </c>
      <c r="AC478" s="552">
        <v>871</v>
      </c>
      <c r="AD478" s="552">
        <v>862290</v>
      </c>
      <c r="AE478" s="552">
        <v>0</v>
      </c>
      <c r="AF478" s="552">
        <v>0</v>
      </c>
      <c r="AG478" s="552">
        <v>0</v>
      </c>
      <c r="AH478" s="552">
        <v>0</v>
      </c>
      <c r="AI478" s="552">
        <v>0</v>
      </c>
      <c r="AJ478" s="552">
        <v>0</v>
      </c>
    </row>
    <row r="479" spans="1:36" ht="15.95" customHeight="1">
      <c r="A479" s="547"/>
      <c r="B479" s="548">
        <v>914</v>
      </c>
      <c r="C479" s="549">
        <v>6880</v>
      </c>
      <c r="D479" s="550" t="s">
        <v>11986</v>
      </c>
      <c r="E479" s="550" t="s">
        <v>4279</v>
      </c>
      <c r="F479" s="550" t="s">
        <v>4306</v>
      </c>
      <c r="G479" s="550" t="s">
        <v>645</v>
      </c>
      <c r="H479" s="550" t="s">
        <v>291</v>
      </c>
      <c r="I479" s="550" t="s">
        <v>11</v>
      </c>
      <c r="J479" s="550" t="s">
        <v>11988</v>
      </c>
      <c r="K479" s="551">
        <v>45327</v>
      </c>
      <c r="L479" s="552">
        <v>990</v>
      </c>
      <c r="M479" s="552">
        <v>990</v>
      </c>
      <c r="N479" s="552">
        <v>990</v>
      </c>
      <c r="O479" s="552"/>
      <c r="P479" s="552"/>
      <c r="Q479" s="548">
        <v>2610</v>
      </c>
      <c r="R479" s="552">
        <v>2583900</v>
      </c>
      <c r="S479" s="548">
        <v>2610</v>
      </c>
      <c r="T479" s="552">
        <v>2583900</v>
      </c>
      <c r="U479" s="548">
        <v>0</v>
      </c>
      <c r="V479" s="552">
        <v>0</v>
      </c>
      <c r="W479" s="552">
        <v>0</v>
      </c>
      <c r="X479" s="552">
        <v>0</v>
      </c>
      <c r="Y479" s="552">
        <v>2610</v>
      </c>
      <c r="Z479" s="552">
        <v>2583900</v>
      </c>
      <c r="AA479" s="552">
        <v>2610</v>
      </c>
      <c r="AB479" s="552">
        <v>2583900</v>
      </c>
      <c r="AC479" s="552">
        <v>0</v>
      </c>
      <c r="AD479" s="552">
        <v>0</v>
      </c>
      <c r="AE479" s="552">
        <v>0</v>
      </c>
      <c r="AF479" s="552">
        <v>0</v>
      </c>
      <c r="AG479" s="552">
        <v>0</v>
      </c>
      <c r="AH479" s="552">
        <v>0</v>
      </c>
      <c r="AI479" s="552">
        <v>0</v>
      </c>
      <c r="AJ479" s="552">
        <v>0</v>
      </c>
    </row>
    <row r="480" spans="1:36" ht="15.95" customHeight="1">
      <c r="A480" s="547"/>
      <c r="B480" s="548">
        <v>915</v>
      </c>
      <c r="C480" s="549">
        <v>6880</v>
      </c>
      <c r="D480" s="550" t="s">
        <v>11986</v>
      </c>
      <c r="E480" s="550" t="s">
        <v>4279</v>
      </c>
      <c r="F480" s="550" t="s">
        <v>4306</v>
      </c>
      <c r="G480" s="550" t="s">
        <v>645</v>
      </c>
      <c r="H480" s="550" t="s">
        <v>291</v>
      </c>
      <c r="I480" s="550" t="s">
        <v>11</v>
      </c>
      <c r="J480" s="550" t="s">
        <v>11989</v>
      </c>
      <c r="K480" s="551">
        <v>45327</v>
      </c>
      <c r="L480" s="552">
        <v>990</v>
      </c>
      <c r="M480" s="552">
        <v>990</v>
      </c>
      <c r="N480" s="552">
        <v>990</v>
      </c>
      <c r="O480" s="552"/>
      <c r="P480" s="552"/>
      <c r="Q480" s="548">
        <v>2160</v>
      </c>
      <c r="R480" s="552">
        <v>2138400</v>
      </c>
      <c r="S480" s="548">
        <v>2160</v>
      </c>
      <c r="T480" s="552">
        <v>2138400</v>
      </c>
      <c r="U480" s="548">
        <v>0</v>
      </c>
      <c r="V480" s="552">
        <v>0</v>
      </c>
      <c r="W480" s="552">
        <v>700</v>
      </c>
      <c r="X480" s="552">
        <v>693000</v>
      </c>
      <c r="Y480" s="552">
        <v>2160</v>
      </c>
      <c r="Z480" s="552">
        <v>2138400</v>
      </c>
      <c r="AA480" s="552">
        <v>1460</v>
      </c>
      <c r="AB480" s="552">
        <v>1445400</v>
      </c>
      <c r="AC480" s="552">
        <v>700</v>
      </c>
      <c r="AD480" s="552">
        <v>693000</v>
      </c>
      <c r="AE480" s="552">
        <v>0</v>
      </c>
      <c r="AF480" s="552">
        <v>0</v>
      </c>
      <c r="AG480" s="552">
        <v>0</v>
      </c>
      <c r="AH480" s="552">
        <v>0</v>
      </c>
      <c r="AI480" s="552">
        <v>0</v>
      </c>
      <c r="AJ480" s="552">
        <v>0</v>
      </c>
    </row>
    <row r="481" spans="1:36" ht="15.95" customHeight="1">
      <c r="A481" s="547"/>
      <c r="B481" s="548">
        <v>916</v>
      </c>
      <c r="C481" s="549">
        <v>6880</v>
      </c>
      <c r="D481" s="550" t="s">
        <v>11986</v>
      </c>
      <c r="E481" s="550" t="s">
        <v>4279</v>
      </c>
      <c r="F481" s="550" t="s">
        <v>4306</v>
      </c>
      <c r="G481" s="550" t="s">
        <v>645</v>
      </c>
      <c r="H481" s="550" t="s">
        <v>291</v>
      </c>
      <c r="I481" s="550" t="s">
        <v>11</v>
      </c>
      <c r="J481" s="550" t="s">
        <v>11990</v>
      </c>
      <c r="K481" s="551">
        <v>45330</v>
      </c>
      <c r="L481" s="552">
        <v>990</v>
      </c>
      <c r="M481" s="552">
        <v>990</v>
      </c>
      <c r="N481" s="552">
        <v>990</v>
      </c>
      <c r="O481" s="552"/>
      <c r="P481" s="552"/>
      <c r="Q481" s="548">
        <v>15210</v>
      </c>
      <c r="R481" s="552">
        <v>15057900</v>
      </c>
      <c r="S481" s="548">
        <v>7030</v>
      </c>
      <c r="T481" s="552">
        <v>6959700</v>
      </c>
      <c r="U481" s="548">
        <v>8180</v>
      </c>
      <c r="V481" s="552">
        <v>8098200</v>
      </c>
      <c r="W481" s="552">
        <v>2100</v>
      </c>
      <c r="X481" s="552">
        <v>2079000</v>
      </c>
      <c r="Y481" s="552">
        <v>7030</v>
      </c>
      <c r="Z481" s="552">
        <v>6959700</v>
      </c>
      <c r="AA481" s="552">
        <v>4930</v>
      </c>
      <c r="AB481" s="552">
        <v>4880700</v>
      </c>
      <c r="AC481" s="552">
        <v>2100</v>
      </c>
      <c r="AD481" s="552">
        <v>2079000</v>
      </c>
      <c r="AE481" s="552">
        <v>0</v>
      </c>
      <c r="AF481" s="552">
        <v>0</v>
      </c>
      <c r="AG481" s="552">
        <v>0</v>
      </c>
      <c r="AH481" s="552">
        <v>0</v>
      </c>
      <c r="AI481" s="552">
        <v>0</v>
      </c>
      <c r="AJ481" s="552">
        <v>0</v>
      </c>
    </row>
    <row r="482" spans="1:36" ht="15.95" customHeight="1">
      <c r="A482" s="547"/>
      <c r="B482" s="548">
        <v>917</v>
      </c>
      <c r="C482" s="549">
        <v>6880</v>
      </c>
      <c r="D482" s="550" t="s">
        <v>11986</v>
      </c>
      <c r="E482" s="550" t="s">
        <v>4279</v>
      </c>
      <c r="F482" s="550" t="s">
        <v>4306</v>
      </c>
      <c r="G482" s="550" t="s">
        <v>645</v>
      </c>
      <c r="H482" s="550" t="s">
        <v>291</v>
      </c>
      <c r="I482" s="550" t="s">
        <v>11</v>
      </c>
      <c r="J482" s="550" t="s">
        <v>11991</v>
      </c>
      <c r="K482" s="551">
        <v>45394</v>
      </c>
      <c r="L482" s="552">
        <v>990</v>
      </c>
      <c r="M482" s="552">
        <v>990</v>
      </c>
      <c r="N482" s="552">
        <v>990</v>
      </c>
      <c r="O482" s="552"/>
      <c r="P482" s="552"/>
      <c r="Q482" s="548">
        <v>9990</v>
      </c>
      <c r="R482" s="552">
        <v>9890100</v>
      </c>
      <c r="S482" s="548">
        <v>3836</v>
      </c>
      <c r="T482" s="552">
        <v>3797640</v>
      </c>
      <c r="U482" s="548">
        <v>6154</v>
      </c>
      <c r="V482" s="552">
        <v>6092460</v>
      </c>
      <c r="W482" s="552">
        <v>49</v>
      </c>
      <c r="X482" s="552">
        <v>48510</v>
      </c>
      <c r="Y482" s="552">
        <v>3836</v>
      </c>
      <c r="Z482" s="552">
        <v>3797640</v>
      </c>
      <c r="AA482" s="552">
        <v>2936</v>
      </c>
      <c r="AB482" s="552">
        <v>2906640</v>
      </c>
      <c r="AC482" s="552">
        <v>900</v>
      </c>
      <c r="AD482" s="552">
        <v>891000</v>
      </c>
      <c r="AE482" s="552">
        <v>0</v>
      </c>
      <c r="AF482" s="552">
        <v>0</v>
      </c>
      <c r="AG482" s="552">
        <v>0</v>
      </c>
      <c r="AH482" s="552">
        <v>0</v>
      </c>
      <c r="AI482" s="552">
        <v>0</v>
      </c>
      <c r="AJ482" s="552">
        <v>0</v>
      </c>
    </row>
    <row r="483" spans="1:36" ht="15.95" customHeight="1">
      <c r="A483" s="547"/>
      <c r="B483" s="548">
        <v>921</v>
      </c>
      <c r="C483" s="549">
        <v>7066</v>
      </c>
      <c r="D483" s="550" t="s">
        <v>11992</v>
      </c>
      <c r="E483" s="550" t="s">
        <v>4311</v>
      </c>
      <c r="F483" s="550" t="s">
        <v>3368</v>
      </c>
      <c r="G483" s="550" t="s">
        <v>592</v>
      </c>
      <c r="H483" s="550" t="s">
        <v>594</v>
      </c>
      <c r="I483" s="550" t="s">
        <v>11</v>
      </c>
      <c r="J483" s="550" t="s">
        <v>4312</v>
      </c>
      <c r="K483" s="551">
        <v>45117</v>
      </c>
      <c r="L483" s="552">
        <v>599</v>
      </c>
      <c r="M483" s="552">
        <v>599</v>
      </c>
      <c r="N483" s="552">
        <v>599</v>
      </c>
      <c r="O483" s="552">
        <v>296</v>
      </c>
      <c r="P483" s="552">
        <v>177304</v>
      </c>
      <c r="Q483" s="548">
        <v>23</v>
      </c>
      <c r="R483" s="552">
        <v>13777</v>
      </c>
      <c r="S483" s="548">
        <v>319</v>
      </c>
      <c r="T483" s="552">
        <v>191081</v>
      </c>
      <c r="U483" s="548">
        <v>0</v>
      </c>
      <c r="V483" s="552">
        <v>0</v>
      </c>
      <c r="W483" s="552">
        <v>1362</v>
      </c>
      <c r="X483" s="552">
        <v>815838</v>
      </c>
      <c r="Y483" s="552">
        <v>319</v>
      </c>
      <c r="Z483" s="552">
        <v>191081</v>
      </c>
      <c r="AA483" s="552">
        <v>0</v>
      </c>
      <c r="AB483" s="552">
        <v>0</v>
      </c>
      <c r="AC483" s="552">
        <v>319</v>
      </c>
      <c r="AD483" s="552">
        <v>191081</v>
      </c>
      <c r="AE483" s="552">
        <v>0</v>
      </c>
      <c r="AF483" s="552">
        <v>0</v>
      </c>
      <c r="AG483" s="552">
        <v>0</v>
      </c>
      <c r="AH483" s="552">
        <v>0</v>
      </c>
      <c r="AI483" s="552">
        <v>0</v>
      </c>
      <c r="AJ483" s="552">
        <v>0</v>
      </c>
    </row>
    <row r="484" spans="1:36" ht="15.95" customHeight="1">
      <c r="A484" s="547"/>
      <c r="B484" s="548">
        <v>922</v>
      </c>
      <c r="C484" s="549">
        <v>7073</v>
      </c>
      <c r="D484" s="550" t="s">
        <v>11993</v>
      </c>
      <c r="E484" s="550" t="s">
        <v>6756</v>
      </c>
      <c r="F484" s="550" t="s">
        <v>6757</v>
      </c>
      <c r="G484" s="550" t="s">
        <v>1247</v>
      </c>
      <c r="H484" s="550" t="s">
        <v>1304</v>
      </c>
      <c r="I484" s="550" t="s">
        <v>11</v>
      </c>
      <c r="J484" s="550" t="s">
        <v>11994</v>
      </c>
      <c r="K484" s="551">
        <v>45165</v>
      </c>
      <c r="L484" s="552">
        <v>4890</v>
      </c>
      <c r="M484" s="552">
        <v>4890</v>
      </c>
      <c r="N484" s="552">
        <v>4890</v>
      </c>
      <c r="O484" s="552"/>
      <c r="P484" s="552"/>
      <c r="Q484" s="548">
        <v>6000</v>
      </c>
      <c r="R484" s="552">
        <v>29340000</v>
      </c>
      <c r="S484" s="548">
        <v>58</v>
      </c>
      <c r="T484" s="552">
        <v>283620</v>
      </c>
      <c r="U484" s="548">
        <v>5942</v>
      </c>
      <c r="V484" s="552">
        <v>29056380</v>
      </c>
      <c r="W484" s="552">
        <v>0</v>
      </c>
      <c r="X484" s="552">
        <v>0</v>
      </c>
      <c r="Y484" s="552">
        <v>58</v>
      </c>
      <c r="Z484" s="552">
        <v>283620</v>
      </c>
      <c r="AA484" s="552">
        <v>58</v>
      </c>
      <c r="AB484" s="552">
        <v>283620</v>
      </c>
      <c r="AC484" s="552">
        <v>0</v>
      </c>
      <c r="AD484" s="552">
        <v>0</v>
      </c>
      <c r="AE484" s="552">
        <v>0</v>
      </c>
      <c r="AF484" s="552">
        <v>0</v>
      </c>
      <c r="AG484" s="552">
        <v>0</v>
      </c>
      <c r="AH484" s="552">
        <v>0</v>
      </c>
      <c r="AI484" s="552">
        <v>0</v>
      </c>
      <c r="AJ484" s="552">
        <v>0</v>
      </c>
    </row>
    <row r="485" spans="1:36" ht="15.95" customHeight="1">
      <c r="A485" s="547"/>
      <c r="B485" s="548">
        <v>923</v>
      </c>
      <c r="C485" s="549">
        <v>5557</v>
      </c>
      <c r="D485" s="550"/>
      <c r="E485" s="550" t="s">
        <v>4313</v>
      </c>
      <c r="F485" s="550" t="s">
        <v>1648</v>
      </c>
      <c r="G485" s="550" t="s">
        <v>1647</v>
      </c>
      <c r="H485" s="550" t="s">
        <v>327</v>
      </c>
      <c r="I485" s="550" t="s">
        <v>10</v>
      </c>
      <c r="J485" s="550" t="s">
        <v>4314</v>
      </c>
      <c r="K485" s="551">
        <v>44253</v>
      </c>
      <c r="L485" s="552">
        <v>1530</v>
      </c>
      <c r="M485" s="552">
        <v>1530</v>
      </c>
      <c r="N485" s="552">
        <v>1530</v>
      </c>
      <c r="O485" s="552">
        <v>3755</v>
      </c>
      <c r="P485" s="552">
        <v>5745150</v>
      </c>
      <c r="Q485" s="548">
        <v>0</v>
      </c>
      <c r="R485" s="552">
        <v>0</v>
      </c>
      <c r="S485" s="548">
        <v>3755</v>
      </c>
      <c r="T485" s="552">
        <v>5745150</v>
      </c>
      <c r="U485" s="548">
        <v>0</v>
      </c>
      <c r="V485" s="552">
        <v>0</v>
      </c>
      <c r="W485" s="552">
        <v>0</v>
      </c>
      <c r="X485" s="552">
        <v>0</v>
      </c>
      <c r="Y485" s="552">
        <v>3755</v>
      </c>
      <c r="Z485" s="552">
        <v>5745150</v>
      </c>
      <c r="AA485" s="552">
        <v>3755</v>
      </c>
      <c r="AB485" s="552">
        <v>5745150</v>
      </c>
      <c r="AC485" s="552">
        <v>0</v>
      </c>
      <c r="AD485" s="552">
        <v>0</v>
      </c>
      <c r="AE485" s="552">
        <v>0</v>
      </c>
      <c r="AF485" s="552">
        <v>0</v>
      </c>
      <c r="AG485" s="552">
        <v>0</v>
      </c>
      <c r="AH485" s="552">
        <v>0</v>
      </c>
      <c r="AI485" s="552">
        <v>0</v>
      </c>
      <c r="AJ485" s="552">
        <v>0</v>
      </c>
    </row>
    <row r="486" spans="1:36" ht="15.95" customHeight="1">
      <c r="A486" s="547"/>
      <c r="B486" s="548">
        <v>925</v>
      </c>
      <c r="C486" s="549">
        <v>6694</v>
      </c>
      <c r="D486" s="550" t="s">
        <v>11995</v>
      </c>
      <c r="E486" s="550" t="s">
        <v>6682</v>
      </c>
      <c r="F486" s="550" t="s">
        <v>1641</v>
      </c>
      <c r="G486" s="550" t="s">
        <v>624</v>
      </c>
      <c r="H486" s="550" t="s">
        <v>625</v>
      </c>
      <c r="I486" s="550" t="s">
        <v>11</v>
      </c>
      <c r="J486" s="550" t="s">
        <v>11996</v>
      </c>
      <c r="K486" s="551">
        <v>45433</v>
      </c>
      <c r="L486" s="552">
        <v>384</v>
      </c>
      <c r="M486" s="552">
        <v>384</v>
      </c>
      <c r="N486" s="552">
        <v>384</v>
      </c>
      <c r="O486" s="552"/>
      <c r="P486" s="552"/>
      <c r="Q486" s="548">
        <v>9990</v>
      </c>
      <c r="R486" s="552">
        <v>3836160</v>
      </c>
      <c r="S486" s="548">
        <v>2324</v>
      </c>
      <c r="T486" s="552">
        <v>892416</v>
      </c>
      <c r="U486" s="548">
        <v>7666</v>
      </c>
      <c r="V486" s="552">
        <v>2943744</v>
      </c>
      <c r="W486" s="552">
        <v>0</v>
      </c>
      <c r="X486" s="552">
        <v>0</v>
      </c>
      <c r="Y486" s="552">
        <v>2324</v>
      </c>
      <c r="Z486" s="552">
        <v>892416</v>
      </c>
      <c r="AA486" s="552">
        <v>2324</v>
      </c>
      <c r="AB486" s="552">
        <v>892416</v>
      </c>
      <c r="AC486" s="552">
        <v>0</v>
      </c>
      <c r="AD486" s="552">
        <v>0</v>
      </c>
      <c r="AE486" s="552">
        <v>0</v>
      </c>
      <c r="AF486" s="552">
        <v>0</v>
      </c>
      <c r="AG486" s="552">
        <v>0</v>
      </c>
      <c r="AH486" s="552">
        <v>0</v>
      </c>
      <c r="AI486" s="552">
        <v>0</v>
      </c>
      <c r="AJ486" s="552">
        <v>0</v>
      </c>
    </row>
    <row r="487" spans="1:36" ht="15.95" customHeight="1">
      <c r="A487" s="547"/>
      <c r="B487" s="548">
        <v>927</v>
      </c>
      <c r="C487" s="549">
        <v>6863</v>
      </c>
      <c r="D487" s="550" t="s">
        <v>11997</v>
      </c>
      <c r="E487" s="550" t="s">
        <v>4316</v>
      </c>
      <c r="F487" s="550" t="s">
        <v>1110</v>
      </c>
      <c r="G487" s="550" t="s">
        <v>1109</v>
      </c>
      <c r="H487" s="550" t="s">
        <v>384</v>
      </c>
      <c r="I487" s="550" t="s">
        <v>11</v>
      </c>
      <c r="J487" s="550" t="s">
        <v>11998</v>
      </c>
      <c r="K487" s="551">
        <v>44895</v>
      </c>
      <c r="L487" s="552">
        <v>4990</v>
      </c>
      <c r="M487" s="552">
        <v>4990</v>
      </c>
      <c r="N487" s="552">
        <v>4990</v>
      </c>
      <c r="O487" s="552"/>
      <c r="P487" s="552"/>
      <c r="Q487" s="548">
        <v>9996</v>
      </c>
      <c r="R487" s="552">
        <v>49880040</v>
      </c>
      <c r="S487" s="548">
        <v>0</v>
      </c>
      <c r="T487" s="552">
        <v>0</v>
      </c>
      <c r="U487" s="548">
        <v>9996</v>
      </c>
      <c r="V487" s="552">
        <v>49880040</v>
      </c>
      <c r="W487" s="552">
        <v>0</v>
      </c>
      <c r="X487" s="552">
        <v>0</v>
      </c>
      <c r="Y487" s="552">
        <v>0</v>
      </c>
      <c r="Z487" s="552">
        <v>0</v>
      </c>
      <c r="AA487" s="552">
        <v>0</v>
      </c>
      <c r="AB487" s="552">
        <v>0</v>
      </c>
      <c r="AC487" s="552">
        <v>0</v>
      </c>
      <c r="AD487" s="552">
        <v>0</v>
      </c>
      <c r="AE487" s="552">
        <v>0</v>
      </c>
      <c r="AF487" s="552">
        <v>0</v>
      </c>
      <c r="AG487" s="552">
        <v>0</v>
      </c>
      <c r="AH487" s="552">
        <v>0</v>
      </c>
      <c r="AI487" s="552">
        <v>0</v>
      </c>
      <c r="AJ487" s="552">
        <v>0</v>
      </c>
    </row>
    <row r="488" spans="1:36" ht="15.95" customHeight="1">
      <c r="A488" s="547"/>
      <c r="B488" s="548">
        <v>929</v>
      </c>
      <c r="C488" s="549">
        <v>7309</v>
      </c>
      <c r="D488" s="550" t="s">
        <v>11999</v>
      </c>
      <c r="E488" s="550" t="s">
        <v>4318</v>
      </c>
      <c r="F488" s="550" t="s">
        <v>4319</v>
      </c>
      <c r="G488" s="550" t="s">
        <v>4317</v>
      </c>
      <c r="H488" s="550" t="s">
        <v>4320</v>
      </c>
      <c r="I488" s="550" t="s">
        <v>658</v>
      </c>
      <c r="J488" s="550" t="s">
        <v>4321</v>
      </c>
      <c r="K488" s="551">
        <v>44562</v>
      </c>
      <c r="L488" s="552">
        <v>225996</v>
      </c>
      <c r="M488" s="552">
        <v>225996</v>
      </c>
      <c r="N488" s="552">
        <v>225996</v>
      </c>
      <c r="O488" s="552">
        <v>2</v>
      </c>
      <c r="P488" s="552">
        <v>451992</v>
      </c>
      <c r="Q488" s="548">
        <v>0</v>
      </c>
      <c r="R488" s="552">
        <v>0</v>
      </c>
      <c r="S488" s="548">
        <v>2</v>
      </c>
      <c r="T488" s="552">
        <v>451992</v>
      </c>
      <c r="U488" s="548">
        <v>0</v>
      </c>
      <c r="V488" s="552">
        <v>0</v>
      </c>
      <c r="W488" s="552">
        <v>0</v>
      </c>
      <c r="X488" s="552">
        <v>0</v>
      </c>
      <c r="Y488" s="552">
        <v>2</v>
      </c>
      <c r="Z488" s="552">
        <v>451992</v>
      </c>
      <c r="AA488" s="552">
        <v>2</v>
      </c>
      <c r="AB488" s="552">
        <v>451992</v>
      </c>
      <c r="AC488" s="552">
        <v>0</v>
      </c>
      <c r="AD488" s="552">
        <v>0</v>
      </c>
      <c r="AE488" s="552">
        <v>0</v>
      </c>
      <c r="AF488" s="552">
        <v>0</v>
      </c>
      <c r="AG488" s="552">
        <v>0</v>
      </c>
      <c r="AH488" s="552">
        <v>0</v>
      </c>
      <c r="AI488" s="552">
        <v>0</v>
      </c>
      <c r="AJ488" s="552">
        <v>0</v>
      </c>
    </row>
    <row r="489" spans="1:36" ht="15.95" customHeight="1">
      <c r="A489" s="547"/>
      <c r="B489" s="548">
        <v>930</v>
      </c>
      <c r="C489" s="549">
        <v>7030</v>
      </c>
      <c r="D489" s="550" t="s">
        <v>12000</v>
      </c>
      <c r="E489" s="550" t="s">
        <v>4322</v>
      </c>
      <c r="F489" s="550" t="s">
        <v>4323</v>
      </c>
      <c r="G489" s="550" t="s">
        <v>4317</v>
      </c>
      <c r="H489" s="550" t="s">
        <v>4324</v>
      </c>
      <c r="I489" s="550" t="s">
        <v>3803</v>
      </c>
      <c r="J489" s="550" t="s">
        <v>5322</v>
      </c>
      <c r="K489" s="551">
        <v>44794</v>
      </c>
      <c r="L489" s="552">
        <v>278090</v>
      </c>
      <c r="M489" s="552">
        <v>278090</v>
      </c>
      <c r="N489" s="552">
        <v>278090</v>
      </c>
      <c r="O489" s="552"/>
      <c r="P489" s="552"/>
      <c r="Q489" s="548">
        <v>50</v>
      </c>
      <c r="R489" s="552">
        <v>13904500</v>
      </c>
      <c r="S489" s="548">
        <v>43</v>
      </c>
      <c r="T489" s="552">
        <v>11957870</v>
      </c>
      <c r="U489" s="548">
        <v>7</v>
      </c>
      <c r="V489" s="552">
        <v>1946630</v>
      </c>
      <c r="W489" s="552">
        <v>0</v>
      </c>
      <c r="X489" s="552">
        <v>0</v>
      </c>
      <c r="Y489" s="552">
        <v>43</v>
      </c>
      <c r="Z489" s="552">
        <v>11957870</v>
      </c>
      <c r="AA489" s="552">
        <v>40</v>
      </c>
      <c r="AB489" s="552">
        <v>11123600</v>
      </c>
      <c r="AC489" s="552">
        <v>3</v>
      </c>
      <c r="AD489" s="552">
        <v>834270</v>
      </c>
      <c r="AE489" s="552">
        <v>0</v>
      </c>
      <c r="AF489" s="552">
        <v>0</v>
      </c>
      <c r="AG489" s="552">
        <v>0</v>
      </c>
      <c r="AH489" s="552">
        <v>0</v>
      </c>
      <c r="AI489" s="552">
        <v>0</v>
      </c>
      <c r="AJ489" s="552">
        <v>0</v>
      </c>
    </row>
    <row r="490" spans="1:36" ht="15.95" customHeight="1">
      <c r="A490" s="547"/>
      <c r="B490" s="548">
        <v>931</v>
      </c>
      <c r="C490" s="549">
        <v>7030</v>
      </c>
      <c r="D490" s="550" t="s">
        <v>12000</v>
      </c>
      <c r="E490" s="550" t="s">
        <v>4322</v>
      </c>
      <c r="F490" s="550" t="s">
        <v>4323</v>
      </c>
      <c r="G490" s="550" t="s">
        <v>4317</v>
      </c>
      <c r="H490" s="550" t="s">
        <v>4324</v>
      </c>
      <c r="I490" s="550" t="s">
        <v>3803</v>
      </c>
      <c r="J490" s="550" t="s">
        <v>4325</v>
      </c>
      <c r="K490" s="551">
        <v>44531</v>
      </c>
      <c r="L490" s="552">
        <v>278090</v>
      </c>
      <c r="M490" s="552">
        <v>278090</v>
      </c>
      <c r="N490" s="552">
        <v>278090</v>
      </c>
      <c r="O490" s="552">
        <v>78</v>
      </c>
      <c r="P490" s="552">
        <v>21691020</v>
      </c>
      <c r="Q490" s="548">
        <v>0</v>
      </c>
      <c r="R490" s="552">
        <v>0</v>
      </c>
      <c r="S490" s="548">
        <v>78</v>
      </c>
      <c r="T490" s="552">
        <v>21691020</v>
      </c>
      <c r="U490" s="548">
        <v>0</v>
      </c>
      <c r="V490" s="552">
        <v>0</v>
      </c>
      <c r="W490" s="552">
        <v>0</v>
      </c>
      <c r="X490" s="552">
        <v>0</v>
      </c>
      <c r="Y490" s="552">
        <v>78</v>
      </c>
      <c r="Z490" s="552">
        <v>21691020</v>
      </c>
      <c r="AA490" s="552">
        <v>78</v>
      </c>
      <c r="AB490" s="552">
        <v>21691020</v>
      </c>
      <c r="AC490" s="552">
        <v>0</v>
      </c>
      <c r="AD490" s="552">
        <v>0</v>
      </c>
      <c r="AE490" s="552">
        <v>0</v>
      </c>
      <c r="AF490" s="552">
        <v>0</v>
      </c>
      <c r="AG490" s="552">
        <v>0</v>
      </c>
      <c r="AH490" s="552">
        <v>0</v>
      </c>
      <c r="AI490" s="552">
        <v>0</v>
      </c>
      <c r="AJ490" s="552">
        <v>0</v>
      </c>
    </row>
    <row r="491" spans="1:36" ht="15.95" customHeight="1">
      <c r="A491" s="547"/>
      <c r="B491" s="548">
        <v>932</v>
      </c>
      <c r="C491" s="549">
        <v>7030</v>
      </c>
      <c r="D491" s="550" t="s">
        <v>12000</v>
      </c>
      <c r="E491" s="550" t="s">
        <v>4322</v>
      </c>
      <c r="F491" s="550" t="s">
        <v>4323</v>
      </c>
      <c r="G491" s="550" t="s">
        <v>4317</v>
      </c>
      <c r="H491" s="550" t="s">
        <v>4324</v>
      </c>
      <c r="I491" s="550" t="s">
        <v>3803</v>
      </c>
      <c r="J491" s="550" t="s">
        <v>4326</v>
      </c>
      <c r="K491" s="551">
        <v>44378</v>
      </c>
      <c r="L491" s="552">
        <v>278090</v>
      </c>
      <c r="M491" s="552">
        <v>278090</v>
      </c>
      <c r="N491" s="552">
        <v>278090</v>
      </c>
      <c r="O491" s="552">
        <v>27</v>
      </c>
      <c r="P491" s="552">
        <v>7508430</v>
      </c>
      <c r="Q491" s="548">
        <v>0</v>
      </c>
      <c r="R491" s="552">
        <v>0</v>
      </c>
      <c r="S491" s="548">
        <v>27</v>
      </c>
      <c r="T491" s="552">
        <v>7508430</v>
      </c>
      <c r="U491" s="548">
        <v>0</v>
      </c>
      <c r="V491" s="552">
        <v>0</v>
      </c>
      <c r="W491" s="552">
        <v>0</v>
      </c>
      <c r="X491" s="552">
        <v>0</v>
      </c>
      <c r="Y491" s="552">
        <v>27</v>
      </c>
      <c r="Z491" s="552">
        <v>7508430</v>
      </c>
      <c r="AA491" s="552">
        <v>27</v>
      </c>
      <c r="AB491" s="552">
        <v>7508430</v>
      </c>
      <c r="AC491" s="552">
        <v>0</v>
      </c>
      <c r="AD491" s="552">
        <v>0</v>
      </c>
      <c r="AE491" s="552">
        <v>0</v>
      </c>
      <c r="AF491" s="552">
        <v>0</v>
      </c>
      <c r="AG491" s="552">
        <v>0</v>
      </c>
      <c r="AH491" s="552">
        <v>0</v>
      </c>
      <c r="AI491" s="552">
        <v>0</v>
      </c>
      <c r="AJ491" s="552">
        <v>0</v>
      </c>
    </row>
    <row r="492" spans="1:36" ht="15.95" customHeight="1">
      <c r="A492" s="547"/>
      <c r="B492" s="548">
        <v>933</v>
      </c>
      <c r="C492" s="549">
        <v>7030</v>
      </c>
      <c r="D492" s="550" t="s">
        <v>12000</v>
      </c>
      <c r="E492" s="550" t="s">
        <v>4322</v>
      </c>
      <c r="F492" s="550" t="s">
        <v>4323</v>
      </c>
      <c r="G492" s="550" t="s">
        <v>4317</v>
      </c>
      <c r="H492" s="550" t="s">
        <v>4324</v>
      </c>
      <c r="I492" s="550" t="s">
        <v>3803</v>
      </c>
      <c r="J492" s="550" t="s">
        <v>12001</v>
      </c>
      <c r="K492" s="551">
        <v>44857</v>
      </c>
      <c r="L492" s="552">
        <v>278090</v>
      </c>
      <c r="M492" s="552">
        <v>278090</v>
      </c>
      <c r="N492" s="552">
        <v>278090</v>
      </c>
      <c r="O492" s="552"/>
      <c r="P492" s="552"/>
      <c r="Q492" s="548">
        <v>100</v>
      </c>
      <c r="R492" s="552">
        <v>27809000</v>
      </c>
      <c r="S492" s="548">
        <v>100</v>
      </c>
      <c r="T492" s="552">
        <v>27809000</v>
      </c>
      <c r="U492" s="548">
        <v>0</v>
      </c>
      <c r="V492" s="552">
        <v>0</v>
      </c>
      <c r="W492" s="552">
        <v>0</v>
      </c>
      <c r="X492" s="552">
        <v>0</v>
      </c>
      <c r="Y492" s="552">
        <v>99</v>
      </c>
      <c r="Z492" s="552">
        <v>27530910</v>
      </c>
      <c r="AA492" s="552">
        <v>99</v>
      </c>
      <c r="AB492" s="552">
        <v>27530910</v>
      </c>
      <c r="AC492" s="552">
        <v>0</v>
      </c>
      <c r="AD492" s="552">
        <v>0</v>
      </c>
      <c r="AE492" s="552">
        <v>0</v>
      </c>
      <c r="AF492" s="552">
        <v>0</v>
      </c>
      <c r="AG492" s="552">
        <v>1</v>
      </c>
      <c r="AH492" s="552">
        <v>278090</v>
      </c>
      <c r="AI492" s="552">
        <v>0</v>
      </c>
      <c r="AJ492" s="552">
        <v>0</v>
      </c>
    </row>
    <row r="493" spans="1:36" ht="15.95" customHeight="1">
      <c r="A493" s="547"/>
      <c r="B493" s="548">
        <v>934</v>
      </c>
      <c r="C493" s="549">
        <v>5655</v>
      </c>
      <c r="D493" s="550"/>
      <c r="E493" s="550" t="s">
        <v>4329</v>
      </c>
      <c r="F493" s="550" t="s">
        <v>2019</v>
      </c>
      <c r="G493" s="550" t="s">
        <v>1618</v>
      </c>
      <c r="H493" s="550" t="s">
        <v>225</v>
      </c>
      <c r="I493" s="550" t="s">
        <v>10</v>
      </c>
      <c r="J493" s="550" t="s">
        <v>4330</v>
      </c>
      <c r="K493" s="551">
        <v>44713</v>
      </c>
      <c r="L493" s="552">
        <v>900</v>
      </c>
      <c r="M493" s="552">
        <v>900</v>
      </c>
      <c r="N493" s="552">
        <v>900</v>
      </c>
      <c r="O493" s="552">
        <v>56</v>
      </c>
      <c r="P493" s="552">
        <v>50400</v>
      </c>
      <c r="Q493" s="548">
        <v>0</v>
      </c>
      <c r="R493" s="552">
        <v>0</v>
      </c>
      <c r="S493" s="548">
        <v>56</v>
      </c>
      <c r="T493" s="552">
        <v>50400</v>
      </c>
      <c r="U493" s="548">
        <v>0</v>
      </c>
      <c r="V493" s="552">
        <v>0</v>
      </c>
      <c r="W493" s="552">
        <v>0</v>
      </c>
      <c r="X493" s="552">
        <v>0</v>
      </c>
      <c r="Y493" s="552">
        <v>56</v>
      </c>
      <c r="Z493" s="552">
        <v>50400</v>
      </c>
      <c r="AA493" s="552">
        <v>56</v>
      </c>
      <c r="AB493" s="552">
        <v>50400</v>
      </c>
      <c r="AC493" s="552">
        <v>0</v>
      </c>
      <c r="AD493" s="552">
        <v>0</v>
      </c>
      <c r="AE493" s="552">
        <v>0</v>
      </c>
      <c r="AF493" s="552">
        <v>0</v>
      </c>
      <c r="AG493" s="552">
        <v>0</v>
      </c>
      <c r="AH493" s="552">
        <v>0</v>
      </c>
      <c r="AI493" s="552">
        <v>0</v>
      </c>
      <c r="AJ493" s="552">
        <v>0</v>
      </c>
    </row>
    <row r="494" spans="1:36" ht="15.95" customHeight="1">
      <c r="A494" s="547"/>
      <c r="B494" s="548">
        <v>937</v>
      </c>
      <c r="C494" s="549">
        <v>7036</v>
      </c>
      <c r="D494" s="550" t="s">
        <v>12002</v>
      </c>
      <c r="E494" s="550" t="s">
        <v>4331</v>
      </c>
      <c r="F494" s="550" t="s">
        <v>4332</v>
      </c>
      <c r="G494" s="550" t="s">
        <v>4333</v>
      </c>
      <c r="H494" s="550" t="s">
        <v>291</v>
      </c>
      <c r="I494" s="550" t="s">
        <v>11</v>
      </c>
      <c r="J494" s="550" t="s">
        <v>4065</v>
      </c>
      <c r="K494" s="551">
        <v>44962</v>
      </c>
      <c r="L494" s="552">
        <v>4095</v>
      </c>
      <c r="M494" s="552">
        <v>4095</v>
      </c>
      <c r="N494" s="552">
        <v>4095</v>
      </c>
      <c r="O494" s="552">
        <v>108</v>
      </c>
      <c r="P494" s="552">
        <v>442260</v>
      </c>
      <c r="Q494" s="548">
        <v>0</v>
      </c>
      <c r="R494" s="552">
        <v>0</v>
      </c>
      <c r="S494" s="548">
        <v>108</v>
      </c>
      <c r="T494" s="552">
        <v>442260</v>
      </c>
      <c r="U494" s="548">
        <v>0</v>
      </c>
      <c r="V494" s="552">
        <v>0</v>
      </c>
      <c r="W494" s="552">
        <v>0</v>
      </c>
      <c r="X494" s="552">
        <v>0</v>
      </c>
      <c r="Y494" s="552">
        <v>108</v>
      </c>
      <c r="Z494" s="552">
        <v>442260</v>
      </c>
      <c r="AA494" s="552">
        <v>108</v>
      </c>
      <c r="AB494" s="552">
        <v>442260</v>
      </c>
      <c r="AC494" s="552">
        <v>0</v>
      </c>
      <c r="AD494" s="552">
        <v>0</v>
      </c>
      <c r="AE494" s="552">
        <v>0</v>
      </c>
      <c r="AF494" s="552">
        <v>0</v>
      </c>
      <c r="AG494" s="552">
        <v>0</v>
      </c>
      <c r="AH494" s="552">
        <v>0</v>
      </c>
      <c r="AI494" s="552">
        <v>0</v>
      </c>
      <c r="AJ494" s="552">
        <v>0</v>
      </c>
    </row>
    <row r="495" spans="1:36" ht="15.95" customHeight="1">
      <c r="A495" s="547"/>
      <c r="B495" s="548">
        <v>938</v>
      </c>
      <c r="C495" s="549">
        <v>7036</v>
      </c>
      <c r="D495" s="550" t="s">
        <v>12002</v>
      </c>
      <c r="E495" s="550" t="s">
        <v>4331</v>
      </c>
      <c r="F495" s="550" t="s">
        <v>4332</v>
      </c>
      <c r="G495" s="550" t="s">
        <v>4333</v>
      </c>
      <c r="H495" s="550" t="s">
        <v>291</v>
      </c>
      <c r="I495" s="550" t="s">
        <v>11</v>
      </c>
      <c r="J495" s="550" t="s">
        <v>4334</v>
      </c>
      <c r="K495" s="551">
        <v>44821</v>
      </c>
      <c r="L495" s="552">
        <v>4095</v>
      </c>
      <c r="M495" s="552">
        <v>4095</v>
      </c>
      <c r="N495" s="552">
        <v>4095</v>
      </c>
      <c r="O495" s="552">
        <v>46</v>
      </c>
      <c r="P495" s="552">
        <v>188370</v>
      </c>
      <c r="Q495" s="548">
        <v>0</v>
      </c>
      <c r="R495" s="552">
        <v>0</v>
      </c>
      <c r="S495" s="548">
        <v>15</v>
      </c>
      <c r="T495" s="552">
        <v>61425</v>
      </c>
      <c r="U495" s="548">
        <v>31</v>
      </c>
      <c r="V495" s="552">
        <v>126945</v>
      </c>
      <c r="W495" s="552">
        <v>0</v>
      </c>
      <c r="X495" s="552">
        <v>0</v>
      </c>
      <c r="Y495" s="552">
        <v>15</v>
      </c>
      <c r="Z495" s="552">
        <v>61425</v>
      </c>
      <c r="AA495" s="552">
        <v>0</v>
      </c>
      <c r="AB495" s="552">
        <v>0</v>
      </c>
      <c r="AC495" s="552">
        <v>15</v>
      </c>
      <c r="AD495" s="552">
        <v>61425</v>
      </c>
      <c r="AE495" s="552">
        <v>0</v>
      </c>
      <c r="AF495" s="552">
        <v>0</v>
      </c>
      <c r="AG495" s="552">
        <v>0</v>
      </c>
      <c r="AH495" s="552">
        <v>0</v>
      </c>
      <c r="AI495" s="552">
        <v>0</v>
      </c>
      <c r="AJ495" s="552">
        <v>0</v>
      </c>
    </row>
    <row r="496" spans="1:36" ht="15.95" customHeight="1">
      <c r="A496" s="547"/>
      <c r="B496" s="548">
        <v>939</v>
      </c>
      <c r="C496" s="549">
        <v>7036</v>
      </c>
      <c r="D496" s="550" t="s">
        <v>12002</v>
      </c>
      <c r="E496" s="550" t="s">
        <v>4331</v>
      </c>
      <c r="F496" s="550" t="s">
        <v>4332</v>
      </c>
      <c r="G496" s="550" t="s">
        <v>4333</v>
      </c>
      <c r="H496" s="550" t="s">
        <v>291</v>
      </c>
      <c r="I496" s="550" t="s">
        <v>11</v>
      </c>
      <c r="J496" s="550" t="s">
        <v>12003</v>
      </c>
      <c r="K496" s="551">
        <v>45102</v>
      </c>
      <c r="L496" s="552">
        <v>4095</v>
      </c>
      <c r="M496" s="552">
        <v>4095</v>
      </c>
      <c r="N496" s="552">
        <v>4095</v>
      </c>
      <c r="O496" s="552">
        <v>9800</v>
      </c>
      <c r="P496" s="552">
        <v>40131000</v>
      </c>
      <c r="Q496" s="548">
        <v>0</v>
      </c>
      <c r="R496" s="552">
        <v>0</v>
      </c>
      <c r="S496" s="548">
        <v>9800</v>
      </c>
      <c r="T496" s="552">
        <v>40131000</v>
      </c>
      <c r="U496" s="548">
        <v>0</v>
      </c>
      <c r="V496" s="552">
        <v>0</v>
      </c>
      <c r="W496" s="552">
        <v>0</v>
      </c>
      <c r="X496" s="552">
        <v>0</v>
      </c>
      <c r="Y496" s="552">
        <v>9800</v>
      </c>
      <c r="Z496" s="552">
        <v>40131000</v>
      </c>
      <c r="AA496" s="552">
        <v>9800</v>
      </c>
      <c r="AB496" s="552">
        <v>40131000</v>
      </c>
      <c r="AC496" s="552">
        <v>0</v>
      </c>
      <c r="AD496" s="552">
        <v>0</v>
      </c>
      <c r="AE496" s="552">
        <v>0</v>
      </c>
      <c r="AF496" s="552">
        <v>0</v>
      </c>
      <c r="AG496" s="552">
        <v>0</v>
      </c>
      <c r="AH496" s="552">
        <v>0</v>
      </c>
      <c r="AI496" s="552">
        <v>0</v>
      </c>
      <c r="AJ496" s="552">
        <v>0</v>
      </c>
    </row>
    <row r="497" spans="1:36" ht="15.95" customHeight="1">
      <c r="A497" s="547"/>
      <c r="B497" s="548">
        <v>940</v>
      </c>
      <c r="C497" s="549">
        <v>7036</v>
      </c>
      <c r="D497" s="550" t="s">
        <v>12002</v>
      </c>
      <c r="E497" s="550" t="s">
        <v>4331</v>
      </c>
      <c r="F497" s="550" t="s">
        <v>4332</v>
      </c>
      <c r="G497" s="550" t="s">
        <v>4333</v>
      </c>
      <c r="H497" s="550" t="s">
        <v>291</v>
      </c>
      <c r="I497" s="550" t="s">
        <v>11</v>
      </c>
      <c r="J497" s="550" t="s">
        <v>12004</v>
      </c>
      <c r="K497" s="551">
        <v>45242</v>
      </c>
      <c r="L497" s="552">
        <v>4095</v>
      </c>
      <c r="M497" s="552">
        <v>4095</v>
      </c>
      <c r="N497" s="552">
        <v>4095</v>
      </c>
      <c r="O497" s="552"/>
      <c r="P497" s="552"/>
      <c r="Q497" s="548">
        <v>10220</v>
      </c>
      <c r="R497" s="552">
        <v>41850900</v>
      </c>
      <c r="S497" s="548">
        <v>10192</v>
      </c>
      <c r="T497" s="552">
        <v>41736240</v>
      </c>
      <c r="U497" s="548">
        <v>28</v>
      </c>
      <c r="V497" s="552">
        <v>114660</v>
      </c>
      <c r="W497" s="552">
        <v>0</v>
      </c>
      <c r="X497" s="552">
        <v>0</v>
      </c>
      <c r="Y497" s="552">
        <v>10192</v>
      </c>
      <c r="Z497" s="552">
        <v>41736240</v>
      </c>
      <c r="AA497" s="552">
        <v>10192</v>
      </c>
      <c r="AB497" s="552">
        <v>41736240</v>
      </c>
      <c r="AC497" s="552">
        <v>0</v>
      </c>
      <c r="AD497" s="552">
        <v>0</v>
      </c>
      <c r="AE497" s="552">
        <v>0</v>
      </c>
      <c r="AF497" s="552">
        <v>0</v>
      </c>
      <c r="AG497" s="552">
        <v>0</v>
      </c>
      <c r="AH497" s="552">
        <v>0</v>
      </c>
      <c r="AI497" s="552">
        <v>0</v>
      </c>
      <c r="AJ497" s="552">
        <v>0</v>
      </c>
    </row>
    <row r="498" spans="1:36" ht="15.95" customHeight="1">
      <c r="A498" s="547"/>
      <c r="B498" s="548">
        <v>941</v>
      </c>
      <c r="C498" s="549">
        <v>5715</v>
      </c>
      <c r="D498" s="550"/>
      <c r="E498" s="550" t="s">
        <v>4335</v>
      </c>
      <c r="F498" s="550" t="s">
        <v>1563</v>
      </c>
      <c r="G498" s="550" t="s">
        <v>1562</v>
      </c>
      <c r="H498" s="550" t="s">
        <v>1564</v>
      </c>
      <c r="I498" s="550" t="s">
        <v>12</v>
      </c>
      <c r="J498" s="550" t="s">
        <v>4336</v>
      </c>
      <c r="K498" s="551">
        <v>44311</v>
      </c>
      <c r="L498" s="552">
        <v>1470</v>
      </c>
      <c r="M498" s="552">
        <v>1470</v>
      </c>
      <c r="N498" s="552">
        <v>1470</v>
      </c>
      <c r="O498" s="552">
        <v>220</v>
      </c>
      <c r="P498" s="552">
        <v>323400</v>
      </c>
      <c r="Q498" s="548">
        <v>9</v>
      </c>
      <c r="R498" s="552">
        <v>13230</v>
      </c>
      <c r="S498" s="548">
        <v>229</v>
      </c>
      <c r="T498" s="552">
        <v>336630</v>
      </c>
      <c r="U498" s="548">
        <v>0</v>
      </c>
      <c r="V498" s="552">
        <v>0</v>
      </c>
      <c r="W498" s="552">
        <v>1169</v>
      </c>
      <c r="X498" s="552">
        <v>1718430</v>
      </c>
      <c r="Y498" s="552">
        <v>229</v>
      </c>
      <c r="Z498" s="552">
        <v>336630</v>
      </c>
      <c r="AA498" s="552">
        <v>0</v>
      </c>
      <c r="AB498" s="552">
        <v>0</v>
      </c>
      <c r="AC498" s="552">
        <v>229</v>
      </c>
      <c r="AD498" s="552">
        <v>336630</v>
      </c>
      <c r="AE498" s="552">
        <v>0</v>
      </c>
      <c r="AF498" s="552">
        <v>0</v>
      </c>
      <c r="AG498" s="552">
        <v>0</v>
      </c>
      <c r="AH498" s="552">
        <v>0</v>
      </c>
      <c r="AI498" s="552">
        <v>0</v>
      </c>
      <c r="AJ498" s="552">
        <v>0</v>
      </c>
    </row>
    <row r="499" spans="1:36" ht="15.95" customHeight="1">
      <c r="A499" s="547"/>
      <c r="B499" s="548">
        <v>942</v>
      </c>
      <c r="C499" s="549">
        <v>6739</v>
      </c>
      <c r="D499" s="550" t="s">
        <v>12005</v>
      </c>
      <c r="E499" s="550" t="s">
        <v>4337</v>
      </c>
      <c r="F499" s="550" t="s">
        <v>6308</v>
      </c>
      <c r="G499" s="550" t="s">
        <v>1212</v>
      </c>
      <c r="H499" s="550" t="s">
        <v>945</v>
      </c>
      <c r="I499" s="550" t="s">
        <v>12</v>
      </c>
      <c r="J499" s="550" t="s">
        <v>12006</v>
      </c>
      <c r="K499" s="551">
        <v>45159</v>
      </c>
      <c r="L499" s="552">
        <v>3475</v>
      </c>
      <c r="M499" s="552">
        <v>3475</v>
      </c>
      <c r="N499" s="552">
        <v>3475</v>
      </c>
      <c r="O499" s="552"/>
      <c r="P499" s="552"/>
      <c r="Q499" s="548">
        <v>3100</v>
      </c>
      <c r="R499" s="552">
        <v>10772500</v>
      </c>
      <c r="S499" s="548">
        <v>1311</v>
      </c>
      <c r="T499" s="552">
        <v>4555725</v>
      </c>
      <c r="U499" s="548">
        <v>1789</v>
      </c>
      <c r="V499" s="552">
        <v>6216775</v>
      </c>
      <c r="W499" s="552">
        <v>23</v>
      </c>
      <c r="X499" s="552">
        <v>79925</v>
      </c>
      <c r="Y499" s="552">
        <v>1021</v>
      </c>
      <c r="Z499" s="552">
        <v>3547975</v>
      </c>
      <c r="AA499" s="552">
        <v>671</v>
      </c>
      <c r="AB499" s="552">
        <v>2331725</v>
      </c>
      <c r="AC499" s="552">
        <v>350</v>
      </c>
      <c r="AD499" s="552">
        <v>1216250</v>
      </c>
      <c r="AE499" s="552">
        <v>0</v>
      </c>
      <c r="AF499" s="552">
        <v>0</v>
      </c>
      <c r="AG499" s="552">
        <v>290</v>
      </c>
      <c r="AH499" s="552">
        <v>1007750</v>
      </c>
      <c r="AI499" s="552">
        <v>0</v>
      </c>
      <c r="AJ499" s="552">
        <v>0</v>
      </c>
    </row>
    <row r="500" spans="1:36" ht="15.95" customHeight="1">
      <c r="A500" s="547"/>
      <c r="B500" s="548">
        <v>950</v>
      </c>
      <c r="C500" s="549">
        <v>7037</v>
      </c>
      <c r="D500" s="550" t="s">
        <v>12007</v>
      </c>
      <c r="E500" s="550" t="s">
        <v>4338</v>
      </c>
      <c r="F500" s="550" t="s">
        <v>3667</v>
      </c>
      <c r="G500" s="550" t="s">
        <v>1631</v>
      </c>
      <c r="H500" s="550" t="s">
        <v>1632</v>
      </c>
      <c r="I500" s="550" t="s">
        <v>12</v>
      </c>
      <c r="J500" s="550" t="s">
        <v>4339</v>
      </c>
      <c r="K500" s="551">
        <v>44612</v>
      </c>
      <c r="L500" s="552">
        <v>390</v>
      </c>
      <c r="M500" s="552">
        <v>390</v>
      </c>
      <c r="N500" s="552">
        <v>390</v>
      </c>
      <c r="O500" s="552">
        <v>1510</v>
      </c>
      <c r="P500" s="552">
        <v>588900</v>
      </c>
      <c r="Q500" s="548">
        <v>0</v>
      </c>
      <c r="R500" s="552">
        <v>0</v>
      </c>
      <c r="S500" s="548">
        <v>1510</v>
      </c>
      <c r="T500" s="552">
        <v>588900</v>
      </c>
      <c r="U500" s="548">
        <v>0</v>
      </c>
      <c r="V500" s="552">
        <v>0</v>
      </c>
      <c r="W500" s="552">
        <v>1362</v>
      </c>
      <c r="X500" s="552">
        <v>531180</v>
      </c>
      <c r="Y500" s="552">
        <v>1510</v>
      </c>
      <c r="Z500" s="552">
        <v>588900</v>
      </c>
      <c r="AA500" s="552">
        <v>1510</v>
      </c>
      <c r="AB500" s="552">
        <v>588900</v>
      </c>
      <c r="AC500" s="552">
        <v>0</v>
      </c>
      <c r="AD500" s="552">
        <v>0</v>
      </c>
      <c r="AE500" s="552">
        <v>0</v>
      </c>
      <c r="AF500" s="552">
        <v>0</v>
      </c>
      <c r="AG500" s="552">
        <v>0</v>
      </c>
      <c r="AH500" s="552">
        <v>0</v>
      </c>
      <c r="AI500" s="552">
        <v>0</v>
      </c>
      <c r="AJ500" s="552">
        <v>0</v>
      </c>
    </row>
    <row r="501" spans="1:36" ht="15.95" customHeight="1">
      <c r="A501" s="547"/>
      <c r="B501" s="548">
        <v>951</v>
      </c>
      <c r="C501" s="549">
        <v>7037</v>
      </c>
      <c r="D501" s="550" t="s">
        <v>12007</v>
      </c>
      <c r="E501" s="550" t="s">
        <v>4338</v>
      </c>
      <c r="F501" s="550" t="s">
        <v>3667</v>
      </c>
      <c r="G501" s="550" t="s">
        <v>1631</v>
      </c>
      <c r="H501" s="550" t="s">
        <v>1632</v>
      </c>
      <c r="I501" s="550" t="s">
        <v>12</v>
      </c>
      <c r="J501" s="550" t="s">
        <v>12008</v>
      </c>
      <c r="K501" s="551">
        <v>44979</v>
      </c>
      <c r="L501" s="552">
        <v>390</v>
      </c>
      <c r="M501" s="552">
        <v>390</v>
      </c>
      <c r="N501" s="552">
        <v>390</v>
      </c>
      <c r="O501" s="552"/>
      <c r="P501" s="552"/>
      <c r="Q501" s="548">
        <v>3400</v>
      </c>
      <c r="R501" s="552">
        <v>1326000</v>
      </c>
      <c r="S501" s="548">
        <v>3400</v>
      </c>
      <c r="T501" s="552">
        <v>1326000</v>
      </c>
      <c r="U501" s="548">
        <v>0</v>
      </c>
      <c r="V501" s="552">
        <v>0</v>
      </c>
      <c r="W501" s="552">
        <v>544</v>
      </c>
      <c r="X501" s="552">
        <v>212160</v>
      </c>
      <c r="Y501" s="552">
        <v>3400</v>
      </c>
      <c r="Z501" s="552">
        <v>1326000</v>
      </c>
      <c r="AA501" s="552">
        <v>1000</v>
      </c>
      <c r="AB501" s="552">
        <v>390000</v>
      </c>
      <c r="AC501" s="552">
        <v>2400</v>
      </c>
      <c r="AD501" s="552">
        <v>936000</v>
      </c>
      <c r="AE501" s="552">
        <v>0</v>
      </c>
      <c r="AF501" s="552">
        <v>0</v>
      </c>
      <c r="AG501" s="552">
        <v>0</v>
      </c>
      <c r="AH501" s="552">
        <v>0</v>
      </c>
      <c r="AI501" s="552">
        <v>0</v>
      </c>
      <c r="AJ501" s="552">
        <v>0</v>
      </c>
    </row>
    <row r="502" spans="1:36" ht="15.95" customHeight="1">
      <c r="A502" s="547"/>
      <c r="B502" s="548">
        <v>952</v>
      </c>
      <c r="C502" s="549">
        <v>7037</v>
      </c>
      <c r="D502" s="550" t="s">
        <v>12007</v>
      </c>
      <c r="E502" s="550" t="s">
        <v>4338</v>
      </c>
      <c r="F502" s="550" t="s">
        <v>3667</v>
      </c>
      <c r="G502" s="550" t="s">
        <v>1631</v>
      </c>
      <c r="H502" s="550" t="s">
        <v>1632</v>
      </c>
      <c r="I502" s="550" t="s">
        <v>12</v>
      </c>
      <c r="J502" s="550" t="s">
        <v>12009</v>
      </c>
      <c r="K502" s="551">
        <v>45050</v>
      </c>
      <c r="L502" s="552">
        <v>390</v>
      </c>
      <c r="M502" s="552">
        <v>390</v>
      </c>
      <c r="N502" s="552">
        <v>390</v>
      </c>
      <c r="O502" s="552"/>
      <c r="P502" s="552"/>
      <c r="Q502" s="548">
        <v>10006</v>
      </c>
      <c r="R502" s="552">
        <v>3902340</v>
      </c>
      <c r="S502" s="548">
        <v>6320</v>
      </c>
      <c r="T502" s="552">
        <v>2464800</v>
      </c>
      <c r="U502" s="548">
        <v>3686</v>
      </c>
      <c r="V502" s="552">
        <v>1437540</v>
      </c>
      <c r="W502" s="552">
        <v>336</v>
      </c>
      <c r="X502" s="552">
        <v>131040</v>
      </c>
      <c r="Y502" s="552">
        <v>6320</v>
      </c>
      <c r="Z502" s="552">
        <v>2464800</v>
      </c>
      <c r="AA502" s="552">
        <v>1090</v>
      </c>
      <c r="AB502" s="552">
        <v>425100</v>
      </c>
      <c r="AC502" s="552">
        <v>5230</v>
      </c>
      <c r="AD502" s="552">
        <v>2039700</v>
      </c>
      <c r="AE502" s="552">
        <v>0</v>
      </c>
      <c r="AF502" s="552">
        <v>0</v>
      </c>
      <c r="AG502" s="552">
        <v>0</v>
      </c>
      <c r="AH502" s="552">
        <v>0</v>
      </c>
      <c r="AI502" s="552">
        <v>0</v>
      </c>
      <c r="AJ502" s="552">
        <v>0</v>
      </c>
    </row>
    <row r="503" spans="1:36" ht="15.95" customHeight="1">
      <c r="A503" s="547"/>
      <c r="B503" s="548">
        <v>953</v>
      </c>
      <c r="C503" s="549">
        <v>7037</v>
      </c>
      <c r="D503" s="550" t="s">
        <v>12007</v>
      </c>
      <c r="E503" s="550" t="s">
        <v>4338</v>
      </c>
      <c r="F503" s="550" t="s">
        <v>3667</v>
      </c>
      <c r="G503" s="550" t="s">
        <v>1631</v>
      </c>
      <c r="H503" s="550" t="s">
        <v>1632</v>
      </c>
      <c r="I503" s="550" t="s">
        <v>12</v>
      </c>
      <c r="J503" s="550" t="s">
        <v>4340</v>
      </c>
      <c r="K503" s="551">
        <v>44654</v>
      </c>
      <c r="L503" s="552">
        <v>390</v>
      </c>
      <c r="M503" s="552">
        <v>390</v>
      </c>
      <c r="N503" s="552">
        <v>390</v>
      </c>
      <c r="O503" s="552">
        <v>40</v>
      </c>
      <c r="P503" s="552">
        <v>15600</v>
      </c>
      <c r="Q503" s="548">
        <v>0</v>
      </c>
      <c r="R503" s="552">
        <v>0</v>
      </c>
      <c r="S503" s="548">
        <v>40</v>
      </c>
      <c r="T503" s="552">
        <v>15600</v>
      </c>
      <c r="U503" s="548">
        <v>0</v>
      </c>
      <c r="V503" s="552">
        <v>0</v>
      </c>
      <c r="W503" s="552">
        <v>1020</v>
      </c>
      <c r="X503" s="552">
        <v>397800</v>
      </c>
      <c r="Y503" s="552">
        <v>40</v>
      </c>
      <c r="Z503" s="552">
        <v>15600</v>
      </c>
      <c r="AA503" s="552">
        <v>0</v>
      </c>
      <c r="AB503" s="552">
        <v>0</v>
      </c>
      <c r="AC503" s="552">
        <v>40</v>
      </c>
      <c r="AD503" s="552">
        <v>15600</v>
      </c>
      <c r="AE503" s="552">
        <v>0</v>
      </c>
      <c r="AF503" s="552">
        <v>0</v>
      </c>
      <c r="AG503" s="552">
        <v>0</v>
      </c>
      <c r="AH503" s="552">
        <v>0</v>
      </c>
      <c r="AI503" s="552">
        <v>0</v>
      </c>
      <c r="AJ503" s="552">
        <v>0</v>
      </c>
    </row>
    <row r="504" spans="1:36" ht="15.95" customHeight="1">
      <c r="A504" s="547"/>
      <c r="B504" s="548">
        <v>954</v>
      </c>
      <c r="C504" s="549">
        <v>7037</v>
      </c>
      <c r="D504" s="550" t="s">
        <v>12007</v>
      </c>
      <c r="E504" s="550" t="s">
        <v>4338</v>
      </c>
      <c r="F504" s="550" t="s">
        <v>3667</v>
      </c>
      <c r="G504" s="550" t="s">
        <v>1631</v>
      </c>
      <c r="H504" s="550" t="s">
        <v>1632</v>
      </c>
      <c r="I504" s="550" t="s">
        <v>12</v>
      </c>
      <c r="J504" s="550" t="s">
        <v>4341</v>
      </c>
      <c r="K504" s="551">
        <v>44741</v>
      </c>
      <c r="L504" s="552">
        <v>390</v>
      </c>
      <c r="M504" s="552">
        <v>390</v>
      </c>
      <c r="N504" s="552">
        <v>390</v>
      </c>
      <c r="O504" s="552">
        <v>360</v>
      </c>
      <c r="P504" s="552">
        <v>140400</v>
      </c>
      <c r="Q504" s="548">
        <v>0</v>
      </c>
      <c r="R504" s="552">
        <v>0</v>
      </c>
      <c r="S504" s="548">
        <v>360</v>
      </c>
      <c r="T504" s="552">
        <v>140400</v>
      </c>
      <c r="U504" s="548">
        <v>0</v>
      </c>
      <c r="V504" s="552">
        <v>0</v>
      </c>
      <c r="W504" s="552">
        <v>140</v>
      </c>
      <c r="X504" s="552">
        <v>54600</v>
      </c>
      <c r="Y504" s="552">
        <v>310</v>
      </c>
      <c r="Z504" s="552">
        <v>120900</v>
      </c>
      <c r="AA504" s="552">
        <v>0</v>
      </c>
      <c r="AB504" s="552">
        <v>0</v>
      </c>
      <c r="AC504" s="552">
        <v>310</v>
      </c>
      <c r="AD504" s="552">
        <v>120900</v>
      </c>
      <c r="AE504" s="552">
        <v>0</v>
      </c>
      <c r="AF504" s="552">
        <v>0</v>
      </c>
      <c r="AG504" s="552">
        <v>50</v>
      </c>
      <c r="AH504" s="552">
        <v>19500</v>
      </c>
      <c r="AI504" s="552">
        <v>0</v>
      </c>
      <c r="AJ504" s="552">
        <v>0</v>
      </c>
    </row>
    <row r="505" spans="1:36" ht="15.95" customHeight="1">
      <c r="A505" s="547"/>
      <c r="B505" s="548">
        <v>955</v>
      </c>
      <c r="C505" s="549">
        <v>7038</v>
      </c>
      <c r="D505" s="550" t="s">
        <v>12010</v>
      </c>
      <c r="E505" s="550" t="s">
        <v>8469</v>
      </c>
      <c r="F505" s="550" t="s">
        <v>3667</v>
      </c>
      <c r="G505" s="550" t="s">
        <v>1631</v>
      </c>
      <c r="H505" s="550" t="s">
        <v>1632</v>
      </c>
      <c r="I505" s="550" t="s">
        <v>12</v>
      </c>
      <c r="J505" s="550" t="s">
        <v>12011</v>
      </c>
      <c r="K505" s="551">
        <v>44979</v>
      </c>
      <c r="L505" s="552">
        <v>390</v>
      </c>
      <c r="M505" s="552">
        <v>390</v>
      </c>
      <c r="N505" s="552">
        <v>390</v>
      </c>
      <c r="O505" s="552"/>
      <c r="P505" s="552"/>
      <c r="Q505" s="548">
        <v>1000</v>
      </c>
      <c r="R505" s="552">
        <v>390000</v>
      </c>
      <c r="S505" s="548">
        <v>1000</v>
      </c>
      <c r="T505" s="552">
        <v>390000</v>
      </c>
      <c r="U505" s="548">
        <v>0</v>
      </c>
      <c r="V505" s="552">
        <v>0</v>
      </c>
      <c r="W505" s="552">
        <v>642</v>
      </c>
      <c r="X505" s="552">
        <v>250380</v>
      </c>
      <c r="Y505" s="552">
        <v>1000</v>
      </c>
      <c r="Z505" s="552">
        <v>390000</v>
      </c>
      <c r="AA505" s="552">
        <v>0</v>
      </c>
      <c r="AB505" s="552">
        <v>0</v>
      </c>
      <c r="AC505" s="552">
        <v>1000</v>
      </c>
      <c r="AD505" s="552">
        <v>390000</v>
      </c>
      <c r="AE505" s="552">
        <v>0</v>
      </c>
      <c r="AF505" s="552">
        <v>0</v>
      </c>
      <c r="AG505" s="552">
        <v>0</v>
      </c>
      <c r="AH505" s="552">
        <v>0</v>
      </c>
      <c r="AI505" s="552">
        <v>0</v>
      </c>
      <c r="AJ505" s="552">
        <v>0</v>
      </c>
    </row>
    <row r="506" spans="1:36" ht="15.95" customHeight="1">
      <c r="A506" s="547"/>
      <c r="B506" s="548">
        <v>956</v>
      </c>
      <c r="C506" s="549">
        <v>7038</v>
      </c>
      <c r="D506" s="550" t="s">
        <v>12010</v>
      </c>
      <c r="E506" s="550" t="s">
        <v>8469</v>
      </c>
      <c r="F506" s="550" t="s">
        <v>3667</v>
      </c>
      <c r="G506" s="550" t="s">
        <v>1631</v>
      </c>
      <c r="H506" s="550" t="s">
        <v>1632</v>
      </c>
      <c r="I506" s="550" t="s">
        <v>12</v>
      </c>
      <c r="J506" s="550" t="s">
        <v>12012</v>
      </c>
      <c r="K506" s="551">
        <v>45072</v>
      </c>
      <c r="L506" s="552">
        <v>390</v>
      </c>
      <c r="M506" s="552">
        <v>390</v>
      </c>
      <c r="N506" s="552">
        <v>390</v>
      </c>
      <c r="O506" s="552"/>
      <c r="P506" s="552"/>
      <c r="Q506" s="548">
        <v>10000</v>
      </c>
      <c r="R506" s="552">
        <v>3900000</v>
      </c>
      <c r="S506" s="548">
        <v>0</v>
      </c>
      <c r="T506" s="552">
        <v>0</v>
      </c>
      <c r="U506" s="548">
        <v>10000</v>
      </c>
      <c r="V506" s="552">
        <v>3900000</v>
      </c>
      <c r="W506" s="552">
        <v>0</v>
      </c>
      <c r="X506" s="552">
        <v>0</v>
      </c>
      <c r="Y506" s="552">
        <v>0</v>
      </c>
      <c r="Z506" s="552">
        <v>0</v>
      </c>
      <c r="AA506" s="552">
        <v>0</v>
      </c>
      <c r="AB506" s="552">
        <v>0</v>
      </c>
      <c r="AC506" s="552">
        <v>0</v>
      </c>
      <c r="AD506" s="552">
        <v>0</v>
      </c>
      <c r="AE506" s="552">
        <v>0</v>
      </c>
      <c r="AF506" s="552">
        <v>0</v>
      </c>
      <c r="AG506" s="552">
        <v>0</v>
      </c>
      <c r="AH506" s="552">
        <v>0</v>
      </c>
      <c r="AI506" s="552">
        <v>0</v>
      </c>
      <c r="AJ506" s="552">
        <v>0</v>
      </c>
    </row>
    <row r="507" spans="1:36" ht="15.95" customHeight="1">
      <c r="A507" s="547"/>
      <c r="B507" s="548">
        <v>957</v>
      </c>
      <c r="C507" s="549">
        <v>6665</v>
      </c>
      <c r="D507" s="550" t="s">
        <v>12013</v>
      </c>
      <c r="E507" s="550" t="s">
        <v>4343</v>
      </c>
      <c r="F507" s="550" t="s">
        <v>4344</v>
      </c>
      <c r="G507" s="550" t="s">
        <v>4345</v>
      </c>
      <c r="H507" s="550" t="s">
        <v>869</v>
      </c>
      <c r="I507" s="550" t="s">
        <v>11</v>
      </c>
      <c r="J507" s="550" t="s">
        <v>3955</v>
      </c>
      <c r="K507" s="551">
        <v>45127</v>
      </c>
      <c r="L507" s="552">
        <v>465</v>
      </c>
      <c r="M507" s="552">
        <v>465</v>
      </c>
      <c r="N507" s="552">
        <v>465</v>
      </c>
      <c r="O507" s="552"/>
      <c r="P507" s="552"/>
      <c r="Q507" s="548">
        <v>1200</v>
      </c>
      <c r="R507" s="552">
        <v>558000</v>
      </c>
      <c r="S507" s="548">
        <v>0</v>
      </c>
      <c r="T507" s="552">
        <v>0</v>
      </c>
      <c r="U507" s="548">
        <v>1200</v>
      </c>
      <c r="V507" s="552">
        <v>558000</v>
      </c>
      <c r="W507" s="552">
        <v>0</v>
      </c>
      <c r="X507" s="552">
        <v>0</v>
      </c>
      <c r="Y507" s="552">
        <v>0</v>
      </c>
      <c r="Z507" s="552">
        <v>0</v>
      </c>
      <c r="AA507" s="552">
        <v>0</v>
      </c>
      <c r="AB507" s="552">
        <v>0</v>
      </c>
      <c r="AC507" s="552">
        <v>0</v>
      </c>
      <c r="AD507" s="552">
        <v>0</v>
      </c>
      <c r="AE507" s="552">
        <v>0</v>
      </c>
      <c r="AF507" s="552">
        <v>0</v>
      </c>
      <c r="AG507" s="552">
        <v>0</v>
      </c>
      <c r="AH507" s="552">
        <v>0</v>
      </c>
      <c r="AI507" s="552">
        <v>0</v>
      </c>
      <c r="AJ507" s="552">
        <v>0</v>
      </c>
    </row>
    <row r="508" spans="1:36" ht="15.95" customHeight="1">
      <c r="A508" s="547"/>
      <c r="B508" s="548">
        <v>958</v>
      </c>
      <c r="C508" s="549">
        <v>6665</v>
      </c>
      <c r="D508" s="550" t="s">
        <v>12013</v>
      </c>
      <c r="E508" s="550" t="s">
        <v>4343</v>
      </c>
      <c r="F508" s="550" t="s">
        <v>4344</v>
      </c>
      <c r="G508" s="550" t="s">
        <v>4345</v>
      </c>
      <c r="H508" s="550" t="s">
        <v>869</v>
      </c>
      <c r="I508" s="550" t="s">
        <v>11</v>
      </c>
      <c r="J508" s="550" t="s">
        <v>4346</v>
      </c>
      <c r="K508" s="551">
        <v>44911</v>
      </c>
      <c r="L508" s="552">
        <v>465</v>
      </c>
      <c r="M508" s="552">
        <v>465</v>
      </c>
      <c r="N508" s="552">
        <v>465</v>
      </c>
      <c r="O508" s="552">
        <v>5010</v>
      </c>
      <c r="P508" s="552">
        <v>2329650</v>
      </c>
      <c r="Q508" s="548">
        <v>600</v>
      </c>
      <c r="R508" s="552">
        <v>279000</v>
      </c>
      <c r="S508" s="548">
        <v>1950</v>
      </c>
      <c r="T508" s="552">
        <v>906750</v>
      </c>
      <c r="U508" s="548">
        <v>3660</v>
      </c>
      <c r="V508" s="552">
        <v>1701900</v>
      </c>
      <c r="W508" s="552">
        <v>1564</v>
      </c>
      <c r="X508" s="552">
        <v>727260</v>
      </c>
      <c r="Y508" s="552">
        <v>1950</v>
      </c>
      <c r="Z508" s="552">
        <v>906750</v>
      </c>
      <c r="AA508" s="552">
        <v>0</v>
      </c>
      <c r="AB508" s="552">
        <v>0</v>
      </c>
      <c r="AC508" s="552">
        <v>1950</v>
      </c>
      <c r="AD508" s="552">
        <v>906750</v>
      </c>
      <c r="AE508" s="552">
        <v>0</v>
      </c>
      <c r="AF508" s="552">
        <v>0</v>
      </c>
      <c r="AG508" s="552">
        <v>0</v>
      </c>
      <c r="AH508" s="552">
        <v>0</v>
      </c>
      <c r="AI508" s="552">
        <v>0</v>
      </c>
      <c r="AJ508" s="552">
        <v>0</v>
      </c>
    </row>
    <row r="509" spans="1:36" ht="15.95" customHeight="1">
      <c r="A509" s="547"/>
      <c r="B509" s="548">
        <v>968</v>
      </c>
      <c r="C509" s="549">
        <v>5362</v>
      </c>
      <c r="D509" s="550"/>
      <c r="E509" s="550" t="s">
        <v>4347</v>
      </c>
      <c r="F509" s="550" t="s">
        <v>856</v>
      </c>
      <c r="G509" s="550" t="s">
        <v>855</v>
      </c>
      <c r="H509" s="550" t="s">
        <v>641</v>
      </c>
      <c r="I509" s="550" t="s">
        <v>11</v>
      </c>
      <c r="J509" s="550" t="s">
        <v>4348</v>
      </c>
      <c r="K509" s="551">
        <v>44495</v>
      </c>
      <c r="L509" s="552">
        <v>2450</v>
      </c>
      <c r="M509" s="552">
        <v>2450</v>
      </c>
      <c r="N509" s="552">
        <v>2450</v>
      </c>
      <c r="O509" s="552">
        <v>4</v>
      </c>
      <c r="P509" s="552">
        <v>9800</v>
      </c>
      <c r="Q509" s="548">
        <v>0</v>
      </c>
      <c r="R509" s="552">
        <v>0</v>
      </c>
      <c r="S509" s="548">
        <v>4</v>
      </c>
      <c r="T509" s="552">
        <v>9800</v>
      </c>
      <c r="U509" s="548">
        <v>0</v>
      </c>
      <c r="V509" s="552">
        <v>0</v>
      </c>
      <c r="W509" s="552">
        <v>5736</v>
      </c>
      <c r="X509" s="552">
        <v>14053200</v>
      </c>
      <c r="Y509" s="552">
        <v>4</v>
      </c>
      <c r="Z509" s="552">
        <v>9800</v>
      </c>
      <c r="AA509" s="552">
        <v>4</v>
      </c>
      <c r="AB509" s="552">
        <v>9800</v>
      </c>
      <c r="AC509" s="552">
        <v>0</v>
      </c>
      <c r="AD509" s="552">
        <v>0</v>
      </c>
      <c r="AE509" s="552">
        <v>0</v>
      </c>
      <c r="AF509" s="552">
        <v>0</v>
      </c>
      <c r="AG509" s="552">
        <v>0</v>
      </c>
      <c r="AH509" s="552">
        <v>0</v>
      </c>
      <c r="AI509" s="552">
        <v>0</v>
      </c>
      <c r="AJ509" s="552">
        <v>0</v>
      </c>
    </row>
    <row r="510" spans="1:36" ht="15.95" customHeight="1">
      <c r="A510" s="547"/>
      <c r="B510" s="548">
        <v>969</v>
      </c>
      <c r="C510" s="549">
        <v>6773</v>
      </c>
      <c r="D510" s="550" t="s">
        <v>12014</v>
      </c>
      <c r="E510" s="550" t="s">
        <v>8309</v>
      </c>
      <c r="F510" s="550" t="s">
        <v>8310</v>
      </c>
      <c r="G510" s="550" t="s">
        <v>634</v>
      </c>
      <c r="H510" s="550" t="s">
        <v>267</v>
      </c>
      <c r="I510" s="550" t="s">
        <v>11</v>
      </c>
      <c r="J510" s="550" t="s">
        <v>12015</v>
      </c>
      <c r="K510" s="551">
        <v>45014</v>
      </c>
      <c r="L510" s="552">
        <v>7500</v>
      </c>
      <c r="M510" s="552">
        <v>7500</v>
      </c>
      <c r="N510" s="552">
        <v>7500</v>
      </c>
      <c r="O510" s="552"/>
      <c r="P510" s="552"/>
      <c r="Q510" s="548">
        <v>2520</v>
      </c>
      <c r="R510" s="552">
        <v>18900000</v>
      </c>
      <c r="S510" s="548">
        <v>1119</v>
      </c>
      <c r="T510" s="552">
        <v>8392500</v>
      </c>
      <c r="U510" s="548">
        <v>1401</v>
      </c>
      <c r="V510" s="552">
        <v>10507500</v>
      </c>
      <c r="W510" s="552">
        <v>0</v>
      </c>
      <c r="X510" s="552">
        <v>0</v>
      </c>
      <c r="Y510" s="552">
        <v>1119</v>
      </c>
      <c r="Z510" s="552">
        <v>8392500</v>
      </c>
      <c r="AA510" s="552">
        <v>1119</v>
      </c>
      <c r="AB510" s="552">
        <v>8392500</v>
      </c>
      <c r="AC510" s="552">
        <v>0</v>
      </c>
      <c r="AD510" s="552">
        <v>0</v>
      </c>
      <c r="AE510" s="552">
        <v>0</v>
      </c>
      <c r="AF510" s="552">
        <v>0</v>
      </c>
      <c r="AG510" s="552">
        <v>0</v>
      </c>
      <c r="AH510" s="552">
        <v>0</v>
      </c>
      <c r="AI510" s="552">
        <v>0</v>
      </c>
      <c r="AJ510" s="552">
        <v>0</v>
      </c>
    </row>
    <row r="511" spans="1:36" ht="15.95" customHeight="1">
      <c r="A511" s="547"/>
      <c r="B511" s="548">
        <v>970</v>
      </c>
      <c r="C511" s="549">
        <v>6773</v>
      </c>
      <c r="D511" s="550" t="s">
        <v>12014</v>
      </c>
      <c r="E511" s="550" t="s">
        <v>8309</v>
      </c>
      <c r="F511" s="550" t="s">
        <v>8310</v>
      </c>
      <c r="G511" s="550" t="s">
        <v>634</v>
      </c>
      <c r="H511" s="550" t="s">
        <v>267</v>
      </c>
      <c r="I511" s="550" t="s">
        <v>11</v>
      </c>
      <c r="J511" s="550" t="s">
        <v>12016</v>
      </c>
      <c r="K511" s="551">
        <v>45014</v>
      </c>
      <c r="L511" s="552">
        <v>7500</v>
      </c>
      <c r="M511" s="552">
        <v>7500</v>
      </c>
      <c r="N511" s="552">
        <v>7500</v>
      </c>
      <c r="O511" s="552"/>
      <c r="P511" s="552"/>
      <c r="Q511" s="548">
        <v>4116</v>
      </c>
      <c r="R511" s="552">
        <v>30870000</v>
      </c>
      <c r="S511" s="548">
        <v>0</v>
      </c>
      <c r="T511" s="552">
        <v>0</v>
      </c>
      <c r="U511" s="548">
        <v>4116</v>
      </c>
      <c r="V511" s="552">
        <v>30870000</v>
      </c>
      <c r="W511" s="552">
        <v>0</v>
      </c>
      <c r="X511" s="552">
        <v>0</v>
      </c>
      <c r="Y511" s="552">
        <v>0</v>
      </c>
      <c r="Z511" s="552">
        <v>0</v>
      </c>
      <c r="AA511" s="552">
        <v>0</v>
      </c>
      <c r="AB511" s="552">
        <v>0</v>
      </c>
      <c r="AC511" s="552">
        <v>0</v>
      </c>
      <c r="AD511" s="552">
        <v>0</v>
      </c>
      <c r="AE511" s="552">
        <v>0</v>
      </c>
      <c r="AF511" s="552">
        <v>0</v>
      </c>
      <c r="AG511" s="552">
        <v>0</v>
      </c>
      <c r="AH511" s="552">
        <v>0</v>
      </c>
      <c r="AI511" s="552">
        <v>0</v>
      </c>
      <c r="AJ511" s="552">
        <v>0</v>
      </c>
    </row>
    <row r="512" spans="1:36" ht="15.95" customHeight="1">
      <c r="A512" s="547"/>
      <c r="B512" s="548">
        <v>971</v>
      </c>
      <c r="C512" s="549">
        <v>6773</v>
      </c>
      <c r="D512" s="550" t="s">
        <v>12014</v>
      </c>
      <c r="E512" s="550" t="s">
        <v>8309</v>
      </c>
      <c r="F512" s="550" t="s">
        <v>8310</v>
      </c>
      <c r="G512" s="550" t="s">
        <v>634</v>
      </c>
      <c r="H512" s="550" t="s">
        <v>267</v>
      </c>
      <c r="I512" s="550" t="s">
        <v>11</v>
      </c>
      <c r="J512" s="550" t="s">
        <v>12017</v>
      </c>
      <c r="K512" s="551">
        <v>45014</v>
      </c>
      <c r="L512" s="552">
        <v>7500</v>
      </c>
      <c r="M512" s="552">
        <v>7500</v>
      </c>
      <c r="N512" s="552">
        <v>7500</v>
      </c>
      <c r="O512" s="552"/>
      <c r="P512" s="552"/>
      <c r="Q512" s="548">
        <v>3360</v>
      </c>
      <c r="R512" s="552">
        <v>25200000</v>
      </c>
      <c r="S512" s="548">
        <v>0</v>
      </c>
      <c r="T512" s="552">
        <v>0</v>
      </c>
      <c r="U512" s="548">
        <v>3360</v>
      </c>
      <c r="V512" s="552">
        <v>25200000</v>
      </c>
      <c r="W512" s="552">
        <v>0</v>
      </c>
      <c r="X512" s="552">
        <v>0</v>
      </c>
      <c r="Y512" s="552">
        <v>0</v>
      </c>
      <c r="Z512" s="552">
        <v>0</v>
      </c>
      <c r="AA512" s="552">
        <v>0</v>
      </c>
      <c r="AB512" s="552">
        <v>0</v>
      </c>
      <c r="AC512" s="552">
        <v>0</v>
      </c>
      <c r="AD512" s="552">
        <v>0</v>
      </c>
      <c r="AE512" s="552">
        <v>0</v>
      </c>
      <c r="AF512" s="552">
        <v>0</v>
      </c>
      <c r="AG512" s="552">
        <v>0</v>
      </c>
      <c r="AH512" s="552">
        <v>0</v>
      </c>
      <c r="AI512" s="552">
        <v>0</v>
      </c>
      <c r="AJ512" s="552">
        <v>0</v>
      </c>
    </row>
    <row r="513" spans="1:36" ht="15.95" customHeight="1">
      <c r="A513" s="547"/>
      <c r="B513" s="548">
        <v>972</v>
      </c>
      <c r="C513" s="549">
        <v>6773</v>
      </c>
      <c r="D513" s="550" t="s">
        <v>12014</v>
      </c>
      <c r="E513" s="550" t="s">
        <v>8309</v>
      </c>
      <c r="F513" s="550" t="s">
        <v>8310</v>
      </c>
      <c r="G513" s="550" t="s">
        <v>634</v>
      </c>
      <c r="H513" s="550" t="s">
        <v>267</v>
      </c>
      <c r="I513" s="550" t="s">
        <v>11</v>
      </c>
      <c r="J513" s="550" t="s">
        <v>12018</v>
      </c>
      <c r="K513" s="551">
        <v>44763</v>
      </c>
      <c r="L513" s="552">
        <v>7500</v>
      </c>
      <c r="M513" s="552">
        <v>7500</v>
      </c>
      <c r="N513" s="552">
        <v>7500</v>
      </c>
      <c r="O513" s="552">
        <v>1037</v>
      </c>
      <c r="P513" s="552">
        <v>7777500</v>
      </c>
      <c r="Q513" s="548">
        <v>0</v>
      </c>
      <c r="R513" s="552">
        <v>0</v>
      </c>
      <c r="S513" s="548">
        <v>1037</v>
      </c>
      <c r="T513" s="552">
        <v>7777500</v>
      </c>
      <c r="U513" s="548">
        <v>0</v>
      </c>
      <c r="V513" s="552">
        <v>0</v>
      </c>
      <c r="W513" s="552">
        <v>0</v>
      </c>
      <c r="X513" s="552">
        <v>0</v>
      </c>
      <c r="Y513" s="552">
        <v>1037</v>
      </c>
      <c r="Z513" s="552">
        <v>7777500</v>
      </c>
      <c r="AA513" s="552">
        <v>1037</v>
      </c>
      <c r="AB513" s="552">
        <v>7777500</v>
      </c>
      <c r="AC513" s="552">
        <v>0</v>
      </c>
      <c r="AD513" s="552">
        <v>0</v>
      </c>
      <c r="AE513" s="552">
        <v>0</v>
      </c>
      <c r="AF513" s="552">
        <v>0</v>
      </c>
      <c r="AG513" s="552">
        <v>0</v>
      </c>
      <c r="AH513" s="552">
        <v>0</v>
      </c>
      <c r="AI513" s="552">
        <v>0</v>
      </c>
      <c r="AJ513" s="552">
        <v>0</v>
      </c>
    </row>
    <row r="514" spans="1:36" ht="15.95" customHeight="1">
      <c r="A514" s="547"/>
      <c r="B514" s="548">
        <v>973</v>
      </c>
      <c r="C514" s="549">
        <v>6773</v>
      </c>
      <c r="D514" s="550" t="s">
        <v>12014</v>
      </c>
      <c r="E514" s="550" t="s">
        <v>8309</v>
      </c>
      <c r="F514" s="550" t="s">
        <v>8310</v>
      </c>
      <c r="G514" s="550" t="s">
        <v>634</v>
      </c>
      <c r="H514" s="550" t="s">
        <v>267</v>
      </c>
      <c r="I514" s="550" t="s">
        <v>11</v>
      </c>
      <c r="J514" s="550" t="s">
        <v>12019</v>
      </c>
      <c r="K514" s="551">
        <v>44812</v>
      </c>
      <c r="L514" s="552">
        <v>7500</v>
      </c>
      <c r="M514" s="552">
        <v>7500</v>
      </c>
      <c r="N514" s="552">
        <v>7500</v>
      </c>
      <c r="O514" s="552"/>
      <c r="P514" s="552"/>
      <c r="Q514" s="548">
        <v>1680</v>
      </c>
      <c r="R514" s="552">
        <v>12600000</v>
      </c>
      <c r="S514" s="548">
        <v>1680</v>
      </c>
      <c r="T514" s="552">
        <v>12600000</v>
      </c>
      <c r="U514" s="548">
        <v>0</v>
      </c>
      <c r="V514" s="552">
        <v>0</v>
      </c>
      <c r="W514" s="552">
        <v>0</v>
      </c>
      <c r="X514" s="552">
        <v>0</v>
      </c>
      <c r="Y514" s="552">
        <v>1680</v>
      </c>
      <c r="Z514" s="552">
        <v>12600000</v>
      </c>
      <c r="AA514" s="552">
        <v>1680</v>
      </c>
      <c r="AB514" s="552">
        <v>12600000</v>
      </c>
      <c r="AC514" s="552">
        <v>0</v>
      </c>
      <c r="AD514" s="552">
        <v>0</v>
      </c>
      <c r="AE514" s="552">
        <v>0</v>
      </c>
      <c r="AF514" s="552">
        <v>0</v>
      </c>
      <c r="AG514" s="552">
        <v>0</v>
      </c>
      <c r="AH514" s="552">
        <v>0</v>
      </c>
      <c r="AI514" s="552">
        <v>0</v>
      </c>
      <c r="AJ514" s="552">
        <v>0</v>
      </c>
    </row>
    <row r="515" spans="1:36" ht="15.95" customHeight="1">
      <c r="A515" s="547"/>
      <c r="B515" s="548">
        <v>974</v>
      </c>
      <c r="C515" s="549">
        <v>6773</v>
      </c>
      <c r="D515" s="550" t="s">
        <v>12014</v>
      </c>
      <c r="E515" s="550" t="s">
        <v>8309</v>
      </c>
      <c r="F515" s="550" t="s">
        <v>8310</v>
      </c>
      <c r="G515" s="550" t="s">
        <v>634</v>
      </c>
      <c r="H515" s="550" t="s">
        <v>267</v>
      </c>
      <c r="I515" s="550" t="s">
        <v>11</v>
      </c>
      <c r="J515" s="550" t="s">
        <v>12020</v>
      </c>
      <c r="K515" s="551">
        <v>44812</v>
      </c>
      <c r="L515" s="552">
        <v>7500</v>
      </c>
      <c r="M515" s="552">
        <v>7500</v>
      </c>
      <c r="N515" s="552">
        <v>7500</v>
      </c>
      <c r="O515" s="552"/>
      <c r="P515" s="552"/>
      <c r="Q515" s="548">
        <v>3373</v>
      </c>
      <c r="R515" s="552">
        <v>25297500</v>
      </c>
      <c r="S515" s="548">
        <v>3250</v>
      </c>
      <c r="T515" s="552">
        <v>24375000</v>
      </c>
      <c r="U515" s="548">
        <v>123</v>
      </c>
      <c r="V515" s="552">
        <v>922500</v>
      </c>
      <c r="W515" s="552">
        <v>0</v>
      </c>
      <c r="X515" s="552">
        <v>0</v>
      </c>
      <c r="Y515" s="552">
        <v>3237</v>
      </c>
      <c r="Z515" s="552">
        <v>24277500</v>
      </c>
      <c r="AA515" s="552">
        <v>2560</v>
      </c>
      <c r="AB515" s="552">
        <v>19200000</v>
      </c>
      <c r="AC515" s="552">
        <v>677</v>
      </c>
      <c r="AD515" s="552">
        <v>5077500</v>
      </c>
      <c r="AE515" s="552">
        <v>0</v>
      </c>
      <c r="AF515" s="552">
        <v>0</v>
      </c>
      <c r="AG515" s="552">
        <v>13</v>
      </c>
      <c r="AH515" s="552">
        <v>97500</v>
      </c>
      <c r="AI515" s="552">
        <v>0</v>
      </c>
      <c r="AJ515" s="552">
        <v>0</v>
      </c>
    </row>
    <row r="516" spans="1:36" ht="15.95" customHeight="1">
      <c r="A516" s="547"/>
      <c r="B516" s="548">
        <v>975</v>
      </c>
      <c r="C516" s="549">
        <v>6773</v>
      </c>
      <c r="D516" s="550" t="s">
        <v>12014</v>
      </c>
      <c r="E516" s="550" t="s">
        <v>8309</v>
      </c>
      <c r="F516" s="550" t="s">
        <v>8310</v>
      </c>
      <c r="G516" s="550" t="s">
        <v>634</v>
      </c>
      <c r="H516" s="550" t="s">
        <v>267</v>
      </c>
      <c r="I516" s="550" t="s">
        <v>11</v>
      </c>
      <c r="J516" s="550" t="s">
        <v>12021</v>
      </c>
      <c r="K516" s="551">
        <v>44860</v>
      </c>
      <c r="L516" s="552">
        <v>7500</v>
      </c>
      <c r="M516" s="552">
        <v>7500</v>
      </c>
      <c r="N516" s="552">
        <v>7500</v>
      </c>
      <c r="O516" s="552"/>
      <c r="P516" s="552"/>
      <c r="Q516" s="548">
        <v>560</v>
      </c>
      <c r="R516" s="552">
        <v>4200000</v>
      </c>
      <c r="S516" s="548">
        <v>560</v>
      </c>
      <c r="T516" s="552">
        <v>4200000</v>
      </c>
      <c r="U516" s="548">
        <v>0</v>
      </c>
      <c r="V516" s="552">
        <v>0</v>
      </c>
      <c r="W516" s="552">
        <v>0</v>
      </c>
      <c r="X516" s="552">
        <v>0</v>
      </c>
      <c r="Y516" s="552">
        <v>560</v>
      </c>
      <c r="Z516" s="552">
        <v>4200000</v>
      </c>
      <c r="AA516" s="552">
        <v>560</v>
      </c>
      <c r="AB516" s="552">
        <v>4200000</v>
      </c>
      <c r="AC516" s="552">
        <v>0</v>
      </c>
      <c r="AD516" s="552">
        <v>0</v>
      </c>
      <c r="AE516" s="552">
        <v>0</v>
      </c>
      <c r="AF516" s="552">
        <v>0</v>
      </c>
      <c r="AG516" s="552">
        <v>0</v>
      </c>
      <c r="AH516" s="552">
        <v>0</v>
      </c>
      <c r="AI516" s="552">
        <v>0</v>
      </c>
      <c r="AJ516" s="552">
        <v>0</v>
      </c>
    </row>
    <row r="517" spans="1:36" ht="15.95" customHeight="1">
      <c r="A517" s="547"/>
      <c r="B517" s="548">
        <v>976</v>
      </c>
      <c r="C517" s="549">
        <v>6661</v>
      </c>
      <c r="D517" s="550" t="s">
        <v>12022</v>
      </c>
      <c r="E517" s="550" t="s">
        <v>4349</v>
      </c>
      <c r="F517" s="550" t="s">
        <v>1720</v>
      </c>
      <c r="G517" s="550" t="s">
        <v>1311</v>
      </c>
      <c r="H517" s="550" t="s">
        <v>1313</v>
      </c>
      <c r="I517" s="550" t="s">
        <v>11</v>
      </c>
      <c r="J517" s="550" t="s">
        <v>3975</v>
      </c>
      <c r="K517" s="551">
        <v>44629</v>
      </c>
      <c r="L517" s="552">
        <v>1000</v>
      </c>
      <c r="M517" s="552">
        <v>1000</v>
      </c>
      <c r="N517" s="552">
        <v>1000</v>
      </c>
      <c r="O517" s="552">
        <v>5327</v>
      </c>
      <c r="P517" s="552">
        <v>5327000</v>
      </c>
      <c r="Q517" s="548">
        <v>0</v>
      </c>
      <c r="R517" s="552">
        <v>0</v>
      </c>
      <c r="S517" s="548">
        <v>5327</v>
      </c>
      <c r="T517" s="552">
        <v>5327000</v>
      </c>
      <c r="U517" s="548">
        <v>0</v>
      </c>
      <c r="V517" s="552">
        <v>0</v>
      </c>
      <c r="W517" s="552">
        <v>1027</v>
      </c>
      <c r="X517" s="552">
        <v>1027000</v>
      </c>
      <c r="Y517" s="552">
        <v>5327</v>
      </c>
      <c r="Z517" s="552">
        <v>5327000</v>
      </c>
      <c r="AA517" s="552">
        <v>4627</v>
      </c>
      <c r="AB517" s="552">
        <v>4627000</v>
      </c>
      <c r="AC517" s="552">
        <v>700</v>
      </c>
      <c r="AD517" s="552">
        <v>700000</v>
      </c>
      <c r="AE517" s="552">
        <v>0</v>
      </c>
      <c r="AF517" s="552">
        <v>0</v>
      </c>
      <c r="AG517" s="552">
        <v>0</v>
      </c>
      <c r="AH517" s="552">
        <v>0</v>
      </c>
      <c r="AI517" s="552">
        <v>0</v>
      </c>
      <c r="AJ517" s="552">
        <v>0</v>
      </c>
    </row>
    <row r="518" spans="1:36" ht="15.95" customHeight="1">
      <c r="A518" s="547"/>
      <c r="B518" s="548">
        <v>977</v>
      </c>
      <c r="C518" s="549">
        <v>6661</v>
      </c>
      <c r="D518" s="550" t="s">
        <v>12022</v>
      </c>
      <c r="E518" s="550" t="s">
        <v>4349</v>
      </c>
      <c r="F518" s="550" t="s">
        <v>1720</v>
      </c>
      <c r="G518" s="550" t="s">
        <v>1311</v>
      </c>
      <c r="H518" s="550" t="s">
        <v>1313</v>
      </c>
      <c r="I518" s="550" t="s">
        <v>11</v>
      </c>
      <c r="J518" s="550" t="s">
        <v>12023</v>
      </c>
      <c r="K518" s="551">
        <v>44709</v>
      </c>
      <c r="L518" s="552">
        <v>1000</v>
      </c>
      <c r="M518" s="552">
        <v>1000</v>
      </c>
      <c r="N518" s="552">
        <v>1000</v>
      </c>
      <c r="O518" s="552">
        <v>700</v>
      </c>
      <c r="P518" s="552">
        <v>700000</v>
      </c>
      <c r="Q518" s="548">
        <v>0</v>
      </c>
      <c r="R518" s="552">
        <v>0</v>
      </c>
      <c r="S518" s="548">
        <v>694</v>
      </c>
      <c r="T518" s="552">
        <v>694000</v>
      </c>
      <c r="U518" s="548">
        <v>6</v>
      </c>
      <c r="V518" s="552">
        <v>6000</v>
      </c>
      <c r="W518" s="552">
        <v>600</v>
      </c>
      <c r="X518" s="552">
        <v>600000</v>
      </c>
      <c r="Y518" s="552">
        <v>694</v>
      </c>
      <c r="Z518" s="552">
        <v>694000</v>
      </c>
      <c r="AA518" s="552">
        <v>0</v>
      </c>
      <c r="AB518" s="552">
        <v>0</v>
      </c>
      <c r="AC518" s="552">
        <v>694</v>
      </c>
      <c r="AD518" s="552">
        <v>694000</v>
      </c>
      <c r="AE518" s="552">
        <v>0</v>
      </c>
      <c r="AF518" s="552">
        <v>0</v>
      </c>
      <c r="AG518" s="552">
        <v>0</v>
      </c>
      <c r="AH518" s="552">
        <v>0</v>
      </c>
      <c r="AI518" s="552">
        <v>0</v>
      </c>
      <c r="AJ518" s="552">
        <v>0</v>
      </c>
    </row>
    <row r="519" spans="1:36" ht="15.95" customHeight="1">
      <c r="A519" s="547"/>
      <c r="B519" s="548">
        <v>978</v>
      </c>
      <c r="C519" s="549">
        <v>6661</v>
      </c>
      <c r="D519" s="550" t="s">
        <v>12022</v>
      </c>
      <c r="E519" s="550" t="s">
        <v>4349</v>
      </c>
      <c r="F519" s="550" t="s">
        <v>1720</v>
      </c>
      <c r="G519" s="550" t="s">
        <v>1311</v>
      </c>
      <c r="H519" s="550" t="s">
        <v>1313</v>
      </c>
      <c r="I519" s="550" t="s">
        <v>11</v>
      </c>
      <c r="J519" s="550" t="s">
        <v>12024</v>
      </c>
      <c r="K519" s="551">
        <v>44735</v>
      </c>
      <c r="L519" s="552">
        <v>1000</v>
      </c>
      <c r="M519" s="552">
        <v>1000</v>
      </c>
      <c r="N519" s="552">
        <v>1000</v>
      </c>
      <c r="O519" s="552"/>
      <c r="P519" s="552"/>
      <c r="Q519" s="548">
        <v>7200</v>
      </c>
      <c r="R519" s="552">
        <v>7200000</v>
      </c>
      <c r="S519" s="548">
        <v>7062</v>
      </c>
      <c r="T519" s="552">
        <v>7062000</v>
      </c>
      <c r="U519" s="548">
        <v>138</v>
      </c>
      <c r="V519" s="552">
        <v>138000</v>
      </c>
      <c r="W519" s="552">
        <v>1443</v>
      </c>
      <c r="X519" s="552">
        <v>1443000</v>
      </c>
      <c r="Y519" s="552">
        <v>7062</v>
      </c>
      <c r="Z519" s="552">
        <v>7062000</v>
      </c>
      <c r="AA519" s="552">
        <v>5000</v>
      </c>
      <c r="AB519" s="552">
        <v>5000000</v>
      </c>
      <c r="AC519" s="552">
        <v>2062</v>
      </c>
      <c r="AD519" s="552">
        <v>2062000</v>
      </c>
      <c r="AE519" s="552">
        <v>0</v>
      </c>
      <c r="AF519" s="552">
        <v>0</v>
      </c>
      <c r="AG519" s="552">
        <v>0</v>
      </c>
      <c r="AH519" s="552">
        <v>0</v>
      </c>
      <c r="AI519" s="552">
        <v>0</v>
      </c>
      <c r="AJ519" s="552">
        <v>0</v>
      </c>
    </row>
    <row r="520" spans="1:36" ht="15.95" customHeight="1">
      <c r="A520" s="547"/>
      <c r="B520" s="548">
        <v>979</v>
      </c>
      <c r="C520" s="549">
        <v>6661</v>
      </c>
      <c r="D520" s="550" t="s">
        <v>12022</v>
      </c>
      <c r="E520" s="550" t="s">
        <v>4349</v>
      </c>
      <c r="F520" s="550" t="s">
        <v>1720</v>
      </c>
      <c r="G520" s="550" t="s">
        <v>1311</v>
      </c>
      <c r="H520" s="550" t="s">
        <v>1313</v>
      </c>
      <c r="I520" s="550" t="s">
        <v>11</v>
      </c>
      <c r="J520" s="550" t="s">
        <v>12025</v>
      </c>
      <c r="K520" s="551">
        <v>44744</v>
      </c>
      <c r="L520" s="552">
        <v>1000</v>
      </c>
      <c r="M520" s="552">
        <v>1000</v>
      </c>
      <c r="N520" s="552">
        <v>1000</v>
      </c>
      <c r="O520" s="552"/>
      <c r="P520" s="552"/>
      <c r="Q520" s="548">
        <v>15000</v>
      </c>
      <c r="R520" s="552">
        <v>15000000</v>
      </c>
      <c r="S520" s="548">
        <v>7258</v>
      </c>
      <c r="T520" s="552">
        <v>7258000</v>
      </c>
      <c r="U520" s="548">
        <v>7742</v>
      </c>
      <c r="V520" s="552">
        <v>7742000</v>
      </c>
      <c r="W520" s="552">
        <v>515</v>
      </c>
      <c r="X520" s="552">
        <v>515000</v>
      </c>
      <c r="Y520" s="552">
        <v>7258</v>
      </c>
      <c r="Z520" s="552">
        <v>7258000</v>
      </c>
      <c r="AA520" s="552">
        <v>4758</v>
      </c>
      <c r="AB520" s="552">
        <v>4758000</v>
      </c>
      <c r="AC520" s="552">
        <v>2500</v>
      </c>
      <c r="AD520" s="552">
        <v>2500000</v>
      </c>
      <c r="AE520" s="552">
        <v>0</v>
      </c>
      <c r="AF520" s="552">
        <v>0</v>
      </c>
      <c r="AG520" s="552">
        <v>0</v>
      </c>
      <c r="AH520" s="552">
        <v>0</v>
      </c>
      <c r="AI520" s="552">
        <v>0</v>
      </c>
      <c r="AJ520" s="552">
        <v>0</v>
      </c>
    </row>
    <row r="521" spans="1:36" ht="15.95" customHeight="1">
      <c r="A521" s="547"/>
      <c r="B521" s="548">
        <v>980</v>
      </c>
      <c r="C521" s="549">
        <v>6661</v>
      </c>
      <c r="D521" s="550" t="s">
        <v>12022</v>
      </c>
      <c r="E521" s="550" t="s">
        <v>4349</v>
      </c>
      <c r="F521" s="550" t="s">
        <v>1720</v>
      </c>
      <c r="G521" s="550" t="s">
        <v>1311</v>
      </c>
      <c r="H521" s="550" t="s">
        <v>1313</v>
      </c>
      <c r="I521" s="550" t="s">
        <v>11</v>
      </c>
      <c r="J521" s="550" t="s">
        <v>4350</v>
      </c>
      <c r="K521" s="551">
        <v>44535</v>
      </c>
      <c r="L521" s="552">
        <v>1000</v>
      </c>
      <c r="M521" s="552">
        <v>1000</v>
      </c>
      <c r="N521" s="552">
        <v>1000</v>
      </c>
      <c r="O521" s="552">
        <v>127</v>
      </c>
      <c r="P521" s="552">
        <v>127000</v>
      </c>
      <c r="Q521" s="548">
        <v>0</v>
      </c>
      <c r="R521" s="552">
        <v>0</v>
      </c>
      <c r="S521" s="548">
        <v>127</v>
      </c>
      <c r="T521" s="552">
        <v>127000</v>
      </c>
      <c r="U521" s="548">
        <v>0</v>
      </c>
      <c r="V521" s="552">
        <v>0</v>
      </c>
      <c r="W521" s="552">
        <v>0</v>
      </c>
      <c r="X521" s="552">
        <v>0</v>
      </c>
      <c r="Y521" s="552">
        <v>127</v>
      </c>
      <c r="Z521" s="552">
        <v>127000</v>
      </c>
      <c r="AA521" s="552">
        <v>0</v>
      </c>
      <c r="AB521" s="552">
        <v>0</v>
      </c>
      <c r="AC521" s="552">
        <v>127</v>
      </c>
      <c r="AD521" s="552">
        <v>127000</v>
      </c>
      <c r="AE521" s="552">
        <v>0</v>
      </c>
      <c r="AF521" s="552">
        <v>0</v>
      </c>
      <c r="AG521" s="552">
        <v>0</v>
      </c>
      <c r="AH521" s="552">
        <v>0</v>
      </c>
      <c r="AI521" s="552">
        <v>0</v>
      </c>
      <c r="AJ521" s="552">
        <v>0</v>
      </c>
    </row>
    <row r="522" spans="1:36" ht="15.95" customHeight="1">
      <c r="A522" s="547"/>
      <c r="B522" s="548">
        <v>981</v>
      </c>
      <c r="C522" s="549">
        <v>7229</v>
      </c>
      <c r="D522" s="550" t="s">
        <v>12026</v>
      </c>
      <c r="E522" s="550" t="s">
        <v>5738</v>
      </c>
      <c r="F522" s="550" t="s">
        <v>5739</v>
      </c>
      <c r="G522" s="550" t="s">
        <v>1302</v>
      </c>
      <c r="H522" s="550" t="s">
        <v>235</v>
      </c>
      <c r="I522" s="550" t="s">
        <v>10</v>
      </c>
      <c r="J522" s="550" t="s">
        <v>12027</v>
      </c>
      <c r="K522" s="551">
        <v>45408</v>
      </c>
      <c r="L522" s="552">
        <v>1718</v>
      </c>
      <c r="M522" s="552">
        <v>1718</v>
      </c>
      <c r="N522" s="552">
        <v>1718</v>
      </c>
      <c r="O522" s="552"/>
      <c r="P522" s="552"/>
      <c r="Q522" s="548">
        <v>9990</v>
      </c>
      <c r="R522" s="552">
        <v>17162820</v>
      </c>
      <c r="S522" s="548">
        <v>0</v>
      </c>
      <c r="T522" s="552">
        <v>0</v>
      </c>
      <c r="U522" s="548">
        <v>9990</v>
      </c>
      <c r="V522" s="552">
        <v>17162820</v>
      </c>
      <c r="W522" s="552">
        <v>0</v>
      </c>
      <c r="X522" s="552">
        <v>0</v>
      </c>
      <c r="Y522" s="552">
        <v>0</v>
      </c>
      <c r="Z522" s="552">
        <v>0</v>
      </c>
      <c r="AA522" s="552">
        <v>0</v>
      </c>
      <c r="AB522" s="552">
        <v>0</v>
      </c>
      <c r="AC522" s="552">
        <v>0</v>
      </c>
      <c r="AD522" s="552">
        <v>0</v>
      </c>
      <c r="AE522" s="552">
        <v>0</v>
      </c>
      <c r="AF522" s="552">
        <v>0</v>
      </c>
      <c r="AG522" s="552">
        <v>0</v>
      </c>
      <c r="AH522" s="552">
        <v>0</v>
      </c>
      <c r="AI522" s="552">
        <v>0</v>
      </c>
      <c r="AJ522" s="552">
        <v>0</v>
      </c>
    </row>
    <row r="523" spans="1:36" ht="15.95" customHeight="1">
      <c r="A523" s="547"/>
      <c r="B523" s="548">
        <v>982</v>
      </c>
      <c r="C523" s="549">
        <v>7042</v>
      </c>
      <c r="D523" s="550" t="s">
        <v>12028</v>
      </c>
      <c r="E523" s="550" t="s">
        <v>4351</v>
      </c>
      <c r="F523" s="550" t="s">
        <v>7945</v>
      </c>
      <c r="G523" s="550" t="s">
        <v>638</v>
      </c>
      <c r="H523" s="550" t="s">
        <v>429</v>
      </c>
      <c r="I523" s="550" t="s">
        <v>13</v>
      </c>
      <c r="J523" s="550" t="s">
        <v>3984</v>
      </c>
      <c r="K523" s="551">
        <v>45222</v>
      </c>
      <c r="L523" s="552">
        <v>1533</v>
      </c>
      <c r="M523" s="552">
        <v>1533</v>
      </c>
      <c r="N523" s="552">
        <v>1533</v>
      </c>
      <c r="O523" s="552">
        <v>480</v>
      </c>
      <c r="P523" s="552">
        <v>735840</v>
      </c>
      <c r="Q523" s="548">
        <v>0</v>
      </c>
      <c r="R523" s="552">
        <v>0</v>
      </c>
      <c r="S523" s="548">
        <v>480</v>
      </c>
      <c r="T523" s="552">
        <v>735840</v>
      </c>
      <c r="U523" s="548">
        <v>0</v>
      </c>
      <c r="V523" s="552">
        <v>0</v>
      </c>
      <c r="W523" s="552">
        <v>300</v>
      </c>
      <c r="X523" s="552">
        <v>459900</v>
      </c>
      <c r="Y523" s="552">
        <v>480</v>
      </c>
      <c r="Z523" s="552">
        <v>735840</v>
      </c>
      <c r="AA523" s="552">
        <v>180</v>
      </c>
      <c r="AB523" s="552">
        <v>275940</v>
      </c>
      <c r="AC523" s="552">
        <v>300</v>
      </c>
      <c r="AD523" s="552">
        <v>459900</v>
      </c>
      <c r="AE523" s="552">
        <v>0</v>
      </c>
      <c r="AF523" s="552">
        <v>0</v>
      </c>
      <c r="AG523" s="552">
        <v>0</v>
      </c>
      <c r="AH523" s="552">
        <v>0</v>
      </c>
      <c r="AI523" s="552">
        <v>0</v>
      </c>
      <c r="AJ523" s="552">
        <v>0</v>
      </c>
    </row>
    <row r="524" spans="1:36" ht="15.95" customHeight="1">
      <c r="A524" s="547"/>
      <c r="B524" s="548">
        <v>983</v>
      </c>
      <c r="C524" s="549">
        <v>7042</v>
      </c>
      <c r="D524" s="550" t="s">
        <v>12028</v>
      </c>
      <c r="E524" s="550" t="s">
        <v>4351</v>
      </c>
      <c r="F524" s="550" t="s">
        <v>7945</v>
      </c>
      <c r="G524" s="550" t="s">
        <v>638</v>
      </c>
      <c r="H524" s="550" t="s">
        <v>429</v>
      </c>
      <c r="I524" s="550" t="s">
        <v>13</v>
      </c>
      <c r="J524" s="550" t="s">
        <v>11686</v>
      </c>
      <c r="K524" s="551">
        <v>45369</v>
      </c>
      <c r="L524" s="552">
        <v>1533</v>
      </c>
      <c r="M524" s="552">
        <v>1533</v>
      </c>
      <c r="N524" s="552">
        <v>1533</v>
      </c>
      <c r="O524" s="552"/>
      <c r="P524" s="552"/>
      <c r="Q524" s="548">
        <v>6000</v>
      </c>
      <c r="R524" s="552">
        <v>9198000</v>
      </c>
      <c r="S524" s="548">
        <v>3086</v>
      </c>
      <c r="T524" s="552">
        <v>4730838</v>
      </c>
      <c r="U524" s="548">
        <v>2914</v>
      </c>
      <c r="V524" s="552">
        <v>4467162</v>
      </c>
      <c r="W524" s="552">
        <v>1090</v>
      </c>
      <c r="X524" s="552">
        <v>1670970</v>
      </c>
      <c r="Y524" s="552">
        <v>3086</v>
      </c>
      <c r="Z524" s="552">
        <v>4730838</v>
      </c>
      <c r="AA524" s="552">
        <v>1796</v>
      </c>
      <c r="AB524" s="552">
        <v>2753268</v>
      </c>
      <c r="AC524" s="552">
        <v>1290</v>
      </c>
      <c r="AD524" s="552">
        <v>1977570</v>
      </c>
      <c r="AE524" s="552">
        <v>0</v>
      </c>
      <c r="AF524" s="552">
        <v>0</v>
      </c>
      <c r="AG524" s="552">
        <v>0</v>
      </c>
      <c r="AH524" s="552">
        <v>0</v>
      </c>
      <c r="AI524" s="552">
        <v>0</v>
      </c>
      <c r="AJ524" s="552">
        <v>0</v>
      </c>
    </row>
    <row r="525" spans="1:36" ht="15.95" customHeight="1">
      <c r="A525" s="547"/>
      <c r="B525" s="548">
        <v>984</v>
      </c>
      <c r="C525" s="549">
        <v>7209</v>
      </c>
      <c r="D525" s="550" t="s">
        <v>12029</v>
      </c>
      <c r="E525" s="550" t="s">
        <v>4354</v>
      </c>
      <c r="F525" s="550" t="s">
        <v>4355</v>
      </c>
      <c r="G525" s="550" t="s">
        <v>634</v>
      </c>
      <c r="H525" s="550" t="s">
        <v>1282</v>
      </c>
      <c r="I525" s="550" t="s">
        <v>658</v>
      </c>
      <c r="J525" s="550" t="s">
        <v>12030</v>
      </c>
      <c r="K525" s="551">
        <v>44539</v>
      </c>
      <c r="L525" s="552">
        <v>46200</v>
      </c>
      <c r="M525" s="552">
        <v>46200</v>
      </c>
      <c r="N525" s="552">
        <v>46200</v>
      </c>
      <c r="O525" s="552">
        <v>144</v>
      </c>
      <c r="P525" s="552">
        <v>6652800</v>
      </c>
      <c r="Q525" s="548">
        <v>0</v>
      </c>
      <c r="R525" s="552">
        <v>0</v>
      </c>
      <c r="S525" s="548">
        <v>144</v>
      </c>
      <c r="T525" s="552">
        <v>6652800</v>
      </c>
      <c r="U525" s="548">
        <v>0</v>
      </c>
      <c r="V525" s="552">
        <v>0</v>
      </c>
      <c r="W525" s="552">
        <v>0</v>
      </c>
      <c r="X525" s="552">
        <v>0</v>
      </c>
      <c r="Y525" s="552">
        <v>144</v>
      </c>
      <c r="Z525" s="552">
        <v>6652800</v>
      </c>
      <c r="AA525" s="552">
        <v>0</v>
      </c>
      <c r="AB525" s="552">
        <v>0</v>
      </c>
      <c r="AC525" s="552">
        <v>144</v>
      </c>
      <c r="AD525" s="552">
        <v>6652800</v>
      </c>
      <c r="AE525" s="552">
        <v>0</v>
      </c>
      <c r="AF525" s="552">
        <v>0</v>
      </c>
      <c r="AG525" s="552">
        <v>0</v>
      </c>
      <c r="AH525" s="552">
        <v>0</v>
      </c>
      <c r="AI525" s="552">
        <v>0</v>
      </c>
      <c r="AJ525" s="552">
        <v>0</v>
      </c>
    </row>
    <row r="526" spans="1:36" ht="15.95" customHeight="1">
      <c r="A526" s="547"/>
      <c r="B526" s="548">
        <v>985</v>
      </c>
      <c r="C526" s="549">
        <v>7209</v>
      </c>
      <c r="D526" s="550" t="s">
        <v>12029</v>
      </c>
      <c r="E526" s="550" t="s">
        <v>4354</v>
      </c>
      <c r="F526" s="550" t="s">
        <v>4355</v>
      </c>
      <c r="G526" s="550" t="s">
        <v>634</v>
      </c>
      <c r="H526" s="550" t="s">
        <v>1282</v>
      </c>
      <c r="I526" s="550" t="s">
        <v>658</v>
      </c>
      <c r="J526" s="550" t="s">
        <v>12031</v>
      </c>
      <c r="K526" s="551">
        <v>44769</v>
      </c>
      <c r="L526" s="552">
        <v>46200</v>
      </c>
      <c r="M526" s="552">
        <v>46200</v>
      </c>
      <c r="N526" s="552">
        <v>46200</v>
      </c>
      <c r="O526" s="552"/>
      <c r="P526" s="552"/>
      <c r="Q526" s="548">
        <v>100</v>
      </c>
      <c r="R526" s="552">
        <v>4620000</v>
      </c>
      <c r="S526" s="548">
        <v>100</v>
      </c>
      <c r="T526" s="552">
        <v>4620000</v>
      </c>
      <c r="U526" s="548">
        <v>0</v>
      </c>
      <c r="V526" s="552">
        <v>0</v>
      </c>
      <c r="W526" s="552">
        <v>0</v>
      </c>
      <c r="X526" s="552">
        <v>0</v>
      </c>
      <c r="Y526" s="552">
        <v>100</v>
      </c>
      <c r="Z526" s="552">
        <v>4620000</v>
      </c>
      <c r="AA526" s="552">
        <v>0</v>
      </c>
      <c r="AB526" s="552">
        <v>0</v>
      </c>
      <c r="AC526" s="552">
        <v>100</v>
      </c>
      <c r="AD526" s="552">
        <v>4620000</v>
      </c>
      <c r="AE526" s="552">
        <v>0</v>
      </c>
      <c r="AF526" s="552">
        <v>0</v>
      </c>
      <c r="AG526" s="552">
        <v>0</v>
      </c>
      <c r="AH526" s="552">
        <v>0</v>
      </c>
      <c r="AI526" s="552">
        <v>0</v>
      </c>
      <c r="AJ526" s="552">
        <v>0</v>
      </c>
    </row>
    <row r="527" spans="1:36" ht="15.95" customHeight="1">
      <c r="A527" s="547"/>
      <c r="B527" s="548">
        <v>990</v>
      </c>
      <c r="C527" s="549">
        <v>6831</v>
      </c>
      <c r="D527" s="550" t="s">
        <v>12032</v>
      </c>
      <c r="E527" s="550" t="s">
        <v>4356</v>
      </c>
      <c r="F527" s="550" t="s">
        <v>4357</v>
      </c>
      <c r="G527" s="550" t="s">
        <v>4358</v>
      </c>
      <c r="H527" s="550" t="s">
        <v>4359</v>
      </c>
      <c r="I527" s="550" t="s">
        <v>658</v>
      </c>
      <c r="J527" s="550" t="s">
        <v>12033</v>
      </c>
      <c r="K527" s="551">
        <v>44957</v>
      </c>
      <c r="L527" s="552">
        <v>30000</v>
      </c>
      <c r="M527" s="552">
        <v>30000</v>
      </c>
      <c r="N527" s="552">
        <v>30000</v>
      </c>
      <c r="O527" s="552"/>
      <c r="P527" s="552"/>
      <c r="Q527" s="548">
        <v>300</v>
      </c>
      <c r="R527" s="552">
        <v>9000000</v>
      </c>
      <c r="S527" s="548">
        <v>106</v>
      </c>
      <c r="T527" s="552">
        <v>3180000</v>
      </c>
      <c r="U527" s="548">
        <v>194</v>
      </c>
      <c r="V527" s="552">
        <v>5820000</v>
      </c>
      <c r="W527" s="552">
        <v>0</v>
      </c>
      <c r="X527" s="552">
        <v>0</v>
      </c>
      <c r="Y527" s="552">
        <v>106</v>
      </c>
      <c r="Z527" s="552">
        <v>3180000</v>
      </c>
      <c r="AA527" s="552">
        <v>106</v>
      </c>
      <c r="AB527" s="552">
        <v>3180000</v>
      </c>
      <c r="AC527" s="552">
        <v>0</v>
      </c>
      <c r="AD527" s="552">
        <v>0</v>
      </c>
      <c r="AE527" s="552">
        <v>0</v>
      </c>
      <c r="AF527" s="552">
        <v>0</v>
      </c>
      <c r="AG527" s="552">
        <v>0</v>
      </c>
      <c r="AH527" s="552">
        <v>0</v>
      </c>
      <c r="AI527" s="552">
        <v>0</v>
      </c>
      <c r="AJ527" s="552">
        <v>0</v>
      </c>
    </row>
    <row r="528" spans="1:36" ht="15.95" customHeight="1">
      <c r="A528" s="547"/>
      <c r="B528" s="548">
        <v>991</v>
      </c>
      <c r="C528" s="549">
        <v>6831</v>
      </c>
      <c r="D528" s="550" t="s">
        <v>12032</v>
      </c>
      <c r="E528" s="550" t="s">
        <v>4356</v>
      </c>
      <c r="F528" s="550" t="s">
        <v>4357</v>
      </c>
      <c r="G528" s="550" t="s">
        <v>4358</v>
      </c>
      <c r="H528" s="550" t="s">
        <v>4359</v>
      </c>
      <c r="I528" s="550" t="s">
        <v>658</v>
      </c>
      <c r="J528" s="550" t="s">
        <v>4360</v>
      </c>
      <c r="K528" s="551">
        <v>44682</v>
      </c>
      <c r="L528" s="552">
        <v>30000</v>
      </c>
      <c r="M528" s="552">
        <v>30000</v>
      </c>
      <c r="N528" s="552">
        <v>30000</v>
      </c>
      <c r="O528" s="552">
        <v>54</v>
      </c>
      <c r="P528" s="552">
        <v>1620000</v>
      </c>
      <c r="Q528" s="548">
        <v>0</v>
      </c>
      <c r="R528" s="552">
        <v>0</v>
      </c>
      <c r="S528" s="548">
        <v>54</v>
      </c>
      <c r="T528" s="552">
        <v>1620000</v>
      </c>
      <c r="U528" s="548">
        <v>0</v>
      </c>
      <c r="V528" s="552">
        <v>0</v>
      </c>
      <c r="W528" s="552">
        <v>0</v>
      </c>
      <c r="X528" s="552">
        <v>0</v>
      </c>
      <c r="Y528" s="552">
        <v>54</v>
      </c>
      <c r="Z528" s="552">
        <v>1620000</v>
      </c>
      <c r="AA528" s="552">
        <v>54</v>
      </c>
      <c r="AB528" s="552">
        <v>1620000</v>
      </c>
      <c r="AC528" s="552">
        <v>0</v>
      </c>
      <c r="AD528" s="552">
        <v>0</v>
      </c>
      <c r="AE528" s="552">
        <v>0</v>
      </c>
      <c r="AF528" s="552">
        <v>0</v>
      </c>
      <c r="AG528" s="552">
        <v>0</v>
      </c>
      <c r="AH528" s="552">
        <v>0</v>
      </c>
      <c r="AI528" s="552">
        <v>0</v>
      </c>
      <c r="AJ528" s="552">
        <v>0</v>
      </c>
    </row>
    <row r="529" spans="1:36" ht="15.95" customHeight="1">
      <c r="A529" s="547"/>
      <c r="B529" s="548">
        <v>992</v>
      </c>
      <c r="C529" s="549">
        <v>6831</v>
      </c>
      <c r="D529" s="550" t="s">
        <v>12032</v>
      </c>
      <c r="E529" s="550" t="s">
        <v>4356</v>
      </c>
      <c r="F529" s="550" t="s">
        <v>4357</v>
      </c>
      <c r="G529" s="550" t="s">
        <v>4358</v>
      </c>
      <c r="H529" s="550" t="s">
        <v>4359</v>
      </c>
      <c r="I529" s="550" t="s">
        <v>658</v>
      </c>
      <c r="J529" s="550" t="s">
        <v>12034</v>
      </c>
      <c r="K529" s="551">
        <v>45049</v>
      </c>
      <c r="L529" s="552">
        <v>30000</v>
      </c>
      <c r="M529" s="552">
        <v>30000</v>
      </c>
      <c r="N529" s="552">
        <v>30000</v>
      </c>
      <c r="O529" s="552"/>
      <c r="P529" s="552"/>
      <c r="Q529" s="548">
        <v>200</v>
      </c>
      <c r="R529" s="552">
        <v>6000000</v>
      </c>
      <c r="S529" s="548">
        <v>0</v>
      </c>
      <c r="T529" s="552">
        <v>0</v>
      </c>
      <c r="U529" s="548">
        <v>200</v>
      </c>
      <c r="V529" s="552">
        <v>6000000</v>
      </c>
      <c r="W529" s="552">
        <v>0</v>
      </c>
      <c r="X529" s="552">
        <v>0</v>
      </c>
      <c r="Y529" s="552">
        <v>0</v>
      </c>
      <c r="Z529" s="552">
        <v>0</v>
      </c>
      <c r="AA529" s="552">
        <v>0</v>
      </c>
      <c r="AB529" s="552">
        <v>0</v>
      </c>
      <c r="AC529" s="552">
        <v>0</v>
      </c>
      <c r="AD529" s="552">
        <v>0</v>
      </c>
      <c r="AE529" s="552">
        <v>0</v>
      </c>
      <c r="AF529" s="552">
        <v>0</v>
      </c>
      <c r="AG529" s="552">
        <v>0</v>
      </c>
      <c r="AH529" s="552">
        <v>0</v>
      </c>
      <c r="AI529" s="552">
        <v>0</v>
      </c>
      <c r="AJ529" s="552">
        <v>0</v>
      </c>
    </row>
    <row r="530" spans="1:36" ht="15.95" customHeight="1">
      <c r="A530" s="547"/>
      <c r="B530" s="548">
        <v>993</v>
      </c>
      <c r="C530" s="549">
        <v>6831</v>
      </c>
      <c r="D530" s="550" t="s">
        <v>12032</v>
      </c>
      <c r="E530" s="550" t="s">
        <v>4356</v>
      </c>
      <c r="F530" s="550" t="s">
        <v>4357</v>
      </c>
      <c r="G530" s="550" t="s">
        <v>4358</v>
      </c>
      <c r="H530" s="550" t="s">
        <v>4359</v>
      </c>
      <c r="I530" s="550" t="s">
        <v>658</v>
      </c>
      <c r="J530" s="550" t="s">
        <v>12035</v>
      </c>
      <c r="K530" s="551">
        <v>44804</v>
      </c>
      <c r="L530" s="552">
        <v>30000</v>
      </c>
      <c r="M530" s="552">
        <v>30000</v>
      </c>
      <c r="N530" s="552">
        <v>30000</v>
      </c>
      <c r="O530" s="552"/>
      <c r="P530" s="552"/>
      <c r="Q530" s="548">
        <v>100</v>
      </c>
      <c r="R530" s="552">
        <v>3000000</v>
      </c>
      <c r="S530" s="548">
        <v>100</v>
      </c>
      <c r="T530" s="552">
        <v>3000000</v>
      </c>
      <c r="U530" s="548">
        <v>0</v>
      </c>
      <c r="V530" s="552">
        <v>0</v>
      </c>
      <c r="W530" s="552">
        <v>0</v>
      </c>
      <c r="X530" s="552">
        <v>0</v>
      </c>
      <c r="Y530" s="552">
        <v>100</v>
      </c>
      <c r="Z530" s="552">
        <v>3000000</v>
      </c>
      <c r="AA530" s="552">
        <v>100</v>
      </c>
      <c r="AB530" s="552">
        <v>3000000</v>
      </c>
      <c r="AC530" s="552">
        <v>0</v>
      </c>
      <c r="AD530" s="552">
        <v>0</v>
      </c>
      <c r="AE530" s="552">
        <v>0</v>
      </c>
      <c r="AF530" s="552">
        <v>0</v>
      </c>
      <c r="AG530" s="552">
        <v>0</v>
      </c>
      <c r="AH530" s="552">
        <v>0</v>
      </c>
      <c r="AI530" s="552">
        <v>0</v>
      </c>
      <c r="AJ530" s="552">
        <v>0</v>
      </c>
    </row>
    <row r="531" spans="1:36" ht="15.95" customHeight="1">
      <c r="A531" s="547"/>
      <c r="B531" s="548">
        <v>996</v>
      </c>
      <c r="C531" s="549">
        <v>6651</v>
      </c>
      <c r="D531" s="550" t="s">
        <v>12036</v>
      </c>
      <c r="E531" s="550" t="s">
        <v>4361</v>
      </c>
      <c r="F531" s="550" t="s">
        <v>4362</v>
      </c>
      <c r="G531" s="550" t="s">
        <v>2038</v>
      </c>
      <c r="H531" s="550" t="s">
        <v>225</v>
      </c>
      <c r="I531" s="550" t="s">
        <v>11</v>
      </c>
      <c r="J531" s="550" t="s">
        <v>4363</v>
      </c>
      <c r="K531" s="551">
        <v>44863</v>
      </c>
      <c r="L531" s="552">
        <v>4612</v>
      </c>
      <c r="M531" s="552">
        <v>4612</v>
      </c>
      <c r="N531" s="552">
        <v>4612</v>
      </c>
      <c r="O531" s="552">
        <v>3145</v>
      </c>
      <c r="P531" s="552">
        <v>14504740</v>
      </c>
      <c r="Q531" s="548">
        <v>44</v>
      </c>
      <c r="R531" s="552">
        <v>202928</v>
      </c>
      <c r="S531" s="548">
        <v>2307</v>
      </c>
      <c r="T531" s="552">
        <v>10639884</v>
      </c>
      <c r="U531" s="548">
        <v>882</v>
      </c>
      <c r="V531" s="552">
        <v>4067784</v>
      </c>
      <c r="W531" s="552">
        <v>249</v>
      </c>
      <c r="X531" s="552">
        <v>1148388</v>
      </c>
      <c r="Y531" s="552">
        <v>2299</v>
      </c>
      <c r="Z531" s="552">
        <v>10602988</v>
      </c>
      <c r="AA531" s="552">
        <v>0</v>
      </c>
      <c r="AB531" s="552">
        <v>0</v>
      </c>
      <c r="AC531" s="552">
        <v>2299</v>
      </c>
      <c r="AD531" s="552">
        <v>10602988</v>
      </c>
      <c r="AE531" s="552">
        <v>0</v>
      </c>
      <c r="AF531" s="552">
        <v>0</v>
      </c>
      <c r="AG531" s="552">
        <v>8</v>
      </c>
      <c r="AH531" s="552">
        <v>36896</v>
      </c>
      <c r="AI531" s="552">
        <v>0</v>
      </c>
      <c r="AJ531" s="552">
        <v>0</v>
      </c>
    </row>
    <row r="532" spans="1:36" ht="15.95" customHeight="1">
      <c r="A532" s="547"/>
      <c r="B532" s="548">
        <v>997</v>
      </c>
      <c r="C532" s="549">
        <v>6651</v>
      </c>
      <c r="D532" s="550" t="s">
        <v>12036</v>
      </c>
      <c r="E532" s="550" t="s">
        <v>4361</v>
      </c>
      <c r="F532" s="550" t="s">
        <v>4362</v>
      </c>
      <c r="G532" s="550" t="s">
        <v>2038</v>
      </c>
      <c r="H532" s="550" t="s">
        <v>225</v>
      </c>
      <c r="I532" s="550" t="s">
        <v>11</v>
      </c>
      <c r="J532" s="550" t="s">
        <v>12037</v>
      </c>
      <c r="K532" s="551">
        <v>44912</v>
      </c>
      <c r="L532" s="552">
        <v>4612</v>
      </c>
      <c r="M532" s="552">
        <v>4612</v>
      </c>
      <c r="N532" s="552">
        <v>4612</v>
      </c>
      <c r="O532" s="552"/>
      <c r="P532" s="552"/>
      <c r="Q532" s="548">
        <v>5100</v>
      </c>
      <c r="R532" s="552">
        <v>23521200</v>
      </c>
      <c r="S532" s="548">
        <v>0</v>
      </c>
      <c r="T532" s="552">
        <v>0</v>
      </c>
      <c r="U532" s="548">
        <v>5100</v>
      </c>
      <c r="V532" s="552">
        <v>23521200</v>
      </c>
      <c r="W532" s="552">
        <v>0</v>
      </c>
      <c r="X532" s="552">
        <v>0</v>
      </c>
      <c r="Y532" s="552">
        <v>0</v>
      </c>
      <c r="Z532" s="552">
        <v>0</v>
      </c>
      <c r="AA532" s="552">
        <v>0</v>
      </c>
      <c r="AB532" s="552">
        <v>0</v>
      </c>
      <c r="AC532" s="552">
        <v>0</v>
      </c>
      <c r="AD532" s="552">
        <v>0</v>
      </c>
      <c r="AE532" s="552">
        <v>0</v>
      </c>
      <c r="AF532" s="552">
        <v>0</v>
      </c>
      <c r="AG532" s="552">
        <v>0</v>
      </c>
      <c r="AH532" s="552">
        <v>0</v>
      </c>
      <c r="AI532" s="552">
        <v>0</v>
      </c>
      <c r="AJ532" s="552">
        <v>0</v>
      </c>
    </row>
    <row r="533" spans="1:36" ht="15.95" customHeight="1">
      <c r="A533" s="547"/>
      <c r="B533" s="548">
        <v>999</v>
      </c>
      <c r="C533" s="549">
        <v>7050</v>
      </c>
      <c r="D533" s="550" t="s">
        <v>12038</v>
      </c>
      <c r="E533" s="550" t="s">
        <v>4364</v>
      </c>
      <c r="F533" s="550" t="s">
        <v>4365</v>
      </c>
      <c r="G533" s="550" t="s">
        <v>1999</v>
      </c>
      <c r="H533" s="550" t="s">
        <v>4366</v>
      </c>
      <c r="I533" s="550" t="s">
        <v>11</v>
      </c>
      <c r="J533" s="550" t="s">
        <v>3781</v>
      </c>
      <c r="K533" s="551">
        <v>45047</v>
      </c>
      <c r="L533" s="552">
        <v>1995</v>
      </c>
      <c r="M533" s="552">
        <v>1995</v>
      </c>
      <c r="N533" s="552">
        <v>1995</v>
      </c>
      <c r="O533" s="552">
        <v>5982</v>
      </c>
      <c r="P533" s="552">
        <v>11934090</v>
      </c>
      <c r="Q533" s="548">
        <v>0</v>
      </c>
      <c r="R533" s="552">
        <v>0</v>
      </c>
      <c r="S533" s="548">
        <v>5940</v>
      </c>
      <c r="T533" s="552">
        <v>11850300</v>
      </c>
      <c r="U533" s="548">
        <v>42</v>
      </c>
      <c r="V533" s="552">
        <v>83790</v>
      </c>
      <c r="W533" s="552">
        <v>0</v>
      </c>
      <c r="X533" s="552">
        <v>0</v>
      </c>
      <c r="Y533" s="552">
        <v>5940</v>
      </c>
      <c r="Z533" s="552">
        <v>11850300</v>
      </c>
      <c r="AA533" s="552">
        <v>5940</v>
      </c>
      <c r="AB533" s="552">
        <v>11850300</v>
      </c>
      <c r="AC533" s="552">
        <v>0</v>
      </c>
      <c r="AD533" s="552">
        <v>0</v>
      </c>
      <c r="AE533" s="552">
        <v>0</v>
      </c>
      <c r="AF533" s="552">
        <v>0</v>
      </c>
      <c r="AG533" s="552">
        <v>0</v>
      </c>
      <c r="AH533" s="552">
        <v>0</v>
      </c>
      <c r="AI533" s="552">
        <v>0</v>
      </c>
      <c r="AJ533" s="552">
        <v>0</v>
      </c>
    </row>
    <row r="534" spans="1:36" ht="15.95" customHeight="1">
      <c r="A534" s="547"/>
      <c r="B534" s="548">
        <v>1000</v>
      </c>
      <c r="C534" s="549">
        <v>7050</v>
      </c>
      <c r="D534" s="550" t="s">
        <v>12038</v>
      </c>
      <c r="E534" s="550" t="s">
        <v>4364</v>
      </c>
      <c r="F534" s="550" t="s">
        <v>4365</v>
      </c>
      <c r="G534" s="550" t="s">
        <v>1999</v>
      </c>
      <c r="H534" s="550" t="s">
        <v>4366</v>
      </c>
      <c r="I534" s="550" t="s">
        <v>11</v>
      </c>
      <c r="J534" s="550" t="s">
        <v>12039</v>
      </c>
      <c r="K534" s="551">
        <v>45267</v>
      </c>
      <c r="L534" s="552">
        <v>1995</v>
      </c>
      <c r="M534" s="552">
        <v>1995</v>
      </c>
      <c r="N534" s="552">
        <v>1995</v>
      </c>
      <c r="O534" s="552"/>
      <c r="P534" s="552"/>
      <c r="Q534" s="548">
        <v>12000</v>
      </c>
      <c r="R534" s="552">
        <v>23940000</v>
      </c>
      <c r="S534" s="548">
        <v>7943</v>
      </c>
      <c r="T534" s="552">
        <v>15846285</v>
      </c>
      <c r="U534" s="548">
        <v>4057</v>
      </c>
      <c r="V534" s="552">
        <v>8093715</v>
      </c>
      <c r="W534" s="552">
        <v>0</v>
      </c>
      <c r="X534" s="552">
        <v>0</v>
      </c>
      <c r="Y534" s="552">
        <v>7943</v>
      </c>
      <c r="Z534" s="552">
        <v>15846285</v>
      </c>
      <c r="AA534" s="552">
        <v>7943</v>
      </c>
      <c r="AB534" s="552">
        <v>15846285</v>
      </c>
      <c r="AC534" s="552">
        <v>0</v>
      </c>
      <c r="AD534" s="552">
        <v>0</v>
      </c>
      <c r="AE534" s="552">
        <v>0</v>
      </c>
      <c r="AF534" s="552">
        <v>0</v>
      </c>
      <c r="AG534" s="552">
        <v>0</v>
      </c>
      <c r="AH534" s="552">
        <v>0</v>
      </c>
      <c r="AI534" s="552">
        <v>0</v>
      </c>
      <c r="AJ534" s="552">
        <v>0</v>
      </c>
    </row>
    <row r="535" spans="1:36" ht="15.95" customHeight="1">
      <c r="A535" s="547"/>
      <c r="B535" s="548">
        <v>1001</v>
      </c>
      <c r="C535" s="549">
        <v>7050</v>
      </c>
      <c r="D535" s="550" t="s">
        <v>12038</v>
      </c>
      <c r="E535" s="550" t="s">
        <v>4364</v>
      </c>
      <c r="F535" s="550" t="s">
        <v>4365</v>
      </c>
      <c r="G535" s="550" t="s">
        <v>1999</v>
      </c>
      <c r="H535" s="550" t="s">
        <v>4366</v>
      </c>
      <c r="I535" s="550" t="s">
        <v>11</v>
      </c>
      <c r="J535" s="550" t="s">
        <v>12040</v>
      </c>
      <c r="K535" s="551">
        <v>45268</v>
      </c>
      <c r="L535" s="552">
        <v>1995</v>
      </c>
      <c r="M535" s="552">
        <v>1995</v>
      </c>
      <c r="N535" s="552">
        <v>1995</v>
      </c>
      <c r="O535" s="552"/>
      <c r="P535" s="552"/>
      <c r="Q535" s="548">
        <v>6000</v>
      </c>
      <c r="R535" s="552">
        <v>11970000</v>
      </c>
      <c r="S535" s="548">
        <v>0</v>
      </c>
      <c r="T535" s="552">
        <v>0</v>
      </c>
      <c r="U535" s="548">
        <v>6000</v>
      </c>
      <c r="V535" s="552">
        <v>11970000</v>
      </c>
      <c r="W535" s="552">
        <v>0</v>
      </c>
      <c r="X535" s="552">
        <v>0</v>
      </c>
      <c r="Y535" s="552">
        <v>0</v>
      </c>
      <c r="Z535" s="552">
        <v>0</v>
      </c>
      <c r="AA535" s="552">
        <v>0</v>
      </c>
      <c r="AB535" s="552">
        <v>0</v>
      </c>
      <c r="AC535" s="552">
        <v>0</v>
      </c>
      <c r="AD535" s="552">
        <v>0</v>
      </c>
      <c r="AE535" s="552">
        <v>0</v>
      </c>
      <c r="AF535" s="552">
        <v>0</v>
      </c>
      <c r="AG535" s="552">
        <v>0</v>
      </c>
      <c r="AH535" s="552">
        <v>0</v>
      </c>
      <c r="AI535" s="552">
        <v>0</v>
      </c>
      <c r="AJ535" s="552">
        <v>0</v>
      </c>
    </row>
    <row r="536" spans="1:36" ht="15.95" customHeight="1">
      <c r="A536" s="547"/>
      <c r="B536" s="548">
        <v>1002</v>
      </c>
      <c r="C536" s="549">
        <v>6758</v>
      </c>
      <c r="D536" s="550" t="s">
        <v>12041</v>
      </c>
      <c r="E536" s="550" t="s">
        <v>7518</v>
      </c>
      <c r="F536" s="550" t="s">
        <v>7520</v>
      </c>
      <c r="G536" s="550" t="s">
        <v>7519</v>
      </c>
      <c r="H536" s="550" t="s">
        <v>4782</v>
      </c>
      <c r="I536" s="550" t="s">
        <v>11</v>
      </c>
      <c r="J536" s="550" t="s">
        <v>12042</v>
      </c>
      <c r="K536" s="551">
        <v>45275</v>
      </c>
      <c r="L536" s="552">
        <v>12200</v>
      </c>
      <c r="M536" s="552">
        <v>12200</v>
      </c>
      <c r="N536" s="552">
        <v>12200</v>
      </c>
      <c r="O536" s="552"/>
      <c r="P536" s="552"/>
      <c r="Q536" s="548">
        <v>1200</v>
      </c>
      <c r="R536" s="552">
        <v>14640000</v>
      </c>
      <c r="S536" s="548">
        <v>1151</v>
      </c>
      <c r="T536" s="552">
        <v>14042200</v>
      </c>
      <c r="U536" s="548">
        <v>49</v>
      </c>
      <c r="V536" s="552">
        <v>597800</v>
      </c>
      <c r="W536" s="552">
        <v>0</v>
      </c>
      <c r="X536" s="552">
        <v>0</v>
      </c>
      <c r="Y536" s="552">
        <v>1151</v>
      </c>
      <c r="Z536" s="552">
        <v>14042200</v>
      </c>
      <c r="AA536" s="552">
        <v>1151</v>
      </c>
      <c r="AB536" s="552">
        <v>14042200</v>
      </c>
      <c r="AC536" s="552">
        <v>0</v>
      </c>
      <c r="AD536" s="552">
        <v>0</v>
      </c>
      <c r="AE536" s="552">
        <v>0</v>
      </c>
      <c r="AF536" s="552">
        <v>0</v>
      </c>
      <c r="AG536" s="552">
        <v>0</v>
      </c>
      <c r="AH536" s="552">
        <v>0</v>
      </c>
      <c r="AI536" s="552">
        <v>0</v>
      </c>
      <c r="AJ536" s="552">
        <v>0</v>
      </c>
    </row>
    <row r="537" spans="1:36" ht="15.95" customHeight="1">
      <c r="A537" s="547"/>
      <c r="B537" s="548">
        <v>1003</v>
      </c>
      <c r="C537" s="549">
        <v>6851</v>
      </c>
      <c r="D537" s="550" t="s">
        <v>12043</v>
      </c>
      <c r="E537" s="550" t="s">
        <v>6108</v>
      </c>
      <c r="F537" s="550" t="s">
        <v>6109</v>
      </c>
      <c r="G537" s="550" t="s">
        <v>1540</v>
      </c>
      <c r="H537" s="550" t="s">
        <v>1542</v>
      </c>
      <c r="I537" s="550" t="s">
        <v>11</v>
      </c>
      <c r="J537" s="550" t="s">
        <v>12044</v>
      </c>
      <c r="K537" s="551">
        <v>44741</v>
      </c>
      <c r="L537" s="552">
        <v>4159</v>
      </c>
      <c r="M537" s="552">
        <v>4159</v>
      </c>
      <c r="N537" s="552">
        <v>4159</v>
      </c>
      <c r="O537" s="552"/>
      <c r="P537" s="552"/>
      <c r="Q537" s="548">
        <v>19980</v>
      </c>
      <c r="R537" s="552">
        <v>83096820</v>
      </c>
      <c r="S537" s="548">
        <v>3784</v>
      </c>
      <c r="T537" s="552">
        <v>15737656</v>
      </c>
      <c r="U537" s="548">
        <v>16196</v>
      </c>
      <c r="V537" s="552">
        <v>67359164</v>
      </c>
      <c r="W537" s="552">
        <v>0</v>
      </c>
      <c r="X537" s="552">
        <v>0</v>
      </c>
      <c r="Y537" s="552">
        <v>3784</v>
      </c>
      <c r="Z537" s="552">
        <v>15737656</v>
      </c>
      <c r="AA537" s="552">
        <v>3783</v>
      </c>
      <c r="AB537" s="552">
        <v>15733497</v>
      </c>
      <c r="AC537" s="552">
        <v>1</v>
      </c>
      <c r="AD537" s="552">
        <v>4159</v>
      </c>
      <c r="AE537" s="552">
        <v>0</v>
      </c>
      <c r="AF537" s="552">
        <v>0</v>
      </c>
      <c r="AG537" s="552">
        <v>0</v>
      </c>
      <c r="AH537" s="552">
        <v>0</v>
      </c>
      <c r="AI537" s="552">
        <v>0</v>
      </c>
      <c r="AJ537" s="552">
        <v>0</v>
      </c>
    </row>
    <row r="538" spans="1:36" ht="15.95" customHeight="1">
      <c r="A538" s="547"/>
      <c r="B538" s="548">
        <v>1004</v>
      </c>
      <c r="C538" s="549">
        <v>6720</v>
      </c>
      <c r="D538" s="550" t="s">
        <v>12045</v>
      </c>
      <c r="E538" s="550" t="s">
        <v>4367</v>
      </c>
      <c r="F538" s="550" t="s">
        <v>6977</v>
      </c>
      <c r="G538" s="550" t="s">
        <v>6975</v>
      </c>
      <c r="H538" s="550" t="s">
        <v>6976</v>
      </c>
      <c r="I538" s="550" t="s">
        <v>11</v>
      </c>
      <c r="J538" s="550" t="s">
        <v>12046</v>
      </c>
      <c r="K538" s="551">
        <v>45269</v>
      </c>
      <c r="L538" s="552">
        <v>350</v>
      </c>
      <c r="M538" s="552">
        <v>350</v>
      </c>
      <c r="N538" s="552">
        <v>350</v>
      </c>
      <c r="O538" s="552"/>
      <c r="P538" s="552"/>
      <c r="Q538" s="548">
        <v>20000</v>
      </c>
      <c r="R538" s="552">
        <v>7000000</v>
      </c>
      <c r="S538" s="548">
        <v>20000</v>
      </c>
      <c r="T538" s="552">
        <v>7000000</v>
      </c>
      <c r="U538" s="548">
        <v>0</v>
      </c>
      <c r="V538" s="552">
        <v>0</v>
      </c>
      <c r="W538" s="552">
        <v>13671</v>
      </c>
      <c r="X538" s="552">
        <v>4784850</v>
      </c>
      <c r="Y538" s="552">
        <v>20000</v>
      </c>
      <c r="Z538" s="552">
        <v>7000000</v>
      </c>
      <c r="AA538" s="552">
        <v>0</v>
      </c>
      <c r="AB538" s="552">
        <v>0</v>
      </c>
      <c r="AC538" s="552">
        <v>20000</v>
      </c>
      <c r="AD538" s="552">
        <v>7000000</v>
      </c>
      <c r="AE538" s="552">
        <v>0</v>
      </c>
      <c r="AF538" s="552">
        <v>0</v>
      </c>
      <c r="AG538" s="552">
        <v>0</v>
      </c>
      <c r="AH538" s="552">
        <v>0</v>
      </c>
      <c r="AI538" s="552">
        <v>0</v>
      </c>
      <c r="AJ538" s="552">
        <v>0</v>
      </c>
    </row>
    <row r="539" spans="1:36" ht="15.95" customHeight="1">
      <c r="A539" s="547"/>
      <c r="B539" s="548">
        <v>1008</v>
      </c>
      <c r="C539" s="549">
        <v>7051</v>
      </c>
      <c r="D539" s="550" t="s">
        <v>12047</v>
      </c>
      <c r="E539" s="550" t="s">
        <v>4369</v>
      </c>
      <c r="F539" s="550" t="s">
        <v>4370</v>
      </c>
      <c r="G539" s="550" t="s">
        <v>4371</v>
      </c>
      <c r="H539" s="550" t="s">
        <v>258</v>
      </c>
      <c r="I539" s="550" t="s">
        <v>11</v>
      </c>
      <c r="J539" s="550" t="s">
        <v>4372</v>
      </c>
      <c r="K539" s="551">
        <v>44651</v>
      </c>
      <c r="L539" s="552">
        <v>1636</v>
      </c>
      <c r="M539" s="552">
        <v>1636</v>
      </c>
      <c r="N539" s="552">
        <v>1636</v>
      </c>
      <c r="O539" s="552">
        <v>105</v>
      </c>
      <c r="P539" s="552">
        <v>171780</v>
      </c>
      <c r="Q539" s="548">
        <v>0</v>
      </c>
      <c r="R539" s="552">
        <v>0</v>
      </c>
      <c r="S539" s="548">
        <v>105</v>
      </c>
      <c r="T539" s="552">
        <v>171780</v>
      </c>
      <c r="U539" s="548">
        <v>0</v>
      </c>
      <c r="V539" s="552">
        <v>0</v>
      </c>
      <c r="W539" s="552">
        <v>0</v>
      </c>
      <c r="X539" s="552">
        <v>0</v>
      </c>
      <c r="Y539" s="552">
        <v>105</v>
      </c>
      <c r="Z539" s="552">
        <v>171780</v>
      </c>
      <c r="AA539" s="552">
        <v>0</v>
      </c>
      <c r="AB539" s="552">
        <v>0</v>
      </c>
      <c r="AC539" s="552">
        <v>105</v>
      </c>
      <c r="AD539" s="552">
        <v>171780</v>
      </c>
      <c r="AE539" s="552">
        <v>0</v>
      </c>
      <c r="AF539" s="552">
        <v>0</v>
      </c>
      <c r="AG539" s="552">
        <v>0</v>
      </c>
      <c r="AH539" s="552">
        <v>0</v>
      </c>
      <c r="AI539" s="552">
        <v>0</v>
      </c>
      <c r="AJ539" s="552">
        <v>0</v>
      </c>
    </row>
    <row r="540" spans="1:36" ht="15.95" customHeight="1">
      <c r="A540" s="547"/>
      <c r="B540" s="548">
        <v>1009</v>
      </c>
      <c r="C540" s="549">
        <v>7051</v>
      </c>
      <c r="D540" s="550" t="s">
        <v>12047</v>
      </c>
      <c r="E540" s="550" t="s">
        <v>4369</v>
      </c>
      <c r="F540" s="550" t="s">
        <v>4370</v>
      </c>
      <c r="G540" s="550" t="s">
        <v>4371</v>
      </c>
      <c r="H540" s="550" t="s">
        <v>258</v>
      </c>
      <c r="I540" s="550" t="s">
        <v>11</v>
      </c>
      <c r="J540" s="550" t="s">
        <v>12048</v>
      </c>
      <c r="K540" s="551">
        <v>44865</v>
      </c>
      <c r="L540" s="552">
        <v>1636</v>
      </c>
      <c r="M540" s="552">
        <v>1636</v>
      </c>
      <c r="N540" s="552">
        <v>1636</v>
      </c>
      <c r="O540" s="552">
        <v>3000</v>
      </c>
      <c r="P540" s="552">
        <v>4908000</v>
      </c>
      <c r="Q540" s="548">
        <v>6</v>
      </c>
      <c r="R540" s="552">
        <v>9816</v>
      </c>
      <c r="S540" s="548">
        <v>1787</v>
      </c>
      <c r="T540" s="552">
        <v>2923532</v>
      </c>
      <c r="U540" s="548">
        <v>1219</v>
      </c>
      <c r="V540" s="552">
        <v>1994284</v>
      </c>
      <c r="W540" s="552">
        <v>1453</v>
      </c>
      <c r="X540" s="552">
        <v>2377108</v>
      </c>
      <c r="Y540" s="552">
        <v>1782</v>
      </c>
      <c r="Z540" s="552">
        <v>2915352</v>
      </c>
      <c r="AA540" s="552">
        <v>681</v>
      </c>
      <c r="AB540" s="552">
        <v>1114116</v>
      </c>
      <c r="AC540" s="552">
        <v>1101</v>
      </c>
      <c r="AD540" s="552">
        <v>1801236</v>
      </c>
      <c r="AE540" s="552">
        <v>0</v>
      </c>
      <c r="AF540" s="552">
        <v>0</v>
      </c>
      <c r="AG540" s="552">
        <v>5</v>
      </c>
      <c r="AH540" s="552">
        <v>8180</v>
      </c>
      <c r="AI540" s="552">
        <v>0</v>
      </c>
      <c r="AJ540" s="552">
        <v>0</v>
      </c>
    </row>
    <row r="541" spans="1:36" ht="15.95" customHeight="1">
      <c r="A541" s="547"/>
      <c r="B541" s="548">
        <v>1010</v>
      </c>
      <c r="C541" s="549">
        <v>7051</v>
      </c>
      <c r="D541" s="550" t="s">
        <v>12047</v>
      </c>
      <c r="E541" s="550" t="s">
        <v>4369</v>
      </c>
      <c r="F541" s="550" t="s">
        <v>4370</v>
      </c>
      <c r="G541" s="550" t="s">
        <v>4371</v>
      </c>
      <c r="H541" s="550" t="s">
        <v>258</v>
      </c>
      <c r="I541" s="550" t="s">
        <v>11</v>
      </c>
      <c r="J541" s="550" t="s">
        <v>12049</v>
      </c>
      <c r="K541" s="551">
        <v>44865</v>
      </c>
      <c r="L541" s="552">
        <v>1636</v>
      </c>
      <c r="M541" s="552">
        <v>1636</v>
      </c>
      <c r="N541" s="552">
        <v>1636</v>
      </c>
      <c r="O541" s="552"/>
      <c r="P541" s="552"/>
      <c r="Q541" s="548">
        <v>4110</v>
      </c>
      <c r="R541" s="552">
        <v>6723960</v>
      </c>
      <c r="S541" s="548">
        <v>1110</v>
      </c>
      <c r="T541" s="552">
        <v>1815960</v>
      </c>
      <c r="U541" s="548">
        <v>3000</v>
      </c>
      <c r="V541" s="552">
        <v>4908000</v>
      </c>
      <c r="W541" s="552">
        <v>1110</v>
      </c>
      <c r="X541" s="552">
        <v>1815960</v>
      </c>
      <c r="Y541" s="552">
        <v>1110</v>
      </c>
      <c r="Z541" s="552">
        <v>1815960</v>
      </c>
      <c r="AA541" s="552">
        <v>0</v>
      </c>
      <c r="AB541" s="552">
        <v>0</v>
      </c>
      <c r="AC541" s="552">
        <v>1110</v>
      </c>
      <c r="AD541" s="552">
        <v>1815960</v>
      </c>
      <c r="AE541" s="552">
        <v>0</v>
      </c>
      <c r="AF541" s="552">
        <v>0</v>
      </c>
      <c r="AG541" s="552">
        <v>0</v>
      </c>
      <c r="AH541" s="552">
        <v>0</v>
      </c>
      <c r="AI541" s="552">
        <v>0</v>
      </c>
      <c r="AJ541" s="552">
        <v>0</v>
      </c>
    </row>
    <row r="542" spans="1:36" ht="15.95" customHeight="1">
      <c r="A542" s="547"/>
      <c r="B542" s="548">
        <v>1011</v>
      </c>
      <c r="C542" s="549">
        <v>6830</v>
      </c>
      <c r="D542" s="550" t="s">
        <v>12050</v>
      </c>
      <c r="E542" s="550" t="s">
        <v>4375</v>
      </c>
      <c r="F542" s="550" t="s">
        <v>4376</v>
      </c>
      <c r="G542" s="550" t="s">
        <v>4374</v>
      </c>
      <c r="H542" s="550" t="s">
        <v>248</v>
      </c>
      <c r="I542" s="550" t="s">
        <v>11</v>
      </c>
      <c r="J542" s="550" t="s">
        <v>4377</v>
      </c>
      <c r="K542" s="551">
        <v>44876</v>
      </c>
      <c r="L542" s="552">
        <v>149</v>
      </c>
      <c r="M542" s="552">
        <v>149</v>
      </c>
      <c r="N542" s="552">
        <v>149</v>
      </c>
      <c r="O542" s="552">
        <v>2990</v>
      </c>
      <c r="P542" s="552">
        <v>445510</v>
      </c>
      <c r="Q542" s="548">
        <v>0</v>
      </c>
      <c r="R542" s="552">
        <v>0</v>
      </c>
      <c r="S542" s="548">
        <v>1197</v>
      </c>
      <c r="T542" s="552">
        <v>178353</v>
      </c>
      <c r="U542" s="548">
        <v>1793</v>
      </c>
      <c r="V542" s="552">
        <v>267157</v>
      </c>
      <c r="W542" s="552">
        <v>200</v>
      </c>
      <c r="X542" s="552">
        <v>29800</v>
      </c>
      <c r="Y542" s="552">
        <v>1197</v>
      </c>
      <c r="Z542" s="552">
        <v>178353</v>
      </c>
      <c r="AA542" s="552">
        <v>997</v>
      </c>
      <c r="AB542" s="552">
        <v>148553</v>
      </c>
      <c r="AC542" s="552">
        <v>200</v>
      </c>
      <c r="AD542" s="552">
        <v>29800</v>
      </c>
      <c r="AE542" s="552">
        <v>0</v>
      </c>
      <c r="AF542" s="552">
        <v>0</v>
      </c>
      <c r="AG542" s="552">
        <v>0</v>
      </c>
      <c r="AH542" s="552">
        <v>0</v>
      </c>
      <c r="AI542" s="552">
        <v>0</v>
      </c>
      <c r="AJ542" s="552">
        <v>0</v>
      </c>
    </row>
    <row r="543" spans="1:36" ht="15.95" customHeight="1">
      <c r="A543" s="547"/>
      <c r="B543" s="548">
        <v>1012</v>
      </c>
      <c r="C543" s="549">
        <v>5962</v>
      </c>
      <c r="D543" s="550"/>
      <c r="E543" s="550" t="s">
        <v>4375</v>
      </c>
      <c r="F543" s="550" t="s">
        <v>1138</v>
      </c>
      <c r="G543" s="550" t="s">
        <v>4374</v>
      </c>
      <c r="H543" s="550" t="s">
        <v>248</v>
      </c>
      <c r="I543" s="550" t="s">
        <v>10</v>
      </c>
      <c r="J543" s="550" t="s">
        <v>4378</v>
      </c>
      <c r="K543" s="551">
        <v>44254</v>
      </c>
      <c r="L543" s="552">
        <v>157</v>
      </c>
      <c r="M543" s="552">
        <v>157</v>
      </c>
      <c r="N543" s="552">
        <v>157</v>
      </c>
      <c r="O543" s="552">
        <v>90</v>
      </c>
      <c r="P543" s="552">
        <v>14130</v>
      </c>
      <c r="Q543" s="548">
        <v>0</v>
      </c>
      <c r="R543" s="552">
        <v>0</v>
      </c>
      <c r="S543" s="548">
        <v>90</v>
      </c>
      <c r="T543" s="552">
        <v>14130</v>
      </c>
      <c r="U543" s="548">
        <v>0</v>
      </c>
      <c r="V543" s="552">
        <v>0</v>
      </c>
      <c r="W543" s="552">
        <v>0</v>
      </c>
      <c r="X543" s="552">
        <v>0</v>
      </c>
      <c r="Y543" s="552">
        <v>90</v>
      </c>
      <c r="Z543" s="552">
        <v>14130</v>
      </c>
      <c r="AA543" s="552">
        <v>90</v>
      </c>
      <c r="AB543" s="552">
        <v>14130</v>
      </c>
      <c r="AC543" s="552">
        <v>0</v>
      </c>
      <c r="AD543" s="552">
        <v>0</v>
      </c>
      <c r="AE543" s="552">
        <v>0</v>
      </c>
      <c r="AF543" s="552">
        <v>0</v>
      </c>
      <c r="AG543" s="552">
        <v>0</v>
      </c>
      <c r="AH543" s="552">
        <v>0</v>
      </c>
      <c r="AI543" s="552">
        <v>0</v>
      </c>
      <c r="AJ543" s="552">
        <v>0</v>
      </c>
    </row>
    <row r="544" spans="1:36" ht="15.95" customHeight="1">
      <c r="A544" s="547"/>
      <c r="B544" s="548">
        <v>1037</v>
      </c>
      <c r="C544" s="549">
        <v>5833</v>
      </c>
      <c r="D544" s="550"/>
      <c r="E544" s="550" t="s">
        <v>4379</v>
      </c>
      <c r="F544" s="550" t="s">
        <v>4380</v>
      </c>
      <c r="G544" s="550" t="s">
        <v>4381</v>
      </c>
      <c r="H544" s="550" t="s">
        <v>232</v>
      </c>
      <c r="I544" s="550" t="s">
        <v>10</v>
      </c>
      <c r="J544" s="550" t="s">
        <v>4382</v>
      </c>
      <c r="K544" s="551">
        <v>44449</v>
      </c>
      <c r="L544" s="552">
        <v>714</v>
      </c>
      <c r="M544" s="552">
        <v>714</v>
      </c>
      <c r="N544" s="552">
        <v>714</v>
      </c>
      <c r="O544" s="552">
        <v>1869</v>
      </c>
      <c r="P544" s="552">
        <v>1334466</v>
      </c>
      <c r="Q544" s="548">
        <v>0</v>
      </c>
      <c r="R544" s="552">
        <v>0</v>
      </c>
      <c r="S544" s="548">
        <v>1869</v>
      </c>
      <c r="T544" s="552">
        <v>1334466</v>
      </c>
      <c r="U544" s="548">
        <v>0</v>
      </c>
      <c r="V544" s="552">
        <v>0</v>
      </c>
      <c r="W544" s="552">
        <v>0</v>
      </c>
      <c r="X544" s="552">
        <v>0</v>
      </c>
      <c r="Y544" s="552">
        <v>659</v>
      </c>
      <c r="Z544" s="552">
        <v>470526</v>
      </c>
      <c r="AA544" s="552">
        <v>659</v>
      </c>
      <c r="AB544" s="552">
        <v>470526</v>
      </c>
      <c r="AC544" s="552">
        <v>0</v>
      </c>
      <c r="AD544" s="552">
        <v>0</v>
      </c>
      <c r="AE544" s="552">
        <v>0</v>
      </c>
      <c r="AF544" s="552">
        <v>0</v>
      </c>
      <c r="AG544" s="552">
        <v>1210</v>
      </c>
      <c r="AH544" s="552">
        <v>863940</v>
      </c>
      <c r="AI544" s="552">
        <v>0</v>
      </c>
      <c r="AJ544" s="552">
        <v>0</v>
      </c>
    </row>
    <row r="545" spans="1:36" ht="15.95" customHeight="1">
      <c r="A545" s="547"/>
      <c r="B545" s="548">
        <v>1038</v>
      </c>
      <c r="C545" s="549">
        <v>5476</v>
      </c>
      <c r="D545" s="550"/>
      <c r="E545" s="550" t="s">
        <v>4383</v>
      </c>
      <c r="F545" s="550" t="s">
        <v>827</v>
      </c>
      <c r="G545" s="550" t="s">
        <v>4384</v>
      </c>
      <c r="H545" s="550" t="s">
        <v>4385</v>
      </c>
      <c r="I545" s="550" t="s">
        <v>11</v>
      </c>
      <c r="J545" s="550" t="s">
        <v>4386</v>
      </c>
      <c r="K545" s="551">
        <v>44409</v>
      </c>
      <c r="L545" s="552">
        <v>181</v>
      </c>
      <c r="M545" s="552">
        <v>181</v>
      </c>
      <c r="N545" s="552">
        <v>181</v>
      </c>
      <c r="O545" s="552">
        <v>6</v>
      </c>
      <c r="P545" s="552">
        <v>1086</v>
      </c>
      <c r="Q545" s="548">
        <v>0</v>
      </c>
      <c r="R545" s="552">
        <v>0</v>
      </c>
      <c r="S545" s="548">
        <v>6</v>
      </c>
      <c r="T545" s="552">
        <v>1086</v>
      </c>
      <c r="U545" s="548">
        <v>0</v>
      </c>
      <c r="V545" s="552">
        <v>0</v>
      </c>
      <c r="W545" s="552">
        <v>5526</v>
      </c>
      <c r="X545" s="552">
        <v>1000206</v>
      </c>
      <c r="Y545" s="552">
        <v>0</v>
      </c>
      <c r="Z545" s="552">
        <v>0</v>
      </c>
      <c r="AA545" s="552">
        <v>0</v>
      </c>
      <c r="AB545" s="552">
        <v>0</v>
      </c>
      <c r="AC545" s="552">
        <v>0</v>
      </c>
      <c r="AD545" s="552">
        <v>0</v>
      </c>
      <c r="AE545" s="552">
        <v>0</v>
      </c>
      <c r="AF545" s="552">
        <v>0</v>
      </c>
      <c r="AG545" s="552">
        <v>6</v>
      </c>
      <c r="AH545" s="552">
        <v>1086</v>
      </c>
      <c r="AI545" s="552">
        <v>0</v>
      </c>
      <c r="AJ545" s="552">
        <v>0</v>
      </c>
    </row>
    <row r="546" spans="1:36" ht="15.95" customHeight="1">
      <c r="A546" s="547"/>
      <c r="B546" s="548">
        <v>1039</v>
      </c>
      <c r="C546" s="549">
        <v>6982</v>
      </c>
      <c r="D546" s="550" t="s">
        <v>12051</v>
      </c>
      <c r="E546" s="550" t="s">
        <v>7688</v>
      </c>
      <c r="F546" s="550" t="s">
        <v>7690</v>
      </c>
      <c r="G546" s="550" t="s">
        <v>836</v>
      </c>
      <c r="H546" s="550" t="s">
        <v>7689</v>
      </c>
      <c r="I546" s="550" t="s">
        <v>11</v>
      </c>
      <c r="J546" s="550" t="s">
        <v>12052</v>
      </c>
      <c r="K546" s="551">
        <v>45309</v>
      </c>
      <c r="L546" s="552">
        <v>1260</v>
      </c>
      <c r="M546" s="552">
        <v>1260</v>
      </c>
      <c r="N546" s="552">
        <v>1260</v>
      </c>
      <c r="O546" s="552"/>
      <c r="P546" s="552"/>
      <c r="Q546" s="548">
        <v>14000</v>
      </c>
      <c r="R546" s="552">
        <v>17640000</v>
      </c>
      <c r="S546" s="548">
        <v>4000</v>
      </c>
      <c r="T546" s="552">
        <v>5040000</v>
      </c>
      <c r="U546" s="548">
        <v>10000</v>
      </c>
      <c r="V546" s="552">
        <v>12600000</v>
      </c>
      <c r="W546" s="552">
        <v>123</v>
      </c>
      <c r="X546" s="552">
        <v>154980</v>
      </c>
      <c r="Y546" s="552">
        <v>4000</v>
      </c>
      <c r="Z546" s="552">
        <v>5040000</v>
      </c>
      <c r="AA546" s="552">
        <v>0</v>
      </c>
      <c r="AB546" s="552">
        <v>0</v>
      </c>
      <c r="AC546" s="552">
        <v>4000</v>
      </c>
      <c r="AD546" s="552">
        <v>5040000</v>
      </c>
      <c r="AE546" s="552">
        <v>0</v>
      </c>
      <c r="AF546" s="552">
        <v>0</v>
      </c>
      <c r="AG546" s="552">
        <v>0</v>
      </c>
      <c r="AH546" s="552">
        <v>0</v>
      </c>
      <c r="AI546" s="552">
        <v>0</v>
      </c>
      <c r="AJ546" s="552">
        <v>0</v>
      </c>
    </row>
    <row r="547" spans="1:36" ht="15.95" customHeight="1">
      <c r="A547" s="547"/>
      <c r="B547" s="548">
        <v>1042</v>
      </c>
      <c r="C547" s="549">
        <v>5689</v>
      </c>
      <c r="D547" s="550"/>
      <c r="E547" s="550" t="s">
        <v>4387</v>
      </c>
      <c r="F547" s="550" t="s">
        <v>4388</v>
      </c>
      <c r="G547" s="550" t="s">
        <v>736</v>
      </c>
      <c r="H547" s="550" t="s">
        <v>1592</v>
      </c>
      <c r="I547" s="550" t="s">
        <v>13</v>
      </c>
      <c r="J547" s="550" t="s">
        <v>4389</v>
      </c>
      <c r="K547" s="551">
        <v>44378</v>
      </c>
      <c r="L547" s="552">
        <v>3950</v>
      </c>
      <c r="M547" s="552">
        <v>3950</v>
      </c>
      <c r="N547" s="552">
        <v>3950</v>
      </c>
      <c r="O547" s="552">
        <v>27532</v>
      </c>
      <c r="P547" s="552">
        <v>108751400</v>
      </c>
      <c r="Q547" s="548">
        <v>0</v>
      </c>
      <c r="R547" s="552">
        <v>0</v>
      </c>
      <c r="S547" s="548">
        <v>27532</v>
      </c>
      <c r="T547" s="552">
        <v>108751400</v>
      </c>
      <c r="U547" s="548">
        <v>0</v>
      </c>
      <c r="V547" s="552">
        <v>0</v>
      </c>
      <c r="W547" s="552">
        <v>10450</v>
      </c>
      <c r="X547" s="552">
        <v>41277500</v>
      </c>
      <c r="Y547" s="552">
        <v>21012</v>
      </c>
      <c r="Z547" s="552">
        <v>82997400</v>
      </c>
      <c r="AA547" s="552">
        <v>16112</v>
      </c>
      <c r="AB547" s="552">
        <v>63642400</v>
      </c>
      <c r="AC547" s="552">
        <v>4900</v>
      </c>
      <c r="AD547" s="552">
        <v>19355000</v>
      </c>
      <c r="AE547" s="552">
        <v>0</v>
      </c>
      <c r="AF547" s="552">
        <v>0</v>
      </c>
      <c r="AG547" s="552">
        <v>6520</v>
      </c>
      <c r="AH547" s="552">
        <v>25754000</v>
      </c>
      <c r="AI547" s="552">
        <v>0</v>
      </c>
      <c r="AJ547" s="552">
        <v>0</v>
      </c>
    </row>
    <row r="548" spans="1:36" ht="15.95" customHeight="1">
      <c r="A548" s="547"/>
      <c r="B548" s="548">
        <v>1043</v>
      </c>
      <c r="C548" s="549">
        <v>6768</v>
      </c>
      <c r="D548" s="550" t="s">
        <v>12053</v>
      </c>
      <c r="E548" s="550" t="s">
        <v>4391</v>
      </c>
      <c r="F548" s="550" t="s">
        <v>1882</v>
      </c>
      <c r="G548" s="550" t="s">
        <v>4392</v>
      </c>
      <c r="H548" s="550" t="s">
        <v>291</v>
      </c>
      <c r="I548" s="550" t="s">
        <v>11</v>
      </c>
      <c r="J548" s="550" t="s">
        <v>12054</v>
      </c>
      <c r="K548" s="551">
        <v>45312</v>
      </c>
      <c r="L548" s="552">
        <v>508</v>
      </c>
      <c r="M548" s="552">
        <v>508</v>
      </c>
      <c r="N548" s="552">
        <v>508</v>
      </c>
      <c r="O548" s="552"/>
      <c r="P548" s="552"/>
      <c r="Q548" s="548">
        <v>2000</v>
      </c>
      <c r="R548" s="552">
        <v>1016000</v>
      </c>
      <c r="S548" s="548">
        <v>2000</v>
      </c>
      <c r="T548" s="552">
        <v>1016000</v>
      </c>
      <c r="U548" s="548">
        <v>0</v>
      </c>
      <c r="V548" s="552">
        <v>0</v>
      </c>
      <c r="W548" s="552">
        <v>856</v>
      </c>
      <c r="X548" s="552">
        <v>434848</v>
      </c>
      <c r="Y548" s="552">
        <v>2000</v>
      </c>
      <c r="Z548" s="552">
        <v>1016000</v>
      </c>
      <c r="AA548" s="552">
        <v>0</v>
      </c>
      <c r="AB548" s="552">
        <v>0</v>
      </c>
      <c r="AC548" s="552">
        <v>2000</v>
      </c>
      <c r="AD548" s="552">
        <v>1016000</v>
      </c>
      <c r="AE548" s="552">
        <v>0</v>
      </c>
      <c r="AF548" s="552">
        <v>0</v>
      </c>
      <c r="AG548" s="552">
        <v>0</v>
      </c>
      <c r="AH548" s="552">
        <v>0</v>
      </c>
      <c r="AI548" s="552">
        <v>0</v>
      </c>
      <c r="AJ548" s="552">
        <v>0</v>
      </c>
    </row>
    <row r="549" spans="1:36" ht="15.95" customHeight="1">
      <c r="A549" s="547"/>
      <c r="B549" s="548">
        <v>1044</v>
      </c>
      <c r="C549" s="549">
        <v>6768</v>
      </c>
      <c r="D549" s="550" t="s">
        <v>12053</v>
      </c>
      <c r="E549" s="550" t="s">
        <v>4391</v>
      </c>
      <c r="F549" s="550" t="s">
        <v>1882</v>
      </c>
      <c r="G549" s="550" t="s">
        <v>4392</v>
      </c>
      <c r="H549" s="550" t="s">
        <v>291</v>
      </c>
      <c r="I549" s="550" t="s">
        <v>11</v>
      </c>
      <c r="J549" s="550" t="s">
        <v>4393</v>
      </c>
      <c r="K549" s="551">
        <v>44650</v>
      </c>
      <c r="L549" s="552">
        <v>508</v>
      </c>
      <c r="M549" s="552">
        <v>508</v>
      </c>
      <c r="N549" s="552">
        <v>508</v>
      </c>
      <c r="O549" s="552">
        <v>2000</v>
      </c>
      <c r="P549" s="552">
        <v>1016000</v>
      </c>
      <c r="Q549" s="548">
        <v>0</v>
      </c>
      <c r="R549" s="552">
        <v>0</v>
      </c>
      <c r="S549" s="548">
        <v>2000</v>
      </c>
      <c r="T549" s="552">
        <v>1016000</v>
      </c>
      <c r="U549" s="548">
        <v>0</v>
      </c>
      <c r="V549" s="552">
        <v>0</v>
      </c>
      <c r="W549" s="552">
        <v>2195</v>
      </c>
      <c r="X549" s="552">
        <v>1115060</v>
      </c>
      <c r="Y549" s="552">
        <v>2000</v>
      </c>
      <c r="Z549" s="552">
        <v>1016000</v>
      </c>
      <c r="AA549" s="552">
        <v>0</v>
      </c>
      <c r="AB549" s="552">
        <v>0</v>
      </c>
      <c r="AC549" s="552">
        <v>2000</v>
      </c>
      <c r="AD549" s="552">
        <v>1016000</v>
      </c>
      <c r="AE549" s="552">
        <v>0</v>
      </c>
      <c r="AF549" s="552">
        <v>0</v>
      </c>
      <c r="AG549" s="552">
        <v>0</v>
      </c>
      <c r="AH549" s="552">
        <v>0</v>
      </c>
      <c r="AI549" s="552">
        <v>0</v>
      </c>
      <c r="AJ549" s="552">
        <v>0</v>
      </c>
    </row>
    <row r="550" spans="1:36" ht="15.95" customHeight="1">
      <c r="A550" s="547"/>
      <c r="B550" s="548">
        <v>1045</v>
      </c>
      <c r="C550" s="549">
        <v>6660</v>
      </c>
      <c r="D550" s="550" t="s">
        <v>12055</v>
      </c>
      <c r="E550" s="550" t="s">
        <v>4368</v>
      </c>
      <c r="F550" s="550" t="s">
        <v>4394</v>
      </c>
      <c r="G550" s="550" t="s">
        <v>1307</v>
      </c>
      <c r="H550" s="550" t="s">
        <v>1004</v>
      </c>
      <c r="I550" s="550" t="s">
        <v>11</v>
      </c>
      <c r="J550" s="550" t="s">
        <v>12056</v>
      </c>
      <c r="K550" s="551">
        <v>45436</v>
      </c>
      <c r="L550" s="552">
        <v>72</v>
      </c>
      <c r="M550" s="552">
        <v>72</v>
      </c>
      <c r="N550" s="552">
        <v>72</v>
      </c>
      <c r="O550" s="552"/>
      <c r="P550" s="552"/>
      <c r="Q550" s="548">
        <v>28000</v>
      </c>
      <c r="R550" s="552">
        <v>2016000</v>
      </c>
      <c r="S550" s="548">
        <v>23000</v>
      </c>
      <c r="T550" s="552">
        <v>1656000</v>
      </c>
      <c r="U550" s="548">
        <v>5000</v>
      </c>
      <c r="V550" s="552">
        <v>360000</v>
      </c>
      <c r="W550" s="552">
        <v>3347</v>
      </c>
      <c r="X550" s="552">
        <v>240984</v>
      </c>
      <c r="Y550" s="552">
        <v>23000</v>
      </c>
      <c r="Z550" s="552">
        <v>1656000</v>
      </c>
      <c r="AA550" s="552">
        <v>0</v>
      </c>
      <c r="AB550" s="552">
        <v>0</v>
      </c>
      <c r="AC550" s="552">
        <v>23000</v>
      </c>
      <c r="AD550" s="552">
        <v>1656000</v>
      </c>
      <c r="AE550" s="552">
        <v>0</v>
      </c>
      <c r="AF550" s="552">
        <v>0</v>
      </c>
      <c r="AG550" s="552">
        <v>0</v>
      </c>
      <c r="AH550" s="552">
        <v>0</v>
      </c>
      <c r="AI550" s="552">
        <v>0</v>
      </c>
      <c r="AJ550" s="552">
        <v>0</v>
      </c>
    </row>
    <row r="551" spans="1:36" ht="15.95" customHeight="1">
      <c r="A551" s="547"/>
      <c r="B551" s="548">
        <v>1046</v>
      </c>
      <c r="C551" s="549">
        <v>6660</v>
      </c>
      <c r="D551" s="550" t="s">
        <v>12055</v>
      </c>
      <c r="E551" s="550" t="s">
        <v>4368</v>
      </c>
      <c r="F551" s="550" t="s">
        <v>4394</v>
      </c>
      <c r="G551" s="550" t="s">
        <v>1307</v>
      </c>
      <c r="H551" s="550" t="s">
        <v>1004</v>
      </c>
      <c r="I551" s="550" t="s">
        <v>11</v>
      </c>
      <c r="J551" s="550" t="s">
        <v>4395</v>
      </c>
      <c r="K551" s="551">
        <v>44915</v>
      </c>
      <c r="L551" s="552">
        <v>72</v>
      </c>
      <c r="M551" s="552">
        <v>72</v>
      </c>
      <c r="N551" s="552">
        <v>72</v>
      </c>
      <c r="O551" s="552">
        <v>4284</v>
      </c>
      <c r="P551" s="552">
        <v>308448</v>
      </c>
      <c r="Q551" s="548">
        <v>0</v>
      </c>
      <c r="R551" s="552">
        <v>0</v>
      </c>
      <c r="S551" s="548">
        <v>4284</v>
      </c>
      <c r="T551" s="552">
        <v>308448</v>
      </c>
      <c r="U551" s="548">
        <v>0</v>
      </c>
      <c r="V551" s="552">
        <v>0</v>
      </c>
      <c r="W551" s="552">
        <v>7467</v>
      </c>
      <c r="X551" s="552">
        <v>537624</v>
      </c>
      <c r="Y551" s="552">
        <v>4284</v>
      </c>
      <c r="Z551" s="552">
        <v>308448</v>
      </c>
      <c r="AA551" s="552">
        <v>4284</v>
      </c>
      <c r="AB551" s="552">
        <v>308448</v>
      </c>
      <c r="AC551" s="552">
        <v>0</v>
      </c>
      <c r="AD551" s="552">
        <v>0</v>
      </c>
      <c r="AE551" s="552">
        <v>0</v>
      </c>
      <c r="AF551" s="552">
        <v>0</v>
      </c>
      <c r="AG551" s="552">
        <v>0</v>
      </c>
      <c r="AH551" s="552">
        <v>0</v>
      </c>
      <c r="AI551" s="552">
        <v>0</v>
      </c>
      <c r="AJ551" s="552">
        <v>0</v>
      </c>
    </row>
    <row r="552" spans="1:36" ht="15.95" customHeight="1">
      <c r="A552" s="547"/>
      <c r="B552" s="548">
        <v>1047</v>
      </c>
      <c r="C552" s="549">
        <v>6660</v>
      </c>
      <c r="D552" s="550" t="s">
        <v>12055</v>
      </c>
      <c r="E552" s="550" t="s">
        <v>4368</v>
      </c>
      <c r="F552" s="550" t="s">
        <v>4394</v>
      </c>
      <c r="G552" s="550" t="s">
        <v>1307</v>
      </c>
      <c r="H552" s="550" t="s">
        <v>1004</v>
      </c>
      <c r="I552" s="550" t="s">
        <v>11</v>
      </c>
      <c r="J552" s="550" t="s">
        <v>4396</v>
      </c>
      <c r="K552" s="551">
        <v>45015</v>
      </c>
      <c r="L552" s="552">
        <v>72</v>
      </c>
      <c r="M552" s="552">
        <v>72</v>
      </c>
      <c r="N552" s="552">
        <v>72</v>
      </c>
      <c r="O552" s="552">
        <v>1000</v>
      </c>
      <c r="P552" s="552">
        <v>72000</v>
      </c>
      <c r="Q552" s="548">
        <v>0</v>
      </c>
      <c r="R552" s="552">
        <v>0</v>
      </c>
      <c r="S552" s="548">
        <v>1000</v>
      </c>
      <c r="T552" s="552">
        <v>72000</v>
      </c>
      <c r="U552" s="548">
        <v>0</v>
      </c>
      <c r="V552" s="552">
        <v>0</v>
      </c>
      <c r="W552" s="552">
        <v>1000</v>
      </c>
      <c r="X552" s="552">
        <v>72000</v>
      </c>
      <c r="Y552" s="552">
        <v>1000</v>
      </c>
      <c r="Z552" s="552">
        <v>72000</v>
      </c>
      <c r="AA552" s="552">
        <v>0</v>
      </c>
      <c r="AB552" s="552">
        <v>0</v>
      </c>
      <c r="AC552" s="552">
        <v>1000</v>
      </c>
      <c r="AD552" s="552">
        <v>72000</v>
      </c>
      <c r="AE552" s="552">
        <v>0</v>
      </c>
      <c r="AF552" s="552">
        <v>0</v>
      </c>
      <c r="AG552" s="552">
        <v>0</v>
      </c>
      <c r="AH552" s="552">
        <v>0</v>
      </c>
      <c r="AI552" s="552">
        <v>0</v>
      </c>
      <c r="AJ552" s="552">
        <v>0</v>
      </c>
    </row>
    <row r="553" spans="1:36" ht="15.95" customHeight="1">
      <c r="A553" s="547"/>
      <c r="B553" s="548">
        <v>1048</v>
      </c>
      <c r="C553" s="549">
        <v>7192</v>
      </c>
      <c r="D553" s="550" t="s">
        <v>12057</v>
      </c>
      <c r="E553" s="550" t="s">
        <v>4397</v>
      </c>
      <c r="F553" s="550" t="s">
        <v>4398</v>
      </c>
      <c r="G553" s="550" t="s">
        <v>4399</v>
      </c>
      <c r="H553" s="550" t="s">
        <v>4400</v>
      </c>
      <c r="I553" s="550" t="s">
        <v>11</v>
      </c>
      <c r="J553" s="550" t="s">
        <v>12058</v>
      </c>
      <c r="K553" s="551">
        <v>44855</v>
      </c>
      <c r="L553" s="552">
        <v>12482</v>
      </c>
      <c r="M553" s="552">
        <v>12482</v>
      </c>
      <c r="N553" s="552">
        <v>12482</v>
      </c>
      <c r="O553" s="552"/>
      <c r="P553" s="552"/>
      <c r="Q553" s="548">
        <v>2940</v>
      </c>
      <c r="R553" s="552">
        <v>36697080</v>
      </c>
      <c r="S553" s="548">
        <v>0</v>
      </c>
      <c r="T553" s="552">
        <v>0</v>
      </c>
      <c r="U553" s="548">
        <v>2940</v>
      </c>
      <c r="V553" s="552">
        <v>36697080</v>
      </c>
      <c r="W553" s="552">
        <v>0</v>
      </c>
      <c r="X553" s="552">
        <v>0</v>
      </c>
      <c r="Y553" s="552">
        <v>0</v>
      </c>
      <c r="Z553" s="552">
        <v>0</v>
      </c>
      <c r="AA553" s="552">
        <v>0</v>
      </c>
      <c r="AB553" s="552">
        <v>0</v>
      </c>
      <c r="AC553" s="552">
        <v>0</v>
      </c>
      <c r="AD553" s="552">
        <v>0</v>
      </c>
      <c r="AE553" s="552">
        <v>0</v>
      </c>
      <c r="AF553" s="552">
        <v>0</v>
      </c>
      <c r="AG553" s="552">
        <v>0</v>
      </c>
      <c r="AH553" s="552">
        <v>0</v>
      </c>
      <c r="AI553" s="552">
        <v>0</v>
      </c>
      <c r="AJ553" s="552">
        <v>0</v>
      </c>
    </row>
    <row r="554" spans="1:36" ht="15.95" customHeight="1">
      <c r="A554" s="547"/>
      <c r="B554" s="548">
        <v>1049</v>
      </c>
      <c r="C554" s="549">
        <v>7192</v>
      </c>
      <c r="D554" s="550" t="s">
        <v>12057</v>
      </c>
      <c r="E554" s="550" t="s">
        <v>4397</v>
      </c>
      <c r="F554" s="550" t="s">
        <v>4398</v>
      </c>
      <c r="G554" s="550" t="s">
        <v>4399</v>
      </c>
      <c r="H554" s="550" t="s">
        <v>4400</v>
      </c>
      <c r="I554" s="550" t="s">
        <v>11</v>
      </c>
      <c r="J554" s="550" t="s">
        <v>4401</v>
      </c>
      <c r="K554" s="551">
        <v>44711</v>
      </c>
      <c r="L554" s="552">
        <v>12482</v>
      </c>
      <c r="M554" s="552">
        <v>12482</v>
      </c>
      <c r="N554" s="552">
        <v>12482</v>
      </c>
      <c r="O554" s="552">
        <v>1960</v>
      </c>
      <c r="P554" s="552">
        <v>24464720</v>
      </c>
      <c r="Q554" s="548">
        <v>0</v>
      </c>
      <c r="R554" s="552">
        <v>0</v>
      </c>
      <c r="S554" s="548">
        <v>1611</v>
      </c>
      <c r="T554" s="552">
        <v>20108502</v>
      </c>
      <c r="U554" s="548">
        <v>349</v>
      </c>
      <c r="V554" s="552">
        <v>4356218</v>
      </c>
      <c r="W554" s="552">
        <v>0</v>
      </c>
      <c r="X554" s="552">
        <v>0</v>
      </c>
      <c r="Y554" s="552">
        <v>1611</v>
      </c>
      <c r="Z554" s="552">
        <v>20108502</v>
      </c>
      <c r="AA554" s="552">
        <v>1611</v>
      </c>
      <c r="AB554" s="552">
        <v>20108502</v>
      </c>
      <c r="AC554" s="552">
        <v>0</v>
      </c>
      <c r="AD554" s="552">
        <v>0</v>
      </c>
      <c r="AE554" s="552">
        <v>0</v>
      </c>
      <c r="AF554" s="552">
        <v>0</v>
      </c>
      <c r="AG554" s="552">
        <v>0</v>
      </c>
      <c r="AH554" s="552">
        <v>0</v>
      </c>
      <c r="AI554" s="552">
        <v>0</v>
      </c>
      <c r="AJ554" s="552">
        <v>0</v>
      </c>
    </row>
    <row r="555" spans="1:36" ht="15.95" customHeight="1">
      <c r="A555" s="547"/>
      <c r="B555" s="548">
        <v>1050</v>
      </c>
      <c r="C555" s="549">
        <v>5412</v>
      </c>
      <c r="D555" s="550"/>
      <c r="E555" s="550" t="s">
        <v>4402</v>
      </c>
      <c r="F555" s="550" t="s">
        <v>3672</v>
      </c>
      <c r="G555" s="550" t="s">
        <v>4403</v>
      </c>
      <c r="H555" s="550" t="s">
        <v>299</v>
      </c>
      <c r="I555" s="550" t="s">
        <v>1011</v>
      </c>
      <c r="J555" s="550" t="s">
        <v>4404</v>
      </c>
      <c r="K555" s="551">
        <v>44317</v>
      </c>
      <c r="L555" s="552">
        <v>13000</v>
      </c>
      <c r="M555" s="552">
        <v>13000</v>
      </c>
      <c r="N555" s="552">
        <v>13000</v>
      </c>
      <c r="O555" s="552">
        <v>47</v>
      </c>
      <c r="P555" s="552">
        <v>611000</v>
      </c>
      <c r="Q555" s="548">
        <v>0</v>
      </c>
      <c r="R555" s="552">
        <v>0</v>
      </c>
      <c r="S555" s="548">
        <v>47</v>
      </c>
      <c r="T555" s="552">
        <v>611000</v>
      </c>
      <c r="U555" s="548">
        <v>0</v>
      </c>
      <c r="V555" s="552">
        <v>0</v>
      </c>
      <c r="W555" s="552">
        <v>0</v>
      </c>
      <c r="X555" s="552">
        <v>0</v>
      </c>
      <c r="Y555" s="552">
        <v>47</v>
      </c>
      <c r="Z555" s="552">
        <v>611000</v>
      </c>
      <c r="AA555" s="552">
        <v>47</v>
      </c>
      <c r="AB555" s="552">
        <v>611000</v>
      </c>
      <c r="AC555" s="552">
        <v>0</v>
      </c>
      <c r="AD555" s="552">
        <v>0</v>
      </c>
      <c r="AE555" s="552">
        <v>0</v>
      </c>
      <c r="AF555" s="552">
        <v>0</v>
      </c>
      <c r="AG555" s="552">
        <v>0</v>
      </c>
      <c r="AH555" s="552">
        <v>0</v>
      </c>
      <c r="AI555" s="552">
        <v>0</v>
      </c>
      <c r="AJ555" s="552">
        <v>0</v>
      </c>
    </row>
    <row r="556" spans="1:36" ht="15.95" customHeight="1">
      <c r="A556" s="547"/>
      <c r="B556" s="548">
        <v>1051</v>
      </c>
      <c r="C556" s="549">
        <v>7011</v>
      </c>
      <c r="D556" s="550" t="s">
        <v>12059</v>
      </c>
      <c r="E556" s="550" t="s">
        <v>4402</v>
      </c>
      <c r="F556" s="550" t="s">
        <v>6366</v>
      </c>
      <c r="G556" s="550" t="s">
        <v>4403</v>
      </c>
      <c r="H556" s="550" t="s">
        <v>299</v>
      </c>
      <c r="I556" s="550" t="s">
        <v>11</v>
      </c>
      <c r="J556" s="550" t="s">
        <v>12060</v>
      </c>
      <c r="K556" s="551">
        <v>44805</v>
      </c>
      <c r="L556" s="552">
        <v>13000</v>
      </c>
      <c r="M556" s="552">
        <v>13000</v>
      </c>
      <c r="N556" s="552">
        <v>13000</v>
      </c>
      <c r="O556" s="552"/>
      <c r="P556" s="552"/>
      <c r="Q556" s="548">
        <v>300</v>
      </c>
      <c r="R556" s="552">
        <v>3900000</v>
      </c>
      <c r="S556" s="548">
        <v>31</v>
      </c>
      <c r="T556" s="552">
        <v>403000</v>
      </c>
      <c r="U556" s="548">
        <v>269</v>
      </c>
      <c r="V556" s="552">
        <v>3497000</v>
      </c>
      <c r="W556" s="552">
        <v>0</v>
      </c>
      <c r="X556" s="552">
        <v>0</v>
      </c>
      <c r="Y556" s="552">
        <v>31</v>
      </c>
      <c r="Z556" s="552">
        <v>403000</v>
      </c>
      <c r="AA556" s="552">
        <v>31</v>
      </c>
      <c r="AB556" s="552">
        <v>403000</v>
      </c>
      <c r="AC556" s="552">
        <v>0</v>
      </c>
      <c r="AD556" s="552">
        <v>0</v>
      </c>
      <c r="AE556" s="552">
        <v>0</v>
      </c>
      <c r="AF556" s="552">
        <v>0</v>
      </c>
      <c r="AG556" s="552">
        <v>0</v>
      </c>
      <c r="AH556" s="552">
        <v>0</v>
      </c>
      <c r="AI556" s="552">
        <v>0</v>
      </c>
      <c r="AJ556" s="552">
        <v>0</v>
      </c>
    </row>
    <row r="557" spans="1:36" ht="15.95" customHeight="1">
      <c r="A557" s="547"/>
      <c r="B557" s="548">
        <v>1056</v>
      </c>
      <c r="C557" s="549">
        <v>6726</v>
      </c>
      <c r="D557" s="550" t="s">
        <v>12061</v>
      </c>
      <c r="E557" s="550" t="s">
        <v>3913</v>
      </c>
      <c r="F557" s="550" t="s">
        <v>4405</v>
      </c>
      <c r="G557" s="550" t="s">
        <v>1326</v>
      </c>
      <c r="H557" s="550" t="s">
        <v>222</v>
      </c>
      <c r="I557" s="550" t="s">
        <v>11</v>
      </c>
      <c r="J557" s="550" t="s">
        <v>12062</v>
      </c>
      <c r="K557" s="551">
        <v>45543</v>
      </c>
      <c r="L557" s="552">
        <v>47</v>
      </c>
      <c r="M557" s="552">
        <v>47</v>
      </c>
      <c r="N557" s="552">
        <v>47</v>
      </c>
      <c r="O557" s="552"/>
      <c r="P557" s="552"/>
      <c r="Q557" s="548">
        <v>28000</v>
      </c>
      <c r="R557" s="552">
        <v>1316000</v>
      </c>
      <c r="S557" s="548">
        <v>25000</v>
      </c>
      <c r="T557" s="552">
        <v>1175000</v>
      </c>
      <c r="U557" s="548">
        <v>3000</v>
      </c>
      <c r="V557" s="552">
        <v>141000</v>
      </c>
      <c r="W557" s="552">
        <v>4761</v>
      </c>
      <c r="X557" s="552">
        <v>223767</v>
      </c>
      <c r="Y557" s="552">
        <v>25000</v>
      </c>
      <c r="Z557" s="552">
        <v>1175000</v>
      </c>
      <c r="AA557" s="552">
        <v>0</v>
      </c>
      <c r="AB557" s="552">
        <v>0</v>
      </c>
      <c r="AC557" s="552">
        <v>25000</v>
      </c>
      <c r="AD557" s="552">
        <v>1175000</v>
      </c>
      <c r="AE557" s="552">
        <v>0</v>
      </c>
      <c r="AF557" s="552">
        <v>0</v>
      </c>
      <c r="AG557" s="552">
        <v>0</v>
      </c>
      <c r="AH557" s="552">
        <v>0</v>
      </c>
      <c r="AI557" s="552">
        <v>0</v>
      </c>
      <c r="AJ557" s="552">
        <v>0</v>
      </c>
    </row>
    <row r="558" spans="1:36" ht="15.95" customHeight="1">
      <c r="A558" s="547"/>
      <c r="B558" s="548">
        <v>1058</v>
      </c>
      <c r="C558" s="549">
        <v>6740</v>
      </c>
      <c r="D558" s="550" t="s">
        <v>12063</v>
      </c>
      <c r="E558" s="550" t="s">
        <v>4406</v>
      </c>
      <c r="F558" s="550" t="s">
        <v>4407</v>
      </c>
      <c r="G558" s="550" t="s">
        <v>1212</v>
      </c>
      <c r="H558" s="550" t="s">
        <v>945</v>
      </c>
      <c r="I558" s="550" t="s">
        <v>12</v>
      </c>
      <c r="J558" s="550" t="s">
        <v>12064</v>
      </c>
      <c r="K558" s="551">
        <v>45064</v>
      </c>
      <c r="L558" s="552">
        <v>728</v>
      </c>
      <c r="M558" s="552">
        <v>728</v>
      </c>
      <c r="N558" s="552">
        <v>728</v>
      </c>
      <c r="O558" s="552"/>
      <c r="P558" s="552"/>
      <c r="Q558" s="548">
        <v>3800</v>
      </c>
      <c r="R558" s="552">
        <v>2766400</v>
      </c>
      <c r="S558" s="548">
        <v>3800</v>
      </c>
      <c r="T558" s="552">
        <v>2766400</v>
      </c>
      <c r="U558" s="548">
        <v>0</v>
      </c>
      <c r="V558" s="552">
        <v>0</v>
      </c>
      <c r="W558" s="552">
        <v>266</v>
      </c>
      <c r="X558" s="552">
        <v>193648</v>
      </c>
      <c r="Y558" s="552">
        <v>3800</v>
      </c>
      <c r="Z558" s="552">
        <v>2766400</v>
      </c>
      <c r="AA558" s="552">
        <v>0</v>
      </c>
      <c r="AB558" s="552">
        <v>0</v>
      </c>
      <c r="AC558" s="552">
        <v>3800</v>
      </c>
      <c r="AD558" s="552">
        <v>2766400</v>
      </c>
      <c r="AE558" s="552">
        <v>0</v>
      </c>
      <c r="AF558" s="552">
        <v>0</v>
      </c>
      <c r="AG558" s="552">
        <v>0</v>
      </c>
      <c r="AH558" s="552">
        <v>0</v>
      </c>
      <c r="AI558" s="552">
        <v>0</v>
      </c>
      <c r="AJ558" s="552">
        <v>0</v>
      </c>
    </row>
    <row r="559" spans="1:36" ht="15.95" customHeight="1">
      <c r="A559" s="547"/>
      <c r="B559" s="548">
        <v>1059</v>
      </c>
      <c r="C559" s="549">
        <v>6740</v>
      </c>
      <c r="D559" s="550" t="s">
        <v>12063</v>
      </c>
      <c r="E559" s="550" t="s">
        <v>4406</v>
      </c>
      <c r="F559" s="550" t="s">
        <v>4407</v>
      </c>
      <c r="G559" s="550" t="s">
        <v>1212</v>
      </c>
      <c r="H559" s="550" t="s">
        <v>945</v>
      </c>
      <c r="I559" s="550" t="s">
        <v>12</v>
      </c>
      <c r="J559" s="550" t="s">
        <v>12065</v>
      </c>
      <c r="K559" s="551">
        <v>44956</v>
      </c>
      <c r="L559" s="552">
        <v>728</v>
      </c>
      <c r="M559" s="552">
        <v>728</v>
      </c>
      <c r="N559" s="552">
        <v>728</v>
      </c>
      <c r="O559" s="552"/>
      <c r="P559" s="552"/>
      <c r="Q559" s="548">
        <v>1400</v>
      </c>
      <c r="R559" s="552">
        <v>1019200</v>
      </c>
      <c r="S559" s="548">
        <v>1400</v>
      </c>
      <c r="T559" s="552">
        <v>1019200</v>
      </c>
      <c r="U559" s="548">
        <v>0</v>
      </c>
      <c r="V559" s="552">
        <v>0</v>
      </c>
      <c r="W559" s="552">
        <v>321</v>
      </c>
      <c r="X559" s="552">
        <v>233688</v>
      </c>
      <c r="Y559" s="552">
        <v>1400</v>
      </c>
      <c r="Z559" s="552">
        <v>1019200</v>
      </c>
      <c r="AA559" s="552">
        <v>0</v>
      </c>
      <c r="AB559" s="552">
        <v>0</v>
      </c>
      <c r="AC559" s="552">
        <v>1400</v>
      </c>
      <c r="AD559" s="552">
        <v>1019200</v>
      </c>
      <c r="AE559" s="552">
        <v>0</v>
      </c>
      <c r="AF559" s="552">
        <v>0</v>
      </c>
      <c r="AG559" s="552">
        <v>0</v>
      </c>
      <c r="AH559" s="552">
        <v>0</v>
      </c>
      <c r="AI559" s="552">
        <v>0</v>
      </c>
      <c r="AJ559" s="552">
        <v>0</v>
      </c>
    </row>
    <row r="560" spans="1:36" ht="15.95" customHeight="1">
      <c r="A560" s="547"/>
      <c r="B560" s="548">
        <v>1060</v>
      </c>
      <c r="C560" s="549">
        <v>6903</v>
      </c>
      <c r="D560" s="550" t="s">
        <v>12066</v>
      </c>
      <c r="E560" s="550" t="s">
        <v>4408</v>
      </c>
      <c r="F560" s="550" t="s">
        <v>4409</v>
      </c>
      <c r="G560" s="550" t="s">
        <v>1289</v>
      </c>
      <c r="H560" s="550" t="s">
        <v>1290</v>
      </c>
      <c r="I560" s="550" t="s">
        <v>11</v>
      </c>
      <c r="J560" s="550" t="s">
        <v>4410</v>
      </c>
      <c r="K560" s="551">
        <v>44956</v>
      </c>
      <c r="L560" s="552">
        <v>434</v>
      </c>
      <c r="M560" s="552">
        <v>434</v>
      </c>
      <c r="N560" s="552">
        <v>434</v>
      </c>
      <c r="O560" s="552">
        <v>7405</v>
      </c>
      <c r="P560" s="552">
        <v>3213770</v>
      </c>
      <c r="Q560" s="548">
        <v>0</v>
      </c>
      <c r="R560" s="552">
        <v>0</v>
      </c>
      <c r="S560" s="548">
        <v>2692</v>
      </c>
      <c r="T560" s="552">
        <v>1168328</v>
      </c>
      <c r="U560" s="548">
        <v>4713</v>
      </c>
      <c r="V560" s="552">
        <v>2045442</v>
      </c>
      <c r="W560" s="552">
        <v>0</v>
      </c>
      <c r="X560" s="552">
        <v>0</v>
      </c>
      <c r="Y560" s="552">
        <v>2692</v>
      </c>
      <c r="Z560" s="552">
        <v>1168328</v>
      </c>
      <c r="AA560" s="552">
        <v>2692</v>
      </c>
      <c r="AB560" s="552">
        <v>1168328</v>
      </c>
      <c r="AC560" s="552">
        <v>0</v>
      </c>
      <c r="AD560" s="552">
        <v>0</v>
      </c>
      <c r="AE560" s="552">
        <v>0</v>
      </c>
      <c r="AF560" s="552">
        <v>0</v>
      </c>
      <c r="AG560" s="552">
        <v>0</v>
      </c>
      <c r="AH560" s="552">
        <v>0</v>
      </c>
      <c r="AI560" s="552">
        <v>0</v>
      </c>
      <c r="AJ560" s="552">
        <v>0</v>
      </c>
    </row>
    <row r="561" spans="1:36" ht="15.95" customHeight="1">
      <c r="A561" s="547"/>
      <c r="B561" s="548">
        <v>1061</v>
      </c>
      <c r="C561" s="549">
        <v>6968</v>
      </c>
      <c r="D561" s="550" t="s">
        <v>12067</v>
      </c>
      <c r="E561" s="550" t="s">
        <v>4411</v>
      </c>
      <c r="F561" s="550" t="s">
        <v>3472</v>
      </c>
      <c r="G561" s="550" t="s">
        <v>392</v>
      </c>
      <c r="H561" s="550" t="s">
        <v>267</v>
      </c>
      <c r="I561" s="550" t="s">
        <v>11</v>
      </c>
      <c r="J561" s="550" t="s">
        <v>12068</v>
      </c>
      <c r="K561" s="551">
        <v>44834</v>
      </c>
      <c r="L561" s="552">
        <v>287</v>
      </c>
      <c r="M561" s="552">
        <v>287</v>
      </c>
      <c r="N561" s="552">
        <v>287</v>
      </c>
      <c r="O561" s="552"/>
      <c r="P561" s="552"/>
      <c r="Q561" s="548">
        <v>2000</v>
      </c>
      <c r="R561" s="552">
        <v>574000</v>
      </c>
      <c r="S561" s="548">
        <v>2000</v>
      </c>
      <c r="T561" s="552">
        <v>574000</v>
      </c>
      <c r="U561" s="548">
        <v>0</v>
      </c>
      <c r="V561" s="552">
        <v>0</v>
      </c>
      <c r="W561" s="552">
        <v>2000</v>
      </c>
      <c r="X561" s="552">
        <v>574000</v>
      </c>
      <c r="Y561" s="552">
        <v>2000</v>
      </c>
      <c r="Z561" s="552">
        <v>574000</v>
      </c>
      <c r="AA561" s="552">
        <v>0</v>
      </c>
      <c r="AB561" s="552">
        <v>0</v>
      </c>
      <c r="AC561" s="552">
        <v>2000</v>
      </c>
      <c r="AD561" s="552">
        <v>574000</v>
      </c>
      <c r="AE561" s="552">
        <v>0</v>
      </c>
      <c r="AF561" s="552">
        <v>0</v>
      </c>
      <c r="AG561" s="552">
        <v>0</v>
      </c>
      <c r="AH561" s="552">
        <v>0</v>
      </c>
      <c r="AI561" s="552">
        <v>0</v>
      </c>
      <c r="AJ561" s="552">
        <v>0</v>
      </c>
    </row>
    <row r="562" spans="1:36" ht="15.95" customHeight="1">
      <c r="A562" s="547"/>
      <c r="B562" s="548">
        <v>1062</v>
      </c>
      <c r="C562" s="549">
        <v>6968</v>
      </c>
      <c r="D562" s="550" t="s">
        <v>12067</v>
      </c>
      <c r="E562" s="550" t="s">
        <v>4411</v>
      </c>
      <c r="F562" s="550" t="s">
        <v>3472</v>
      </c>
      <c r="G562" s="550" t="s">
        <v>392</v>
      </c>
      <c r="H562" s="550" t="s">
        <v>267</v>
      </c>
      <c r="I562" s="550" t="s">
        <v>11</v>
      </c>
      <c r="J562" s="550" t="s">
        <v>12069</v>
      </c>
      <c r="K562" s="551">
        <v>44985</v>
      </c>
      <c r="L562" s="552">
        <v>287</v>
      </c>
      <c r="M562" s="552">
        <v>287</v>
      </c>
      <c r="N562" s="552">
        <v>287</v>
      </c>
      <c r="O562" s="552"/>
      <c r="P562" s="552"/>
      <c r="Q562" s="548">
        <v>5000</v>
      </c>
      <c r="R562" s="552">
        <v>1435000</v>
      </c>
      <c r="S562" s="548">
        <v>3000</v>
      </c>
      <c r="T562" s="552">
        <v>861000</v>
      </c>
      <c r="U562" s="548">
        <v>2000</v>
      </c>
      <c r="V562" s="552">
        <v>574000</v>
      </c>
      <c r="W562" s="552">
        <v>647</v>
      </c>
      <c r="X562" s="552">
        <v>185689</v>
      </c>
      <c r="Y562" s="552">
        <v>3000</v>
      </c>
      <c r="Z562" s="552">
        <v>861000</v>
      </c>
      <c r="AA562" s="552">
        <v>0</v>
      </c>
      <c r="AB562" s="552">
        <v>0</v>
      </c>
      <c r="AC562" s="552">
        <v>3000</v>
      </c>
      <c r="AD562" s="552">
        <v>861000</v>
      </c>
      <c r="AE562" s="552">
        <v>0</v>
      </c>
      <c r="AF562" s="552">
        <v>0</v>
      </c>
      <c r="AG562" s="552">
        <v>0</v>
      </c>
      <c r="AH562" s="552">
        <v>0</v>
      </c>
      <c r="AI562" s="552">
        <v>0</v>
      </c>
      <c r="AJ562" s="552">
        <v>0</v>
      </c>
    </row>
    <row r="563" spans="1:36" ht="15.95" customHeight="1">
      <c r="A563" s="547"/>
      <c r="B563" s="548">
        <v>1063</v>
      </c>
      <c r="C563" s="549">
        <v>6978</v>
      </c>
      <c r="D563" s="550" t="s">
        <v>12070</v>
      </c>
      <c r="E563" s="550" t="s">
        <v>4412</v>
      </c>
      <c r="F563" s="550" t="s">
        <v>4413</v>
      </c>
      <c r="G563" s="550" t="s">
        <v>4414</v>
      </c>
      <c r="H563" s="550" t="s">
        <v>4415</v>
      </c>
      <c r="I563" s="550" t="s">
        <v>11</v>
      </c>
      <c r="J563" s="550" t="s">
        <v>12071</v>
      </c>
      <c r="K563" s="551">
        <v>45289</v>
      </c>
      <c r="L563" s="552">
        <v>348</v>
      </c>
      <c r="M563" s="552">
        <v>348</v>
      </c>
      <c r="N563" s="552">
        <v>348</v>
      </c>
      <c r="O563" s="552"/>
      <c r="P563" s="552"/>
      <c r="Q563" s="548">
        <v>10000</v>
      </c>
      <c r="R563" s="552">
        <v>3480000</v>
      </c>
      <c r="S563" s="548">
        <v>10000</v>
      </c>
      <c r="T563" s="552">
        <v>3480000</v>
      </c>
      <c r="U563" s="548">
        <v>0</v>
      </c>
      <c r="V563" s="552">
        <v>0</v>
      </c>
      <c r="W563" s="552">
        <v>0</v>
      </c>
      <c r="X563" s="552">
        <v>0</v>
      </c>
      <c r="Y563" s="552">
        <v>1000</v>
      </c>
      <c r="Z563" s="552">
        <v>348000</v>
      </c>
      <c r="AA563" s="552">
        <v>0</v>
      </c>
      <c r="AB563" s="552">
        <v>0</v>
      </c>
      <c r="AC563" s="552">
        <v>1000</v>
      </c>
      <c r="AD563" s="552">
        <v>348000</v>
      </c>
      <c r="AE563" s="552">
        <v>0</v>
      </c>
      <c r="AF563" s="552">
        <v>0</v>
      </c>
      <c r="AG563" s="552">
        <v>9000</v>
      </c>
      <c r="AH563" s="552">
        <v>3132000</v>
      </c>
      <c r="AI563" s="552">
        <v>1000</v>
      </c>
      <c r="AJ563" s="552">
        <v>348000</v>
      </c>
    </row>
    <row r="564" spans="1:36" ht="15.95" customHeight="1">
      <c r="A564" s="547"/>
      <c r="B564" s="548">
        <v>1068</v>
      </c>
      <c r="C564" s="549">
        <v>7068</v>
      </c>
      <c r="D564" s="550" t="s">
        <v>12072</v>
      </c>
      <c r="E564" s="550" t="s">
        <v>4203</v>
      </c>
      <c r="F564" s="550" t="s">
        <v>4416</v>
      </c>
      <c r="G564" s="550" t="s">
        <v>592</v>
      </c>
      <c r="H564" s="550" t="s">
        <v>594</v>
      </c>
      <c r="I564" s="550" t="s">
        <v>11</v>
      </c>
      <c r="J564" s="550" t="s">
        <v>4417</v>
      </c>
      <c r="K564" s="551">
        <v>45025</v>
      </c>
      <c r="L564" s="552">
        <v>357</v>
      </c>
      <c r="M564" s="552">
        <v>357</v>
      </c>
      <c r="N564" s="552">
        <v>357</v>
      </c>
      <c r="O564" s="552">
        <v>153</v>
      </c>
      <c r="P564" s="552">
        <v>54621</v>
      </c>
      <c r="Q564" s="548">
        <v>0</v>
      </c>
      <c r="R564" s="552">
        <v>0</v>
      </c>
      <c r="S564" s="548">
        <v>153</v>
      </c>
      <c r="T564" s="552">
        <v>54621</v>
      </c>
      <c r="U564" s="548">
        <v>0</v>
      </c>
      <c r="V564" s="552">
        <v>0</v>
      </c>
      <c r="W564" s="552">
        <v>813</v>
      </c>
      <c r="X564" s="552">
        <v>290241</v>
      </c>
      <c r="Y564" s="552">
        <v>153</v>
      </c>
      <c r="Z564" s="552">
        <v>54621</v>
      </c>
      <c r="AA564" s="552">
        <v>0</v>
      </c>
      <c r="AB564" s="552">
        <v>0</v>
      </c>
      <c r="AC564" s="552">
        <v>153</v>
      </c>
      <c r="AD564" s="552">
        <v>54621</v>
      </c>
      <c r="AE564" s="552">
        <v>0</v>
      </c>
      <c r="AF564" s="552">
        <v>0</v>
      </c>
      <c r="AG564" s="552">
        <v>0</v>
      </c>
      <c r="AH564" s="552">
        <v>0</v>
      </c>
      <c r="AI564" s="552">
        <v>0</v>
      </c>
      <c r="AJ564" s="552">
        <v>0</v>
      </c>
    </row>
    <row r="565" spans="1:36" ht="15.95" customHeight="1">
      <c r="A565" s="547"/>
      <c r="B565" s="548">
        <v>1069</v>
      </c>
      <c r="C565" s="549">
        <v>6825</v>
      </c>
      <c r="D565" s="550" t="s">
        <v>12073</v>
      </c>
      <c r="E565" s="550" t="s">
        <v>4418</v>
      </c>
      <c r="F565" s="550" t="s">
        <v>4419</v>
      </c>
      <c r="G565" s="550" t="s">
        <v>729</v>
      </c>
      <c r="H565" s="550" t="s">
        <v>17</v>
      </c>
      <c r="I565" s="550" t="s">
        <v>11</v>
      </c>
      <c r="J565" s="550" t="s">
        <v>4420</v>
      </c>
      <c r="K565" s="551">
        <v>45037</v>
      </c>
      <c r="L565" s="552">
        <v>443</v>
      </c>
      <c r="M565" s="552">
        <v>443</v>
      </c>
      <c r="N565" s="552">
        <v>443</v>
      </c>
      <c r="O565" s="552">
        <v>6264</v>
      </c>
      <c r="P565" s="552">
        <v>2774952</v>
      </c>
      <c r="Q565" s="548">
        <v>0</v>
      </c>
      <c r="R565" s="552">
        <v>0</v>
      </c>
      <c r="S565" s="548">
        <v>6264</v>
      </c>
      <c r="T565" s="552">
        <v>2774952</v>
      </c>
      <c r="U565" s="548">
        <v>0</v>
      </c>
      <c r="V565" s="552">
        <v>0</v>
      </c>
      <c r="W565" s="552">
        <v>0</v>
      </c>
      <c r="X565" s="552">
        <v>0</v>
      </c>
      <c r="Y565" s="552">
        <v>6264</v>
      </c>
      <c r="Z565" s="552">
        <v>2774952</v>
      </c>
      <c r="AA565" s="552">
        <v>6264</v>
      </c>
      <c r="AB565" s="552">
        <v>2774952</v>
      </c>
      <c r="AC565" s="552">
        <v>0</v>
      </c>
      <c r="AD565" s="552">
        <v>0</v>
      </c>
      <c r="AE565" s="552">
        <v>0</v>
      </c>
      <c r="AF565" s="552">
        <v>0</v>
      </c>
      <c r="AG565" s="552">
        <v>0</v>
      </c>
      <c r="AH565" s="552">
        <v>0</v>
      </c>
      <c r="AI565" s="552">
        <v>0</v>
      </c>
      <c r="AJ565" s="552">
        <v>0</v>
      </c>
    </row>
    <row r="566" spans="1:36" ht="15.95" customHeight="1">
      <c r="A566" s="547"/>
      <c r="B566" s="548">
        <v>1070</v>
      </c>
      <c r="C566" s="549">
        <v>6825</v>
      </c>
      <c r="D566" s="550" t="s">
        <v>12073</v>
      </c>
      <c r="E566" s="550" t="s">
        <v>4418</v>
      </c>
      <c r="F566" s="550" t="s">
        <v>4419</v>
      </c>
      <c r="G566" s="550" t="s">
        <v>729</v>
      </c>
      <c r="H566" s="550" t="s">
        <v>17</v>
      </c>
      <c r="I566" s="550" t="s">
        <v>11</v>
      </c>
      <c r="J566" s="550" t="s">
        <v>12074</v>
      </c>
      <c r="K566" s="551">
        <v>45442</v>
      </c>
      <c r="L566" s="552">
        <v>443</v>
      </c>
      <c r="M566" s="552">
        <v>443</v>
      </c>
      <c r="N566" s="552">
        <v>443</v>
      </c>
      <c r="O566" s="552"/>
      <c r="P566" s="552"/>
      <c r="Q566" s="548">
        <v>30000</v>
      </c>
      <c r="R566" s="552">
        <v>13290000</v>
      </c>
      <c r="S566" s="548">
        <v>1863</v>
      </c>
      <c r="T566" s="552">
        <v>825309</v>
      </c>
      <c r="U566" s="548">
        <v>28137</v>
      </c>
      <c r="V566" s="552">
        <v>12464691</v>
      </c>
      <c r="W566" s="552">
        <v>0</v>
      </c>
      <c r="X566" s="552">
        <v>0</v>
      </c>
      <c r="Y566" s="552">
        <v>1863</v>
      </c>
      <c r="Z566" s="552">
        <v>825309</v>
      </c>
      <c r="AA566" s="552">
        <v>1863</v>
      </c>
      <c r="AB566" s="552">
        <v>825309</v>
      </c>
      <c r="AC566" s="552">
        <v>0</v>
      </c>
      <c r="AD566" s="552">
        <v>0</v>
      </c>
      <c r="AE566" s="552">
        <v>0</v>
      </c>
      <c r="AF566" s="552">
        <v>0</v>
      </c>
      <c r="AG566" s="552">
        <v>0</v>
      </c>
      <c r="AH566" s="552">
        <v>0</v>
      </c>
      <c r="AI566" s="552">
        <v>0</v>
      </c>
      <c r="AJ566" s="552">
        <v>0</v>
      </c>
    </row>
    <row r="567" spans="1:36" ht="15.95" customHeight="1">
      <c r="A567" s="547"/>
      <c r="B567" s="548">
        <v>1071</v>
      </c>
      <c r="C567" s="549">
        <v>7204</v>
      </c>
      <c r="D567" s="550" t="s">
        <v>12075</v>
      </c>
      <c r="E567" s="550" t="s">
        <v>3910</v>
      </c>
      <c r="F567" s="550" t="s">
        <v>4421</v>
      </c>
      <c r="G567" s="550" t="s">
        <v>1215</v>
      </c>
      <c r="H567" s="550" t="s">
        <v>1217</v>
      </c>
      <c r="I567" s="550" t="s">
        <v>11</v>
      </c>
      <c r="J567" s="550" t="s">
        <v>4422</v>
      </c>
      <c r="K567" s="551">
        <v>45077</v>
      </c>
      <c r="L567" s="552">
        <v>2990</v>
      </c>
      <c r="M567" s="552">
        <v>2990</v>
      </c>
      <c r="N567" s="552">
        <v>2990</v>
      </c>
      <c r="O567" s="552">
        <v>1894</v>
      </c>
      <c r="P567" s="552">
        <v>5663060</v>
      </c>
      <c r="Q567" s="548">
        <v>0</v>
      </c>
      <c r="R567" s="552">
        <v>0</v>
      </c>
      <c r="S567" s="548">
        <v>1894</v>
      </c>
      <c r="T567" s="552">
        <v>5663060</v>
      </c>
      <c r="U567" s="548">
        <v>0</v>
      </c>
      <c r="V567" s="552">
        <v>0</v>
      </c>
      <c r="W567" s="552">
        <v>356</v>
      </c>
      <c r="X567" s="552">
        <v>1064440</v>
      </c>
      <c r="Y567" s="552">
        <v>1894</v>
      </c>
      <c r="Z567" s="552">
        <v>5663060</v>
      </c>
      <c r="AA567" s="552">
        <v>1894</v>
      </c>
      <c r="AB567" s="552">
        <v>5663060</v>
      </c>
      <c r="AC567" s="552">
        <v>0</v>
      </c>
      <c r="AD567" s="552">
        <v>0</v>
      </c>
      <c r="AE567" s="552">
        <v>0</v>
      </c>
      <c r="AF567" s="552">
        <v>0</v>
      </c>
      <c r="AG567" s="552">
        <v>0</v>
      </c>
      <c r="AH567" s="552">
        <v>0</v>
      </c>
      <c r="AI567" s="552">
        <v>0</v>
      </c>
      <c r="AJ567" s="552">
        <v>0</v>
      </c>
    </row>
    <row r="568" spans="1:36" ht="15.95" customHeight="1">
      <c r="A568" s="547"/>
      <c r="B568" s="548">
        <v>1072</v>
      </c>
      <c r="C568" s="549">
        <v>7204</v>
      </c>
      <c r="D568" s="550" t="s">
        <v>12075</v>
      </c>
      <c r="E568" s="550" t="s">
        <v>3910</v>
      </c>
      <c r="F568" s="550" t="s">
        <v>4421</v>
      </c>
      <c r="G568" s="550" t="s">
        <v>1215</v>
      </c>
      <c r="H568" s="550" t="s">
        <v>1217</v>
      </c>
      <c r="I568" s="550" t="s">
        <v>11</v>
      </c>
      <c r="J568" s="550" t="s">
        <v>12076</v>
      </c>
      <c r="K568" s="551">
        <v>45199</v>
      </c>
      <c r="L568" s="552">
        <v>2990</v>
      </c>
      <c r="M568" s="552">
        <v>2990</v>
      </c>
      <c r="N568" s="552">
        <v>2990</v>
      </c>
      <c r="O568" s="552"/>
      <c r="P568" s="552"/>
      <c r="Q568" s="548">
        <v>3000</v>
      </c>
      <c r="R568" s="552">
        <v>8970000</v>
      </c>
      <c r="S568" s="548">
        <v>0</v>
      </c>
      <c r="T568" s="552">
        <v>0</v>
      </c>
      <c r="U568" s="548">
        <v>3000</v>
      </c>
      <c r="V568" s="552">
        <v>8970000</v>
      </c>
      <c r="W568" s="552">
        <v>0</v>
      </c>
      <c r="X568" s="552">
        <v>0</v>
      </c>
      <c r="Y568" s="552">
        <v>0</v>
      </c>
      <c r="Z568" s="552">
        <v>0</v>
      </c>
      <c r="AA568" s="552">
        <v>0</v>
      </c>
      <c r="AB568" s="552">
        <v>0</v>
      </c>
      <c r="AC568" s="552">
        <v>0</v>
      </c>
      <c r="AD568" s="552">
        <v>0</v>
      </c>
      <c r="AE568" s="552">
        <v>0</v>
      </c>
      <c r="AF568" s="552">
        <v>0</v>
      </c>
      <c r="AG568" s="552">
        <v>0</v>
      </c>
      <c r="AH568" s="552">
        <v>0</v>
      </c>
      <c r="AI568" s="552">
        <v>0</v>
      </c>
      <c r="AJ568" s="552">
        <v>0</v>
      </c>
    </row>
    <row r="569" spans="1:36" ht="15.95" customHeight="1">
      <c r="A569" s="547"/>
      <c r="B569" s="548">
        <v>1074</v>
      </c>
      <c r="C569" s="549">
        <v>5681</v>
      </c>
      <c r="D569" s="550"/>
      <c r="E569" s="550" t="s">
        <v>4423</v>
      </c>
      <c r="F569" s="550" t="s">
        <v>1491</v>
      </c>
      <c r="G569" s="550" t="s">
        <v>638</v>
      </c>
      <c r="H569" s="550" t="s">
        <v>429</v>
      </c>
      <c r="I569" s="550" t="s">
        <v>12</v>
      </c>
      <c r="J569" s="550" t="s">
        <v>4424</v>
      </c>
      <c r="K569" s="551">
        <v>44347</v>
      </c>
      <c r="L569" s="552">
        <v>4800</v>
      </c>
      <c r="M569" s="552">
        <v>4800</v>
      </c>
      <c r="N569" s="552">
        <v>4800</v>
      </c>
      <c r="O569" s="552">
        <v>1421</v>
      </c>
      <c r="P569" s="552">
        <v>6820800</v>
      </c>
      <c r="Q569" s="548">
        <v>0</v>
      </c>
      <c r="R569" s="552">
        <v>0</v>
      </c>
      <c r="S569" s="548">
        <v>1421</v>
      </c>
      <c r="T569" s="552">
        <v>6820800</v>
      </c>
      <c r="U569" s="548">
        <v>0</v>
      </c>
      <c r="V569" s="552">
        <v>0</v>
      </c>
      <c r="W569" s="552">
        <v>271</v>
      </c>
      <c r="X569" s="552">
        <v>1300800</v>
      </c>
      <c r="Y569" s="552">
        <v>1421</v>
      </c>
      <c r="Z569" s="552">
        <v>6820800</v>
      </c>
      <c r="AA569" s="552">
        <v>1421</v>
      </c>
      <c r="AB569" s="552">
        <v>6820800</v>
      </c>
      <c r="AC569" s="552">
        <v>0</v>
      </c>
      <c r="AD569" s="552">
        <v>0</v>
      </c>
      <c r="AE569" s="552">
        <v>0</v>
      </c>
      <c r="AF569" s="552">
        <v>0</v>
      </c>
      <c r="AG569" s="552">
        <v>0</v>
      </c>
      <c r="AH569" s="552">
        <v>0</v>
      </c>
      <c r="AI569" s="552">
        <v>0</v>
      </c>
      <c r="AJ569" s="552">
        <v>0</v>
      </c>
    </row>
    <row r="570" spans="1:36" ht="15.95" customHeight="1">
      <c r="A570" s="547"/>
      <c r="B570" s="548">
        <v>1075</v>
      </c>
      <c r="C570" s="549">
        <v>7028</v>
      </c>
      <c r="D570" s="550" t="s">
        <v>12077</v>
      </c>
      <c r="E570" s="550" t="s">
        <v>4425</v>
      </c>
      <c r="F570" s="550" t="s">
        <v>4426</v>
      </c>
      <c r="G570" s="550" t="s">
        <v>1526</v>
      </c>
      <c r="H570" s="550" t="s">
        <v>4427</v>
      </c>
      <c r="I570" s="550" t="s">
        <v>658</v>
      </c>
      <c r="J570" s="550" t="s">
        <v>12078</v>
      </c>
      <c r="K570" s="551">
        <v>44862</v>
      </c>
      <c r="L570" s="552">
        <v>76379</v>
      </c>
      <c r="M570" s="552">
        <v>76379</v>
      </c>
      <c r="N570" s="552">
        <v>76379</v>
      </c>
      <c r="O570" s="552"/>
      <c r="P570" s="552"/>
      <c r="Q570" s="548">
        <v>104</v>
      </c>
      <c r="R570" s="552">
        <v>7943416</v>
      </c>
      <c r="S570" s="548">
        <v>11</v>
      </c>
      <c r="T570" s="552">
        <v>840169</v>
      </c>
      <c r="U570" s="548">
        <v>93</v>
      </c>
      <c r="V570" s="552">
        <v>7103247</v>
      </c>
      <c r="W570" s="552">
        <v>2</v>
      </c>
      <c r="X570" s="552">
        <v>152758</v>
      </c>
      <c r="Y570" s="552">
        <v>11</v>
      </c>
      <c r="Z570" s="552">
        <v>840169</v>
      </c>
      <c r="AA570" s="552">
        <v>0</v>
      </c>
      <c r="AB570" s="552">
        <v>0</v>
      </c>
      <c r="AC570" s="552">
        <v>11</v>
      </c>
      <c r="AD570" s="552">
        <v>840169</v>
      </c>
      <c r="AE570" s="552">
        <v>0</v>
      </c>
      <c r="AF570" s="552">
        <v>0</v>
      </c>
      <c r="AG570" s="552">
        <v>0</v>
      </c>
      <c r="AH570" s="552">
        <v>0</v>
      </c>
      <c r="AI570" s="552">
        <v>0</v>
      </c>
      <c r="AJ570" s="552">
        <v>0</v>
      </c>
    </row>
    <row r="571" spans="1:36" ht="15.95" customHeight="1">
      <c r="A571" s="547"/>
      <c r="B571" s="548">
        <v>1076</v>
      </c>
      <c r="C571" s="549">
        <v>7028</v>
      </c>
      <c r="D571" s="550" t="s">
        <v>12077</v>
      </c>
      <c r="E571" s="550" t="s">
        <v>4425</v>
      </c>
      <c r="F571" s="550" t="s">
        <v>4426</v>
      </c>
      <c r="G571" s="550" t="s">
        <v>1526</v>
      </c>
      <c r="H571" s="550" t="s">
        <v>4427</v>
      </c>
      <c r="I571" s="550" t="s">
        <v>658</v>
      </c>
      <c r="J571" s="550" t="s">
        <v>4428</v>
      </c>
      <c r="K571" s="551">
        <v>44317</v>
      </c>
      <c r="L571" s="552">
        <v>76379</v>
      </c>
      <c r="M571" s="552">
        <v>76379</v>
      </c>
      <c r="N571" s="552">
        <v>76379</v>
      </c>
      <c r="O571" s="552">
        <v>39</v>
      </c>
      <c r="P571" s="552">
        <v>2978781</v>
      </c>
      <c r="Q571" s="548">
        <v>0</v>
      </c>
      <c r="R571" s="552">
        <v>0</v>
      </c>
      <c r="S571" s="548">
        <v>39</v>
      </c>
      <c r="T571" s="552">
        <v>2978781</v>
      </c>
      <c r="U571" s="548">
        <v>0</v>
      </c>
      <c r="V571" s="552">
        <v>0</v>
      </c>
      <c r="W571" s="552">
        <v>0</v>
      </c>
      <c r="X571" s="552">
        <v>0</v>
      </c>
      <c r="Y571" s="552">
        <v>39</v>
      </c>
      <c r="Z571" s="552">
        <v>2978781</v>
      </c>
      <c r="AA571" s="552">
        <v>11</v>
      </c>
      <c r="AB571" s="552">
        <v>840169</v>
      </c>
      <c r="AC571" s="552">
        <v>28</v>
      </c>
      <c r="AD571" s="552">
        <v>2138612</v>
      </c>
      <c r="AE571" s="552">
        <v>0</v>
      </c>
      <c r="AF571" s="552">
        <v>0</v>
      </c>
      <c r="AG571" s="552">
        <v>0</v>
      </c>
      <c r="AH571" s="552">
        <v>0</v>
      </c>
      <c r="AI571" s="552">
        <v>0</v>
      </c>
      <c r="AJ571" s="552">
        <v>0</v>
      </c>
    </row>
    <row r="572" spans="1:36" ht="15.95" customHeight="1">
      <c r="A572" s="547"/>
      <c r="B572" s="548">
        <v>1077</v>
      </c>
      <c r="C572" s="549">
        <v>7028</v>
      </c>
      <c r="D572" s="550" t="s">
        <v>12077</v>
      </c>
      <c r="E572" s="550" t="s">
        <v>4425</v>
      </c>
      <c r="F572" s="550" t="s">
        <v>4426</v>
      </c>
      <c r="G572" s="550" t="s">
        <v>1526</v>
      </c>
      <c r="H572" s="550" t="s">
        <v>4427</v>
      </c>
      <c r="I572" s="550" t="s">
        <v>658</v>
      </c>
      <c r="J572" s="550" t="s">
        <v>12079</v>
      </c>
      <c r="K572" s="551">
        <v>44680</v>
      </c>
      <c r="L572" s="552">
        <v>76379</v>
      </c>
      <c r="M572" s="552">
        <v>76379</v>
      </c>
      <c r="N572" s="552">
        <v>76379</v>
      </c>
      <c r="O572" s="552"/>
      <c r="P572" s="552"/>
      <c r="Q572" s="548">
        <v>54</v>
      </c>
      <c r="R572" s="552">
        <v>4124466</v>
      </c>
      <c r="S572" s="548">
        <v>41</v>
      </c>
      <c r="T572" s="552">
        <v>3131539</v>
      </c>
      <c r="U572" s="548">
        <v>13</v>
      </c>
      <c r="V572" s="552">
        <v>992927</v>
      </c>
      <c r="W572" s="552">
        <v>5</v>
      </c>
      <c r="X572" s="552">
        <v>381895</v>
      </c>
      <c r="Y572" s="552">
        <v>26</v>
      </c>
      <c r="Z572" s="552">
        <v>1985854</v>
      </c>
      <c r="AA572" s="552">
        <v>0</v>
      </c>
      <c r="AB572" s="552">
        <v>0</v>
      </c>
      <c r="AC572" s="552">
        <v>26</v>
      </c>
      <c r="AD572" s="552">
        <v>1985854</v>
      </c>
      <c r="AE572" s="552">
        <v>0</v>
      </c>
      <c r="AF572" s="552">
        <v>0</v>
      </c>
      <c r="AG572" s="552">
        <v>15</v>
      </c>
      <c r="AH572" s="552">
        <v>1145685</v>
      </c>
      <c r="AI572" s="552">
        <v>0</v>
      </c>
      <c r="AJ572" s="552">
        <v>0</v>
      </c>
    </row>
    <row r="573" spans="1:36" ht="15.95" customHeight="1">
      <c r="A573" s="547"/>
      <c r="B573" s="548">
        <v>1078</v>
      </c>
      <c r="C573" s="549">
        <v>5413</v>
      </c>
      <c r="D573" s="550"/>
      <c r="E573" s="550" t="s">
        <v>4429</v>
      </c>
      <c r="F573" s="550" t="s">
        <v>925</v>
      </c>
      <c r="G573" s="550" t="s">
        <v>919</v>
      </c>
      <c r="H573" s="550" t="s">
        <v>1017</v>
      </c>
      <c r="I573" s="550" t="s">
        <v>628</v>
      </c>
      <c r="J573" s="550" t="s">
        <v>4430</v>
      </c>
      <c r="K573" s="551">
        <v>44409</v>
      </c>
      <c r="L573" s="552">
        <v>4575</v>
      </c>
      <c r="M573" s="552">
        <v>4575</v>
      </c>
      <c r="N573" s="552">
        <v>4575</v>
      </c>
      <c r="O573" s="552">
        <v>1147</v>
      </c>
      <c r="P573" s="552">
        <v>5247525</v>
      </c>
      <c r="Q573" s="548">
        <v>14</v>
      </c>
      <c r="R573" s="552">
        <v>64050</v>
      </c>
      <c r="S573" s="548">
        <v>1161</v>
      </c>
      <c r="T573" s="552">
        <v>5311575</v>
      </c>
      <c r="U573" s="548">
        <v>0</v>
      </c>
      <c r="V573" s="552">
        <v>0</v>
      </c>
      <c r="W573" s="552">
        <v>0</v>
      </c>
      <c r="X573" s="552">
        <v>0</v>
      </c>
      <c r="Y573" s="552">
        <v>1161</v>
      </c>
      <c r="Z573" s="552">
        <v>5311575</v>
      </c>
      <c r="AA573" s="552">
        <v>0</v>
      </c>
      <c r="AB573" s="552">
        <v>0</v>
      </c>
      <c r="AC573" s="552">
        <v>1161</v>
      </c>
      <c r="AD573" s="552">
        <v>5311575</v>
      </c>
      <c r="AE573" s="552">
        <v>0</v>
      </c>
      <c r="AF573" s="552">
        <v>0</v>
      </c>
      <c r="AG573" s="552">
        <v>0</v>
      </c>
      <c r="AH573" s="552">
        <v>0</v>
      </c>
      <c r="AI573" s="552">
        <v>0</v>
      </c>
      <c r="AJ573" s="552">
        <v>0</v>
      </c>
    </row>
    <row r="574" spans="1:36" ht="15.95" customHeight="1">
      <c r="A574" s="547"/>
      <c r="B574" s="548">
        <v>1079</v>
      </c>
      <c r="C574" s="549">
        <v>5414</v>
      </c>
      <c r="D574" s="550"/>
      <c r="E574" s="550" t="s">
        <v>4431</v>
      </c>
      <c r="F574" s="550" t="s">
        <v>925</v>
      </c>
      <c r="G574" s="550" t="s">
        <v>919</v>
      </c>
      <c r="H574" s="550" t="s">
        <v>926</v>
      </c>
      <c r="I574" s="550" t="s">
        <v>628</v>
      </c>
      <c r="J574" s="550" t="s">
        <v>4432</v>
      </c>
      <c r="K574" s="551">
        <v>44409</v>
      </c>
      <c r="L574" s="552">
        <v>8513</v>
      </c>
      <c r="M574" s="552">
        <v>8513</v>
      </c>
      <c r="N574" s="552">
        <v>8513</v>
      </c>
      <c r="O574" s="552">
        <v>276</v>
      </c>
      <c r="P574" s="552">
        <v>2349588</v>
      </c>
      <c r="Q574" s="548">
        <v>0</v>
      </c>
      <c r="R574" s="552">
        <v>0</v>
      </c>
      <c r="S574" s="548">
        <v>276</v>
      </c>
      <c r="T574" s="552">
        <v>2349588</v>
      </c>
      <c r="U574" s="548">
        <v>0</v>
      </c>
      <c r="V574" s="552">
        <v>0</v>
      </c>
      <c r="W574" s="552">
        <v>0</v>
      </c>
      <c r="X574" s="552">
        <v>0</v>
      </c>
      <c r="Y574" s="552">
        <v>276</v>
      </c>
      <c r="Z574" s="552">
        <v>2349588</v>
      </c>
      <c r="AA574" s="552">
        <v>0</v>
      </c>
      <c r="AB574" s="552">
        <v>0</v>
      </c>
      <c r="AC574" s="552">
        <v>276</v>
      </c>
      <c r="AD574" s="552">
        <v>2349588</v>
      </c>
      <c r="AE574" s="552">
        <v>0</v>
      </c>
      <c r="AF574" s="552">
        <v>0</v>
      </c>
      <c r="AG574" s="552">
        <v>0</v>
      </c>
      <c r="AH574" s="552">
        <v>0</v>
      </c>
      <c r="AI574" s="552">
        <v>0</v>
      </c>
      <c r="AJ574" s="552">
        <v>0</v>
      </c>
    </row>
    <row r="575" spans="1:36" ht="15.95" customHeight="1">
      <c r="A575" s="547"/>
      <c r="B575" s="548">
        <v>1080</v>
      </c>
      <c r="C575" s="549">
        <v>7296</v>
      </c>
      <c r="D575" s="550" t="s">
        <v>12080</v>
      </c>
      <c r="E575" s="550" t="s">
        <v>5616</v>
      </c>
      <c r="F575" s="550" t="s">
        <v>5618</v>
      </c>
      <c r="G575" s="550" t="s">
        <v>1526</v>
      </c>
      <c r="H575" s="550" t="s">
        <v>5617</v>
      </c>
      <c r="I575" s="550" t="s">
        <v>520</v>
      </c>
      <c r="J575" s="550" t="s">
        <v>12081</v>
      </c>
      <c r="K575" s="551">
        <v>45212</v>
      </c>
      <c r="L575" s="552">
        <v>4575</v>
      </c>
      <c r="M575" s="552">
        <v>4575</v>
      </c>
      <c r="N575" s="552">
        <v>4575</v>
      </c>
      <c r="O575" s="552"/>
      <c r="P575" s="552"/>
      <c r="Q575" s="548">
        <v>918</v>
      </c>
      <c r="R575" s="552">
        <v>4199850</v>
      </c>
      <c r="S575" s="548">
        <v>360</v>
      </c>
      <c r="T575" s="552">
        <v>1647000</v>
      </c>
      <c r="U575" s="548">
        <v>558</v>
      </c>
      <c r="V575" s="552">
        <v>2552850</v>
      </c>
      <c r="W575" s="552">
        <v>0</v>
      </c>
      <c r="X575" s="552">
        <v>0</v>
      </c>
      <c r="Y575" s="552">
        <v>60</v>
      </c>
      <c r="Z575" s="552">
        <v>274500</v>
      </c>
      <c r="AA575" s="552">
        <v>0</v>
      </c>
      <c r="AB575" s="552">
        <v>0</v>
      </c>
      <c r="AC575" s="552">
        <v>60</v>
      </c>
      <c r="AD575" s="552">
        <v>274500</v>
      </c>
      <c r="AE575" s="552">
        <v>0</v>
      </c>
      <c r="AF575" s="552">
        <v>0</v>
      </c>
      <c r="AG575" s="552">
        <v>300</v>
      </c>
      <c r="AH575" s="552">
        <v>1372500</v>
      </c>
      <c r="AI575" s="552">
        <v>0</v>
      </c>
      <c r="AJ575" s="552">
        <v>0</v>
      </c>
    </row>
    <row r="576" spans="1:36" ht="15.95" customHeight="1">
      <c r="A576" s="547"/>
      <c r="B576" s="548">
        <v>1081</v>
      </c>
      <c r="C576" s="549">
        <v>7296</v>
      </c>
      <c r="D576" s="550" t="s">
        <v>12080</v>
      </c>
      <c r="E576" s="550" t="s">
        <v>5616</v>
      </c>
      <c r="F576" s="550" t="s">
        <v>5618</v>
      </c>
      <c r="G576" s="550" t="s">
        <v>1526</v>
      </c>
      <c r="H576" s="550" t="s">
        <v>5617</v>
      </c>
      <c r="I576" s="550" t="s">
        <v>520</v>
      </c>
      <c r="J576" s="550" t="s">
        <v>12082</v>
      </c>
      <c r="K576" s="551">
        <v>45315</v>
      </c>
      <c r="L576" s="552">
        <v>4575</v>
      </c>
      <c r="M576" s="552">
        <v>4575</v>
      </c>
      <c r="N576" s="552">
        <v>4575</v>
      </c>
      <c r="O576" s="552"/>
      <c r="P576" s="552"/>
      <c r="Q576" s="548">
        <v>300</v>
      </c>
      <c r="R576" s="552">
        <v>1372500</v>
      </c>
      <c r="S576" s="548">
        <v>0</v>
      </c>
      <c r="T576" s="552">
        <v>0</v>
      </c>
      <c r="U576" s="548">
        <v>300</v>
      </c>
      <c r="V576" s="552">
        <v>1372500</v>
      </c>
      <c r="W576" s="552">
        <v>0</v>
      </c>
      <c r="X576" s="552">
        <v>0</v>
      </c>
      <c r="Y576" s="552">
        <v>0</v>
      </c>
      <c r="Z576" s="552">
        <v>0</v>
      </c>
      <c r="AA576" s="552">
        <v>0</v>
      </c>
      <c r="AB576" s="552">
        <v>0</v>
      </c>
      <c r="AC576" s="552">
        <v>0</v>
      </c>
      <c r="AD576" s="552">
        <v>0</v>
      </c>
      <c r="AE576" s="552">
        <v>0</v>
      </c>
      <c r="AF576" s="552">
        <v>0</v>
      </c>
      <c r="AG576" s="552">
        <v>0</v>
      </c>
      <c r="AH576" s="552">
        <v>0</v>
      </c>
      <c r="AI576" s="552">
        <v>0</v>
      </c>
      <c r="AJ576" s="552">
        <v>0</v>
      </c>
    </row>
    <row r="577" spans="1:36" ht="15.95" customHeight="1">
      <c r="A577" s="547"/>
      <c r="B577" s="548">
        <v>1082</v>
      </c>
      <c r="C577" s="549">
        <v>7297</v>
      </c>
      <c r="D577" s="550" t="s">
        <v>12083</v>
      </c>
      <c r="E577" s="550" t="s">
        <v>5624</v>
      </c>
      <c r="F577" s="550" t="s">
        <v>5626</v>
      </c>
      <c r="G577" s="550" t="s">
        <v>1526</v>
      </c>
      <c r="H577" s="550" t="s">
        <v>5625</v>
      </c>
      <c r="I577" s="550" t="s">
        <v>520</v>
      </c>
      <c r="J577" s="550" t="s">
        <v>12084</v>
      </c>
      <c r="K577" s="551">
        <v>45113</v>
      </c>
      <c r="L577" s="552">
        <v>8513</v>
      </c>
      <c r="M577" s="552">
        <v>8513</v>
      </c>
      <c r="N577" s="552">
        <v>8513</v>
      </c>
      <c r="O577" s="552"/>
      <c r="P577" s="552"/>
      <c r="Q577" s="548">
        <v>924</v>
      </c>
      <c r="R577" s="552">
        <v>7866012</v>
      </c>
      <c r="S577" s="548">
        <v>892</v>
      </c>
      <c r="T577" s="552">
        <v>7593596</v>
      </c>
      <c r="U577" s="548">
        <v>32</v>
      </c>
      <c r="V577" s="552">
        <v>272416</v>
      </c>
      <c r="W577" s="552">
        <v>0</v>
      </c>
      <c r="X577" s="552">
        <v>0</v>
      </c>
      <c r="Y577" s="552">
        <v>652</v>
      </c>
      <c r="Z577" s="552">
        <v>5550476</v>
      </c>
      <c r="AA577" s="552">
        <v>0</v>
      </c>
      <c r="AB577" s="552">
        <v>0</v>
      </c>
      <c r="AC577" s="552">
        <v>652</v>
      </c>
      <c r="AD577" s="552">
        <v>5550476</v>
      </c>
      <c r="AE577" s="552">
        <v>0</v>
      </c>
      <c r="AF577" s="552">
        <v>0</v>
      </c>
      <c r="AG577" s="552">
        <v>240</v>
      </c>
      <c r="AH577" s="552">
        <v>2043120</v>
      </c>
      <c r="AI577" s="552">
        <v>0</v>
      </c>
      <c r="AJ577" s="552">
        <v>0</v>
      </c>
    </row>
    <row r="578" spans="1:36" ht="15.95" customHeight="1">
      <c r="A578" s="547"/>
      <c r="B578" s="548">
        <v>1083</v>
      </c>
      <c r="C578" s="549">
        <v>7297</v>
      </c>
      <c r="D578" s="550" t="s">
        <v>12083</v>
      </c>
      <c r="E578" s="550" t="s">
        <v>5624</v>
      </c>
      <c r="F578" s="550" t="s">
        <v>5626</v>
      </c>
      <c r="G578" s="550" t="s">
        <v>1526</v>
      </c>
      <c r="H578" s="550" t="s">
        <v>5625</v>
      </c>
      <c r="I578" s="550" t="s">
        <v>520</v>
      </c>
      <c r="J578" s="550" t="s">
        <v>12085</v>
      </c>
      <c r="K578" s="551">
        <v>45113</v>
      </c>
      <c r="L578" s="552">
        <v>8513</v>
      </c>
      <c r="M578" s="552">
        <v>8513</v>
      </c>
      <c r="N578" s="552">
        <v>8513</v>
      </c>
      <c r="O578" s="552"/>
      <c r="P578" s="552"/>
      <c r="Q578" s="548">
        <v>120</v>
      </c>
      <c r="R578" s="552">
        <v>1021560</v>
      </c>
      <c r="S578" s="548">
        <v>0</v>
      </c>
      <c r="T578" s="552">
        <v>0</v>
      </c>
      <c r="U578" s="548">
        <v>120</v>
      </c>
      <c r="V578" s="552">
        <v>1021560</v>
      </c>
      <c r="W578" s="552">
        <v>0</v>
      </c>
      <c r="X578" s="552">
        <v>0</v>
      </c>
      <c r="Y578" s="552">
        <v>0</v>
      </c>
      <c r="Z578" s="552">
        <v>0</v>
      </c>
      <c r="AA578" s="552">
        <v>0</v>
      </c>
      <c r="AB578" s="552">
        <v>0</v>
      </c>
      <c r="AC578" s="552">
        <v>0</v>
      </c>
      <c r="AD578" s="552">
        <v>0</v>
      </c>
      <c r="AE578" s="552">
        <v>0</v>
      </c>
      <c r="AF578" s="552">
        <v>0</v>
      </c>
      <c r="AG578" s="552">
        <v>0</v>
      </c>
      <c r="AH578" s="552">
        <v>0</v>
      </c>
      <c r="AI578" s="552">
        <v>0</v>
      </c>
      <c r="AJ578" s="552">
        <v>0</v>
      </c>
    </row>
    <row r="579" spans="1:36" ht="15.95" customHeight="1">
      <c r="A579" s="547"/>
      <c r="B579" s="548">
        <v>1084</v>
      </c>
      <c r="C579" s="549">
        <v>7297</v>
      </c>
      <c r="D579" s="550" t="s">
        <v>12083</v>
      </c>
      <c r="E579" s="550" t="s">
        <v>5624</v>
      </c>
      <c r="F579" s="550" t="s">
        <v>5626</v>
      </c>
      <c r="G579" s="550" t="s">
        <v>1526</v>
      </c>
      <c r="H579" s="550" t="s">
        <v>5625</v>
      </c>
      <c r="I579" s="550" t="s">
        <v>520</v>
      </c>
      <c r="J579" s="550" t="s">
        <v>12086</v>
      </c>
      <c r="K579" s="551">
        <v>45113</v>
      </c>
      <c r="L579" s="552">
        <v>8513</v>
      </c>
      <c r="M579" s="552">
        <v>8513</v>
      </c>
      <c r="N579" s="552">
        <v>8513</v>
      </c>
      <c r="O579" s="552"/>
      <c r="P579" s="552"/>
      <c r="Q579" s="548">
        <v>2880</v>
      </c>
      <c r="R579" s="552">
        <v>24517440</v>
      </c>
      <c r="S579" s="548">
        <v>9</v>
      </c>
      <c r="T579" s="552">
        <v>76617</v>
      </c>
      <c r="U579" s="548">
        <v>2871</v>
      </c>
      <c r="V579" s="552">
        <v>24440823</v>
      </c>
      <c r="W579" s="552">
        <v>0</v>
      </c>
      <c r="X579" s="552">
        <v>0</v>
      </c>
      <c r="Y579" s="552">
        <v>0</v>
      </c>
      <c r="Z579" s="552">
        <v>0</v>
      </c>
      <c r="AA579" s="552">
        <v>0</v>
      </c>
      <c r="AB579" s="552">
        <v>0</v>
      </c>
      <c r="AC579" s="552">
        <v>0</v>
      </c>
      <c r="AD579" s="552">
        <v>0</v>
      </c>
      <c r="AE579" s="552">
        <v>0</v>
      </c>
      <c r="AF579" s="552">
        <v>0</v>
      </c>
      <c r="AG579" s="552">
        <v>9</v>
      </c>
      <c r="AH579" s="552">
        <v>76617</v>
      </c>
      <c r="AI579" s="552">
        <v>0</v>
      </c>
      <c r="AJ579" s="552">
        <v>0</v>
      </c>
    </row>
    <row r="580" spans="1:36" ht="15.95" customHeight="1">
      <c r="A580" s="547"/>
      <c r="B580" s="548">
        <v>1085</v>
      </c>
      <c r="C580" s="549">
        <v>7025</v>
      </c>
      <c r="D580" s="550" t="s">
        <v>12087</v>
      </c>
      <c r="E580" s="550" t="s">
        <v>4431</v>
      </c>
      <c r="F580" s="550" t="s">
        <v>5626</v>
      </c>
      <c r="G580" s="550" t="s">
        <v>1526</v>
      </c>
      <c r="H580" s="550" t="s">
        <v>5755</v>
      </c>
      <c r="I580" s="550" t="s">
        <v>520</v>
      </c>
      <c r="J580" s="550" t="s">
        <v>12088</v>
      </c>
      <c r="K580" s="551">
        <v>45120</v>
      </c>
      <c r="L580" s="552">
        <v>8513</v>
      </c>
      <c r="M580" s="552">
        <v>8513</v>
      </c>
      <c r="N580" s="552">
        <v>8513</v>
      </c>
      <c r="O580" s="552"/>
      <c r="P580" s="552"/>
      <c r="Q580" s="548">
        <v>1503</v>
      </c>
      <c r="R580" s="552">
        <v>12795039</v>
      </c>
      <c r="S580" s="548">
        <v>183</v>
      </c>
      <c r="T580" s="552">
        <v>1557879</v>
      </c>
      <c r="U580" s="548">
        <v>1320</v>
      </c>
      <c r="V580" s="552">
        <v>11237160</v>
      </c>
      <c r="W580" s="552">
        <v>0</v>
      </c>
      <c r="X580" s="552">
        <v>0</v>
      </c>
      <c r="Y580" s="552">
        <v>183</v>
      </c>
      <c r="Z580" s="552">
        <v>1557879</v>
      </c>
      <c r="AA580" s="552">
        <v>0</v>
      </c>
      <c r="AB580" s="552">
        <v>0</v>
      </c>
      <c r="AC580" s="552">
        <v>183</v>
      </c>
      <c r="AD580" s="552">
        <v>1557879</v>
      </c>
      <c r="AE580" s="552">
        <v>0</v>
      </c>
      <c r="AF580" s="552">
        <v>0</v>
      </c>
      <c r="AG580" s="552">
        <v>0</v>
      </c>
      <c r="AH580" s="552">
        <v>0</v>
      </c>
      <c r="AI580" s="552">
        <v>0</v>
      </c>
      <c r="AJ580" s="552">
        <v>0</v>
      </c>
    </row>
    <row r="581" spans="1:36" ht="15.95" customHeight="1">
      <c r="A581" s="547"/>
      <c r="B581" s="548">
        <v>1090</v>
      </c>
      <c r="C581" s="549">
        <v>5480</v>
      </c>
      <c r="D581" s="550"/>
      <c r="E581" s="550" t="s">
        <v>4434</v>
      </c>
      <c r="F581" s="550" t="s">
        <v>819</v>
      </c>
      <c r="G581" s="550" t="s">
        <v>816</v>
      </c>
      <c r="H581" s="550" t="s">
        <v>299</v>
      </c>
      <c r="I581" s="550" t="s">
        <v>11</v>
      </c>
      <c r="J581" s="550" t="s">
        <v>4435</v>
      </c>
      <c r="K581" s="551">
        <v>44440</v>
      </c>
      <c r="L581" s="552">
        <v>357</v>
      </c>
      <c r="M581" s="552">
        <v>357</v>
      </c>
      <c r="N581" s="552">
        <v>357</v>
      </c>
      <c r="O581" s="552">
        <v>52</v>
      </c>
      <c r="P581" s="552">
        <v>18564</v>
      </c>
      <c r="Q581" s="548">
        <v>2</v>
      </c>
      <c r="R581" s="552">
        <v>714</v>
      </c>
      <c r="S581" s="548">
        <v>44</v>
      </c>
      <c r="T581" s="552">
        <v>15708</v>
      </c>
      <c r="U581" s="548">
        <v>10</v>
      </c>
      <c r="V581" s="552">
        <v>3570</v>
      </c>
      <c r="W581" s="552">
        <v>0</v>
      </c>
      <c r="X581" s="552">
        <v>0</v>
      </c>
      <c r="Y581" s="552">
        <v>44</v>
      </c>
      <c r="Z581" s="552">
        <v>15708</v>
      </c>
      <c r="AA581" s="552">
        <v>0</v>
      </c>
      <c r="AB581" s="552">
        <v>0</v>
      </c>
      <c r="AC581" s="552">
        <v>44</v>
      </c>
      <c r="AD581" s="552">
        <v>15708</v>
      </c>
      <c r="AE581" s="552">
        <v>0</v>
      </c>
      <c r="AF581" s="552">
        <v>0</v>
      </c>
      <c r="AG581" s="552">
        <v>0</v>
      </c>
      <c r="AH581" s="552">
        <v>0</v>
      </c>
      <c r="AI581" s="552">
        <v>0</v>
      </c>
      <c r="AJ581" s="552">
        <v>0</v>
      </c>
    </row>
    <row r="582" spans="1:36" ht="15.95" customHeight="1">
      <c r="A582" s="547"/>
      <c r="B582" s="548">
        <v>1091</v>
      </c>
      <c r="C582" s="549">
        <v>6713</v>
      </c>
      <c r="D582" s="550" t="s">
        <v>12089</v>
      </c>
      <c r="E582" s="550" t="s">
        <v>4434</v>
      </c>
      <c r="F582" s="550" t="s">
        <v>819</v>
      </c>
      <c r="G582" s="550" t="s">
        <v>816</v>
      </c>
      <c r="H582" s="550" t="s">
        <v>299</v>
      </c>
      <c r="I582" s="550" t="s">
        <v>11</v>
      </c>
      <c r="J582" s="550" t="s">
        <v>11489</v>
      </c>
      <c r="K582" s="551">
        <v>45292</v>
      </c>
      <c r="L582" s="552">
        <v>380</v>
      </c>
      <c r="M582" s="552">
        <v>380</v>
      </c>
      <c r="N582" s="552">
        <v>380</v>
      </c>
      <c r="O582" s="552"/>
      <c r="P582" s="552"/>
      <c r="Q582" s="548">
        <v>9990</v>
      </c>
      <c r="R582" s="552">
        <v>3796200</v>
      </c>
      <c r="S582" s="548">
        <v>14</v>
      </c>
      <c r="T582" s="552">
        <v>5320</v>
      </c>
      <c r="U582" s="548">
        <v>9976</v>
      </c>
      <c r="V582" s="552">
        <v>3790880</v>
      </c>
      <c r="W582" s="552">
        <v>0</v>
      </c>
      <c r="X582" s="552">
        <v>0</v>
      </c>
      <c r="Y582" s="552">
        <v>14</v>
      </c>
      <c r="Z582" s="552">
        <v>5320</v>
      </c>
      <c r="AA582" s="552">
        <v>0</v>
      </c>
      <c r="AB582" s="552">
        <v>0</v>
      </c>
      <c r="AC582" s="552">
        <v>14</v>
      </c>
      <c r="AD582" s="552">
        <v>5320</v>
      </c>
      <c r="AE582" s="552">
        <v>0</v>
      </c>
      <c r="AF582" s="552">
        <v>0</v>
      </c>
      <c r="AG582" s="552">
        <v>0</v>
      </c>
      <c r="AH582" s="552">
        <v>0</v>
      </c>
      <c r="AI582" s="552">
        <v>0</v>
      </c>
      <c r="AJ582" s="552">
        <v>0</v>
      </c>
    </row>
    <row r="583" spans="1:36" ht="15.95" customHeight="1">
      <c r="A583" s="547"/>
      <c r="B583" s="548">
        <v>1099</v>
      </c>
      <c r="C583" s="549">
        <v>7075</v>
      </c>
      <c r="D583" s="550" t="s">
        <v>12090</v>
      </c>
      <c r="E583" s="550" t="s">
        <v>8137</v>
      </c>
      <c r="F583" s="550" t="s">
        <v>8138</v>
      </c>
      <c r="G583" s="550" t="s">
        <v>611</v>
      </c>
      <c r="H583" s="550" t="s">
        <v>291</v>
      </c>
      <c r="I583" s="550" t="s">
        <v>11</v>
      </c>
      <c r="J583" s="550" t="s">
        <v>12091</v>
      </c>
      <c r="K583" s="551">
        <v>45275</v>
      </c>
      <c r="L583" s="552">
        <v>5760</v>
      </c>
      <c r="M583" s="552">
        <v>5760</v>
      </c>
      <c r="N583" s="552">
        <v>5760</v>
      </c>
      <c r="O583" s="552"/>
      <c r="P583" s="552"/>
      <c r="Q583" s="548">
        <v>3000</v>
      </c>
      <c r="R583" s="552">
        <v>17280000</v>
      </c>
      <c r="S583" s="548">
        <v>3000</v>
      </c>
      <c r="T583" s="552">
        <v>17280000</v>
      </c>
      <c r="U583" s="548">
        <v>0</v>
      </c>
      <c r="V583" s="552">
        <v>0</v>
      </c>
      <c r="W583" s="552">
        <v>0</v>
      </c>
      <c r="X583" s="552">
        <v>0</v>
      </c>
      <c r="Y583" s="552">
        <v>3000</v>
      </c>
      <c r="Z583" s="552">
        <v>17280000</v>
      </c>
      <c r="AA583" s="552">
        <v>3000</v>
      </c>
      <c r="AB583" s="552">
        <v>17280000</v>
      </c>
      <c r="AC583" s="552">
        <v>0</v>
      </c>
      <c r="AD583" s="552">
        <v>0</v>
      </c>
      <c r="AE583" s="552">
        <v>0</v>
      </c>
      <c r="AF583" s="552">
        <v>0</v>
      </c>
      <c r="AG583" s="552">
        <v>0</v>
      </c>
      <c r="AH583" s="552">
        <v>0</v>
      </c>
      <c r="AI583" s="552">
        <v>0</v>
      </c>
      <c r="AJ583" s="552">
        <v>0</v>
      </c>
    </row>
    <row r="584" spans="1:36" ht="15.95" customHeight="1">
      <c r="A584" s="547"/>
      <c r="B584" s="548">
        <v>1102</v>
      </c>
      <c r="C584" s="549">
        <v>6717</v>
      </c>
      <c r="D584" s="550" t="s">
        <v>12092</v>
      </c>
      <c r="E584" s="550" t="s">
        <v>3870</v>
      </c>
      <c r="F584" s="550" t="s">
        <v>4436</v>
      </c>
      <c r="G584" s="550" t="s">
        <v>1321</v>
      </c>
      <c r="H584" s="550" t="s">
        <v>248</v>
      </c>
      <c r="I584" s="550" t="s">
        <v>11</v>
      </c>
      <c r="J584" s="550" t="s">
        <v>12093</v>
      </c>
      <c r="K584" s="551">
        <v>45130</v>
      </c>
      <c r="L584" s="552">
        <v>45</v>
      </c>
      <c r="M584" s="552">
        <v>45</v>
      </c>
      <c r="N584" s="552">
        <v>45</v>
      </c>
      <c r="O584" s="552">
        <v>9000</v>
      </c>
      <c r="P584" s="552">
        <v>405000</v>
      </c>
      <c r="Q584" s="548">
        <v>0</v>
      </c>
      <c r="R584" s="552">
        <v>0</v>
      </c>
      <c r="S584" s="548">
        <v>9000</v>
      </c>
      <c r="T584" s="552">
        <v>405000</v>
      </c>
      <c r="U584" s="548">
        <v>0</v>
      </c>
      <c r="V584" s="552">
        <v>0</v>
      </c>
      <c r="W584" s="552">
        <v>15489</v>
      </c>
      <c r="X584" s="552">
        <v>697005</v>
      </c>
      <c r="Y584" s="552">
        <v>9000</v>
      </c>
      <c r="Z584" s="552">
        <v>405000</v>
      </c>
      <c r="AA584" s="552">
        <v>2500</v>
      </c>
      <c r="AB584" s="552">
        <v>112500</v>
      </c>
      <c r="AC584" s="552">
        <v>6500</v>
      </c>
      <c r="AD584" s="552">
        <v>292500</v>
      </c>
      <c r="AE584" s="552">
        <v>0</v>
      </c>
      <c r="AF584" s="552">
        <v>0</v>
      </c>
      <c r="AG584" s="552">
        <v>0</v>
      </c>
      <c r="AH584" s="552">
        <v>0</v>
      </c>
      <c r="AI584" s="552">
        <v>0</v>
      </c>
      <c r="AJ584" s="552">
        <v>0</v>
      </c>
    </row>
    <row r="585" spans="1:36" ht="15.95" customHeight="1">
      <c r="A585" s="547"/>
      <c r="B585" s="548">
        <v>1103</v>
      </c>
      <c r="C585" s="549">
        <v>6717</v>
      </c>
      <c r="D585" s="550" t="s">
        <v>12092</v>
      </c>
      <c r="E585" s="550" t="s">
        <v>3870</v>
      </c>
      <c r="F585" s="550" t="s">
        <v>4436</v>
      </c>
      <c r="G585" s="550" t="s">
        <v>1321</v>
      </c>
      <c r="H585" s="550" t="s">
        <v>248</v>
      </c>
      <c r="I585" s="550" t="s">
        <v>11</v>
      </c>
      <c r="J585" s="550" t="s">
        <v>12094</v>
      </c>
      <c r="K585" s="551">
        <v>45193</v>
      </c>
      <c r="L585" s="552">
        <v>45</v>
      </c>
      <c r="M585" s="552">
        <v>45</v>
      </c>
      <c r="N585" s="552">
        <v>45</v>
      </c>
      <c r="O585" s="552">
        <v>12500</v>
      </c>
      <c r="P585" s="552">
        <v>562500</v>
      </c>
      <c r="Q585" s="548">
        <v>12</v>
      </c>
      <c r="R585" s="552">
        <v>540</v>
      </c>
      <c r="S585" s="548">
        <v>11966</v>
      </c>
      <c r="T585" s="552">
        <v>538470</v>
      </c>
      <c r="U585" s="548">
        <v>546</v>
      </c>
      <c r="V585" s="552">
        <v>24570</v>
      </c>
      <c r="W585" s="552">
        <v>1934</v>
      </c>
      <c r="X585" s="552">
        <v>87030</v>
      </c>
      <c r="Y585" s="552">
        <v>11946</v>
      </c>
      <c r="Z585" s="552">
        <v>537570</v>
      </c>
      <c r="AA585" s="552">
        <v>2500</v>
      </c>
      <c r="AB585" s="552">
        <v>112500</v>
      </c>
      <c r="AC585" s="552">
        <v>9446</v>
      </c>
      <c r="AD585" s="552">
        <v>425070</v>
      </c>
      <c r="AE585" s="552">
        <v>0</v>
      </c>
      <c r="AF585" s="552">
        <v>0</v>
      </c>
      <c r="AG585" s="552">
        <v>20</v>
      </c>
      <c r="AH585" s="552">
        <v>900</v>
      </c>
      <c r="AI585" s="552">
        <v>0</v>
      </c>
      <c r="AJ585" s="552">
        <v>0</v>
      </c>
    </row>
    <row r="586" spans="1:36" ht="15.95" customHeight="1">
      <c r="A586" s="547"/>
      <c r="B586" s="548">
        <v>1112</v>
      </c>
      <c r="C586" s="549">
        <v>6995</v>
      </c>
      <c r="D586" s="550" t="s">
        <v>12095</v>
      </c>
      <c r="E586" s="550" t="s">
        <v>7744</v>
      </c>
      <c r="F586" s="550" t="s">
        <v>1992</v>
      </c>
      <c r="G586" s="550" t="s">
        <v>1245</v>
      </c>
      <c r="H586" s="550" t="s">
        <v>1246</v>
      </c>
      <c r="I586" s="550" t="s">
        <v>11</v>
      </c>
      <c r="J586" s="550" t="s">
        <v>3852</v>
      </c>
      <c r="K586" s="551">
        <v>45225</v>
      </c>
      <c r="L586" s="552">
        <v>2184</v>
      </c>
      <c r="M586" s="552">
        <v>2184</v>
      </c>
      <c r="N586" s="552">
        <v>2184</v>
      </c>
      <c r="O586" s="552"/>
      <c r="P586" s="552"/>
      <c r="Q586" s="548">
        <v>5940</v>
      </c>
      <c r="R586" s="552">
        <v>12972960</v>
      </c>
      <c r="S586" s="548">
        <v>761</v>
      </c>
      <c r="T586" s="552">
        <v>1662024</v>
      </c>
      <c r="U586" s="548">
        <v>5179</v>
      </c>
      <c r="V586" s="552">
        <v>11310936</v>
      </c>
      <c r="W586" s="552">
        <v>0</v>
      </c>
      <c r="X586" s="552">
        <v>0</v>
      </c>
      <c r="Y586" s="552">
        <v>761</v>
      </c>
      <c r="Z586" s="552">
        <v>1662024</v>
      </c>
      <c r="AA586" s="552">
        <v>761</v>
      </c>
      <c r="AB586" s="552">
        <v>1662024</v>
      </c>
      <c r="AC586" s="552">
        <v>0</v>
      </c>
      <c r="AD586" s="552">
        <v>0</v>
      </c>
      <c r="AE586" s="552">
        <v>0</v>
      </c>
      <c r="AF586" s="552">
        <v>0</v>
      </c>
      <c r="AG586" s="552">
        <v>0</v>
      </c>
      <c r="AH586" s="552">
        <v>0</v>
      </c>
      <c r="AI586" s="552">
        <v>0</v>
      </c>
      <c r="AJ586" s="552">
        <v>0</v>
      </c>
    </row>
    <row r="587" spans="1:36" ht="15.95" customHeight="1">
      <c r="A587" s="547"/>
      <c r="B587" s="548">
        <v>1113</v>
      </c>
      <c r="C587" s="549">
        <v>6995</v>
      </c>
      <c r="D587" s="550" t="s">
        <v>12095</v>
      </c>
      <c r="E587" s="550" t="s">
        <v>7744</v>
      </c>
      <c r="F587" s="550" t="s">
        <v>1992</v>
      </c>
      <c r="G587" s="550" t="s">
        <v>1245</v>
      </c>
      <c r="H587" s="550" t="s">
        <v>1246</v>
      </c>
      <c r="I587" s="550" t="s">
        <v>11</v>
      </c>
      <c r="J587" s="550" t="s">
        <v>11593</v>
      </c>
      <c r="K587" s="551">
        <v>45386</v>
      </c>
      <c r="L587" s="552">
        <v>2184</v>
      </c>
      <c r="M587" s="552">
        <v>2184</v>
      </c>
      <c r="N587" s="552">
        <v>2184</v>
      </c>
      <c r="O587" s="552"/>
      <c r="P587" s="552"/>
      <c r="Q587" s="548">
        <v>9000</v>
      </c>
      <c r="R587" s="552">
        <v>19656000</v>
      </c>
      <c r="S587" s="548">
        <v>0</v>
      </c>
      <c r="T587" s="552">
        <v>0</v>
      </c>
      <c r="U587" s="548">
        <v>9000</v>
      </c>
      <c r="V587" s="552">
        <v>19656000</v>
      </c>
      <c r="W587" s="552">
        <v>0</v>
      </c>
      <c r="X587" s="552">
        <v>0</v>
      </c>
      <c r="Y587" s="552">
        <v>0</v>
      </c>
      <c r="Z587" s="552">
        <v>0</v>
      </c>
      <c r="AA587" s="552">
        <v>0</v>
      </c>
      <c r="AB587" s="552">
        <v>0</v>
      </c>
      <c r="AC587" s="552">
        <v>0</v>
      </c>
      <c r="AD587" s="552">
        <v>0</v>
      </c>
      <c r="AE587" s="552">
        <v>0</v>
      </c>
      <c r="AF587" s="552">
        <v>0</v>
      </c>
      <c r="AG587" s="552">
        <v>0</v>
      </c>
      <c r="AH587" s="552">
        <v>0</v>
      </c>
      <c r="AI587" s="552">
        <v>0</v>
      </c>
      <c r="AJ587" s="552">
        <v>0</v>
      </c>
    </row>
    <row r="588" spans="1:36" ht="15.95" customHeight="1">
      <c r="A588" s="547"/>
      <c r="B588" s="548">
        <v>1147</v>
      </c>
      <c r="C588" s="549">
        <v>7612</v>
      </c>
      <c r="D588" s="550" t="s">
        <v>12096</v>
      </c>
      <c r="E588" s="550" t="s">
        <v>6770</v>
      </c>
      <c r="F588" s="550" t="s">
        <v>2560</v>
      </c>
      <c r="G588" s="550" t="s">
        <v>729</v>
      </c>
      <c r="H588" s="550" t="s">
        <v>225</v>
      </c>
      <c r="I588" s="550" t="s">
        <v>11</v>
      </c>
      <c r="J588" s="550" t="s">
        <v>12097</v>
      </c>
      <c r="K588" s="551">
        <v>44888</v>
      </c>
      <c r="L588" s="552">
        <v>1500</v>
      </c>
      <c r="M588" s="552">
        <v>1500</v>
      </c>
      <c r="N588" s="552">
        <v>1500</v>
      </c>
      <c r="O588" s="552"/>
      <c r="P588" s="552"/>
      <c r="Q588" s="548">
        <v>6000</v>
      </c>
      <c r="R588" s="552">
        <v>9000000</v>
      </c>
      <c r="S588" s="548">
        <v>5987</v>
      </c>
      <c r="T588" s="552">
        <v>8980500</v>
      </c>
      <c r="U588" s="548">
        <v>13</v>
      </c>
      <c r="V588" s="552">
        <v>19500</v>
      </c>
      <c r="W588" s="552">
        <v>0</v>
      </c>
      <c r="X588" s="552">
        <v>0</v>
      </c>
      <c r="Y588" s="552">
        <v>5987</v>
      </c>
      <c r="Z588" s="552">
        <v>8980500</v>
      </c>
      <c r="AA588" s="552">
        <v>5987</v>
      </c>
      <c r="AB588" s="552">
        <v>8980500</v>
      </c>
      <c r="AC588" s="552">
        <v>0</v>
      </c>
      <c r="AD588" s="552">
        <v>0</v>
      </c>
      <c r="AE588" s="552">
        <v>0</v>
      </c>
      <c r="AF588" s="552">
        <v>0</v>
      </c>
      <c r="AG588" s="552">
        <v>0</v>
      </c>
      <c r="AH588" s="552">
        <v>0</v>
      </c>
      <c r="AI588" s="552">
        <v>0</v>
      </c>
      <c r="AJ588" s="552">
        <v>0</v>
      </c>
    </row>
    <row r="589" spans="1:36" ht="15.95" customHeight="1">
      <c r="A589" s="547"/>
      <c r="B589" s="548">
        <v>1148</v>
      </c>
      <c r="C589" s="549">
        <v>7832</v>
      </c>
      <c r="D589" s="550" t="s">
        <v>12098</v>
      </c>
      <c r="E589" s="550" t="s">
        <v>12098</v>
      </c>
      <c r="F589" s="550" t="s">
        <v>12099</v>
      </c>
      <c r="G589" s="550" t="s">
        <v>12100</v>
      </c>
      <c r="H589" s="550" t="s">
        <v>238</v>
      </c>
      <c r="I589" s="550" t="s">
        <v>11</v>
      </c>
      <c r="J589" s="550" t="s">
        <v>12101</v>
      </c>
      <c r="K589" s="551">
        <v>45162</v>
      </c>
      <c r="L589" s="552">
        <v>0</v>
      </c>
      <c r="M589" s="552">
        <v>0</v>
      </c>
      <c r="N589" s="552">
        <v>0</v>
      </c>
      <c r="O589" s="552"/>
      <c r="P589" s="552"/>
      <c r="Q589" s="548">
        <v>1000</v>
      </c>
      <c r="R589" s="552">
        <v>0</v>
      </c>
      <c r="S589" s="548">
        <v>1000</v>
      </c>
      <c r="T589" s="552">
        <v>0</v>
      </c>
      <c r="U589" s="548">
        <v>0</v>
      </c>
      <c r="V589" s="552">
        <v>0</v>
      </c>
      <c r="W589" s="552">
        <v>0</v>
      </c>
      <c r="X589" s="552">
        <v>0</v>
      </c>
      <c r="Y589" s="552">
        <v>70</v>
      </c>
      <c r="Z589" s="552">
        <v>0</v>
      </c>
      <c r="AA589" s="552">
        <v>0</v>
      </c>
      <c r="AB589" s="552">
        <v>0</v>
      </c>
      <c r="AC589" s="552">
        <v>70</v>
      </c>
      <c r="AD589" s="552">
        <v>0</v>
      </c>
      <c r="AE589" s="552">
        <v>0</v>
      </c>
      <c r="AF589" s="552">
        <v>0</v>
      </c>
      <c r="AG589" s="552">
        <v>930</v>
      </c>
      <c r="AH589" s="552">
        <v>0</v>
      </c>
      <c r="AI589" s="552">
        <v>0</v>
      </c>
      <c r="AJ589" s="552">
        <v>0</v>
      </c>
    </row>
    <row r="590" spans="1:36" ht="15.95" customHeight="1">
      <c r="A590" s="547"/>
      <c r="B590" s="548">
        <v>1151</v>
      </c>
      <c r="C590" s="549">
        <v>6674</v>
      </c>
      <c r="D590" s="550" t="s">
        <v>12102</v>
      </c>
      <c r="E590" s="550" t="s">
        <v>7637</v>
      </c>
      <c r="F590" s="550" t="s">
        <v>7640</v>
      </c>
      <c r="G590" s="550" t="s">
        <v>7638</v>
      </c>
      <c r="H590" s="550" t="s">
        <v>7639</v>
      </c>
      <c r="I590" s="550" t="s">
        <v>11</v>
      </c>
      <c r="J590" s="550" t="s">
        <v>12103</v>
      </c>
      <c r="K590" s="551">
        <v>44878</v>
      </c>
      <c r="L590" s="552">
        <v>3150</v>
      </c>
      <c r="M590" s="552">
        <v>3150</v>
      </c>
      <c r="N590" s="552">
        <v>3150</v>
      </c>
      <c r="O590" s="552"/>
      <c r="P590" s="552"/>
      <c r="Q590" s="548">
        <v>320</v>
      </c>
      <c r="R590" s="552">
        <v>1008000</v>
      </c>
      <c r="S590" s="548">
        <v>320</v>
      </c>
      <c r="T590" s="552">
        <v>1008000</v>
      </c>
      <c r="U590" s="548">
        <v>0</v>
      </c>
      <c r="V590" s="552">
        <v>0</v>
      </c>
      <c r="W590" s="552">
        <v>0</v>
      </c>
      <c r="X590" s="552">
        <v>0</v>
      </c>
      <c r="Y590" s="552">
        <v>320</v>
      </c>
      <c r="Z590" s="552">
        <v>1008000</v>
      </c>
      <c r="AA590" s="552">
        <v>320</v>
      </c>
      <c r="AB590" s="552">
        <v>1008000</v>
      </c>
      <c r="AC590" s="552">
        <v>0</v>
      </c>
      <c r="AD590" s="552">
        <v>0</v>
      </c>
      <c r="AE590" s="552">
        <v>0</v>
      </c>
      <c r="AF590" s="552">
        <v>0</v>
      </c>
      <c r="AG590" s="552">
        <v>0</v>
      </c>
      <c r="AH590" s="552">
        <v>0</v>
      </c>
      <c r="AI590" s="552">
        <v>0</v>
      </c>
      <c r="AJ590" s="552">
        <v>0</v>
      </c>
    </row>
    <row r="591" spans="1:36" ht="15.95" customHeight="1">
      <c r="A591" s="547"/>
      <c r="B591" s="548">
        <v>1152</v>
      </c>
      <c r="C591" s="549">
        <v>6674</v>
      </c>
      <c r="D591" s="550" t="s">
        <v>12102</v>
      </c>
      <c r="E591" s="550" t="s">
        <v>7637</v>
      </c>
      <c r="F591" s="550" t="s">
        <v>7640</v>
      </c>
      <c r="G591" s="550" t="s">
        <v>7638</v>
      </c>
      <c r="H591" s="550" t="s">
        <v>7639</v>
      </c>
      <c r="I591" s="550" t="s">
        <v>11</v>
      </c>
      <c r="J591" s="550" t="s">
        <v>12104</v>
      </c>
      <c r="K591" s="551">
        <v>45172</v>
      </c>
      <c r="L591" s="552">
        <v>3150</v>
      </c>
      <c r="M591" s="552">
        <v>3150</v>
      </c>
      <c r="N591" s="552">
        <v>3150</v>
      </c>
      <c r="O591" s="552"/>
      <c r="P591" s="552"/>
      <c r="Q591" s="548">
        <v>540</v>
      </c>
      <c r="R591" s="552">
        <v>1701000</v>
      </c>
      <c r="S591" s="548">
        <v>293</v>
      </c>
      <c r="T591" s="552">
        <v>922950</v>
      </c>
      <c r="U591" s="548">
        <v>247</v>
      </c>
      <c r="V591" s="552">
        <v>778050</v>
      </c>
      <c r="W591" s="552">
        <v>0</v>
      </c>
      <c r="X591" s="552">
        <v>0</v>
      </c>
      <c r="Y591" s="552">
        <v>293</v>
      </c>
      <c r="Z591" s="552">
        <v>922950</v>
      </c>
      <c r="AA591" s="552">
        <v>293</v>
      </c>
      <c r="AB591" s="552">
        <v>922950</v>
      </c>
      <c r="AC591" s="552">
        <v>0</v>
      </c>
      <c r="AD591" s="552">
        <v>0</v>
      </c>
      <c r="AE591" s="552">
        <v>0</v>
      </c>
      <c r="AF591" s="552">
        <v>0</v>
      </c>
      <c r="AG591" s="552">
        <v>0</v>
      </c>
      <c r="AH591" s="552">
        <v>0</v>
      </c>
      <c r="AI591" s="552">
        <v>0</v>
      </c>
      <c r="AJ591" s="552">
        <v>0</v>
      </c>
    </row>
    <row r="592" spans="1:36" ht="15.95" customHeight="1">
      <c r="A592" s="547"/>
      <c r="B592" s="548">
        <v>1153</v>
      </c>
      <c r="C592" s="549">
        <v>6674</v>
      </c>
      <c r="D592" s="550" t="s">
        <v>12102</v>
      </c>
      <c r="E592" s="550" t="s">
        <v>7637</v>
      </c>
      <c r="F592" s="550" t="s">
        <v>7640</v>
      </c>
      <c r="G592" s="550" t="s">
        <v>7638</v>
      </c>
      <c r="H592" s="550" t="s">
        <v>7639</v>
      </c>
      <c r="I592" s="550" t="s">
        <v>11</v>
      </c>
      <c r="J592" s="550" t="s">
        <v>12105</v>
      </c>
      <c r="K592" s="551">
        <v>45200</v>
      </c>
      <c r="L592" s="552">
        <v>3150</v>
      </c>
      <c r="M592" s="552">
        <v>3150</v>
      </c>
      <c r="N592" s="552">
        <v>3150</v>
      </c>
      <c r="O592" s="552"/>
      <c r="P592" s="552"/>
      <c r="Q592" s="548">
        <v>200</v>
      </c>
      <c r="R592" s="552">
        <v>630000</v>
      </c>
      <c r="S592" s="548">
        <v>0</v>
      </c>
      <c r="T592" s="552">
        <v>0</v>
      </c>
      <c r="U592" s="548">
        <v>200</v>
      </c>
      <c r="V592" s="552">
        <v>630000</v>
      </c>
      <c r="W592" s="552">
        <v>0</v>
      </c>
      <c r="X592" s="552">
        <v>0</v>
      </c>
      <c r="Y592" s="552">
        <v>0</v>
      </c>
      <c r="Z592" s="552">
        <v>0</v>
      </c>
      <c r="AA592" s="552">
        <v>0</v>
      </c>
      <c r="AB592" s="552">
        <v>0</v>
      </c>
      <c r="AC592" s="552">
        <v>0</v>
      </c>
      <c r="AD592" s="552">
        <v>0</v>
      </c>
      <c r="AE592" s="552">
        <v>0</v>
      </c>
      <c r="AF592" s="552">
        <v>0</v>
      </c>
      <c r="AG592" s="552">
        <v>0</v>
      </c>
      <c r="AH592" s="552">
        <v>0</v>
      </c>
      <c r="AI592" s="552">
        <v>0</v>
      </c>
      <c r="AJ592" s="552">
        <v>0</v>
      </c>
    </row>
    <row r="593" spans="1:36" ht="15.95" customHeight="1">
      <c r="A593" s="547"/>
      <c r="B593" s="548">
        <v>1154</v>
      </c>
      <c r="C593" s="549">
        <v>6674</v>
      </c>
      <c r="D593" s="550" t="s">
        <v>12102</v>
      </c>
      <c r="E593" s="550" t="s">
        <v>7637</v>
      </c>
      <c r="F593" s="550" t="s">
        <v>7640</v>
      </c>
      <c r="G593" s="550" t="s">
        <v>7638</v>
      </c>
      <c r="H593" s="550" t="s">
        <v>7639</v>
      </c>
      <c r="I593" s="550" t="s">
        <v>11</v>
      </c>
      <c r="J593" s="550" t="s">
        <v>12106</v>
      </c>
      <c r="K593" s="551">
        <v>45276</v>
      </c>
      <c r="L593" s="552">
        <v>3150</v>
      </c>
      <c r="M593" s="552">
        <v>3150</v>
      </c>
      <c r="N593" s="552">
        <v>3150</v>
      </c>
      <c r="O593" s="552"/>
      <c r="P593" s="552"/>
      <c r="Q593" s="548">
        <v>8940</v>
      </c>
      <c r="R593" s="552">
        <v>28161000</v>
      </c>
      <c r="S593" s="548">
        <v>0</v>
      </c>
      <c r="T593" s="552">
        <v>0</v>
      </c>
      <c r="U593" s="548">
        <v>8940</v>
      </c>
      <c r="V593" s="552">
        <v>28161000</v>
      </c>
      <c r="W593" s="552">
        <v>0</v>
      </c>
      <c r="X593" s="552">
        <v>0</v>
      </c>
      <c r="Y593" s="552">
        <v>0</v>
      </c>
      <c r="Z593" s="552">
        <v>0</v>
      </c>
      <c r="AA593" s="552">
        <v>0</v>
      </c>
      <c r="AB593" s="552">
        <v>0</v>
      </c>
      <c r="AC593" s="552">
        <v>0</v>
      </c>
      <c r="AD593" s="552">
        <v>0</v>
      </c>
      <c r="AE593" s="552">
        <v>0</v>
      </c>
      <c r="AF593" s="552">
        <v>0</v>
      </c>
      <c r="AG593" s="552">
        <v>0</v>
      </c>
      <c r="AH593" s="552">
        <v>0</v>
      </c>
      <c r="AI593" s="552">
        <v>0</v>
      </c>
      <c r="AJ593" s="552">
        <v>0</v>
      </c>
    </row>
    <row r="594" spans="1:36" ht="15.95" customHeight="1">
      <c r="A594" s="547"/>
      <c r="B594" s="548">
        <v>1155</v>
      </c>
      <c r="C594" s="549">
        <v>6719</v>
      </c>
      <c r="D594" s="550" t="s">
        <v>12107</v>
      </c>
      <c r="E594" s="550" t="s">
        <v>4437</v>
      </c>
      <c r="F594" s="550" t="s">
        <v>4438</v>
      </c>
      <c r="G594" s="550" t="s">
        <v>543</v>
      </c>
      <c r="H594" s="550" t="s">
        <v>225</v>
      </c>
      <c r="I594" s="550" t="s">
        <v>11</v>
      </c>
      <c r="J594" s="550" t="s">
        <v>4439</v>
      </c>
      <c r="K594" s="551">
        <v>44645</v>
      </c>
      <c r="L594" s="552">
        <v>4350</v>
      </c>
      <c r="M594" s="552">
        <v>4350</v>
      </c>
      <c r="N594" s="552">
        <v>4350</v>
      </c>
      <c r="O594" s="552">
        <v>207</v>
      </c>
      <c r="P594" s="552">
        <v>900450</v>
      </c>
      <c r="Q594" s="548">
        <v>0</v>
      </c>
      <c r="R594" s="552">
        <v>0</v>
      </c>
      <c r="S594" s="548">
        <v>71</v>
      </c>
      <c r="T594" s="552">
        <v>308850</v>
      </c>
      <c r="U594" s="548">
        <v>136</v>
      </c>
      <c r="V594" s="552">
        <v>591600</v>
      </c>
      <c r="W594" s="552">
        <v>10</v>
      </c>
      <c r="X594" s="552">
        <v>43500</v>
      </c>
      <c r="Y594" s="552">
        <v>71</v>
      </c>
      <c r="Z594" s="552">
        <v>308850</v>
      </c>
      <c r="AA594" s="552">
        <v>71</v>
      </c>
      <c r="AB594" s="552">
        <v>308850</v>
      </c>
      <c r="AC594" s="552">
        <v>0</v>
      </c>
      <c r="AD594" s="552">
        <v>0</v>
      </c>
      <c r="AE594" s="552">
        <v>0</v>
      </c>
      <c r="AF594" s="552">
        <v>0</v>
      </c>
      <c r="AG594" s="552">
        <v>0</v>
      </c>
      <c r="AH594" s="552">
        <v>0</v>
      </c>
      <c r="AI594" s="552">
        <v>0</v>
      </c>
      <c r="AJ594" s="552">
        <v>0</v>
      </c>
    </row>
    <row r="595" spans="1:36" ht="15.95" customHeight="1">
      <c r="A595" s="547"/>
      <c r="B595" s="548">
        <v>1156</v>
      </c>
      <c r="C595" s="549">
        <v>7221</v>
      </c>
      <c r="D595" s="550" t="s">
        <v>12108</v>
      </c>
      <c r="E595" s="550" t="s">
        <v>5724</v>
      </c>
      <c r="F595" s="550" t="s">
        <v>5725</v>
      </c>
      <c r="G595" s="550" t="s">
        <v>1302</v>
      </c>
      <c r="H595" s="550" t="s">
        <v>238</v>
      </c>
      <c r="I595" s="550" t="s">
        <v>10</v>
      </c>
      <c r="J595" s="550" t="s">
        <v>12109</v>
      </c>
      <c r="K595" s="551">
        <v>44955</v>
      </c>
      <c r="L595" s="552">
        <v>598</v>
      </c>
      <c r="M595" s="552">
        <v>598</v>
      </c>
      <c r="N595" s="552">
        <v>598</v>
      </c>
      <c r="O595" s="552"/>
      <c r="P595" s="552"/>
      <c r="Q595" s="548">
        <v>20000</v>
      </c>
      <c r="R595" s="552">
        <v>11960000</v>
      </c>
      <c r="S595" s="548">
        <v>8905</v>
      </c>
      <c r="T595" s="552">
        <v>5325190</v>
      </c>
      <c r="U595" s="548">
        <v>11095</v>
      </c>
      <c r="V595" s="552">
        <v>6634810</v>
      </c>
      <c r="W595" s="552">
        <v>0</v>
      </c>
      <c r="X595" s="552">
        <v>0</v>
      </c>
      <c r="Y595" s="552">
        <v>8905</v>
      </c>
      <c r="Z595" s="552">
        <v>5325190</v>
      </c>
      <c r="AA595" s="552">
        <v>8905</v>
      </c>
      <c r="AB595" s="552">
        <v>5325190</v>
      </c>
      <c r="AC595" s="552">
        <v>0</v>
      </c>
      <c r="AD595" s="552">
        <v>0</v>
      </c>
      <c r="AE595" s="552">
        <v>0</v>
      </c>
      <c r="AF595" s="552">
        <v>0</v>
      </c>
      <c r="AG595" s="552">
        <v>0</v>
      </c>
      <c r="AH595" s="552">
        <v>0</v>
      </c>
      <c r="AI595" s="552">
        <v>0</v>
      </c>
      <c r="AJ595" s="552">
        <v>0</v>
      </c>
    </row>
    <row r="596" spans="1:36" ht="15.95" customHeight="1">
      <c r="A596" s="547"/>
      <c r="B596" s="548">
        <v>1157</v>
      </c>
      <c r="C596" s="549">
        <v>7221</v>
      </c>
      <c r="D596" s="550" t="s">
        <v>12108</v>
      </c>
      <c r="E596" s="550" t="s">
        <v>5724</v>
      </c>
      <c r="F596" s="550" t="s">
        <v>5725</v>
      </c>
      <c r="G596" s="550" t="s">
        <v>1302</v>
      </c>
      <c r="H596" s="550" t="s">
        <v>238</v>
      </c>
      <c r="I596" s="550" t="s">
        <v>10</v>
      </c>
      <c r="J596" s="550" t="s">
        <v>12110</v>
      </c>
      <c r="K596" s="551">
        <v>45003</v>
      </c>
      <c r="L596" s="552">
        <v>598</v>
      </c>
      <c r="M596" s="552">
        <v>598</v>
      </c>
      <c r="N596" s="552">
        <v>598</v>
      </c>
      <c r="O596" s="552"/>
      <c r="P596" s="552"/>
      <c r="Q596" s="548">
        <v>10000</v>
      </c>
      <c r="R596" s="552">
        <v>5980000</v>
      </c>
      <c r="S596" s="548">
        <v>0</v>
      </c>
      <c r="T596" s="552">
        <v>0</v>
      </c>
      <c r="U596" s="548">
        <v>10000</v>
      </c>
      <c r="V596" s="552">
        <v>5980000</v>
      </c>
      <c r="W596" s="552">
        <v>0</v>
      </c>
      <c r="X596" s="552">
        <v>0</v>
      </c>
      <c r="Y596" s="552">
        <v>0</v>
      </c>
      <c r="Z596" s="552">
        <v>0</v>
      </c>
      <c r="AA596" s="552">
        <v>0</v>
      </c>
      <c r="AB596" s="552">
        <v>0</v>
      </c>
      <c r="AC596" s="552">
        <v>0</v>
      </c>
      <c r="AD596" s="552">
        <v>0</v>
      </c>
      <c r="AE596" s="552">
        <v>0</v>
      </c>
      <c r="AF596" s="552">
        <v>0</v>
      </c>
      <c r="AG596" s="552">
        <v>0</v>
      </c>
      <c r="AH596" s="552">
        <v>0</v>
      </c>
      <c r="AI596" s="552">
        <v>0</v>
      </c>
      <c r="AJ596" s="552">
        <v>0</v>
      </c>
    </row>
    <row r="597" spans="1:36" ht="15.95" customHeight="1">
      <c r="A597" s="547"/>
      <c r="B597" s="548">
        <v>1158</v>
      </c>
      <c r="C597" s="549">
        <v>7223</v>
      </c>
      <c r="D597" s="550" t="s">
        <v>12111</v>
      </c>
      <c r="E597" s="550" t="s">
        <v>5735</v>
      </c>
      <c r="F597" s="550" t="s">
        <v>4440</v>
      </c>
      <c r="G597" s="550" t="s">
        <v>1302</v>
      </c>
      <c r="H597" s="550" t="s">
        <v>235</v>
      </c>
      <c r="I597" s="550" t="s">
        <v>10</v>
      </c>
      <c r="J597" s="550" t="s">
        <v>12112</v>
      </c>
      <c r="K597" s="551">
        <v>44953</v>
      </c>
      <c r="L597" s="552">
        <v>1148</v>
      </c>
      <c r="M597" s="552">
        <v>1148</v>
      </c>
      <c r="N597" s="552">
        <v>1148</v>
      </c>
      <c r="O597" s="552"/>
      <c r="P597" s="552"/>
      <c r="Q597" s="548">
        <v>20000</v>
      </c>
      <c r="R597" s="552">
        <v>22960000</v>
      </c>
      <c r="S597" s="548">
        <v>4504</v>
      </c>
      <c r="T597" s="552">
        <v>5170592</v>
      </c>
      <c r="U597" s="548">
        <v>15496</v>
      </c>
      <c r="V597" s="552">
        <v>17789408</v>
      </c>
      <c r="W597" s="552">
        <v>0</v>
      </c>
      <c r="X597" s="552">
        <v>0</v>
      </c>
      <c r="Y597" s="552">
        <v>4504</v>
      </c>
      <c r="Z597" s="552">
        <v>5170592</v>
      </c>
      <c r="AA597" s="552">
        <v>4504</v>
      </c>
      <c r="AB597" s="552">
        <v>5170592</v>
      </c>
      <c r="AC597" s="552">
        <v>0</v>
      </c>
      <c r="AD597" s="552">
        <v>0</v>
      </c>
      <c r="AE597" s="552">
        <v>0</v>
      </c>
      <c r="AF597" s="552">
        <v>0</v>
      </c>
      <c r="AG597" s="552">
        <v>0</v>
      </c>
      <c r="AH597" s="552">
        <v>0</v>
      </c>
      <c r="AI597" s="552">
        <v>0</v>
      </c>
      <c r="AJ597" s="552">
        <v>0</v>
      </c>
    </row>
    <row r="598" spans="1:36" ht="0.75" customHeight="1">
      <c r="A598" s="547"/>
      <c r="B598" s="718"/>
      <c r="C598" s="718"/>
      <c r="D598" s="718"/>
      <c r="E598" s="718"/>
      <c r="F598" s="718"/>
      <c r="G598" s="718"/>
      <c r="H598" s="718"/>
      <c r="I598" s="718"/>
      <c r="J598" s="718"/>
      <c r="K598" s="718"/>
      <c r="L598" s="718"/>
      <c r="M598" s="718"/>
      <c r="N598" s="718"/>
      <c r="O598" s="718"/>
      <c r="P598" s="718"/>
      <c r="Q598" s="553"/>
      <c r="R598" s="719"/>
      <c r="S598" s="719"/>
      <c r="T598" s="719"/>
      <c r="U598" s="719"/>
      <c r="V598" s="719"/>
      <c r="W598" s="719"/>
      <c r="X598" s="719"/>
      <c r="Y598" s="719"/>
      <c r="Z598" s="719"/>
      <c r="AA598" s="719"/>
      <c r="AB598" s="719"/>
      <c r="AC598" s="719"/>
      <c r="AD598" s="719"/>
      <c r="AE598" s="719"/>
      <c r="AF598" s="719"/>
      <c r="AG598" s="719"/>
      <c r="AH598" s="719"/>
      <c r="AI598" s="719"/>
      <c r="AJ598" s="719"/>
    </row>
    <row r="599" spans="1:36" ht="12.95" customHeight="1">
      <c r="A599" s="547"/>
      <c r="B599" s="720"/>
      <c r="C599" s="720"/>
      <c r="D599" s="720"/>
      <c r="E599" s="720"/>
      <c r="F599" s="720"/>
      <c r="G599" s="720"/>
      <c r="H599" s="720"/>
      <c r="I599" s="720"/>
      <c r="J599" s="720"/>
      <c r="K599" s="720"/>
      <c r="L599" s="720"/>
      <c r="M599" s="720"/>
      <c r="N599" s="720"/>
      <c r="O599" s="720"/>
      <c r="P599" s="720"/>
      <c r="Q599" s="554"/>
      <c r="R599" s="721"/>
      <c r="S599" s="721"/>
      <c r="T599" s="721"/>
      <c r="U599" s="721"/>
      <c r="V599" s="721"/>
      <c r="W599" s="721"/>
      <c r="X599" s="721"/>
      <c r="Y599" s="721"/>
      <c r="Z599" s="721"/>
      <c r="AA599" s="721"/>
      <c r="AB599" s="721"/>
      <c r="AC599" s="721"/>
      <c r="AD599" s="721"/>
      <c r="AE599" s="721"/>
      <c r="AF599" s="721"/>
      <c r="AG599" s="721"/>
      <c r="AH599" s="721"/>
      <c r="AI599" s="721"/>
      <c r="AJ599" s="721"/>
    </row>
    <row r="600" spans="1:36" ht="0.75" customHeight="1">
      <c r="A600" s="547"/>
      <c r="B600" s="714"/>
      <c r="C600" s="714"/>
      <c r="D600" s="714"/>
      <c r="E600" s="714"/>
      <c r="F600" s="714"/>
      <c r="G600" s="714"/>
      <c r="H600" s="714"/>
      <c r="I600" s="714"/>
      <c r="J600" s="714"/>
      <c r="K600" s="714"/>
      <c r="L600" s="714"/>
      <c r="M600" s="714"/>
      <c r="N600" s="714"/>
      <c r="O600" s="714"/>
      <c r="P600" s="714"/>
      <c r="Q600" s="555"/>
      <c r="R600" s="715"/>
      <c r="S600" s="715"/>
      <c r="T600" s="715"/>
      <c r="U600" s="715"/>
      <c r="V600" s="715"/>
      <c r="W600" s="715"/>
      <c r="X600" s="715"/>
      <c r="Y600" s="715"/>
      <c r="Z600" s="715"/>
      <c r="AA600" s="715"/>
      <c r="AB600" s="715"/>
      <c r="AC600" s="715"/>
      <c r="AD600" s="715"/>
      <c r="AE600" s="715"/>
      <c r="AF600" s="715"/>
      <c r="AG600" s="715"/>
      <c r="AH600" s="715"/>
      <c r="AI600" s="715"/>
      <c r="AJ600" s="715"/>
    </row>
    <row r="601" spans="1:36" ht="13.7" customHeight="1">
      <c r="A601" s="717" t="s">
        <v>12113</v>
      </c>
      <c r="B601" s="717"/>
      <c r="C601" s="717"/>
      <c r="D601" s="717"/>
      <c r="E601" s="717"/>
      <c r="F601" s="717"/>
      <c r="G601" s="717"/>
      <c r="H601" s="717"/>
      <c r="I601" s="717"/>
      <c r="J601" s="717"/>
      <c r="K601" s="717"/>
      <c r="L601" s="717"/>
      <c r="M601" s="717"/>
      <c r="N601" s="717"/>
      <c r="O601" s="717"/>
      <c r="P601" s="717"/>
      <c r="Q601" s="717"/>
      <c r="R601" s="717"/>
      <c r="S601" s="717"/>
      <c r="T601" s="717"/>
      <c r="U601" s="717"/>
      <c r="V601" s="717"/>
      <c r="W601" s="717"/>
      <c r="X601" s="717"/>
      <c r="Y601" s="717"/>
      <c r="Z601" s="717"/>
      <c r="AA601" s="717"/>
      <c r="AB601" s="717"/>
      <c r="AC601" s="717"/>
      <c r="AD601" s="717"/>
      <c r="AE601" s="717"/>
      <c r="AF601" s="717"/>
      <c r="AG601" s="717"/>
      <c r="AH601" s="717"/>
      <c r="AI601" s="717"/>
      <c r="AJ601" s="717"/>
    </row>
    <row r="602" spans="1:36" ht="15.95" customHeight="1">
      <c r="A602" s="547"/>
      <c r="B602" s="548">
        <v>63</v>
      </c>
      <c r="C602" s="549">
        <v>6575</v>
      </c>
      <c r="D602" s="550" t="s">
        <v>12114</v>
      </c>
      <c r="E602" s="550" t="s">
        <v>5796</v>
      </c>
      <c r="F602" s="550" t="s">
        <v>2438</v>
      </c>
      <c r="G602" s="550" t="s">
        <v>2439</v>
      </c>
      <c r="H602" s="550" t="s">
        <v>2440</v>
      </c>
      <c r="I602" s="550" t="s">
        <v>15</v>
      </c>
      <c r="J602" s="550" t="s">
        <v>12115</v>
      </c>
      <c r="K602" s="551">
        <v>44700</v>
      </c>
      <c r="L602" s="552">
        <v>67725</v>
      </c>
      <c r="M602" s="552">
        <v>67725</v>
      </c>
      <c r="N602" s="552">
        <v>67725</v>
      </c>
      <c r="O602" s="552"/>
      <c r="P602" s="552"/>
      <c r="Q602" s="548">
        <v>30</v>
      </c>
      <c r="R602" s="552">
        <v>2031750</v>
      </c>
      <c r="S602" s="548">
        <v>20</v>
      </c>
      <c r="T602" s="552">
        <v>1354500</v>
      </c>
      <c r="U602" s="548">
        <v>10</v>
      </c>
      <c r="V602" s="552">
        <v>677250</v>
      </c>
      <c r="W602" s="552">
        <v>0</v>
      </c>
      <c r="X602" s="552">
        <v>0</v>
      </c>
      <c r="Y602" s="552">
        <v>0</v>
      </c>
      <c r="Z602" s="552">
        <v>0</v>
      </c>
      <c r="AA602" s="552">
        <v>0</v>
      </c>
      <c r="AB602" s="552">
        <v>0</v>
      </c>
      <c r="AC602" s="552">
        <v>0</v>
      </c>
      <c r="AD602" s="552">
        <v>0</v>
      </c>
      <c r="AE602" s="552">
        <v>0</v>
      </c>
      <c r="AF602" s="552">
        <v>0</v>
      </c>
      <c r="AG602" s="552">
        <v>20</v>
      </c>
      <c r="AH602" s="552">
        <v>1354500</v>
      </c>
      <c r="AI602" s="552">
        <v>0</v>
      </c>
      <c r="AJ602" s="552">
        <v>0</v>
      </c>
    </row>
    <row r="603" spans="1:36" ht="15.95" customHeight="1">
      <c r="A603" s="547"/>
      <c r="B603" s="548">
        <v>449</v>
      </c>
      <c r="C603" s="549">
        <v>6580</v>
      </c>
      <c r="D603" s="550" t="s">
        <v>12116</v>
      </c>
      <c r="E603" s="550" t="s">
        <v>7036</v>
      </c>
      <c r="F603" s="550" t="s">
        <v>2565</v>
      </c>
      <c r="G603" s="550" t="s">
        <v>513</v>
      </c>
      <c r="H603" s="550" t="s">
        <v>7037</v>
      </c>
      <c r="I603" s="550" t="s">
        <v>15</v>
      </c>
      <c r="J603" s="550" t="s">
        <v>12117</v>
      </c>
      <c r="K603" s="551">
        <v>45352</v>
      </c>
      <c r="L603" s="552">
        <v>8190</v>
      </c>
      <c r="M603" s="552">
        <v>8190</v>
      </c>
      <c r="N603" s="552">
        <v>8190</v>
      </c>
      <c r="O603" s="552"/>
      <c r="P603" s="552"/>
      <c r="Q603" s="548">
        <v>300</v>
      </c>
      <c r="R603" s="552">
        <v>2457000</v>
      </c>
      <c r="S603" s="548">
        <v>0</v>
      </c>
      <c r="T603" s="552">
        <v>0</v>
      </c>
      <c r="U603" s="548">
        <v>300</v>
      </c>
      <c r="V603" s="552">
        <v>2457000</v>
      </c>
      <c r="W603" s="552">
        <v>0</v>
      </c>
      <c r="X603" s="552">
        <v>0</v>
      </c>
      <c r="Y603" s="552">
        <v>0</v>
      </c>
      <c r="Z603" s="552">
        <v>0</v>
      </c>
      <c r="AA603" s="552">
        <v>0</v>
      </c>
      <c r="AB603" s="552">
        <v>0</v>
      </c>
      <c r="AC603" s="552">
        <v>0</v>
      </c>
      <c r="AD603" s="552">
        <v>0</v>
      </c>
      <c r="AE603" s="552">
        <v>0</v>
      </c>
      <c r="AF603" s="552">
        <v>0</v>
      </c>
      <c r="AG603" s="552">
        <v>0</v>
      </c>
      <c r="AH603" s="552">
        <v>0</v>
      </c>
      <c r="AI603" s="552">
        <v>0</v>
      </c>
      <c r="AJ603" s="552">
        <v>0</v>
      </c>
    </row>
    <row r="604" spans="1:36" ht="15.95" customHeight="1">
      <c r="A604" s="547"/>
      <c r="B604" s="548">
        <v>450</v>
      </c>
      <c r="C604" s="549">
        <v>7305</v>
      </c>
      <c r="D604" s="550" t="s">
        <v>12118</v>
      </c>
      <c r="E604" s="550" t="s">
        <v>4444</v>
      </c>
      <c r="F604" s="550" t="s">
        <v>3604</v>
      </c>
      <c r="G604" s="550" t="s">
        <v>513</v>
      </c>
      <c r="H604" s="550" t="s">
        <v>4445</v>
      </c>
      <c r="I604" s="550" t="s">
        <v>18</v>
      </c>
      <c r="J604" s="550" t="s">
        <v>12119</v>
      </c>
      <c r="K604" s="551">
        <v>45194</v>
      </c>
      <c r="L604" s="552">
        <v>8715</v>
      </c>
      <c r="M604" s="552">
        <v>8715</v>
      </c>
      <c r="N604" s="552">
        <v>8715</v>
      </c>
      <c r="O604" s="552">
        <v>200</v>
      </c>
      <c r="P604" s="552">
        <v>1743000</v>
      </c>
      <c r="Q604" s="548">
        <v>1</v>
      </c>
      <c r="R604" s="552">
        <v>8715</v>
      </c>
      <c r="S604" s="548">
        <v>196</v>
      </c>
      <c r="T604" s="552">
        <v>1708140</v>
      </c>
      <c r="U604" s="548">
        <v>5</v>
      </c>
      <c r="V604" s="552">
        <v>43575</v>
      </c>
      <c r="W604" s="552">
        <v>0</v>
      </c>
      <c r="X604" s="552">
        <v>0</v>
      </c>
      <c r="Y604" s="552">
        <v>201</v>
      </c>
      <c r="Z604" s="552">
        <v>1751715</v>
      </c>
      <c r="AA604" s="552">
        <v>0</v>
      </c>
      <c r="AB604" s="552">
        <v>0</v>
      </c>
      <c r="AC604" s="552">
        <v>201</v>
      </c>
      <c r="AD604" s="552">
        <v>1751715</v>
      </c>
      <c r="AE604" s="552">
        <v>0</v>
      </c>
      <c r="AF604" s="552">
        <v>0</v>
      </c>
      <c r="AG604" s="552">
        <v>0</v>
      </c>
      <c r="AH604" s="552">
        <v>0</v>
      </c>
      <c r="AI604" s="552">
        <v>0</v>
      </c>
      <c r="AJ604" s="552">
        <v>0</v>
      </c>
    </row>
    <row r="605" spans="1:36" ht="15.95" customHeight="1">
      <c r="A605" s="547"/>
      <c r="B605" s="548">
        <v>451</v>
      </c>
      <c r="C605" s="549">
        <v>7305</v>
      </c>
      <c r="D605" s="550" t="s">
        <v>12118</v>
      </c>
      <c r="E605" s="550" t="s">
        <v>4444</v>
      </c>
      <c r="F605" s="550" t="s">
        <v>3604</v>
      </c>
      <c r="G605" s="550" t="s">
        <v>513</v>
      </c>
      <c r="H605" s="550" t="s">
        <v>4445</v>
      </c>
      <c r="I605" s="550" t="s">
        <v>18</v>
      </c>
      <c r="J605" s="550" t="s">
        <v>12120</v>
      </c>
      <c r="K605" s="551">
        <v>45211</v>
      </c>
      <c r="L605" s="552">
        <v>8715</v>
      </c>
      <c r="M605" s="552">
        <v>8715</v>
      </c>
      <c r="N605" s="552">
        <v>8715</v>
      </c>
      <c r="O605" s="552">
        <v>440</v>
      </c>
      <c r="P605" s="552">
        <v>3834600</v>
      </c>
      <c r="Q605" s="548">
        <v>5</v>
      </c>
      <c r="R605" s="552">
        <v>43575</v>
      </c>
      <c r="S605" s="548">
        <v>252</v>
      </c>
      <c r="T605" s="552">
        <v>2196180</v>
      </c>
      <c r="U605" s="548">
        <v>193</v>
      </c>
      <c r="V605" s="552">
        <v>1681995</v>
      </c>
      <c r="W605" s="552">
        <v>3</v>
      </c>
      <c r="X605" s="552">
        <v>26145</v>
      </c>
      <c r="Y605" s="552">
        <v>187</v>
      </c>
      <c r="Z605" s="552">
        <v>1629705</v>
      </c>
      <c r="AA605" s="552">
        <v>0</v>
      </c>
      <c r="AB605" s="552">
        <v>0</v>
      </c>
      <c r="AC605" s="552">
        <v>187</v>
      </c>
      <c r="AD605" s="552">
        <v>1629705</v>
      </c>
      <c r="AE605" s="552">
        <v>0</v>
      </c>
      <c r="AF605" s="552">
        <v>0</v>
      </c>
      <c r="AG605" s="552">
        <v>65</v>
      </c>
      <c r="AH605" s="552">
        <v>566475</v>
      </c>
      <c r="AI605" s="552">
        <v>0</v>
      </c>
      <c r="AJ605" s="552">
        <v>0</v>
      </c>
    </row>
    <row r="606" spans="1:36" ht="15.95" customHeight="1">
      <c r="A606" s="547"/>
      <c r="B606" s="548">
        <v>649</v>
      </c>
      <c r="C606" s="549">
        <v>6582</v>
      </c>
      <c r="D606" s="550" t="s">
        <v>12121</v>
      </c>
      <c r="E606" s="550" t="s">
        <v>4446</v>
      </c>
      <c r="F606" s="550" t="s">
        <v>2515</v>
      </c>
      <c r="G606" s="550" t="s">
        <v>2516</v>
      </c>
      <c r="H606" s="550" t="s">
        <v>4447</v>
      </c>
      <c r="I606" s="550" t="s">
        <v>15</v>
      </c>
      <c r="J606" s="550" t="s">
        <v>4448</v>
      </c>
      <c r="K606" s="551">
        <v>44871</v>
      </c>
      <c r="L606" s="552">
        <v>18900</v>
      </c>
      <c r="M606" s="552">
        <v>18900</v>
      </c>
      <c r="N606" s="552">
        <v>18900</v>
      </c>
      <c r="O606" s="552">
        <v>38</v>
      </c>
      <c r="P606" s="552">
        <v>718200</v>
      </c>
      <c r="Q606" s="548">
        <v>0</v>
      </c>
      <c r="R606" s="552">
        <v>0</v>
      </c>
      <c r="S606" s="548">
        <v>7</v>
      </c>
      <c r="T606" s="552">
        <v>132300</v>
      </c>
      <c r="U606" s="548">
        <v>31</v>
      </c>
      <c r="V606" s="552">
        <v>585900</v>
      </c>
      <c r="W606" s="552">
        <v>0</v>
      </c>
      <c r="X606" s="552">
        <v>0</v>
      </c>
      <c r="Y606" s="552">
        <v>2</v>
      </c>
      <c r="Z606" s="552">
        <v>37800</v>
      </c>
      <c r="AA606" s="552">
        <v>0</v>
      </c>
      <c r="AB606" s="552">
        <v>0</v>
      </c>
      <c r="AC606" s="552">
        <v>2</v>
      </c>
      <c r="AD606" s="552">
        <v>37800</v>
      </c>
      <c r="AE606" s="552">
        <v>0</v>
      </c>
      <c r="AF606" s="552">
        <v>0</v>
      </c>
      <c r="AG606" s="552">
        <v>5</v>
      </c>
      <c r="AH606" s="552">
        <v>94500</v>
      </c>
      <c r="AI606" s="552">
        <v>0</v>
      </c>
      <c r="AJ606" s="552">
        <v>0</v>
      </c>
    </row>
    <row r="607" spans="1:36" ht="15.95" customHeight="1">
      <c r="A607" s="547"/>
      <c r="B607" s="548">
        <v>727</v>
      </c>
      <c r="C607" s="549">
        <v>6585</v>
      </c>
      <c r="D607" s="550" t="s">
        <v>12122</v>
      </c>
      <c r="E607" s="550" t="s">
        <v>4442</v>
      </c>
      <c r="F607" s="550" t="s">
        <v>1068</v>
      </c>
      <c r="G607" s="550" t="s">
        <v>747</v>
      </c>
      <c r="H607" s="550" t="s">
        <v>4449</v>
      </c>
      <c r="I607" s="550" t="s">
        <v>15</v>
      </c>
      <c r="J607" s="550" t="s">
        <v>12123</v>
      </c>
      <c r="K607" s="551">
        <v>45263</v>
      </c>
      <c r="L607" s="552">
        <v>8820</v>
      </c>
      <c r="M607" s="552">
        <v>8820</v>
      </c>
      <c r="N607" s="552">
        <v>8820</v>
      </c>
      <c r="O607" s="552"/>
      <c r="P607" s="552"/>
      <c r="Q607" s="548">
        <v>602</v>
      </c>
      <c r="R607" s="552">
        <v>5309640</v>
      </c>
      <c r="S607" s="548">
        <v>600</v>
      </c>
      <c r="T607" s="552">
        <v>5292000</v>
      </c>
      <c r="U607" s="548">
        <v>2</v>
      </c>
      <c r="V607" s="552">
        <v>17640</v>
      </c>
      <c r="W607" s="552">
        <v>0</v>
      </c>
      <c r="X607" s="552">
        <v>0</v>
      </c>
      <c r="Y607" s="552">
        <v>600</v>
      </c>
      <c r="Z607" s="552">
        <v>5292000</v>
      </c>
      <c r="AA607" s="552">
        <v>0</v>
      </c>
      <c r="AB607" s="552">
        <v>0</v>
      </c>
      <c r="AC607" s="552">
        <v>600</v>
      </c>
      <c r="AD607" s="552">
        <v>5292000</v>
      </c>
      <c r="AE607" s="552">
        <v>0</v>
      </c>
      <c r="AF607" s="552">
        <v>0</v>
      </c>
      <c r="AG607" s="552">
        <v>0</v>
      </c>
      <c r="AH607" s="552">
        <v>0</v>
      </c>
      <c r="AI607" s="552">
        <v>0</v>
      </c>
      <c r="AJ607" s="552">
        <v>0</v>
      </c>
    </row>
    <row r="608" spans="1:36" ht="15.95" customHeight="1">
      <c r="A608" s="547"/>
      <c r="B608" s="548">
        <v>728</v>
      </c>
      <c r="C608" s="549">
        <v>6585</v>
      </c>
      <c r="D608" s="550" t="s">
        <v>12122</v>
      </c>
      <c r="E608" s="550" t="s">
        <v>4442</v>
      </c>
      <c r="F608" s="550" t="s">
        <v>1068</v>
      </c>
      <c r="G608" s="550" t="s">
        <v>747</v>
      </c>
      <c r="H608" s="550" t="s">
        <v>4449</v>
      </c>
      <c r="I608" s="550" t="s">
        <v>15</v>
      </c>
      <c r="J608" s="550" t="s">
        <v>12124</v>
      </c>
      <c r="K608" s="551">
        <v>45375</v>
      </c>
      <c r="L608" s="552">
        <v>8820</v>
      </c>
      <c r="M608" s="552">
        <v>8820</v>
      </c>
      <c r="N608" s="552">
        <v>8820</v>
      </c>
      <c r="O608" s="552"/>
      <c r="P608" s="552"/>
      <c r="Q608" s="548">
        <v>984</v>
      </c>
      <c r="R608" s="552">
        <v>8678880</v>
      </c>
      <c r="S608" s="548">
        <v>735</v>
      </c>
      <c r="T608" s="552">
        <v>6482700</v>
      </c>
      <c r="U608" s="548">
        <v>249</v>
      </c>
      <c r="V608" s="552">
        <v>2196180</v>
      </c>
      <c r="W608" s="552">
        <v>10</v>
      </c>
      <c r="X608" s="552">
        <v>88200</v>
      </c>
      <c r="Y608" s="552">
        <v>409</v>
      </c>
      <c r="Z608" s="552">
        <v>3607380</v>
      </c>
      <c r="AA608" s="552">
        <v>0</v>
      </c>
      <c r="AB608" s="552">
        <v>0</v>
      </c>
      <c r="AC608" s="552">
        <v>409</v>
      </c>
      <c r="AD608" s="552">
        <v>3607380</v>
      </c>
      <c r="AE608" s="552">
        <v>0</v>
      </c>
      <c r="AF608" s="552">
        <v>0</v>
      </c>
      <c r="AG608" s="552">
        <v>326</v>
      </c>
      <c r="AH608" s="552">
        <v>2875320</v>
      </c>
      <c r="AI608" s="552">
        <v>0</v>
      </c>
      <c r="AJ608" s="552">
        <v>0</v>
      </c>
    </row>
    <row r="609" spans="1:36" ht="15.95" customHeight="1">
      <c r="A609" s="547"/>
      <c r="B609" s="548">
        <v>729</v>
      </c>
      <c r="C609" s="549">
        <v>6585</v>
      </c>
      <c r="D609" s="550" t="s">
        <v>12122</v>
      </c>
      <c r="E609" s="550" t="s">
        <v>4442</v>
      </c>
      <c r="F609" s="550" t="s">
        <v>1068</v>
      </c>
      <c r="G609" s="550" t="s">
        <v>747</v>
      </c>
      <c r="H609" s="550" t="s">
        <v>4449</v>
      </c>
      <c r="I609" s="550" t="s">
        <v>15</v>
      </c>
      <c r="J609" s="550" t="s">
        <v>12125</v>
      </c>
      <c r="K609" s="551">
        <v>45407</v>
      </c>
      <c r="L609" s="552">
        <v>8820</v>
      </c>
      <c r="M609" s="552">
        <v>8820</v>
      </c>
      <c r="N609" s="552">
        <v>8820</v>
      </c>
      <c r="O609" s="552"/>
      <c r="P609" s="552"/>
      <c r="Q609" s="548">
        <v>1000</v>
      </c>
      <c r="R609" s="552">
        <v>8820000</v>
      </c>
      <c r="S609" s="548">
        <v>0</v>
      </c>
      <c r="T609" s="552">
        <v>0</v>
      </c>
      <c r="U609" s="548">
        <v>1000</v>
      </c>
      <c r="V609" s="552">
        <v>8820000</v>
      </c>
      <c r="W609" s="552">
        <v>0</v>
      </c>
      <c r="X609" s="552">
        <v>0</v>
      </c>
      <c r="Y609" s="552">
        <v>0</v>
      </c>
      <c r="Z609" s="552">
        <v>0</v>
      </c>
      <c r="AA609" s="552">
        <v>0</v>
      </c>
      <c r="AB609" s="552">
        <v>0</v>
      </c>
      <c r="AC609" s="552">
        <v>0</v>
      </c>
      <c r="AD609" s="552">
        <v>0</v>
      </c>
      <c r="AE609" s="552">
        <v>0</v>
      </c>
      <c r="AF609" s="552">
        <v>0</v>
      </c>
      <c r="AG609" s="552">
        <v>0</v>
      </c>
      <c r="AH609" s="552">
        <v>0</v>
      </c>
      <c r="AI609" s="552">
        <v>0</v>
      </c>
      <c r="AJ609" s="552">
        <v>0</v>
      </c>
    </row>
    <row r="610" spans="1:36" ht="15.95" customHeight="1">
      <c r="A610" s="547"/>
      <c r="B610" s="548">
        <v>730</v>
      </c>
      <c r="C610" s="549">
        <v>6585</v>
      </c>
      <c r="D610" s="550" t="s">
        <v>12122</v>
      </c>
      <c r="E610" s="550" t="s">
        <v>4442</v>
      </c>
      <c r="F610" s="550" t="s">
        <v>1068</v>
      </c>
      <c r="G610" s="550" t="s">
        <v>747</v>
      </c>
      <c r="H610" s="550" t="s">
        <v>4449</v>
      </c>
      <c r="I610" s="550" t="s">
        <v>15</v>
      </c>
      <c r="J610" s="550" t="s">
        <v>12126</v>
      </c>
      <c r="K610" s="551">
        <v>45422</v>
      </c>
      <c r="L610" s="552">
        <v>8820</v>
      </c>
      <c r="M610" s="552">
        <v>8820</v>
      </c>
      <c r="N610" s="552">
        <v>8820</v>
      </c>
      <c r="O610" s="552"/>
      <c r="P610" s="552"/>
      <c r="Q610" s="548">
        <v>1000</v>
      </c>
      <c r="R610" s="552">
        <v>8820000</v>
      </c>
      <c r="S610" s="548">
        <v>0</v>
      </c>
      <c r="T610" s="552">
        <v>0</v>
      </c>
      <c r="U610" s="548">
        <v>1000</v>
      </c>
      <c r="V610" s="552">
        <v>8820000</v>
      </c>
      <c r="W610" s="552">
        <v>0</v>
      </c>
      <c r="X610" s="552">
        <v>0</v>
      </c>
      <c r="Y610" s="552">
        <v>0</v>
      </c>
      <c r="Z610" s="552">
        <v>0</v>
      </c>
      <c r="AA610" s="552">
        <v>0</v>
      </c>
      <c r="AB610" s="552">
        <v>0</v>
      </c>
      <c r="AC610" s="552">
        <v>0</v>
      </c>
      <c r="AD610" s="552">
        <v>0</v>
      </c>
      <c r="AE610" s="552">
        <v>0</v>
      </c>
      <c r="AF610" s="552">
        <v>0</v>
      </c>
      <c r="AG610" s="552">
        <v>0</v>
      </c>
      <c r="AH610" s="552">
        <v>0</v>
      </c>
      <c r="AI610" s="552">
        <v>0</v>
      </c>
      <c r="AJ610" s="552">
        <v>0</v>
      </c>
    </row>
    <row r="611" spans="1:36" ht="15.95" customHeight="1">
      <c r="A611" s="547"/>
      <c r="B611" s="548">
        <v>731</v>
      </c>
      <c r="C611" s="549">
        <v>6587</v>
      </c>
      <c r="D611" s="550" t="s">
        <v>12127</v>
      </c>
      <c r="E611" s="550" t="s">
        <v>7068</v>
      </c>
      <c r="F611" s="550" t="s">
        <v>1068</v>
      </c>
      <c r="G611" s="550" t="s">
        <v>747</v>
      </c>
      <c r="H611" s="550" t="s">
        <v>4449</v>
      </c>
      <c r="I611" s="550" t="s">
        <v>15</v>
      </c>
      <c r="J611" s="550" t="s">
        <v>12128</v>
      </c>
      <c r="K611" s="551">
        <v>45202</v>
      </c>
      <c r="L611" s="552">
        <v>8820</v>
      </c>
      <c r="M611" s="552">
        <v>8820</v>
      </c>
      <c r="N611" s="552">
        <v>8820</v>
      </c>
      <c r="O611" s="552">
        <v>815</v>
      </c>
      <c r="P611" s="552">
        <v>7188300</v>
      </c>
      <c r="Q611" s="548">
        <v>1</v>
      </c>
      <c r="R611" s="552">
        <v>8820</v>
      </c>
      <c r="S611" s="548">
        <v>816</v>
      </c>
      <c r="T611" s="552">
        <v>7197120</v>
      </c>
      <c r="U611" s="548">
        <v>0</v>
      </c>
      <c r="V611" s="552">
        <v>0</v>
      </c>
      <c r="W611" s="552">
        <v>0</v>
      </c>
      <c r="X611" s="552">
        <v>0</v>
      </c>
      <c r="Y611" s="552">
        <v>816</v>
      </c>
      <c r="Z611" s="552">
        <v>7197120</v>
      </c>
      <c r="AA611" s="552">
        <v>0</v>
      </c>
      <c r="AB611" s="552">
        <v>0</v>
      </c>
      <c r="AC611" s="552">
        <v>816</v>
      </c>
      <c r="AD611" s="552">
        <v>7197120</v>
      </c>
      <c r="AE611" s="552">
        <v>0</v>
      </c>
      <c r="AF611" s="552">
        <v>0</v>
      </c>
      <c r="AG611" s="552">
        <v>0</v>
      </c>
      <c r="AH611" s="552">
        <v>0</v>
      </c>
      <c r="AI611" s="552">
        <v>0</v>
      </c>
      <c r="AJ611" s="552">
        <v>0</v>
      </c>
    </row>
    <row r="612" spans="1:36" ht="15.95" customHeight="1">
      <c r="A612" s="547"/>
      <c r="B612" s="548">
        <v>732</v>
      </c>
      <c r="C612" s="549">
        <v>6587</v>
      </c>
      <c r="D612" s="550" t="s">
        <v>12127</v>
      </c>
      <c r="E612" s="550" t="s">
        <v>7068</v>
      </c>
      <c r="F612" s="550" t="s">
        <v>1068</v>
      </c>
      <c r="G612" s="550" t="s">
        <v>747</v>
      </c>
      <c r="H612" s="550" t="s">
        <v>4449</v>
      </c>
      <c r="I612" s="550" t="s">
        <v>15</v>
      </c>
      <c r="J612" s="550" t="s">
        <v>12129</v>
      </c>
      <c r="K612" s="551">
        <v>45205</v>
      </c>
      <c r="L612" s="552">
        <v>8820</v>
      </c>
      <c r="M612" s="552">
        <v>8820</v>
      </c>
      <c r="N612" s="552">
        <v>8820</v>
      </c>
      <c r="O612" s="552">
        <v>40</v>
      </c>
      <c r="P612" s="552">
        <v>352800</v>
      </c>
      <c r="Q612" s="548">
        <v>0</v>
      </c>
      <c r="R612" s="552">
        <v>0</v>
      </c>
      <c r="S612" s="548">
        <v>40</v>
      </c>
      <c r="T612" s="552">
        <v>352800</v>
      </c>
      <c r="U612" s="548">
        <v>0</v>
      </c>
      <c r="V612" s="552">
        <v>0</v>
      </c>
      <c r="W612" s="552">
        <v>0</v>
      </c>
      <c r="X612" s="552">
        <v>0</v>
      </c>
      <c r="Y612" s="552">
        <v>30</v>
      </c>
      <c r="Z612" s="552">
        <v>264600</v>
      </c>
      <c r="AA612" s="552">
        <v>0</v>
      </c>
      <c r="AB612" s="552">
        <v>0</v>
      </c>
      <c r="AC612" s="552">
        <v>30</v>
      </c>
      <c r="AD612" s="552">
        <v>264600</v>
      </c>
      <c r="AE612" s="552">
        <v>0</v>
      </c>
      <c r="AF612" s="552">
        <v>0</v>
      </c>
      <c r="AG612" s="552">
        <v>10</v>
      </c>
      <c r="AH612" s="552">
        <v>88200</v>
      </c>
      <c r="AI612" s="552">
        <v>0</v>
      </c>
      <c r="AJ612" s="552">
        <v>0</v>
      </c>
    </row>
    <row r="613" spans="1:36" ht="15.95" customHeight="1">
      <c r="A613" s="547"/>
      <c r="B613" s="548">
        <v>733</v>
      </c>
      <c r="C613" s="549">
        <v>6587</v>
      </c>
      <c r="D613" s="550" t="s">
        <v>12127</v>
      </c>
      <c r="E613" s="550" t="s">
        <v>7068</v>
      </c>
      <c r="F613" s="550" t="s">
        <v>1068</v>
      </c>
      <c r="G613" s="550" t="s">
        <v>747</v>
      </c>
      <c r="H613" s="550" t="s">
        <v>4449</v>
      </c>
      <c r="I613" s="550" t="s">
        <v>15</v>
      </c>
      <c r="J613" s="550" t="s">
        <v>12130</v>
      </c>
      <c r="K613" s="551">
        <v>45255</v>
      </c>
      <c r="L613" s="552">
        <v>8820</v>
      </c>
      <c r="M613" s="552">
        <v>8820</v>
      </c>
      <c r="N613" s="552">
        <v>8820</v>
      </c>
      <c r="O613" s="552"/>
      <c r="P613" s="552"/>
      <c r="Q613" s="548">
        <v>427</v>
      </c>
      <c r="R613" s="552">
        <v>3766140</v>
      </c>
      <c r="S613" s="548">
        <v>420</v>
      </c>
      <c r="T613" s="552">
        <v>3704400</v>
      </c>
      <c r="U613" s="548">
        <v>7</v>
      </c>
      <c r="V613" s="552">
        <v>61740</v>
      </c>
      <c r="W613" s="552">
        <v>0</v>
      </c>
      <c r="X613" s="552">
        <v>0</v>
      </c>
      <c r="Y613" s="552">
        <v>365</v>
      </c>
      <c r="Z613" s="552">
        <v>3219300</v>
      </c>
      <c r="AA613" s="552">
        <v>0</v>
      </c>
      <c r="AB613" s="552">
        <v>0</v>
      </c>
      <c r="AC613" s="552">
        <v>365</v>
      </c>
      <c r="AD613" s="552">
        <v>3219300</v>
      </c>
      <c r="AE613" s="552">
        <v>0</v>
      </c>
      <c r="AF613" s="552">
        <v>0</v>
      </c>
      <c r="AG613" s="552">
        <v>60</v>
      </c>
      <c r="AH613" s="552">
        <v>529200</v>
      </c>
      <c r="AI613" s="552">
        <v>0</v>
      </c>
      <c r="AJ613" s="552">
        <v>0</v>
      </c>
    </row>
    <row r="614" spans="1:36" ht="15.95" customHeight="1">
      <c r="A614" s="547"/>
      <c r="B614" s="548">
        <v>873</v>
      </c>
      <c r="C614" s="549">
        <v>5654</v>
      </c>
      <c r="D614" s="550"/>
      <c r="E614" s="550" t="s">
        <v>4450</v>
      </c>
      <c r="F614" s="550" t="s">
        <v>2015</v>
      </c>
      <c r="G614" s="550" t="s">
        <v>4451</v>
      </c>
      <c r="H614" s="550" t="s">
        <v>4452</v>
      </c>
      <c r="I614" s="550" t="s">
        <v>18</v>
      </c>
      <c r="J614" s="550" t="s">
        <v>4453</v>
      </c>
      <c r="K614" s="551">
        <v>44197</v>
      </c>
      <c r="L614" s="552">
        <v>138000</v>
      </c>
      <c r="M614" s="552">
        <v>138000</v>
      </c>
      <c r="N614" s="552">
        <v>138000</v>
      </c>
      <c r="O614" s="552">
        <v>5</v>
      </c>
      <c r="P614" s="552">
        <v>690000</v>
      </c>
      <c r="Q614" s="548">
        <v>0</v>
      </c>
      <c r="R614" s="552">
        <v>0</v>
      </c>
      <c r="S614" s="548">
        <v>5</v>
      </c>
      <c r="T614" s="552">
        <v>690000</v>
      </c>
      <c r="U614" s="548">
        <v>0</v>
      </c>
      <c r="V614" s="552">
        <v>0</v>
      </c>
      <c r="W614" s="552">
        <v>0</v>
      </c>
      <c r="X614" s="552">
        <v>0</v>
      </c>
      <c r="Y614" s="552">
        <v>0</v>
      </c>
      <c r="Z614" s="552">
        <v>0</v>
      </c>
      <c r="AA614" s="552">
        <v>0</v>
      </c>
      <c r="AB614" s="552">
        <v>0</v>
      </c>
      <c r="AC614" s="552">
        <v>0</v>
      </c>
      <c r="AD614" s="552">
        <v>0</v>
      </c>
      <c r="AE614" s="552">
        <v>0</v>
      </c>
      <c r="AF614" s="552">
        <v>0</v>
      </c>
      <c r="AG614" s="552">
        <v>5</v>
      </c>
      <c r="AH614" s="552">
        <v>690000</v>
      </c>
      <c r="AI614" s="552">
        <v>0</v>
      </c>
      <c r="AJ614" s="552">
        <v>0</v>
      </c>
    </row>
    <row r="615" spans="1:36" ht="15.95" customHeight="1">
      <c r="A615" s="547"/>
      <c r="B615" s="548">
        <v>880</v>
      </c>
      <c r="C615" s="549">
        <v>6592</v>
      </c>
      <c r="D615" s="550" t="s">
        <v>12131</v>
      </c>
      <c r="E615" s="550" t="s">
        <v>4454</v>
      </c>
      <c r="F615" s="550" t="s">
        <v>2569</v>
      </c>
      <c r="G615" s="550" t="s">
        <v>758</v>
      </c>
      <c r="H615" s="550" t="s">
        <v>759</v>
      </c>
      <c r="I615" s="550" t="s">
        <v>15</v>
      </c>
      <c r="J615" s="550" t="s">
        <v>4455</v>
      </c>
      <c r="K615" s="551">
        <v>45027</v>
      </c>
      <c r="L615" s="552">
        <v>8925</v>
      </c>
      <c r="M615" s="552">
        <v>8925</v>
      </c>
      <c r="N615" s="552">
        <v>8925</v>
      </c>
      <c r="O615" s="552">
        <v>54</v>
      </c>
      <c r="P615" s="552">
        <v>481950</v>
      </c>
      <c r="Q615" s="548">
        <v>0</v>
      </c>
      <c r="R615" s="552">
        <v>0</v>
      </c>
      <c r="S615" s="548">
        <v>52</v>
      </c>
      <c r="T615" s="552">
        <v>464100</v>
      </c>
      <c r="U615" s="548">
        <v>2</v>
      </c>
      <c r="V615" s="552">
        <v>17850</v>
      </c>
      <c r="W615" s="552">
        <v>0</v>
      </c>
      <c r="X615" s="552">
        <v>0</v>
      </c>
      <c r="Y615" s="552">
        <v>52</v>
      </c>
      <c r="Z615" s="552">
        <v>464100</v>
      </c>
      <c r="AA615" s="552">
        <v>0</v>
      </c>
      <c r="AB615" s="552">
        <v>0</v>
      </c>
      <c r="AC615" s="552">
        <v>52</v>
      </c>
      <c r="AD615" s="552">
        <v>464100</v>
      </c>
      <c r="AE615" s="552">
        <v>0</v>
      </c>
      <c r="AF615" s="552">
        <v>0</v>
      </c>
      <c r="AG615" s="552">
        <v>0</v>
      </c>
      <c r="AH615" s="552">
        <v>0</v>
      </c>
      <c r="AI615" s="552">
        <v>0</v>
      </c>
      <c r="AJ615" s="552">
        <v>0</v>
      </c>
    </row>
    <row r="616" spans="1:36" ht="15.95" customHeight="1">
      <c r="A616" s="547"/>
      <c r="B616" s="548">
        <v>881</v>
      </c>
      <c r="C616" s="549">
        <v>6592</v>
      </c>
      <c r="D616" s="550" t="s">
        <v>12131</v>
      </c>
      <c r="E616" s="550" t="s">
        <v>4454</v>
      </c>
      <c r="F616" s="550" t="s">
        <v>2569</v>
      </c>
      <c r="G616" s="550" t="s">
        <v>758</v>
      </c>
      <c r="H616" s="550" t="s">
        <v>759</v>
      </c>
      <c r="I616" s="550" t="s">
        <v>15</v>
      </c>
      <c r="J616" s="550" t="s">
        <v>12132</v>
      </c>
      <c r="K616" s="551">
        <v>45347</v>
      </c>
      <c r="L616" s="552">
        <v>8925</v>
      </c>
      <c r="M616" s="552">
        <v>8925</v>
      </c>
      <c r="N616" s="552">
        <v>8925</v>
      </c>
      <c r="O616" s="552"/>
      <c r="P616" s="552"/>
      <c r="Q616" s="548">
        <v>500</v>
      </c>
      <c r="R616" s="552">
        <v>4462500</v>
      </c>
      <c r="S616" s="548">
        <v>0</v>
      </c>
      <c r="T616" s="552">
        <v>0</v>
      </c>
      <c r="U616" s="548">
        <v>500</v>
      </c>
      <c r="V616" s="552">
        <v>4462500</v>
      </c>
      <c r="W616" s="552">
        <v>0</v>
      </c>
      <c r="X616" s="552">
        <v>0</v>
      </c>
      <c r="Y616" s="552">
        <v>0</v>
      </c>
      <c r="Z616" s="552">
        <v>0</v>
      </c>
      <c r="AA616" s="552">
        <v>0</v>
      </c>
      <c r="AB616" s="552">
        <v>0</v>
      </c>
      <c r="AC616" s="552">
        <v>0</v>
      </c>
      <c r="AD616" s="552">
        <v>0</v>
      </c>
      <c r="AE616" s="552">
        <v>0</v>
      </c>
      <c r="AF616" s="552">
        <v>0</v>
      </c>
      <c r="AG616" s="552">
        <v>0</v>
      </c>
      <c r="AH616" s="552">
        <v>0</v>
      </c>
      <c r="AI616" s="552">
        <v>0</v>
      </c>
      <c r="AJ616" s="552">
        <v>0</v>
      </c>
    </row>
    <row r="617" spans="1:36" ht="15.95" customHeight="1">
      <c r="A617" s="547"/>
      <c r="B617" s="548">
        <v>882</v>
      </c>
      <c r="C617" s="549">
        <v>6593</v>
      </c>
      <c r="D617" s="550" t="s">
        <v>12133</v>
      </c>
      <c r="E617" s="550" t="s">
        <v>4456</v>
      </c>
      <c r="F617" s="550" t="s">
        <v>2569</v>
      </c>
      <c r="G617" s="550" t="s">
        <v>758</v>
      </c>
      <c r="H617" s="550" t="s">
        <v>759</v>
      </c>
      <c r="I617" s="550" t="s">
        <v>15</v>
      </c>
      <c r="J617" s="550" t="s">
        <v>12134</v>
      </c>
      <c r="K617" s="551">
        <v>45203</v>
      </c>
      <c r="L617" s="552">
        <v>8925</v>
      </c>
      <c r="M617" s="552">
        <v>8925</v>
      </c>
      <c r="N617" s="552">
        <v>8925</v>
      </c>
      <c r="O617" s="552">
        <v>500</v>
      </c>
      <c r="P617" s="552">
        <v>4462500</v>
      </c>
      <c r="Q617" s="548">
        <v>7</v>
      </c>
      <c r="R617" s="552">
        <v>62475</v>
      </c>
      <c r="S617" s="548">
        <v>506</v>
      </c>
      <c r="T617" s="552">
        <v>4516050</v>
      </c>
      <c r="U617" s="548">
        <v>1</v>
      </c>
      <c r="V617" s="552">
        <v>8925</v>
      </c>
      <c r="W617" s="552">
        <v>0</v>
      </c>
      <c r="X617" s="552">
        <v>0</v>
      </c>
      <c r="Y617" s="552">
        <v>426</v>
      </c>
      <c r="Z617" s="552">
        <v>3802050</v>
      </c>
      <c r="AA617" s="552">
        <v>0</v>
      </c>
      <c r="AB617" s="552">
        <v>0</v>
      </c>
      <c r="AC617" s="552">
        <v>426</v>
      </c>
      <c r="AD617" s="552">
        <v>3802050</v>
      </c>
      <c r="AE617" s="552">
        <v>0</v>
      </c>
      <c r="AF617" s="552">
        <v>0</v>
      </c>
      <c r="AG617" s="552">
        <v>80</v>
      </c>
      <c r="AH617" s="552">
        <v>714000</v>
      </c>
      <c r="AI617" s="552">
        <v>0</v>
      </c>
      <c r="AJ617" s="552">
        <v>0</v>
      </c>
    </row>
    <row r="618" spans="1:36" ht="15.95" customHeight="1">
      <c r="A618" s="547"/>
      <c r="B618" s="548">
        <v>883</v>
      </c>
      <c r="C618" s="549">
        <v>6593</v>
      </c>
      <c r="D618" s="550" t="s">
        <v>12133</v>
      </c>
      <c r="E618" s="550" t="s">
        <v>4456</v>
      </c>
      <c r="F618" s="550" t="s">
        <v>2569</v>
      </c>
      <c r="G618" s="550" t="s">
        <v>758</v>
      </c>
      <c r="H618" s="550" t="s">
        <v>759</v>
      </c>
      <c r="I618" s="550" t="s">
        <v>15</v>
      </c>
      <c r="J618" s="550" t="s">
        <v>12135</v>
      </c>
      <c r="K618" s="551">
        <v>45296</v>
      </c>
      <c r="L618" s="552">
        <v>8925</v>
      </c>
      <c r="M618" s="552">
        <v>8925</v>
      </c>
      <c r="N618" s="552">
        <v>8925</v>
      </c>
      <c r="O618" s="552"/>
      <c r="P618" s="552"/>
      <c r="Q618" s="548">
        <v>501</v>
      </c>
      <c r="R618" s="552">
        <v>4471425</v>
      </c>
      <c r="S618" s="548">
        <v>86</v>
      </c>
      <c r="T618" s="552">
        <v>767550</v>
      </c>
      <c r="U618" s="548">
        <v>415</v>
      </c>
      <c r="V618" s="552">
        <v>3703875</v>
      </c>
      <c r="W618" s="552">
        <v>5</v>
      </c>
      <c r="X618" s="552">
        <v>44625</v>
      </c>
      <c r="Y618" s="552">
        <v>86</v>
      </c>
      <c r="Z618" s="552">
        <v>767550</v>
      </c>
      <c r="AA618" s="552">
        <v>0</v>
      </c>
      <c r="AB618" s="552">
        <v>0</v>
      </c>
      <c r="AC618" s="552">
        <v>86</v>
      </c>
      <c r="AD618" s="552">
        <v>767550</v>
      </c>
      <c r="AE618" s="552">
        <v>0</v>
      </c>
      <c r="AF618" s="552">
        <v>0</v>
      </c>
      <c r="AG618" s="552">
        <v>0</v>
      </c>
      <c r="AH618" s="552">
        <v>0</v>
      </c>
      <c r="AI618" s="552">
        <v>0</v>
      </c>
      <c r="AJ618" s="552">
        <v>0</v>
      </c>
    </row>
    <row r="619" spans="1:36" ht="15.95" customHeight="1">
      <c r="A619" s="547"/>
      <c r="B619" s="548">
        <v>943</v>
      </c>
      <c r="C619" s="549">
        <v>6591</v>
      </c>
      <c r="D619" s="550" t="s">
        <v>12136</v>
      </c>
      <c r="E619" s="550" t="s">
        <v>5799</v>
      </c>
      <c r="F619" s="550" t="s">
        <v>5802</v>
      </c>
      <c r="G619" s="550" t="s">
        <v>5800</v>
      </c>
      <c r="H619" s="550" t="s">
        <v>5801</v>
      </c>
      <c r="I619" s="550" t="s">
        <v>15</v>
      </c>
      <c r="J619" s="550" t="s">
        <v>12137</v>
      </c>
      <c r="K619" s="551">
        <v>44787</v>
      </c>
      <c r="L619" s="552">
        <v>98000</v>
      </c>
      <c r="M619" s="552">
        <v>98000</v>
      </c>
      <c r="N619" s="552">
        <v>98000</v>
      </c>
      <c r="O619" s="552"/>
      <c r="P619" s="552"/>
      <c r="Q619" s="548">
        <v>10</v>
      </c>
      <c r="R619" s="552">
        <v>980000</v>
      </c>
      <c r="S619" s="548">
        <v>0</v>
      </c>
      <c r="T619" s="552">
        <v>0</v>
      </c>
      <c r="U619" s="548">
        <v>10</v>
      </c>
      <c r="V619" s="552">
        <v>980000</v>
      </c>
      <c r="W619" s="552">
        <v>0</v>
      </c>
      <c r="X619" s="552">
        <v>0</v>
      </c>
      <c r="Y619" s="552">
        <v>0</v>
      </c>
      <c r="Z619" s="552">
        <v>0</v>
      </c>
      <c r="AA619" s="552">
        <v>0</v>
      </c>
      <c r="AB619" s="552">
        <v>0</v>
      </c>
      <c r="AC619" s="552">
        <v>0</v>
      </c>
      <c r="AD619" s="552">
        <v>0</v>
      </c>
      <c r="AE619" s="552">
        <v>0</v>
      </c>
      <c r="AF619" s="552">
        <v>0</v>
      </c>
      <c r="AG619" s="552">
        <v>0</v>
      </c>
      <c r="AH619" s="552">
        <v>0</v>
      </c>
      <c r="AI619" s="552">
        <v>0</v>
      </c>
      <c r="AJ619" s="552">
        <v>0</v>
      </c>
    </row>
    <row r="620" spans="1:36" ht="0.75" customHeight="1">
      <c r="A620" s="547"/>
      <c r="B620" s="718"/>
      <c r="C620" s="718"/>
      <c r="D620" s="718"/>
      <c r="E620" s="718"/>
      <c r="F620" s="718"/>
      <c r="G620" s="718"/>
      <c r="H620" s="718"/>
      <c r="I620" s="718"/>
      <c r="J620" s="718"/>
      <c r="K620" s="718"/>
      <c r="L620" s="718"/>
      <c r="M620" s="718"/>
      <c r="N620" s="718"/>
      <c r="O620" s="718"/>
      <c r="P620" s="718"/>
      <c r="Q620" s="553"/>
      <c r="R620" s="719"/>
      <c r="S620" s="719"/>
      <c r="T620" s="719"/>
      <c r="U620" s="719"/>
      <c r="V620" s="719"/>
      <c r="W620" s="719"/>
      <c r="X620" s="719"/>
      <c r="Y620" s="719"/>
      <c r="Z620" s="719"/>
      <c r="AA620" s="719"/>
      <c r="AB620" s="719"/>
      <c r="AC620" s="719"/>
      <c r="AD620" s="719"/>
      <c r="AE620" s="719"/>
      <c r="AF620" s="719"/>
      <c r="AG620" s="719"/>
      <c r="AH620" s="719"/>
      <c r="AI620" s="719"/>
      <c r="AJ620" s="719"/>
    </row>
    <row r="621" spans="1:36" ht="12.95" customHeight="1">
      <c r="A621" s="547"/>
      <c r="B621" s="720"/>
      <c r="C621" s="720"/>
      <c r="D621" s="720"/>
      <c r="E621" s="720"/>
      <c r="F621" s="720"/>
      <c r="G621" s="720"/>
      <c r="H621" s="720"/>
      <c r="I621" s="720"/>
      <c r="J621" s="720"/>
      <c r="K621" s="720"/>
      <c r="L621" s="720"/>
      <c r="M621" s="720"/>
      <c r="N621" s="720"/>
      <c r="O621" s="720"/>
      <c r="P621" s="720"/>
      <c r="Q621" s="554"/>
      <c r="R621" s="721"/>
      <c r="S621" s="721"/>
      <c r="T621" s="721"/>
      <c r="U621" s="721"/>
      <c r="V621" s="721"/>
      <c r="W621" s="721"/>
      <c r="X621" s="721"/>
      <c r="Y621" s="721"/>
      <c r="Z621" s="721"/>
      <c r="AA621" s="721"/>
      <c r="AB621" s="721"/>
      <c r="AC621" s="721"/>
      <c r="AD621" s="721"/>
      <c r="AE621" s="721"/>
      <c r="AF621" s="721"/>
      <c r="AG621" s="721"/>
      <c r="AH621" s="721"/>
      <c r="AI621" s="721"/>
      <c r="AJ621" s="721"/>
    </row>
    <row r="622" spans="1:36" ht="0.75" customHeight="1">
      <c r="A622" s="547"/>
      <c r="B622" s="714"/>
      <c r="C622" s="714"/>
      <c r="D622" s="714"/>
      <c r="E622" s="714"/>
      <c r="F622" s="714"/>
      <c r="G622" s="714"/>
      <c r="H622" s="714"/>
      <c r="I622" s="714"/>
      <c r="J622" s="714"/>
      <c r="K622" s="714"/>
      <c r="L622" s="714"/>
      <c r="M622" s="714"/>
      <c r="N622" s="714"/>
      <c r="O622" s="714"/>
      <c r="P622" s="714"/>
      <c r="Q622" s="555"/>
      <c r="R622" s="715"/>
      <c r="S622" s="715"/>
      <c r="T622" s="715"/>
      <c r="U622" s="715"/>
      <c r="V622" s="715"/>
      <c r="W622" s="715"/>
      <c r="X622" s="715"/>
      <c r="Y622" s="715"/>
      <c r="Z622" s="715"/>
      <c r="AA622" s="715"/>
      <c r="AB622" s="715"/>
      <c r="AC622" s="715"/>
      <c r="AD622" s="715"/>
      <c r="AE622" s="715"/>
      <c r="AF622" s="715"/>
      <c r="AG622" s="715"/>
      <c r="AH622" s="715"/>
      <c r="AI622" s="715"/>
      <c r="AJ622" s="715"/>
    </row>
    <row r="623" spans="1:36" ht="13.7" customHeight="1">
      <c r="A623" s="717" t="s">
        <v>12138</v>
      </c>
      <c r="B623" s="717"/>
      <c r="C623" s="717"/>
      <c r="D623" s="717"/>
      <c r="E623" s="717"/>
      <c r="F623" s="717"/>
      <c r="G623" s="717"/>
      <c r="H623" s="717"/>
      <c r="I623" s="717"/>
      <c r="J623" s="717"/>
      <c r="K623" s="717"/>
      <c r="L623" s="717"/>
      <c r="M623" s="717"/>
      <c r="N623" s="717"/>
      <c r="O623" s="717"/>
      <c r="P623" s="717"/>
      <c r="Q623" s="717"/>
      <c r="R623" s="717"/>
      <c r="S623" s="717"/>
      <c r="T623" s="717"/>
      <c r="U623" s="717"/>
      <c r="V623" s="717"/>
      <c r="W623" s="717"/>
      <c r="X623" s="717"/>
      <c r="Y623" s="717"/>
      <c r="Z623" s="717"/>
      <c r="AA623" s="717"/>
      <c r="AB623" s="717"/>
      <c r="AC623" s="717"/>
      <c r="AD623" s="717"/>
      <c r="AE623" s="717"/>
      <c r="AF623" s="717"/>
      <c r="AG623" s="717"/>
      <c r="AH623" s="717"/>
      <c r="AI623" s="717"/>
      <c r="AJ623" s="717"/>
    </row>
    <row r="624" spans="1:36" ht="15.95" customHeight="1">
      <c r="A624" s="547"/>
      <c r="B624" s="548">
        <v>40</v>
      </c>
      <c r="C624" s="549">
        <v>7178</v>
      </c>
      <c r="D624" s="550" t="s">
        <v>12139</v>
      </c>
      <c r="E624" s="550" t="s">
        <v>4457</v>
      </c>
      <c r="F624" s="550" t="s">
        <v>4458</v>
      </c>
      <c r="G624" s="550" t="s">
        <v>4459</v>
      </c>
      <c r="H624" s="550" t="s">
        <v>4460</v>
      </c>
      <c r="I624" s="550" t="s">
        <v>11</v>
      </c>
      <c r="J624" s="550" t="s">
        <v>11946</v>
      </c>
      <c r="K624" s="551">
        <v>45008</v>
      </c>
      <c r="L624" s="552">
        <v>1090</v>
      </c>
      <c r="M624" s="552">
        <v>1090</v>
      </c>
      <c r="N624" s="552">
        <v>1090</v>
      </c>
      <c r="O624" s="552"/>
      <c r="P624" s="552"/>
      <c r="Q624" s="548">
        <v>3240</v>
      </c>
      <c r="R624" s="552">
        <v>3531600</v>
      </c>
      <c r="S624" s="548">
        <v>300</v>
      </c>
      <c r="T624" s="552">
        <v>327000</v>
      </c>
      <c r="U624" s="548">
        <v>2940</v>
      </c>
      <c r="V624" s="552">
        <v>3204600</v>
      </c>
      <c r="W624" s="552">
        <v>288</v>
      </c>
      <c r="X624" s="552">
        <v>313920</v>
      </c>
      <c r="Y624" s="552">
        <v>300</v>
      </c>
      <c r="Z624" s="552">
        <v>327000</v>
      </c>
      <c r="AA624" s="552">
        <v>0</v>
      </c>
      <c r="AB624" s="552">
        <v>0</v>
      </c>
      <c r="AC624" s="552">
        <v>300</v>
      </c>
      <c r="AD624" s="552">
        <v>327000</v>
      </c>
      <c r="AE624" s="552">
        <v>0</v>
      </c>
      <c r="AF624" s="552">
        <v>0</v>
      </c>
      <c r="AG624" s="552">
        <v>0</v>
      </c>
      <c r="AH624" s="552">
        <v>0</v>
      </c>
      <c r="AI624" s="552">
        <v>0</v>
      </c>
      <c r="AJ624" s="552">
        <v>0</v>
      </c>
    </row>
    <row r="625" spans="1:36" ht="15.95" customHeight="1">
      <c r="A625" s="547"/>
      <c r="B625" s="548">
        <v>41</v>
      </c>
      <c r="C625" s="549">
        <v>7178</v>
      </c>
      <c r="D625" s="550" t="s">
        <v>12139</v>
      </c>
      <c r="E625" s="550" t="s">
        <v>4457</v>
      </c>
      <c r="F625" s="550" t="s">
        <v>4458</v>
      </c>
      <c r="G625" s="550" t="s">
        <v>4459</v>
      </c>
      <c r="H625" s="550" t="s">
        <v>4460</v>
      </c>
      <c r="I625" s="550" t="s">
        <v>11</v>
      </c>
      <c r="J625" s="550" t="s">
        <v>12140</v>
      </c>
      <c r="K625" s="551">
        <v>45289</v>
      </c>
      <c r="L625" s="552">
        <v>1090</v>
      </c>
      <c r="M625" s="552">
        <v>1090</v>
      </c>
      <c r="N625" s="552">
        <v>1090</v>
      </c>
      <c r="O625" s="552"/>
      <c r="P625" s="552"/>
      <c r="Q625" s="548">
        <v>60</v>
      </c>
      <c r="R625" s="552">
        <v>65400</v>
      </c>
      <c r="S625" s="548">
        <v>60</v>
      </c>
      <c r="T625" s="552">
        <v>65400</v>
      </c>
      <c r="U625" s="548">
        <v>0</v>
      </c>
      <c r="V625" s="552">
        <v>0</v>
      </c>
      <c r="W625" s="552">
        <v>38</v>
      </c>
      <c r="X625" s="552">
        <v>41420</v>
      </c>
      <c r="Y625" s="552">
        <v>60</v>
      </c>
      <c r="Z625" s="552">
        <v>65400</v>
      </c>
      <c r="AA625" s="552">
        <v>0</v>
      </c>
      <c r="AB625" s="552">
        <v>0</v>
      </c>
      <c r="AC625" s="552">
        <v>60</v>
      </c>
      <c r="AD625" s="552">
        <v>65400</v>
      </c>
      <c r="AE625" s="552">
        <v>0</v>
      </c>
      <c r="AF625" s="552">
        <v>0</v>
      </c>
      <c r="AG625" s="552">
        <v>0</v>
      </c>
      <c r="AH625" s="552">
        <v>0</v>
      </c>
      <c r="AI625" s="552">
        <v>0</v>
      </c>
      <c r="AJ625" s="552">
        <v>0</v>
      </c>
    </row>
    <row r="626" spans="1:36" ht="15.95" customHeight="1">
      <c r="A626" s="547"/>
      <c r="B626" s="548">
        <v>86</v>
      </c>
      <c r="C626" s="549">
        <v>7087</v>
      </c>
      <c r="D626" s="550" t="s">
        <v>12141</v>
      </c>
      <c r="E626" s="550" t="s">
        <v>4462</v>
      </c>
      <c r="F626" s="550" t="s">
        <v>4463</v>
      </c>
      <c r="G626" s="550" t="s">
        <v>683</v>
      </c>
      <c r="H626" s="550" t="s">
        <v>1452</v>
      </c>
      <c r="I626" s="550" t="s">
        <v>11</v>
      </c>
      <c r="J626" s="550" t="s">
        <v>11644</v>
      </c>
      <c r="K626" s="551">
        <v>45297</v>
      </c>
      <c r="L626" s="552">
        <v>1900</v>
      </c>
      <c r="M626" s="552">
        <v>1900</v>
      </c>
      <c r="N626" s="552">
        <v>1900</v>
      </c>
      <c r="O626" s="552"/>
      <c r="P626" s="552"/>
      <c r="Q626" s="548">
        <v>18200</v>
      </c>
      <c r="R626" s="552">
        <v>34580000</v>
      </c>
      <c r="S626" s="548">
        <v>18200</v>
      </c>
      <c r="T626" s="552">
        <v>34580000</v>
      </c>
      <c r="U626" s="548">
        <v>0</v>
      </c>
      <c r="V626" s="552">
        <v>0</v>
      </c>
      <c r="W626" s="552">
        <v>9344</v>
      </c>
      <c r="X626" s="552">
        <v>17753600</v>
      </c>
      <c r="Y626" s="552">
        <v>18200</v>
      </c>
      <c r="Z626" s="552">
        <v>34580000</v>
      </c>
      <c r="AA626" s="552">
        <v>8700</v>
      </c>
      <c r="AB626" s="552">
        <v>16530000</v>
      </c>
      <c r="AC626" s="552">
        <v>9500</v>
      </c>
      <c r="AD626" s="552">
        <v>18050000</v>
      </c>
      <c r="AE626" s="552">
        <v>0</v>
      </c>
      <c r="AF626" s="552">
        <v>0</v>
      </c>
      <c r="AG626" s="552">
        <v>0</v>
      </c>
      <c r="AH626" s="552">
        <v>0</v>
      </c>
      <c r="AI626" s="552">
        <v>0</v>
      </c>
      <c r="AJ626" s="552">
        <v>0</v>
      </c>
    </row>
    <row r="627" spans="1:36" ht="15.95" customHeight="1">
      <c r="A627" s="547"/>
      <c r="B627" s="548">
        <v>90</v>
      </c>
      <c r="C627" s="549">
        <v>7165</v>
      </c>
      <c r="D627" s="550" t="s">
        <v>12142</v>
      </c>
      <c r="E627" s="550" t="s">
        <v>4464</v>
      </c>
      <c r="F627" s="550" t="s">
        <v>4465</v>
      </c>
      <c r="G627" s="550" t="s">
        <v>683</v>
      </c>
      <c r="H627" s="550" t="s">
        <v>2554</v>
      </c>
      <c r="I627" s="550" t="s">
        <v>658</v>
      </c>
      <c r="J627" s="550" t="s">
        <v>4466</v>
      </c>
      <c r="K627" s="551">
        <v>44379</v>
      </c>
      <c r="L627" s="552">
        <v>38997</v>
      </c>
      <c r="M627" s="552">
        <v>38997</v>
      </c>
      <c r="N627" s="552">
        <v>38997</v>
      </c>
      <c r="O627" s="552">
        <v>31</v>
      </c>
      <c r="P627" s="552">
        <v>1208907</v>
      </c>
      <c r="Q627" s="548">
        <v>0</v>
      </c>
      <c r="R627" s="552">
        <v>0</v>
      </c>
      <c r="S627" s="548">
        <v>31</v>
      </c>
      <c r="T627" s="552">
        <v>1208907</v>
      </c>
      <c r="U627" s="548">
        <v>0</v>
      </c>
      <c r="V627" s="552">
        <v>0</v>
      </c>
      <c r="W627" s="552">
        <v>0</v>
      </c>
      <c r="X627" s="552">
        <v>0</v>
      </c>
      <c r="Y627" s="552">
        <v>31</v>
      </c>
      <c r="Z627" s="552">
        <v>1208907</v>
      </c>
      <c r="AA627" s="552">
        <v>0</v>
      </c>
      <c r="AB627" s="552">
        <v>0</v>
      </c>
      <c r="AC627" s="552">
        <v>31</v>
      </c>
      <c r="AD627" s="552">
        <v>1208907</v>
      </c>
      <c r="AE627" s="552">
        <v>0</v>
      </c>
      <c r="AF627" s="552">
        <v>0</v>
      </c>
      <c r="AG627" s="552">
        <v>0</v>
      </c>
      <c r="AH627" s="552">
        <v>0</v>
      </c>
      <c r="AI627" s="552">
        <v>0</v>
      </c>
      <c r="AJ627" s="552">
        <v>0</v>
      </c>
    </row>
    <row r="628" spans="1:36" ht="15.95" customHeight="1">
      <c r="A628" s="547"/>
      <c r="B628" s="548">
        <v>91</v>
      </c>
      <c r="C628" s="549">
        <v>7165</v>
      </c>
      <c r="D628" s="550" t="s">
        <v>12142</v>
      </c>
      <c r="E628" s="550" t="s">
        <v>4464</v>
      </c>
      <c r="F628" s="550" t="s">
        <v>4465</v>
      </c>
      <c r="G628" s="550" t="s">
        <v>683</v>
      </c>
      <c r="H628" s="550" t="s">
        <v>2554</v>
      </c>
      <c r="I628" s="550" t="s">
        <v>658</v>
      </c>
      <c r="J628" s="550" t="s">
        <v>12143</v>
      </c>
      <c r="K628" s="551">
        <v>44826</v>
      </c>
      <c r="L628" s="552">
        <v>38997</v>
      </c>
      <c r="M628" s="552">
        <v>38997</v>
      </c>
      <c r="N628" s="552">
        <v>38997</v>
      </c>
      <c r="O628" s="552"/>
      <c r="P628" s="552"/>
      <c r="Q628" s="548">
        <v>262</v>
      </c>
      <c r="R628" s="552">
        <v>10217214</v>
      </c>
      <c r="S628" s="548">
        <v>259</v>
      </c>
      <c r="T628" s="552">
        <v>10100223</v>
      </c>
      <c r="U628" s="548">
        <v>3</v>
      </c>
      <c r="V628" s="552">
        <v>116991</v>
      </c>
      <c r="W628" s="552">
        <v>0</v>
      </c>
      <c r="X628" s="552">
        <v>0</v>
      </c>
      <c r="Y628" s="552">
        <v>258</v>
      </c>
      <c r="Z628" s="552">
        <v>10061226</v>
      </c>
      <c r="AA628" s="552">
        <v>0</v>
      </c>
      <c r="AB628" s="552">
        <v>0</v>
      </c>
      <c r="AC628" s="552">
        <v>258</v>
      </c>
      <c r="AD628" s="552">
        <v>10061226</v>
      </c>
      <c r="AE628" s="552">
        <v>0</v>
      </c>
      <c r="AF628" s="552">
        <v>0</v>
      </c>
      <c r="AG628" s="552">
        <v>1</v>
      </c>
      <c r="AH628" s="552">
        <v>38997</v>
      </c>
      <c r="AI628" s="552">
        <v>0</v>
      </c>
      <c r="AJ628" s="552">
        <v>0</v>
      </c>
    </row>
    <row r="629" spans="1:36" ht="15.95" customHeight="1">
      <c r="A629" s="547"/>
      <c r="B629" s="548">
        <v>108</v>
      </c>
      <c r="C629" s="549">
        <v>7167</v>
      </c>
      <c r="D629" s="550" t="s">
        <v>12144</v>
      </c>
      <c r="E629" s="550" t="s">
        <v>4467</v>
      </c>
      <c r="F629" s="550" t="s">
        <v>4468</v>
      </c>
      <c r="G629" s="550" t="s">
        <v>802</v>
      </c>
      <c r="H629" s="550" t="s">
        <v>225</v>
      </c>
      <c r="I629" s="550" t="s">
        <v>16</v>
      </c>
      <c r="J629" s="550" t="s">
        <v>4469</v>
      </c>
      <c r="K629" s="551">
        <v>44986</v>
      </c>
      <c r="L629" s="552">
        <v>9620</v>
      </c>
      <c r="M629" s="552">
        <v>9620</v>
      </c>
      <c r="N629" s="552">
        <v>9620</v>
      </c>
      <c r="O629" s="552">
        <v>160</v>
      </c>
      <c r="P629" s="552">
        <v>1539200</v>
      </c>
      <c r="Q629" s="548">
        <v>0</v>
      </c>
      <c r="R629" s="552">
        <v>0</v>
      </c>
      <c r="S629" s="548">
        <v>0</v>
      </c>
      <c r="T629" s="552">
        <v>0</v>
      </c>
      <c r="U629" s="548">
        <v>160</v>
      </c>
      <c r="V629" s="552">
        <v>1539200</v>
      </c>
      <c r="W629" s="552">
        <v>0</v>
      </c>
      <c r="X629" s="552">
        <v>0</v>
      </c>
      <c r="Y629" s="552">
        <v>0</v>
      </c>
      <c r="Z629" s="552">
        <v>0</v>
      </c>
      <c r="AA629" s="552">
        <v>0</v>
      </c>
      <c r="AB629" s="552">
        <v>0</v>
      </c>
      <c r="AC629" s="552">
        <v>0</v>
      </c>
      <c r="AD629" s="552">
        <v>0</v>
      </c>
      <c r="AE629" s="552">
        <v>0</v>
      </c>
      <c r="AF629" s="552">
        <v>0</v>
      </c>
      <c r="AG629" s="552">
        <v>0</v>
      </c>
      <c r="AH629" s="552">
        <v>0</v>
      </c>
      <c r="AI629" s="552">
        <v>0</v>
      </c>
      <c r="AJ629" s="552">
        <v>0</v>
      </c>
    </row>
    <row r="630" spans="1:36" ht="15.95" customHeight="1">
      <c r="A630" s="547"/>
      <c r="B630" s="548">
        <v>112</v>
      </c>
      <c r="C630" s="549">
        <v>7139</v>
      </c>
      <c r="D630" s="550" t="s">
        <v>12145</v>
      </c>
      <c r="E630" s="550" t="s">
        <v>4470</v>
      </c>
      <c r="F630" s="550" t="s">
        <v>2725</v>
      </c>
      <c r="G630" s="550" t="s">
        <v>1368</v>
      </c>
      <c r="H630" s="550" t="s">
        <v>1941</v>
      </c>
      <c r="I630" s="550" t="s">
        <v>658</v>
      </c>
      <c r="J630" s="550" t="s">
        <v>4471</v>
      </c>
      <c r="K630" s="551">
        <v>44461</v>
      </c>
      <c r="L630" s="552">
        <v>2394</v>
      </c>
      <c r="M630" s="552">
        <v>2394</v>
      </c>
      <c r="N630" s="552">
        <v>2394</v>
      </c>
      <c r="O630" s="552">
        <v>7</v>
      </c>
      <c r="P630" s="552">
        <v>16758</v>
      </c>
      <c r="Q630" s="548">
        <v>0</v>
      </c>
      <c r="R630" s="552">
        <v>0</v>
      </c>
      <c r="S630" s="548">
        <v>7</v>
      </c>
      <c r="T630" s="552">
        <v>16758</v>
      </c>
      <c r="U630" s="548">
        <v>0</v>
      </c>
      <c r="V630" s="552">
        <v>0</v>
      </c>
      <c r="W630" s="552">
        <v>0</v>
      </c>
      <c r="X630" s="552">
        <v>0</v>
      </c>
      <c r="Y630" s="552">
        <v>7</v>
      </c>
      <c r="Z630" s="552">
        <v>16758</v>
      </c>
      <c r="AA630" s="552">
        <v>7</v>
      </c>
      <c r="AB630" s="552">
        <v>16758</v>
      </c>
      <c r="AC630" s="552">
        <v>0</v>
      </c>
      <c r="AD630" s="552">
        <v>0</v>
      </c>
      <c r="AE630" s="552">
        <v>0</v>
      </c>
      <c r="AF630" s="552">
        <v>0</v>
      </c>
      <c r="AG630" s="552">
        <v>0</v>
      </c>
      <c r="AH630" s="552">
        <v>0</v>
      </c>
      <c r="AI630" s="552">
        <v>0</v>
      </c>
      <c r="AJ630" s="552">
        <v>0</v>
      </c>
    </row>
    <row r="631" spans="1:36" ht="15.95" customHeight="1">
      <c r="A631" s="547"/>
      <c r="B631" s="548">
        <v>113</v>
      </c>
      <c r="C631" s="549">
        <v>7139</v>
      </c>
      <c r="D631" s="550" t="s">
        <v>12145</v>
      </c>
      <c r="E631" s="550" t="s">
        <v>4470</v>
      </c>
      <c r="F631" s="550" t="s">
        <v>2725</v>
      </c>
      <c r="G631" s="550" t="s">
        <v>1368</v>
      </c>
      <c r="H631" s="550" t="s">
        <v>1941</v>
      </c>
      <c r="I631" s="550" t="s">
        <v>658</v>
      </c>
      <c r="J631" s="550" t="s">
        <v>12146</v>
      </c>
      <c r="K631" s="551">
        <v>44783</v>
      </c>
      <c r="L631" s="552">
        <v>2394</v>
      </c>
      <c r="M631" s="552">
        <v>2394</v>
      </c>
      <c r="N631" s="552">
        <v>2394</v>
      </c>
      <c r="O631" s="552">
        <v>100</v>
      </c>
      <c r="P631" s="552">
        <v>239400</v>
      </c>
      <c r="Q631" s="548">
        <v>0</v>
      </c>
      <c r="R631" s="552">
        <v>0</v>
      </c>
      <c r="S631" s="548">
        <v>75</v>
      </c>
      <c r="T631" s="552">
        <v>179550</v>
      </c>
      <c r="U631" s="548">
        <v>25</v>
      </c>
      <c r="V631" s="552">
        <v>59850</v>
      </c>
      <c r="W631" s="552">
        <v>7</v>
      </c>
      <c r="X631" s="552">
        <v>16758</v>
      </c>
      <c r="Y631" s="552">
        <v>75</v>
      </c>
      <c r="Z631" s="552">
        <v>179550</v>
      </c>
      <c r="AA631" s="552">
        <v>25</v>
      </c>
      <c r="AB631" s="552">
        <v>59850</v>
      </c>
      <c r="AC631" s="552">
        <v>50</v>
      </c>
      <c r="AD631" s="552">
        <v>119700</v>
      </c>
      <c r="AE631" s="552">
        <v>0</v>
      </c>
      <c r="AF631" s="552">
        <v>0</v>
      </c>
      <c r="AG631" s="552">
        <v>0</v>
      </c>
      <c r="AH631" s="552">
        <v>0</v>
      </c>
      <c r="AI631" s="552">
        <v>0</v>
      </c>
      <c r="AJ631" s="552">
        <v>0</v>
      </c>
    </row>
    <row r="632" spans="1:36" ht="15.95" customHeight="1">
      <c r="A632" s="547"/>
      <c r="B632" s="548">
        <v>114</v>
      </c>
      <c r="C632" s="549">
        <v>7139</v>
      </c>
      <c r="D632" s="550" t="s">
        <v>12145</v>
      </c>
      <c r="E632" s="550" t="s">
        <v>4470</v>
      </c>
      <c r="F632" s="550" t="s">
        <v>2725</v>
      </c>
      <c r="G632" s="550" t="s">
        <v>1368</v>
      </c>
      <c r="H632" s="550" t="s">
        <v>1941</v>
      </c>
      <c r="I632" s="550" t="s">
        <v>658</v>
      </c>
      <c r="J632" s="550" t="s">
        <v>4799</v>
      </c>
      <c r="K632" s="551">
        <v>44876</v>
      </c>
      <c r="L632" s="552">
        <v>2394</v>
      </c>
      <c r="M632" s="552">
        <v>2394</v>
      </c>
      <c r="N632" s="552">
        <v>2394</v>
      </c>
      <c r="O632" s="552"/>
      <c r="P632" s="552"/>
      <c r="Q632" s="548">
        <v>100</v>
      </c>
      <c r="R632" s="552">
        <v>239400</v>
      </c>
      <c r="S632" s="548">
        <v>50</v>
      </c>
      <c r="T632" s="552">
        <v>119700</v>
      </c>
      <c r="U632" s="548">
        <v>50</v>
      </c>
      <c r="V632" s="552">
        <v>119700</v>
      </c>
      <c r="W632" s="552">
        <v>0</v>
      </c>
      <c r="X632" s="552">
        <v>0</v>
      </c>
      <c r="Y632" s="552">
        <v>50</v>
      </c>
      <c r="Z632" s="552">
        <v>119700</v>
      </c>
      <c r="AA632" s="552">
        <v>0</v>
      </c>
      <c r="AB632" s="552">
        <v>0</v>
      </c>
      <c r="AC632" s="552">
        <v>50</v>
      </c>
      <c r="AD632" s="552">
        <v>119700</v>
      </c>
      <c r="AE632" s="552">
        <v>0</v>
      </c>
      <c r="AF632" s="552">
        <v>0</v>
      </c>
      <c r="AG632" s="552">
        <v>0</v>
      </c>
      <c r="AH632" s="552">
        <v>0</v>
      </c>
      <c r="AI632" s="552">
        <v>0</v>
      </c>
      <c r="AJ632" s="552">
        <v>0</v>
      </c>
    </row>
    <row r="633" spans="1:36" ht="15.95" customHeight="1">
      <c r="A633" s="547"/>
      <c r="B633" s="548">
        <v>115</v>
      </c>
      <c r="C633" s="549">
        <v>7139</v>
      </c>
      <c r="D633" s="550" t="s">
        <v>12145</v>
      </c>
      <c r="E633" s="550" t="s">
        <v>4470</v>
      </c>
      <c r="F633" s="550" t="s">
        <v>2725</v>
      </c>
      <c r="G633" s="550" t="s">
        <v>1368</v>
      </c>
      <c r="H633" s="550" t="s">
        <v>1941</v>
      </c>
      <c r="I633" s="550" t="s">
        <v>658</v>
      </c>
      <c r="J633" s="550" t="s">
        <v>12147</v>
      </c>
      <c r="K633" s="551">
        <v>44944</v>
      </c>
      <c r="L633" s="552">
        <v>2394</v>
      </c>
      <c r="M633" s="552">
        <v>2394</v>
      </c>
      <c r="N633" s="552">
        <v>2394</v>
      </c>
      <c r="O633" s="552"/>
      <c r="P633" s="552"/>
      <c r="Q633" s="548">
        <v>100</v>
      </c>
      <c r="R633" s="552">
        <v>239400</v>
      </c>
      <c r="S633" s="548">
        <v>0</v>
      </c>
      <c r="T633" s="552">
        <v>0</v>
      </c>
      <c r="U633" s="548">
        <v>100</v>
      </c>
      <c r="V633" s="552">
        <v>239400</v>
      </c>
      <c r="W633" s="552">
        <v>0</v>
      </c>
      <c r="X633" s="552">
        <v>0</v>
      </c>
      <c r="Y633" s="552">
        <v>0</v>
      </c>
      <c r="Z633" s="552">
        <v>0</v>
      </c>
      <c r="AA633" s="552">
        <v>0</v>
      </c>
      <c r="AB633" s="552">
        <v>0</v>
      </c>
      <c r="AC633" s="552">
        <v>0</v>
      </c>
      <c r="AD633" s="552">
        <v>0</v>
      </c>
      <c r="AE633" s="552">
        <v>0</v>
      </c>
      <c r="AF633" s="552">
        <v>0</v>
      </c>
      <c r="AG633" s="552">
        <v>0</v>
      </c>
      <c r="AH633" s="552">
        <v>0</v>
      </c>
      <c r="AI633" s="552">
        <v>0</v>
      </c>
      <c r="AJ633" s="552">
        <v>0</v>
      </c>
    </row>
    <row r="634" spans="1:36" ht="15.95" customHeight="1">
      <c r="A634" s="547"/>
      <c r="B634" s="548">
        <v>202</v>
      </c>
      <c r="C634" s="549">
        <v>7094</v>
      </c>
      <c r="D634" s="550" t="s">
        <v>12148</v>
      </c>
      <c r="E634" s="550" t="s">
        <v>4474</v>
      </c>
      <c r="F634" s="550" t="s">
        <v>1455</v>
      </c>
      <c r="G634" s="550" t="s">
        <v>802</v>
      </c>
      <c r="H634" s="550" t="s">
        <v>1200</v>
      </c>
      <c r="I634" s="550" t="s">
        <v>12</v>
      </c>
      <c r="J634" s="550" t="s">
        <v>12149</v>
      </c>
      <c r="K634" s="551">
        <v>45079</v>
      </c>
      <c r="L634" s="552">
        <v>1186</v>
      </c>
      <c r="M634" s="552">
        <v>1186</v>
      </c>
      <c r="N634" s="552">
        <v>1186</v>
      </c>
      <c r="O634" s="552"/>
      <c r="P634" s="552"/>
      <c r="Q634" s="548">
        <v>1100</v>
      </c>
      <c r="R634" s="552">
        <v>1304600</v>
      </c>
      <c r="S634" s="548">
        <v>100</v>
      </c>
      <c r="T634" s="552">
        <v>118600</v>
      </c>
      <c r="U634" s="548">
        <v>1000</v>
      </c>
      <c r="V634" s="552">
        <v>1186000</v>
      </c>
      <c r="W634" s="552">
        <v>0</v>
      </c>
      <c r="X634" s="552">
        <v>0</v>
      </c>
      <c r="Y634" s="552">
        <v>100</v>
      </c>
      <c r="Z634" s="552">
        <v>118600</v>
      </c>
      <c r="AA634" s="552">
        <v>0</v>
      </c>
      <c r="AB634" s="552">
        <v>0</v>
      </c>
      <c r="AC634" s="552">
        <v>100</v>
      </c>
      <c r="AD634" s="552">
        <v>118600</v>
      </c>
      <c r="AE634" s="552">
        <v>0</v>
      </c>
      <c r="AF634" s="552">
        <v>0</v>
      </c>
      <c r="AG634" s="552">
        <v>0</v>
      </c>
      <c r="AH634" s="552">
        <v>0</v>
      </c>
      <c r="AI634" s="552">
        <v>0</v>
      </c>
      <c r="AJ634" s="552">
        <v>0</v>
      </c>
    </row>
    <row r="635" spans="1:36" ht="15.95" customHeight="1">
      <c r="A635" s="547"/>
      <c r="B635" s="548">
        <v>203</v>
      </c>
      <c r="C635" s="549">
        <v>7168</v>
      </c>
      <c r="D635" s="550" t="s">
        <v>12150</v>
      </c>
      <c r="E635" s="550" t="s">
        <v>4472</v>
      </c>
      <c r="F635" s="550" t="s">
        <v>1455</v>
      </c>
      <c r="G635" s="550" t="s">
        <v>802</v>
      </c>
      <c r="H635" s="550" t="s">
        <v>1200</v>
      </c>
      <c r="I635" s="550" t="s">
        <v>12</v>
      </c>
      <c r="J635" s="550" t="s">
        <v>4473</v>
      </c>
      <c r="K635" s="551">
        <v>44745</v>
      </c>
      <c r="L635" s="552">
        <v>1186</v>
      </c>
      <c r="M635" s="552">
        <v>1186</v>
      </c>
      <c r="N635" s="552">
        <v>1186</v>
      </c>
      <c r="O635" s="552">
        <v>1</v>
      </c>
      <c r="P635" s="552">
        <v>1186</v>
      </c>
      <c r="Q635" s="548">
        <v>0</v>
      </c>
      <c r="R635" s="552">
        <v>0</v>
      </c>
      <c r="S635" s="548">
        <v>0</v>
      </c>
      <c r="T635" s="552">
        <v>0</v>
      </c>
      <c r="U635" s="548">
        <v>1</v>
      </c>
      <c r="V635" s="552">
        <v>1186</v>
      </c>
      <c r="W635" s="552">
        <v>0</v>
      </c>
      <c r="X635" s="552">
        <v>0</v>
      </c>
      <c r="Y635" s="552">
        <v>0</v>
      </c>
      <c r="Z635" s="552">
        <v>0</v>
      </c>
      <c r="AA635" s="552">
        <v>0</v>
      </c>
      <c r="AB635" s="552">
        <v>0</v>
      </c>
      <c r="AC635" s="552">
        <v>0</v>
      </c>
      <c r="AD635" s="552">
        <v>0</v>
      </c>
      <c r="AE635" s="552">
        <v>0</v>
      </c>
      <c r="AF635" s="552">
        <v>0</v>
      </c>
      <c r="AG635" s="552">
        <v>0</v>
      </c>
      <c r="AH635" s="552">
        <v>0</v>
      </c>
      <c r="AI635" s="552">
        <v>0</v>
      </c>
      <c r="AJ635" s="552">
        <v>0</v>
      </c>
    </row>
    <row r="636" spans="1:36" ht="15.95" customHeight="1">
      <c r="A636" s="547"/>
      <c r="B636" s="548">
        <v>204</v>
      </c>
      <c r="C636" s="549">
        <v>7095</v>
      </c>
      <c r="D636" s="550" t="s">
        <v>12151</v>
      </c>
      <c r="E636" s="550" t="s">
        <v>4475</v>
      </c>
      <c r="F636" s="550" t="s">
        <v>4476</v>
      </c>
      <c r="G636" s="550" t="s">
        <v>802</v>
      </c>
      <c r="H636" s="550" t="s">
        <v>272</v>
      </c>
      <c r="I636" s="550" t="s">
        <v>11</v>
      </c>
      <c r="J636" s="550" t="s">
        <v>11644</v>
      </c>
      <c r="K636" s="551">
        <v>45305</v>
      </c>
      <c r="L636" s="552">
        <v>1742</v>
      </c>
      <c r="M636" s="552">
        <v>1742</v>
      </c>
      <c r="N636" s="552">
        <v>1742</v>
      </c>
      <c r="O636" s="552"/>
      <c r="P636" s="552"/>
      <c r="Q636" s="548">
        <v>4000</v>
      </c>
      <c r="R636" s="552">
        <v>6968000</v>
      </c>
      <c r="S636" s="548">
        <v>0</v>
      </c>
      <c r="T636" s="552">
        <v>0</v>
      </c>
      <c r="U636" s="548">
        <v>4000</v>
      </c>
      <c r="V636" s="552">
        <v>6968000</v>
      </c>
      <c r="W636" s="552">
        <v>0</v>
      </c>
      <c r="X636" s="552">
        <v>0</v>
      </c>
      <c r="Y636" s="552">
        <v>0</v>
      </c>
      <c r="Z636" s="552">
        <v>0</v>
      </c>
      <c r="AA636" s="552">
        <v>0</v>
      </c>
      <c r="AB636" s="552">
        <v>0</v>
      </c>
      <c r="AC636" s="552">
        <v>0</v>
      </c>
      <c r="AD636" s="552">
        <v>0</v>
      </c>
      <c r="AE636" s="552">
        <v>0</v>
      </c>
      <c r="AF636" s="552">
        <v>0</v>
      </c>
      <c r="AG636" s="552">
        <v>0</v>
      </c>
      <c r="AH636" s="552">
        <v>0</v>
      </c>
      <c r="AI636" s="552">
        <v>0</v>
      </c>
      <c r="AJ636" s="552">
        <v>0</v>
      </c>
    </row>
    <row r="637" spans="1:36" ht="15.95" customHeight="1">
      <c r="A637" s="547"/>
      <c r="B637" s="548">
        <v>205</v>
      </c>
      <c r="C637" s="549">
        <v>7100</v>
      </c>
      <c r="D637" s="550" t="s">
        <v>12152</v>
      </c>
      <c r="E637" s="550" t="s">
        <v>7258</v>
      </c>
      <c r="F637" s="550" t="s">
        <v>1819</v>
      </c>
      <c r="G637" s="550" t="s">
        <v>847</v>
      </c>
      <c r="H637" s="550" t="s">
        <v>225</v>
      </c>
      <c r="I637" s="550" t="s">
        <v>11</v>
      </c>
      <c r="J637" s="550" t="s">
        <v>11831</v>
      </c>
      <c r="K637" s="551">
        <v>45328</v>
      </c>
      <c r="L637" s="552">
        <v>783</v>
      </c>
      <c r="M637" s="552">
        <v>783</v>
      </c>
      <c r="N637" s="552">
        <v>783</v>
      </c>
      <c r="O637" s="552"/>
      <c r="P637" s="552"/>
      <c r="Q637" s="548">
        <v>30000</v>
      </c>
      <c r="R637" s="552">
        <v>23490000</v>
      </c>
      <c r="S637" s="548">
        <v>15000</v>
      </c>
      <c r="T637" s="552">
        <v>11745000</v>
      </c>
      <c r="U637" s="548">
        <v>15000</v>
      </c>
      <c r="V637" s="552">
        <v>11745000</v>
      </c>
      <c r="W637" s="552">
        <v>9297</v>
      </c>
      <c r="X637" s="552">
        <v>7279551</v>
      </c>
      <c r="Y637" s="552">
        <v>15000</v>
      </c>
      <c r="Z637" s="552">
        <v>11745000</v>
      </c>
      <c r="AA637" s="552">
        <v>0</v>
      </c>
      <c r="AB637" s="552">
        <v>0</v>
      </c>
      <c r="AC637" s="552">
        <v>15000</v>
      </c>
      <c r="AD637" s="552">
        <v>11745000</v>
      </c>
      <c r="AE637" s="552">
        <v>0</v>
      </c>
      <c r="AF637" s="552">
        <v>0</v>
      </c>
      <c r="AG637" s="552">
        <v>0</v>
      </c>
      <c r="AH637" s="552">
        <v>0</v>
      </c>
      <c r="AI637" s="552">
        <v>0</v>
      </c>
      <c r="AJ637" s="552">
        <v>0</v>
      </c>
    </row>
    <row r="638" spans="1:36" ht="15.95" customHeight="1">
      <c r="A638" s="547"/>
      <c r="B638" s="548">
        <v>206</v>
      </c>
      <c r="C638" s="549">
        <v>7101</v>
      </c>
      <c r="D638" s="550" t="s">
        <v>12153</v>
      </c>
      <c r="E638" s="550" t="s">
        <v>4479</v>
      </c>
      <c r="F638" s="550" t="s">
        <v>4480</v>
      </c>
      <c r="G638" s="550" t="s">
        <v>847</v>
      </c>
      <c r="H638" s="550" t="s">
        <v>272</v>
      </c>
      <c r="I638" s="550" t="s">
        <v>11</v>
      </c>
      <c r="J638" s="550" t="s">
        <v>3780</v>
      </c>
      <c r="K638" s="551">
        <v>44994</v>
      </c>
      <c r="L638" s="552">
        <v>1380</v>
      </c>
      <c r="M638" s="552">
        <v>1380</v>
      </c>
      <c r="N638" s="552">
        <v>1380</v>
      </c>
      <c r="O638" s="552">
        <v>920</v>
      </c>
      <c r="P638" s="552">
        <v>1269600</v>
      </c>
      <c r="Q638" s="548">
        <v>0</v>
      </c>
      <c r="R638" s="552">
        <v>0</v>
      </c>
      <c r="S638" s="548">
        <v>920</v>
      </c>
      <c r="T638" s="552">
        <v>1269600</v>
      </c>
      <c r="U638" s="548">
        <v>0</v>
      </c>
      <c r="V638" s="552">
        <v>0</v>
      </c>
      <c r="W638" s="552">
        <v>1420</v>
      </c>
      <c r="X638" s="552">
        <v>1959600</v>
      </c>
      <c r="Y638" s="552">
        <v>920</v>
      </c>
      <c r="Z638" s="552">
        <v>1269600</v>
      </c>
      <c r="AA638" s="552">
        <v>0</v>
      </c>
      <c r="AB638" s="552">
        <v>0</v>
      </c>
      <c r="AC638" s="552">
        <v>920</v>
      </c>
      <c r="AD638" s="552">
        <v>1269600</v>
      </c>
      <c r="AE638" s="552">
        <v>0</v>
      </c>
      <c r="AF638" s="552">
        <v>0</v>
      </c>
      <c r="AG638" s="552">
        <v>0</v>
      </c>
      <c r="AH638" s="552">
        <v>0</v>
      </c>
      <c r="AI638" s="552">
        <v>0</v>
      </c>
      <c r="AJ638" s="552">
        <v>0</v>
      </c>
    </row>
    <row r="639" spans="1:36" ht="15.95" customHeight="1">
      <c r="A639" s="547"/>
      <c r="B639" s="548">
        <v>207</v>
      </c>
      <c r="C639" s="549">
        <v>7101</v>
      </c>
      <c r="D639" s="550" t="s">
        <v>12153</v>
      </c>
      <c r="E639" s="550" t="s">
        <v>4479</v>
      </c>
      <c r="F639" s="550" t="s">
        <v>4480</v>
      </c>
      <c r="G639" s="550" t="s">
        <v>847</v>
      </c>
      <c r="H639" s="550" t="s">
        <v>272</v>
      </c>
      <c r="I639" s="550" t="s">
        <v>11</v>
      </c>
      <c r="J639" s="550" t="s">
        <v>11610</v>
      </c>
      <c r="K639" s="551">
        <v>45384</v>
      </c>
      <c r="L639" s="552">
        <v>1380</v>
      </c>
      <c r="M639" s="552">
        <v>1380</v>
      </c>
      <c r="N639" s="552">
        <v>1380</v>
      </c>
      <c r="O639" s="552"/>
      <c r="P639" s="552"/>
      <c r="Q639" s="548">
        <v>2500</v>
      </c>
      <c r="R639" s="552">
        <v>3450000</v>
      </c>
      <c r="S639" s="548">
        <v>2500</v>
      </c>
      <c r="T639" s="552">
        <v>3450000</v>
      </c>
      <c r="U639" s="548">
        <v>0</v>
      </c>
      <c r="V639" s="552">
        <v>0</v>
      </c>
      <c r="W639" s="552">
        <v>1185</v>
      </c>
      <c r="X639" s="552">
        <v>1635300</v>
      </c>
      <c r="Y639" s="552">
        <v>2500</v>
      </c>
      <c r="Z639" s="552">
        <v>3450000</v>
      </c>
      <c r="AA639" s="552">
        <v>0</v>
      </c>
      <c r="AB639" s="552">
        <v>0</v>
      </c>
      <c r="AC639" s="552">
        <v>2500</v>
      </c>
      <c r="AD639" s="552">
        <v>3450000</v>
      </c>
      <c r="AE639" s="552">
        <v>0</v>
      </c>
      <c r="AF639" s="552">
        <v>0</v>
      </c>
      <c r="AG639" s="552">
        <v>0</v>
      </c>
      <c r="AH639" s="552">
        <v>0</v>
      </c>
      <c r="AI639" s="552">
        <v>0</v>
      </c>
      <c r="AJ639" s="552">
        <v>0</v>
      </c>
    </row>
    <row r="640" spans="1:36" ht="15.95" customHeight="1">
      <c r="A640" s="547"/>
      <c r="B640" s="548">
        <v>208</v>
      </c>
      <c r="C640" s="549">
        <v>7101</v>
      </c>
      <c r="D640" s="550" t="s">
        <v>12153</v>
      </c>
      <c r="E640" s="550" t="s">
        <v>4479</v>
      </c>
      <c r="F640" s="550" t="s">
        <v>4480</v>
      </c>
      <c r="G640" s="550" t="s">
        <v>847</v>
      </c>
      <c r="H640" s="550" t="s">
        <v>272</v>
      </c>
      <c r="I640" s="550" t="s">
        <v>11</v>
      </c>
      <c r="J640" s="550" t="s">
        <v>3955</v>
      </c>
      <c r="K640" s="551">
        <v>45124</v>
      </c>
      <c r="L640" s="552">
        <v>1380</v>
      </c>
      <c r="M640" s="552">
        <v>1380</v>
      </c>
      <c r="N640" s="552">
        <v>1380</v>
      </c>
      <c r="O640" s="552"/>
      <c r="P640" s="552"/>
      <c r="Q640" s="548">
        <v>4000</v>
      </c>
      <c r="R640" s="552">
        <v>5520000</v>
      </c>
      <c r="S640" s="548">
        <v>4000</v>
      </c>
      <c r="T640" s="552">
        <v>5520000</v>
      </c>
      <c r="U640" s="548">
        <v>0</v>
      </c>
      <c r="V640" s="552">
        <v>0</v>
      </c>
      <c r="W640" s="552">
        <v>3466</v>
      </c>
      <c r="X640" s="552">
        <v>4783080</v>
      </c>
      <c r="Y640" s="552">
        <v>4000</v>
      </c>
      <c r="Z640" s="552">
        <v>5520000</v>
      </c>
      <c r="AA640" s="552">
        <v>0</v>
      </c>
      <c r="AB640" s="552">
        <v>0</v>
      </c>
      <c r="AC640" s="552">
        <v>4000</v>
      </c>
      <c r="AD640" s="552">
        <v>5520000</v>
      </c>
      <c r="AE640" s="552">
        <v>0</v>
      </c>
      <c r="AF640" s="552">
        <v>0</v>
      </c>
      <c r="AG640" s="552">
        <v>0</v>
      </c>
      <c r="AH640" s="552">
        <v>0</v>
      </c>
      <c r="AI640" s="552">
        <v>0</v>
      </c>
      <c r="AJ640" s="552">
        <v>0</v>
      </c>
    </row>
    <row r="641" spans="1:36" ht="15.95" customHeight="1">
      <c r="A641" s="547"/>
      <c r="B641" s="548">
        <v>209</v>
      </c>
      <c r="C641" s="549">
        <v>7504</v>
      </c>
      <c r="D641" s="550" t="s">
        <v>12154</v>
      </c>
      <c r="E641" s="550" t="s">
        <v>6573</v>
      </c>
      <c r="F641" s="550" t="s">
        <v>6574</v>
      </c>
      <c r="G641" s="550" t="s">
        <v>847</v>
      </c>
      <c r="H641" s="550" t="s">
        <v>225</v>
      </c>
      <c r="I641" s="550" t="s">
        <v>11</v>
      </c>
      <c r="J641" s="550" t="s">
        <v>12155</v>
      </c>
      <c r="K641" s="551">
        <v>45387</v>
      </c>
      <c r="L641" s="552">
        <v>2300</v>
      </c>
      <c r="M641" s="552">
        <v>2300</v>
      </c>
      <c r="N641" s="552">
        <v>2300</v>
      </c>
      <c r="O641" s="552"/>
      <c r="P641" s="552"/>
      <c r="Q641" s="548">
        <v>1000</v>
      </c>
      <c r="R641" s="552">
        <v>2300000</v>
      </c>
      <c r="S641" s="548">
        <v>1000</v>
      </c>
      <c r="T641" s="552">
        <v>2300000</v>
      </c>
      <c r="U641" s="548">
        <v>0</v>
      </c>
      <c r="V641" s="552">
        <v>0</v>
      </c>
      <c r="W641" s="552">
        <v>0</v>
      </c>
      <c r="X641" s="552">
        <v>0</v>
      </c>
      <c r="Y641" s="552">
        <v>1000</v>
      </c>
      <c r="Z641" s="552">
        <v>2300000</v>
      </c>
      <c r="AA641" s="552">
        <v>0</v>
      </c>
      <c r="AB641" s="552">
        <v>0</v>
      </c>
      <c r="AC641" s="552">
        <v>1000</v>
      </c>
      <c r="AD641" s="552">
        <v>2300000</v>
      </c>
      <c r="AE641" s="552">
        <v>0</v>
      </c>
      <c r="AF641" s="552">
        <v>0</v>
      </c>
      <c r="AG641" s="552">
        <v>0</v>
      </c>
      <c r="AH641" s="552">
        <v>0</v>
      </c>
      <c r="AI641" s="552">
        <v>0</v>
      </c>
      <c r="AJ641" s="552">
        <v>0</v>
      </c>
    </row>
    <row r="642" spans="1:36" ht="15.95" customHeight="1">
      <c r="A642" s="547"/>
      <c r="B642" s="548">
        <v>211</v>
      </c>
      <c r="C642" s="549">
        <v>7505</v>
      </c>
      <c r="D642" s="550" t="s">
        <v>12156</v>
      </c>
      <c r="E642" s="550" t="s">
        <v>6577</v>
      </c>
      <c r="F642" s="550" t="s">
        <v>1610</v>
      </c>
      <c r="G642" s="550" t="s">
        <v>1235</v>
      </c>
      <c r="H642" s="550" t="s">
        <v>900</v>
      </c>
      <c r="I642" s="550" t="s">
        <v>11</v>
      </c>
      <c r="J642" s="550" t="s">
        <v>12157</v>
      </c>
      <c r="K642" s="551">
        <v>45206</v>
      </c>
      <c r="L642" s="552">
        <v>8900</v>
      </c>
      <c r="M642" s="552">
        <v>8900</v>
      </c>
      <c r="N642" s="552">
        <v>8900</v>
      </c>
      <c r="O642" s="552"/>
      <c r="P642" s="552"/>
      <c r="Q642" s="548">
        <v>5224</v>
      </c>
      <c r="R642" s="552">
        <v>46493600</v>
      </c>
      <c r="S642" s="548">
        <v>4662</v>
      </c>
      <c r="T642" s="552">
        <v>41491800</v>
      </c>
      <c r="U642" s="548">
        <v>562</v>
      </c>
      <c r="V642" s="552">
        <v>5001800</v>
      </c>
      <c r="W642" s="552">
        <v>966</v>
      </c>
      <c r="X642" s="552">
        <v>8597400</v>
      </c>
      <c r="Y642" s="552">
        <v>4652</v>
      </c>
      <c r="Z642" s="552">
        <v>41402800</v>
      </c>
      <c r="AA642" s="552">
        <v>3390</v>
      </c>
      <c r="AB642" s="552">
        <v>30171000</v>
      </c>
      <c r="AC642" s="552">
        <v>1262</v>
      </c>
      <c r="AD642" s="552">
        <v>11231800</v>
      </c>
      <c r="AE642" s="552">
        <v>0</v>
      </c>
      <c r="AF642" s="552">
        <v>0</v>
      </c>
      <c r="AG642" s="552">
        <v>10</v>
      </c>
      <c r="AH642" s="552">
        <v>89000</v>
      </c>
      <c r="AI642" s="552">
        <v>0</v>
      </c>
      <c r="AJ642" s="552">
        <v>0</v>
      </c>
    </row>
    <row r="643" spans="1:36" ht="15.95" customHeight="1">
      <c r="A643" s="547"/>
      <c r="B643" s="548">
        <v>212</v>
      </c>
      <c r="C643" s="549">
        <v>7505</v>
      </c>
      <c r="D643" s="550" t="s">
        <v>12156</v>
      </c>
      <c r="E643" s="550" t="s">
        <v>6577</v>
      </c>
      <c r="F643" s="550" t="s">
        <v>1610</v>
      </c>
      <c r="G643" s="550" t="s">
        <v>1235</v>
      </c>
      <c r="H643" s="550" t="s">
        <v>900</v>
      </c>
      <c r="I643" s="550" t="s">
        <v>11</v>
      </c>
      <c r="J643" s="550" t="s">
        <v>12158</v>
      </c>
      <c r="K643" s="551">
        <v>45206</v>
      </c>
      <c r="L643" s="552">
        <v>8900</v>
      </c>
      <c r="M643" s="552">
        <v>8900</v>
      </c>
      <c r="N643" s="552">
        <v>8900</v>
      </c>
      <c r="O643" s="552"/>
      <c r="P643" s="552"/>
      <c r="Q643" s="548">
        <v>5000</v>
      </c>
      <c r="R643" s="552">
        <v>44500000</v>
      </c>
      <c r="S643" s="548">
        <v>323</v>
      </c>
      <c r="T643" s="552">
        <v>2874700</v>
      </c>
      <c r="U643" s="548">
        <v>4677</v>
      </c>
      <c r="V643" s="552">
        <v>41625300</v>
      </c>
      <c r="W643" s="552">
        <v>121</v>
      </c>
      <c r="X643" s="552">
        <v>1076900</v>
      </c>
      <c r="Y643" s="552">
        <v>323</v>
      </c>
      <c r="Z643" s="552">
        <v>2874700</v>
      </c>
      <c r="AA643" s="552">
        <v>0</v>
      </c>
      <c r="AB643" s="552">
        <v>0</v>
      </c>
      <c r="AC643" s="552">
        <v>323</v>
      </c>
      <c r="AD643" s="552">
        <v>2874700</v>
      </c>
      <c r="AE643" s="552">
        <v>0</v>
      </c>
      <c r="AF643" s="552">
        <v>0</v>
      </c>
      <c r="AG643" s="552">
        <v>0</v>
      </c>
      <c r="AH643" s="552">
        <v>0</v>
      </c>
      <c r="AI643" s="552">
        <v>0</v>
      </c>
      <c r="AJ643" s="552">
        <v>0</v>
      </c>
    </row>
    <row r="644" spans="1:36" ht="15.95" customHeight="1">
      <c r="A644" s="547"/>
      <c r="B644" s="548">
        <v>213</v>
      </c>
      <c r="C644" s="549">
        <v>7118</v>
      </c>
      <c r="D644" s="550" t="s">
        <v>12159</v>
      </c>
      <c r="E644" s="550" t="s">
        <v>4482</v>
      </c>
      <c r="F644" s="550" t="s">
        <v>1463</v>
      </c>
      <c r="G644" s="550" t="s">
        <v>433</v>
      </c>
      <c r="H644" s="550" t="s">
        <v>1200</v>
      </c>
      <c r="I644" s="550" t="s">
        <v>12</v>
      </c>
      <c r="J644" s="550" t="s">
        <v>11645</v>
      </c>
      <c r="K644" s="551">
        <v>44892</v>
      </c>
      <c r="L644" s="552">
        <v>1323</v>
      </c>
      <c r="M644" s="552">
        <v>1323</v>
      </c>
      <c r="N644" s="552">
        <v>1323</v>
      </c>
      <c r="O644" s="552"/>
      <c r="P644" s="552"/>
      <c r="Q644" s="548">
        <v>1247</v>
      </c>
      <c r="R644" s="552">
        <v>1649781</v>
      </c>
      <c r="S644" s="548">
        <v>350</v>
      </c>
      <c r="T644" s="552">
        <v>463050</v>
      </c>
      <c r="U644" s="548">
        <v>897</v>
      </c>
      <c r="V644" s="552">
        <v>1186731</v>
      </c>
      <c r="W644" s="552">
        <v>103</v>
      </c>
      <c r="X644" s="552">
        <v>136269</v>
      </c>
      <c r="Y644" s="552">
        <v>350</v>
      </c>
      <c r="Z644" s="552">
        <v>463050</v>
      </c>
      <c r="AA644" s="552">
        <v>0</v>
      </c>
      <c r="AB644" s="552">
        <v>0</v>
      </c>
      <c r="AC644" s="552">
        <v>350</v>
      </c>
      <c r="AD644" s="552">
        <v>463050</v>
      </c>
      <c r="AE644" s="552">
        <v>0</v>
      </c>
      <c r="AF644" s="552">
        <v>0</v>
      </c>
      <c r="AG644" s="552">
        <v>0</v>
      </c>
      <c r="AH644" s="552">
        <v>0</v>
      </c>
      <c r="AI644" s="552">
        <v>0</v>
      </c>
      <c r="AJ644" s="552">
        <v>0</v>
      </c>
    </row>
    <row r="645" spans="1:36" ht="15.95" customHeight="1">
      <c r="A645" s="547"/>
      <c r="B645" s="548">
        <v>216</v>
      </c>
      <c r="C645" s="549">
        <v>7170</v>
      </c>
      <c r="D645" s="550" t="s">
        <v>12160</v>
      </c>
      <c r="E645" s="550" t="s">
        <v>4484</v>
      </c>
      <c r="F645" s="550" t="s">
        <v>1458</v>
      </c>
      <c r="G645" s="550" t="s">
        <v>809</v>
      </c>
      <c r="H645" s="550" t="s">
        <v>272</v>
      </c>
      <c r="I645" s="550" t="s">
        <v>11</v>
      </c>
      <c r="J645" s="550" t="s">
        <v>4485</v>
      </c>
      <c r="K645" s="551">
        <v>44586</v>
      </c>
      <c r="L645" s="552">
        <v>476</v>
      </c>
      <c r="M645" s="552">
        <v>476</v>
      </c>
      <c r="N645" s="552">
        <v>476</v>
      </c>
      <c r="O645" s="552"/>
      <c r="P645" s="552"/>
      <c r="Q645" s="548">
        <v>3000</v>
      </c>
      <c r="R645" s="552">
        <v>1428000</v>
      </c>
      <c r="S645" s="548">
        <v>3000</v>
      </c>
      <c r="T645" s="552">
        <v>1428000</v>
      </c>
      <c r="U645" s="548">
        <v>0</v>
      </c>
      <c r="V645" s="552">
        <v>0</v>
      </c>
      <c r="W645" s="552">
        <v>2160</v>
      </c>
      <c r="X645" s="552">
        <v>1028160</v>
      </c>
      <c r="Y645" s="552">
        <v>3000</v>
      </c>
      <c r="Z645" s="552">
        <v>1428000</v>
      </c>
      <c r="AA645" s="552">
        <v>0</v>
      </c>
      <c r="AB645" s="552">
        <v>0</v>
      </c>
      <c r="AC645" s="552">
        <v>3000</v>
      </c>
      <c r="AD645" s="552">
        <v>1428000</v>
      </c>
      <c r="AE645" s="552">
        <v>0</v>
      </c>
      <c r="AF645" s="552">
        <v>0</v>
      </c>
      <c r="AG645" s="552">
        <v>0</v>
      </c>
      <c r="AH645" s="552">
        <v>0</v>
      </c>
      <c r="AI645" s="552">
        <v>0</v>
      </c>
      <c r="AJ645" s="552">
        <v>0</v>
      </c>
    </row>
    <row r="646" spans="1:36" ht="15.95" customHeight="1">
      <c r="A646" s="547"/>
      <c r="B646" s="548">
        <v>232</v>
      </c>
      <c r="C646" s="549">
        <v>7163</v>
      </c>
      <c r="D646" s="550" t="s">
        <v>12161</v>
      </c>
      <c r="E646" s="550" t="s">
        <v>4486</v>
      </c>
      <c r="F646" s="550" t="s">
        <v>5870</v>
      </c>
      <c r="G646" s="550" t="s">
        <v>411</v>
      </c>
      <c r="H646" s="550" t="s">
        <v>272</v>
      </c>
      <c r="I646" s="550" t="s">
        <v>13</v>
      </c>
      <c r="J646" s="550" t="s">
        <v>12162</v>
      </c>
      <c r="K646" s="551">
        <v>44652</v>
      </c>
      <c r="L646" s="552">
        <v>5090</v>
      </c>
      <c r="M646" s="552">
        <v>5090</v>
      </c>
      <c r="N646" s="552">
        <v>5090</v>
      </c>
      <c r="O646" s="552"/>
      <c r="P646" s="552"/>
      <c r="Q646" s="548">
        <v>1200</v>
      </c>
      <c r="R646" s="552">
        <v>6108000</v>
      </c>
      <c r="S646" s="548">
        <v>583</v>
      </c>
      <c r="T646" s="552">
        <v>2967470</v>
      </c>
      <c r="U646" s="548">
        <v>617</v>
      </c>
      <c r="V646" s="552">
        <v>3140530</v>
      </c>
      <c r="W646" s="552">
        <v>240</v>
      </c>
      <c r="X646" s="552">
        <v>1221600</v>
      </c>
      <c r="Y646" s="552">
        <v>583</v>
      </c>
      <c r="Z646" s="552">
        <v>2967470</v>
      </c>
      <c r="AA646" s="552">
        <v>343</v>
      </c>
      <c r="AB646" s="552">
        <v>1745870</v>
      </c>
      <c r="AC646" s="552">
        <v>240</v>
      </c>
      <c r="AD646" s="552">
        <v>1221600</v>
      </c>
      <c r="AE646" s="552">
        <v>0</v>
      </c>
      <c r="AF646" s="552">
        <v>0</v>
      </c>
      <c r="AG646" s="552">
        <v>0</v>
      </c>
      <c r="AH646" s="552">
        <v>0</v>
      </c>
      <c r="AI646" s="552">
        <v>0</v>
      </c>
      <c r="AJ646" s="552">
        <v>0</v>
      </c>
    </row>
    <row r="647" spans="1:36" ht="15.95" customHeight="1">
      <c r="A647" s="547"/>
      <c r="B647" s="548">
        <v>253</v>
      </c>
      <c r="C647" s="549">
        <v>7151</v>
      </c>
      <c r="D647" s="550" t="s">
        <v>12163</v>
      </c>
      <c r="E647" s="550" t="s">
        <v>4487</v>
      </c>
      <c r="F647" s="550" t="s">
        <v>4488</v>
      </c>
      <c r="G647" s="550" t="s">
        <v>841</v>
      </c>
      <c r="H647" s="550" t="s">
        <v>4489</v>
      </c>
      <c r="I647" s="550" t="s">
        <v>11</v>
      </c>
      <c r="J647" s="550" t="s">
        <v>11658</v>
      </c>
      <c r="K647" s="551">
        <v>45407</v>
      </c>
      <c r="L647" s="552">
        <v>215</v>
      </c>
      <c r="M647" s="552">
        <v>215</v>
      </c>
      <c r="N647" s="552">
        <v>215</v>
      </c>
      <c r="O647" s="552"/>
      <c r="P647" s="552"/>
      <c r="Q647" s="548">
        <v>800</v>
      </c>
      <c r="R647" s="552">
        <v>172000</v>
      </c>
      <c r="S647" s="548">
        <v>800</v>
      </c>
      <c r="T647" s="552">
        <v>172000</v>
      </c>
      <c r="U647" s="548">
        <v>0</v>
      </c>
      <c r="V647" s="552">
        <v>0</v>
      </c>
      <c r="W647" s="552">
        <v>682</v>
      </c>
      <c r="X647" s="552">
        <v>146630</v>
      </c>
      <c r="Y647" s="552">
        <v>800</v>
      </c>
      <c r="Z647" s="552">
        <v>172000</v>
      </c>
      <c r="AA647" s="552">
        <v>0</v>
      </c>
      <c r="AB647" s="552">
        <v>0</v>
      </c>
      <c r="AC647" s="552">
        <v>800</v>
      </c>
      <c r="AD647" s="552">
        <v>172000</v>
      </c>
      <c r="AE647" s="552">
        <v>0</v>
      </c>
      <c r="AF647" s="552">
        <v>0</v>
      </c>
      <c r="AG647" s="552">
        <v>0</v>
      </c>
      <c r="AH647" s="552">
        <v>0</v>
      </c>
      <c r="AI647" s="552">
        <v>0</v>
      </c>
      <c r="AJ647" s="552">
        <v>0</v>
      </c>
    </row>
    <row r="648" spans="1:36" ht="15.95" customHeight="1">
      <c r="A648" s="547"/>
      <c r="B648" s="548">
        <v>263</v>
      </c>
      <c r="C648" s="549">
        <v>7088</v>
      </c>
      <c r="D648" s="550" t="s">
        <v>12164</v>
      </c>
      <c r="E648" s="550" t="s">
        <v>5881</v>
      </c>
      <c r="F648" s="550" t="s">
        <v>5883</v>
      </c>
      <c r="G648" s="550" t="s">
        <v>683</v>
      </c>
      <c r="H648" s="550" t="s">
        <v>5882</v>
      </c>
      <c r="I648" s="550" t="s">
        <v>15</v>
      </c>
      <c r="J648" s="550" t="s">
        <v>12165</v>
      </c>
      <c r="K648" s="551">
        <v>45186</v>
      </c>
      <c r="L648" s="552">
        <v>83000</v>
      </c>
      <c r="M648" s="552">
        <v>83000</v>
      </c>
      <c r="N648" s="552">
        <v>83000</v>
      </c>
      <c r="O648" s="552"/>
      <c r="P648" s="552"/>
      <c r="Q648" s="548">
        <v>100</v>
      </c>
      <c r="R648" s="552">
        <v>8300000</v>
      </c>
      <c r="S648" s="548">
        <v>2</v>
      </c>
      <c r="T648" s="552">
        <v>166000</v>
      </c>
      <c r="U648" s="548">
        <v>98</v>
      </c>
      <c r="V648" s="552">
        <v>8134000</v>
      </c>
      <c r="W648" s="552">
        <v>0</v>
      </c>
      <c r="X648" s="552">
        <v>0</v>
      </c>
      <c r="Y648" s="552">
        <v>2</v>
      </c>
      <c r="Z648" s="552">
        <v>166000</v>
      </c>
      <c r="AA648" s="552">
        <v>2</v>
      </c>
      <c r="AB648" s="552">
        <v>166000</v>
      </c>
      <c r="AC648" s="552">
        <v>0</v>
      </c>
      <c r="AD648" s="552">
        <v>0</v>
      </c>
      <c r="AE648" s="552">
        <v>0</v>
      </c>
      <c r="AF648" s="552">
        <v>0</v>
      </c>
      <c r="AG648" s="552">
        <v>0</v>
      </c>
      <c r="AH648" s="552">
        <v>0</v>
      </c>
      <c r="AI648" s="552">
        <v>0</v>
      </c>
      <c r="AJ648" s="552">
        <v>0</v>
      </c>
    </row>
    <row r="649" spans="1:36" ht="15.95" customHeight="1">
      <c r="A649" s="547"/>
      <c r="B649" s="548">
        <v>273</v>
      </c>
      <c r="C649" s="549">
        <v>7155</v>
      </c>
      <c r="D649" s="550" t="s">
        <v>12166</v>
      </c>
      <c r="E649" s="550" t="s">
        <v>4490</v>
      </c>
      <c r="F649" s="550" t="s">
        <v>2123</v>
      </c>
      <c r="G649" s="550" t="s">
        <v>4491</v>
      </c>
      <c r="H649" s="550" t="s">
        <v>4492</v>
      </c>
      <c r="I649" s="550" t="s">
        <v>658</v>
      </c>
      <c r="J649" s="550" t="s">
        <v>12167</v>
      </c>
      <c r="K649" s="551">
        <v>44720</v>
      </c>
      <c r="L649" s="552">
        <v>43919</v>
      </c>
      <c r="M649" s="552">
        <v>43919</v>
      </c>
      <c r="N649" s="552">
        <v>43919</v>
      </c>
      <c r="O649" s="552">
        <v>79</v>
      </c>
      <c r="P649" s="552">
        <v>3469601</v>
      </c>
      <c r="Q649" s="548">
        <v>0</v>
      </c>
      <c r="R649" s="552">
        <v>0</v>
      </c>
      <c r="S649" s="548">
        <v>46</v>
      </c>
      <c r="T649" s="552">
        <v>2020274</v>
      </c>
      <c r="U649" s="548">
        <v>33</v>
      </c>
      <c r="V649" s="552">
        <v>1449327</v>
      </c>
      <c r="W649" s="552">
        <v>0</v>
      </c>
      <c r="X649" s="552">
        <v>0</v>
      </c>
      <c r="Y649" s="552">
        <v>46</v>
      </c>
      <c r="Z649" s="552">
        <v>2020274</v>
      </c>
      <c r="AA649" s="552">
        <v>46</v>
      </c>
      <c r="AB649" s="552">
        <v>2020274</v>
      </c>
      <c r="AC649" s="552">
        <v>0</v>
      </c>
      <c r="AD649" s="552">
        <v>0</v>
      </c>
      <c r="AE649" s="552">
        <v>0</v>
      </c>
      <c r="AF649" s="552">
        <v>0</v>
      </c>
      <c r="AG649" s="552">
        <v>0</v>
      </c>
      <c r="AH649" s="552">
        <v>0</v>
      </c>
      <c r="AI649" s="552">
        <v>0</v>
      </c>
      <c r="AJ649" s="552">
        <v>0</v>
      </c>
    </row>
    <row r="650" spans="1:36" ht="15.95" customHeight="1">
      <c r="A650" s="547"/>
      <c r="B650" s="548">
        <v>274</v>
      </c>
      <c r="C650" s="549">
        <v>7155</v>
      </c>
      <c r="D650" s="550" t="s">
        <v>12166</v>
      </c>
      <c r="E650" s="550" t="s">
        <v>4490</v>
      </c>
      <c r="F650" s="550" t="s">
        <v>2123</v>
      </c>
      <c r="G650" s="550" t="s">
        <v>4491</v>
      </c>
      <c r="H650" s="550" t="s">
        <v>4492</v>
      </c>
      <c r="I650" s="550" t="s">
        <v>658</v>
      </c>
      <c r="J650" s="550" t="s">
        <v>12168</v>
      </c>
      <c r="K650" s="551">
        <v>44721</v>
      </c>
      <c r="L650" s="552">
        <v>43919</v>
      </c>
      <c r="M650" s="552">
        <v>43919</v>
      </c>
      <c r="N650" s="552">
        <v>43919</v>
      </c>
      <c r="O650" s="552"/>
      <c r="P650" s="552"/>
      <c r="Q650" s="548">
        <v>100</v>
      </c>
      <c r="R650" s="552">
        <v>4391900</v>
      </c>
      <c r="S650" s="548">
        <v>0</v>
      </c>
      <c r="T650" s="552">
        <v>0</v>
      </c>
      <c r="U650" s="548">
        <v>100</v>
      </c>
      <c r="V650" s="552">
        <v>4391900</v>
      </c>
      <c r="W650" s="552">
        <v>0</v>
      </c>
      <c r="X650" s="552">
        <v>0</v>
      </c>
      <c r="Y650" s="552">
        <v>0</v>
      </c>
      <c r="Z650" s="552">
        <v>0</v>
      </c>
      <c r="AA650" s="552">
        <v>0</v>
      </c>
      <c r="AB650" s="552">
        <v>0</v>
      </c>
      <c r="AC650" s="552">
        <v>0</v>
      </c>
      <c r="AD650" s="552">
        <v>0</v>
      </c>
      <c r="AE650" s="552">
        <v>0</v>
      </c>
      <c r="AF650" s="552">
        <v>0</v>
      </c>
      <c r="AG650" s="552">
        <v>0</v>
      </c>
      <c r="AH650" s="552">
        <v>0</v>
      </c>
      <c r="AI650" s="552">
        <v>0</v>
      </c>
      <c r="AJ650" s="552">
        <v>0</v>
      </c>
    </row>
    <row r="651" spans="1:36" ht="15.95" customHeight="1">
      <c r="A651" s="547"/>
      <c r="B651" s="548">
        <v>328</v>
      </c>
      <c r="C651" s="549">
        <v>7117</v>
      </c>
      <c r="D651" s="550" t="s">
        <v>12169</v>
      </c>
      <c r="E651" s="550" t="s">
        <v>6582</v>
      </c>
      <c r="F651" s="550" t="s">
        <v>6585</v>
      </c>
      <c r="G651" s="550" t="s">
        <v>6583</v>
      </c>
      <c r="H651" s="550" t="s">
        <v>6584</v>
      </c>
      <c r="I651" s="550" t="s">
        <v>11</v>
      </c>
      <c r="J651" s="550" t="s">
        <v>12170</v>
      </c>
      <c r="K651" s="551">
        <v>45232</v>
      </c>
      <c r="L651" s="552">
        <v>2500</v>
      </c>
      <c r="M651" s="552">
        <v>2500</v>
      </c>
      <c r="N651" s="552">
        <v>2500</v>
      </c>
      <c r="O651" s="552"/>
      <c r="P651" s="552"/>
      <c r="Q651" s="548">
        <v>5010</v>
      </c>
      <c r="R651" s="552">
        <v>12525000</v>
      </c>
      <c r="S651" s="548">
        <v>0</v>
      </c>
      <c r="T651" s="552">
        <v>0</v>
      </c>
      <c r="U651" s="548">
        <v>5010</v>
      </c>
      <c r="V651" s="552">
        <v>12525000</v>
      </c>
      <c r="W651" s="552">
        <v>0</v>
      </c>
      <c r="X651" s="552">
        <v>0</v>
      </c>
      <c r="Y651" s="552">
        <v>0</v>
      </c>
      <c r="Z651" s="552">
        <v>0</v>
      </c>
      <c r="AA651" s="552">
        <v>0</v>
      </c>
      <c r="AB651" s="552">
        <v>0</v>
      </c>
      <c r="AC651" s="552">
        <v>0</v>
      </c>
      <c r="AD651" s="552">
        <v>0</v>
      </c>
      <c r="AE651" s="552">
        <v>0</v>
      </c>
      <c r="AF651" s="552">
        <v>0</v>
      </c>
      <c r="AG651" s="552">
        <v>0</v>
      </c>
      <c r="AH651" s="552">
        <v>0</v>
      </c>
      <c r="AI651" s="552">
        <v>0</v>
      </c>
      <c r="AJ651" s="552">
        <v>0</v>
      </c>
    </row>
    <row r="652" spans="1:36" ht="15.95" customHeight="1">
      <c r="A652" s="547"/>
      <c r="B652" s="548">
        <v>379</v>
      </c>
      <c r="C652" s="549">
        <v>4537</v>
      </c>
      <c r="D652" s="550"/>
      <c r="E652" s="550"/>
      <c r="F652" s="550" t="s">
        <v>1335</v>
      </c>
      <c r="G652" s="550" t="s">
        <v>1335</v>
      </c>
      <c r="H652" s="550" t="s">
        <v>225</v>
      </c>
      <c r="I652" s="550" t="s">
        <v>11</v>
      </c>
      <c r="J652" s="550" t="s">
        <v>4494</v>
      </c>
      <c r="K652" s="551">
        <v>43922</v>
      </c>
      <c r="L652" s="552">
        <v>1185</v>
      </c>
      <c r="M652" s="552">
        <v>1185</v>
      </c>
      <c r="N652" s="552">
        <v>1185</v>
      </c>
      <c r="O652" s="552">
        <v>2</v>
      </c>
      <c r="P652" s="552">
        <v>2370</v>
      </c>
      <c r="Q652" s="548">
        <v>0</v>
      </c>
      <c r="R652" s="552">
        <v>0</v>
      </c>
      <c r="S652" s="548">
        <v>2</v>
      </c>
      <c r="T652" s="552">
        <v>2370</v>
      </c>
      <c r="U652" s="548">
        <v>0</v>
      </c>
      <c r="V652" s="552">
        <v>0</v>
      </c>
      <c r="W652" s="552">
        <v>0</v>
      </c>
      <c r="X652" s="552">
        <v>0</v>
      </c>
      <c r="Y652" s="552">
        <v>2</v>
      </c>
      <c r="Z652" s="552">
        <v>2370</v>
      </c>
      <c r="AA652" s="552">
        <v>2</v>
      </c>
      <c r="AB652" s="552">
        <v>2370</v>
      </c>
      <c r="AC652" s="552">
        <v>0</v>
      </c>
      <c r="AD652" s="552">
        <v>0</v>
      </c>
      <c r="AE652" s="552">
        <v>0</v>
      </c>
      <c r="AF652" s="552">
        <v>0</v>
      </c>
      <c r="AG652" s="552">
        <v>0</v>
      </c>
      <c r="AH652" s="552">
        <v>0</v>
      </c>
      <c r="AI652" s="552">
        <v>0</v>
      </c>
      <c r="AJ652" s="552">
        <v>0</v>
      </c>
    </row>
    <row r="653" spans="1:36" ht="15.95" customHeight="1">
      <c r="A653" s="547"/>
      <c r="B653" s="548">
        <v>380</v>
      </c>
      <c r="C653" s="549">
        <v>7176</v>
      </c>
      <c r="D653" s="550" t="s">
        <v>12171</v>
      </c>
      <c r="E653" s="550" t="s">
        <v>4493</v>
      </c>
      <c r="F653" s="550" t="s">
        <v>1335</v>
      </c>
      <c r="G653" s="550" t="s">
        <v>1335</v>
      </c>
      <c r="H653" s="550" t="s">
        <v>225</v>
      </c>
      <c r="I653" s="550" t="s">
        <v>11</v>
      </c>
      <c r="J653" s="550" t="s">
        <v>12172</v>
      </c>
      <c r="K653" s="551">
        <v>45306</v>
      </c>
      <c r="L653" s="552">
        <v>1153</v>
      </c>
      <c r="M653" s="552">
        <v>1153</v>
      </c>
      <c r="N653" s="552">
        <v>1153</v>
      </c>
      <c r="O653" s="552"/>
      <c r="P653" s="552"/>
      <c r="Q653" s="548">
        <v>3000</v>
      </c>
      <c r="R653" s="552">
        <v>3459000</v>
      </c>
      <c r="S653" s="548">
        <v>3000</v>
      </c>
      <c r="T653" s="552">
        <v>3459000</v>
      </c>
      <c r="U653" s="548">
        <v>0</v>
      </c>
      <c r="V653" s="552">
        <v>0</v>
      </c>
      <c r="W653" s="552">
        <v>884</v>
      </c>
      <c r="X653" s="552">
        <v>1019252</v>
      </c>
      <c r="Y653" s="552">
        <v>3000</v>
      </c>
      <c r="Z653" s="552">
        <v>3459000</v>
      </c>
      <c r="AA653" s="552">
        <v>0</v>
      </c>
      <c r="AB653" s="552">
        <v>0</v>
      </c>
      <c r="AC653" s="552">
        <v>3000</v>
      </c>
      <c r="AD653" s="552">
        <v>3459000</v>
      </c>
      <c r="AE653" s="552">
        <v>0</v>
      </c>
      <c r="AF653" s="552">
        <v>0</v>
      </c>
      <c r="AG653" s="552">
        <v>0</v>
      </c>
      <c r="AH653" s="552">
        <v>0</v>
      </c>
      <c r="AI653" s="552">
        <v>0</v>
      </c>
      <c r="AJ653" s="552">
        <v>0</v>
      </c>
    </row>
    <row r="654" spans="1:36" ht="15.95" customHeight="1">
      <c r="A654" s="547"/>
      <c r="B654" s="548">
        <v>381</v>
      </c>
      <c r="C654" s="549">
        <v>7176</v>
      </c>
      <c r="D654" s="550" t="s">
        <v>12171</v>
      </c>
      <c r="E654" s="550" t="s">
        <v>4493</v>
      </c>
      <c r="F654" s="550" t="s">
        <v>1335</v>
      </c>
      <c r="G654" s="550" t="s">
        <v>1335</v>
      </c>
      <c r="H654" s="550" t="s">
        <v>225</v>
      </c>
      <c r="I654" s="550" t="s">
        <v>11</v>
      </c>
      <c r="J654" s="550" t="s">
        <v>12173</v>
      </c>
      <c r="K654" s="551">
        <v>45227</v>
      </c>
      <c r="L654" s="552">
        <v>1153</v>
      </c>
      <c r="M654" s="552">
        <v>1153</v>
      </c>
      <c r="N654" s="552">
        <v>1153</v>
      </c>
      <c r="O654" s="552"/>
      <c r="P654" s="552"/>
      <c r="Q654" s="548">
        <v>3000</v>
      </c>
      <c r="R654" s="552">
        <v>3459000</v>
      </c>
      <c r="S654" s="548">
        <v>3000</v>
      </c>
      <c r="T654" s="552">
        <v>3459000</v>
      </c>
      <c r="U654" s="548">
        <v>0</v>
      </c>
      <c r="V654" s="552">
        <v>0</v>
      </c>
      <c r="W654" s="552">
        <v>1964</v>
      </c>
      <c r="X654" s="552">
        <v>2264492</v>
      </c>
      <c r="Y654" s="552">
        <v>3000</v>
      </c>
      <c r="Z654" s="552">
        <v>3459000</v>
      </c>
      <c r="AA654" s="552">
        <v>0</v>
      </c>
      <c r="AB654" s="552">
        <v>0</v>
      </c>
      <c r="AC654" s="552">
        <v>3000</v>
      </c>
      <c r="AD654" s="552">
        <v>3459000</v>
      </c>
      <c r="AE654" s="552">
        <v>0</v>
      </c>
      <c r="AF654" s="552">
        <v>0</v>
      </c>
      <c r="AG654" s="552">
        <v>0</v>
      </c>
      <c r="AH654" s="552">
        <v>0</v>
      </c>
      <c r="AI654" s="552">
        <v>0</v>
      </c>
      <c r="AJ654" s="552">
        <v>0</v>
      </c>
    </row>
    <row r="655" spans="1:36" ht="15.95" customHeight="1">
      <c r="A655" s="547"/>
      <c r="B655" s="548">
        <v>386</v>
      </c>
      <c r="C655" s="549">
        <v>7152</v>
      </c>
      <c r="D655" s="550" t="s">
        <v>12174</v>
      </c>
      <c r="E655" s="550" t="s">
        <v>4497</v>
      </c>
      <c r="F655" s="550" t="s">
        <v>4498</v>
      </c>
      <c r="G655" s="550" t="s">
        <v>1510</v>
      </c>
      <c r="H655" s="550" t="s">
        <v>4499</v>
      </c>
      <c r="I655" s="550" t="s">
        <v>658</v>
      </c>
      <c r="J655" s="550" t="s">
        <v>4500</v>
      </c>
      <c r="K655" s="551">
        <v>44773</v>
      </c>
      <c r="L655" s="552">
        <v>38493</v>
      </c>
      <c r="M655" s="552">
        <v>38493</v>
      </c>
      <c r="N655" s="552">
        <v>38493</v>
      </c>
      <c r="O655" s="552">
        <v>66</v>
      </c>
      <c r="P655" s="552">
        <v>2540538</v>
      </c>
      <c r="Q655" s="548">
        <v>0</v>
      </c>
      <c r="R655" s="552">
        <v>0</v>
      </c>
      <c r="S655" s="548">
        <v>20</v>
      </c>
      <c r="T655" s="552">
        <v>769860</v>
      </c>
      <c r="U655" s="548">
        <v>46</v>
      </c>
      <c r="V655" s="552">
        <v>1770678</v>
      </c>
      <c r="W655" s="552">
        <v>0</v>
      </c>
      <c r="X655" s="552">
        <v>0</v>
      </c>
      <c r="Y655" s="552">
        <v>20</v>
      </c>
      <c r="Z655" s="552">
        <v>769860</v>
      </c>
      <c r="AA655" s="552">
        <v>20</v>
      </c>
      <c r="AB655" s="552">
        <v>769860</v>
      </c>
      <c r="AC655" s="552">
        <v>0</v>
      </c>
      <c r="AD655" s="552">
        <v>0</v>
      </c>
      <c r="AE655" s="552">
        <v>0</v>
      </c>
      <c r="AF655" s="552">
        <v>0</v>
      </c>
      <c r="AG655" s="552">
        <v>0</v>
      </c>
      <c r="AH655" s="552">
        <v>0</v>
      </c>
      <c r="AI655" s="552">
        <v>0</v>
      </c>
      <c r="AJ655" s="552">
        <v>0</v>
      </c>
    </row>
    <row r="656" spans="1:36" ht="15.95" customHeight="1">
      <c r="A656" s="547"/>
      <c r="B656" s="548">
        <v>462</v>
      </c>
      <c r="C656" s="549">
        <v>5707</v>
      </c>
      <c r="D656" s="550"/>
      <c r="E656" s="550" t="s">
        <v>4501</v>
      </c>
      <c r="F656" s="550" t="s">
        <v>1440</v>
      </c>
      <c r="G656" s="550" t="s">
        <v>1439</v>
      </c>
      <c r="H656" s="550" t="s">
        <v>4502</v>
      </c>
      <c r="I656" s="550" t="s">
        <v>1144</v>
      </c>
      <c r="J656" s="550" t="s">
        <v>4503</v>
      </c>
      <c r="K656" s="551">
        <v>44514</v>
      </c>
      <c r="L656" s="552">
        <v>7320</v>
      </c>
      <c r="M656" s="552">
        <v>7320</v>
      </c>
      <c r="N656" s="552">
        <v>7320</v>
      </c>
      <c r="O656" s="552">
        <v>3</v>
      </c>
      <c r="P656" s="552">
        <v>21960</v>
      </c>
      <c r="Q656" s="548">
        <v>0</v>
      </c>
      <c r="R656" s="552">
        <v>0</v>
      </c>
      <c r="S656" s="548">
        <v>3</v>
      </c>
      <c r="T656" s="552">
        <v>21960</v>
      </c>
      <c r="U656" s="548">
        <v>0</v>
      </c>
      <c r="V656" s="552">
        <v>0</v>
      </c>
      <c r="W656" s="552">
        <v>22</v>
      </c>
      <c r="X656" s="552">
        <v>161040</v>
      </c>
      <c r="Y656" s="552">
        <v>3</v>
      </c>
      <c r="Z656" s="552">
        <v>21960</v>
      </c>
      <c r="AA656" s="552">
        <v>3</v>
      </c>
      <c r="AB656" s="552">
        <v>21960</v>
      </c>
      <c r="AC656" s="552">
        <v>0</v>
      </c>
      <c r="AD656" s="552">
        <v>0</v>
      </c>
      <c r="AE656" s="552">
        <v>0</v>
      </c>
      <c r="AF656" s="552">
        <v>0</v>
      </c>
      <c r="AG656" s="552">
        <v>0</v>
      </c>
      <c r="AH656" s="552">
        <v>0</v>
      </c>
      <c r="AI656" s="552">
        <v>0</v>
      </c>
      <c r="AJ656" s="552">
        <v>0</v>
      </c>
    </row>
    <row r="657" spans="1:36" ht="15.95" customHeight="1">
      <c r="A657" s="547"/>
      <c r="B657" s="548">
        <v>463</v>
      </c>
      <c r="C657" s="549">
        <v>5642</v>
      </c>
      <c r="D657" s="550"/>
      <c r="E657" s="550" t="s">
        <v>4504</v>
      </c>
      <c r="F657" s="550" t="s">
        <v>1923</v>
      </c>
      <c r="G657" s="550" t="s">
        <v>1439</v>
      </c>
      <c r="H657" s="550" t="s">
        <v>225</v>
      </c>
      <c r="I657" s="550" t="s">
        <v>11</v>
      </c>
      <c r="J657" s="550" t="s">
        <v>4505</v>
      </c>
      <c r="K657" s="551">
        <v>44499</v>
      </c>
      <c r="L657" s="552">
        <v>1197</v>
      </c>
      <c r="M657" s="552">
        <v>1197</v>
      </c>
      <c r="N657" s="552">
        <v>1197</v>
      </c>
      <c r="O657" s="552">
        <v>266</v>
      </c>
      <c r="P657" s="552">
        <v>318402</v>
      </c>
      <c r="Q657" s="548">
        <v>0</v>
      </c>
      <c r="R657" s="552">
        <v>0</v>
      </c>
      <c r="S657" s="548">
        <v>266</v>
      </c>
      <c r="T657" s="552">
        <v>318402</v>
      </c>
      <c r="U657" s="548">
        <v>0</v>
      </c>
      <c r="V657" s="552">
        <v>0</v>
      </c>
      <c r="W657" s="552">
        <v>324</v>
      </c>
      <c r="X657" s="552">
        <v>387828</v>
      </c>
      <c r="Y657" s="552">
        <v>266</v>
      </c>
      <c r="Z657" s="552">
        <v>318402</v>
      </c>
      <c r="AA657" s="552">
        <v>266</v>
      </c>
      <c r="AB657" s="552">
        <v>318402</v>
      </c>
      <c r="AC657" s="552">
        <v>0</v>
      </c>
      <c r="AD657" s="552">
        <v>0</v>
      </c>
      <c r="AE657" s="552">
        <v>0</v>
      </c>
      <c r="AF657" s="552">
        <v>0</v>
      </c>
      <c r="AG657" s="552">
        <v>0</v>
      </c>
      <c r="AH657" s="552">
        <v>0</v>
      </c>
      <c r="AI657" s="552">
        <v>0</v>
      </c>
      <c r="AJ657" s="552">
        <v>0</v>
      </c>
    </row>
    <row r="658" spans="1:36" ht="15.95" customHeight="1">
      <c r="A658" s="547"/>
      <c r="B658" s="548">
        <v>464</v>
      </c>
      <c r="C658" s="549">
        <v>7124</v>
      </c>
      <c r="D658" s="550" t="s">
        <v>12175</v>
      </c>
      <c r="E658" s="550" t="s">
        <v>4504</v>
      </c>
      <c r="F658" s="550" t="s">
        <v>1923</v>
      </c>
      <c r="G658" s="550" t="s">
        <v>1439</v>
      </c>
      <c r="H658" s="550" t="s">
        <v>225</v>
      </c>
      <c r="I658" s="550" t="s">
        <v>11</v>
      </c>
      <c r="J658" s="550" t="s">
        <v>4506</v>
      </c>
      <c r="K658" s="551">
        <v>45056</v>
      </c>
      <c r="L658" s="552">
        <v>1208</v>
      </c>
      <c r="M658" s="552">
        <v>1208</v>
      </c>
      <c r="N658" s="552">
        <v>1208</v>
      </c>
      <c r="O658" s="552">
        <v>400</v>
      </c>
      <c r="P658" s="552">
        <v>483200</v>
      </c>
      <c r="Q658" s="548">
        <v>0</v>
      </c>
      <c r="R658" s="552">
        <v>0</v>
      </c>
      <c r="S658" s="548">
        <v>400</v>
      </c>
      <c r="T658" s="552">
        <v>483200</v>
      </c>
      <c r="U658" s="548">
        <v>0</v>
      </c>
      <c r="V658" s="552">
        <v>0</v>
      </c>
      <c r="W658" s="552">
        <v>212</v>
      </c>
      <c r="X658" s="552">
        <v>256096</v>
      </c>
      <c r="Y658" s="552">
        <v>400</v>
      </c>
      <c r="Z658" s="552">
        <v>483200</v>
      </c>
      <c r="AA658" s="552">
        <v>300</v>
      </c>
      <c r="AB658" s="552">
        <v>362400</v>
      </c>
      <c r="AC658" s="552">
        <v>100</v>
      </c>
      <c r="AD658" s="552">
        <v>120800</v>
      </c>
      <c r="AE658" s="552">
        <v>0</v>
      </c>
      <c r="AF658" s="552">
        <v>0</v>
      </c>
      <c r="AG658" s="552">
        <v>0</v>
      </c>
      <c r="AH658" s="552">
        <v>0</v>
      </c>
      <c r="AI658" s="552">
        <v>0</v>
      </c>
      <c r="AJ658" s="552">
        <v>0</v>
      </c>
    </row>
    <row r="659" spans="1:36" ht="15.95" customHeight="1">
      <c r="A659" s="547"/>
      <c r="B659" s="548">
        <v>466</v>
      </c>
      <c r="C659" s="549">
        <v>5984</v>
      </c>
      <c r="D659" s="550"/>
      <c r="E659" s="550" t="s">
        <v>4507</v>
      </c>
      <c r="F659" s="550" t="s">
        <v>4508</v>
      </c>
      <c r="G659" s="550" t="s">
        <v>4509</v>
      </c>
      <c r="H659" s="550" t="s">
        <v>232</v>
      </c>
      <c r="I659" s="550" t="s">
        <v>10</v>
      </c>
      <c r="J659" s="550" t="s">
        <v>4510</v>
      </c>
      <c r="K659" s="551">
        <v>44136</v>
      </c>
      <c r="L659" s="552">
        <v>34350</v>
      </c>
      <c r="M659" s="552">
        <v>34350</v>
      </c>
      <c r="N659" s="552">
        <v>34350</v>
      </c>
      <c r="O659" s="552">
        <v>145</v>
      </c>
      <c r="P659" s="552">
        <v>4980750</v>
      </c>
      <c r="Q659" s="548">
        <v>0</v>
      </c>
      <c r="R659" s="552">
        <v>0</v>
      </c>
      <c r="S659" s="548">
        <v>145</v>
      </c>
      <c r="T659" s="552">
        <v>4980750</v>
      </c>
      <c r="U659" s="548">
        <v>0</v>
      </c>
      <c r="V659" s="552">
        <v>0</v>
      </c>
      <c r="W659" s="552">
        <v>0</v>
      </c>
      <c r="X659" s="552">
        <v>0</v>
      </c>
      <c r="Y659" s="552">
        <v>110</v>
      </c>
      <c r="Z659" s="552">
        <v>3778500</v>
      </c>
      <c r="AA659" s="552">
        <v>110</v>
      </c>
      <c r="AB659" s="552">
        <v>3778500</v>
      </c>
      <c r="AC659" s="552">
        <v>0</v>
      </c>
      <c r="AD659" s="552">
        <v>0</v>
      </c>
      <c r="AE659" s="552">
        <v>0</v>
      </c>
      <c r="AF659" s="552">
        <v>0</v>
      </c>
      <c r="AG659" s="552">
        <v>35</v>
      </c>
      <c r="AH659" s="552">
        <v>1202250</v>
      </c>
      <c r="AI659" s="552">
        <v>0</v>
      </c>
      <c r="AJ659" s="552">
        <v>0</v>
      </c>
    </row>
    <row r="660" spans="1:36" ht="15.95" customHeight="1">
      <c r="A660" s="547"/>
      <c r="B660" s="548">
        <v>471</v>
      </c>
      <c r="C660" s="549">
        <v>7164</v>
      </c>
      <c r="D660" s="550" t="s">
        <v>12176</v>
      </c>
      <c r="E660" s="550" t="s">
        <v>4511</v>
      </c>
      <c r="F660" s="550" t="s">
        <v>1192</v>
      </c>
      <c r="G660" s="550" t="s">
        <v>411</v>
      </c>
      <c r="H660" s="550" t="s">
        <v>272</v>
      </c>
      <c r="I660" s="550" t="s">
        <v>13</v>
      </c>
      <c r="J660" s="550" t="s">
        <v>12177</v>
      </c>
      <c r="K660" s="551">
        <v>45201</v>
      </c>
      <c r="L660" s="552">
        <v>536</v>
      </c>
      <c r="M660" s="552">
        <v>536</v>
      </c>
      <c r="N660" s="552">
        <v>536</v>
      </c>
      <c r="O660" s="552"/>
      <c r="P660" s="552"/>
      <c r="Q660" s="548">
        <v>3120</v>
      </c>
      <c r="R660" s="552">
        <v>1672320</v>
      </c>
      <c r="S660" s="548">
        <v>3120</v>
      </c>
      <c r="T660" s="552">
        <v>1672320</v>
      </c>
      <c r="U660" s="548">
        <v>0</v>
      </c>
      <c r="V660" s="552">
        <v>0</v>
      </c>
      <c r="W660" s="552">
        <v>586</v>
      </c>
      <c r="X660" s="552">
        <v>314096</v>
      </c>
      <c r="Y660" s="552">
        <v>3120</v>
      </c>
      <c r="Z660" s="552">
        <v>1672320</v>
      </c>
      <c r="AA660" s="552">
        <v>0</v>
      </c>
      <c r="AB660" s="552">
        <v>0</v>
      </c>
      <c r="AC660" s="552">
        <v>3120</v>
      </c>
      <c r="AD660" s="552">
        <v>1672320</v>
      </c>
      <c r="AE660" s="552">
        <v>0</v>
      </c>
      <c r="AF660" s="552">
        <v>0</v>
      </c>
      <c r="AG660" s="552">
        <v>0</v>
      </c>
      <c r="AH660" s="552">
        <v>0</v>
      </c>
      <c r="AI660" s="552">
        <v>0</v>
      </c>
      <c r="AJ660" s="552">
        <v>0</v>
      </c>
    </row>
    <row r="661" spans="1:36" ht="15.95" customHeight="1">
      <c r="A661" s="547"/>
      <c r="B661" s="548">
        <v>472</v>
      </c>
      <c r="C661" s="549">
        <v>7164</v>
      </c>
      <c r="D661" s="550" t="s">
        <v>12176</v>
      </c>
      <c r="E661" s="550" t="s">
        <v>4511</v>
      </c>
      <c r="F661" s="550" t="s">
        <v>1192</v>
      </c>
      <c r="G661" s="550" t="s">
        <v>411</v>
      </c>
      <c r="H661" s="550" t="s">
        <v>272</v>
      </c>
      <c r="I661" s="550" t="s">
        <v>13</v>
      </c>
      <c r="J661" s="550" t="s">
        <v>12178</v>
      </c>
      <c r="K661" s="551">
        <v>45256</v>
      </c>
      <c r="L661" s="552">
        <v>536</v>
      </c>
      <c r="M661" s="552">
        <v>536</v>
      </c>
      <c r="N661" s="552">
        <v>536</v>
      </c>
      <c r="O661" s="552"/>
      <c r="P661" s="552"/>
      <c r="Q661" s="548">
        <v>3960</v>
      </c>
      <c r="R661" s="552">
        <v>2122560</v>
      </c>
      <c r="S661" s="548">
        <v>3120</v>
      </c>
      <c r="T661" s="552">
        <v>1672320</v>
      </c>
      <c r="U661" s="548">
        <v>840</v>
      </c>
      <c r="V661" s="552">
        <v>450240</v>
      </c>
      <c r="W661" s="552">
        <v>17</v>
      </c>
      <c r="X661" s="552">
        <v>9112</v>
      </c>
      <c r="Y661" s="552">
        <v>3120</v>
      </c>
      <c r="Z661" s="552">
        <v>1672320</v>
      </c>
      <c r="AA661" s="552">
        <v>0</v>
      </c>
      <c r="AB661" s="552">
        <v>0</v>
      </c>
      <c r="AC661" s="552">
        <v>3120</v>
      </c>
      <c r="AD661" s="552">
        <v>1672320</v>
      </c>
      <c r="AE661" s="552">
        <v>0</v>
      </c>
      <c r="AF661" s="552">
        <v>0</v>
      </c>
      <c r="AG661" s="552">
        <v>0</v>
      </c>
      <c r="AH661" s="552">
        <v>0</v>
      </c>
      <c r="AI661" s="552">
        <v>0</v>
      </c>
      <c r="AJ661" s="552">
        <v>0</v>
      </c>
    </row>
    <row r="662" spans="1:36" ht="15.95" customHeight="1">
      <c r="A662" s="547"/>
      <c r="B662" s="548">
        <v>473</v>
      </c>
      <c r="C662" s="549">
        <v>7164</v>
      </c>
      <c r="D662" s="550" t="s">
        <v>12176</v>
      </c>
      <c r="E662" s="550" t="s">
        <v>4511</v>
      </c>
      <c r="F662" s="550" t="s">
        <v>1192</v>
      </c>
      <c r="G662" s="550" t="s">
        <v>411</v>
      </c>
      <c r="H662" s="550" t="s">
        <v>272</v>
      </c>
      <c r="I662" s="550" t="s">
        <v>13</v>
      </c>
      <c r="J662" s="550" t="s">
        <v>12024</v>
      </c>
      <c r="K662" s="551">
        <v>45089</v>
      </c>
      <c r="L662" s="552">
        <v>536</v>
      </c>
      <c r="M662" s="552">
        <v>536</v>
      </c>
      <c r="N662" s="552">
        <v>536</v>
      </c>
      <c r="O662" s="552">
        <v>3360</v>
      </c>
      <c r="P662" s="552">
        <v>1800960</v>
      </c>
      <c r="Q662" s="548">
        <v>0</v>
      </c>
      <c r="R662" s="552">
        <v>0</v>
      </c>
      <c r="S662" s="548">
        <v>3119</v>
      </c>
      <c r="T662" s="552">
        <v>1671784</v>
      </c>
      <c r="U662" s="548">
        <v>241</v>
      </c>
      <c r="V662" s="552">
        <v>129176</v>
      </c>
      <c r="W662" s="552">
        <v>2240</v>
      </c>
      <c r="X662" s="552">
        <v>1200640</v>
      </c>
      <c r="Y662" s="552">
        <v>3119</v>
      </c>
      <c r="Z662" s="552">
        <v>1671784</v>
      </c>
      <c r="AA662" s="552">
        <v>479</v>
      </c>
      <c r="AB662" s="552">
        <v>256744</v>
      </c>
      <c r="AC662" s="552">
        <v>2640</v>
      </c>
      <c r="AD662" s="552">
        <v>1415040</v>
      </c>
      <c r="AE662" s="552">
        <v>0</v>
      </c>
      <c r="AF662" s="552">
        <v>0</v>
      </c>
      <c r="AG662" s="552">
        <v>0</v>
      </c>
      <c r="AH662" s="552">
        <v>0</v>
      </c>
      <c r="AI662" s="552">
        <v>0</v>
      </c>
      <c r="AJ662" s="552">
        <v>0</v>
      </c>
    </row>
    <row r="663" spans="1:36" ht="15.95" customHeight="1">
      <c r="A663" s="547"/>
      <c r="B663" s="548">
        <v>485</v>
      </c>
      <c r="C663" s="549">
        <v>7171</v>
      </c>
      <c r="D663" s="550" t="s">
        <v>12179</v>
      </c>
      <c r="E663" s="550" t="s">
        <v>7262</v>
      </c>
      <c r="F663" s="550" t="s">
        <v>1210</v>
      </c>
      <c r="G663" s="550" t="s">
        <v>809</v>
      </c>
      <c r="H663" s="550" t="s">
        <v>272</v>
      </c>
      <c r="I663" s="550" t="s">
        <v>13</v>
      </c>
      <c r="J663" s="550" t="s">
        <v>11655</v>
      </c>
      <c r="K663" s="551">
        <v>44995</v>
      </c>
      <c r="L663" s="552">
        <v>689</v>
      </c>
      <c r="M663" s="552">
        <v>689</v>
      </c>
      <c r="N663" s="552">
        <v>689</v>
      </c>
      <c r="O663" s="552"/>
      <c r="P663" s="552"/>
      <c r="Q663" s="548">
        <v>720</v>
      </c>
      <c r="R663" s="552">
        <v>496080</v>
      </c>
      <c r="S663" s="548">
        <v>720</v>
      </c>
      <c r="T663" s="552">
        <v>496080</v>
      </c>
      <c r="U663" s="548">
        <v>0</v>
      </c>
      <c r="V663" s="552">
        <v>0</v>
      </c>
      <c r="W663" s="552">
        <v>55</v>
      </c>
      <c r="X663" s="552">
        <v>37895</v>
      </c>
      <c r="Y663" s="552">
        <v>720</v>
      </c>
      <c r="Z663" s="552">
        <v>496080</v>
      </c>
      <c r="AA663" s="552">
        <v>0</v>
      </c>
      <c r="AB663" s="552">
        <v>0</v>
      </c>
      <c r="AC663" s="552">
        <v>720</v>
      </c>
      <c r="AD663" s="552">
        <v>496080</v>
      </c>
      <c r="AE663" s="552">
        <v>0</v>
      </c>
      <c r="AF663" s="552">
        <v>0</v>
      </c>
      <c r="AG663" s="552">
        <v>0</v>
      </c>
      <c r="AH663" s="552">
        <v>0</v>
      </c>
      <c r="AI663" s="552">
        <v>0</v>
      </c>
      <c r="AJ663" s="552">
        <v>0</v>
      </c>
    </row>
    <row r="664" spans="1:36" ht="15.95" customHeight="1">
      <c r="A664" s="547"/>
      <c r="B664" s="548">
        <v>486</v>
      </c>
      <c r="C664" s="549">
        <v>7171</v>
      </c>
      <c r="D664" s="550" t="s">
        <v>12179</v>
      </c>
      <c r="E664" s="550" t="s">
        <v>7262</v>
      </c>
      <c r="F664" s="550" t="s">
        <v>1210</v>
      </c>
      <c r="G664" s="550" t="s">
        <v>809</v>
      </c>
      <c r="H664" s="550" t="s">
        <v>272</v>
      </c>
      <c r="I664" s="550" t="s">
        <v>13</v>
      </c>
      <c r="J664" s="550" t="s">
        <v>12180</v>
      </c>
      <c r="K664" s="551">
        <v>44872</v>
      </c>
      <c r="L664" s="552">
        <v>689</v>
      </c>
      <c r="M664" s="552">
        <v>689</v>
      </c>
      <c r="N664" s="552">
        <v>689</v>
      </c>
      <c r="O664" s="552">
        <v>960</v>
      </c>
      <c r="P664" s="552">
        <v>661440</v>
      </c>
      <c r="Q664" s="548">
        <v>0</v>
      </c>
      <c r="R664" s="552">
        <v>0</v>
      </c>
      <c r="S664" s="548">
        <v>960</v>
      </c>
      <c r="T664" s="552">
        <v>661440</v>
      </c>
      <c r="U664" s="548">
        <v>0</v>
      </c>
      <c r="V664" s="552">
        <v>0</v>
      </c>
      <c r="W664" s="552">
        <v>893</v>
      </c>
      <c r="X664" s="552">
        <v>615277</v>
      </c>
      <c r="Y664" s="552">
        <v>960</v>
      </c>
      <c r="Z664" s="552">
        <v>661440</v>
      </c>
      <c r="AA664" s="552">
        <v>0</v>
      </c>
      <c r="AB664" s="552">
        <v>0</v>
      </c>
      <c r="AC664" s="552">
        <v>960</v>
      </c>
      <c r="AD664" s="552">
        <v>661440</v>
      </c>
      <c r="AE664" s="552">
        <v>0</v>
      </c>
      <c r="AF664" s="552">
        <v>0</v>
      </c>
      <c r="AG664" s="552">
        <v>0</v>
      </c>
      <c r="AH664" s="552">
        <v>0</v>
      </c>
      <c r="AI664" s="552">
        <v>0</v>
      </c>
      <c r="AJ664" s="552">
        <v>0</v>
      </c>
    </row>
    <row r="665" spans="1:36" ht="15.95" customHeight="1">
      <c r="A665" s="547"/>
      <c r="B665" s="548">
        <v>487</v>
      </c>
      <c r="C665" s="549">
        <v>7103</v>
      </c>
      <c r="D665" s="550" t="s">
        <v>12181</v>
      </c>
      <c r="E665" s="550" t="s">
        <v>7267</v>
      </c>
      <c r="F665" s="550" t="s">
        <v>7268</v>
      </c>
      <c r="G665" s="550" t="s">
        <v>809</v>
      </c>
      <c r="H665" s="550" t="s">
        <v>225</v>
      </c>
      <c r="I665" s="550" t="s">
        <v>11</v>
      </c>
      <c r="J665" s="550" t="s">
        <v>12182</v>
      </c>
      <c r="K665" s="551">
        <v>44960</v>
      </c>
      <c r="L665" s="552">
        <v>670</v>
      </c>
      <c r="M665" s="552">
        <v>670</v>
      </c>
      <c r="N665" s="552">
        <v>670</v>
      </c>
      <c r="O665" s="552"/>
      <c r="P665" s="552"/>
      <c r="Q665" s="548">
        <v>2100</v>
      </c>
      <c r="R665" s="552">
        <v>1407000</v>
      </c>
      <c r="S665" s="548">
        <v>2100</v>
      </c>
      <c r="T665" s="552">
        <v>1407000</v>
      </c>
      <c r="U665" s="548">
        <v>0</v>
      </c>
      <c r="V665" s="552">
        <v>0</v>
      </c>
      <c r="W665" s="552">
        <v>2100</v>
      </c>
      <c r="X665" s="552">
        <v>1407000</v>
      </c>
      <c r="Y665" s="552">
        <v>2100</v>
      </c>
      <c r="Z665" s="552">
        <v>1407000</v>
      </c>
      <c r="AA665" s="552">
        <v>0</v>
      </c>
      <c r="AB665" s="552">
        <v>0</v>
      </c>
      <c r="AC665" s="552">
        <v>2100</v>
      </c>
      <c r="AD665" s="552">
        <v>1407000</v>
      </c>
      <c r="AE665" s="552">
        <v>0</v>
      </c>
      <c r="AF665" s="552">
        <v>0</v>
      </c>
      <c r="AG665" s="552">
        <v>0</v>
      </c>
      <c r="AH665" s="552">
        <v>0</v>
      </c>
      <c r="AI665" s="552">
        <v>0</v>
      </c>
      <c r="AJ665" s="552">
        <v>0</v>
      </c>
    </row>
    <row r="666" spans="1:36" ht="15.95" customHeight="1">
      <c r="A666" s="547"/>
      <c r="B666" s="548">
        <v>488</v>
      </c>
      <c r="C666" s="549">
        <v>7103</v>
      </c>
      <c r="D666" s="550" t="s">
        <v>12181</v>
      </c>
      <c r="E666" s="550" t="s">
        <v>7267</v>
      </c>
      <c r="F666" s="550" t="s">
        <v>7268</v>
      </c>
      <c r="G666" s="550" t="s">
        <v>809</v>
      </c>
      <c r="H666" s="550" t="s">
        <v>225</v>
      </c>
      <c r="I666" s="550" t="s">
        <v>11</v>
      </c>
      <c r="J666" s="550" t="s">
        <v>12183</v>
      </c>
      <c r="K666" s="551">
        <v>44831</v>
      </c>
      <c r="L666" s="552">
        <v>670</v>
      </c>
      <c r="M666" s="552">
        <v>670</v>
      </c>
      <c r="N666" s="552">
        <v>670</v>
      </c>
      <c r="O666" s="552">
        <v>4000</v>
      </c>
      <c r="P666" s="552">
        <v>2680000</v>
      </c>
      <c r="Q666" s="548">
        <v>0</v>
      </c>
      <c r="R666" s="552">
        <v>0</v>
      </c>
      <c r="S666" s="548">
        <v>4000</v>
      </c>
      <c r="T666" s="552">
        <v>2680000</v>
      </c>
      <c r="U666" s="548">
        <v>0</v>
      </c>
      <c r="V666" s="552">
        <v>0</v>
      </c>
      <c r="W666" s="552">
        <v>3982</v>
      </c>
      <c r="X666" s="552">
        <v>2667940</v>
      </c>
      <c r="Y666" s="552">
        <v>4000</v>
      </c>
      <c r="Z666" s="552">
        <v>2680000</v>
      </c>
      <c r="AA666" s="552">
        <v>0</v>
      </c>
      <c r="AB666" s="552">
        <v>0</v>
      </c>
      <c r="AC666" s="552">
        <v>4000</v>
      </c>
      <c r="AD666" s="552">
        <v>2680000</v>
      </c>
      <c r="AE666" s="552">
        <v>0</v>
      </c>
      <c r="AF666" s="552">
        <v>0</v>
      </c>
      <c r="AG666" s="552">
        <v>0</v>
      </c>
      <c r="AH666" s="552">
        <v>0</v>
      </c>
      <c r="AI666" s="552">
        <v>0</v>
      </c>
      <c r="AJ666" s="552">
        <v>0</v>
      </c>
    </row>
    <row r="667" spans="1:36" ht="15.95" customHeight="1">
      <c r="A667" s="547"/>
      <c r="B667" s="548">
        <v>489</v>
      </c>
      <c r="C667" s="549">
        <v>7103</v>
      </c>
      <c r="D667" s="550" t="s">
        <v>12181</v>
      </c>
      <c r="E667" s="550" t="s">
        <v>7267</v>
      </c>
      <c r="F667" s="550" t="s">
        <v>7268</v>
      </c>
      <c r="G667" s="550" t="s">
        <v>809</v>
      </c>
      <c r="H667" s="550" t="s">
        <v>225</v>
      </c>
      <c r="I667" s="550" t="s">
        <v>11</v>
      </c>
      <c r="J667" s="550" t="s">
        <v>12016</v>
      </c>
      <c r="K667" s="551">
        <v>44999</v>
      </c>
      <c r="L667" s="552">
        <v>670</v>
      </c>
      <c r="M667" s="552">
        <v>670</v>
      </c>
      <c r="N667" s="552">
        <v>670</v>
      </c>
      <c r="O667" s="552"/>
      <c r="P667" s="552"/>
      <c r="Q667" s="548">
        <v>28000</v>
      </c>
      <c r="R667" s="552">
        <v>18760000</v>
      </c>
      <c r="S667" s="548">
        <v>28000</v>
      </c>
      <c r="T667" s="552">
        <v>18760000</v>
      </c>
      <c r="U667" s="548">
        <v>0</v>
      </c>
      <c r="V667" s="552">
        <v>0</v>
      </c>
      <c r="W667" s="552">
        <v>13430</v>
      </c>
      <c r="X667" s="552">
        <v>8998100</v>
      </c>
      <c r="Y667" s="552">
        <v>28000</v>
      </c>
      <c r="Z667" s="552">
        <v>18760000</v>
      </c>
      <c r="AA667" s="552">
        <v>0</v>
      </c>
      <c r="AB667" s="552">
        <v>0</v>
      </c>
      <c r="AC667" s="552">
        <v>28000</v>
      </c>
      <c r="AD667" s="552">
        <v>18760000</v>
      </c>
      <c r="AE667" s="552">
        <v>0</v>
      </c>
      <c r="AF667" s="552">
        <v>0</v>
      </c>
      <c r="AG667" s="552">
        <v>0</v>
      </c>
      <c r="AH667" s="552">
        <v>0</v>
      </c>
      <c r="AI667" s="552">
        <v>0</v>
      </c>
      <c r="AJ667" s="552">
        <v>0</v>
      </c>
    </row>
    <row r="668" spans="1:36" ht="15.95" customHeight="1">
      <c r="A668" s="547"/>
      <c r="B668" s="548">
        <v>540</v>
      </c>
      <c r="C668" s="549">
        <v>7627</v>
      </c>
      <c r="D668" s="550" t="s">
        <v>12184</v>
      </c>
      <c r="E668" s="550" t="s">
        <v>4554</v>
      </c>
      <c r="F668" s="550" t="s">
        <v>12185</v>
      </c>
      <c r="G668" s="550" t="s">
        <v>847</v>
      </c>
      <c r="H668" s="550" t="s">
        <v>225</v>
      </c>
      <c r="I668" s="550" t="s">
        <v>10</v>
      </c>
      <c r="J668" s="550" t="s">
        <v>4291</v>
      </c>
      <c r="K668" s="551">
        <v>44978</v>
      </c>
      <c r="L668" s="552">
        <v>2510</v>
      </c>
      <c r="M668" s="552">
        <v>2510</v>
      </c>
      <c r="N668" s="552">
        <v>2510</v>
      </c>
      <c r="O668" s="552">
        <v>4992</v>
      </c>
      <c r="P668" s="552">
        <v>12529920</v>
      </c>
      <c r="Q668" s="548">
        <v>0</v>
      </c>
      <c r="R668" s="552">
        <v>0</v>
      </c>
      <c r="S668" s="548">
        <v>4992</v>
      </c>
      <c r="T668" s="552">
        <v>12529920</v>
      </c>
      <c r="U668" s="548">
        <v>0</v>
      </c>
      <c r="V668" s="552">
        <v>0</v>
      </c>
      <c r="W668" s="552">
        <v>1737</v>
      </c>
      <c r="X668" s="552">
        <v>4359870</v>
      </c>
      <c r="Y668" s="552">
        <v>4992</v>
      </c>
      <c r="Z668" s="552">
        <v>12529920</v>
      </c>
      <c r="AA668" s="552">
        <v>3252</v>
      </c>
      <c r="AB668" s="552">
        <v>8162520</v>
      </c>
      <c r="AC668" s="552">
        <v>1740</v>
      </c>
      <c r="AD668" s="552">
        <v>4367400</v>
      </c>
      <c r="AE668" s="552">
        <v>0</v>
      </c>
      <c r="AF668" s="552">
        <v>0</v>
      </c>
      <c r="AG668" s="552">
        <v>0</v>
      </c>
      <c r="AH668" s="552">
        <v>0</v>
      </c>
      <c r="AI668" s="552">
        <v>0</v>
      </c>
      <c r="AJ668" s="552">
        <v>0</v>
      </c>
    </row>
    <row r="669" spans="1:36" ht="15.95" customHeight="1">
      <c r="A669" s="547"/>
      <c r="B669" s="548">
        <v>541</v>
      </c>
      <c r="C669" s="549">
        <v>7627</v>
      </c>
      <c r="D669" s="550" t="s">
        <v>12184</v>
      </c>
      <c r="E669" s="550" t="s">
        <v>4554</v>
      </c>
      <c r="F669" s="550" t="s">
        <v>12185</v>
      </c>
      <c r="G669" s="550" t="s">
        <v>847</v>
      </c>
      <c r="H669" s="550" t="s">
        <v>225</v>
      </c>
      <c r="I669" s="550" t="s">
        <v>10</v>
      </c>
      <c r="J669" s="550" t="s">
        <v>11854</v>
      </c>
      <c r="K669" s="551">
        <v>45441</v>
      </c>
      <c r="L669" s="552">
        <v>2510</v>
      </c>
      <c r="M669" s="552">
        <v>2510</v>
      </c>
      <c r="N669" s="552">
        <v>2510</v>
      </c>
      <c r="O669" s="552"/>
      <c r="P669" s="552"/>
      <c r="Q669" s="548">
        <v>600</v>
      </c>
      <c r="R669" s="552">
        <v>1506000</v>
      </c>
      <c r="S669" s="548">
        <v>600</v>
      </c>
      <c r="T669" s="552">
        <v>1506000</v>
      </c>
      <c r="U669" s="548">
        <v>0</v>
      </c>
      <c r="V669" s="552">
        <v>0</v>
      </c>
      <c r="W669" s="552">
        <v>0</v>
      </c>
      <c r="X669" s="552">
        <v>0</v>
      </c>
      <c r="Y669" s="552">
        <v>480</v>
      </c>
      <c r="Z669" s="552">
        <v>1204800</v>
      </c>
      <c r="AA669" s="552">
        <v>480</v>
      </c>
      <c r="AB669" s="552">
        <v>1204800</v>
      </c>
      <c r="AC669" s="552">
        <v>0</v>
      </c>
      <c r="AD669" s="552">
        <v>0</v>
      </c>
      <c r="AE669" s="552">
        <v>0</v>
      </c>
      <c r="AF669" s="552">
        <v>0</v>
      </c>
      <c r="AG669" s="552">
        <v>120</v>
      </c>
      <c r="AH669" s="552">
        <v>301200</v>
      </c>
      <c r="AI669" s="552">
        <v>0</v>
      </c>
      <c r="AJ669" s="552">
        <v>0</v>
      </c>
    </row>
    <row r="670" spans="1:36" ht="15.95" customHeight="1">
      <c r="A670" s="547"/>
      <c r="B670" s="548">
        <v>542</v>
      </c>
      <c r="C670" s="549">
        <v>7627</v>
      </c>
      <c r="D670" s="550" t="s">
        <v>12184</v>
      </c>
      <c r="E670" s="550" t="s">
        <v>4554</v>
      </c>
      <c r="F670" s="550" t="s">
        <v>12185</v>
      </c>
      <c r="G670" s="550" t="s">
        <v>847</v>
      </c>
      <c r="H670" s="550" t="s">
        <v>225</v>
      </c>
      <c r="I670" s="550" t="s">
        <v>10</v>
      </c>
      <c r="J670" s="550" t="s">
        <v>4104</v>
      </c>
      <c r="K670" s="551">
        <v>45157</v>
      </c>
      <c r="L670" s="552">
        <v>2510</v>
      </c>
      <c r="M670" s="552">
        <v>2510</v>
      </c>
      <c r="N670" s="552">
        <v>2510</v>
      </c>
      <c r="O670" s="552"/>
      <c r="P670" s="552"/>
      <c r="Q670" s="548">
        <v>4992</v>
      </c>
      <c r="R670" s="552">
        <v>12529920</v>
      </c>
      <c r="S670" s="548">
        <v>4992</v>
      </c>
      <c r="T670" s="552">
        <v>12529920</v>
      </c>
      <c r="U670" s="548">
        <v>0</v>
      </c>
      <c r="V670" s="552">
        <v>0</v>
      </c>
      <c r="W670" s="552">
        <v>2842</v>
      </c>
      <c r="X670" s="552">
        <v>7133420</v>
      </c>
      <c r="Y670" s="552">
        <v>4992</v>
      </c>
      <c r="Z670" s="552">
        <v>12529920</v>
      </c>
      <c r="AA670" s="552">
        <v>1308</v>
      </c>
      <c r="AB670" s="552">
        <v>3283080</v>
      </c>
      <c r="AC670" s="552">
        <v>3684</v>
      </c>
      <c r="AD670" s="552">
        <v>9246840</v>
      </c>
      <c r="AE670" s="552">
        <v>0</v>
      </c>
      <c r="AF670" s="552">
        <v>0</v>
      </c>
      <c r="AG670" s="552">
        <v>0</v>
      </c>
      <c r="AH670" s="552">
        <v>0</v>
      </c>
      <c r="AI670" s="552">
        <v>0</v>
      </c>
      <c r="AJ670" s="552">
        <v>0</v>
      </c>
    </row>
    <row r="671" spans="1:36" ht="15.95" customHeight="1">
      <c r="A671" s="547"/>
      <c r="B671" s="548">
        <v>546</v>
      </c>
      <c r="C671" s="549">
        <v>7174</v>
      </c>
      <c r="D671" s="550" t="s">
        <v>12186</v>
      </c>
      <c r="E671" s="550" t="s">
        <v>7317</v>
      </c>
      <c r="F671" s="550" t="s">
        <v>7318</v>
      </c>
      <c r="G671" s="550" t="s">
        <v>813</v>
      </c>
      <c r="H671" s="550" t="s">
        <v>299</v>
      </c>
      <c r="I671" s="550" t="s">
        <v>11</v>
      </c>
      <c r="J671" s="550" t="s">
        <v>4291</v>
      </c>
      <c r="K671" s="551">
        <v>45178</v>
      </c>
      <c r="L671" s="552">
        <v>10500</v>
      </c>
      <c r="M671" s="552">
        <v>10500</v>
      </c>
      <c r="N671" s="552">
        <v>10500</v>
      </c>
      <c r="O671" s="552"/>
      <c r="P671" s="552"/>
      <c r="Q671" s="548">
        <v>6000</v>
      </c>
      <c r="R671" s="552">
        <v>63000000</v>
      </c>
      <c r="S671" s="548">
        <v>3390</v>
      </c>
      <c r="T671" s="552">
        <v>35595000</v>
      </c>
      <c r="U671" s="548">
        <v>2610</v>
      </c>
      <c r="V671" s="552">
        <v>27405000</v>
      </c>
      <c r="W671" s="552">
        <v>0</v>
      </c>
      <c r="X671" s="552">
        <v>0</v>
      </c>
      <c r="Y671" s="552">
        <v>3390</v>
      </c>
      <c r="Z671" s="552">
        <v>35595000</v>
      </c>
      <c r="AA671" s="552">
        <v>3390</v>
      </c>
      <c r="AB671" s="552">
        <v>35595000</v>
      </c>
      <c r="AC671" s="552">
        <v>0</v>
      </c>
      <c r="AD671" s="552">
        <v>0</v>
      </c>
      <c r="AE671" s="552">
        <v>0</v>
      </c>
      <c r="AF671" s="552">
        <v>0</v>
      </c>
      <c r="AG671" s="552">
        <v>0</v>
      </c>
      <c r="AH671" s="552">
        <v>0</v>
      </c>
      <c r="AI671" s="552">
        <v>0</v>
      </c>
      <c r="AJ671" s="552">
        <v>0</v>
      </c>
    </row>
    <row r="672" spans="1:36" ht="15.95" customHeight="1">
      <c r="A672" s="547"/>
      <c r="B672" s="548">
        <v>560</v>
      </c>
      <c r="C672" s="549">
        <v>5513</v>
      </c>
      <c r="D672" s="550"/>
      <c r="E672" s="550" t="s">
        <v>4512</v>
      </c>
      <c r="F672" s="550" t="s">
        <v>1394</v>
      </c>
      <c r="G672" s="550" t="s">
        <v>1390</v>
      </c>
      <c r="H672" s="550" t="s">
        <v>1395</v>
      </c>
      <c r="I672" s="550" t="s">
        <v>11</v>
      </c>
      <c r="J672" s="550" t="s">
        <v>4513</v>
      </c>
      <c r="K672" s="551">
        <v>44378</v>
      </c>
      <c r="L672" s="552">
        <v>1740</v>
      </c>
      <c r="M672" s="552">
        <v>1740</v>
      </c>
      <c r="N672" s="552">
        <v>1740</v>
      </c>
      <c r="O672" s="552">
        <v>1</v>
      </c>
      <c r="P672" s="552">
        <v>1740</v>
      </c>
      <c r="Q672" s="548">
        <v>0</v>
      </c>
      <c r="R672" s="552">
        <v>0</v>
      </c>
      <c r="S672" s="548">
        <v>1</v>
      </c>
      <c r="T672" s="552">
        <v>1740</v>
      </c>
      <c r="U672" s="548">
        <v>0</v>
      </c>
      <c r="V672" s="552">
        <v>0</v>
      </c>
      <c r="W672" s="552">
        <v>795</v>
      </c>
      <c r="X672" s="552">
        <v>1383300</v>
      </c>
      <c r="Y672" s="552">
        <v>0</v>
      </c>
      <c r="Z672" s="552">
        <v>0</v>
      </c>
      <c r="AA672" s="552">
        <v>0</v>
      </c>
      <c r="AB672" s="552">
        <v>0</v>
      </c>
      <c r="AC672" s="552">
        <v>0</v>
      </c>
      <c r="AD672" s="552">
        <v>0</v>
      </c>
      <c r="AE672" s="552">
        <v>0</v>
      </c>
      <c r="AF672" s="552">
        <v>0</v>
      </c>
      <c r="AG672" s="552">
        <v>1</v>
      </c>
      <c r="AH672" s="552">
        <v>1740</v>
      </c>
      <c r="AI672" s="552">
        <v>0</v>
      </c>
      <c r="AJ672" s="552">
        <v>0</v>
      </c>
    </row>
    <row r="673" spans="1:36" ht="15.95" customHeight="1">
      <c r="A673" s="547"/>
      <c r="B673" s="548">
        <v>561</v>
      </c>
      <c r="C673" s="549">
        <v>7149</v>
      </c>
      <c r="D673" s="550" t="s">
        <v>12187</v>
      </c>
      <c r="E673" s="550" t="s">
        <v>4512</v>
      </c>
      <c r="F673" s="550" t="s">
        <v>1394</v>
      </c>
      <c r="G673" s="550" t="s">
        <v>1390</v>
      </c>
      <c r="H673" s="550" t="s">
        <v>2916</v>
      </c>
      <c r="I673" s="550" t="s">
        <v>11</v>
      </c>
      <c r="J673" s="550" t="s">
        <v>12188</v>
      </c>
      <c r="K673" s="551">
        <v>45201</v>
      </c>
      <c r="L673" s="552">
        <v>1690</v>
      </c>
      <c r="M673" s="552">
        <v>1690</v>
      </c>
      <c r="N673" s="552">
        <v>1690</v>
      </c>
      <c r="O673" s="552">
        <v>3000</v>
      </c>
      <c r="P673" s="552">
        <v>5070000</v>
      </c>
      <c r="Q673" s="548">
        <v>0</v>
      </c>
      <c r="R673" s="552">
        <v>0</v>
      </c>
      <c r="S673" s="548">
        <v>3000</v>
      </c>
      <c r="T673" s="552">
        <v>5070000</v>
      </c>
      <c r="U673" s="548">
        <v>0</v>
      </c>
      <c r="V673" s="552">
        <v>0</v>
      </c>
      <c r="W673" s="552">
        <v>1637</v>
      </c>
      <c r="X673" s="552">
        <v>2766530</v>
      </c>
      <c r="Y673" s="552">
        <v>3000</v>
      </c>
      <c r="Z673" s="552">
        <v>5070000</v>
      </c>
      <c r="AA673" s="552">
        <v>0</v>
      </c>
      <c r="AB673" s="552">
        <v>0</v>
      </c>
      <c r="AC673" s="552">
        <v>3000</v>
      </c>
      <c r="AD673" s="552">
        <v>5070000</v>
      </c>
      <c r="AE673" s="552">
        <v>0</v>
      </c>
      <c r="AF673" s="552">
        <v>0</v>
      </c>
      <c r="AG673" s="552">
        <v>0</v>
      </c>
      <c r="AH673" s="552">
        <v>0</v>
      </c>
      <c r="AI673" s="552">
        <v>0</v>
      </c>
      <c r="AJ673" s="552">
        <v>0</v>
      </c>
    </row>
    <row r="674" spans="1:36" ht="15.95" customHeight="1">
      <c r="A674" s="547"/>
      <c r="B674" s="548">
        <v>562</v>
      </c>
      <c r="C674" s="549">
        <v>7149</v>
      </c>
      <c r="D674" s="550" t="s">
        <v>12187</v>
      </c>
      <c r="E674" s="550" t="s">
        <v>4512</v>
      </c>
      <c r="F674" s="550" t="s">
        <v>1394</v>
      </c>
      <c r="G674" s="550" t="s">
        <v>1390</v>
      </c>
      <c r="H674" s="550" t="s">
        <v>2916</v>
      </c>
      <c r="I674" s="550" t="s">
        <v>11</v>
      </c>
      <c r="J674" s="550" t="s">
        <v>12189</v>
      </c>
      <c r="K674" s="551">
        <v>45426</v>
      </c>
      <c r="L674" s="552">
        <v>1690</v>
      </c>
      <c r="M674" s="552">
        <v>1690</v>
      </c>
      <c r="N674" s="552">
        <v>1690</v>
      </c>
      <c r="O674" s="552"/>
      <c r="P674" s="552"/>
      <c r="Q674" s="548">
        <v>5100</v>
      </c>
      <c r="R674" s="552">
        <v>8619000</v>
      </c>
      <c r="S674" s="548">
        <v>1000</v>
      </c>
      <c r="T674" s="552">
        <v>1690000</v>
      </c>
      <c r="U674" s="548">
        <v>4100</v>
      </c>
      <c r="V674" s="552">
        <v>6929000</v>
      </c>
      <c r="W674" s="552">
        <v>0</v>
      </c>
      <c r="X674" s="552">
        <v>0</v>
      </c>
      <c r="Y674" s="552">
        <v>1000</v>
      </c>
      <c r="Z674" s="552">
        <v>1690000</v>
      </c>
      <c r="AA674" s="552">
        <v>0</v>
      </c>
      <c r="AB674" s="552">
        <v>0</v>
      </c>
      <c r="AC674" s="552">
        <v>1000</v>
      </c>
      <c r="AD674" s="552">
        <v>1690000</v>
      </c>
      <c r="AE674" s="552">
        <v>0</v>
      </c>
      <c r="AF674" s="552">
        <v>0</v>
      </c>
      <c r="AG674" s="552">
        <v>0</v>
      </c>
      <c r="AH674" s="552">
        <v>0</v>
      </c>
      <c r="AI674" s="552">
        <v>0</v>
      </c>
      <c r="AJ674" s="552">
        <v>0</v>
      </c>
    </row>
    <row r="675" spans="1:36" ht="15.95" customHeight="1">
      <c r="A675" s="547"/>
      <c r="B675" s="548">
        <v>563</v>
      </c>
      <c r="C675" s="549">
        <v>7149</v>
      </c>
      <c r="D675" s="550" t="s">
        <v>12187</v>
      </c>
      <c r="E675" s="550" t="s">
        <v>4512</v>
      </c>
      <c r="F675" s="550" t="s">
        <v>1394</v>
      </c>
      <c r="G675" s="550" t="s">
        <v>1390</v>
      </c>
      <c r="H675" s="550" t="s">
        <v>2916</v>
      </c>
      <c r="I675" s="550" t="s">
        <v>11</v>
      </c>
      <c r="J675" s="550" t="s">
        <v>4514</v>
      </c>
      <c r="K675" s="551">
        <v>44995</v>
      </c>
      <c r="L675" s="552">
        <v>1690</v>
      </c>
      <c r="M675" s="552">
        <v>1690</v>
      </c>
      <c r="N675" s="552">
        <v>1690</v>
      </c>
      <c r="O675" s="552">
        <v>500</v>
      </c>
      <c r="P675" s="552">
        <v>845000</v>
      </c>
      <c r="Q675" s="548">
        <v>0</v>
      </c>
      <c r="R675" s="552">
        <v>0</v>
      </c>
      <c r="S675" s="548">
        <v>500</v>
      </c>
      <c r="T675" s="552">
        <v>845000</v>
      </c>
      <c r="U675" s="548">
        <v>0</v>
      </c>
      <c r="V675" s="552">
        <v>0</v>
      </c>
      <c r="W675" s="552">
        <v>3404</v>
      </c>
      <c r="X675" s="552">
        <v>5752760</v>
      </c>
      <c r="Y675" s="552">
        <v>500</v>
      </c>
      <c r="Z675" s="552">
        <v>845000</v>
      </c>
      <c r="AA675" s="552">
        <v>0</v>
      </c>
      <c r="AB675" s="552">
        <v>0</v>
      </c>
      <c r="AC675" s="552">
        <v>500</v>
      </c>
      <c r="AD675" s="552">
        <v>845000</v>
      </c>
      <c r="AE675" s="552">
        <v>0</v>
      </c>
      <c r="AF675" s="552">
        <v>0</v>
      </c>
      <c r="AG675" s="552">
        <v>0</v>
      </c>
      <c r="AH675" s="552">
        <v>0</v>
      </c>
      <c r="AI675" s="552">
        <v>0</v>
      </c>
      <c r="AJ675" s="552">
        <v>0</v>
      </c>
    </row>
    <row r="676" spans="1:36" ht="15.95" customHeight="1">
      <c r="A676" s="547"/>
      <c r="B676" s="548">
        <v>564</v>
      </c>
      <c r="C676" s="549">
        <v>7149</v>
      </c>
      <c r="D676" s="550" t="s">
        <v>12187</v>
      </c>
      <c r="E676" s="550" t="s">
        <v>4512</v>
      </c>
      <c r="F676" s="550" t="s">
        <v>1394</v>
      </c>
      <c r="G676" s="550" t="s">
        <v>1390</v>
      </c>
      <c r="H676" s="550" t="s">
        <v>2916</v>
      </c>
      <c r="I676" s="550" t="s">
        <v>11</v>
      </c>
      <c r="J676" s="550" t="s">
        <v>4515</v>
      </c>
      <c r="K676" s="551">
        <v>45010</v>
      </c>
      <c r="L676" s="552">
        <v>1690</v>
      </c>
      <c r="M676" s="552">
        <v>1690</v>
      </c>
      <c r="N676" s="552">
        <v>1690</v>
      </c>
      <c r="O676" s="552">
        <v>500</v>
      </c>
      <c r="P676" s="552">
        <v>845000</v>
      </c>
      <c r="Q676" s="548">
        <v>0</v>
      </c>
      <c r="R676" s="552">
        <v>0</v>
      </c>
      <c r="S676" s="548">
        <v>500</v>
      </c>
      <c r="T676" s="552">
        <v>845000</v>
      </c>
      <c r="U676" s="548">
        <v>0</v>
      </c>
      <c r="V676" s="552">
        <v>0</v>
      </c>
      <c r="W676" s="552">
        <v>500</v>
      </c>
      <c r="X676" s="552">
        <v>845000</v>
      </c>
      <c r="Y676" s="552">
        <v>500</v>
      </c>
      <c r="Z676" s="552">
        <v>845000</v>
      </c>
      <c r="AA676" s="552">
        <v>0</v>
      </c>
      <c r="AB676" s="552">
        <v>0</v>
      </c>
      <c r="AC676" s="552">
        <v>500</v>
      </c>
      <c r="AD676" s="552">
        <v>845000</v>
      </c>
      <c r="AE676" s="552">
        <v>0</v>
      </c>
      <c r="AF676" s="552">
        <v>0</v>
      </c>
      <c r="AG676" s="552">
        <v>0</v>
      </c>
      <c r="AH676" s="552">
        <v>0</v>
      </c>
      <c r="AI676" s="552">
        <v>0</v>
      </c>
      <c r="AJ676" s="552">
        <v>0</v>
      </c>
    </row>
    <row r="677" spans="1:36" ht="15.95" customHeight="1">
      <c r="A677" s="547"/>
      <c r="B677" s="548">
        <v>565</v>
      </c>
      <c r="C677" s="549">
        <v>7149</v>
      </c>
      <c r="D677" s="550" t="s">
        <v>12187</v>
      </c>
      <c r="E677" s="550" t="s">
        <v>4512</v>
      </c>
      <c r="F677" s="550" t="s">
        <v>1394</v>
      </c>
      <c r="G677" s="550" t="s">
        <v>1390</v>
      </c>
      <c r="H677" s="550" t="s">
        <v>2916</v>
      </c>
      <c r="I677" s="550" t="s">
        <v>11</v>
      </c>
      <c r="J677" s="550" t="s">
        <v>12190</v>
      </c>
      <c r="K677" s="551">
        <v>45319</v>
      </c>
      <c r="L677" s="552">
        <v>1690</v>
      </c>
      <c r="M677" s="552">
        <v>1690</v>
      </c>
      <c r="N677" s="552">
        <v>1690</v>
      </c>
      <c r="O677" s="552"/>
      <c r="P677" s="552"/>
      <c r="Q677" s="548">
        <v>7300</v>
      </c>
      <c r="R677" s="552">
        <v>12337000</v>
      </c>
      <c r="S677" s="548">
        <v>4970</v>
      </c>
      <c r="T677" s="552">
        <v>8399300</v>
      </c>
      <c r="U677" s="548">
        <v>2330</v>
      </c>
      <c r="V677" s="552">
        <v>3937700</v>
      </c>
      <c r="W677" s="552">
        <v>1436</v>
      </c>
      <c r="X677" s="552">
        <v>2426840</v>
      </c>
      <c r="Y677" s="552">
        <v>4970</v>
      </c>
      <c r="Z677" s="552">
        <v>8399300</v>
      </c>
      <c r="AA677" s="552">
        <v>670</v>
      </c>
      <c r="AB677" s="552">
        <v>1132300</v>
      </c>
      <c r="AC677" s="552">
        <v>4300</v>
      </c>
      <c r="AD677" s="552">
        <v>7267000</v>
      </c>
      <c r="AE677" s="552">
        <v>0</v>
      </c>
      <c r="AF677" s="552">
        <v>0</v>
      </c>
      <c r="AG677" s="552">
        <v>0</v>
      </c>
      <c r="AH677" s="552">
        <v>0</v>
      </c>
      <c r="AI677" s="552">
        <v>0</v>
      </c>
      <c r="AJ677" s="552">
        <v>0</v>
      </c>
    </row>
    <row r="678" spans="1:36" ht="15.95" customHeight="1">
      <c r="A678" s="547"/>
      <c r="B678" s="548">
        <v>577</v>
      </c>
      <c r="C678" s="549">
        <v>5610</v>
      </c>
      <c r="D678" s="550"/>
      <c r="E678" s="550" t="s">
        <v>4516</v>
      </c>
      <c r="F678" s="550" t="s">
        <v>673</v>
      </c>
      <c r="G678" s="550" t="s">
        <v>639</v>
      </c>
      <c r="H678" s="550" t="s">
        <v>641</v>
      </c>
      <c r="I678" s="550" t="s">
        <v>10</v>
      </c>
      <c r="J678" s="550" t="s">
        <v>4517</v>
      </c>
      <c r="K678" s="551">
        <v>43922</v>
      </c>
      <c r="L678" s="552">
        <v>12850</v>
      </c>
      <c r="M678" s="552">
        <v>12850</v>
      </c>
      <c r="N678" s="552">
        <v>12850</v>
      </c>
      <c r="O678" s="552">
        <v>628</v>
      </c>
      <c r="P678" s="552">
        <v>8069800</v>
      </c>
      <c r="Q678" s="548">
        <v>0</v>
      </c>
      <c r="R678" s="552">
        <v>0</v>
      </c>
      <c r="S678" s="548">
        <v>628</v>
      </c>
      <c r="T678" s="552">
        <v>8069800</v>
      </c>
      <c r="U678" s="548">
        <v>0</v>
      </c>
      <c r="V678" s="552">
        <v>0</v>
      </c>
      <c r="W678" s="552">
        <v>0</v>
      </c>
      <c r="X678" s="552">
        <v>0</v>
      </c>
      <c r="Y678" s="552">
        <v>242</v>
      </c>
      <c r="Z678" s="552">
        <v>3109700</v>
      </c>
      <c r="AA678" s="552">
        <v>204</v>
      </c>
      <c r="AB678" s="552">
        <v>2621400</v>
      </c>
      <c r="AC678" s="552">
        <v>38</v>
      </c>
      <c r="AD678" s="552">
        <v>488300</v>
      </c>
      <c r="AE678" s="552">
        <v>0</v>
      </c>
      <c r="AF678" s="552">
        <v>0</v>
      </c>
      <c r="AG678" s="552">
        <v>386</v>
      </c>
      <c r="AH678" s="552">
        <v>4960100</v>
      </c>
      <c r="AI678" s="552">
        <v>0</v>
      </c>
      <c r="AJ678" s="552">
        <v>0</v>
      </c>
    </row>
    <row r="679" spans="1:36" ht="15.95" customHeight="1">
      <c r="A679" s="547"/>
      <c r="B679" s="548">
        <v>581</v>
      </c>
      <c r="C679" s="549">
        <v>7126</v>
      </c>
      <c r="D679" s="550" t="s">
        <v>12191</v>
      </c>
      <c r="E679" s="550" t="s">
        <v>4518</v>
      </c>
      <c r="F679" s="550" t="s">
        <v>4519</v>
      </c>
      <c r="G679" s="550" t="s">
        <v>1140</v>
      </c>
      <c r="H679" s="550" t="s">
        <v>4520</v>
      </c>
      <c r="I679" s="550" t="s">
        <v>4240</v>
      </c>
      <c r="J679" s="550" t="s">
        <v>4521</v>
      </c>
      <c r="K679" s="551">
        <v>44436</v>
      </c>
      <c r="L679" s="552">
        <v>6500</v>
      </c>
      <c r="M679" s="552">
        <v>6500</v>
      </c>
      <c r="N679" s="552">
        <v>6500</v>
      </c>
      <c r="O679" s="552">
        <v>3</v>
      </c>
      <c r="P679" s="552">
        <v>19500</v>
      </c>
      <c r="Q679" s="548">
        <v>0</v>
      </c>
      <c r="R679" s="552">
        <v>0</v>
      </c>
      <c r="S679" s="548">
        <v>3</v>
      </c>
      <c r="T679" s="552">
        <v>19500</v>
      </c>
      <c r="U679" s="548">
        <v>0</v>
      </c>
      <c r="V679" s="552">
        <v>0</v>
      </c>
      <c r="W679" s="552">
        <v>4</v>
      </c>
      <c r="X679" s="552">
        <v>26000</v>
      </c>
      <c r="Y679" s="552">
        <v>3</v>
      </c>
      <c r="Z679" s="552">
        <v>19500</v>
      </c>
      <c r="AA679" s="552">
        <v>3</v>
      </c>
      <c r="AB679" s="552">
        <v>19500</v>
      </c>
      <c r="AC679" s="552">
        <v>0</v>
      </c>
      <c r="AD679" s="552">
        <v>0</v>
      </c>
      <c r="AE679" s="552">
        <v>0</v>
      </c>
      <c r="AF679" s="552">
        <v>0</v>
      </c>
      <c r="AG679" s="552">
        <v>0</v>
      </c>
      <c r="AH679" s="552">
        <v>0</v>
      </c>
      <c r="AI679" s="552">
        <v>0</v>
      </c>
      <c r="AJ679" s="552">
        <v>0</v>
      </c>
    </row>
    <row r="680" spans="1:36" ht="15.95" customHeight="1">
      <c r="A680" s="547"/>
      <c r="B680" s="548">
        <v>582</v>
      </c>
      <c r="C680" s="549">
        <v>7126</v>
      </c>
      <c r="D680" s="550" t="s">
        <v>12191</v>
      </c>
      <c r="E680" s="550" t="s">
        <v>4518</v>
      </c>
      <c r="F680" s="550" t="s">
        <v>4519</v>
      </c>
      <c r="G680" s="550" t="s">
        <v>1140</v>
      </c>
      <c r="H680" s="550" t="s">
        <v>4520</v>
      </c>
      <c r="I680" s="550" t="s">
        <v>4240</v>
      </c>
      <c r="J680" s="550" t="s">
        <v>4522</v>
      </c>
      <c r="K680" s="551">
        <v>44619</v>
      </c>
      <c r="L680" s="552">
        <v>6500</v>
      </c>
      <c r="M680" s="552">
        <v>6500</v>
      </c>
      <c r="N680" s="552">
        <v>6500</v>
      </c>
      <c r="O680" s="552">
        <v>20</v>
      </c>
      <c r="P680" s="552">
        <v>130000</v>
      </c>
      <c r="Q680" s="548">
        <v>0</v>
      </c>
      <c r="R680" s="552">
        <v>0</v>
      </c>
      <c r="S680" s="548">
        <v>20</v>
      </c>
      <c r="T680" s="552">
        <v>130000</v>
      </c>
      <c r="U680" s="548">
        <v>0</v>
      </c>
      <c r="V680" s="552">
        <v>0</v>
      </c>
      <c r="W680" s="552">
        <v>8</v>
      </c>
      <c r="X680" s="552">
        <v>52000</v>
      </c>
      <c r="Y680" s="552">
        <v>20</v>
      </c>
      <c r="Z680" s="552">
        <v>130000</v>
      </c>
      <c r="AA680" s="552">
        <v>20</v>
      </c>
      <c r="AB680" s="552">
        <v>130000</v>
      </c>
      <c r="AC680" s="552">
        <v>0</v>
      </c>
      <c r="AD680" s="552">
        <v>0</v>
      </c>
      <c r="AE680" s="552">
        <v>0</v>
      </c>
      <c r="AF680" s="552">
        <v>0</v>
      </c>
      <c r="AG680" s="552">
        <v>0</v>
      </c>
      <c r="AH680" s="552">
        <v>0</v>
      </c>
      <c r="AI680" s="552">
        <v>0</v>
      </c>
      <c r="AJ680" s="552">
        <v>0</v>
      </c>
    </row>
    <row r="681" spans="1:36" ht="15.95" customHeight="1">
      <c r="A681" s="547"/>
      <c r="B681" s="548">
        <v>583</v>
      </c>
      <c r="C681" s="549">
        <v>7126</v>
      </c>
      <c r="D681" s="550" t="s">
        <v>12191</v>
      </c>
      <c r="E681" s="550" t="s">
        <v>4518</v>
      </c>
      <c r="F681" s="550" t="s">
        <v>4519</v>
      </c>
      <c r="G681" s="550" t="s">
        <v>1140</v>
      </c>
      <c r="H681" s="550" t="s">
        <v>4520</v>
      </c>
      <c r="I681" s="550" t="s">
        <v>4240</v>
      </c>
      <c r="J681" s="550" t="s">
        <v>12192</v>
      </c>
      <c r="K681" s="551">
        <v>44855</v>
      </c>
      <c r="L681" s="552">
        <v>6500</v>
      </c>
      <c r="M681" s="552">
        <v>6500</v>
      </c>
      <c r="N681" s="552">
        <v>6500</v>
      </c>
      <c r="O681" s="552">
        <v>10</v>
      </c>
      <c r="P681" s="552">
        <v>65000</v>
      </c>
      <c r="Q681" s="548">
        <v>0</v>
      </c>
      <c r="R681" s="552">
        <v>0</v>
      </c>
      <c r="S681" s="548">
        <v>10</v>
      </c>
      <c r="T681" s="552">
        <v>65000</v>
      </c>
      <c r="U681" s="548">
        <v>0</v>
      </c>
      <c r="V681" s="552">
        <v>0</v>
      </c>
      <c r="W681" s="552">
        <v>9</v>
      </c>
      <c r="X681" s="552">
        <v>58500</v>
      </c>
      <c r="Y681" s="552">
        <v>10</v>
      </c>
      <c r="Z681" s="552">
        <v>65000</v>
      </c>
      <c r="AA681" s="552">
        <v>0</v>
      </c>
      <c r="AB681" s="552">
        <v>0</v>
      </c>
      <c r="AC681" s="552">
        <v>10</v>
      </c>
      <c r="AD681" s="552">
        <v>65000</v>
      </c>
      <c r="AE681" s="552">
        <v>0</v>
      </c>
      <c r="AF681" s="552">
        <v>0</v>
      </c>
      <c r="AG681" s="552">
        <v>0</v>
      </c>
      <c r="AH681" s="552">
        <v>0</v>
      </c>
      <c r="AI681" s="552">
        <v>0</v>
      </c>
      <c r="AJ681" s="552">
        <v>0</v>
      </c>
    </row>
    <row r="682" spans="1:36" ht="15.95" customHeight="1">
      <c r="A682" s="547"/>
      <c r="B682" s="548">
        <v>639</v>
      </c>
      <c r="C682" s="549">
        <v>5812</v>
      </c>
      <c r="D682" s="550"/>
      <c r="E682" s="550" t="s">
        <v>4523</v>
      </c>
      <c r="F682" s="550" t="s">
        <v>1274</v>
      </c>
      <c r="G682" s="550" t="s">
        <v>256</v>
      </c>
      <c r="H682" s="550" t="s">
        <v>296</v>
      </c>
      <c r="I682" s="550" t="s">
        <v>12</v>
      </c>
      <c r="J682" s="550" t="s">
        <v>3978</v>
      </c>
      <c r="K682" s="551">
        <v>44358</v>
      </c>
      <c r="L682" s="552">
        <v>6800</v>
      </c>
      <c r="M682" s="552">
        <v>6800</v>
      </c>
      <c r="N682" s="552">
        <v>6800</v>
      </c>
      <c r="O682" s="552"/>
      <c r="P682" s="552"/>
      <c r="Q682" s="548">
        <v>327</v>
      </c>
      <c r="R682" s="552">
        <v>2223600</v>
      </c>
      <c r="S682" s="548">
        <v>327</v>
      </c>
      <c r="T682" s="552">
        <v>2223600</v>
      </c>
      <c r="U682" s="548">
        <v>0</v>
      </c>
      <c r="V682" s="552">
        <v>0</v>
      </c>
      <c r="W682" s="552">
        <v>17</v>
      </c>
      <c r="X682" s="552">
        <v>115600</v>
      </c>
      <c r="Y682" s="552">
        <v>327</v>
      </c>
      <c r="Z682" s="552">
        <v>2223600</v>
      </c>
      <c r="AA682" s="552">
        <v>327</v>
      </c>
      <c r="AB682" s="552">
        <v>2223600</v>
      </c>
      <c r="AC682" s="552">
        <v>0</v>
      </c>
      <c r="AD682" s="552">
        <v>0</v>
      </c>
      <c r="AE682" s="552">
        <v>0</v>
      </c>
      <c r="AF682" s="552">
        <v>0</v>
      </c>
      <c r="AG682" s="552">
        <v>0</v>
      </c>
      <c r="AH682" s="552">
        <v>0</v>
      </c>
      <c r="AI682" s="552">
        <v>327</v>
      </c>
      <c r="AJ682" s="552">
        <v>2223600</v>
      </c>
    </row>
    <row r="683" spans="1:36" ht="15.95" customHeight="1">
      <c r="A683" s="547"/>
      <c r="B683" s="548">
        <v>640</v>
      </c>
      <c r="C683" s="549">
        <v>5812</v>
      </c>
      <c r="D683" s="550"/>
      <c r="E683" s="550" t="s">
        <v>4523</v>
      </c>
      <c r="F683" s="550" t="s">
        <v>1274</v>
      </c>
      <c r="G683" s="550" t="s">
        <v>256</v>
      </c>
      <c r="H683" s="550" t="s">
        <v>296</v>
      </c>
      <c r="I683" s="550" t="s">
        <v>12</v>
      </c>
      <c r="J683" s="550" t="s">
        <v>4524</v>
      </c>
      <c r="K683" s="551">
        <v>44541</v>
      </c>
      <c r="L683" s="552">
        <v>6800</v>
      </c>
      <c r="M683" s="552">
        <v>6800</v>
      </c>
      <c r="N683" s="552">
        <v>6800</v>
      </c>
      <c r="O683" s="552">
        <v>3811</v>
      </c>
      <c r="P683" s="552">
        <v>25914800</v>
      </c>
      <c r="Q683" s="548">
        <v>254</v>
      </c>
      <c r="R683" s="552">
        <v>1727200</v>
      </c>
      <c r="S683" s="548">
        <v>4063</v>
      </c>
      <c r="T683" s="552">
        <v>27628400</v>
      </c>
      <c r="U683" s="548">
        <v>2</v>
      </c>
      <c r="V683" s="552">
        <v>13600</v>
      </c>
      <c r="W683" s="552">
        <v>20</v>
      </c>
      <c r="X683" s="552">
        <v>136000</v>
      </c>
      <c r="Y683" s="552">
        <v>4063</v>
      </c>
      <c r="Z683" s="552">
        <v>27628400</v>
      </c>
      <c r="AA683" s="552">
        <v>3967</v>
      </c>
      <c r="AB683" s="552">
        <v>26975600</v>
      </c>
      <c r="AC683" s="552">
        <v>96</v>
      </c>
      <c r="AD683" s="552">
        <v>652800</v>
      </c>
      <c r="AE683" s="552">
        <v>0</v>
      </c>
      <c r="AF683" s="552">
        <v>0</v>
      </c>
      <c r="AG683" s="552">
        <v>0</v>
      </c>
      <c r="AH683" s="552">
        <v>0</v>
      </c>
      <c r="AI683" s="552">
        <v>254</v>
      </c>
      <c r="AJ683" s="552">
        <v>1727200</v>
      </c>
    </row>
    <row r="684" spans="1:36" ht="15.95" customHeight="1">
      <c r="A684" s="547"/>
      <c r="B684" s="548">
        <v>664</v>
      </c>
      <c r="C684" s="549">
        <v>5908</v>
      </c>
      <c r="D684" s="550"/>
      <c r="E684" s="550" t="s">
        <v>4525</v>
      </c>
      <c r="F684" s="550" t="s">
        <v>3529</v>
      </c>
      <c r="G684" s="550" t="s">
        <v>847</v>
      </c>
      <c r="H684" s="550" t="s">
        <v>225</v>
      </c>
      <c r="I684" s="550" t="s">
        <v>10</v>
      </c>
      <c r="J684" s="550" t="s">
        <v>4526</v>
      </c>
      <c r="K684" s="551">
        <v>44378</v>
      </c>
      <c r="L684" s="552">
        <v>2800</v>
      </c>
      <c r="M684" s="552">
        <v>2800</v>
      </c>
      <c r="N684" s="552">
        <v>2800</v>
      </c>
      <c r="O684" s="552">
        <v>4</v>
      </c>
      <c r="P684" s="552">
        <v>11200</v>
      </c>
      <c r="Q684" s="548">
        <v>0</v>
      </c>
      <c r="R684" s="552">
        <v>0</v>
      </c>
      <c r="S684" s="548">
        <v>4</v>
      </c>
      <c r="T684" s="552">
        <v>11200</v>
      </c>
      <c r="U684" s="548">
        <v>0</v>
      </c>
      <c r="V684" s="552">
        <v>0</v>
      </c>
      <c r="W684" s="552">
        <v>0</v>
      </c>
      <c r="X684" s="552">
        <v>0</v>
      </c>
      <c r="Y684" s="552">
        <v>4</v>
      </c>
      <c r="Z684" s="552">
        <v>11200</v>
      </c>
      <c r="AA684" s="552">
        <v>4</v>
      </c>
      <c r="AB684" s="552">
        <v>11200</v>
      </c>
      <c r="AC684" s="552">
        <v>0</v>
      </c>
      <c r="AD684" s="552">
        <v>0</v>
      </c>
      <c r="AE684" s="552">
        <v>0</v>
      </c>
      <c r="AF684" s="552">
        <v>0</v>
      </c>
      <c r="AG684" s="552">
        <v>0</v>
      </c>
      <c r="AH684" s="552">
        <v>0</v>
      </c>
      <c r="AI684" s="552">
        <v>0</v>
      </c>
      <c r="AJ684" s="552">
        <v>0</v>
      </c>
    </row>
    <row r="685" spans="1:36" ht="15.95" customHeight="1">
      <c r="A685" s="547"/>
      <c r="B685" s="548">
        <v>679</v>
      </c>
      <c r="C685" s="549">
        <v>7132</v>
      </c>
      <c r="D685" s="550" t="s">
        <v>12193</v>
      </c>
      <c r="E685" s="550" t="s">
        <v>4527</v>
      </c>
      <c r="F685" s="550" t="s">
        <v>1594</v>
      </c>
      <c r="G685" s="550" t="s">
        <v>4528</v>
      </c>
      <c r="H685" s="550" t="s">
        <v>4529</v>
      </c>
      <c r="I685" s="550" t="s">
        <v>658</v>
      </c>
      <c r="J685" s="550" t="s">
        <v>12194</v>
      </c>
      <c r="K685" s="551">
        <v>45322</v>
      </c>
      <c r="L685" s="552">
        <v>37000</v>
      </c>
      <c r="M685" s="552">
        <v>37000</v>
      </c>
      <c r="N685" s="552">
        <v>37000</v>
      </c>
      <c r="O685" s="552"/>
      <c r="P685" s="552"/>
      <c r="Q685" s="548">
        <v>220</v>
      </c>
      <c r="R685" s="552">
        <v>8140000</v>
      </c>
      <c r="S685" s="548">
        <v>0</v>
      </c>
      <c r="T685" s="552">
        <v>0</v>
      </c>
      <c r="U685" s="548">
        <v>220</v>
      </c>
      <c r="V685" s="552">
        <v>8140000</v>
      </c>
      <c r="W685" s="552">
        <v>0</v>
      </c>
      <c r="X685" s="552">
        <v>0</v>
      </c>
      <c r="Y685" s="552">
        <v>0</v>
      </c>
      <c r="Z685" s="552">
        <v>0</v>
      </c>
      <c r="AA685" s="552">
        <v>0</v>
      </c>
      <c r="AB685" s="552">
        <v>0</v>
      </c>
      <c r="AC685" s="552">
        <v>0</v>
      </c>
      <c r="AD685" s="552">
        <v>0</v>
      </c>
      <c r="AE685" s="552">
        <v>0</v>
      </c>
      <c r="AF685" s="552">
        <v>0</v>
      </c>
      <c r="AG685" s="552">
        <v>0</v>
      </c>
      <c r="AH685" s="552">
        <v>0</v>
      </c>
      <c r="AI685" s="552">
        <v>0</v>
      </c>
      <c r="AJ685" s="552">
        <v>0</v>
      </c>
    </row>
    <row r="686" spans="1:36" ht="15.95" customHeight="1">
      <c r="A686" s="547"/>
      <c r="B686" s="548">
        <v>680</v>
      </c>
      <c r="C686" s="549">
        <v>7132</v>
      </c>
      <c r="D686" s="550" t="s">
        <v>12193</v>
      </c>
      <c r="E686" s="550" t="s">
        <v>4527</v>
      </c>
      <c r="F686" s="550" t="s">
        <v>1594</v>
      </c>
      <c r="G686" s="550" t="s">
        <v>4528</v>
      </c>
      <c r="H686" s="550" t="s">
        <v>4529</v>
      </c>
      <c r="I686" s="550" t="s">
        <v>658</v>
      </c>
      <c r="J686" s="550" t="s">
        <v>12195</v>
      </c>
      <c r="K686" s="551">
        <v>45291</v>
      </c>
      <c r="L686" s="552">
        <v>37000</v>
      </c>
      <c r="M686" s="552">
        <v>37000</v>
      </c>
      <c r="N686" s="552">
        <v>37000</v>
      </c>
      <c r="O686" s="552"/>
      <c r="P686" s="552"/>
      <c r="Q686" s="548">
        <v>200</v>
      </c>
      <c r="R686" s="552">
        <v>7400000</v>
      </c>
      <c r="S686" s="548">
        <v>132</v>
      </c>
      <c r="T686" s="552">
        <v>4884000</v>
      </c>
      <c r="U686" s="548">
        <v>68</v>
      </c>
      <c r="V686" s="552">
        <v>2516000</v>
      </c>
      <c r="W686" s="552">
        <v>27</v>
      </c>
      <c r="X686" s="552">
        <v>999000</v>
      </c>
      <c r="Y686" s="552">
        <v>132</v>
      </c>
      <c r="Z686" s="552">
        <v>4884000</v>
      </c>
      <c r="AA686" s="552">
        <v>91</v>
      </c>
      <c r="AB686" s="552">
        <v>3367000</v>
      </c>
      <c r="AC686" s="552">
        <v>41</v>
      </c>
      <c r="AD686" s="552">
        <v>1517000</v>
      </c>
      <c r="AE686" s="552">
        <v>0</v>
      </c>
      <c r="AF686" s="552">
        <v>0</v>
      </c>
      <c r="AG686" s="552">
        <v>0</v>
      </c>
      <c r="AH686" s="552">
        <v>0</v>
      </c>
      <c r="AI686" s="552">
        <v>0</v>
      </c>
      <c r="AJ686" s="552">
        <v>0</v>
      </c>
    </row>
    <row r="687" spans="1:36" ht="15.95" customHeight="1">
      <c r="A687" s="547"/>
      <c r="B687" s="548">
        <v>681</v>
      </c>
      <c r="C687" s="549">
        <v>7132</v>
      </c>
      <c r="D687" s="550" t="s">
        <v>12193</v>
      </c>
      <c r="E687" s="550" t="s">
        <v>4527</v>
      </c>
      <c r="F687" s="550" t="s">
        <v>1594</v>
      </c>
      <c r="G687" s="550" t="s">
        <v>4528</v>
      </c>
      <c r="H687" s="550" t="s">
        <v>4529</v>
      </c>
      <c r="I687" s="550" t="s">
        <v>658</v>
      </c>
      <c r="J687" s="550" t="s">
        <v>4530</v>
      </c>
      <c r="K687" s="551">
        <v>44896</v>
      </c>
      <c r="L687" s="552">
        <v>37000</v>
      </c>
      <c r="M687" s="552">
        <v>37000</v>
      </c>
      <c r="N687" s="552">
        <v>37000</v>
      </c>
      <c r="O687" s="552">
        <v>71</v>
      </c>
      <c r="P687" s="552">
        <v>2627000</v>
      </c>
      <c r="Q687" s="548">
        <v>0</v>
      </c>
      <c r="R687" s="552">
        <v>0</v>
      </c>
      <c r="S687" s="548">
        <v>71</v>
      </c>
      <c r="T687" s="552">
        <v>2627000</v>
      </c>
      <c r="U687" s="548">
        <v>0</v>
      </c>
      <c r="V687" s="552">
        <v>0</v>
      </c>
      <c r="W687" s="552">
        <v>0</v>
      </c>
      <c r="X687" s="552">
        <v>0</v>
      </c>
      <c r="Y687" s="552">
        <v>71</v>
      </c>
      <c r="Z687" s="552">
        <v>2627000</v>
      </c>
      <c r="AA687" s="552">
        <v>71</v>
      </c>
      <c r="AB687" s="552">
        <v>2627000</v>
      </c>
      <c r="AC687" s="552">
        <v>0</v>
      </c>
      <c r="AD687" s="552">
        <v>0</v>
      </c>
      <c r="AE687" s="552">
        <v>0</v>
      </c>
      <c r="AF687" s="552">
        <v>0</v>
      </c>
      <c r="AG687" s="552">
        <v>0</v>
      </c>
      <c r="AH687" s="552">
        <v>0</v>
      </c>
      <c r="AI687" s="552">
        <v>0</v>
      </c>
      <c r="AJ687" s="552">
        <v>0</v>
      </c>
    </row>
    <row r="688" spans="1:36" ht="15.95" customHeight="1">
      <c r="A688" s="547"/>
      <c r="B688" s="548">
        <v>702</v>
      </c>
      <c r="C688" s="549">
        <v>7089</v>
      </c>
      <c r="D688" s="550" t="s">
        <v>12196</v>
      </c>
      <c r="E688" s="550" t="s">
        <v>4531</v>
      </c>
      <c r="F688" s="550" t="s">
        <v>4532</v>
      </c>
      <c r="G688" s="550" t="s">
        <v>683</v>
      </c>
      <c r="H688" s="550" t="s">
        <v>4533</v>
      </c>
      <c r="I688" s="550" t="s">
        <v>12</v>
      </c>
      <c r="J688" s="550" t="s">
        <v>3844</v>
      </c>
      <c r="K688" s="551">
        <v>44678</v>
      </c>
      <c r="L688" s="552">
        <v>1717</v>
      </c>
      <c r="M688" s="552">
        <v>1717</v>
      </c>
      <c r="N688" s="552">
        <v>1717</v>
      </c>
      <c r="O688" s="552">
        <v>182</v>
      </c>
      <c r="P688" s="552">
        <v>312494</v>
      </c>
      <c r="Q688" s="548">
        <v>6</v>
      </c>
      <c r="R688" s="552">
        <v>10302</v>
      </c>
      <c r="S688" s="548">
        <v>188</v>
      </c>
      <c r="T688" s="552">
        <v>322796</v>
      </c>
      <c r="U688" s="548">
        <v>0</v>
      </c>
      <c r="V688" s="552">
        <v>0</v>
      </c>
      <c r="W688" s="552">
        <v>536</v>
      </c>
      <c r="X688" s="552">
        <v>920312</v>
      </c>
      <c r="Y688" s="552">
        <v>188</v>
      </c>
      <c r="Z688" s="552">
        <v>322796</v>
      </c>
      <c r="AA688" s="552">
        <v>0</v>
      </c>
      <c r="AB688" s="552">
        <v>0</v>
      </c>
      <c r="AC688" s="552">
        <v>188</v>
      </c>
      <c r="AD688" s="552">
        <v>322796</v>
      </c>
      <c r="AE688" s="552">
        <v>0</v>
      </c>
      <c r="AF688" s="552">
        <v>0</v>
      </c>
      <c r="AG688" s="552">
        <v>0</v>
      </c>
      <c r="AH688" s="552">
        <v>0</v>
      </c>
      <c r="AI688" s="552">
        <v>0</v>
      </c>
      <c r="AJ688" s="552">
        <v>0</v>
      </c>
    </row>
    <row r="689" spans="1:36" ht="15.95" customHeight="1">
      <c r="A689" s="547"/>
      <c r="B689" s="548">
        <v>703</v>
      </c>
      <c r="C689" s="549">
        <v>7089</v>
      </c>
      <c r="D689" s="550" t="s">
        <v>12196</v>
      </c>
      <c r="E689" s="550" t="s">
        <v>4531</v>
      </c>
      <c r="F689" s="550" t="s">
        <v>4532</v>
      </c>
      <c r="G689" s="550" t="s">
        <v>683</v>
      </c>
      <c r="H689" s="550" t="s">
        <v>4533</v>
      </c>
      <c r="I689" s="550" t="s">
        <v>12</v>
      </c>
      <c r="J689" s="550" t="s">
        <v>12197</v>
      </c>
      <c r="K689" s="551">
        <v>45065</v>
      </c>
      <c r="L689" s="552">
        <v>1717</v>
      </c>
      <c r="M689" s="552">
        <v>1717</v>
      </c>
      <c r="N689" s="552">
        <v>1717</v>
      </c>
      <c r="O689" s="552"/>
      <c r="P689" s="552"/>
      <c r="Q689" s="548">
        <v>3516</v>
      </c>
      <c r="R689" s="552">
        <v>6036972</v>
      </c>
      <c r="S689" s="548">
        <v>804</v>
      </c>
      <c r="T689" s="552">
        <v>1380468</v>
      </c>
      <c r="U689" s="548">
        <v>2712</v>
      </c>
      <c r="V689" s="552">
        <v>4656504</v>
      </c>
      <c r="W689" s="552">
        <v>170</v>
      </c>
      <c r="X689" s="552">
        <v>291890</v>
      </c>
      <c r="Y689" s="552">
        <v>804</v>
      </c>
      <c r="Z689" s="552">
        <v>1380468</v>
      </c>
      <c r="AA689" s="552">
        <v>564</v>
      </c>
      <c r="AB689" s="552">
        <v>968388</v>
      </c>
      <c r="AC689" s="552">
        <v>240</v>
      </c>
      <c r="AD689" s="552">
        <v>412080</v>
      </c>
      <c r="AE689" s="552">
        <v>0</v>
      </c>
      <c r="AF689" s="552">
        <v>0</v>
      </c>
      <c r="AG689" s="552">
        <v>0</v>
      </c>
      <c r="AH689" s="552">
        <v>0</v>
      </c>
      <c r="AI689" s="552">
        <v>0</v>
      </c>
      <c r="AJ689" s="552">
        <v>0</v>
      </c>
    </row>
    <row r="690" spans="1:36" ht="15.95" customHeight="1">
      <c r="A690" s="547"/>
      <c r="B690" s="548">
        <v>704</v>
      </c>
      <c r="C690" s="549">
        <v>5544</v>
      </c>
      <c r="D690" s="550"/>
      <c r="E690" s="550" t="s">
        <v>4534</v>
      </c>
      <c r="F690" s="550" t="s">
        <v>4535</v>
      </c>
      <c r="G690" s="550" t="s">
        <v>433</v>
      </c>
      <c r="H690" s="550" t="s">
        <v>1200</v>
      </c>
      <c r="I690" s="550" t="s">
        <v>12</v>
      </c>
      <c r="J690" s="550" t="s">
        <v>4093</v>
      </c>
      <c r="K690" s="551">
        <v>44110</v>
      </c>
      <c r="L690" s="552">
        <v>1598</v>
      </c>
      <c r="M690" s="552">
        <v>1598</v>
      </c>
      <c r="N690" s="552">
        <v>1598</v>
      </c>
      <c r="O690" s="552">
        <v>2</v>
      </c>
      <c r="P690" s="552">
        <v>3196</v>
      </c>
      <c r="Q690" s="548">
        <v>0</v>
      </c>
      <c r="R690" s="552">
        <v>0</v>
      </c>
      <c r="S690" s="548">
        <v>2</v>
      </c>
      <c r="T690" s="552">
        <v>3196</v>
      </c>
      <c r="U690" s="548">
        <v>0</v>
      </c>
      <c r="V690" s="552">
        <v>0</v>
      </c>
      <c r="W690" s="552">
        <v>0</v>
      </c>
      <c r="X690" s="552">
        <v>0</v>
      </c>
      <c r="Y690" s="552">
        <v>0</v>
      </c>
      <c r="Z690" s="552">
        <v>0</v>
      </c>
      <c r="AA690" s="552">
        <v>0</v>
      </c>
      <c r="AB690" s="552">
        <v>0</v>
      </c>
      <c r="AC690" s="552">
        <v>0</v>
      </c>
      <c r="AD690" s="552">
        <v>0</v>
      </c>
      <c r="AE690" s="552">
        <v>0</v>
      </c>
      <c r="AF690" s="552">
        <v>0</v>
      </c>
      <c r="AG690" s="552">
        <v>2</v>
      </c>
      <c r="AH690" s="552">
        <v>3196</v>
      </c>
      <c r="AI690" s="552">
        <v>0</v>
      </c>
      <c r="AJ690" s="552">
        <v>0</v>
      </c>
    </row>
    <row r="691" spans="1:36" ht="15.95" customHeight="1">
      <c r="A691" s="547"/>
      <c r="B691" s="548">
        <v>705</v>
      </c>
      <c r="C691" s="549">
        <v>7833</v>
      </c>
      <c r="D691" s="550" t="s">
        <v>12198</v>
      </c>
      <c r="E691" s="550" t="s">
        <v>12199</v>
      </c>
      <c r="F691" s="550" t="s">
        <v>12200</v>
      </c>
      <c r="G691" s="550" t="s">
        <v>493</v>
      </c>
      <c r="H691" s="550" t="s">
        <v>774</v>
      </c>
      <c r="I691" s="550" t="s">
        <v>658</v>
      </c>
      <c r="J691" s="550" t="s">
        <v>12201</v>
      </c>
      <c r="K691" s="551">
        <v>45184</v>
      </c>
      <c r="L691" s="552">
        <v>11109</v>
      </c>
      <c r="M691" s="552">
        <v>11109</v>
      </c>
      <c r="N691" s="552">
        <v>11109</v>
      </c>
      <c r="O691" s="552"/>
      <c r="P691" s="552"/>
      <c r="Q691" s="548">
        <v>200</v>
      </c>
      <c r="R691" s="552">
        <v>2221800</v>
      </c>
      <c r="S691" s="548">
        <v>13</v>
      </c>
      <c r="T691" s="552">
        <v>144417</v>
      </c>
      <c r="U691" s="548">
        <v>187</v>
      </c>
      <c r="V691" s="552">
        <v>2077383</v>
      </c>
      <c r="W691" s="552">
        <v>0</v>
      </c>
      <c r="X691" s="552">
        <v>0</v>
      </c>
      <c r="Y691" s="552">
        <v>13</v>
      </c>
      <c r="Z691" s="552">
        <v>144417</v>
      </c>
      <c r="AA691" s="552">
        <v>0</v>
      </c>
      <c r="AB691" s="552">
        <v>0</v>
      </c>
      <c r="AC691" s="552">
        <v>13</v>
      </c>
      <c r="AD691" s="552">
        <v>144417</v>
      </c>
      <c r="AE691" s="552">
        <v>0</v>
      </c>
      <c r="AF691" s="552">
        <v>0</v>
      </c>
      <c r="AG691" s="552">
        <v>0</v>
      </c>
      <c r="AH691" s="552">
        <v>0</v>
      </c>
      <c r="AI691" s="552">
        <v>0</v>
      </c>
      <c r="AJ691" s="552">
        <v>0</v>
      </c>
    </row>
    <row r="692" spans="1:36" ht="15.95" customHeight="1">
      <c r="A692" s="547"/>
      <c r="B692" s="548">
        <v>708</v>
      </c>
      <c r="C692" s="549">
        <v>7115</v>
      </c>
      <c r="D692" s="550" t="s">
        <v>12202</v>
      </c>
      <c r="E692" s="550" t="s">
        <v>4536</v>
      </c>
      <c r="F692" s="550" t="s">
        <v>3639</v>
      </c>
      <c r="G692" s="550" t="s">
        <v>256</v>
      </c>
      <c r="H692" s="550" t="s">
        <v>334</v>
      </c>
      <c r="I692" s="550" t="s">
        <v>11</v>
      </c>
      <c r="J692" s="550" t="s">
        <v>11609</v>
      </c>
      <c r="K692" s="551">
        <v>45378</v>
      </c>
      <c r="L692" s="552">
        <v>12600</v>
      </c>
      <c r="M692" s="552">
        <v>12600</v>
      </c>
      <c r="N692" s="552">
        <v>12600</v>
      </c>
      <c r="O692" s="552"/>
      <c r="P692" s="552"/>
      <c r="Q692" s="548">
        <v>2000</v>
      </c>
      <c r="R692" s="552">
        <v>25200000</v>
      </c>
      <c r="S692" s="548">
        <v>0</v>
      </c>
      <c r="T692" s="552">
        <v>0</v>
      </c>
      <c r="U692" s="548">
        <v>2000</v>
      </c>
      <c r="V692" s="552">
        <v>25200000</v>
      </c>
      <c r="W692" s="552">
        <v>0</v>
      </c>
      <c r="X692" s="552">
        <v>0</v>
      </c>
      <c r="Y692" s="552">
        <v>0</v>
      </c>
      <c r="Z692" s="552">
        <v>0</v>
      </c>
      <c r="AA692" s="552">
        <v>0</v>
      </c>
      <c r="AB692" s="552">
        <v>0</v>
      </c>
      <c r="AC692" s="552">
        <v>0</v>
      </c>
      <c r="AD692" s="552">
        <v>0</v>
      </c>
      <c r="AE692" s="552">
        <v>0</v>
      </c>
      <c r="AF692" s="552">
        <v>0</v>
      </c>
      <c r="AG692" s="552">
        <v>0</v>
      </c>
      <c r="AH692" s="552">
        <v>0</v>
      </c>
      <c r="AI692" s="552">
        <v>0</v>
      </c>
      <c r="AJ692" s="552">
        <v>0</v>
      </c>
    </row>
    <row r="693" spans="1:36" ht="15.95" customHeight="1">
      <c r="A693" s="547"/>
      <c r="B693" s="548">
        <v>736</v>
      </c>
      <c r="C693" s="549">
        <v>6126</v>
      </c>
      <c r="D693" s="550"/>
      <c r="E693" s="550"/>
      <c r="F693" s="550" t="s">
        <v>4537</v>
      </c>
      <c r="G693" s="550" t="s">
        <v>433</v>
      </c>
      <c r="H693" s="550" t="s">
        <v>225</v>
      </c>
      <c r="I693" s="550" t="s">
        <v>10</v>
      </c>
      <c r="J693" s="550" t="s">
        <v>4538</v>
      </c>
      <c r="K693" s="551">
        <v>44494</v>
      </c>
      <c r="L693" s="552">
        <v>9600</v>
      </c>
      <c r="M693" s="552">
        <v>9600</v>
      </c>
      <c r="N693" s="552">
        <v>9600</v>
      </c>
      <c r="O693" s="552">
        <v>23910</v>
      </c>
      <c r="P693" s="552">
        <v>229536000</v>
      </c>
      <c r="Q693" s="548">
        <v>15</v>
      </c>
      <c r="R693" s="552">
        <v>144000</v>
      </c>
      <c r="S693" s="548">
        <v>23920</v>
      </c>
      <c r="T693" s="552">
        <v>229632000</v>
      </c>
      <c r="U693" s="548">
        <v>5</v>
      </c>
      <c r="V693" s="552">
        <v>48000</v>
      </c>
      <c r="W693" s="552">
        <v>0</v>
      </c>
      <c r="X693" s="552">
        <v>0</v>
      </c>
      <c r="Y693" s="552">
        <v>23920</v>
      </c>
      <c r="Z693" s="552">
        <v>229632000</v>
      </c>
      <c r="AA693" s="552">
        <v>23418</v>
      </c>
      <c r="AB693" s="552">
        <v>224812800</v>
      </c>
      <c r="AC693" s="552">
        <v>502</v>
      </c>
      <c r="AD693" s="552">
        <v>4819200</v>
      </c>
      <c r="AE693" s="552">
        <v>0</v>
      </c>
      <c r="AF693" s="552">
        <v>0</v>
      </c>
      <c r="AG693" s="552">
        <v>0</v>
      </c>
      <c r="AH693" s="552">
        <v>0</v>
      </c>
      <c r="AI693" s="552">
        <v>0</v>
      </c>
      <c r="AJ693" s="552">
        <v>0</v>
      </c>
    </row>
    <row r="694" spans="1:36" ht="15.95" customHeight="1">
      <c r="A694" s="547"/>
      <c r="B694" s="548">
        <v>737</v>
      </c>
      <c r="C694" s="549">
        <v>7131</v>
      </c>
      <c r="D694" s="550" t="s">
        <v>12203</v>
      </c>
      <c r="E694" s="550" t="s">
        <v>4539</v>
      </c>
      <c r="F694" s="550" t="s">
        <v>3229</v>
      </c>
      <c r="G694" s="550" t="s">
        <v>4540</v>
      </c>
      <c r="H694" s="550" t="s">
        <v>4541</v>
      </c>
      <c r="I694" s="550" t="s">
        <v>15</v>
      </c>
      <c r="J694" s="550" t="s">
        <v>4542</v>
      </c>
      <c r="K694" s="551">
        <v>44841</v>
      </c>
      <c r="L694" s="552">
        <v>2982</v>
      </c>
      <c r="M694" s="552">
        <v>2982</v>
      </c>
      <c r="N694" s="552">
        <v>2982</v>
      </c>
      <c r="O694" s="552">
        <v>28</v>
      </c>
      <c r="P694" s="552">
        <v>83496</v>
      </c>
      <c r="Q694" s="548">
        <v>0</v>
      </c>
      <c r="R694" s="552">
        <v>0</v>
      </c>
      <c r="S694" s="548">
        <v>3</v>
      </c>
      <c r="T694" s="552">
        <v>8946</v>
      </c>
      <c r="U694" s="548">
        <v>25</v>
      </c>
      <c r="V694" s="552">
        <v>74550</v>
      </c>
      <c r="W694" s="552">
        <v>39</v>
      </c>
      <c r="X694" s="552">
        <v>116298</v>
      </c>
      <c r="Y694" s="552">
        <v>3</v>
      </c>
      <c r="Z694" s="552">
        <v>8946</v>
      </c>
      <c r="AA694" s="552">
        <v>3</v>
      </c>
      <c r="AB694" s="552">
        <v>8946</v>
      </c>
      <c r="AC694" s="552">
        <v>0</v>
      </c>
      <c r="AD694" s="552">
        <v>0</v>
      </c>
      <c r="AE694" s="552">
        <v>0</v>
      </c>
      <c r="AF694" s="552">
        <v>0</v>
      </c>
      <c r="AG694" s="552">
        <v>0</v>
      </c>
      <c r="AH694" s="552">
        <v>0</v>
      </c>
      <c r="AI694" s="552">
        <v>0</v>
      </c>
      <c r="AJ694" s="552">
        <v>0</v>
      </c>
    </row>
    <row r="695" spans="1:36" ht="15.95" customHeight="1">
      <c r="A695" s="547"/>
      <c r="B695" s="548">
        <v>738</v>
      </c>
      <c r="C695" s="549">
        <v>7131</v>
      </c>
      <c r="D695" s="550" t="s">
        <v>12203</v>
      </c>
      <c r="E695" s="550" t="s">
        <v>4539</v>
      </c>
      <c r="F695" s="550" t="s">
        <v>3229</v>
      </c>
      <c r="G695" s="550" t="s">
        <v>4540</v>
      </c>
      <c r="H695" s="550" t="s">
        <v>4541</v>
      </c>
      <c r="I695" s="550" t="s">
        <v>15</v>
      </c>
      <c r="J695" s="550" t="s">
        <v>12204</v>
      </c>
      <c r="K695" s="551">
        <v>44932</v>
      </c>
      <c r="L695" s="552">
        <v>2982</v>
      </c>
      <c r="M695" s="552">
        <v>2982</v>
      </c>
      <c r="N695" s="552">
        <v>2982</v>
      </c>
      <c r="O695" s="552"/>
      <c r="P695" s="552"/>
      <c r="Q695" s="548">
        <v>70</v>
      </c>
      <c r="R695" s="552">
        <v>208740</v>
      </c>
      <c r="S695" s="548">
        <v>70</v>
      </c>
      <c r="T695" s="552">
        <v>208740</v>
      </c>
      <c r="U695" s="548">
        <v>0</v>
      </c>
      <c r="V695" s="552">
        <v>0</v>
      </c>
      <c r="W695" s="552">
        <v>11</v>
      </c>
      <c r="X695" s="552">
        <v>32802</v>
      </c>
      <c r="Y695" s="552">
        <v>70</v>
      </c>
      <c r="Z695" s="552">
        <v>208740</v>
      </c>
      <c r="AA695" s="552">
        <v>0</v>
      </c>
      <c r="AB695" s="552">
        <v>0</v>
      </c>
      <c r="AC695" s="552">
        <v>70</v>
      </c>
      <c r="AD695" s="552">
        <v>208740</v>
      </c>
      <c r="AE695" s="552">
        <v>0</v>
      </c>
      <c r="AF695" s="552">
        <v>0</v>
      </c>
      <c r="AG695" s="552">
        <v>0</v>
      </c>
      <c r="AH695" s="552">
        <v>0</v>
      </c>
      <c r="AI695" s="552">
        <v>0</v>
      </c>
      <c r="AJ695" s="552">
        <v>0</v>
      </c>
    </row>
    <row r="696" spans="1:36" ht="15.95" customHeight="1">
      <c r="A696" s="547"/>
      <c r="B696" s="548">
        <v>739</v>
      </c>
      <c r="C696" s="549">
        <v>7131</v>
      </c>
      <c r="D696" s="550" t="s">
        <v>12203</v>
      </c>
      <c r="E696" s="550" t="s">
        <v>4539</v>
      </c>
      <c r="F696" s="550" t="s">
        <v>3229</v>
      </c>
      <c r="G696" s="550" t="s">
        <v>4540</v>
      </c>
      <c r="H696" s="550" t="s">
        <v>4541</v>
      </c>
      <c r="I696" s="550" t="s">
        <v>15</v>
      </c>
      <c r="J696" s="550" t="s">
        <v>12205</v>
      </c>
      <c r="K696" s="551">
        <v>44934</v>
      </c>
      <c r="L696" s="552">
        <v>2982</v>
      </c>
      <c r="M696" s="552">
        <v>2982</v>
      </c>
      <c r="N696" s="552">
        <v>2982</v>
      </c>
      <c r="O696" s="552"/>
      <c r="P696" s="552"/>
      <c r="Q696" s="548">
        <v>80</v>
      </c>
      <c r="R696" s="552">
        <v>238560</v>
      </c>
      <c r="S696" s="548">
        <v>30</v>
      </c>
      <c r="T696" s="552">
        <v>89460</v>
      </c>
      <c r="U696" s="548">
        <v>50</v>
      </c>
      <c r="V696" s="552">
        <v>149100</v>
      </c>
      <c r="W696" s="552">
        <v>0</v>
      </c>
      <c r="X696" s="552">
        <v>0</v>
      </c>
      <c r="Y696" s="552">
        <v>30</v>
      </c>
      <c r="Z696" s="552">
        <v>89460</v>
      </c>
      <c r="AA696" s="552">
        <v>0</v>
      </c>
      <c r="AB696" s="552">
        <v>0</v>
      </c>
      <c r="AC696" s="552">
        <v>30</v>
      </c>
      <c r="AD696" s="552">
        <v>89460</v>
      </c>
      <c r="AE696" s="552">
        <v>0</v>
      </c>
      <c r="AF696" s="552">
        <v>0</v>
      </c>
      <c r="AG696" s="552">
        <v>0</v>
      </c>
      <c r="AH696" s="552">
        <v>0</v>
      </c>
      <c r="AI696" s="552">
        <v>0</v>
      </c>
      <c r="AJ696" s="552">
        <v>0</v>
      </c>
    </row>
    <row r="697" spans="1:36" ht="15.95" customHeight="1">
      <c r="A697" s="547"/>
      <c r="B697" s="548">
        <v>743</v>
      </c>
      <c r="C697" s="549">
        <v>7136</v>
      </c>
      <c r="D697" s="550" t="s">
        <v>12206</v>
      </c>
      <c r="E697" s="550" t="s">
        <v>5978</v>
      </c>
      <c r="F697" s="550" t="s">
        <v>5918</v>
      </c>
      <c r="G697" s="550" t="s">
        <v>5979</v>
      </c>
      <c r="H697" s="550" t="s">
        <v>5980</v>
      </c>
      <c r="I697" s="550" t="s">
        <v>11</v>
      </c>
      <c r="J697" s="550" t="s">
        <v>12207</v>
      </c>
      <c r="K697" s="551">
        <v>45191</v>
      </c>
      <c r="L697" s="552">
        <v>11800</v>
      </c>
      <c r="M697" s="552">
        <v>11800</v>
      </c>
      <c r="N697" s="552">
        <v>11800</v>
      </c>
      <c r="O697" s="552"/>
      <c r="P697" s="552"/>
      <c r="Q697" s="548">
        <v>500</v>
      </c>
      <c r="R697" s="552">
        <v>5900000</v>
      </c>
      <c r="S697" s="548">
        <v>0</v>
      </c>
      <c r="T697" s="552">
        <v>0</v>
      </c>
      <c r="U697" s="548">
        <v>500</v>
      </c>
      <c r="V697" s="552">
        <v>5900000</v>
      </c>
      <c r="W697" s="552">
        <v>0</v>
      </c>
      <c r="X697" s="552">
        <v>0</v>
      </c>
      <c r="Y697" s="552">
        <v>0</v>
      </c>
      <c r="Z697" s="552">
        <v>0</v>
      </c>
      <c r="AA697" s="552">
        <v>0</v>
      </c>
      <c r="AB697" s="552">
        <v>0</v>
      </c>
      <c r="AC697" s="552">
        <v>0</v>
      </c>
      <c r="AD697" s="552">
        <v>0</v>
      </c>
      <c r="AE697" s="552">
        <v>0</v>
      </c>
      <c r="AF697" s="552">
        <v>0</v>
      </c>
      <c r="AG697" s="552">
        <v>0</v>
      </c>
      <c r="AH697" s="552">
        <v>0</v>
      </c>
      <c r="AI697" s="552">
        <v>0</v>
      </c>
      <c r="AJ697" s="552">
        <v>0</v>
      </c>
    </row>
    <row r="698" spans="1:36" ht="15.95" customHeight="1">
      <c r="A698" s="547"/>
      <c r="B698" s="548">
        <v>744</v>
      </c>
      <c r="C698" s="549">
        <v>7092</v>
      </c>
      <c r="D698" s="550" t="s">
        <v>12208</v>
      </c>
      <c r="E698" s="550" t="s">
        <v>6596</v>
      </c>
      <c r="F698" s="550" t="s">
        <v>6597</v>
      </c>
      <c r="G698" s="550" t="s">
        <v>337</v>
      </c>
      <c r="H698" s="550" t="s">
        <v>272</v>
      </c>
      <c r="I698" s="550" t="s">
        <v>11</v>
      </c>
      <c r="J698" s="550" t="s">
        <v>12209</v>
      </c>
      <c r="K698" s="551">
        <v>44811</v>
      </c>
      <c r="L698" s="552">
        <v>2800</v>
      </c>
      <c r="M698" s="552">
        <v>2800</v>
      </c>
      <c r="N698" s="552">
        <v>2800</v>
      </c>
      <c r="O698" s="552"/>
      <c r="P698" s="552"/>
      <c r="Q698" s="548">
        <v>800</v>
      </c>
      <c r="R698" s="552">
        <v>2240000</v>
      </c>
      <c r="S698" s="548">
        <v>420</v>
      </c>
      <c r="T698" s="552">
        <v>1176000</v>
      </c>
      <c r="U698" s="548">
        <v>380</v>
      </c>
      <c r="V698" s="552">
        <v>1064000</v>
      </c>
      <c r="W698" s="552">
        <v>0</v>
      </c>
      <c r="X698" s="552">
        <v>0</v>
      </c>
      <c r="Y698" s="552">
        <v>420</v>
      </c>
      <c r="Z698" s="552">
        <v>1176000</v>
      </c>
      <c r="AA698" s="552">
        <v>0</v>
      </c>
      <c r="AB698" s="552">
        <v>0</v>
      </c>
      <c r="AC698" s="552">
        <v>420</v>
      </c>
      <c r="AD698" s="552">
        <v>1176000</v>
      </c>
      <c r="AE698" s="552">
        <v>0</v>
      </c>
      <c r="AF698" s="552">
        <v>0</v>
      </c>
      <c r="AG698" s="552">
        <v>0</v>
      </c>
      <c r="AH698" s="552">
        <v>0</v>
      </c>
      <c r="AI698" s="552">
        <v>0</v>
      </c>
      <c r="AJ698" s="552">
        <v>0</v>
      </c>
    </row>
    <row r="699" spans="1:36" ht="15.95" customHeight="1">
      <c r="A699" s="547"/>
      <c r="B699" s="548">
        <v>754</v>
      </c>
      <c r="C699" s="549">
        <v>7127</v>
      </c>
      <c r="D699" s="550" t="s">
        <v>12210</v>
      </c>
      <c r="E699" s="550" t="s">
        <v>4543</v>
      </c>
      <c r="F699" s="550" t="s">
        <v>4544</v>
      </c>
      <c r="G699" s="550" t="s">
        <v>1140</v>
      </c>
      <c r="H699" s="550" t="s">
        <v>4545</v>
      </c>
      <c r="I699" s="550" t="s">
        <v>4240</v>
      </c>
      <c r="J699" s="550" t="s">
        <v>4546</v>
      </c>
      <c r="K699" s="551">
        <v>44997</v>
      </c>
      <c r="L699" s="552">
        <v>28400</v>
      </c>
      <c r="M699" s="552">
        <v>28400</v>
      </c>
      <c r="N699" s="552">
        <v>28400</v>
      </c>
      <c r="O699" s="552">
        <v>83</v>
      </c>
      <c r="P699" s="552">
        <v>2357200</v>
      </c>
      <c r="Q699" s="548">
        <v>0</v>
      </c>
      <c r="R699" s="552">
        <v>0</v>
      </c>
      <c r="S699" s="548">
        <v>83</v>
      </c>
      <c r="T699" s="552">
        <v>2357200</v>
      </c>
      <c r="U699" s="548">
        <v>0</v>
      </c>
      <c r="V699" s="552">
        <v>0</v>
      </c>
      <c r="W699" s="552">
        <v>19</v>
      </c>
      <c r="X699" s="552">
        <v>539600</v>
      </c>
      <c r="Y699" s="552">
        <v>83</v>
      </c>
      <c r="Z699" s="552">
        <v>2357200</v>
      </c>
      <c r="AA699" s="552">
        <v>68</v>
      </c>
      <c r="AB699" s="552">
        <v>1931200</v>
      </c>
      <c r="AC699" s="552">
        <v>15</v>
      </c>
      <c r="AD699" s="552">
        <v>426000</v>
      </c>
      <c r="AE699" s="552">
        <v>0</v>
      </c>
      <c r="AF699" s="552">
        <v>0</v>
      </c>
      <c r="AG699" s="552">
        <v>0</v>
      </c>
      <c r="AH699" s="552">
        <v>0</v>
      </c>
      <c r="AI699" s="552">
        <v>0</v>
      </c>
      <c r="AJ699" s="552">
        <v>0</v>
      </c>
    </row>
    <row r="700" spans="1:36" ht="15.95" customHeight="1">
      <c r="A700" s="547"/>
      <c r="B700" s="548">
        <v>755</v>
      </c>
      <c r="C700" s="549">
        <v>7127</v>
      </c>
      <c r="D700" s="550" t="s">
        <v>12210</v>
      </c>
      <c r="E700" s="550" t="s">
        <v>4543</v>
      </c>
      <c r="F700" s="550" t="s">
        <v>4544</v>
      </c>
      <c r="G700" s="550" t="s">
        <v>1140</v>
      </c>
      <c r="H700" s="550" t="s">
        <v>4545</v>
      </c>
      <c r="I700" s="550" t="s">
        <v>4240</v>
      </c>
      <c r="J700" s="550" t="s">
        <v>4547</v>
      </c>
      <c r="K700" s="551">
        <v>45010</v>
      </c>
      <c r="L700" s="552">
        <v>28400</v>
      </c>
      <c r="M700" s="552">
        <v>28400</v>
      </c>
      <c r="N700" s="552">
        <v>28400</v>
      </c>
      <c r="O700" s="552">
        <v>30</v>
      </c>
      <c r="P700" s="552">
        <v>852000</v>
      </c>
      <c r="Q700" s="548">
        <v>0</v>
      </c>
      <c r="R700" s="552">
        <v>0</v>
      </c>
      <c r="S700" s="548">
        <v>5</v>
      </c>
      <c r="T700" s="552">
        <v>142000</v>
      </c>
      <c r="U700" s="548">
        <v>25</v>
      </c>
      <c r="V700" s="552">
        <v>710000</v>
      </c>
      <c r="W700" s="552">
        <v>0</v>
      </c>
      <c r="X700" s="552">
        <v>0</v>
      </c>
      <c r="Y700" s="552">
        <v>5</v>
      </c>
      <c r="Z700" s="552">
        <v>142000</v>
      </c>
      <c r="AA700" s="552">
        <v>0</v>
      </c>
      <c r="AB700" s="552">
        <v>0</v>
      </c>
      <c r="AC700" s="552">
        <v>5</v>
      </c>
      <c r="AD700" s="552">
        <v>142000</v>
      </c>
      <c r="AE700" s="552">
        <v>0</v>
      </c>
      <c r="AF700" s="552">
        <v>0</v>
      </c>
      <c r="AG700" s="552">
        <v>0</v>
      </c>
      <c r="AH700" s="552">
        <v>0</v>
      </c>
      <c r="AI700" s="552">
        <v>0</v>
      </c>
      <c r="AJ700" s="552">
        <v>0</v>
      </c>
    </row>
    <row r="701" spans="1:36" ht="15.95" customHeight="1">
      <c r="A701" s="547"/>
      <c r="B701" s="548">
        <v>756</v>
      </c>
      <c r="C701" s="549">
        <v>7127</v>
      </c>
      <c r="D701" s="550" t="s">
        <v>12210</v>
      </c>
      <c r="E701" s="550" t="s">
        <v>4543</v>
      </c>
      <c r="F701" s="550" t="s">
        <v>4544</v>
      </c>
      <c r="G701" s="550" t="s">
        <v>1140</v>
      </c>
      <c r="H701" s="550" t="s">
        <v>4545</v>
      </c>
      <c r="I701" s="550" t="s">
        <v>4240</v>
      </c>
      <c r="J701" s="550" t="s">
        <v>12211</v>
      </c>
      <c r="K701" s="551">
        <v>45141</v>
      </c>
      <c r="L701" s="552">
        <v>28400</v>
      </c>
      <c r="M701" s="552">
        <v>28400</v>
      </c>
      <c r="N701" s="552">
        <v>28400</v>
      </c>
      <c r="O701" s="552">
        <v>20</v>
      </c>
      <c r="P701" s="552">
        <v>568000</v>
      </c>
      <c r="Q701" s="548">
        <v>0</v>
      </c>
      <c r="R701" s="552">
        <v>0</v>
      </c>
      <c r="S701" s="548">
        <v>0</v>
      </c>
      <c r="T701" s="552">
        <v>0</v>
      </c>
      <c r="U701" s="548">
        <v>20</v>
      </c>
      <c r="V701" s="552">
        <v>568000</v>
      </c>
      <c r="W701" s="552">
        <v>0</v>
      </c>
      <c r="X701" s="552">
        <v>0</v>
      </c>
      <c r="Y701" s="552">
        <v>0</v>
      </c>
      <c r="Z701" s="552">
        <v>0</v>
      </c>
      <c r="AA701" s="552">
        <v>0</v>
      </c>
      <c r="AB701" s="552">
        <v>0</v>
      </c>
      <c r="AC701" s="552">
        <v>0</v>
      </c>
      <c r="AD701" s="552">
        <v>0</v>
      </c>
      <c r="AE701" s="552">
        <v>0</v>
      </c>
      <c r="AF701" s="552">
        <v>0</v>
      </c>
      <c r="AG701" s="552">
        <v>0</v>
      </c>
      <c r="AH701" s="552">
        <v>0</v>
      </c>
      <c r="AI701" s="552">
        <v>0</v>
      </c>
      <c r="AJ701" s="552">
        <v>0</v>
      </c>
    </row>
    <row r="702" spans="1:36" ht="15.95" customHeight="1">
      <c r="A702" s="547"/>
      <c r="B702" s="548">
        <v>771</v>
      </c>
      <c r="C702" s="549">
        <v>7181</v>
      </c>
      <c r="D702" s="550" t="s">
        <v>12212</v>
      </c>
      <c r="E702" s="550" t="s">
        <v>4549</v>
      </c>
      <c r="F702" s="550" t="s">
        <v>4550</v>
      </c>
      <c r="G702" s="550" t="s">
        <v>564</v>
      </c>
      <c r="H702" s="550" t="s">
        <v>2532</v>
      </c>
      <c r="I702" s="550" t="s">
        <v>13</v>
      </c>
      <c r="J702" s="550" t="s">
        <v>12213</v>
      </c>
      <c r="K702" s="551">
        <v>44753</v>
      </c>
      <c r="L702" s="552">
        <v>980</v>
      </c>
      <c r="M702" s="552">
        <v>980</v>
      </c>
      <c r="N702" s="552">
        <v>980</v>
      </c>
      <c r="O702" s="552">
        <v>320</v>
      </c>
      <c r="P702" s="552">
        <v>313600</v>
      </c>
      <c r="Q702" s="548">
        <v>0</v>
      </c>
      <c r="R702" s="552">
        <v>0</v>
      </c>
      <c r="S702" s="548">
        <v>0</v>
      </c>
      <c r="T702" s="552">
        <v>0</v>
      </c>
      <c r="U702" s="548">
        <v>320</v>
      </c>
      <c r="V702" s="552">
        <v>313600</v>
      </c>
      <c r="W702" s="552">
        <v>0</v>
      </c>
      <c r="X702" s="552">
        <v>0</v>
      </c>
      <c r="Y702" s="552">
        <v>0</v>
      </c>
      <c r="Z702" s="552">
        <v>0</v>
      </c>
      <c r="AA702" s="552">
        <v>0</v>
      </c>
      <c r="AB702" s="552">
        <v>0</v>
      </c>
      <c r="AC702" s="552">
        <v>0</v>
      </c>
      <c r="AD702" s="552">
        <v>0</v>
      </c>
      <c r="AE702" s="552">
        <v>0</v>
      </c>
      <c r="AF702" s="552">
        <v>0</v>
      </c>
      <c r="AG702" s="552">
        <v>0</v>
      </c>
      <c r="AH702" s="552">
        <v>0</v>
      </c>
      <c r="AI702" s="552">
        <v>0</v>
      </c>
      <c r="AJ702" s="552">
        <v>0</v>
      </c>
    </row>
    <row r="703" spans="1:36" ht="15.95" customHeight="1">
      <c r="A703" s="547"/>
      <c r="B703" s="548">
        <v>772</v>
      </c>
      <c r="C703" s="549">
        <v>7181</v>
      </c>
      <c r="D703" s="550" t="s">
        <v>12212</v>
      </c>
      <c r="E703" s="550" t="s">
        <v>4549</v>
      </c>
      <c r="F703" s="550" t="s">
        <v>4550</v>
      </c>
      <c r="G703" s="550" t="s">
        <v>564</v>
      </c>
      <c r="H703" s="550" t="s">
        <v>2532</v>
      </c>
      <c r="I703" s="550" t="s">
        <v>13</v>
      </c>
      <c r="J703" s="550" t="s">
        <v>12214</v>
      </c>
      <c r="K703" s="551">
        <v>44753</v>
      </c>
      <c r="L703" s="552">
        <v>980</v>
      </c>
      <c r="M703" s="552">
        <v>980</v>
      </c>
      <c r="N703" s="552">
        <v>980</v>
      </c>
      <c r="O703" s="552"/>
      <c r="P703" s="552"/>
      <c r="Q703" s="548">
        <v>200</v>
      </c>
      <c r="R703" s="552">
        <v>196000</v>
      </c>
      <c r="S703" s="548">
        <v>200</v>
      </c>
      <c r="T703" s="552">
        <v>196000</v>
      </c>
      <c r="U703" s="548">
        <v>0</v>
      </c>
      <c r="V703" s="552">
        <v>0</v>
      </c>
      <c r="W703" s="552">
        <v>41</v>
      </c>
      <c r="X703" s="552">
        <v>40180</v>
      </c>
      <c r="Y703" s="552">
        <v>200</v>
      </c>
      <c r="Z703" s="552">
        <v>196000</v>
      </c>
      <c r="AA703" s="552">
        <v>0</v>
      </c>
      <c r="AB703" s="552">
        <v>0</v>
      </c>
      <c r="AC703" s="552">
        <v>200</v>
      </c>
      <c r="AD703" s="552">
        <v>196000</v>
      </c>
      <c r="AE703" s="552">
        <v>0</v>
      </c>
      <c r="AF703" s="552">
        <v>0</v>
      </c>
      <c r="AG703" s="552">
        <v>0</v>
      </c>
      <c r="AH703" s="552">
        <v>0</v>
      </c>
      <c r="AI703" s="552">
        <v>0</v>
      </c>
      <c r="AJ703" s="552">
        <v>0</v>
      </c>
    </row>
    <row r="704" spans="1:36" ht="15.95" customHeight="1">
      <c r="A704" s="547"/>
      <c r="B704" s="548">
        <v>773</v>
      </c>
      <c r="C704" s="549">
        <v>7181</v>
      </c>
      <c r="D704" s="550" t="s">
        <v>12212</v>
      </c>
      <c r="E704" s="550" t="s">
        <v>4549</v>
      </c>
      <c r="F704" s="550" t="s">
        <v>4550</v>
      </c>
      <c r="G704" s="550" t="s">
        <v>564</v>
      </c>
      <c r="H704" s="550" t="s">
        <v>2532</v>
      </c>
      <c r="I704" s="550" t="s">
        <v>13</v>
      </c>
      <c r="J704" s="550" t="s">
        <v>4551</v>
      </c>
      <c r="K704" s="551">
        <v>44480</v>
      </c>
      <c r="L704" s="552">
        <v>980</v>
      </c>
      <c r="M704" s="552">
        <v>980</v>
      </c>
      <c r="N704" s="552">
        <v>980</v>
      </c>
      <c r="O704" s="552">
        <v>180</v>
      </c>
      <c r="P704" s="552">
        <v>176400</v>
      </c>
      <c r="Q704" s="548">
        <v>0</v>
      </c>
      <c r="R704" s="552">
        <v>0</v>
      </c>
      <c r="S704" s="548">
        <v>180</v>
      </c>
      <c r="T704" s="552">
        <v>176400</v>
      </c>
      <c r="U704" s="548">
        <v>0</v>
      </c>
      <c r="V704" s="552">
        <v>0</v>
      </c>
      <c r="W704" s="552">
        <v>203</v>
      </c>
      <c r="X704" s="552">
        <v>198940</v>
      </c>
      <c r="Y704" s="552">
        <v>180</v>
      </c>
      <c r="Z704" s="552">
        <v>176400</v>
      </c>
      <c r="AA704" s="552">
        <v>180</v>
      </c>
      <c r="AB704" s="552">
        <v>176400</v>
      </c>
      <c r="AC704" s="552">
        <v>0</v>
      </c>
      <c r="AD704" s="552">
        <v>0</v>
      </c>
      <c r="AE704" s="552">
        <v>0</v>
      </c>
      <c r="AF704" s="552">
        <v>0</v>
      </c>
      <c r="AG704" s="552">
        <v>0</v>
      </c>
      <c r="AH704" s="552">
        <v>0</v>
      </c>
      <c r="AI704" s="552">
        <v>0</v>
      </c>
      <c r="AJ704" s="552">
        <v>0</v>
      </c>
    </row>
    <row r="705" spans="1:36" ht="15.95" customHeight="1">
      <c r="A705" s="547"/>
      <c r="B705" s="548">
        <v>845</v>
      </c>
      <c r="C705" s="549">
        <v>7169</v>
      </c>
      <c r="D705" s="550" t="s">
        <v>12215</v>
      </c>
      <c r="E705" s="550" t="s">
        <v>4554</v>
      </c>
      <c r="F705" s="550" t="s">
        <v>4555</v>
      </c>
      <c r="G705" s="550" t="s">
        <v>847</v>
      </c>
      <c r="H705" s="550" t="s">
        <v>225</v>
      </c>
      <c r="I705" s="550" t="s">
        <v>11</v>
      </c>
      <c r="J705" s="550" t="s">
        <v>4037</v>
      </c>
      <c r="K705" s="551">
        <v>44474</v>
      </c>
      <c r="L705" s="552">
        <v>2510</v>
      </c>
      <c r="M705" s="552">
        <v>2510</v>
      </c>
      <c r="N705" s="552">
        <v>2510</v>
      </c>
      <c r="O705" s="552">
        <v>60</v>
      </c>
      <c r="P705" s="552">
        <v>150600</v>
      </c>
      <c r="Q705" s="548">
        <v>0</v>
      </c>
      <c r="R705" s="552">
        <v>0</v>
      </c>
      <c r="S705" s="548">
        <v>60</v>
      </c>
      <c r="T705" s="552">
        <v>150600</v>
      </c>
      <c r="U705" s="548">
        <v>0</v>
      </c>
      <c r="V705" s="552">
        <v>0</v>
      </c>
      <c r="W705" s="552">
        <v>716</v>
      </c>
      <c r="X705" s="552">
        <v>1797160</v>
      </c>
      <c r="Y705" s="552">
        <v>60</v>
      </c>
      <c r="Z705" s="552">
        <v>150600</v>
      </c>
      <c r="AA705" s="552">
        <v>0</v>
      </c>
      <c r="AB705" s="552">
        <v>0</v>
      </c>
      <c r="AC705" s="552">
        <v>60</v>
      </c>
      <c r="AD705" s="552">
        <v>150600</v>
      </c>
      <c r="AE705" s="552">
        <v>0</v>
      </c>
      <c r="AF705" s="552">
        <v>0</v>
      </c>
      <c r="AG705" s="552">
        <v>0</v>
      </c>
      <c r="AH705" s="552">
        <v>0</v>
      </c>
      <c r="AI705" s="552">
        <v>0</v>
      </c>
      <c r="AJ705" s="552">
        <v>0</v>
      </c>
    </row>
    <row r="706" spans="1:36" ht="15.95" customHeight="1">
      <c r="A706" s="547"/>
      <c r="B706" s="548">
        <v>848</v>
      </c>
      <c r="C706" s="549">
        <v>7137</v>
      </c>
      <c r="D706" s="550" t="s">
        <v>12216</v>
      </c>
      <c r="E706" s="550" t="s">
        <v>5984</v>
      </c>
      <c r="F706" s="550" t="s">
        <v>5987</v>
      </c>
      <c r="G706" s="550" t="s">
        <v>5985</v>
      </c>
      <c r="H706" s="550" t="s">
        <v>5986</v>
      </c>
      <c r="I706" s="550" t="s">
        <v>11</v>
      </c>
      <c r="J706" s="550" t="s">
        <v>12217</v>
      </c>
      <c r="K706" s="551">
        <v>44561</v>
      </c>
      <c r="L706" s="552">
        <v>9500</v>
      </c>
      <c r="M706" s="552">
        <v>9500</v>
      </c>
      <c r="N706" s="552">
        <v>9500</v>
      </c>
      <c r="O706" s="552"/>
      <c r="P706" s="552"/>
      <c r="Q706" s="548">
        <v>600</v>
      </c>
      <c r="R706" s="552">
        <v>5700000</v>
      </c>
      <c r="S706" s="548">
        <v>421</v>
      </c>
      <c r="T706" s="552">
        <v>3999500</v>
      </c>
      <c r="U706" s="548">
        <v>179</v>
      </c>
      <c r="V706" s="552">
        <v>1700500</v>
      </c>
      <c r="W706" s="552">
        <v>0</v>
      </c>
      <c r="X706" s="552">
        <v>0</v>
      </c>
      <c r="Y706" s="552">
        <v>421</v>
      </c>
      <c r="Z706" s="552">
        <v>3999500</v>
      </c>
      <c r="AA706" s="552">
        <v>421</v>
      </c>
      <c r="AB706" s="552">
        <v>3999500</v>
      </c>
      <c r="AC706" s="552">
        <v>0</v>
      </c>
      <c r="AD706" s="552">
        <v>0</v>
      </c>
      <c r="AE706" s="552">
        <v>0</v>
      </c>
      <c r="AF706" s="552">
        <v>0</v>
      </c>
      <c r="AG706" s="552">
        <v>0</v>
      </c>
      <c r="AH706" s="552">
        <v>0</v>
      </c>
      <c r="AI706" s="552">
        <v>0</v>
      </c>
      <c r="AJ706" s="552">
        <v>0</v>
      </c>
    </row>
    <row r="707" spans="1:36" ht="15.95" customHeight="1">
      <c r="A707" s="547"/>
      <c r="B707" s="548">
        <v>865</v>
      </c>
      <c r="C707" s="549">
        <v>7093</v>
      </c>
      <c r="D707" s="550" t="s">
        <v>12218</v>
      </c>
      <c r="E707" s="550" t="s">
        <v>4557</v>
      </c>
      <c r="F707" s="550" t="s">
        <v>4558</v>
      </c>
      <c r="G707" s="550" t="s">
        <v>337</v>
      </c>
      <c r="H707" s="550" t="s">
        <v>272</v>
      </c>
      <c r="I707" s="550" t="s">
        <v>11</v>
      </c>
      <c r="J707" s="550" t="s">
        <v>4160</v>
      </c>
      <c r="K707" s="551">
        <v>44657</v>
      </c>
      <c r="L707" s="552">
        <v>1638</v>
      </c>
      <c r="M707" s="552">
        <v>1638</v>
      </c>
      <c r="N707" s="552">
        <v>1638</v>
      </c>
      <c r="O707" s="552">
        <v>1636</v>
      </c>
      <c r="P707" s="552">
        <v>2679768</v>
      </c>
      <c r="Q707" s="548">
        <v>0</v>
      </c>
      <c r="R707" s="552">
        <v>0</v>
      </c>
      <c r="S707" s="548">
        <v>1636</v>
      </c>
      <c r="T707" s="552">
        <v>2679768</v>
      </c>
      <c r="U707" s="548">
        <v>0</v>
      </c>
      <c r="V707" s="552">
        <v>0</v>
      </c>
      <c r="W707" s="552">
        <v>0</v>
      </c>
      <c r="X707" s="552">
        <v>0</v>
      </c>
      <c r="Y707" s="552">
        <v>1636</v>
      </c>
      <c r="Z707" s="552">
        <v>2679768</v>
      </c>
      <c r="AA707" s="552">
        <v>1636</v>
      </c>
      <c r="AB707" s="552">
        <v>2679768</v>
      </c>
      <c r="AC707" s="552">
        <v>0</v>
      </c>
      <c r="AD707" s="552">
        <v>0</v>
      </c>
      <c r="AE707" s="552">
        <v>0</v>
      </c>
      <c r="AF707" s="552">
        <v>0</v>
      </c>
      <c r="AG707" s="552">
        <v>0</v>
      </c>
      <c r="AH707" s="552">
        <v>0</v>
      </c>
      <c r="AI707" s="552">
        <v>0</v>
      </c>
      <c r="AJ707" s="552">
        <v>0</v>
      </c>
    </row>
    <row r="708" spans="1:36" ht="15.95" customHeight="1">
      <c r="A708" s="547"/>
      <c r="B708" s="548">
        <v>898</v>
      </c>
      <c r="C708" s="549">
        <v>7145</v>
      </c>
      <c r="D708" s="550" t="s">
        <v>12219</v>
      </c>
      <c r="E708" s="550" t="s">
        <v>7375</v>
      </c>
      <c r="F708" s="550" t="s">
        <v>1228</v>
      </c>
      <c r="G708" s="550" t="s">
        <v>1029</v>
      </c>
      <c r="H708" s="550" t="s">
        <v>1229</v>
      </c>
      <c r="I708" s="550" t="s">
        <v>13</v>
      </c>
      <c r="J708" s="550" t="s">
        <v>11656</v>
      </c>
      <c r="K708" s="551">
        <v>45201</v>
      </c>
      <c r="L708" s="552">
        <v>1155</v>
      </c>
      <c r="M708" s="552">
        <v>1155</v>
      </c>
      <c r="N708" s="552">
        <v>1155</v>
      </c>
      <c r="O708" s="552"/>
      <c r="P708" s="552"/>
      <c r="Q708" s="548">
        <v>720</v>
      </c>
      <c r="R708" s="552">
        <v>831600</v>
      </c>
      <c r="S708" s="548">
        <v>432</v>
      </c>
      <c r="T708" s="552">
        <v>498960</v>
      </c>
      <c r="U708" s="548">
        <v>288</v>
      </c>
      <c r="V708" s="552">
        <v>332640</v>
      </c>
      <c r="W708" s="552">
        <v>0</v>
      </c>
      <c r="X708" s="552">
        <v>0</v>
      </c>
      <c r="Y708" s="552">
        <v>432</v>
      </c>
      <c r="Z708" s="552">
        <v>498960</v>
      </c>
      <c r="AA708" s="552">
        <v>0</v>
      </c>
      <c r="AB708" s="552">
        <v>0</v>
      </c>
      <c r="AC708" s="552">
        <v>432</v>
      </c>
      <c r="AD708" s="552">
        <v>498960</v>
      </c>
      <c r="AE708" s="552">
        <v>0</v>
      </c>
      <c r="AF708" s="552">
        <v>0</v>
      </c>
      <c r="AG708" s="552">
        <v>0</v>
      </c>
      <c r="AH708" s="552">
        <v>0</v>
      </c>
      <c r="AI708" s="552">
        <v>0</v>
      </c>
      <c r="AJ708" s="552">
        <v>0</v>
      </c>
    </row>
    <row r="709" spans="1:36" ht="15.95" customHeight="1">
      <c r="A709" s="547"/>
      <c r="B709" s="548">
        <v>899</v>
      </c>
      <c r="C709" s="549">
        <v>7145</v>
      </c>
      <c r="D709" s="550" t="s">
        <v>12219</v>
      </c>
      <c r="E709" s="550" t="s">
        <v>7375</v>
      </c>
      <c r="F709" s="550" t="s">
        <v>1228</v>
      </c>
      <c r="G709" s="550" t="s">
        <v>1029</v>
      </c>
      <c r="H709" s="550" t="s">
        <v>1229</v>
      </c>
      <c r="I709" s="550" t="s">
        <v>13</v>
      </c>
      <c r="J709" s="550" t="s">
        <v>12220</v>
      </c>
      <c r="K709" s="551">
        <v>45134</v>
      </c>
      <c r="L709" s="552">
        <v>1155</v>
      </c>
      <c r="M709" s="552">
        <v>1155</v>
      </c>
      <c r="N709" s="552">
        <v>1155</v>
      </c>
      <c r="O709" s="552">
        <v>1224</v>
      </c>
      <c r="P709" s="552">
        <v>1413720</v>
      </c>
      <c r="Q709" s="548">
        <v>7</v>
      </c>
      <c r="R709" s="552">
        <v>8085</v>
      </c>
      <c r="S709" s="548">
        <v>1148</v>
      </c>
      <c r="T709" s="552">
        <v>1325940</v>
      </c>
      <c r="U709" s="548">
        <v>83</v>
      </c>
      <c r="V709" s="552">
        <v>95865</v>
      </c>
      <c r="W709" s="552">
        <v>318</v>
      </c>
      <c r="X709" s="552">
        <v>367290</v>
      </c>
      <c r="Y709" s="552">
        <v>1146</v>
      </c>
      <c r="Z709" s="552">
        <v>1323630</v>
      </c>
      <c r="AA709" s="552">
        <v>0</v>
      </c>
      <c r="AB709" s="552">
        <v>0</v>
      </c>
      <c r="AC709" s="552">
        <v>1146</v>
      </c>
      <c r="AD709" s="552">
        <v>1323630</v>
      </c>
      <c r="AE709" s="552">
        <v>0</v>
      </c>
      <c r="AF709" s="552">
        <v>0</v>
      </c>
      <c r="AG709" s="552">
        <v>2</v>
      </c>
      <c r="AH709" s="552">
        <v>2310</v>
      </c>
      <c r="AI709" s="552">
        <v>0</v>
      </c>
      <c r="AJ709" s="552">
        <v>0</v>
      </c>
    </row>
    <row r="710" spans="1:36" ht="15.95" customHeight="1">
      <c r="A710" s="547"/>
      <c r="B710" s="548">
        <v>905</v>
      </c>
      <c r="C710" s="549">
        <v>7122</v>
      </c>
      <c r="D710" s="550" t="s">
        <v>12221</v>
      </c>
      <c r="E710" s="550" t="s">
        <v>7440</v>
      </c>
      <c r="F710" s="550" t="s">
        <v>7441</v>
      </c>
      <c r="G710" s="550" t="s">
        <v>1756</v>
      </c>
      <c r="H710" s="550" t="s">
        <v>232</v>
      </c>
      <c r="I710" s="550" t="s">
        <v>11</v>
      </c>
      <c r="J710" s="550" t="s">
        <v>12222</v>
      </c>
      <c r="K710" s="551">
        <v>45300</v>
      </c>
      <c r="L710" s="552">
        <v>1890</v>
      </c>
      <c r="M710" s="552">
        <v>1890</v>
      </c>
      <c r="N710" s="552">
        <v>1890</v>
      </c>
      <c r="O710" s="552"/>
      <c r="P710" s="552"/>
      <c r="Q710" s="548">
        <v>200</v>
      </c>
      <c r="R710" s="552">
        <v>378000</v>
      </c>
      <c r="S710" s="548">
        <v>66</v>
      </c>
      <c r="T710" s="552">
        <v>124740</v>
      </c>
      <c r="U710" s="548">
        <v>134</v>
      </c>
      <c r="V710" s="552">
        <v>253260</v>
      </c>
      <c r="W710" s="552">
        <v>4</v>
      </c>
      <c r="X710" s="552">
        <v>7560</v>
      </c>
      <c r="Y710" s="552">
        <v>66</v>
      </c>
      <c r="Z710" s="552">
        <v>124740</v>
      </c>
      <c r="AA710" s="552">
        <v>6</v>
      </c>
      <c r="AB710" s="552">
        <v>11340</v>
      </c>
      <c r="AC710" s="552">
        <v>60</v>
      </c>
      <c r="AD710" s="552">
        <v>113400</v>
      </c>
      <c r="AE710" s="552">
        <v>0</v>
      </c>
      <c r="AF710" s="552">
        <v>0</v>
      </c>
      <c r="AG710" s="552">
        <v>0</v>
      </c>
      <c r="AH710" s="552">
        <v>0</v>
      </c>
      <c r="AI710" s="552">
        <v>0</v>
      </c>
      <c r="AJ710" s="552">
        <v>0</v>
      </c>
    </row>
    <row r="711" spans="1:36" ht="15.95" customHeight="1">
      <c r="A711" s="547"/>
      <c r="B711" s="548">
        <v>926</v>
      </c>
      <c r="C711" s="549">
        <v>7097</v>
      </c>
      <c r="D711" s="550" t="s">
        <v>12223</v>
      </c>
      <c r="E711" s="550" t="s">
        <v>4556</v>
      </c>
      <c r="F711" s="550" t="s">
        <v>6566</v>
      </c>
      <c r="G711" s="550" t="s">
        <v>802</v>
      </c>
      <c r="H711" s="550" t="s">
        <v>272</v>
      </c>
      <c r="I711" s="550" t="s">
        <v>11</v>
      </c>
      <c r="J711" s="550" t="s">
        <v>11571</v>
      </c>
      <c r="K711" s="551">
        <v>45304</v>
      </c>
      <c r="L711" s="552">
        <v>3100</v>
      </c>
      <c r="M711" s="552">
        <v>3100</v>
      </c>
      <c r="N711" s="552">
        <v>3100</v>
      </c>
      <c r="O711" s="552"/>
      <c r="P711" s="552"/>
      <c r="Q711" s="548">
        <v>10000</v>
      </c>
      <c r="R711" s="552">
        <v>31000000</v>
      </c>
      <c r="S711" s="548">
        <v>680</v>
      </c>
      <c r="T711" s="552">
        <v>2108000</v>
      </c>
      <c r="U711" s="548">
        <v>9320</v>
      </c>
      <c r="V711" s="552">
        <v>28892000</v>
      </c>
      <c r="W711" s="552">
        <v>0</v>
      </c>
      <c r="X711" s="552">
        <v>0</v>
      </c>
      <c r="Y711" s="552">
        <v>680</v>
      </c>
      <c r="Z711" s="552">
        <v>2108000</v>
      </c>
      <c r="AA711" s="552">
        <v>680</v>
      </c>
      <c r="AB711" s="552">
        <v>2108000</v>
      </c>
      <c r="AC711" s="552">
        <v>0</v>
      </c>
      <c r="AD711" s="552">
        <v>0</v>
      </c>
      <c r="AE711" s="552">
        <v>0</v>
      </c>
      <c r="AF711" s="552">
        <v>0</v>
      </c>
      <c r="AG711" s="552">
        <v>0</v>
      </c>
      <c r="AH711" s="552">
        <v>0</v>
      </c>
      <c r="AI711" s="552">
        <v>0</v>
      </c>
      <c r="AJ711" s="552">
        <v>0</v>
      </c>
    </row>
    <row r="712" spans="1:36" ht="15.95" customHeight="1">
      <c r="A712" s="547"/>
      <c r="B712" s="548">
        <v>959</v>
      </c>
      <c r="C712" s="549">
        <v>7146</v>
      </c>
      <c r="D712" s="550" t="s">
        <v>12224</v>
      </c>
      <c r="E712" s="550" t="s">
        <v>4560</v>
      </c>
      <c r="F712" s="550" t="s">
        <v>1385</v>
      </c>
      <c r="G712" s="550" t="s">
        <v>1029</v>
      </c>
      <c r="H712" s="550" t="s">
        <v>4561</v>
      </c>
      <c r="I712" s="550" t="s">
        <v>11</v>
      </c>
      <c r="J712" s="550" t="s">
        <v>12225</v>
      </c>
      <c r="K712" s="551">
        <v>45053</v>
      </c>
      <c r="L712" s="552">
        <v>1195</v>
      </c>
      <c r="M712" s="552">
        <v>1195</v>
      </c>
      <c r="N712" s="552">
        <v>1195</v>
      </c>
      <c r="O712" s="552"/>
      <c r="P712" s="552"/>
      <c r="Q712" s="548">
        <v>11000</v>
      </c>
      <c r="R712" s="552">
        <v>13145000</v>
      </c>
      <c r="S712" s="548">
        <v>11000</v>
      </c>
      <c r="T712" s="552">
        <v>13145000</v>
      </c>
      <c r="U712" s="548">
        <v>0</v>
      </c>
      <c r="V712" s="552">
        <v>0</v>
      </c>
      <c r="W712" s="552">
        <v>2829</v>
      </c>
      <c r="X712" s="552">
        <v>3380655</v>
      </c>
      <c r="Y712" s="552">
        <v>11000</v>
      </c>
      <c r="Z712" s="552">
        <v>13145000</v>
      </c>
      <c r="AA712" s="552">
        <v>0</v>
      </c>
      <c r="AB712" s="552">
        <v>0</v>
      </c>
      <c r="AC712" s="552">
        <v>11000</v>
      </c>
      <c r="AD712" s="552">
        <v>13145000</v>
      </c>
      <c r="AE712" s="552">
        <v>0</v>
      </c>
      <c r="AF712" s="552">
        <v>0</v>
      </c>
      <c r="AG712" s="552">
        <v>0</v>
      </c>
      <c r="AH712" s="552">
        <v>0</v>
      </c>
      <c r="AI712" s="552">
        <v>0</v>
      </c>
      <c r="AJ712" s="552">
        <v>0</v>
      </c>
    </row>
    <row r="713" spans="1:36" ht="15.95" customHeight="1">
      <c r="A713" s="547"/>
      <c r="B713" s="548">
        <v>960</v>
      </c>
      <c r="C713" s="549">
        <v>7146</v>
      </c>
      <c r="D713" s="550" t="s">
        <v>12224</v>
      </c>
      <c r="E713" s="550" t="s">
        <v>4560</v>
      </c>
      <c r="F713" s="550" t="s">
        <v>1385</v>
      </c>
      <c r="G713" s="550" t="s">
        <v>1029</v>
      </c>
      <c r="H713" s="550" t="s">
        <v>4561</v>
      </c>
      <c r="I713" s="550" t="s">
        <v>11</v>
      </c>
      <c r="J713" s="550" t="s">
        <v>12226</v>
      </c>
      <c r="K713" s="551">
        <v>45368</v>
      </c>
      <c r="L713" s="552">
        <v>1195</v>
      </c>
      <c r="M713" s="552">
        <v>1195</v>
      </c>
      <c r="N713" s="552">
        <v>1195</v>
      </c>
      <c r="O713" s="552"/>
      <c r="P713" s="552"/>
      <c r="Q713" s="548">
        <v>10000</v>
      </c>
      <c r="R713" s="552">
        <v>11950000</v>
      </c>
      <c r="S713" s="548">
        <v>7500</v>
      </c>
      <c r="T713" s="552">
        <v>8962500</v>
      </c>
      <c r="U713" s="548">
        <v>2500</v>
      </c>
      <c r="V713" s="552">
        <v>2987500</v>
      </c>
      <c r="W713" s="552">
        <v>903</v>
      </c>
      <c r="X713" s="552">
        <v>1079085</v>
      </c>
      <c r="Y713" s="552">
        <v>7500</v>
      </c>
      <c r="Z713" s="552">
        <v>8962500</v>
      </c>
      <c r="AA713" s="552">
        <v>0</v>
      </c>
      <c r="AB713" s="552">
        <v>0</v>
      </c>
      <c r="AC713" s="552">
        <v>7500</v>
      </c>
      <c r="AD713" s="552">
        <v>8962500</v>
      </c>
      <c r="AE713" s="552">
        <v>0</v>
      </c>
      <c r="AF713" s="552">
        <v>0</v>
      </c>
      <c r="AG713" s="552">
        <v>0</v>
      </c>
      <c r="AH713" s="552">
        <v>0</v>
      </c>
      <c r="AI713" s="552">
        <v>0</v>
      </c>
      <c r="AJ713" s="552">
        <v>0</v>
      </c>
    </row>
    <row r="714" spans="1:36" ht="15.95" customHeight="1">
      <c r="A714" s="547"/>
      <c r="B714" s="548">
        <v>961</v>
      </c>
      <c r="C714" s="549">
        <v>7146</v>
      </c>
      <c r="D714" s="550" t="s">
        <v>12224</v>
      </c>
      <c r="E714" s="550" t="s">
        <v>4560</v>
      </c>
      <c r="F714" s="550" t="s">
        <v>1385</v>
      </c>
      <c r="G714" s="550" t="s">
        <v>1029</v>
      </c>
      <c r="H714" s="550" t="s">
        <v>4561</v>
      </c>
      <c r="I714" s="550" t="s">
        <v>11</v>
      </c>
      <c r="J714" s="550" t="s">
        <v>4562</v>
      </c>
      <c r="K714" s="551">
        <v>44881</v>
      </c>
      <c r="L714" s="552">
        <v>1195</v>
      </c>
      <c r="M714" s="552">
        <v>1195</v>
      </c>
      <c r="N714" s="552">
        <v>1195</v>
      </c>
      <c r="O714" s="552">
        <v>652</v>
      </c>
      <c r="P714" s="552">
        <v>779140</v>
      </c>
      <c r="Q714" s="548">
        <v>0</v>
      </c>
      <c r="R714" s="552">
        <v>0</v>
      </c>
      <c r="S714" s="548">
        <v>652</v>
      </c>
      <c r="T714" s="552">
        <v>779140</v>
      </c>
      <c r="U714" s="548">
        <v>0</v>
      </c>
      <c r="V714" s="552">
        <v>0</v>
      </c>
      <c r="W714" s="552">
        <v>3152</v>
      </c>
      <c r="X714" s="552">
        <v>3766640</v>
      </c>
      <c r="Y714" s="552">
        <v>652</v>
      </c>
      <c r="Z714" s="552">
        <v>779140</v>
      </c>
      <c r="AA714" s="552">
        <v>652</v>
      </c>
      <c r="AB714" s="552">
        <v>779140</v>
      </c>
      <c r="AC714" s="552">
        <v>0</v>
      </c>
      <c r="AD714" s="552">
        <v>0</v>
      </c>
      <c r="AE714" s="552">
        <v>0</v>
      </c>
      <c r="AF714" s="552">
        <v>0</v>
      </c>
      <c r="AG714" s="552">
        <v>0</v>
      </c>
      <c r="AH714" s="552">
        <v>0</v>
      </c>
      <c r="AI714" s="552">
        <v>0</v>
      </c>
      <c r="AJ714" s="552">
        <v>0</v>
      </c>
    </row>
    <row r="715" spans="1:36" ht="15.95" customHeight="1">
      <c r="A715" s="547"/>
      <c r="B715" s="548">
        <v>962</v>
      </c>
      <c r="C715" s="549">
        <v>7146</v>
      </c>
      <c r="D715" s="550" t="s">
        <v>12224</v>
      </c>
      <c r="E715" s="550" t="s">
        <v>4560</v>
      </c>
      <c r="F715" s="550" t="s">
        <v>1385</v>
      </c>
      <c r="G715" s="550" t="s">
        <v>1029</v>
      </c>
      <c r="H715" s="550" t="s">
        <v>4561</v>
      </c>
      <c r="I715" s="550" t="s">
        <v>11</v>
      </c>
      <c r="J715" s="550" t="s">
        <v>12227</v>
      </c>
      <c r="K715" s="551">
        <v>44932</v>
      </c>
      <c r="L715" s="552">
        <v>1195</v>
      </c>
      <c r="M715" s="552">
        <v>1195</v>
      </c>
      <c r="N715" s="552">
        <v>1195</v>
      </c>
      <c r="O715" s="552">
        <v>8000</v>
      </c>
      <c r="P715" s="552">
        <v>9560000</v>
      </c>
      <c r="Q715" s="548">
        <v>0</v>
      </c>
      <c r="R715" s="552">
        <v>0</v>
      </c>
      <c r="S715" s="548">
        <v>6259</v>
      </c>
      <c r="T715" s="552">
        <v>7479505</v>
      </c>
      <c r="U715" s="548">
        <v>1741</v>
      </c>
      <c r="V715" s="552">
        <v>2080495</v>
      </c>
      <c r="W715" s="552">
        <v>1000</v>
      </c>
      <c r="X715" s="552">
        <v>1195000</v>
      </c>
      <c r="Y715" s="552">
        <v>6259</v>
      </c>
      <c r="Z715" s="552">
        <v>7479505</v>
      </c>
      <c r="AA715" s="552">
        <v>1259</v>
      </c>
      <c r="AB715" s="552">
        <v>1504505</v>
      </c>
      <c r="AC715" s="552">
        <v>5000</v>
      </c>
      <c r="AD715" s="552">
        <v>5975000</v>
      </c>
      <c r="AE715" s="552">
        <v>0</v>
      </c>
      <c r="AF715" s="552">
        <v>0</v>
      </c>
      <c r="AG715" s="552">
        <v>0</v>
      </c>
      <c r="AH715" s="552">
        <v>0</v>
      </c>
      <c r="AI715" s="552">
        <v>0</v>
      </c>
      <c r="AJ715" s="552">
        <v>0</v>
      </c>
    </row>
    <row r="716" spans="1:36" ht="15.95" customHeight="1">
      <c r="A716" s="547"/>
      <c r="B716" s="548">
        <v>963</v>
      </c>
      <c r="C716" s="549">
        <v>7147</v>
      </c>
      <c r="D716" s="550" t="s">
        <v>12228</v>
      </c>
      <c r="E716" s="550" t="s">
        <v>4563</v>
      </c>
      <c r="F716" s="550" t="s">
        <v>4564</v>
      </c>
      <c r="G716" s="550" t="s">
        <v>1029</v>
      </c>
      <c r="H716" s="550" t="s">
        <v>4565</v>
      </c>
      <c r="I716" s="550" t="s">
        <v>11</v>
      </c>
      <c r="J716" s="550" t="s">
        <v>4566</v>
      </c>
      <c r="K716" s="551">
        <v>45038</v>
      </c>
      <c r="L716" s="552">
        <v>2337</v>
      </c>
      <c r="M716" s="552">
        <v>2337</v>
      </c>
      <c r="N716" s="552">
        <v>2337</v>
      </c>
      <c r="O716" s="552">
        <v>1100</v>
      </c>
      <c r="P716" s="552">
        <v>2570700</v>
      </c>
      <c r="Q716" s="548">
        <v>0</v>
      </c>
      <c r="R716" s="552">
        <v>0</v>
      </c>
      <c r="S716" s="548">
        <v>1100</v>
      </c>
      <c r="T716" s="552">
        <v>2570700</v>
      </c>
      <c r="U716" s="548">
        <v>0</v>
      </c>
      <c r="V716" s="552">
        <v>0</v>
      </c>
      <c r="W716" s="552">
        <v>1248</v>
      </c>
      <c r="X716" s="552">
        <v>2916576</v>
      </c>
      <c r="Y716" s="552">
        <v>1100</v>
      </c>
      <c r="Z716" s="552">
        <v>2570700</v>
      </c>
      <c r="AA716" s="552">
        <v>0</v>
      </c>
      <c r="AB716" s="552">
        <v>0</v>
      </c>
      <c r="AC716" s="552">
        <v>1100</v>
      </c>
      <c r="AD716" s="552">
        <v>2570700</v>
      </c>
      <c r="AE716" s="552">
        <v>0</v>
      </c>
      <c r="AF716" s="552">
        <v>0</v>
      </c>
      <c r="AG716" s="552">
        <v>0</v>
      </c>
      <c r="AH716" s="552">
        <v>0</v>
      </c>
      <c r="AI716" s="552">
        <v>0</v>
      </c>
      <c r="AJ716" s="552">
        <v>0</v>
      </c>
    </row>
    <row r="717" spans="1:36" ht="15.95" customHeight="1">
      <c r="A717" s="547"/>
      <c r="B717" s="548">
        <v>964</v>
      </c>
      <c r="C717" s="549">
        <v>7147</v>
      </c>
      <c r="D717" s="550" t="s">
        <v>12228</v>
      </c>
      <c r="E717" s="550" t="s">
        <v>4563</v>
      </c>
      <c r="F717" s="550" t="s">
        <v>4564</v>
      </c>
      <c r="G717" s="550" t="s">
        <v>1029</v>
      </c>
      <c r="H717" s="550" t="s">
        <v>4565</v>
      </c>
      <c r="I717" s="550" t="s">
        <v>11</v>
      </c>
      <c r="J717" s="550" t="s">
        <v>12229</v>
      </c>
      <c r="K717" s="551">
        <v>45028</v>
      </c>
      <c r="L717" s="552">
        <v>2337</v>
      </c>
      <c r="M717" s="552">
        <v>2337</v>
      </c>
      <c r="N717" s="552">
        <v>2337</v>
      </c>
      <c r="O717" s="552">
        <v>2374</v>
      </c>
      <c r="P717" s="552">
        <v>5548038</v>
      </c>
      <c r="Q717" s="548">
        <v>0</v>
      </c>
      <c r="R717" s="552">
        <v>0</v>
      </c>
      <c r="S717" s="548">
        <v>2374</v>
      </c>
      <c r="T717" s="552">
        <v>5548038</v>
      </c>
      <c r="U717" s="548">
        <v>0</v>
      </c>
      <c r="V717" s="552">
        <v>0</v>
      </c>
      <c r="W717" s="552">
        <v>5298</v>
      </c>
      <c r="X717" s="552">
        <v>12381426</v>
      </c>
      <c r="Y717" s="552">
        <v>2374</v>
      </c>
      <c r="Z717" s="552">
        <v>5548038</v>
      </c>
      <c r="AA717" s="552">
        <v>974</v>
      </c>
      <c r="AB717" s="552">
        <v>2276238</v>
      </c>
      <c r="AC717" s="552">
        <v>1400</v>
      </c>
      <c r="AD717" s="552">
        <v>3271800</v>
      </c>
      <c r="AE717" s="552">
        <v>0</v>
      </c>
      <c r="AF717" s="552">
        <v>0</v>
      </c>
      <c r="AG717" s="552">
        <v>0</v>
      </c>
      <c r="AH717" s="552">
        <v>0</v>
      </c>
      <c r="AI717" s="552">
        <v>0</v>
      </c>
      <c r="AJ717" s="552">
        <v>0</v>
      </c>
    </row>
    <row r="718" spans="1:36" ht="15.95" customHeight="1">
      <c r="A718" s="547"/>
      <c r="B718" s="548">
        <v>965</v>
      </c>
      <c r="C718" s="549">
        <v>7147</v>
      </c>
      <c r="D718" s="550" t="s">
        <v>12228</v>
      </c>
      <c r="E718" s="550" t="s">
        <v>4563</v>
      </c>
      <c r="F718" s="550" t="s">
        <v>4564</v>
      </c>
      <c r="G718" s="550" t="s">
        <v>1029</v>
      </c>
      <c r="H718" s="550" t="s">
        <v>4565</v>
      </c>
      <c r="I718" s="550" t="s">
        <v>11</v>
      </c>
      <c r="J718" s="550" t="s">
        <v>4567</v>
      </c>
      <c r="K718" s="551">
        <v>44924</v>
      </c>
      <c r="L718" s="552">
        <v>2337</v>
      </c>
      <c r="M718" s="552">
        <v>2337</v>
      </c>
      <c r="N718" s="552">
        <v>2337</v>
      </c>
      <c r="O718" s="552">
        <v>167</v>
      </c>
      <c r="P718" s="552">
        <v>390279</v>
      </c>
      <c r="Q718" s="548">
        <v>0</v>
      </c>
      <c r="R718" s="552">
        <v>0</v>
      </c>
      <c r="S718" s="548">
        <v>4</v>
      </c>
      <c r="T718" s="552">
        <v>9348</v>
      </c>
      <c r="U718" s="548">
        <v>163</v>
      </c>
      <c r="V718" s="552">
        <v>380931</v>
      </c>
      <c r="W718" s="552">
        <v>858</v>
      </c>
      <c r="X718" s="552">
        <v>2005146</v>
      </c>
      <c r="Y718" s="552">
        <v>4</v>
      </c>
      <c r="Z718" s="552">
        <v>9348</v>
      </c>
      <c r="AA718" s="552">
        <v>0</v>
      </c>
      <c r="AB718" s="552">
        <v>0</v>
      </c>
      <c r="AC718" s="552">
        <v>4</v>
      </c>
      <c r="AD718" s="552">
        <v>9348</v>
      </c>
      <c r="AE718" s="552">
        <v>0</v>
      </c>
      <c r="AF718" s="552">
        <v>0</v>
      </c>
      <c r="AG718" s="552">
        <v>0</v>
      </c>
      <c r="AH718" s="552">
        <v>0</v>
      </c>
      <c r="AI718" s="552">
        <v>0</v>
      </c>
      <c r="AJ718" s="552">
        <v>0</v>
      </c>
    </row>
    <row r="719" spans="1:36" ht="15.95" customHeight="1">
      <c r="A719" s="547"/>
      <c r="B719" s="548">
        <v>966</v>
      </c>
      <c r="C719" s="549">
        <v>7147</v>
      </c>
      <c r="D719" s="550" t="s">
        <v>12228</v>
      </c>
      <c r="E719" s="550" t="s">
        <v>4563</v>
      </c>
      <c r="F719" s="550" t="s">
        <v>4564</v>
      </c>
      <c r="G719" s="550" t="s">
        <v>1029</v>
      </c>
      <c r="H719" s="550" t="s">
        <v>4565</v>
      </c>
      <c r="I719" s="550" t="s">
        <v>11</v>
      </c>
      <c r="J719" s="550" t="s">
        <v>12230</v>
      </c>
      <c r="K719" s="551">
        <v>45037</v>
      </c>
      <c r="L719" s="552">
        <v>2337</v>
      </c>
      <c r="M719" s="552">
        <v>2337</v>
      </c>
      <c r="N719" s="552">
        <v>2337</v>
      </c>
      <c r="O719" s="552"/>
      <c r="P719" s="552"/>
      <c r="Q719" s="548">
        <v>13000</v>
      </c>
      <c r="R719" s="552">
        <v>30381000</v>
      </c>
      <c r="S719" s="548">
        <v>11589</v>
      </c>
      <c r="T719" s="552">
        <v>27083493</v>
      </c>
      <c r="U719" s="548">
        <v>1411</v>
      </c>
      <c r="V719" s="552">
        <v>3297507</v>
      </c>
      <c r="W719" s="552">
        <v>10242</v>
      </c>
      <c r="X719" s="552">
        <v>23935554</v>
      </c>
      <c r="Y719" s="552">
        <v>11589</v>
      </c>
      <c r="Z719" s="552">
        <v>27083493</v>
      </c>
      <c r="AA719" s="552">
        <v>589</v>
      </c>
      <c r="AB719" s="552">
        <v>1376493</v>
      </c>
      <c r="AC719" s="552">
        <v>11000</v>
      </c>
      <c r="AD719" s="552">
        <v>25707000</v>
      </c>
      <c r="AE719" s="552">
        <v>0</v>
      </c>
      <c r="AF719" s="552">
        <v>0</v>
      </c>
      <c r="AG719" s="552">
        <v>0</v>
      </c>
      <c r="AH719" s="552">
        <v>0</v>
      </c>
      <c r="AI719" s="552">
        <v>0</v>
      </c>
      <c r="AJ719" s="552">
        <v>0</v>
      </c>
    </row>
    <row r="720" spans="1:36" ht="15.95" customHeight="1">
      <c r="A720" s="547"/>
      <c r="B720" s="548">
        <v>967</v>
      </c>
      <c r="C720" s="549">
        <v>7147</v>
      </c>
      <c r="D720" s="550" t="s">
        <v>12228</v>
      </c>
      <c r="E720" s="550" t="s">
        <v>4563</v>
      </c>
      <c r="F720" s="550" t="s">
        <v>4564</v>
      </c>
      <c r="G720" s="550" t="s">
        <v>1029</v>
      </c>
      <c r="H720" s="550" t="s">
        <v>4565</v>
      </c>
      <c r="I720" s="550" t="s">
        <v>11</v>
      </c>
      <c r="J720" s="550" t="s">
        <v>12231</v>
      </c>
      <c r="K720" s="551">
        <v>45037</v>
      </c>
      <c r="L720" s="552">
        <v>2337</v>
      </c>
      <c r="M720" s="552">
        <v>2337</v>
      </c>
      <c r="N720" s="552">
        <v>2337</v>
      </c>
      <c r="O720" s="552"/>
      <c r="P720" s="552"/>
      <c r="Q720" s="548">
        <v>5000</v>
      </c>
      <c r="R720" s="552">
        <v>11685000</v>
      </c>
      <c r="S720" s="548">
        <v>5000</v>
      </c>
      <c r="T720" s="552">
        <v>11685000</v>
      </c>
      <c r="U720" s="548">
        <v>0</v>
      </c>
      <c r="V720" s="552">
        <v>0</v>
      </c>
      <c r="W720" s="552">
        <v>1774</v>
      </c>
      <c r="X720" s="552">
        <v>4145838</v>
      </c>
      <c r="Y720" s="552">
        <v>5000</v>
      </c>
      <c r="Z720" s="552">
        <v>11685000</v>
      </c>
      <c r="AA720" s="552">
        <v>0</v>
      </c>
      <c r="AB720" s="552">
        <v>0</v>
      </c>
      <c r="AC720" s="552">
        <v>5000</v>
      </c>
      <c r="AD720" s="552">
        <v>11685000</v>
      </c>
      <c r="AE720" s="552">
        <v>0</v>
      </c>
      <c r="AF720" s="552">
        <v>0</v>
      </c>
      <c r="AG720" s="552">
        <v>0</v>
      </c>
      <c r="AH720" s="552">
        <v>0</v>
      </c>
      <c r="AI720" s="552">
        <v>0</v>
      </c>
      <c r="AJ720" s="552">
        <v>0</v>
      </c>
    </row>
    <row r="721" spans="1:36" ht="15.95" customHeight="1">
      <c r="A721" s="547"/>
      <c r="B721" s="548">
        <v>1005</v>
      </c>
      <c r="C721" s="549">
        <v>5645</v>
      </c>
      <c r="D721" s="550"/>
      <c r="E721" s="550" t="s">
        <v>4569</v>
      </c>
      <c r="F721" s="550" t="s">
        <v>1939</v>
      </c>
      <c r="G721" s="550" t="s">
        <v>1938</v>
      </c>
      <c r="H721" s="550" t="s">
        <v>4570</v>
      </c>
      <c r="I721" s="550" t="s">
        <v>3670</v>
      </c>
      <c r="J721" s="550" t="s">
        <v>4571</v>
      </c>
      <c r="K721" s="551">
        <v>44078</v>
      </c>
      <c r="L721" s="552">
        <v>4998</v>
      </c>
      <c r="M721" s="552">
        <v>4998</v>
      </c>
      <c r="N721" s="552">
        <v>4998</v>
      </c>
      <c r="O721" s="552">
        <v>9</v>
      </c>
      <c r="P721" s="552">
        <v>44982</v>
      </c>
      <c r="Q721" s="548">
        <v>0</v>
      </c>
      <c r="R721" s="552">
        <v>0</v>
      </c>
      <c r="S721" s="548">
        <v>9</v>
      </c>
      <c r="T721" s="552">
        <v>44982</v>
      </c>
      <c r="U721" s="548">
        <v>0</v>
      </c>
      <c r="V721" s="552">
        <v>0</v>
      </c>
      <c r="W721" s="552">
        <v>0</v>
      </c>
      <c r="X721" s="552">
        <v>0</v>
      </c>
      <c r="Y721" s="552">
        <v>0</v>
      </c>
      <c r="Z721" s="552">
        <v>0</v>
      </c>
      <c r="AA721" s="552">
        <v>0</v>
      </c>
      <c r="AB721" s="552">
        <v>0</v>
      </c>
      <c r="AC721" s="552">
        <v>0</v>
      </c>
      <c r="AD721" s="552">
        <v>0</v>
      </c>
      <c r="AE721" s="552">
        <v>0</v>
      </c>
      <c r="AF721" s="552">
        <v>0</v>
      </c>
      <c r="AG721" s="552">
        <v>9</v>
      </c>
      <c r="AH721" s="552">
        <v>44982</v>
      </c>
      <c r="AI721" s="552">
        <v>0</v>
      </c>
      <c r="AJ721" s="552">
        <v>0</v>
      </c>
    </row>
    <row r="722" spans="1:36" ht="15.95" customHeight="1">
      <c r="A722" s="547"/>
      <c r="B722" s="548">
        <v>1027</v>
      </c>
      <c r="C722" s="549">
        <v>7184</v>
      </c>
      <c r="D722" s="550" t="s">
        <v>12232</v>
      </c>
      <c r="E722" s="550" t="s">
        <v>7355</v>
      </c>
      <c r="F722" s="550" t="s">
        <v>7356</v>
      </c>
      <c r="G722" s="550" t="s">
        <v>7356</v>
      </c>
      <c r="H722" s="550" t="s">
        <v>225</v>
      </c>
      <c r="I722" s="550" t="s">
        <v>11</v>
      </c>
      <c r="J722" s="550" t="s">
        <v>12233</v>
      </c>
      <c r="K722" s="551">
        <v>45418</v>
      </c>
      <c r="L722" s="552">
        <v>316</v>
      </c>
      <c r="M722" s="552">
        <v>316</v>
      </c>
      <c r="N722" s="552">
        <v>316</v>
      </c>
      <c r="O722" s="552"/>
      <c r="P722" s="552"/>
      <c r="Q722" s="548">
        <v>600</v>
      </c>
      <c r="R722" s="552">
        <v>189600</v>
      </c>
      <c r="S722" s="548">
        <v>0</v>
      </c>
      <c r="T722" s="552">
        <v>0</v>
      </c>
      <c r="U722" s="548">
        <v>600</v>
      </c>
      <c r="V722" s="552">
        <v>189600</v>
      </c>
      <c r="W722" s="552">
        <v>0</v>
      </c>
      <c r="X722" s="552">
        <v>0</v>
      </c>
      <c r="Y722" s="552">
        <v>0</v>
      </c>
      <c r="Z722" s="552">
        <v>0</v>
      </c>
      <c r="AA722" s="552">
        <v>0</v>
      </c>
      <c r="AB722" s="552">
        <v>0</v>
      </c>
      <c r="AC722" s="552">
        <v>0</v>
      </c>
      <c r="AD722" s="552">
        <v>0</v>
      </c>
      <c r="AE722" s="552">
        <v>0</v>
      </c>
      <c r="AF722" s="552">
        <v>0</v>
      </c>
      <c r="AG722" s="552">
        <v>0</v>
      </c>
      <c r="AH722" s="552">
        <v>0</v>
      </c>
      <c r="AI722" s="552">
        <v>0</v>
      </c>
      <c r="AJ722" s="552">
        <v>0</v>
      </c>
    </row>
    <row r="723" spans="1:36" ht="15.95" customHeight="1">
      <c r="A723" s="547"/>
      <c r="B723" s="548">
        <v>1032</v>
      </c>
      <c r="C723" s="549">
        <v>7156</v>
      </c>
      <c r="D723" s="550" t="s">
        <v>12234</v>
      </c>
      <c r="E723" s="550" t="s">
        <v>4572</v>
      </c>
      <c r="F723" s="550" t="s">
        <v>4573</v>
      </c>
      <c r="G723" s="550" t="s">
        <v>4491</v>
      </c>
      <c r="H723" s="550" t="s">
        <v>4574</v>
      </c>
      <c r="I723" s="550" t="s">
        <v>658</v>
      </c>
      <c r="J723" s="550" t="s">
        <v>4575</v>
      </c>
      <c r="K723" s="551">
        <v>44960</v>
      </c>
      <c r="L723" s="552">
        <v>5985</v>
      </c>
      <c r="M723" s="552">
        <v>5985</v>
      </c>
      <c r="N723" s="552">
        <v>5985</v>
      </c>
      <c r="O723" s="552">
        <v>25</v>
      </c>
      <c r="P723" s="552">
        <v>149625</v>
      </c>
      <c r="Q723" s="548">
        <v>0</v>
      </c>
      <c r="R723" s="552">
        <v>0</v>
      </c>
      <c r="S723" s="548">
        <v>25</v>
      </c>
      <c r="T723" s="552">
        <v>149625</v>
      </c>
      <c r="U723" s="548">
        <v>0</v>
      </c>
      <c r="V723" s="552">
        <v>0</v>
      </c>
      <c r="W723" s="552">
        <v>20</v>
      </c>
      <c r="X723" s="552">
        <v>119700</v>
      </c>
      <c r="Y723" s="552">
        <v>25</v>
      </c>
      <c r="Z723" s="552">
        <v>149625</v>
      </c>
      <c r="AA723" s="552">
        <v>25</v>
      </c>
      <c r="AB723" s="552">
        <v>149625</v>
      </c>
      <c r="AC723" s="552">
        <v>0</v>
      </c>
      <c r="AD723" s="552">
        <v>0</v>
      </c>
      <c r="AE723" s="552">
        <v>0</v>
      </c>
      <c r="AF723" s="552">
        <v>0</v>
      </c>
      <c r="AG723" s="552">
        <v>0</v>
      </c>
      <c r="AH723" s="552">
        <v>0</v>
      </c>
      <c r="AI723" s="552">
        <v>0</v>
      </c>
      <c r="AJ723" s="552">
        <v>0</v>
      </c>
    </row>
    <row r="724" spans="1:36" ht="15.95" customHeight="1">
      <c r="A724" s="547"/>
      <c r="B724" s="548">
        <v>1033</v>
      </c>
      <c r="C724" s="549">
        <v>7156</v>
      </c>
      <c r="D724" s="550" t="s">
        <v>12234</v>
      </c>
      <c r="E724" s="550" t="s">
        <v>4572</v>
      </c>
      <c r="F724" s="550" t="s">
        <v>4573</v>
      </c>
      <c r="G724" s="550" t="s">
        <v>4491</v>
      </c>
      <c r="H724" s="550" t="s">
        <v>4574</v>
      </c>
      <c r="I724" s="550" t="s">
        <v>658</v>
      </c>
      <c r="J724" s="550" t="s">
        <v>12235</v>
      </c>
      <c r="K724" s="551">
        <v>45192</v>
      </c>
      <c r="L724" s="552">
        <v>5985</v>
      </c>
      <c r="M724" s="552">
        <v>5985</v>
      </c>
      <c r="N724" s="552">
        <v>5985</v>
      </c>
      <c r="O724" s="552">
        <v>120</v>
      </c>
      <c r="P724" s="552">
        <v>718200</v>
      </c>
      <c r="Q724" s="548">
        <v>0</v>
      </c>
      <c r="R724" s="552">
        <v>0</v>
      </c>
      <c r="S724" s="548">
        <v>99</v>
      </c>
      <c r="T724" s="552">
        <v>592515</v>
      </c>
      <c r="U724" s="548">
        <v>21</v>
      </c>
      <c r="V724" s="552">
        <v>125685</v>
      </c>
      <c r="W724" s="552">
        <v>80</v>
      </c>
      <c r="X724" s="552">
        <v>478800</v>
      </c>
      <c r="Y724" s="552">
        <v>99</v>
      </c>
      <c r="Z724" s="552">
        <v>592515</v>
      </c>
      <c r="AA724" s="552">
        <v>19</v>
      </c>
      <c r="AB724" s="552">
        <v>113715</v>
      </c>
      <c r="AC724" s="552">
        <v>80</v>
      </c>
      <c r="AD724" s="552">
        <v>478800</v>
      </c>
      <c r="AE724" s="552">
        <v>0</v>
      </c>
      <c r="AF724" s="552">
        <v>0</v>
      </c>
      <c r="AG724" s="552">
        <v>0</v>
      </c>
      <c r="AH724" s="552">
        <v>0</v>
      </c>
      <c r="AI724" s="552">
        <v>0</v>
      </c>
      <c r="AJ724" s="552">
        <v>0</v>
      </c>
    </row>
    <row r="725" spans="1:36" ht="15.95" customHeight="1">
      <c r="A725" s="547"/>
      <c r="B725" s="548">
        <v>1034</v>
      </c>
      <c r="C725" s="549">
        <v>7156</v>
      </c>
      <c r="D725" s="550" t="s">
        <v>12234</v>
      </c>
      <c r="E725" s="550" t="s">
        <v>4572</v>
      </c>
      <c r="F725" s="550" t="s">
        <v>4573</v>
      </c>
      <c r="G725" s="550" t="s">
        <v>4491</v>
      </c>
      <c r="H725" s="550" t="s">
        <v>4574</v>
      </c>
      <c r="I725" s="550" t="s">
        <v>658</v>
      </c>
      <c r="J725" s="550" t="s">
        <v>12236</v>
      </c>
      <c r="K725" s="551">
        <v>45319</v>
      </c>
      <c r="L725" s="552">
        <v>5985</v>
      </c>
      <c r="M725" s="552">
        <v>5985</v>
      </c>
      <c r="N725" s="552">
        <v>5985</v>
      </c>
      <c r="O725" s="552"/>
      <c r="P725" s="552"/>
      <c r="Q725" s="548">
        <v>140</v>
      </c>
      <c r="R725" s="552">
        <v>837900</v>
      </c>
      <c r="S725" s="548">
        <v>30</v>
      </c>
      <c r="T725" s="552">
        <v>179550</v>
      </c>
      <c r="U725" s="548">
        <v>110</v>
      </c>
      <c r="V725" s="552">
        <v>658350</v>
      </c>
      <c r="W725" s="552">
        <v>0</v>
      </c>
      <c r="X725" s="552">
        <v>0</v>
      </c>
      <c r="Y725" s="552">
        <v>30</v>
      </c>
      <c r="Z725" s="552">
        <v>179550</v>
      </c>
      <c r="AA725" s="552">
        <v>0</v>
      </c>
      <c r="AB725" s="552">
        <v>0</v>
      </c>
      <c r="AC725" s="552">
        <v>30</v>
      </c>
      <c r="AD725" s="552">
        <v>179550</v>
      </c>
      <c r="AE725" s="552">
        <v>0</v>
      </c>
      <c r="AF725" s="552">
        <v>0</v>
      </c>
      <c r="AG725" s="552">
        <v>0</v>
      </c>
      <c r="AH725" s="552">
        <v>0</v>
      </c>
      <c r="AI725" s="552">
        <v>0</v>
      </c>
      <c r="AJ725" s="552">
        <v>0</v>
      </c>
    </row>
    <row r="726" spans="1:36" ht="15.95" customHeight="1">
      <c r="A726" s="547"/>
      <c r="B726" s="548">
        <v>1035</v>
      </c>
      <c r="C726" s="549">
        <v>7154</v>
      </c>
      <c r="D726" s="550" t="s">
        <v>12237</v>
      </c>
      <c r="E726" s="550" t="s">
        <v>4576</v>
      </c>
      <c r="F726" s="550" t="s">
        <v>4577</v>
      </c>
      <c r="G726" s="550" t="s">
        <v>1510</v>
      </c>
      <c r="H726" s="550" t="s">
        <v>4499</v>
      </c>
      <c r="I726" s="550" t="s">
        <v>658</v>
      </c>
      <c r="J726" s="550" t="s">
        <v>3780</v>
      </c>
      <c r="K726" s="551">
        <v>44637</v>
      </c>
      <c r="L726" s="552">
        <v>2945</v>
      </c>
      <c r="M726" s="552">
        <v>2945</v>
      </c>
      <c r="N726" s="552">
        <v>2945</v>
      </c>
      <c r="O726" s="552">
        <v>195</v>
      </c>
      <c r="P726" s="552">
        <v>574275</v>
      </c>
      <c r="Q726" s="548">
        <v>0</v>
      </c>
      <c r="R726" s="552">
        <v>0</v>
      </c>
      <c r="S726" s="548">
        <v>35</v>
      </c>
      <c r="T726" s="552">
        <v>103075</v>
      </c>
      <c r="U726" s="548">
        <v>160</v>
      </c>
      <c r="V726" s="552">
        <v>471200</v>
      </c>
      <c r="W726" s="552">
        <v>15</v>
      </c>
      <c r="X726" s="552">
        <v>44175</v>
      </c>
      <c r="Y726" s="552">
        <v>35</v>
      </c>
      <c r="Z726" s="552">
        <v>103075</v>
      </c>
      <c r="AA726" s="552">
        <v>15</v>
      </c>
      <c r="AB726" s="552">
        <v>44175</v>
      </c>
      <c r="AC726" s="552">
        <v>20</v>
      </c>
      <c r="AD726" s="552">
        <v>58900</v>
      </c>
      <c r="AE726" s="552">
        <v>0</v>
      </c>
      <c r="AF726" s="552">
        <v>0</v>
      </c>
      <c r="AG726" s="552">
        <v>0</v>
      </c>
      <c r="AH726" s="552">
        <v>0</v>
      </c>
      <c r="AI726" s="552">
        <v>0</v>
      </c>
      <c r="AJ726" s="552">
        <v>0</v>
      </c>
    </row>
    <row r="727" spans="1:36" ht="15.95" customHeight="1">
      <c r="A727" s="547"/>
      <c r="B727" s="548">
        <v>1036</v>
      </c>
      <c r="C727" s="549">
        <v>7154</v>
      </c>
      <c r="D727" s="550" t="s">
        <v>12237</v>
      </c>
      <c r="E727" s="550" t="s">
        <v>4576</v>
      </c>
      <c r="F727" s="550" t="s">
        <v>4577</v>
      </c>
      <c r="G727" s="550" t="s">
        <v>1510</v>
      </c>
      <c r="H727" s="550" t="s">
        <v>4499</v>
      </c>
      <c r="I727" s="550" t="s">
        <v>658</v>
      </c>
      <c r="J727" s="550" t="s">
        <v>11672</v>
      </c>
      <c r="K727" s="551">
        <v>45061</v>
      </c>
      <c r="L727" s="552">
        <v>2945</v>
      </c>
      <c r="M727" s="552">
        <v>2945</v>
      </c>
      <c r="N727" s="552">
        <v>2945</v>
      </c>
      <c r="O727" s="552"/>
      <c r="P727" s="552"/>
      <c r="Q727" s="548">
        <v>20</v>
      </c>
      <c r="R727" s="552">
        <v>58900</v>
      </c>
      <c r="S727" s="548">
        <v>0</v>
      </c>
      <c r="T727" s="552">
        <v>0</v>
      </c>
      <c r="U727" s="548">
        <v>20</v>
      </c>
      <c r="V727" s="552">
        <v>58900</v>
      </c>
      <c r="W727" s="552">
        <v>0</v>
      </c>
      <c r="X727" s="552">
        <v>0</v>
      </c>
      <c r="Y727" s="552">
        <v>0</v>
      </c>
      <c r="Z727" s="552">
        <v>0</v>
      </c>
      <c r="AA727" s="552">
        <v>0</v>
      </c>
      <c r="AB727" s="552">
        <v>0</v>
      </c>
      <c r="AC727" s="552">
        <v>0</v>
      </c>
      <c r="AD727" s="552">
        <v>0</v>
      </c>
      <c r="AE727" s="552">
        <v>0</v>
      </c>
      <c r="AF727" s="552">
        <v>0</v>
      </c>
      <c r="AG727" s="552">
        <v>0</v>
      </c>
      <c r="AH727" s="552">
        <v>0</v>
      </c>
      <c r="AI727" s="552">
        <v>0</v>
      </c>
      <c r="AJ727" s="552">
        <v>0</v>
      </c>
    </row>
    <row r="728" spans="1:36" ht="15.95" customHeight="1">
      <c r="A728" s="547"/>
      <c r="B728" s="548">
        <v>1108</v>
      </c>
      <c r="C728" s="549">
        <v>5482</v>
      </c>
      <c r="D728" s="550"/>
      <c r="E728" s="550" t="s">
        <v>4579</v>
      </c>
      <c r="F728" s="550" t="s">
        <v>4580</v>
      </c>
      <c r="G728" s="550" t="s">
        <v>813</v>
      </c>
      <c r="H728" s="550" t="s">
        <v>299</v>
      </c>
      <c r="I728" s="550" t="s">
        <v>11</v>
      </c>
      <c r="J728" s="550" t="s">
        <v>4581</v>
      </c>
      <c r="K728" s="551">
        <v>44228</v>
      </c>
      <c r="L728" s="552">
        <v>1835</v>
      </c>
      <c r="M728" s="552">
        <v>1835</v>
      </c>
      <c r="N728" s="552">
        <v>1835</v>
      </c>
      <c r="O728" s="552">
        <v>3</v>
      </c>
      <c r="P728" s="552">
        <v>5505</v>
      </c>
      <c r="Q728" s="548">
        <v>0</v>
      </c>
      <c r="R728" s="552">
        <v>0</v>
      </c>
      <c r="S728" s="548">
        <v>3</v>
      </c>
      <c r="T728" s="552">
        <v>5505</v>
      </c>
      <c r="U728" s="548">
        <v>0</v>
      </c>
      <c r="V728" s="552">
        <v>0</v>
      </c>
      <c r="W728" s="552">
        <v>0</v>
      </c>
      <c r="X728" s="552">
        <v>0</v>
      </c>
      <c r="Y728" s="552">
        <v>0</v>
      </c>
      <c r="Z728" s="552">
        <v>0</v>
      </c>
      <c r="AA728" s="552">
        <v>0</v>
      </c>
      <c r="AB728" s="552">
        <v>0</v>
      </c>
      <c r="AC728" s="552">
        <v>0</v>
      </c>
      <c r="AD728" s="552">
        <v>0</v>
      </c>
      <c r="AE728" s="552">
        <v>0</v>
      </c>
      <c r="AF728" s="552">
        <v>0</v>
      </c>
      <c r="AG728" s="552">
        <v>3</v>
      </c>
      <c r="AH728" s="552">
        <v>5505</v>
      </c>
      <c r="AI728" s="552">
        <v>0</v>
      </c>
      <c r="AJ728" s="552">
        <v>0</v>
      </c>
    </row>
    <row r="729" spans="1:36" ht="15.95" customHeight="1">
      <c r="A729" s="547"/>
      <c r="B729" s="548">
        <v>1144</v>
      </c>
      <c r="C729" s="549">
        <v>5907</v>
      </c>
      <c r="D729" s="550"/>
      <c r="E729" s="550" t="s">
        <v>4584</v>
      </c>
      <c r="F729" s="550" t="s">
        <v>1947</v>
      </c>
      <c r="G729" s="550" t="s">
        <v>337</v>
      </c>
      <c r="H729" s="550" t="s">
        <v>1200</v>
      </c>
      <c r="I729" s="550" t="s">
        <v>13</v>
      </c>
      <c r="J729" s="550" t="s">
        <v>4585</v>
      </c>
      <c r="K729" s="551">
        <v>44473</v>
      </c>
      <c r="L729" s="552">
        <v>2499</v>
      </c>
      <c r="M729" s="552">
        <v>2499</v>
      </c>
      <c r="N729" s="552">
        <v>2499</v>
      </c>
      <c r="O729" s="552">
        <v>14</v>
      </c>
      <c r="P729" s="552">
        <v>34986</v>
      </c>
      <c r="Q729" s="548">
        <v>0</v>
      </c>
      <c r="R729" s="552">
        <v>0</v>
      </c>
      <c r="S729" s="548">
        <v>14</v>
      </c>
      <c r="T729" s="552">
        <v>34986</v>
      </c>
      <c r="U729" s="548">
        <v>0</v>
      </c>
      <c r="V729" s="552">
        <v>0</v>
      </c>
      <c r="W729" s="552">
        <v>0</v>
      </c>
      <c r="X729" s="552">
        <v>0</v>
      </c>
      <c r="Y729" s="552">
        <v>14</v>
      </c>
      <c r="Z729" s="552">
        <v>34986</v>
      </c>
      <c r="AA729" s="552">
        <v>0</v>
      </c>
      <c r="AB729" s="552">
        <v>0</v>
      </c>
      <c r="AC729" s="552">
        <v>14</v>
      </c>
      <c r="AD729" s="552">
        <v>34986</v>
      </c>
      <c r="AE729" s="552">
        <v>0</v>
      </c>
      <c r="AF729" s="552">
        <v>0</v>
      </c>
      <c r="AG729" s="552">
        <v>0</v>
      </c>
      <c r="AH729" s="552">
        <v>0</v>
      </c>
      <c r="AI729" s="552">
        <v>0</v>
      </c>
      <c r="AJ729" s="552">
        <v>0</v>
      </c>
    </row>
    <row r="730" spans="1:36" ht="15.95" customHeight="1">
      <c r="A730" s="547"/>
      <c r="B730" s="548">
        <v>1145</v>
      </c>
      <c r="C730" s="549">
        <v>7166</v>
      </c>
      <c r="D730" s="550" t="s">
        <v>12238</v>
      </c>
      <c r="E730" s="550" t="s">
        <v>4582</v>
      </c>
      <c r="F730" s="550" t="s">
        <v>1947</v>
      </c>
      <c r="G730" s="550" t="s">
        <v>337</v>
      </c>
      <c r="H730" s="550" t="s">
        <v>1200</v>
      </c>
      <c r="I730" s="550" t="s">
        <v>13</v>
      </c>
      <c r="J730" s="550" t="s">
        <v>4583</v>
      </c>
      <c r="K730" s="551">
        <v>44923</v>
      </c>
      <c r="L730" s="552">
        <v>2499</v>
      </c>
      <c r="M730" s="552">
        <v>2499</v>
      </c>
      <c r="N730" s="552">
        <v>2499</v>
      </c>
      <c r="O730" s="552">
        <v>2080</v>
      </c>
      <c r="P730" s="552">
        <v>5197920</v>
      </c>
      <c r="Q730" s="548">
        <v>229</v>
      </c>
      <c r="R730" s="552">
        <v>572271</v>
      </c>
      <c r="S730" s="548">
        <v>1031</v>
      </c>
      <c r="T730" s="552">
        <v>2576469</v>
      </c>
      <c r="U730" s="548">
        <v>1278</v>
      </c>
      <c r="V730" s="552">
        <v>3193722</v>
      </c>
      <c r="W730" s="552">
        <v>11</v>
      </c>
      <c r="X730" s="552">
        <v>27489</v>
      </c>
      <c r="Y730" s="552">
        <v>947</v>
      </c>
      <c r="Z730" s="552">
        <v>2366553</v>
      </c>
      <c r="AA730" s="552">
        <v>692</v>
      </c>
      <c r="AB730" s="552">
        <v>1729308</v>
      </c>
      <c r="AC730" s="552">
        <v>255</v>
      </c>
      <c r="AD730" s="552">
        <v>637245</v>
      </c>
      <c r="AE730" s="552">
        <v>0</v>
      </c>
      <c r="AF730" s="552">
        <v>0</v>
      </c>
      <c r="AG730" s="552">
        <v>84</v>
      </c>
      <c r="AH730" s="552">
        <v>209916</v>
      </c>
      <c r="AI730" s="552">
        <v>0</v>
      </c>
      <c r="AJ730" s="552">
        <v>0</v>
      </c>
    </row>
    <row r="731" spans="1:36" ht="15.95" customHeight="1">
      <c r="A731" s="547"/>
      <c r="B731" s="548">
        <v>1146</v>
      </c>
      <c r="C731" s="549">
        <v>7166</v>
      </c>
      <c r="D731" s="550" t="s">
        <v>12238</v>
      </c>
      <c r="E731" s="550" t="s">
        <v>4582</v>
      </c>
      <c r="F731" s="550" t="s">
        <v>1947</v>
      </c>
      <c r="G731" s="550" t="s">
        <v>337</v>
      </c>
      <c r="H731" s="550" t="s">
        <v>1200</v>
      </c>
      <c r="I731" s="550" t="s">
        <v>13</v>
      </c>
      <c r="J731" s="550" t="s">
        <v>12239</v>
      </c>
      <c r="K731" s="551">
        <v>44923</v>
      </c>
      <c r="L731" s="552">
        <v>2499</v>
      </c>
      <c r="M731" s="552">
        <v>2499</v>
      </c>
      <c r="N731" s="552">
        <v>2499</v>
      </c>
      <c r="O731" s="552">
        <v>1500</v>
      </c>
      <c r="P731" s="552">
        <v>3748500</v>
      </c>
      <c r="Q731" s="548">
        <v>0</v>
      </c>
      <c r="R731" s="552">
        <v>0</v>
      </c>
      <c r="S731" s="548">
        <v>0</v>
      </c>
      <c r="T731" s="552">
        <v>0</v>
      </c>
      <c r="U731" s="548">
        <v>1500</v>
      </c>
      <c r="V731" s="552">
        <v>3748500</v>
      </c>
      <c r="W731" s="552">
        <v>0</v>
      </c>
      <c r="X731" s="552">
        <v>0</v>
      </c>
      <c r="Y731" s="552">
        <v>0</v>
      </c>
      <c r="Z731" s="552">
        <v>0</v>
      </c>
      <c r="AA731" s="552">
        <v>0</v>
      </c>
      <c r="AB731" s="552">
        <v>0</v>
      </c>
      <c r="AC731" s="552">
        <v>0</v>
      </c>
      <c r="AD731" s="552">
        <v>0</v>
      </c>
      <c r="AE731" s="552">
        <v>0</v>
      </c>
      <c r="AF731" s="552">
        <v>0</v>
      </c>
      <c r="AG731" s="552">
        <v>0</v>
      </c>
      <c r="AH731" s="552">
        <v>0</v>
      </c>
      <c r="AI731" s="552">
        <v>0</v>
      </c>
      <c r="AJ731" s="552">
        <v>0</v>
      </c>
    </row>
    <row r="732" spans="1:36" ht="0.75" customHeight="1">
      <c r="A732" s="547"/>
      <c r="B732" s="718"/>
      <c r="C732" s="718"/>
      <c r="D732" s="718"/>
      <c r="E732" s="718"/>
      <c r="F732" s="718"/>
      <c r="G732" s="718"/>
      <c r="H732" s="718"/>
      <c r="I732" s="718"/>
      <c r="J732" s="718"/>
      <c r="K732" s="718"/>
      <c r="L732" s="718"/>
      <c r="M732" s="718"/>
      <c r="N732" s="718"/>
      <c r="O732" s="718"/>
      <c r="P732" s="718"/>
      <c r="Q732" s="553"/>
      <c r="R732" s="719"/>
      <c r="S732" s="719"/>
      <c r="T732" s="719"/>
      <c r="U732" s="719"/>
      <c r="V732" s="719"/>
      <c r="W732" s="719"/>
      <c r="X732" s="719"/>
      <c r="Y732" s="719"/>
      <c r="Z732" s="719"/>
      <c r="AA732" s="719"/>
      <c r="AB732" s="719"/>
      <c r="AC732" s="719"/>
      <c r="AD732" s="719"/>
      <c r="AE732" s="719"/>
      <c r="AF732" s="719"/>
      <c r="AG732" s="719"/>
      <c r="AH732" s="719"/>
      <c r="AI732" s="719"/>
      <c r="AJ732" s="719"/>
    </row>
    <row r="733" spans="1:36" ht="12.95" customHeight="1">
      <c r="A733" s="547"/>
      <c r="B733" s="720"/>
      <c r="C733" s="720"/>
      <c r="D733" s="720"/>
      <c r="E733" s="720"/>
      <c r="F733" s="720"/>
      <c r="G733" s="720"/>
      <c r="H733" s="720"/>
      <c r="I733" s="720"/>
      <c r="J733" s="720"/>
      <c r="K733" s="720"/>
      <c r="L733" s="720"/>
      <c r="M733" s="720"/>
      <c r="N733" s="720"/>
      <c r="O733" s="720"/>
      <c r="P733" s="720"/>
      <c r="Q733" s="554"/>
      <c r="R733" s="721"/>
      <c r="S733" s="721"/>
      <c r="T733" s="721"/>
      <c r="U733" s="721"/>
      <c r="V733" s="721"/>
      <c r="W733" s="721"/>
      <c r="X733" s="721"/>
      <c r="Y733" s="721"/>
      <c r="Z733" s="721"/>
      <c r="AA733" s="721"/>
      <c r="AB733" s="721"/>
      <c r="AC733" s="721"/>
      <c r="AD733" s="721"/>
      <c r="AE733" s="721"/>
      <c r="AF733" s="721"/>
      <c r="AG733" s="721"/>
      <c r="AH733" s="721"/>
      <c r="AI733" s="721"/>
      <c r="AJ733" s="721"/>
    </row>
    <row r="734" spans="1:36" ht="0.75" customHeight="1">
      <c r="A734" s="547"/>
      <c r="B734" s="714"/>
      <c r="C734" s="714"/>
      <c r="D734" s="714"/>
      <c r="E734" s="714"/>
      <c r="F734" s="714"/>
      <c r="G734" s="714"/>
      <c r="H734" s="714"/>
      <c r="I734" s="714"/>
      <c r="J734" s="714"/>
      <c r="K734" s="714"/>
      <c r="L734" s="714"/>
      <c r="M734" s="714"/>
      <c r="N734" s="714"/>
      <c r="O734" s="714"/>
      <c r="P734" s="714"/>
      <c r="Q734" s="555"/>
      <c r="R734" s="715"/>
      <c r="S734" s="715"/>
      <c r="T734" s="715"/>
      <c r="U734" s="715"/>
      <c r="V734" s="715"/>
      <c r="W734" s="715"/>
      <c r="X734" s="715"/>
      <c r="Y734" s="715"/>
      <c r="Z734" s="715"/>
      <c r="AA734" s="715"/>
      <c r="AB734" s="715"/>
      <c r="AC734" s="715"/>
      <c r="AD734" s="715"/>
      <c r="AE734" s="715"/>
      <c r="AF734" s="715"/>
      <c r="AG734" s="715"/>
      <c r="AH734" s="715"/>
      <c r="AI734" s="715"/>
      <c r="AJ734" s="715"/>
    </row>
    <row r="735" spans="1:36" ht="13.7" customHeight="1">
      <c r="A735" s="717" t="s">
        <v>12240</v>
      </c>
      <c r="B735" s="717"/>
      <c r="C735" s="717"/>
      <c r="D735" s="717"/>
      <c r="E735" s="717"/>
      <c r="F735" s="717"/>
      <c r="G735" s="717"/>
      <c r="H735" s="717"/>
      <c r="I735" s="717"/>
      <c r="J735" s="717"/>
      <c r="K735" s="717"/>
      <c r="L735" s="717"/>
      <c r="M735" s="717"/>
      <c r="N735" s="717"/>
      <c r="O735" s="717"/>
      <c r="P735" s="717"/>
      <c r="Q735" s="717"/>
      <c r="R735" s="717"/>
      <c r="S735" s="717"/>
      <c r="T735" s="717"/>
      <c r="U735" s="717"/>
      <c r="V735" s="717"/>
      <c r="W735" s="717"/>
      <c r="X735" s="717"/>
      <c r="Y735" s="717"/>
      <c r="Z735" s="717"/>
      <c r="AA735" s="717"/>
      <c r="AB735" s="717"/>
      <c r="AC735" s="717"/>
      <c r="AD735" s="717"/>
      <c r="AE735" s="717"/>
      <c r="AF735" s="717"/>
      <c r="AG735" s="717"/>
      <c r="AH735" s="717"/>
      <c r="AI735" s="717"/>
      <c r="AJ735" s="717"/>
    </row>
    <row r="736" spans="1:36" ht="15.95" customHeight="1">
      <c r="A736" s="547"/>
      <c r="B736" s="548">
        <v>221</v>
      </c>
      <c r="C736" s="549">
        <v>5067</v>
      </c>
      <c r="D736" s="550" t="s">
        <v>12241</v>
      </c>
      <c r="E736" s="550" t="s">
        <v>12241</v>
      </c>
      <c r="F736" s="550" t="s">
        <v>12242</v>
      </c>
      <c r="G736" s="550" t="s">
        <v>12243</v>
      </c>
      <c r="H736" s="550" t="s">
        <v>12243</v>
      </c>
      <c r="I736" s="550" t="s">
        <v>12244</v>
      </c>
      <c r="J736" s="550" t="s">
        <v>12245</v>
      </c>
      <c r="K736" s="551">
        <v>43531</v>
      </c>
      <c r="L736" s="552">
        <v>17000</v>
      </c>
      <c r="M736" s="552">
        <v>17000</v>
      </c>
      <c r="N736" s="552">
        <v>17000</v>
      </c>
      <c r="O736" s="552">
        <v>4</v>
      </c>
      <c r="P736" s="552">
        <v>68000</v>
      </c>
      <c r="Q736" s="548">
        <v>0</v>
      </c>
      <c r="R736" s="552">
        <v>0</v>
      </c>
      <c r="S736" s="548">
        <v>0</v>
      </c>
      <c r="T736" s="552">
        <v>0</v>
      </c>
      <c r="U736" s="548">
        <v>4</v>
      </c>
      <c r="V736" s="552">
        <v>68000</v>
      </c>
      <c r="W736" s="552">
        <v>0</v>
      </c>
      <c r="X736" s="552">
        <v>0</v>
      </c>
      <c r="Y736" s="552">
        <v>0</v>
      </c>
      <c r="Z736" s="552">
        <v>0</v>
      </c>
      <c r="AA736" s="552">
        <v>0</v>
      </c>
      <c r="AB736" s="552">
        <v>0</v>
      </c>
      <c r="AC736" s="552">
        <v>0</v>
      </c>
      <c r="AD736" s="552">
        <v>0</v>
      </c>
      <c r="AE736" s="552">
        <v>0</v>
      </c>
      <c r="AF736" s="552">
        <v>0</v>
      </c>
      <c r="AG736" s="552">
        <v>0</v>
      </c>
      <c r="AH736" s="552">
        <v>0</v>
      </c>
      <c r="AI736" s="552">
        <v>0</v>
      </c>
      <c r="AJ736" s="552">
        <v>0</v>
      </c>
    </row>
    <row r="737" spans="1:36" ht="15.95" customHeight="1">
      <c r="A737" s="547"/>
      <c r="B737" s="548">
        <v>222</v>
      </c>
      <c r="C737" s="549">
        <v>5067</v>
      </c>
      <c r="D737" s="550" t="s">
        <v>12241</v>
      </c>
      <c r="E737" s="550" t="s">
        <v>12241</v>
      </c>
      <c r="F737" s="550" t="s">
        <v>12242</v>
      </c>
      <c r="G737" s="550" t="s">
        <v>12243</v>
      </c>
      <c r="H737" s="550" t="s">
        <v>12243</v>
      </c>
      <c r="I737" s="550" t="s">
        <v>12244</v>
      </c>
      <c r="J737" s="550" t="s">
        <v>12246</v>
      </c>
      <c r="K737" s="551">
        <v>43831</v>
      </c>
      <c r="L737" s="552">
        <v>17000</v>
      </c>
      <c r="M737" s="552">
        <v>17000</v>
      </c>
      <c r="N737" s="552">
        <v>17000</v>
      </c>
      <c r="O737" s="552">
        <v>1</v>
      </c>
      <c r="P737" s="552">
        <v>17000</v>
      </c>
      <c r="Q737" s="548">
        <v>0</v>
      </c>
      <c r="R737" s="552">
        <v>0</v>
      </c>
      <c r="S737" s="548">
        <v>0</v>
      </c>
      <c r="T737" s="552">
        <v>0</v>
      </c>
      <c r="U737" s="548">
        <v>1</v>
      </c>
      <c r="V737" s="552">
        <v>17000</v>
      </c>
      <c r="W737" s="552">
        <v>0</v>
      </c>
      <c r="X737" s="552">
        <v>0</v>
      </c>
      <c r="Y737" s="552">
        <v>0</v>
      </c>
      <c r="Z737" s="552">
        <v>0</v>
      </c>
      <c r="AA737" s="552">
        <v>0</v>
      </c>
      <c r="AB737" s="552">
        <v>0</v>
      </c>
      <c r="AC737" s="552">
        <v>0</v>
      </c>
      <c r="AD737" s="552">
        <v>0</v>
      </c>
      <c r="AE737" s="552">
        <v>0</v>
      </c>
      <c r="AF737" s="552">
        <v>0</v>
      </c>
      <c r="AG737" s="552">
        <v>0</v>
      </c>
      <c r="AH737" s="552">
        <v>0</v>
      </c>
      <c r="AI737" s="552">
        <v>0</v>
      </c>
      <c r="AJ737" s="552">
        <v>0</v>
      </c>
    </row>
    <row r="738" spans="1:36" ht="15.95" customHeight="1">
      <c r="A738" s="547"/>
      <c r="B738" s="548">
        <v>223</v>
      </c>
      <c r="C738" s="549">
        <v>5067</v>
      </c>
      <c r="D738" s="550" t="s">
        <v>12241</v>
      </c>
      <c r="E738" s="550" t="s">
        <v>12241</v>
      </c>
      <c r="F738" s="550" t="s">
        <v>12242</v>
      </c>
      <c r="G738" s="550" t="s">
        <v>12243</v>
      </c>
      <c r="H738" s="550" t="s">
        <v>12243</v>
      </c>
      <c r="I738" s="550" t="s">
        <v>12244</v>
      </c>
      <c r="J738" s="550" t="s">
        <v>12247</v>
      </c>
      <c r="K738" s="551">
        <v>43887</v>
      </c>
      <c r="L738" s="552">
        <v>17000</v>
      </c>
      <c r="M738" s="552">
        <v>17000</v>
      </c>
      <c r="N738" s="552">
        <v>17000</v>
      </c>
      <c r="O738" s="552">
        <v>1</v>
      </c>
      <c r="P738" s="552">
        <v>17000</v>
      </c>
      <c r="Q738" s="548">
        <v>0</v>
      </c>
      <c r="R738" s="552">
        <v>0</v>
      </c>
      <c r="S738" s="548">
        <v>0</v>
      </c>
      <c r="T738" s="552">
        <v>0</v>
      </c>
      <c r="U738" s="548">
        <v>1</v>
      </c>
      <c r="V738" s="552">
        <v>17000</v>
      </c>
      <c r="W738" s="552">
        <v>0</v>
      </c>
      <c r="X738" s="552">
        <v>0</v>
      </c>
      <c r="Y738" s="552">
        <v>0</v>
      </c>
      <c r="Z738" s="552">
        <v>0</v>
      </c>
      <c r="AA738" s="552">
        <v>0</v>
      </c>
      <c r="AB738" s="552">
        <v>0</v>
      </c>
      <c r="AC738" s="552">
        <v>0</v>
      </c>
      <c r="AD738" s="552">
        <v>0</v>
      </c>
      <c r="AE738" s="552">
        <v>0</v>
      </c>
      <c r="AF738" s="552">
        <v>0</v>
      </c>
      <c r="AG738" s="552">
        <v>0</v>
      </c>
      <c r="AH738" s="552">
        <v>0</v>
      </c>
      <c r="AI738" s="552">
        <v>0</v>
      </c>
      <c r="AJ738" s="552">
        <v>0</v>
      </c>
    </row>
    <row r="739" spans="1:36" ht="15.95" customHeight="1">
      <c r="A739" s="547"/>
      <c r="B739" s="548">
        <v>594</v>
      </c>
      <c r="C739" s="549">
        <v>5087</v>
      </c>
      <c r="D739" s="550"/>
      <c r="E739" s="550"/>
      <c r="F739" s="550" t="s">
        <v>12248</v>
      </c>
      <c r="G739" s="550"/>
      <c r="H739" s="550"/>
      <c r="I739" s="550" t="s">
        <v>12249</v>
      </c>
      <c r="J739" s="550" t="s">
        <v>12250</v>
      </c>
      <c r="K739" s="551">
        <v>43534</v>
      </c>
      <c r="L739" s="552">
        <v>975000</v>
      </c>
      <c r="M739" s="552">
        <v>975000</v>
      </c>
      <c r="N739" s="552">
        <v>975000</v>
      </c>
      <c r="O739" s="552">
        <v>2</v>
      </c>
      <c r="P739" s="552">
        <v>1950000</v>
      </c>
      <c r="Q739" s="548">
        <v>0</v>
      </c>
      <c r="R739" s="552">
        <v>0</v>
      </c>
      <c r="S739" s="548">
        <v>0</v>
      </c>
      <c r="T739" s="552">
        <v>0</v>
      </c>
      <c r="U739" s="548">
        <v>2</v>
      </c>
      <c r="V739" s="552">
        <v>1950000</v>
      </c>
      <c r="W739" s="552">
        <v>0</v>
      </c>
      <c r="X739" s="552">
        <v>0</v>
      </c>
      <c r="Y739" s="552">
        <v>0</v>
      </c>
      <c r="Z739" s="552">
        <v>0</v>
      </c>
      <c r="AA739" s="552">
        <v>0</v>
      </c>
      <c r="AB739" s="552">
        <v>0</v>
      </c>
      <c r="AC739" s="552">
        <v>0</v>
      </c>
      <c r="AD739" s="552">
        <v>0</v>
      </c>
      <c r="AE739" s="552">
        <v>0</v>
      </c>
      <c r="AF739" s="552">
        <v>0</v>
      </c>
      <c r="AG739" s="552">
        <v>0</v>
      </c>
      <c r="AH739" s="552">
        <v>0</v>
      </c>
      <c r="AI739" s="552">
        <v>0</v>
      </c>
      <c r="AJ739" s="552">
        <v>0</v>
      </c>
    </row>
    <row r="740" spans="1:36" ht="15.95" customHeight="1">
      <c r="A740" s="547"/>
      <c r="B740" s="548">
        <v>595</v>
      </c>
      <c r="C740" s="549">
        <v>5087</v>
      </c>
      <c r="D740" s="550"/>
      <c r="E740" s="550"/>
      <c r="F740" s="550" t="s">
        <v>12248</v>
      </c>
      <c r="G740" s="550"/>
      <c r="H740" s="550"/>
      <c r="I740" s="550" t="s">
        <v>12249</v>
      </c>
      <c r="J740" s="550" t="s">
        <v>12246</v>
      </c>
      <c r="K740" s="551">
        <v>43831</v>
      </c>
      <c r="L740" s="552">
        <v>975000</v>
      </c>
      <c r="M740" s="552">
        <v>975000</v>
      </c>
      <c r="N740" s="552">
        <v>975000</v>
      </c>
      <c r="O740" s="552">
        <v>1</v>
      </c>
      <c r="P740" s="552">
        <v>975000</v>
      </c>
      <c r="Q740" s="548">
        <v>0</v>
      </c>
      <c r="R740" s="552">
        <v>0</v>
      </c>
      <c r="S740" s="548">
        <v>0</v>
      </c>
      <c r="T740" s="552">
        <v>0</v>
      </c>
      <c r="U740" s="548">
        <v>1</v>
      </c>
      <c r="V740" s="552">
        <v>975000</v>
      </c>
      <c r="W740" s="552">
        <v>0</v>
      </c>
      <c r="X740" s="552">
        <v>0</v>
      </c>
      <c r="Y740" s="552">
        <v>0</v>
      </c>
      <c r="Z740" s="552">
        <v>0</v>
      </c>
      <c r="AA740" s="552">
        <v>0</v>
      </c>
      <c r="AB740" s="552">
        <v>0</v>
      </c>
      <c r="AC740" s="552">
        <v>0</v>
      </c>
      <c r="AD740" s="552">
        <v>0</v>
      </c>
      <c r="AE740" s="552">
        <v>0</v>
      </c>
      <c r="AF740" s="552">
        <v>0</v>
      </c>
      <c r="AG740" s="552">
        <v>0</v>
      </c>
      <c r="AH740" s="552">
        <v>0</v>
      </c>
      <c r="AI740" s="552">
        <v>0</v>
      </c>
      <c r="AJ740" s="552">
        <v>0</v>
      </c>
    </row>
    <row r="741" spans="1:36" ht="15.95" customHeight="1">
      <c r="A741" s="547"/>
      <c r="B741" s="548">
        <v>596</v>
      </c>
      <c r="C741" s="549">
        <v>5087</v>
      </c>
      <c r="D741" s="550"/>
      <c r="E741" s="550"/>
      <c r="F741" s="550" t="s">
        <v>12248</v>
      </c>
      <c r="G741" s="550"/>
      <c r="H741" s="550"/>
      <c r="I741" s="550" t="s">
        <v>12249</v>
      </c>
      <c r="J741" s="550" t="s">
        <v>12247</v>
      </c>
      <c r="K741" s="551">
        <v>43887</v>
      </c>
      <c r="L741" s="552">
        <v>975000</v>
      </c>
      <c r="M741" s="552">
        <v>975000</v>
      </c>
      <c r="N741" s="552">
        <v>975000</v>
      </c>
      <c r="O741" s="552">
        <v>1</v>
      </c>
      <c r="P741" s="552">
        <v>975000</v>
      </c>
      <c r="Q741" s="548">
        <v>0</v>
      </c>
      <c r="R741" s="552">
        <v>0</v>
      </c>
      <c r="S741" s="548">
        <v>0</v>
      </c>
      <c r="T741" s="552">
        <v>0</v>
      </c>
      <c r="U741" s="548">
        <v>1</v>
      </c>
      <c r="V741" s="552">
        <v>975000</v>
      </c>
      <c r="W741" s="552">
        <v>0</v>
      </c>
      <c r="X741" s="552">
        <v>0</v>
      </c>
      <c r="Y741" s="552">
        <v>0</v>
      </c>
      <c r="Z741" s="552">
        <v>0</v>
      </c>
      <c r="AA741" s="552">
        <v>0</v>
      </c>
      <c r="AB741" s="552">
        <v>0</v>
      </c>
      <c r="AC741" s="552">
        <v>0</v>
      </c>
      <c r="AD741" s="552">
        <v>0</v>
      </c>
      <c r="AE741" s="552">
        <v>0</v>
      </c>
      <c r="AF741" s="552">
        <v>0</v>
      </c>
      <c r="AG741" s="552">
        <v>0</v>
      </c>
      <c r="AH741" s="552">
        <v>0</v>
      </c>
      <c r="AI741" s="552">
        <v>0</v>
      </c>
      <c r="AJ741" s="552">
        <v>0</v>
      </c>
    </row>
    <row r="742" spans="1:36" ht="15.95" customHeight="1">
      <c r="A742" s="547"/>
      <c r="B742" s="548">
        <v>597</v>
      </c>
      <c r="C742" s="549">
        <v>5076</v>
      </c>
      <c r="D742" s="550" t="s">
        <v>12251</v>
      </c>
      <c r="E742" s="550" t="s">
        <v>12251</v>
      </c>
      <c r="F742" s="550" t="s">
        <v>12252</v>
      </c>
      <c r="G742" s="550"/>
      <c r="H742" s="550"/>
      <c r="I742" s="550" t="s">
        <v>12249</v>
      </c>
      <c r="J742" s="550" t="s">
        <v>12245</v>
      </c>
      <c r="K742" s="551">
        <v>43531</v>
      </c>
      <c r="L742" s="552">
        <v>905000</v>
      </c>
      <c r="M742" s="552">
        <v>905000</v>
      </c>
      <c r="N742" s="552">
        <v>905000</v>
      </c>
      <c r="O742" s="552">
        <v>2</v>
      </c>
      <c r="P742" s="552">
        <v>1810000</v>
      </c>
      <c r="Q742" s="548">
        <v>0</v>
      </c>
      <c r="R742" s="552">
        <v>0</v>
      </c>
      <c r="S742" s="548">
        <v>0</v>
      </c>
      <c r="T742" s="552">
        <v>0</v>
      </c>
      <c r="U742" s="548">
        <v>2</v>
      </c>
      <c r="V742" s="552">
        <v>1810000</v>
      </c>
      <c r="W742" s="552">
        <v>0</v>
      </c>
      <c r="X742" s="552">
        <v>0</v>
      </c>
      <c r="Y742" s="552">
        <v>0</v>
      </c>
      <c r="Z742" s="552">
        <v>0</v>
      </c>
      <c r="AA742" s="552">
        <v>0</v>
      </c>
      <c r="AB742" s="552">
        <v>0</v>
      </c>
      <c r="AC742" s="552">
        <v>0</v>
      </c>
      <c r="AD742" s="552">
        <v>0</v>
      </c>
      <c r="AE742" s="552">
        <v>0</v>
      </c>
      <c r="AF742" s="552">
        <v>0</v>
      </c>
      <c r="AG742" s="552">
        <v>0</v>
      </c>
      <c r="AH742" s="552">
        <v>0</v>
      </c>
      <c r="AI742" s="552">
        <v>0</v>
      </c>
      <c r="AJ742" s="552">
        <v>0</v>
      </c>
    </row>
    <row r="743" spans="1:36" ht="15.95" customHeight="1">
      <c r="A743" s="547"/>
      <c r="B743" s="548">
        <v>1024</v>
      </c>
      <c r="C743" s="549">
        <v>5069</v>
      </c>
      <c r="D743" s="550" t="s">
        <v>12253</v>
      </c>
      <c r="E743" s="550" t="s">
        <v>12253</v>
      </c>
      <c r="F743" s="550" t="s">
        <v>12254</v>
      </c>
      <c r="G743" s="550" t="s">
        <v>12243</v>
      </c>
      <c r="H743" s="550" t="s">
        <v>12243</v>
      </c>
      <c r="I743" s="550" t="s">
        <v>12244</v>
      </c>
      <c r="J743" s="550" t="s">
        <v>12245</v>
      </c>
      <c r="K743" s="551">
        <v>43531</v>
      </c>
      <c r="L743" s="552">
        <v>90000</v>
      </c>
      <c r="M743" s="552">
        <v>90000</v>
      </c>
      <c r="N743" s="552">
        <v>90000</v>
      </c>
      <c r="O743" s="552">
        <v>4</v>
      </c>
      <c r="P743" s="552">
        <v>360000</v>
      </c>
      <c r="Q743" s="548">
        <v>0</v>
      </c>
      <c r="R743" s="552">
        <v>0</v>
      </c>
      <c r="S743" s="548">
        <v>0</v>
      </c>
      <c r="T743" s="552">
        <v>0</v>
      </c>
      <c r="U743" s="548">
        <v>4</v>
      </c>
      <c r="V743" s="552">
        <v>360000</v>
      </c>
      <c r="W743" s="552">
        <v>0</v>
      </c>
      <c r="X743" s="552">
        <v>0</v>
      </c>
      <c r="Y743" s="552">
        <v>0</v>
      </c>
      <c r="Z743" s="552">
        <v>0</v>
      </c>
      <c r="AA743" s="552">
        <v>0</v>
      </c>
      <c r="AB743" s="552">
        <v>0</v>
      </c>
      <c r="AC743" s="552">
        <v>0</v>
      </c>
      <c r="AD743" s="552">
        <v>0</v>
      </c>
      <c r="AE743" s="552">
        <v>0</v>
      </c>
      <c r="AF743" s="552">
        <v>0</v>
      </c>
      <c r="AG743" s="552">
        <v>0</v>
      </c>
      <c r="AH743" s="552">
        <v>0</v>
      </c>
      <c r="AI743" s="552">
        <v>0</v>
      </c>
      <c r="AJ743" s="552">
        <v>0</v>
      </c>
    </row>
    <row r="744" spans="1:36" ht="15.95" customHeight="1">
      <c r="A744" s="547"/>
      <c r="B744" s="548">
        <v>1025</v>
      </c>
      <c r="C744" s="549">
        <v>5069</v>
      </c>
      <c r="D744" s="550" t="s">
        <v>12253</v>
      </c>
      <c r="E744" s="550" t="s">
        <v>12253</v>
      </c>
      <c r="F744" s="550" t="s">
        <v>12254</v>
      </c>
      <c r="G744" s="550" t="s">
        <v>12243</v>
      </c>
      <c r="H744" s="550" t="s">
        <v>12243</v>
      </c>
      <c r="I744" s="550" t="s">
        <v>12244</v>
      </c>
      <c r="J744" s="550" t="s">
        <v>12246</v>
      </c>
      <c r="K744" s="551">
        <v>43831</v>
      </c>
      <c r="L744" s="552">
        <v>90000</v>
      </c>
      <c r="M744" s="552">
        <v>90000</v>
      </c>
      <c r="N744" s="552">
        <v>90000</v>
      </c>
      <c r="O744" s="552">
        <v>1</v>
      </c>
      <c r="P744" s="552">
        <v>90000</v>
      </c>
      <c r="Q744" s="548">
        <v>0</v>
      </c>
      <c r="R744" s="552">
        <v>0</v>
      </c>
      <c r="S744" s="548">
        <v>0</v>
      </c>
      <c r="T744" s="552">
        <v>0</v>
      </c>
      <c r="U744" s="548">
        <v>1</v>
      </c>
      <c r="V744" s="552">
        <v>90000</v>
      </c>
      <c r="W744" s="552">
        <v>0</v>
      </c>
      <c r="X744" s="552">
        <v>0</v>
      </c>
      <c r="Y744" s="552">
        <v>0</v>
      </c>
      <c r="Z744" s="552">
        <v>0</v>
      </c>
      <c r="AA744" s="552">
        <v>0</v>
      </c>
      <c r="AB744" s="552">
        <v>0</v>
      </c>
      <c r="AC744" s="552">
        <v>0</v>
      </c>
      <c r="AD744" s="552">
        <v>0</v>
      </c>
      <c r="AE744" s="552">
        <v>0</v>
      </c>
      <c r="AF744" s="552">
        <v>0</v>
      </c>
      <c r="AG744" s="552">
        <v>0</v>
      </c>
      <c r="AH744" s="552">
        <v>0</v>
      </c>
      <c r="AI744" s="552">
        <v>0</v>
      </c>
      <c r="AJ744" s="552">
        <v>0</v>
      </c>
    </row>
    <row r="745" spans="1:36" ht="15.95" customHeight="1">
      <c r="A745" s="547"/>
      <c r="B745" s="548">
        <v>1026</v>
      </c>
      <c r="C745" s="549">
        <v>5069</v>
      </c>
      <c r="D745" s="550" t="s">
        <v>12253</v>
      </c>
      <c r="E745" s="550" t="s">
        <v>12253</v>
      </c>
      <c r="F745" s="550" t="s">
        <v>12254</v>
      </c>
      <c r="G745" s="550" t="s">
        <v>12243</v>
      </c>
      <c r="H745" s="550" t="s">
        <v>12243</v>
      </c>
      <c r="I745" s="550" t="s">
        <v>12244</v>
      </c>
      <c r="J745" s="550" t="s">
        <v>12247</v>
      </c>
      <c r="K745" s="551">
        <v>43887</v>
      </c>
      <c r="L745" s="552">
        <v>90000</v>
      </c>
      <c r="M745" s="552">
        <v>90000</v>
      </c>
      <c r="N745" s="552">
        <v>90000</v>
      </c>
      <c r="O745" s="552">
        <v>1</v>
      </c>
      <c r="P745" s="552">
        <v>90000</v>
      </c>
      <c r="Q745" s="548">
        <v>0</v>
      </c>
      <c r="R745" s="552">
        <v>0</v>
      </c>
      <c r="S745" s="548">
        <v>0</v>
      </c>
      <c r="T745" s="552">
        <v>0</v>
      </c>
      <c r="U745" s="548">
        <v>1</v>
      </c>
      <c r="V745" s="552">
        <v>90000</v>
      </c>
      <c r="W745" s="552">
        <v>0</v>
      </c>
      <c r="X745" s="552">
        <v>0</v>
      </c>
      <c r="Y745" s="552">
        <v>0</v>
      </c>
      <c r="Z745" s="552">
        <v>0</v>
      </c>
      <c r="AA745" s="552">
        <v>0</v>
      </c>
      <c r="AB745" s="552">
        <v>0</v>
      </c>
      <c r="AC745" s="552">
        <v>0</v>
      </c>
      <c r="AD745" s="552">
        <v>0</v>
      </c>
      <c r="AE745" s="552">
        <v>0</v>
      </c>
      <c r="AF745" s="552">
        <v>0</v>
      </c>
      <c r="AG745" s="552">
        <v>0</v>
      </c>
      <c r="AH745" s="552">
        <v>0</v>
      </c>
      <c r="AI745" s="552">
        <v>0</v>
      </c>
      <c r="AJ745" s="552">
        <v>0</v>
      </c>
    </row>
    <row r="746" spans="1:36" ht="0.75" customHeight="1">
      <c r="A746" s="547"/>
      <c r="B746" s="718"/>
      <c r="C746" s="718"/>
      <c r="D746" s="718"/>
      <c r="E746" s="718"/>
      <c r="F746" s="718"/>
      <c r="G746" s="718"/>
      <c r="H746" s="718"/>
      <c r="I746" s="718"/>
      <c r="J746" s="718"/>
      <c r="K746" s="718"/>
      <c r="L746" s="718"/>
      <c r="M746" s="718"/>
      <c r="N746" s="718"/>
      <c r="O746" s="718"/>
      <c r="P746" s="718"/>
      <c r="Q746" s="553"/>
      <c r="R746" s="719"/>
      <c r="S746" s="719"/>
      <c r="T746" s="719"/>
      <c r="U746" s="719"/>
      <c r="V746" s="719"/>
      <c r="W746" s="719"/>
      <c r="X746" s="719"/>
      <c r="Y746" s="719"/>
      <c r="Z746" s="719"/>
      <c r="AA746" s="719"/>
      <c r="AB746" s="719"/>
      <c r="AC746" s="719"/>
      <c r="AD746" s="719"/>
      <c r="AE746" s="719"/>
      <c r="AF746" s="719"/>
      <c r="AG746" s="719"/>
      <c r="AH746" s="719"/>
      <c r="AI746" s="719"/>
      <c r="AJ746" s="719"/>
    </row>
    <row r="747" spans="1:36" ht="12.95" customHeight="1">
      <c r="A747" s="547"/>
      <c r="B747" s="720"/>
      <c r="C747" s="720"/>
      <c r="D747" s="720"/>
      <c r="E747" s="720"/>
      <c r="F747" s="720"/>
      <c r="G747" s="720"/>
      <c r="H747" s="720"/>
      <c r="I747" s="720"/>
      <c r="J747" s="720"/>
      <c r="K747" s="720"/>
      <c r="L747" s="720"/>
      <c r="M747" s="720"/>
      <c r="N747" s="720"/>
      <c r="O747" s="720"/>
      <c r="P747" s="720"/>
      <c r="Q747" s="554"/>
      <c r="R747" s="721"/>
      <c r="S747" s="721"/>
      <c r="T747" s="721"/>
      <c r="U747" s="721"/>
      <c r="V747" s="721"/>
      <c r="W747" s="721"/>
      <c r="X747" s="721"/>
      <c r="Y747" s="721"/>
      <c r="Z747" s="721"/>
      <c r="AA747" s="721"/>
      <c r="AB747" s="721"/>
      <c r="AC747" s="721"/>
      <c r="AD747" s="721"/>
      <c r="AE747" s="721"/>
      <c r="AF747" s="721"/>
      <c r="AG747" s="721"/>
      <c r="AH747" s="721"/>
      <c r="AI747" s="721"/>
      <c r="AJ747" s="721"/>
    </row>
    <row r="748" spans="1:36" ht="0.75" customHeight="1">
      <c r="A748" s="547"/>
      <c r="B748" s="714"/>
      <c r="C748" s="714"/>
      <c r="D748" s="714"/>
      <c r="E748" s="714"/>
      <c r="F748" s="714"/>
      <c r="G748" s="714"/>
      <c r="H748" s="714"/>
      <c r="I748" s="714"/>
      <c r="J748" s="714"/>
      <c r="K748" s="714"/>
      <c r="L748" s="714"/>
      <c r="M748" s="714"/>
      <c r="N748" s="714"/>
      <c r="O748" s="714"/>
      <c r="P748" s="714"/>
      <c r="Q748" s="555"/>
      <c r="R748" s="715"/>
      <c r="S748" s="715"/>
      <c r="T748" s="715"/>
      <c r="U748" s="715"/>
      <c r="V748" s="715"/>
      <c r="W748" s="715"/>
      <c r="X748" s="715"/>
      <c r="Y748" s="715"/>
      <c r="Z748" s="715"/>
      <c r="AA748" s="715"/>
      <c r="AB748" s="715"/>
      <c r="AC748" s="715"/>
      <c r="AD748" s="715"/>
      <c r="AE748" s="715"/>
      <c r="AF748" s="715"/>
      <c r="AG748" s="715"/>
      <c r="AH748" s="715"/>
      <c r="AI748" s="715"/>
      <c r="AJ748" s="715"/>
    </row>
    <row r="749" spans="1:36" ht="13.7" customHeight="1">
      <c r="A749" s="717" t="s">
        <v>12255</v>
      </c>
      <c r="B749" s="717"/>
      <c r="C749" s="717"/>
      <c r="D749" s="717"/>
      <c r="E749" s="717"/>
      <c r="F749" s="717"/>
      <c r="G749" s="717"/>
      <c r="H749" s="717"/>
      <c r="I749" s="717"/>
      <c r="J749" s="717"/>
      <c r="K749" s="717"/>
      <c r="L749" s="717"/>
      <c r="M749" s="717"/>
      <c r="N749" s="717"/>
      <c r="O749" s="717"/>
      <c r="P749" s="717"/>
      <c r="Q749" s="717"/>
      <c r="R749" s="717"/>
      <c r="S749" s="717"/>
      <c r="T749" s="717"/>
      <c r="U749" s="717"/>
      <c r="V749" s="717"/>
      <c r="W749" s="717"/>
      <c r="X749" s="717"/>
      <c r="Y749" s="717"/>
      <c r="Z749" s="717"/>
      <c r="AA749" s="717"/>
      <c r="AB749" s="717"/>
      <c r="AC749" s="717"/>
      <c r="AD749" s="717"/>
      <c r="AE749" s="717"/>
      <c r="AF749" s="717"/>
      <c r="AG749" s="717"/>
      <c r="AH749" s="717"/>
      <c r="AI749" s="717"/>
      <c r="AJ749" s="717"/>
    </row>
    <row r="750" spans="1:36" ht="15.95" customHeight="1">
      <c r="A750" s="547"/>
      <c r="B750" s="548">
        <v>527</v>
      </c>
      <c r="C750" s="549">
        <v>6573</v>
      </c>
      <c r="D750" s="550" t="s">
        <v>12256</v>
      </c>
      <c r="E750" s="550" t="s">
        <v>4109</v>
      </c>
      <c r="F750" s="550" t="s">
        <v>403</v>
      </c>
      <c r="G750" s="550" t="s">
        <v>4110</v>
      </c>
      <c r="H750" s="550" t="s">
        <v>327</v>
      </c>
      <c r="I750" s="550" t="s">
        <v>11</v>
      </c>
      <c r="J750" s="550" t="s">
        <v>4586</v>
      </c>
      <c r="K750" s="551">
        <v>44934</v>
      </c>
      <c r="L750" s="552">
        <v>102</v>
      </c>
      <c r="M750" s="552">
        <v>102</v>
      </c>
      <c r="N750" s="552">
        <v>102</v>
      </c>
      <c r="O750" s="552">
        <v>430</v>
      </c>
      <c r="P750" s="552">
        <v>43860</v>
      </c>
      <c r="Q750" s="548">
        <v>0</v>
      </c>
      <c r="R750" s="552">
        <v>0</v>
      </c>
      <c r="S750" s="548">
        <v>19</v>
      </c>
      <c r="T750" s="552">
        <v>1938</v>
      </c>
      <c r="U750" s="548">
        <v>411</v>
      </c>
      <c r="V750" s="552">
        <v>41922</v>
      </c>
      <c r="W750" s="552">
        <v>1437</v>
      </c>
      <c r="X750" s="552">
        <v>146574</v>
      </c>
      <c r="Y750" s="552">
        <v>19</v>
      </c>
      <c r="Z750" s="552">
        <v>1938</v>
      </c>
      <c r="AA750" s="552">
        <v>0</v>
      </c>
      <c r="AB750" s="552">
        <v>0</v>
      </c>
      <c r="AC750" s="552">
        <v>19</v>
      </c>
      <c r="AD750" s="552">
        <v>1938</v>
      </c>
      <c r="AE750" s="552">
        <v>0</v>
      </c>
      <c r="AF750" s="552">
        <v>0</v>
      </c>
      <c r="AG750" s="552">
        <v>0</v>
      </c>
      <c r="AH750" s="552">
        <v>0</v>
      </c>
      <c r="AI750" s="552">
        <v>0</v>
      </c>
      <c r="AJ750" s="552">
        <v>0</v>
      </c>
    </row>
    <row r="751" spans="1:36" ht="15.95" customHeight="1">
      <c r="A751" s="547"/>
      <c r="B751" s="548">
        <v>528</v>
      </c>
      <c r="C751" s="549">
        <v>6573</v>
      </c>
      <c r="D751" s="550" t="s">
        <v>12256</v>
      </c>
      <c r="E751" s="550" t="s">
        <v>4109</v>
      </c>
      <c r="F751" s="550" t="s">
        <v>403</v>
      </c>
      <c r="G751" s="550" t="s">
        <v>4110</v>
      </c>
      <c r="H751" s="550" t="s">
        <v>327</v>
      </c>
      <c r="I751" s="550" t="s">
        <v>11</v>
      </c>
      <c r="J751" s="550" t="s">
        <v>12257</v>
      </c>
      <c r="K751" s="551">
        <v>45426</v>
      </c>
      <c r="L751" s="552">
        <v>102</v>
      </c>
      <c r="M751" s="552">
        <v>102</v>
      </c>
      <c r="N751" s="552">
        <v>102</v>
      </c>
      <c r="O751" s="552"/>
      <c r="P751" s="552"/>
      <c r="Q751" s="548">
        <v>21000</v>
      </c>
      <c r="R751" s="552">
        <v>2142000</v>
      </c>
      <c r="S751" s="548">
        <v>19500</v>
      </c>
      <c r="T751" s="552">
        <v>1989000</v>
      </c>
      <c r="U751" s="548">
        <v>1500</v>
      </c>
      <c r="V751" s="552">
        <v>153000</v>
      </c>
      <c r="W751" s="552">
        <v>9836</v>
      </c>
      <c r="X751" s="552">
        <v>1003272</v>
      </c>
      <c r="Y751" s="552">
        <v>19500</v>
      </c>
      <c r="Z751" s="552">
        <v>1989000</v>
      </c>
      <c r="AA751" s="552">
        <v>0</v>
      </c>
      <c r="AB751" s="552">
        <v>0</v>
      </c>
      <c r="AC751" s="552">
        <v>19500</v>
      </c>
      <c r="AD751" s="552">
        <v>1989000</v>
      </c>
      <c r="AE751" s="552">
        <v>0</v>
      </c>
      <c r="AF751" s="552">
        <v>0</v>
      </c>
      <c r="AG751" s="552">
        <v>0</v>
      </c>
      <c r="AH751" s="552">
        <v>0</v>
      </c>
      <c r="AI751" s="552">
        <v>0</v>
      </c>
      <c r="AJ751" s="552">
        <v>0</v>
      </c>
    </row>
    <row r="752" spans="1:36" ht="15.95" customHeight="1">
      <c r="A752" s="547"/>
      <c r="B752" s="548">
        <v>529</v>
      </c>
      <c r="C752" s="549">
        <v>6573</v>
      </c>
      <c r="D752" s="550" t="s">
        <v>12256</v>
      </c>
      <c r="E752" s="550" t="s">
        <v>4109</v>
      </c>
      <c r="F752" s="550" t="s">
        <v>403</v>
      </c>
      <c r="G752" s="550" t="s">
        <v>4110</v>
      </c>
      <c r="H752" s="550" t="s">
        <v>327</v>
      </c>
      <c r="I752" s="550" t="s">
        <v>11</v>
      </c>
      <c r="J752" s="550" t="s">
        <v>12258</v>
      </c>
      <c r="K752" s="551">
        <v>45346</v>
      </c>
      <c r="L752" s="552">
        <v>102</v>
      </c>
      <c r="M752" s="552">
        <v>102</v>
      </c>
      <c r="N752" s="552">
        <v>102</v>
      </c>
      <c r="O752" s="552"/>
      <c r="P752" s="552"/>
      <c r="Q752" s="548">
        <v>17000</v>
      </c>
      <c r="R752" s="552">
        <v>1734000</v>
      </c>
      <c r="S752" s="548">
        <v>17000</v>
      </c>
      <c r="T752" s="552">
        <v>1734000</v>
      </c>
      <c r="U752" s="548">
        <v>0</v>
      </c>
      <c r="V752" s="552">
        <v>0</v>
      </c>
      <c r="W752" s="552">
        <v>5247</v>
      </c>
      <c r="X752" s="552">
        <v>535194</v>
      </c>
      <c r="Y752" s="552">
        <v>17000</v>
      </c>
      <c r="Z752" s="552">
        <v>1734000</v>
      </c>
      <c r="AA752" s="552">
        <v>0</v>
      </c>
      <c r="AB752" s="552">
        <v>0</v>
      </c>
      <c r="AC752" s="552">
        <v>17000</v>
      </c>
      <c r="AD752" s="552">
        <v>1734000</v>
      </c>
      <c r="AE752" s="552">
        <v>0</v>
      </c>
      <c r="AF752" s="552">
        <v>0</v>
      </c>
      <c r="AG752" s="552">
        <v>0</v>
      </c>
      <c r="AH752" s="552">
        <v>0</v>
      </c>
      <c r="AI752" s="552">
        <v>0</v>
      </c>
      <c r="AJ752" s="552">
        <v>0</v>
      </c>
    </row>
    <row r="753" spans="1:36" ht="15.95" customHeight="1">
      <c r="A753" s="547"/>
      <c r="B753" s="548">
        <v>989</v>
      </c>
      <c r="C753" s="549">
        <v>6570</v>
      </c>
      <c r="D753" s="550" t="s">
        <v>12259</v>
      </c>
      <c r="E753" s="550" t="s">
        <v>4587</v>
      </c>
      <c r="F753" s="550" t="s">
        <v>4588</v>
      </c>
      <c r="G753" s="550" t="s">
        <v>4589</v>
      </c>
      <c r="H753" s="550" t="s">
        <v>4590</v>
      </c>
      <c r="I753" s="550" t="s">
        <v>2780</v>
      </c>
      <c r="J753" s="550" t="s">
        <v>4591</v>
      </c>
      <c r="K753" s="551">
        <v>44440</v>
      </c>
      <c r="L753" s="552">
        <v>286440</v>
      </c>
      <c r="M753" s="552">
        <v>286440</v>
      </c>
      <c r="N753" s="552">
        <v>286440</v>
      </c>
      <c r="O753" s="552">
        <v>42</v>
      </c>
      <c r="P753" s="552">
        <v>12030480</v>
      </c>
      <c r="Q753" s="548">
        <v>0</v>
      </c>
      <c r="R753" s="552">
        <v>0</v>
      </c>
      <c r="S753" s="548">
        <v>42</v>
      </c>
      <c r="T753" s="552">
        <v>12030480</v>
      </c>
      <c r="U753" s="548">
        <v>0</v>
      </c>
      <c r="V753" s="552">
        <v>0</v>
      </c>
      <c r="W753" s="552">
        <v>0</v>
      </c>
      <c r="X753" s="552">
        <v>0</v>
      </c>
      <c r="Y753" s="552">
        <v>42</v>
      </c>
      <c r="Z753" s="552">
        <v>12030480</v>
      </c>
      <c r="AA753" s="552">
        <v>42</v>
      </c>
      <c r="AB753" s="552">
        <v>12030480</v>
      </c>
      <c r="AC753" s="552">
        <v>0</v>
      </c>
      <c r="AD753" s="552">
        <v>0</v>
      </c>
      <c r="AE753" s="552">
        <v>0</v>
      </c>
      <c r="AF753" s="552">
        <v>0</v>
      </c>
      <c r="AG753" s="552">
        <v>0</v>
      </c>
      <c r="AH753" s="552">
        <v>0</v>
      </c>
      <c r="AI753" s="552">
        <v>0</v>
      </c>
      <c r="AJ753" s="552">
        <v>0</v>
      </c>
    </row>
    <row r="754" spans="1:36" ht="0.75" customHeight="1">
      <c r="A754" s="547"/>
      <c r="B754" s="718"/>
      <c r="C754" s="718"/>
      <c r="D754" s="718"/>
      <c r="E754" s="718"/>
      <c r="F754" s="718"/>
      <c r="G754" s="718"/>
      <c r="H754" s="718"/>
      <c r="I754" s="718"/>
      <c r="J754" s="718"/>
      <c r="K754" s="718"/>
      <c r="L754" s="718"/>
      <c r="M754" s="718"/>
      <c r="N754" s="718"/>
      <c r="O754" s="718"/>
      <c r="P754" s="718"/>
      <c r="Q754" s="553"/>
      <c r="R754" s="719"/>
      <c r="S754" s="719"/>
      <c r="T754" s="719"/>
      <c r="U754" s="719"/>
      <c r="V754" s="719"/>
      <c r="W754" s="719"/>
      <c r="X754" s="719"/>
      <c r="Y754" s="719"/>
      <c r="Z754" s="719"/>
      <c r="AA754" s="719"/>
      <c r="AB754" s="719"/>
      <c r="AC754" s="719"/>
      <c r="AD754" s="719"/>
      <c r="AE754" s="719"/>
      <c r="AF754" s="719"/>
      <c r="AG754" s="719"/>
      <c r="AH754" s="719"/>
      <c r="AI754" s="719"/>
      <c r="AJ754" s="719"/>
    </row>
    <row r="755" spans="1:36" ht="12.95" customHeight="1">
      <c r="A755" s="547"/>
      <c r="B755" s="720"/>
      <c r="C755" s="720"/>
      <c r="D755" s="720"/>
      <c r="E755" s="720"/>
      <c r="F755" s="720"/>
      <c r="G755" s="720"/>
      <c r="H755" s="720"/>
      <c r="I755" s="720"/>
      <c r="J755" s="720"/>
      <c r="K755" s="720"/>
      <c r="L755" s="720"/>
      <c r="M755" s="720"/>
      <c r="N755" s="720"/>
      <c r="O755" s="720"/>
      <c r="P755" s="720"/>
      <c r="Q755" s="554"/>
      <c r="R755" s="721"/>
      <c r="S755" s="721"/>
      <c r="T755" s="721"/>
      <c r="U755" s="721"/>
      <c r="V755" s="721"/>
      <c r="W755" s="721"/>
      <c r="X755" s="721"/>
      <c r="Y755" s="721"/>
      <c r="Z755" s="721"/>
      <c r="AA755" s="721"/>
      <c r="AB755" s="721"/>
      <c r="AC755" s="721"/>
      <c r="AD755" s="721"/>
      <c r="AE755" s="721"/>
      <c r="AF755" s="721"/>
      <c r="AG755" s="721"/>
      <c r="AH755" s="721"/>
      <c r="AI755" s="721"/>
      <c r="AJ755" s="721"/>
    </row>
    <row r="756" spans="1:36" ht="0.75" customHeight="1">
      <c r="A756" s="547"/>
      <c r="B756" s="714"/>
      <c r="C756" s="714"/>
      <c r="D756" s="714"/>
      <c r="E756" s="714"/>
      <c r="F756" s="714"/>
      <c r="G756" s="714"/>
      <c r="H756" s="714"/>
      <c r="I756" s="714"/>
      <c r="J756" s="714"/>
      <c r="K756" s="714"/>
      <c r="L756" s="714"/>
      <c r="M756" s="714"/>
      <c r="N756" s="714"/>
      <c r="O756" s="714"/>
      <c r="P756" s="714"/>
      <c r="Q756" s="555"/>
      <c r="R756" s="715"/>
      <c r="S756" s="715"/>
      <c r="T756" s="715"/>
      <c r="U756" s="715"/>
      <c r="V756" s="715"/>
      <c r="W756" s="715"/>
      <c r="X756" s="715"/>
      <c r="Y756" s="715"/>
      <c r="Z756" s="715"/>
      <c r="AA756" s="715"/>
      <c r="AB756" s="715"/>
      <c r="AC756" s="715"/>
      <c r="AD756" s="715"/>
      <c r="AE756" s="715"/>
      <c r="AF756" s="715"/>
      <c r="AG756" s="715"/>
      <c r="AH756" s="715"/>
      <c r="AI756" s="715"/>
      <c r="AJ756" s="715"/>
    </row>
    <row r="757" spans="1:36" ht="13.7" customHeight="1">
      <c r="A757" s="717" t="s">
        <v>12260</v>
      </c>
      <c r="B757" s="717"/>
      <c r="C757" s="717"/>
      <c r="D757" s="717"/>
      <c r="E757" s="717"/>
      <c r="F757" s="717"/>
      <c r="G757" s="717"/>
      <c r="H757" s="717"/>
      <c r="I757" s="717"/>
      <c r="J757" s="717"/>
      <c r="K757" s="717"/>
      <c r="L757" s="717"/>
      <c r="M757" s="717"/>
      <c r="N757" s="717"/>
      <c r="O757" s="717"/>
      <c r="P757" s="717"/>
      <c r="Q757" s="717"/>
      <c r="R757" s="717"/>
      <c r="S757" s="717"/>
      <c r="T757" s="717"/>
      <c r="U757" s="717"/>
      <c r="V757" s="717"/>
      <c r="W757" s="717"/>
      <c r="X757" s="717"/>
      <c r="Y757" s="717"/>
      <c r="Z757" s="717"/>
      <c r="AA757" s="717"/>
      <c r="AB757" s="717"/>
      <c r="AC757" s="717"/>
      <c r="AD757" s="717"/>
      <c r="AE757" s="717"/>
      <c r="AF757" s="717"/>
      <c r="AG757" s="717"/>
      <c r="AH757" s="717"/>
      <c r="AI757" s="717"/>
      <c r="AJ757" s="717"/>
    </row>
    <row r="758" spans="1:36" ht="15.95" customHeight="1">
      <c r="A758" s="547"/>
      <c r="B758" s="548">
        <v>19</v>
      </c>
      <c r="C758" s="549">
        <v>7396</v>
      </c>
      <c r="D758" s="550" t="s">
        <v>12261</v>
      </c>
      <c r="E758" s="550" t="s">
        <v>8757</v>
      </c>
      <c r="F758" s="550" t="s">
        <v>8760</v>
      </c>
      <c r="G758" s="550" t="s">
        <v>8758</v>
      </c>
      <c r="H758" s="550" t="s">
        <v>12262</v>
      </c>
      <c r="I758" s="550" t="s">
        <v>15</v>
      </c>
      <c r="J758" s="550" t="s">
        <v>12263</v>
      </c>
      <c r="K758" s="551">
        <v>44779</v>
      </c>
      <c r="L758" s="552">
        <v>27405</v>
      </c>
      <c r="M758" s="552">
        <v>27405</v>
      </c>
      <c r="N758" s="552">
        <v>27405</v>
      </c>
      <c r="O758" s="552"/>
      <c r="P758" s="552"/>
      <c r="Q758" s="548">
        <v>510</v>
      </c>
      <c r="R758" s="552">
        <v>13976550</v>
      </c>
      <c r="S758" s="548">
        <v>208</v>
      </c>
      <c r="T758" s="552">
        <v>5700240</v>
      </c>
      <c r="U758" s="548">
        <v>302</v>
      </c>
      <c r="V758" s="552">
        <v>8276310</v>
      </c>
      <c r="W758" s="552">
        <v>17</v>
      </c>
      <c r="X758" s="552">
        <v>465885</v>
      </c>
      <c r="Y758" s="552">
        <v>208</v>
      </c>
      <c r="Z758" s="552">
        <v>5700240</v>
      </c>
      <c r="AA758" s="552">
        <v>126</v>
      </c>
      <c r="AB758" s="552">
        <v>3453030</v>
      </c>
      <c r="AC758" s="552">
        <v>82</v>
      </c>
      <c r="AD758" s="552">
        <v>2247210</v>
      </c>
      <c r="AE758" s="552">
        <v>0</v>
      </c>
      <c r="AF758" s="552">
        <v>0</v>
      </c>
      <c r="AG758" s="552">
        <v>0</v>
      </c>
      <c r="AH758" s="552">
        <v>0</v>
      </c>
      <c r="AI758" s="552">
        <v>0</v>
      </c>
      <c r="AJ758" s="552">
        <v>0</v>
      </c>
    </row>
    <row r="759" spans="1:36" ht="15.95" customHeight="1">
      <c r="A759" s="547"/>
      <c r="B759" s="548">
        <v>20</v>
      </c>
      <c r="C759" s="549">
        <v>7396</v>
      </c>
      <c r="D759" s="550" t="s">
        <v>12261</v>
      </c>
      <c r="E759" s="550" t="s">
        <v>8757</v>
      </c>
      <c r="F759" s="550" t="s">
        <v>8760</v>
      </c>
      <c r="G759" s="550" t="s">
        <v>8758</v>
      </c>
      <c r="H759" s="550" t="s">
        <v>12262</v>
      </c>
      <c r="I759" s="550" t="s">
        <v>15</v>
      </c>
      <c r="J759" s="550" t="s">
        <v>12264</v>
      </c>
      <c r="K759" s="551">
        <v>44782</v>
      </c>
      <c r="L759" s="552">
        <v>27405</v>
      </c>
      <c r="M759" s="552">
        <v>27405</v>
      </c>
      <c r="N759" s="552">
        <v>27405</v>
      </c>
      <c r="O759" s="552"/>
      <c r="P759" s="552"/>
      <c r="Q759" s="548">
        <v>240</v>
      </c>
      <c r="R759" s="552">
        <v>6577200</v>
      </c>
      <c r="S759" s="548">
        <v>0</v>
      </c>
      <c r="T759" s="552">
        <v>0</v>
      </c>
      <c r="U759" s="548">
        <v>240</v>
      </c>
      <c r="V759" s="552">
        <v>6577200</v>
      </c>
      <c r="W759" s="552">
        <v>0</v>
      </c>
      <c r="X759" s="552">
        <v>0</v>
      </c>
      <c r="Y759" s="552">
        <v>0</v>
      </c>
      <c r="Z759" s="552">
        <v>0</v>
      </c>
      <c r="AA759" s="552">
        <v>0</v>
      </c>
      <c r="AB759" s="552">
        <v>0</v>
      </c>
      <c r="AC759" s="552">
        <v>0</v>
      </c>
      <c r="AD759" s="552">
        <v>0</v>
      </c>
      <c r="AE759" s="552">
        <v>0</v>
      </c>
      <c r="AF759" s="552">
        <v>0</v>
      </c>
      <c r="AG759" s="552">
        <v>0</v>
      </c>
      <c r="AH759" s="552">
        <v>0</v>
      </c>
      <c r="AI759" s="552">
        <v>0</v>
      </c>
      <c r="AJ759" s="552">
        <v>0</v>
      </c>
    </row>
    <row r="760" spans="1:36" ht="15.95" customHeight="1">
      <c r="A760" s="547"/>
      <c r="B760" s="548">
        <v>70</v>
      </c>
      <c r="C760" s="549">
        <v>7397</v>
      </c>
      <c r="D760" s="550" t="s">
        <v>12265</v>
      </c>
      <c r="E760" s="550" t="s">
        <v>4592</v>
      </c>
      <c r="F760" s="550" t="s">
        <v>4593</v>
      </c>
      <c r="G760" s="550" t="s">
        <v>4594</v>
      </c>
      <c r="H760" s="550" t="s">
        <v>4595</v>
      </c>
      <c r="I760" s="550" t="s">
        <v>11</v>
      </c>
      <c r="J760" s="550" t="s">
        <v>12266</v>
      </c>
      <c r="K760" s="551">
        <v>45079</v>
      </c>
      <c r="L760" s="552">
        <v>1600</v>
      </c>
      <c r="M760" s="552">
        <v>1600</v>
      </c>
      <c r="N760" s="552">
        <v>1600</v>
      </c>
      <c r="O760" s="552"/>
      <c r="P760" s="552"/>
      <c r="Q760" s="548">
        <v>10000</v>
      </c>
      <c r="R760" s="552">
        <v>16000000</v>
      </c>
      <c r="S760" s="548">
        <v>10000</v>
      </c>
      <c r="T760" s="552">
        <v>16000000</v>
      </c>
      <c r="U760" s="548">
        <v>0</v>
      </c>
      <c r="V760" s="552">
        <v>0</v>
      </c>
      <c r="W760" s="552">
        <v>0</v>
      </c>
      <c r="X760" s="552">
        <v>0</v>
      </c>
      <c r="Y760" s="552">
        <v>9700</v>
      </c>
      <c r="Z760" s="552">
        <v>15520000</v>
      </c>
      <c r="AA760" s="552">
        <v>9700</v>
      </c>
      <c r="AB760" s="552">
        <v>15520000</v>
      </c>
      <c r="AC760" s="552">
        <v>0</v>
      </c>
      <c r="AD760" s="552">
        <v>0</v>
      </c>
      <c r="AE760" s="552">
        <v>0</v>
      </c>
      <c r="AF760" s="552">
        <v>0</v>
      </c>
      <c r="AG760" s="552">
        <v>300</v>
      </c>
      <c r="AH760" s="552">
        <v>480000</v>
      </c>
      <c r="AI760" s="552">
        <v>0</v>
      </c>
      <c r="AJ760" s="552">
        <v>0</v>
      </c>
    </row>
    <row r="761" spans="1:36" ht="15.95" customHeight="1">
      <c r="A761" s="547"/>
      <c r="B761" s="548">
        <v>71</v>
      </c>
      <c r="C761" s="549">
        <v>7397</v>
      </c>
      <c r="D761" s="550" t="s">
        <v>12265</v>
      </c>
      <c r="E761" s="550" t="s">
        <v>4592</v>
      </c>
      <c r="F761" s="550" t="s">
        <v>4593</v>
      </c>
      <c r="G761" s="550" t="s">
        <v>4594</v>
      </c>
      <c r="H761" s="550" t="s">
        <v>4595</v>
      </c>
      <c r="I761" s="550" t="s">
        <v>11</v>
      </c>
      <c r="J761" s="550" t="s">
        <v>12267</v>
      </c>
      <c r="K761" s="551">
        <v>45079</v>
      </c>
      <c r="L761" s="552">
        <v>1600</v>
      </c>
      <c r="M761" s="552">
        <v>1600</v>
      </c>
      <c r="N761" s="552">
        <v>1600</v>
      </c>
      <c r="O761" s="552"/>
      <c r="P761" s="552"/>
      <c r="Q761" s="548">
        <v>5500</v>
      </c>
      <c r="R761" s="552">
        <v>8800000</v>
      </c>
      <c r="S761" s="548">
        <v>5096</v>
      </c>
      <c r="T761" s="552">
        <v>8153600</v>
      </c>
      <c r="U761" s="548">
        <v>404</v>
      </c>
      <c r="V761" s="552">
        <v>646400</v>
      </c>
      <c r="W761" s="552">
        <v>500</v>
      </c>
      <c r="X761" s="552">
        <v>800000</v>
      </c>
      <c r="Y761" s="552">
        <v>5096</v>
      </c>
      <c r="Z761" s="552">
        <v>8153600</v>
      </c>
      <c r="AA761" s="552">
        <v>4596</v>
      </c>
      <c r="AB761" s="552">
        <v>7353600</v>
      </c>
      <c r="AC761" s="552">
        <v>500</v>
      </c>
      <c r="AD761" s="552">
        <v>800000</v>
      </c>
      <c r="AE761" s="552">
        <v>0</v>
      </c>
      <c r="AF761" s="552">
        <v>0</v>
      </c>
      <c r="AG761" s="552">
        <v>0</v>
      </c>
      <c r="AH761" s="552">
        <v>0</v>
      </c>
      <c r="AI761" s="552">
        <v>0</v>
      </c>
      <c r="AJ761" s="552">
        <v>0</v>
      </c>
    </row>
    <row r="762" spans="1:36" ht="15.95" customHeight="1">
      <c r="A762" s="547"/>
      <c r="B762" s="548">
        <v>78</v>
      </c>
      <c r="C762" s="549">
        <v>7398</v>
      </c>
      <c r="D762" s="550" t="s">
        <v>12268</v>
      </c>
      <c r="E762" s="550" t="s">
        <v>4596</v>
      </c>
      <c r="F762" s="550" t="s">
        <v>4597</v>
      </c>
      <c r="G762" s="550" t="s">
        <v>4598</v>
      </c>
      <c r="H762" s="550" t="s">
        <v>4599</v>
      </c>
      <c r="I762" s="550" t="s">
        <v>11</v>
      </c>
      <c r="J762" s="550" t="s">
        <v>3764</v>
      </c>
      <c r="K762" s="551">
        <v>45058</v>
      </c>
      <c r="L762" s="552">
        <v>1945</v>
      </c>
      <c r="M762" s="552">
        <v>1945</v>
      </c>
      <c r="N762" s="552">
        <v>1945</v>
      </c>
      <c r="O762" s="552">
        <v>100</v>
      </c>
      <c r="P762" s="552">
        <v>194500</v>
      </c>
      <c r="Q762" s="548">
        <v>0</v>
      </c>
      <c r="R762" s="552">
        <v>0</v>
      </c>
      <c r="S762" s="548">
        <v>100</v>
      </c>
      <c r="T762" s="552">
        <v>194500</v>
      </c>
      <c r="U762" s="548">
        <v>0</v>
      </c>
      <c r="V762" s="552">
        <v>0</v>
      </c>
      <c r="W762" s="552">
        <v>0</v>
      </c>
      <c r="X762" s="552">
        <v>0</v>
      </c>
      <c r="Y762" s="552">
        <v>100</v>
      </c>
      <c r="Z762" s="552">
        <v>194500</v>
      </c>
      <c r="AA762" s="552">
        <v>100</v>
      </c>
      <c r="AB762" s="552">
        <v>194500</v>
      </c>
      <c r="AC762" s="552">
        <v>0</v>
      </c>
      <c r="AD762" s="552">
        <v>0</v>
      </c>
      <c r="AE762" s="552">
        <v>0</v>
      </c>
      <c r="AF762" s="552">
        <v>0</v>
      </c>
      <c r="AG762" s="552">
        <v>0</v>
      </c>
      <c r="AH762" s="552">
        <v>0</v>
      </c>
      <c r="AI762" s="552">
        <v>0</v>
      </c>
      <c r="AJ762" s="552">
        <v>0</v>
      </c>
    </row>
    <row r="763" spans="1:36" ht="15.95" customHeight="1">
      <c r="A763" s="547"/>
      <c r="B763" s="548">
        <v>79</v>
      </c>
      <c r="C763" s="549">
        <v>7398</v>
      </c>
      <c r="D763" s="550" t="s">
        <v>12268</v>
      </c>
      <c r="E763" s="550" t="s">
        <v>4596</v>
      </c>
      <c r="F763" s="550" t="s">
        <v>4597</v>
      </c>
      <c r="G763" s="550" t="s">
        <v>4598</v>
      </c>
      <c r="H763" s="550" t="s">
        <v>4599</v>
      </c>
      <c r="I763" s="550" t="s">
        <v>11</v>
      </c>
      <c r="J763" s="550" t="s">
        <v>12269</v>
      </c>
      <c r="K763" s="551">
        <v>45206</v>
      </c>
      <c r="L763" s="552">
        <v>1945</v>
      </c>
      <c r="M763" s="552">
        <v>1945</v>
      </c>
      <c r="N763" s="552">
        <v>1945</v>
      </c>
      <c r="O763" s="552"/>
      <c r="P763" s="552"/>
      <c r="Q763" s="548">
        <v>4000</v>
      </c>
      <c r="R763" s="552">
        <v>7780000</v>
      </c>
      <c r="S763" s="548">
        <v>4000</v>
      </c>
      <c r="T763" s="552">
        <v>7780000</v>
      </c>
      <c r="U763" s="548">
        <v>0</v>
      </c>
      <c r="V763" s="552">
        <v>0</v>
      </c>
      <c r="W763" s="552">
        <v>846</v>
      </c>
      <c r="X763" s="552">
        <v>1645470</v>
      </c>
      <c r="Y763" s="552">
        <v>4000</v>
      </c>
      <c r="Z763" s="552">
        <v>7780000</v>
      </c>
      <c r="AA763" s="552">
        <v>2000</v>
      </c>
      <c r="AB763" s="552">
        <v>3890000</v>
      </c>
      <c r="AC763" s="552">
        <v>2000</v>
      </c>
      <c r="AD763" s="552">
        <v>3890000</v>
      </c>
      <c r="AE763" s="552">
        <v>0</v>
      </c>
      <c r="AF763" s="552">
        <v>0</v>
      </c>
      <c r="AG763" s="552">
        <v>0</v>
      </c>
      <c r="AH763" s="552">
        <v>0</v>
      </c>
      <c r="AI763" s="552">
        <v>0</v>
      </c>
      <c r="AJ763" s="552">
        <v>0</v>
      </c>
    </row>
    <row r="764" spans="1:36" ht="15.95" customHeight="1">
      <c r="A764" s="547"/>
      <c r="B764" s="548">
        <v>80</v>
      </c>
      <c r="C764" s="549">
        <v>7398</v>
      </c>
      <c r="D764" s="550" t="s">
        <v>12268</v>
      </c>
      <c r="E764" s="550" t="s">
        <v>4596</v>
      </c>
      <c r="F764" s="550" t="s">
        <v>4597</v>
      </c>
      <c r="G764" s="550" t="s">
        <v>4598</v>
      </c>
      <c r="H764" s="550" t="s">
        <v>4599</v>
      </c>
      <c r="I764" s="550" t="s">
        <v>11</v>
      </c>
      <c r="J764" s="550" t="s">
        <v>12270</v>
      </c>
      <c r="K764" s="551">
        <v>45318</v>
      </c>
      <c r="L764" s="552">
        <v>1945</v>
      </c>
      <c r="M764" s="552">
        <v>1945</v>
      </c>
      <c r="N764" s="552">
        <v>1945</v>
      </c>
      <c r="O764" s="552"/>
      <c r="P764" s="552"/>
      <c r="Q764" s="548">
        <v>3000</v>
      </c>
      <c r="R764" s="552">
        <v>5835000</v>
      </c>
      <c r="S764" s="548">
        <v>1642</v>
      </c>
      <c r="T764" s="552">
        <v>3193690</v>
      </c>
      <c r="U764" s="548">
        <v>1358</v>
      </c>
      <c r="V764" s="552">
        <v>2641310</v>
      </c>
      <c r="W764" s="552">
        <v>0</v>
      </c>
      <c r="X764" s="552">
        <v>0</v>
      </c>
      <c r="Y764" s="552">
        <v>1642</v>
      </c>
      <c r="Z764" s="552">
        <v>3193690</v>
      </c>
      <c r="AA764" s="552">
        <v>1642</v>
      </c>
      <c r="AB764" s="552">
        <v>3193690</v>
      </c>
      <c r="AC764" s="552">
        <v>0</v>
      </c>
      <c r="AD764" s="552">
        <v>0</v>
      </c>
      <c r="AE764" s="552">
        <v>0</v>
      </c>
      <c r="AF764" s="552">
        <v>0</v>
      </c>
      <c r="AG764" s="552">
        <v>0</v>
      </c>
      <c r="AH764" s="552">
        <v>0</v>
      </c>
      <c r="AI764" s="552">
        <v>0</v>
      </c>
      <c r="AJ764" s="552">
        <v>0</v>
      </c>
    </row>
    <row r="765" spans="1:36" ht="15.95" customHeight="1">
      <c r="A765" s="547"/>
      <c r="B765" s="548">
        <v>95</v>
      </c>
      <c r="C765" s="549">
        <v>7399</v>
      </c>
      <c r="D765" s="550" t="s">
        <v>12271</v>
      </c>
      <c r="E765" s="550" t="s">
        <v>4600</v>
      </c>
      <c r="F765" s="550" t="s">
        <v>4601</v>
      </c>
      <c r="G765" s="550" t="s">
        <v>2233</v>
      </c>
      <c r="H765" s="550" t="s">
        <v>4602</v>
      </c>
      <c r="I765" s="550" t="s">
        <v>15</v>
      </c>
      <c r="J765" s="550" t="s">
        <v>4603</v>
      </c>
      <c r="K765" s="551">
        <v>44742</v>
      </c>
      <c r="L765" s="552">
        <v>55000</v>
      </c>
      <c r="M765" s="552">
        <v>55000</v>
      </c>
      <c r="N765" s="552">
        <v>55000</v>
      </c>
      <c r="O765" s="552">
        <v>104</v>
      </c>
      <c r="P765" s="552">
        <v>5720000</v>
      </c>
      <c r="Q765" s="548">
        <v>1310</v>
      </c>
      <c r="R765" s="552">
        <v>72050000</v>
      </c>
      <c r="S765" s="548">
        <v>1079</v>
      </c>
      <c r="T765" s="552">
        <v>59345000</v>
      </c>
      <c r="U765" s="548">
        <v>335</v>
      </c>
      <c r="V765" s="552">
        <v>18425000</v>
      </c>
      <c r="W765" s="552">
        <v>206</v>
      </c>
      <c r="X765" s="552">
        <v>11330000</v>
      </c>
      <c r="Y765" s="552">
        <v>1076</v>
      </c>
      <c r="Z765" s="552">
        <v>59180000</v>
      </c>
      <c r="AA765" s="552">
        <v>916</v>
      </c>
      <c r="AB765" s="552">
        <v>50380000</v>
      </c>
      <c r="AC765" s="552">
        <v>160</v>
      </c>
      <c r="AD765" s="552">
        <v>8800000</v>
      </c>
      <c r="AE765" s="552">
        <v>0</v>
      </c>
      <c r="AF765" s="552">
        <v>0</v>
      </c>
      <c r="AG765" s="552">
        <v>3</v>
      </c>
      <c r="AH765" s="552">
        <v>165000</v>
      </c>
      <c r="AI765" s="552">
        <v>0</v>
      </c>
      <c r="AJ765" s="552">
        <v>0</v>
      </c>
    </row>
    <row r="766" spans="1:36" ht="15.95" customHeight="1">
      <c r="A766" s="547"/>
      <c r="B766" s="548">
        <v>96</v>
      </c>
      <c r="C766" s="549">
        <v>7400</v>
      </c>
      <c r="D766" s="550" t="s">
        <v>12272</v>
      </c>
      <c r="E766" s="550" t="s">
        <v>4604</v>
      </c>
      <c r="F766" s="550" t="s">
        <v>21</v>
      </c>
      <c r="G766" s="550" t="s">
        <v>4605</v>
      </c>
      <c r="H766" s="550" t="s">
        <v>4606</v>
      </c>
      <c r="I766" s="550" t="s">
        <v>11</v>
      </c>
      <c r="J766" s="550" t="s">
        <v>12273</v>
      </c>
      <c r="K766" s="551">
        <v>45295</v>
      </c>
      <c r="L766" s="552">
        <v>1260</v>
      </c>
      <c r="M766" s="552">
        <v>1260</v>
      </c>
      <c r="N766" s="552">
        <v>1260</v>
      </c>
      <c r="O766" s="552"/>
      <c r="P766" s="552"/>
      <c r="Q766" s="548">
        <v>10000</v>
      </c>
      <c r="R766" s="552">
        <v>12600000</v>
      </c>
      <c r="S766" s="548">
        <v>0</v>
      </c>
      <c r="T766" s="552">
        <v>0</v>
      </c>
      <c r="U766" s="548">
        <v>10000</v>
      </c>
      <c r="V766" s="552">
        <v>12600000</v>
      </c>
      <c r="W766" s="552">
        <v>0</v>
      </c>
      <c r="X766" s="552">
        <v>0</v>
      </c>
      <c r="Y766" s="552">
        <v>0</v>
      </c>
      <c r="Z766" s="552">
        <v>0</v>
      </c>
      <c r="AA766" s="552">
        <v>0</v>
      </c>
      <c r="AB766" s="552">
        <v>0</v>
      </c>
      <c r="AC766" s="552">
        <v>0</v>
      </c>
      <c r="AD766" s="552">
        <v>0</v>
      </c>
      <c r="AE766" s="552">
        <v>0</v>
      </c>
      <c r="AF766" s="552">
        <v>0</v>
      </c>
      <c r="AG766" s="552">
        <v>0</v>
      </c>
      <c r="AH766" s="552">
        <v>0</v>
      </c>
      <c r="AI766" s="552">
        <v>0</v>
      </c>
      <c r="AJ766" s="552">
        <v>0</v>
      </c>
    </row>
    <row r="767" spans="1:36" ht="15.95" customHeight="1">
      <c r="A767" s="547"/>
      <c r="B767" s="548">
        <v>97</v>
      </c>
      <c r="C767" s="549">
        <v>7400</v>
      </c>
      <c r="D767" s="550" t="s">
        <v>12272</v>
      </c>
      <c r="E767" s="550" t="s">
        <v>4604</v>
      </c>
      <c r="F767" s="550" t="s">
        <v>21</v>
      </c>
      <c r="G767" s="550" t="s">
        <v>4605</v>
      </c>
      <c r="H767" s="550" t="s">
        <v>4606</v>
      </c>
      <c r="I767" s="550" t="s">
        <v>11</v>
      </c>
      <c r="J767" s="550" t="s">
        <v>4607</v>
      </c>
      <c r="K767" s="551">
        <v>45053</v>
      </c>
      <c r="L767" s="552">
        <v>1260</v>
      </c>
      <c r="M767" s="552">
        <v>1260</v>
      </c>
      <c r="N767" s="552">
        <v>1260</v>
      </c>
      <c r="O767" s="552">
        <v>26825</v>
      </c>
      <c r="P767" s="552">
        <v>33799500</v>
      </c>
      <c r="Q767" s="548">
        <v>0</v>
      </c>
      <c r="R767" s="552">
        <v>0</v>
      </c>
      <c r="S767" s="548">
        <v>26825</v>
      </c>
      <c r="T767" s="552">
        <v>33799500</v>
      </c>
      <c r="U767" s="548">
        <v>0</v>
      </c>
      <c r="V767" s="552">
        <v>0</v>
      </c>
      <c r="W767" s="552">
        <v>7724</v>
      </c>
      <c r="X767" s="552">
        <v>9732240</v>
      </c>
      <c r="Y767" s="552">
        <v>26675</v>
      </c>
      <c r="Z767" s="552">
        <v>33610500</v>
      </c>
      <c r="AA767" s="552">
        <v>20675</v>
      </c>
      <c r="AB767" s="552">
        <v>26050500</v>
      </c>
      <c r="AC767" s="552">
        <v>6000</v>
      </c>
      <c r="AD767" s="552">
        <v>7560000</v>
      </c>
      <c r="AE767" s="552">
        <v>0</v>
      </c>
      <c r="AF767" s="552">
        <v>0</v>
      </c>
      <c r="AG767" s="552">
        <v>150</v>
      </c>
      <c r="AH767" s="552">
        <v>189000</v>
      </c>
      <c r="AI767" s="552">
        <v>0</v>
      </c>
      <c r="AJ767" s="552">
        <v>0</v>
      </c>
    </row>
    <row r="768" spans="1:36" ht="15.95" customHeight="1">
      <c r="A768" s="547"/>
      <c r="B768" s="548">
        <v>98</v>
      </c>
      <c r="C768" s="549">
        <v>7400</v>
      </c>
      <c r="D768" s="550" t="s">
        <v>12272</v>
      </c>
      <c r="E768" s="550" t="s">
        <v>4604</v>
      </c>
      <c r="F768" s="550" t="s">
        <v>21</v>
      </c>
      <c r="G768" s="550" t="s">
        <v>4605</v>
      </c>
      <c r="H768" s="550" t="s">
        <v>4606</v>
      </c>
      <c r="I768" s="550" t="s">
        <v>11</v>
      </c>
      <c r="J768" s="550" t="s">
        <v>12040</v>
      </c>
      <c r="K768" s="551">
        <v>45291</v>
      </c>
      <c r="L768" s="552">
        <v>1260</v>
      </c>
      <c r="M768" s="552">
        <v>1260</v>
      </c>
      <c r="N768" s="552">
        <v>1260</v>
      </c>
      <c r="O768" s="552"/>
      <c r="P768" s="552"/>
      <c r="Q768" s="548">
        <v>1500</v>
      </c>
      <c r="R768" s="552">
        <v>1890000</v>
      </c>
      <c r="S768" s="548">
        <v>503</v>
      </c>
      <c r="T768" s="552">
        <v>633780</v>
      </c>
      <c r="U768" s="548">
        <v>997</v>
      </c>
      <c r="V768" s="552">
        <v>1256220</v>
      </c>
      <c r="W768" s="552">
        <v>0</v>
      </c>
      <c r="X768" s="552">
        <v>0</v>
      </c>
      <c r="Y768" s="552">
        <v>503</v>
      </c>
      <c r="Z768" s="552">
        <v>633780</v>
      </c>
      <c r="AA768" s="552">
        <v>503</v>
      </c>
      <c r="AB768" s="552">
        <v>633780</v>
      </c>
      <c r="AC768" s="552">
        <v>0</v>
      </c>
      <c r="AD768" s="552">
        <v>0</v>
      </c>
      <c r="AE768" s="552">
        <v>0</v>
      </c>
      <c r="AF768" s="552">
        <v>0</v>
      </c>
      <c r="AG768" s="552">
        <v>0</v>
      </c>
      <c r="AH768" s="552">
        <v>0</v>
      </c>
      <c r="AI768" s="552">
        <v>0</v>
      </c>
      <c r="AJ768" s="552">
        <v>0</v>
      </c>
    </row>
    <row r="769" spans="1:36" ht="15.95" customHeight="1">
      <c r="A769" s="547"/>
      <c r="B769" s="548">
        <v>130</v>
      </c>
      <c r="C769" s="549">
        <v>7401</v>
      </c>
      <c r="D769" s="550" t="s">
        <v>12274</v>
      </c>
      <c r="E769" s="550" t="s">
        <v>4608</v>
      </c>
      <c r="F769" s="550" t="s">
        <v>4609</v>
      </c>
      <c r="G769" s="550" t="s">
        <v>4610</v>
      </c>
      <c r="H769" s="550" t="s">
        <v>4611</v>
      </c>
      <c r="I769" s="550" t="s">
        <v>11</v>
      </c>
      <c r="J769" s="550" t="s">
        <v>3984</v>
      </c>
      <c r="K769" s="551">
        <v>44638</v>
      </c>
      <c r="L769" s="552">
        <v>1850</v>
      </c>
      <c r="M769" s="552">
        <v>1850</v>
      </c>
      <c r="N769" s="552">
        <v>1850</v>
      </c>
      <c r="O769" s="552">
        <v>1990</v>
      </c>
      <c r="P769" s="552">
        <v>3681500</v>
      </c>
      <c r="Q769" s="548">
        <v>500</v>
      </c>
      <c r="R769" s="552">
        <v>925000</v>
      </c>
      <c r="S769" s="548">
        <v>2490</v>
      </c>
      <c r="T769" s="552">
        <v>4606500</v>
      </c>
      <c r="U769" s="548">
        <v>0</v>
      </c>
      <c r="V769" s="552">
        <v>0</v>
      </c>
      <c r="W769" s="552">
        <v>500</v>
      </c>
      <c r="X769" s="552">
        <v>925000</v>
      </c>
      <c r="Y769" s="552">
        <v>2490</v>
      </c>
      <c r="Z769" s="552">
        <v>4606500</v>
      </c>
      <c r="AA769" s="552">
        <v>1990</v>
      </c>
      <c r="AB769" s="552">
        <v>3681500</v>
      </c>
      <c r="AC769" s="552">
        <v>500</v>
      </c>
      <c r="AD769" s="552">
        <v>925000</v>
      </c>
      <c r="AE769" s="552">
        <v>0</v>
      </c>
      <c r="AF769" s="552">
        <v>0</v>
      </c>
      <c r="AG769" s="552">
        <v>0</v>
      </c>
      <c r="AH769" s="552">
        <v>0</v>
      </c>
      <c r="AI769" s="552">
        <v>0</v>
      </c>
      <c r="AJ769" s="552">
        <v>0</v>
      </c>
    </row>
    <row r="770" spans="1:36" ht="15.95" customHeight="1">
      <c r="A770" s="547"/>
      <c r="B770" s="548">
        <v>131</v>
      </c>
      <c r="C770" s="549">
        <v>7401</v>
      </c>
      <c r="D770" s="550" t="s">
        <v>12274</v>
      </c>
      <c r="E770" s="550" t="s">
        <v>4608</v>
      </c>
      <c r="F770" s="550" t="s">
        <v>4609</v>
      </c>
      <c r="G770" s="550" t="s">
        <v>4610</v>
      </c>
      <c r="H770" s="550" t="s">
        <v>4611</v>
      </c>
      <c r="I770" s="550" t="s">
        <v>11</v>
      </c>
      <c r="J770" s="550" t="s">
        <v>3985</v>
      </c>
      <c r="K770" s="551">
        <v>44753</v>
      </c>
      <c r="L770" s="552">
        <v>1850</v>
      </c>
      <c r="M770" s="552">
        <v>1850</v>
      </c>
      <c r="N770" s="552">
        <v>1850</v>
      </c>
      <c r="O770" s="552"/>
      <c r="P770" s="552"/>
      <c r="Q770" s="548">
        <v>2000</v>
      </c>
      <c r="R770" s="552">
        <v>3700000</v>
      </c>
      <c r="S770" s="548">
        <v>76</v>
      </c>
      <c r="T770" s="552">
        <v>140600</v>
      </c>
      <c r="U770" s="548">
        <v>1924</v>
      </c>
      <c r="V770" s="552">
        <v>3559400</v>
      </c>
      <c r="W770" s="552">
        <v>0</v>
      </c>
      <c r="X770" s="552">
        <v>0</v>
      </c>
      <c r="Y770" s="552">
        <v>76</v>
      </c>
      <c r="Z770" s="552">
        <v>140600</v>
      </c>
      <c r="AA770" s="552">
        <v>76</v>
      </c>
      <c r="AB770" s="552">
        <v>140600</v>
      </c>
      <c r="AC770" s="552">
        <v>0</v>
      </c>
      <c r="AD770" s="552">
        <v>0</v>
      </c>
      <c r="AE770" s="552">
        <v>0</v>
      </c>
      <c r="AF770" s="552">
        <v>0</v>
      </c>
      <c r="AG770" s="552">
        <v>0</v>
      </c>
      <c r="AH770" s="552">
        <v>0</v>
      </c>
      <c r="AI770" s="552">
        <v>0</v>
      </c>
      <c r="AJ770" s="552">
        <v>0</v>
      </c>
    </row>
    <row r="771" spans="1:36" ht="15.95" customHeight="1">
      <c r="A771" s="547"/>
      <c r="B771" s="548">
        <v>132</v>
      </c>
      <c r="C771" s="549">
        <v>7402</v>
      </c>
      <c r="D771" s="550" t="s">
        <v>12275</v>
      </c>
      <c r="E771" s="550" t="s">
        <v>4612</v>
      </c>
      <c r="F771" s="550" t="s">
        <v>30</v>
      </c>
      <c r="G771" s="550" t="s">
        <v>31</v>
      </c>
      <c r="H771" s="550" t="s">
        <v>4613</v>
      </c>
      <c r="I771" s="550" t="s">
        <v>11</v>
      </c>
      <c r="J771" s="550" t="s">
        <v>4614</v>
      </c>
      <c r="K771" s="551">
        <v>44694</v>
      </c>
      <c r="L771" s="552">
        <v>1600</v>
      </c>
      <c r="M771" s="552">
        <v>1600</v>
      </c>
      <c r="N771" s="552">
        <v>1600</v>
      </c>
      <c r="O771" s="552">
        <v>8586</v>
      </c>
      <c r="P771" s="552">
        <v>13737600</v>
      </c>
      <c r="Q771" s="548">
        <v>1000</v>
      </c>
      <c r="R771" s="552">
        <v>1600000</v>
      </c>
      <c r="S771" s="548">
        <v>9586</v>
      </c>
      <c r="T771" s="552">
        <v>15337600</v>
      </c>
      <c r="U771" s="548">
        <v>0</v>
      </c>
      <c r="V771" s="552">
        <v>0</v>
      </c>
      <c r="W771" s="552">
        <v>4640</v>
      </c>
      <c r="X771" s="552">
        <v>7424000</v>
      </c>
      <c r="Y771" s="552">
        <v>9436</v>
      </c>
      <c r="Z771" s="552">
        <v>15097600</v>
      </c>
      <c r="AA771" s="552">
        <v>4786</v>
      </c>
      <c r="AB771" s="552">
        <v>7657600</v>
      </c>
      <c r="AC771" s="552">
        <v>4650</v>
      </c>
      <c r="AD771" s="552">
        <v>7440000</v>
      </c>
      <c r="AE771" s="552">
        <v>0</v>
      </c>
      <c r="AF771" s="552">
        <v>0</v>
      </c>
      <c r="AG771" s="552">
        <v>150</v>
      </c>
      <c r="AH771" s="552">
        <v>240000</v>
      </c>
      <c r="AI771" s="552">
        <v>0</v>
      </c>
      <c r="AJ771" s="552">
        <v>0</v>
      </c>
    </row>
    <row r="772" spans="1:36" ht="15.95" customHeight="1">
      <c r="A772" s="547"/>
      <c r="B772" s="548">
        <v>133</v>
      </c>
      <c r="C772" s="549">
        <v>7403</v>
      </c>
      <c r="D772" s="550" t="s">
        <v>12276</v>
      </c>
      <c r="E772" s="550" t="s">
        <v>4616</v>
      </c>
      <c r="F772" s="550" t="s">
        <v>4617</v>
      </c>
      <c r="G772" s="550" t="s">
        <v>4618</v>
      </c>
      <c r="H772" s="550" t="s">
        <v>4619</v>
      </c>
      <c r="I772" s="550" t="s">
        <v>658</v>
      </c>
      <c r="J772" s="550" t="s">
        <v>4620</v>
      </c>
      <c r="K772" s="551">
        <v>44357</v>
      </c>
      <c r="L772" s="552">
        <v>56900</v>
      </c>
      <c r="M772" s="552">
        <v>56900</v>
      </c>
      <c r="N772" s="552">
        <v>56900</v>
      </c>
      <c r="O772" s="552">
        <v>72</v>
      </c>
      <c r="P772" s="552">
        <v>4096800</v>
      </c>
      <c r="Q772" s="548">
        <v>0</v>
      </c>
      <c r="R772" s="552">
        <v>0</v>
      </c>
      <c r="S772" s="548">
        <v>72</v>
      </c>
      <c r="T772" s="552">
        <v>4096800</v>
      </c>
      <c r="U772" s="548">
        <v>0</v>
      </c>
      <c r="V772" s="552">
        <v>0</v>
      </c>
      <c r="W772" s="552">
        <v>0</v>
      </c>
      <c r="X772" s="552">
        <v>0</v>
      </c>
      <c r="Y772" s="552">
        <v>72</v>
      </c>
      <c r="Z772" s="552">
        <v>4096800</v>
      </c>
      <c r="AA772" s="552">
        <v>72</v>
      </c>
      <c r="AB772" s="552">
        <v>4096800</v>
      </c>
      <c r="AC772" s="552">
        <v>0</v>
      </c>
      <c r="AD772" s="552">
        <v>0</v>
      </c>
      <c r="AE772" s="552">
        <v>0</v>
      </c>
      <c r="AF772" s="552">
        <v>0</v>
      </c>
      <c r="AG772" s="552">
        <v>0</v>
      </c>
      <c r="AH772" s="552">
        <v>0</v>
      </c>
      <c r="AI772" s="552">
        <v>0</v>
      </c>
      <c r="AJ772" s="552">
        <v>0</v>
      </c>
    </row>
    <row r="773" spans="1:36" ht="15.95" customHeight="1">
      <c r="A773" s="547"/>
      <c r="B773" s="548">
        <v>180</v>
      </c>
      <c r="C773" s="549">
        <v>7404</v>
      </c>
      <c r="D773" s="550" t="s">
        <v>12277</v>
      </c>
      <c r="E773" s="550" t="s">
        <v>4621</v>
      </c>
      <c r="F773" s="550" t="s">
        <v>38</v>
      </c>
      <c r="G773" s="550" t="s">
        <v>39</v>
      </c>
      <c r="H773" s="550" t="s">
        <v>40</v>
      </c>
      <c r="I773" s="550" t="s">
        <v>11</v>
      </c>
      <c r="J773" s="550" t="s">
        <v>11686</v>
      </c>
      <c r="K773" s="551">
        <v>45327</v>
      </c>
      <c r="L773" s="552">
        <v>1150</v>
      </c>
      <c r="M773" s="552">
        <v>1150</v>
      </c>
      <c r="N773" s="552">
        <v>1150</v>
      </c>
      <c r="O773" s="552"/>
      <c r="P773" s="552"/>
      <c r="Q773" s="548">
        <v>7000</v>
      </c>
      <c r="R773" s="552">
        <v>8050000</v>
      </c>
      <c r="S773" s="548">
        <v>5175</v>
      </c>
      <c r="T773" s="552">
        <v>5951250</v>
      </c>
      <c r="U773" s="548">
        <v>1825</v>
      </c>
      <c r="V773" s="552">
        <v>2098750</v>
      </c>
      <c r="W773" s="552">
        <v>0</v>
      </c>
      <c r="X773" s="552">
        <v>0</v>
      </c>
      <c r="Y773" s="552">
        <v>5175</v>
      </c>
      <c r="Z773" s="552">
        <v>5951250</v>
      </c>
      <c r="AA773" s="552">
        <v>5175</v>
      </c>
      <c r="AB773" s="552">
        <v>5951250</v>
      </c>
      <c r="AC773" s="552">
        <v>0</v>
      </c>
      <c r="AD773" s="552">
        <v>0</v>
      </c>
      <c r="AE773" s="552">
        <v>0</v>
      </c>
      <c r="AF773" s="552">
        <v>0</v>
      </c>
      <c r="AG773" s="552">
        <v>0</v>
      </c>
      <c r="AH773" s="552">
        <v>0</v>
      </c>
      <c r="AI773" s="552">
        <v>0</v>
      </c>
      <c r="AJ773" s="552">
        <v>0</v>
      </c>
    </row>
    <row r="774" spans="1:36" ht="15.95" customHeight="1">
      <c r="A774" s="547"/>
      <c r="B774" s="548">
        <v>181</v>
      </c>
      <c r="C774" s="549">
        <v>7404</v>
      </c>
      <c r="D774" s="550" t="s">
        <v>12277</v>
      </c>
      <c r="E774" s="550" t="s">
        <v>4621</v>
      </c>
      <c r="F774" s="550" t="s">
        <v>38</v>
      </c>
      <c r="G774" s="550" t="s">
        <v>39</v>
      </c>
      <c r="H774" s="550" t="s">
        <v>40</v>
      </c>
      <c r="I774" s="550" t="s">
        <v>11</v>
      </c>
      <c r="J774" s="550" t="s">
        <v>4731</v>
      </c>
      <c r="K774" s="551">
        <v>45153</v>
      </c>
      <c r="L774" s="552">
        <v>1150</v>
      </c>
      <c r="M774" s="552">
        <v>1150</v>
      </c>
      <c r="N774" s="552">
        <v>1150</v>
      </c>
      <c r="O774" s="552">
        <v>3536</v>
      </c>
      <c r="P774" s="552">
        <v>4066400</v>
      </c>
      <c r="Q774" s="548">
        <v>0</v>
      </c>
      <c r="R774" s="552">
        <v>0</v>
      </c>
      <c r="S774" s="548">
        <v>3536</v>
      </c>
      <c r="T774" s="552">
        <v>4066400</v>
      </c>
      <c r="U774" s="548">
        <v>0</v>
      </c>
      <c r="V774" s="552">
        <v>0</v>
      </c>
      <c r="W774" s="552">
        <v>0</v>
      </c>
      <c r="X774" s="552">
        <v>0</v>
      </c>
      <c r="Y774" s="552">
        <v>3536</v>
      </c>
      <c r="Z774" s="552">
        <v>4066400</v>
      </c>
      <c r="AA774" s="552">
        <v>3536</v>
      </c>
      <c r="AB774" s="552">
        <v>4066400</v>
      </c>
      <c r="AC774" s="552">
        <v>0</v>
      </c>
      <c r="AD774" s="552">
        <v>0</v>
      </c>
      <c r="AE774" s="552">
        <v>0</v>
      </c>
      <c r="AF774" s="552">
        <v>0</v>
      </c>
      <c r="AG774" s="552">
        <v>0</v>
      </c>
      <c r="AH774" s="552">
        <v>0</v>
      </c>
      <c r="AI774" s="552">
        <v>0</v>
      </c>
      <c r="AJ774" s="552">
        <v>0</v>
      </c>
    </row>
    <row r="775" spans="1:36" ht="15.95" customHeight="1">
      <c r="A775" s="547"/>
      <c r="B775" s="548">
        <v>182</v>
      </c>
      <c r="C775" s="549">
        <v>7404</v>
      </c>
      <c r="D775" s="550" t="s">
        <v>12277</v>
      </c>
      <c r="E775" s="550" t="s">
        <v>4621</v>
      </c>
      <c r="F775" s="550" t="s">
        <v>38</v>
      </c>
      <c r="G775" s="550" t="s">
        <v>39</v>
      </c>
      <c r="H775" s="550" t="s">
        <v>40</v>
      </c>
      <c r="I775" s="550" t="s">
        <v>11</v>
      </c>
      <c r="J775" s="550" t="s">
        <v>4708</v>
      </c>
      <c r="K775" s="551">
        <v>45248</v>
      </c>
      <c r="L775" s="552">
        <v>1150</v>
      </c>
      <c r="M775" s="552">
        <v>1150</v>
      </c>
      <c r="N775" s="552">
        <v>1150</v>
      </c>
      <c r="O775" s="552"/>
      <c r="P775" s="552"/>
      <c r="Q775" s="548">
        <v>7000</v>
      </c>
      <c r="R775" s="552">
        <v>8050000</v>
      </c>
      <c r="S775" s="548">
        <v>7000</v>
      </c>
      <c r="T775" s="552">
        <v>8050000</v>
      </c>
      <c r="U775" s="548">
        <v>0</v>
      </c>
      <c r="V775" s="552">
        <v>0</v>
      </c>
      <c r="W775" s="552">
        <v>0</v>
      </c>
      <c r="X775" s="552">
        <v>0</v>
      </c>
      <c r="Y775" s="552">
        <v>7000</v>
      </c>
      <c r="Z775" s="552">
        <v>8050000</v>
      </c>
      <c r="AA775" s="552">
        <v>7000</v>
      </c>
      <c r="AB775" s="552">
        <v>8050000</v>
      </c>
      <c r="AC775" s="552">
        <v>0</v>
      </c>
      <c r="AD775" s="552">
        <v>0</v>
      </c>
      <c r="AE775" s="552">
        <v>0</v>
      </c>
      <c r="AF775" s="552">
        <v>0</v>
      </c>
      <c r="AG775" s="552">
        <v>0</v>
      </c>
      <c r="AH775" s="552">
        <v>0</v>
      </c>
      <c r="AI775" s="552">
        <v>0</v>
      </c>
      <c r="AJ775" s="552">
        <v>0</v>
      </c>
    </row>
    <row r="776" spans="1:36" ht="15.95" customHeight="1">
      <c r="A776" s="547"/>
      <c r="B776" s="548">
        <v>186</v>
      </c>
      <c r="C776" s="549">
        <v>5776</v>
      </c>
      <c r="D776" s="550"/>
      <c r="E776" s="550" t="s">
        <v>4622</v>
      </c>
      <c r="F776" s="550" t="s">
        <v>51</v>
      </c>
      <c r="G776" s="550" t="s">
        <v>52</v>
      </c>
      <c r="H776" s="550" t="s">
        <v>53</v>
      </c>
      <c r="I776" s="550" t="s">
        <v>50</v>
      </c>
      <c r="J776" s="550" t="s">
        <v>4081</v>
      </c>
      <c r="K776" s="551">
        <v>44444</v>
      </c>
      <c r="L776" s="552">
        <v>60000</v>
      </c>
      <c r="M776" s="552">
        <v>60000</v>
      </c>
      <c r="N776" s="552">
        <v>60000</v>
      </c>
      <c r="O776" s="552">
        <v>416</v>
      </c>
      <c r="P776" s="552">
        <v>24960000</v>
      </c>
      <c r="Q776" s="548">
        <v>0</v>
      </c>
      <c r="R776" s="552">
        <v>0</v>
      </c>
      <c r="S776" s="548">
        <v>416</v>
      </c>
      <c r="T776" s="552">
        <v>24960000</v>
      </c>
      <c r="U776" s="548">
        <v>0</v>
      </c>
      <c r="V776" s="552">
        <v>0</v>
      </c>
      <c r="W776" s="552">
        <v>69</v>
      </c>
      <c r="X776" s="552">
        <v>4140000</v>
      </c>
      <c r="Y776" s="552">
        <v>416</v>
      </c>
      <c r="Z776" s="552">
        <v>24960000</v>
      </c>
      <c r="AA776" s="552">
        <v>346</v>
      </c>
      <c r="AB776" s="552">
        <v>20760000</v>
      </c>
      <c r="AC776" s="552">
        <v>70</v>
      </c>
      <c r="AD776" s="552">
        <v>4200000</v>
      </c>
      <c r="AE776" s="552">
        <v>0</v>
      </c>
      <c r="AF776" s="552">
        <v>0</v>
      </c>
      <c r="AG776" s="552">
        <v>0</v>
      </c>
      <c r="AH776" s="552">
        <v>0</v>
      </c>
      <c r="AI776" s="552">
        <v>0</v>
      </c>
      <c r="AJ776" s="552">
        <v>0</v>
      </c>
    </row>
    <row r="777" spans="1:36" ht="15.95" customHeight="1">
      <c r="A777" s="547"/>
      <c r="B777" s="548">
        <v>187</v>
      </c>
      <c r="C777" s="549">
        <v>7405</v>
      </c>
      <c r="D777" s="550" t="s">
        <v>12278</v>
      </c>
      <c r="E777" s="550" t="s">
        <v>8691</v>
      </c>
      <c r="F777" s="550" t="s">
        <v>8694</v>
      </c>
      <c r="G777" s="550" t="s">
        <v>12279</v>
      </c>
      <c r="H777" s="550" t="s">
        <v>12280</v>
      </c>
      <c r="I777" s="550" t="s">
        <v>658</v>
      </c>
      <c r="J777" s="550" t="s">
        <v>12281</v>
      </c>
      <c r="K777" s="551">
        <v>45175</v>
      </c>
      <c r="L777" s="552">
        <v>68000</v>
      </c>
      <c r="M777" s="552">
        <v>68000</v>
      </c>
      <c r="N777" s="552">
        <v>68000</v>
      </c>
      <c r="O777" s="552">
        <v>188</v>
      </c>
      <c r="P777" s="552">
        <v>12784000</v>
      </c>
      <c r="Q777" s="548">
        <v>0</v>
      </c>
      <c r="R777" s="552">
        <v>0</v>
      </c>
      <c r="S777" s="548">
        <v>36</v>
      </c>
      <c r="T777" s="552">
        <v>2448000</v>
      </c>
      <c r="U777" s="548">
        <v>152</v>
      </c>
      <c r="V777" s="552">
        <v>10336000</v>
      </c>
      <c r="W777" s="552">
        <v>0</v>
      </c>
      <c r="X777" s="552">
        <v>0</v>
      </c>
      <c r="Y777" s="552">
        <v>36</v>
      </c>
      <c r="Z777" s="552">
        <v>2448000</v>
      </c>
      <c r="AA777" s="552">
        <v>36</v>
      </c>
      <c r="AB777" s="552">
        <v>2448000</v>
      </c>
      <c r="AC777" s="552">
        <v>0</v>
      </c>
      <c r="AD777" s="552">
        <v>0</v>
      </c>
      <c r="AE777" s="552">
        <v>0</v>
      </c>
      <c r="AF777" s="552">
        <v>0</v>
      </c>
      <c r="AG777" s="552">
        <v>0</v>
      </c>
      <c r="AH777" s="552">
        <v>0</v>
      </c>
      <c r="AI777" s="552">
        <v>0</v>
      </c>
      <c r="AJ777" s="552">
        <v>0</v>
      </c>
    </row>
    <row r="778" spans="1:36" ht="15.95" customHeight="1">
      <c r="A778" s="547"/>
      <c r="B778" s="548">
        <v>188</v>
      </c>
      <c r="C778" s="549">
        <v>7406</v>
      </c>
      <c r="D778" s="550" t="s">
        <v>12282</v>
      </c>
      <c r="E778" s="550" t="s">
        <v>4623</v>
      </c>
      <c r="F778" s="550" t="s">
        <v>54</v>
      </c>
      <c r="G778" s="550" t="s">
        <v>55</v>
      </c>
      <c r="H778" s="550" t="s">
        <v>56</v>
      </c>
      <c r="I778" s="550" t="s">
        <v>15</v>
      </c>
      <c r="J778" s="550" t="s">
        <v>11754</v>
      </c>
      <c r="K778" s="551">
        <v>45587</v>
      </c>
      <c r="L778" s="552">
        <v>31000</v>
      </c>
      <c r="M778" s="552">
        <v>31000</v>
      </c>
      <c r="N778" s="552">
        <v>31000</v>
      </c>
      <c r="O778" s="552"/>
      <c r="P778" s="552"/>
      <c r="Q778" s="548">
        <v>1500</v>
      </c>
      <c r="R778" s="552">
        <v>46500000</v>
      </c>
      <c r="S778" s="548">
        <v>70</v>
      </c>
      <c r="T778" s="552">
        <v>2170000</v>
      </c>
      <c r="U778" s="548">
        <v>1430</v>
      </c>
      <c r="V778" s="552">
        <v>44330000</v>
      </c>
      <c r="W778" s="552">
        <v>0</v>
      </c>
      <c r="X778" s="552">
        <v>0</v>
      </c>
      <c r="Y778" s="552">
        <v>70</v>
      </c>
      <c r="Z778" s="552">
        <v>2170000</v>
      </c>
      <c r="AA778" s="552">
        <v>70</v>
      </c>
      <c r="AB778" s="552">
        <v>2170000</v>
      </c>
      <c r="AC778" s="552">
        <v>0</v>
      </c>
      <c r="AD778" s="552">
        <v>0</v>
      </c>
      <c r="AE778" s="552">
        <v>0</v>
      </c>
      <c r="AF778" s="552">
        <v>0</v>
      </c>
      <c r="AG778" s="552">
        <v>0</v>
      </c>
      <c r="AH778" s="552">
        <v>0</v>
      </c>
      <c r="AI778" s="552">
        <v>0</v>
      </c>
      <c r="AJ778" s="552">
        <v>0</v>
      </c>
    </row>
    <row r="779" spans="1:36" ht="15.95" customHeight="1">
      <c r="A779" s="547"/>
      <c r="B779" s="548">
        <v>189</v>
      </c>
      <c r="C779" s="549">
        <v>7479</v>
      </c>
      <c r="D779" s="550" t="s">
        <v>12283</v>
      </c>
      <c r="E779" s="550" t="s">
        <v>4624</v>
      </c>
      <c r="F779" s="550" t="s">
        <v>4625</v>
      </c>
      <c r="G779" s="550" t="s">
        <v>4626</v>
      </c>
      <c r="H779" s="550" t="s">
        <v>4627</v>
      </c>
      <c r="I779" s="550" t="s">
        <v>15</v>
      </c>
      <c r="J779" s="550" t="s">
        <v>4628</v>
      </c>
      <c r="K779" s="551">
        <v>44741</v>
      </c>
      <c r="L779" s="552">
        <v>55000</v>
      </c>
      <c r="M779" s="552">
        <v>55000</v>
      </c>
      <c r="N779" s="552">
        <v>55000</v>
      </c>
      <c r="O779" s="552">
        <v>440</v>
      </c>
      <c r="P779" s="552">
        <v>24200000</v>
      </c>
      <c r="Q779" s="548">
        <v>950</v>
      </c>
      <c r="R779" s="552">
        <v>52250000</v>
      </c>
      <c r="S779" s="548">
        <v>1020</v>
      </c>
      <c r="T779" s="552">
        <v>56100000</v>
      </c>
      <c r="U779" s="548">
        <v>370</v>
      </c>
      <c r="V779" s="552">
        <v>20350000</v>
      </c>
      <c r="W779" s="552">
        <v>9</v>
      </c>
      <c r="X779" s="552">
        <v>495000</v>
      </c>
      <c r="Y779" s="552">
        <v>1020</v>
      </c>
      <c r="Z779" s="552">
        <v>56100000</v>
      </c>
      <c r="AA779" s="552">
        <v>960</v>
      </c>
      <c r="AB779" s="552">
        <v>52800000</v>
      </c>
      <c r="AC779" s="552">
        <v>60</v>
      </c>
      <c r="AD779" s="552">
        <v>3300000</v>
      </c>
      <c r="AE779" s="552">
        <v>0</v>
      </c>
      <c r="AF779" s="552">
        <v>0</v>
      </c>
      <c r="AG779" s="552">
        <v>0</v>
      </c>
      <c r="AH779" s="552">
        <v>0</v>
      </c>
      <c r="AI779" s="552">
        <v>0</v>
      </c>
      <c r="AJ779" s="552">
        <v>0</v>
      </c>
    </row>
    <row r="780" spans="1:36" ht="15.95" customHeight="1">
      <c r="A780" s="547"/>
      <c r="B780" s="548">
        <v>242</v>
      </c>
      <c r="C780" s="549">
        <v>7407</v>
      </c>
      <c r="D780" s="550" t="s">
        <v>12284</v>
      </c>
      <c r="E780" s="550" t="s">
        <v>8500</v>
      </c>
      <c r="F780" s="550" t="s">
        <v>2838</v>
      </c>
      <c r="G780" s="550" t="s">
        <v>2837</v>
      </c>
      <c r="H780" s="550" t="s">
        <v>12285</v>
      </c>
      <c r="I780" s="550" t="s">
        <v>11</v>
      </c>
      <c r="J780" s="550" t="s">
        <v>11571</v>
      </c>
      <c r="K780" s="551">
        <v>45294</v>
      </c>
      <c r="L780" s="552">
        <v>2500</v>
      </c>
      <c r="M780" s="552">
        <v>2500</v>
      </c>
      <c r="N780" s="552">
        <v>2500</v>
      </c>
      <c r="O780" s="552"/>
      <c r="P780" s="552"/>
      <c r="Q780" s="548">
        <v>4980</v>
      </c>
      <c r="R780" s="552">
        <v>12450000</v>
      </c>
      <c r="S780" s="548">
        <v>0</v>
      </c>
      <c r="T780" s="552">
        <v>0</v>
      </c>
      <c r="U780" s="548">
        <v>4980</v>
      </c>
      <c r="V780" s="552">
        <v>12450000</v>
      </c>
      <c r="W780" s="552">
        <v>0</v>
      </c>
      <c r="X780" s="552">
        <v>0</v>
      </c>
      <c r="Y780" s="552">
        <v>0</v>
      </c>
      <c r="Z780" s="552">
        <v>0</v>
      </c>
      <c r="AA780" s="552">
        <v>0</v>
      </c>
      <c r="AB780" s="552">
        <v>0</v>
      </c>
      <c r="AC780" s="552">
        <v>0</v>
      </c>
      <c r="AD780" s="552">
        <v>0</v>
      </c>
      <c r="AE780" s="552">
        <v>0</v>
      </c>
      <c r="AF780" s="552">
        <v>0</v>
      </c>
      <c r="AG780" s="552">
        <v>0</v>
      </c>
      <c r="AH780" s="552">
        <v>0</v>
      </c>
      <c r="AI780" s="552">
        <v>0</v>
      </c>
      <c r="AJ780" s="552">
        <v>0</v>
      </c>
    </row>
    <row r="781" spans="1:36" ht="15.95" customHeight="1">
      <c r="A781" s="547"/>
      <c r="B781" s="548">
        <v>262</v>
      </c>
      <c r="C781" s="549">
        <v>7408</v>
      </c>
      <c r="D781" s="550" t="s">
        <v>12286</v>
      </c>
      <c r="E781" s="550" t="s">
        <v>4629</v>
      </c>
      <c r="F781" s="550" t="s">
        <v>4630</v>
      </c>
      <c r="G781" s="550" t="s">
        <v>4631</v>
      </c>
      <c r="H781" s="550" t="s">
        <v>272</v>
      </c>
      <c r="I781" s="550" t="s">
        <v>11</v>
      </c>
      <c r="J781" s="550" t="s">
        <v>4632</v>
      </c>
      <c r="K781" s="551">
        <v>44927</v>
      </c>
      <c r="L781" s="552">
        <v>3600</v>
      </c>
      <c r="M781" s="552">
        <v>3600</v>
      </c>
      <c r="N781" s="552">
        <v>3600</v>
      </c>
      <c r="O781" s="552">
        <v>7687</v>
      </c>
      <c r="P781" s="552">
        <v>27673200</v>
      </c>
      <c r="Q781" s="548">
        <v>0</v>
      </c>
      <c r="R781" s="552">
        <v>0</v>
      </c>
      <c r="S781" s="548">
        <v>7099</v>
      </c>
      <c r="T781" s="552">
        <v>25556400</v>
      </c>
      <c r="U781" s="548">
        <v>588</v>
      </c>
      <c r="V781" s="552">
        <v>2116800</v>
      </c>
      <c r="W781" s="552">
        <v>0</v>
      </c>
      <c r="X781" s="552">
        <v>0</v>
      </c>
      <c r="Y781" s="552">
        <v>7099</v>
      </c>
      <c r="Z781" s="552">
        <v>25556400</v>
      </c>
      <c r="AA781" s="552">
        <v>7099</v>
      </c>
      <c r="AB781" s="552">
        <v>25556400</v>
      </c>
      <c r="AC781" s="552">
        <v>0</v>
      </c>
      <c r="AD781" s="552">
        <v>0</v>
      </c>
      <c r="AE781" s="552">
        <v>0</v>
      </c>
      <c r="AF781" s="552">
        <v>0</v>
      </c>
      <c r="AG781" s="552">
        <v>0</v>
      </c>
      <c r="AH781" s="552">
        <v>0</v>
      </c>
      <c r="AI781" s="552">
        <v>0</v>
      </c>
      <c r="AJ781" s="552">
        <v>0</v>
      </c>
    </row>
    <row r="782" spans="1:36" ht="15.95" customHeight="1">
      <c r="A782" s="547"/>
      <c r="B782" s="548">
        <v>266</v>
      </c>
      <c r="C782" s="549">
        <v>7480</v>
      </c>
      <c r="D782" s="550" t="s">
        <v>12287</v>
      </c>
      <c r="E782" s="550" t="s">
        <v>4633</v>
      </c>
      <c r="F782" s="550" t="s">
        <v>4634</v>
      </c>
      <c r="G782" s="550" t="s">
        <v>2276</v>
      </c>
      <c r="H782" s="550" t="s">
        <v>4635</v>
      </c>
      <c r="I782" s="550" t="s">
        <v>11</v>
      </c>
      <c r="J782" s="550" t="s">
        <v>4649</v>
      </c>
      <c r="K782" s="551">
        <v>45200</v>
      </c>
      <c r="L782" s="552">
        <v>1150</v>
      </c>
      <c r="M782" s="552">
        <v>1150</v>
      </c>
      <c r="N782" s="552">
        <v>1150</v>
      </c>
      <c r="O782" s="552">
        <v>549</v>
      </c>
      <c r="P782" s="552">
        <v>631350</v>
      </c>
      <c r="Q782" s="548">
        <v>0</v>
      </c>
      <c r="R782" s="552">
        <v>0</v>
      </c>
      <c r="S782" s="548">
        <v>549</v>
      </c>
      <c r="T782" s="552">
        <v>631350</v>
      </c>
      <c r="U782" s="548">
        <v>0</v>
      </c>
      <c r="V782" s="552">
        <v>0</v>
      </c>
      <c r="W782" s="552">
        <v>0</v>
      </c>
      <c r="X782" s="552">
        <v>0</v>
      </c>
      <c r="Y782" s="552">
        <v>549</v>
      </c>
      <c r="Z782" s="552">
        <v>631350</v>
      </c>
      <c r="AA782" s="552">
        <v>549</v>
      </c>
      <c r="AB782" s="552">
        <v>631350</v>
      </c>
      <c r="AC782" s="552">
        <v>0</v>
      </c>
      <c r="AD782" s="552">
        <v>0</v>
      </c>
      <c r="AE782" s="552">
        <v>0</v>
      </c>
      <c r="AF782" s="552">
        <v>0</v>
      </c>
      <c r="AG782" s="552">
        <v>0</v>
      </c>
      <c r="AH782" s="552">
        <v>0</v>
      </c>
      <c r="AI782" s="552">
        <v>0</v>
      </c>
      <c r="AJ782" s="552">
        <v>0</v>
      </c>
    </row>
    <row r="783" spans="1:36" ht="15.95" customHeight="1">
      <c r="A783" s="547"/>
      <c r="B783" s="548">
        <v>268</v>
      </c>
      <c r="C783" s="549">
        <v>7409</v>
      </c>
      <c r="D783" s="550" t="s">
        <v>12288</v>
      </c>
      <c r="E783" s="550" t="s">
        <v>4637</v>
      </c>
      <c r="F783" s="550" t="s">
        <v>4638</v>
      </c>
      <c r="G783" s="550" t="s">
        <v>4639</v>
      </c>
      <c r="H783" s="550" t="s">
        <v>4640</v>
      </c>
      <c r="I783" s="550" t="s">
        <v>11</v>
      </c>
      <c r="J783" s="550" t="s">
        <v>4641</v>
      </c>
      <c r="K783" s="551">
        <v>44958</v>
      </c>
      <c r="L783" s="552">
        <v>1000</v>
      </c>
      <c r="M783" s="552">
        <v>1000</v>
      </c>
      <c r="N783" s="552">
        <v>1000</v>
      </c>
      <c r="O783" s="552">
        <v>4090</v>
      </c>
      <c r="P783" s="552">
        <v>4090000</v>
      </c>
      <c r="Q783" s="548">
        <v>0</v>
      </c>
      <c r="R783" s="552">
        <v>0</v>
      </c>
      <c r="S783" s="548">
        <v>4090</v>
      </c>
      <c r="T783" s="552">
        <v>4090000</v>
      </c>
      <c r="U783" s="548">
        <v>0</v>
      </c>
      <c r="V783" s="552">
        <v>0</v>
      </c>
      <c r="W783" s="552">
        <v>0</v>
      </c>
      <c r="X783" s="552">
        <v>0</v>
      </c>
      <c r="Y783" s="552">
        <v>4090</v>
      </c>
      <c r="Z783" s="552">
        <v>4090000</v>
      </c>
      <c r="AA783" s="552">
        <v>4090</v>
      </c>
      <c r="AB783" s="552">
        <v>4090000</v>
      </c>
      <c r="AC783" s="552">
        <v>0</v>
      </c>
      <c r="AD783" s="552">
        <v>0</v>
      </c>
      <c r="AE783" s="552">
        <v>0</v>
      </c>
      <c r="AF783" s="552">
        <v>0</v>
      </c>
      <c r="AG783" s="552">
        <v>0</v>
      </c>
      <c r="AH783" s="552">
        <v>0</v>
      </c>
      <c r="AI783" s="552">
        <v>0</v>
      </c>
      <c r="AJ783" s="552">
        <v>0</v>
      </c>
    </row>
    <row r="784" spans="1:36" ht="15.95" customHeight="1">
      <c r="A784" s="547"/>
      <c r="B784" s="548">
        <v>301</v>
      </c>
      <c r="C784" s="549">
        <v>5277</v>
      </c>
      <c r="D784" s="550"/>
      <c r="E784" s="550" t="s">
        <v>4642</v>
      </c>
      <c r="F784" s="550" t="s">
        <v>68</v>
      </c>
      <c r="G784" s="550" t="s">
        <v>68</v>
      </c>
      <c r="H784" s="550" t="s">
        <v>69</v>
      </c>
      <c r="I784" s="550" t="s">
        <v>11</v>
      </c>
      <c r="J784" s="550" t="s">
        <v>4643</v>
      </c>
      <c r="K784" s="551">
        <v>44446</v>
      </c>
      <c r="L784" s="552">
        <v>294</v>
      </c>
      <c r="M784" s="552">
        <v>294</v>
      </c>
      <c r="N784" s="552">
        <v>294</v>
      </c>
      <c r="O784" s="552">
        <v>4862</v>
      </c>
      <c r="P784" s="552">
        <v>1429428</v>
      </c>
      <c r="Q784" s="548">
        <v>0</v>
      </c>
      <c r="R784" s="552">
        <v>0</v>
      </c>
      <c r="S784" s="548">
        <v>4862</v>
      </c>
      <c r="T784" s="552">
        <v>1429428</v>
      </c>
      <c r="U784" s="548">
        <v>0</v>
      </c>
      <c r="V784" s="552">
        <v>0</v>
      </c>
      <c r="W784" s="552">
        <v>4156</v>
      </c>
      <c r="X784" s="552">
        <v>1221864</v>
      </c>
      <c r="Y784" s="552">
        <v>4862</v>
      </c>
      <c r="Z784" s="552">
        <v>1429428</v>
      </c>
      <c r="AA784" s="552">
        <v>3962</v>
      </c>
      <c r="AB784" s="552">
        <v>1164828</v>
      </c>
      <c r="AC784" s="552">
        <v>900</v>
      </c>
      <c r="AD784" s="552">
        <v>264600</v>
      </c>
      <c r="AE784" s="552">
        <v>0</v>
      </c>
      <c r="AF784" s="552">
        <v>0</v>
      </c>
      <c r="AG784" s="552">
        <v>0</v>
      </c>
      <c r="AH784" s="552">
        <v>0</v>
      </c>
      <c r="AI784" s="552">
        <v>0</v>
      </c>
      <c r="AJ784" s="552">
        <v>0</v>
      </c>
    </row>
    <row r="785" spans="1:36" ht="15.95" customHeight="1">
      <c r="A785" s="547"/>
      <c r="B785" s="548">
        <v>302</v>
      </c>
      <c r="C785" s="549">
        <v>7411</v>
      </c>
      <c r="D785" s="550" t="s">
        <v>12289</v>
      </c>
      <c r="E785" s="550" t="s">
        <v>8750</v>
      </c>
      <c r="F785" s="550" t="s">
        <v>68</v>
      </c>
      <c r="G785" s="550" t="s">
        <v>68</v>
      </c>
      <c r="H785" s="550" t="s">
        <v>429</v>
      </c>
      <c r="I785" s="550" t="s">
        <v>11</v>
      </c>
      <c r="J785" s="550" t="s">
        <v>11946</v>
      </c>
      <c r="K785" s="551">
        <v>45016</v>
      </c>
      <c r="L785" s="552">
        <v>300</v>
      </c>
      <c r="M785" s="552">
        <v>300</v>
      </c>
      <c r="N785" s="552">
        <v>300</v>
      </c>
      <c r="O785" s="552"/>
      <c r="P785" s="552"/>
      <c r="Q785" s="548">
        <v>5000</v>
      </c>
      <c r="R785" s="552">
        <v>1500000</v>
      </c>
      <c r="S785" s="548">
        <v>0</v>
      </c>
      <c r="T785" s="552">
        <v>0</v>
      </c>
      <c r="U785" s="548">
        <v>5000</v>
      </c>
      <c r="V785" s="552">
        <v>1500000</v>
      </c>
      <c r="W785" s="552">
        <v>0</v>
      </c>
      <c r="X785" s="552">
        <v>0</v>
      </c>
      <c r="Y785" s="552">
        <v>0</v>
      </c>
      <c r="Z785" s="552">
        <v>0</v>
      </c>
      <c r="AA785" s="552">
        <v>0</v>
      </c>
      <c r="AB785" s="552">
        <v>0</v>
      </c>
      <c r="AC785" s="552">
        <v>0</v>
      </c>
      <c r="AD785" s="552">
        <v>0</v>
      </c>
      <c r="AE785" s="552">
        <v>0</v>
      </c>
      <c r="AF785" s="552">
        <v>0</v>
      </c>
      <c r="AG785" s="552">
        <v>0</v>
      </c>
      <c r="AH785" s="552">
        <v>0</v>
      </c>
      <c r="AI785" s="552">
        <v>0</v>
      </c>
      <c r="AJ785" s="552">
        <v>0</v>
      </c>
    </row>
    <row r="786" spans="1:36" ht="15.95" customHeight="1">
      <c r="A786" s="547"/>
      <c r="B786" s="548">
        <v>303</v>
      </c>
      <c r="C786" s="549">
        <v>7412</v>
      </c>
      <c r="D786" s="550" t="s">
        <v>12290</v>
      </c>
      <c r="E786" s="550" t="s">
        <v>8753</v>
      </c>
      <c r="F786" s="550" t="s">
        <v>8755</v>
      </c>
      <c r="G786" s="550" t="s">
        <v>68</v>
      </c>
      <c r="H786" s="550" t="s">
        <v>10395</v>
      </c>
      <c r="I786" s="550" t="s">
        <v>11</v>
      </c>
      <c r="J786" s="550" t="s">
        <v>11672</v>
      </c>
      <c r="K786" s="551">
        <v>45053</v>
      </c>
      <c r="L786" s="552">
        <v>370</v>
      </c>
      <c r="M786" s="552">
        <v>370</v>
      </c>
      <c r="N786" s="552">
        <v>370</v>
      </c>
      <c r="O786" s="552"/>
      <c r="P786" s="552"/>
      <c r="Q786" s="548">
        <v>1500</v>
      </c>
      <c r="R786" s="552">
        <v>555000</v>
      </c>
      <c r="S786" s="548">
        <v>1500</v>
      </c>
      <c r="T786" s="552">
        <v>555000</v>
      </c>
      <c r="U786" s="548">
        <v>0</v>
      </c>
      <c r="V786" s="552">
        <v>0</v>
      </c>
      <c r="W786" s="552">
        <v>150</v>
      </c>
      <c r="X786" s="552">
        <v>55500</v>
      </c>
      <c r="Y786" s="552">
        <v>1500</v>
      </c>
      <c r="Z786" s="552">
        <v>555000</v>
      </c>
      <c r="AA786" s="552">
        <v>0</v>
      </c>
      <c r="AB786" s="552">
        <v>0</v>
      </c>
      <c r="AC786" s="552">
        <v>1500</v>
      </c>
      <c r="AD786" s="552">
        <v>555000</v>
      </c>
      <c r="AE786" s="552">
        <v>0</v>
      </c>
      <c r="AF786" s="552">
        <v>0</v>
      </c>
      <c r="AG786" s="552">
        <v>0</v>
      </c>
      <c r="AH786" s="552">
        <v>0</v>
      </c>
      <c r="AI786" s="552">
        <v>0</v>
      </c>
      <c r="AJ786" s="552">
        <v>0</v>
      </c>
    </row>
    <row r="787" spans="1:36" ht="15.95" customHeight="1">
      <c r="A787" s="547"/>
      <c r="B787" s="548">
        <v>304</v>
      </c>
      <c r="C787" s="549">
        <v>7485</v>
      </c>
      <c r="D787" s="550" t="s">
        <v>12291</v>
      </c>
      <c r="E787" s="550" t="s">
        <v>8856</v>
      </c>
      <c r="F787" s="550" t="s">
        <v>8859</v>
      </c>
      <c r="G787" s="550" t="s">
        <v>12292</v>
      </c>
      <c r="H787" s="550" t="s">
        <v>12293</v>
      </c>
      <c r="I787" s="550" t="s">
        <v>13</v>
      </c>
      <c r="J787" s="550" t="s">
        <v>11946</v>
      </c>
      <c r="K787" s="551">
        <v>44631</v>
      </c>
      <c r="L787" s="552">
        <v>6800</v>
      </c>
      <c r="M787" s="552">
        <v>6800</v>
      </c>
      <c r="N787" s="552">
        <v>6800</v>
      </c>
      <c r="O787" s="552"/>
      <c r="P787" s="552"/>
      <c r="Q787" s="548">
        <v>1000</v>
      </c>
      <c r="R787" s="552">
        <v>6800000</v>
      </c>
      <c r="S787" s="548">
        <v>1000</v>
      </c>
      <c r="T787" s="552">
        <v>6800000</v>
      </c>
      <c r="U787" s="548">
        <v>0</v>
      </c>
      <c r="V787" s="552">
        <v>0</v>
      </c>
      <c r="W787" s="552">
        <v>0</v>
      </c>
      <c r="X787" s="552">
        <v>0</v>
      </c>
      <c r="Y787" s="552">
        <v>1000</v>
      </c>
      <c r="Z787" s="552">
        <v>6800000</v>
      </c>
      <c r="AA787" s="552">
        <v>1000</v>
      </c>
      <c r="AB787" s="552">
        <v>6800000</v>
      </c>
      <c r="AC787" s="552">
        <v>0</v>
      </c>
      <c r="AD787" s="552">
        <v>0</v>
      </c>
      <c r="AE787" s="552">
        <v>0</v>
      </c>
      <c r="AF787" s="552">
        <v>0</v>
      </c>
      <c r="AG787" s="552">
        <v>0</v>
      </c>
      <c r="AH787" s="552">
        <v>0</v>
      </c>
      <c r="AI787" s="552">
        <v>0</v>
      </c>
      <c r="AJ787" s="552">
        <v>0</v>
      </c>
    </row>
    <row r="788" spans="1:36" ht="15.95" customHeight="1">
      <c r="A788" s="547"/>
      <c r="B788" s="548">
        <v>305</v>
      </c>
      <c r="C788" s="549">
        <v>7485</v>
      </c>
      <c r="D788" s="550" t="s">
        <v>12291</v>
      </c>
      <c r="E788" s="550" t="s">
        <v>8856</v>
      </c>
      <c r="F788" s="550" t="s">
        <v>8859</v>
      </c>
      <c r="G788" s="550" t="s">
        <v>12292</v>
      </c>
      <c r="H788" s="550" t="s">
        <v>12293</v>
      </c>
      <c r="I788" s="550" t="s">
        <v>13</v>
      </c>
      <c r="J788" s="550" t="s">
        <v>12015</v>
      </c>
      <c r="K788" s="551">
        <v>44996</v>
      </c>
      <c r="L788" s="552">
        <v>6800</v>
      </c>
      <c r="M788" s="552">
        <v>6800</v>
      </c>
      <c r="N788" s="552">
        <v>6800</v>
      </c>
      <c r="O788" s="552"/>
      <c r="P788" s="552"/>
      <c r="Q788" s="548">
        <v>5000</v>
      </c>
      <c r="R788" s="552">
        <v>34000000</v>
      </c>
      <c r="S788" s="548">
        <v>1507</v>
      </c>
      <c r="T788" s="552">
        <v>10247600</v>
      </c>
      <c r="U788" s="548">
        <v>3493</v>
      </c>
      <c r="V788" s="552">
        <v>23752400</v>
      </c>
      <c r="W788" s="552">
        <v>0</v>
      </c>
      <c r="X788" s="552">
        <v>0</v>
      </c>
      <c r="Y788" s="552">
        <v>1507</v>
      </c>
      <c r="Z788" s="552">
        <v>10247600</v>
      </c>
      <c r="AA788" s="552">
        <v>1507</v>
      </c>
      <c r="AB788" s="552">
        <v>10247600</v>
      </c>
      <c r="AC788" s="552">
        <v>0</v>
      </c>
      <c r="AD788" s="552">
        <v>0</v>
      </c>
      <c r="AE788" s="552">
        <v>0</v>
      </c>
      <c r="AF788" s="552">
        <v>0</v>
      </c>
      <c r="AG788" s="552">
        <v>0</v>
      </c>
      <c r="AH788" s="552">
        <v>0</v>
      </c>
      <c r="AI788" s="552">
        <v>0</v>
      </c>
      <c r="AJ788" s="552">
        <v>0</v>
      </c>
    </row>
    <row r="789" spans="1:36" ht="15.95" customHeight="1">
      <c r="A789" s="547"/>
      <c r="B789" s="548">
        <v>311</v>
      </c>
      <c r="C789" s="549">
        <v>5937</v>
      </c>
      <c r="D789" s="550"/>
      <c r="E789" s="550" t="s">
        <v>4644</v>
      </c>
      <c r="F789" s="550" t="s">
        <v>70</v>
      </c>
      <c r="G789" s="550" t="s">
        <v>71</v>
      </c>
      <c r="H789" s="550" t="s">
        <v>72</v>
      </c>
      <c r="I789" s="550" t="s">
        <v>11</v>
      </c>
      <c r="J789" s="550" t="s">
        <v>4645</v>
      </c>
      <c r="K789" s="551">
        <v>44151</v>
      </c>
      <c r="L789" s="552">
        <v>1490</v>
      </c>
      <c r="M789" s="552">
        <v>1490</v>
      </c>
      <c r="N789" s="552">
        <v>1490</v>
      </c>
      <c r="O789" s="552">
        <v>3984</v>
      </c>
      <c r="P789" s="552">
        <v>5936160</v>
      </c>
      <c r="Q789" s="548">
        <v>0</v>
      </c>
      <c r="R789" s="552">
        <v>0</v>
      </c>
      <c r="S789" s="548">
        <v>3984</v>
      </c>
      <c r="T789" s="552">
        <v>5936160</v>
      </c>
      <c r="U789" s="548">
        <v>0</v>
      </c>
      <c r="V789" s="552">
        <v>0</v>
      </c>
      <c r="W789" s="552">
        <v>0</v>
      </c>
      <c r="X789" s="552">
        <v>0</v>
      </c>
      <c r="Y789" s="552">
        <v>1420</v>
      </c>
      <c r="Z789" s="552">
        <v>2115800</v>
      </c>
      <c r="AA789" s="552">
        <v>1420</v>
      </c>
      <c r="AB789" s="552">
        <v>2115800</v>
      </c>
      <c r="AC789" s="552">
        <v>0</v>
      </c>
      <c r="AD789" s="552">
        <v>0</v>
      </c>
      <c r="AE789" s="552">
        <v>0</v>
      </c>
      <c r="AF789" s="552">
        <v>0</v>
      </c>
      <c r="AG789" s="552">
        <v>2564</v>
      </c>
      <c r="AH789" s="552">
        <v>3820360</v>
      </c>
      <c r="AI789" s="552">
        <v>0</v>
      </c>
      <c r="AJ789" s="552">
        <v>0</v>
      </c>
    </row>
    <row r="790" spans="1:36" ht="15.95" customHeight="1">
      <c r="A790" s="547"/>
      <c r="B790" s="548">
        <v>315</v>
      </c>
      <c r="C790" s="549">
        <v>7413</v>
      </c>
      <c r="D790" s="550" t="s">
        <v>12294</v>
      </c>
      <c r="E790" s="550" t="s">
        <v>4646</v>
      </c>
      <c r="F790" s="550" t="s">
        <v>2283</v>
      </c>
      <c r="G790" s="550" t="s">
        <v>4647</v>
      </c>
      <c r="H790" s="550" t="s">
        <v>4648</v>
      </c>
      <c r="I790" s="550" t="s">
        <v>11</v>
      </c>
      <c r="J790" s="550" t="s">
        <v>12295</v>
      </c>
      <c r="K790" s="551">
        <v>45345</v>
      </c>
      <c r="L790" s="552">
        <v>750</v>
      </c>
      <c r="M790" s="552">
        <v>750</v>
      </c>
      <c r="N790" s="552">
        <v>750</v>
      </c>
      <c r="O790" s="552"/>
      <c r="P790" s="552"/>
      <c r="Q790" s="548">
        <v>42000</v>
      </c>
      <c r="R790" s="552">
        <v>31500000</v>
      </c>
      <c r="S790" s="548">
        <v>42000</v>
      </c>
      <c r="T790" s="552">
        <v>31500000</v>
      </c>
      <c r="U790" s="548">
        <v>0</v>
      </c>
      <c r="V790" s="552">
        <v>0</v>
      </c>
      <c r="W790" s="552">
        <v>2000</v>
      </c>
      <c r="X790" s="552">
        <v>1500000</v>
      </c>
      <c r="Y790" s="552">
        <v>42000</v>
      </c>
      <c r="Z790" s="552">
        <v>31500000</v>
      </c>
      <c r="AA790" s="552">
        <v>40000</v>
      </c>
      <c r="AB790" s="552">
        <v>30000000</v>
      </c>
      <c r="AC790" s="552">
        <v>2000</v>
      </c>
      <c r="AD790" s="552">
        <v>1500000</v>
      </c>
      <c r="AE790" s="552">
        <v>0</v>
      </c>
      <c r="AF790" s="552">
        <v>0</v>
      </c>
      <c r="AG790" s="552">
        <v>0</v>
      </c>
      <c r="AH790" s="552">
        <v>0</v>
      </c>
      <c r="AI790" s="552">
        <v>0</v>
      </c>
      <c r="AJ790" s="552">
        <v>0</v>
      </c>
    </row>
    <row r="791" spans="1:36" ht="15.95" customHeight="1">
      <c r="A791" s="547"/>
      <c r="B791" s="548">
        <v>316</v>
      </c>
      <c r="C791" s="549">
        <v>7413</v>
      </c>
      <c r="D791" s="550" t="s">
        <v>12294</v>
      </c>
      <c r="E791" s="550" t="s">
        <v>4646</v>
      </c>
      <c r="F791" s="550" t="s">
        <v>2283</v>
      </c>
      <c r="G791" s="550" t="s">
        <v>4647</v>
      </c>
      <c r="H791" s="550" t="s">
        <v>4648</v>
      </c>
      <c r="I791" s="550" t="s">
        <v>11</v>
      </c>
      <c r="J791" s="550" t="s">
        <v>12263</v>
      </c>
      <c r="K791" s="551">
        <v>45150</v>
      </c>
      <c r="L791" s="552">
        <v>750</v>
      </c>
      <c r="M791" s="552">
        <v>750</v>
      </c>
      <c r="N791" s="552">
        <v>750</v>
      </c>
      <c r="O791" s="552">
        <v>29665</v>
      </c>
      <c r="P791" s="552">
        <v>22248750</v>
      </c>
      <c r="Q791" s="548">
        <v>0</v>
      </c>
      <c r="R791" s="552">
        <v>0</v>
      </c>
      <c r="S791" s="548">
        <v>29665</v>
      </c>
      <c r="T791" s="552">
        <v>22248750</v>
      </c>
      <c r="U791" s="548">
        <v>0</v>
      </c>
      <c r="V791" s="552">
        <v>0</v>
      </c>
      <c r="W791" s="552">
        <v>3000</v>
      </c>
      <c r="X791" s="552">
        <v>2250000</v>
      </c>
      <c r="Y791" s="552">
        <v>29665</v>
      </c>
      <c r="Z791" s="552">
        <v>22248750</v>
      </c>
      <c r="AA791" s="552">
        <v>27665</v>
      </c>
      <c r="AB791" s="552">
        <v>20748750</v>
      </c>
      <c r="AC791" s="552">
        <v>2000</v>
      </c>
      <c r="AD791" s="552">
        <v>1500000</v>
      </c>
      <c r="AE791" s="552">
        <v>0</v>
      </c>
      <c r="AF791" s="552">
        <v>0</v>
      </c>
      <c r="AG791" s="552">
        <v>0</v>
      </c>
      <c r="AH791" s="552">
        <v>0</v>
      </c>
      <c r="AI791" s="552">
        <v>0</v>
      </c>
      <c r="AJ791" s="552">
        <v>0</v>
      </c>
    </row>
    <row r="792" spans="1:36" ht="15.95" customHeight="1">
      <c r="A792" s="547"/>
      <c r="B792" s="548">
        <v>317</v>
      </c>
      <c r="C792" s="549">
        <v>7413</v>
      </c>
      <c r="D792" s="550" t="s">
        <v>12294</v>
      </c>
      <c r="E792" s="550" t="s">
        <v>4646</v>
      </c>
      <c r="F792" s="550" t="s">
        <v>2283</v>
      </c>
      <c r="G792" s="550" t="s">
        <v>4647</v>
      </c>
      <c r="H792" s="550" t="s">
        <v>4648</v>
      </c>
      <c r="I792" s="550" t="s">
        <v>11</v>
      </c>
      <c r="J792" s="550" t="s">
        <v>12296</v>
      </c>
      <c r="K792" s="551">
        <v>45608</v>
      </c>
      <c r="L792" s="552">
        <v>750</v>
      </c>
      <c r="M792" s="552">
        <v>750</v>
      </c>
      <c r="N792" s="552">
        <v>750</v>
      </c>
      <c r="O792" s="552"/>
      <c r="P792" s="552"/>
      <c r="Q792" s="548">
        <v>25000</v>
      </c>
      <c r="R792" s="552">
        <v>18750000</v>
      </c>
      <c r="S792" s="548">
        <v>0</v>
      </c>
      <c r="T792" s="552">
        <v>0</v>
      </c>
      <c r="U792" s="548">
        <v>25000</v>
      </c>
      <c r="V792" s="552">
        <v>18750000</v>
      </c>
      <c r="W792" s="552">
        <v>0</v>
      </c>
      <c r="X792" s="552">
        <v>0</v>
      </c>
      <c r="Y792" s="552">
        <v>0</v>
      </c>
      <c r="Z792" s="552">
        <v>0</v>
      </c>
      <c r="AA792" s="552">
        <v>0</v>
      </c>
      <c r="AB792" s="552">
        <v>0</v>
      </c>
      <c r="AC792" s="552">
        <v>0</v>
      </c>
      <c r="AD792" s="552">
        <v>0</v>
      </c>
      <c r="AE792" s="552">
        <v>0</v>
      </c>
      <c r="AF792" s="552">
        <v>0</v>
      </c>
      <c r="AG792" s="552">
        <v>0</v>
      </c>
      <c r="AH792" s="552">
        <v>0</v>
      </c>
      <c r="AI792" s="552">
        <v>0</v>
      </c>
      <c r="AJ792" s="552">
        <v>0</v>
      </c>
    </row>
    <row r="793" spans="1:36" ht="15.95" customHeight="1">
      <c r="A793" s="547"/>
      <c r="B793" s="548">
        <v>341</v>
      </c>
      <c r="C793" s="549">
        <v>7415</v>
      </c>
      <c r="D793" s="550" t="s">
        <v>12297</v>
      </c>
      <c r="E793" s="550" t="s">
        <v>4650</v>
      </c>
      <c r="F793" s="550" t="s">
        <v>4651</v>
      </c>
      <c r="G793" s="550" t="s">
        <v>78</v>
      </c>
      <c r="H793" s="550" t="s">
        <v>79</v>
      </c>
      <c r="I793" s="550" t="s">
        <v>4652</v>
      </c>
      <c r="J793" s="550" t="s">
        <v>11686</v>
      </c>
      <c r="K793" s="551">
        <v>45361</v>
      </c>
      <c r="L793" s="552">
        <v>3500</v>
      </c>
      <c r="M793" s="552">
        <v>3500</v>
      </c>
      <c r="N793" s="552">
        <v>3500</v>
      </c>
      <c r="O793" s="552"/>
      <c r="P793" s="552"/>
      <c r="Q793" s="548">
        <v>11522</v>
      </c>
      <c r="R793" s="552">
        <v>40327000</v>
      </c>
      <c r="S793" s="548">
        <v>11520</v>
      </c>
      <c r="T793" s="552">
        <v>40320000</v>
      </c>
      <c r="U793" s="548">
        <v>2</v>
      </c>
      <c r="V793" s="552">
        <v>7000</v>
      </c>
      <c r="W793" s="552">
        <v>1978</v>
      </c>
      <c r="X793" s="552">
        <v>6923000</v>
      </c>
      <c r="Y793" s="552">
        <v>11520</v>
      </c>
      <c r="Z793" s="552">
        <v>40320000</v>
      </c>
      <c r="AA793" s="552">
        <v>7020</v>
      </c>
      <c r="AB793" s="552">
        <v>24570000</v>
      </c>
      <c r="AC793" s="552">
        <v>4500</v>
      </c>
      <c r="AD793" s="552">
        <v>15750000</v>
      </c>
      <c r="AE793" s="552">
        <v>0</v>
      </c>
      <c r="AF793" s="552">
        <v>0</v>
      </c>
      <c r="AG793" s="552">
        <v>0</v>
      </c>
      <c r="AH793" s="552">
        <v>0</v>
      </c>
      <c r="AI793" s="552">
        <v>1522</v>
      </c>
      <c r="AJ793" s="552">
        <v>5327000</v>
      </c>
    </row>
    <row r="794" spans="1:36" ht="15.95" customHeight="1">
      <c r="A794" s="547"/>
      <c r="B794" s="548">
        <v>342</v>
      </c>
      <c r="C794" s="549">
        <v>7415</v>
      </c>
      <c r="D794" s="550" t="s">
        <v>12297</v>
      </c>
      <c r="E794" s="550" t="s">
        <v>4650</v>
      </c>
      <c r="F794" s="550" t="s">
        <v>4651</v>
      </c>
      <c r="G794" s="550" t="s">
        <v>78</v>
      </c>
      <c r="H794" s="550" t="s">
        <v>79</v>
      </c>
      <c r="I794" s="550" t="s">
        <v>4652</v>
      </c>
      <c r="J794" s="550" t="s">
        <v>4653</v>
      </c>
      <c r="K794" s="551">
        <v>45053</v>
      </c>
      <c r="L794" s="552">
        <v>3500</v>
      </c>
      <c r="M794" s="552">
        <v>3500</v>
      </c>
      <c r="N794" s="552">
        <v>3500</v>
      </c>
      <c r="O794" s="552">
        <v>3541</v>
      </c>
      <c r="P794" s="552">
        <v>12393500</v>
      </c>
      <c r="Q794" s="548">
        <v>478</v>
      </c>
      <c r="R794" s="552">
        <v>1673000</v>
      </c>
      <c r="S794" s="548">
        <v>4019</v>
      </c>
      <c r="T794" s="552">
        <v>14066500</v>
      </c>
      <c r="U794" s="548">
        <v>0</v>
      </c>
      <c r="V794" s="552">
        <v>0</v>
      </c>
      <c r="W794" s="552">
        <v>2264</v>
      </c>
      <c r="X794" s="552">
        <v>7924000</v>
      </c>
      <c r="Y794" s="552">
        <v>4019</v>
      </c>
      <c r="Z794" s="552">
        <v>14066500</v>
      </c>
      <c r="AA794" s="552">
        <v>4019</v>
      </c>
      <c r="AB794" s="552">
        <v>14066500</v>
      </c>
      <c r="AC794" s="552">
        <v>0</v>
      </c>
      <c r="AD794" s="552">
        <v>0</v>
      </c>
      <c r="AE794" s="552">
        <v>0</v>
      </c>
      <c r="AF794" s="552">
        <v>0</v>
      </c>
      <c r="AG794" s="552">
        <v>0</v>
      </c>
      <c r="AH794" s="552">
        <v>0</v>
      </c>
      <c r="AI794" s="552">
        <v>478</v>
      </c>
      <c r="AJ794" s="552">
        <v>1673000</v>
      </c>
    </row>
    <row r="795" spans="1:36" ht="15.95" customHeight="1">
      <c r="A795" s="547"/>
      <c r="B795" s="548">
        <v>343</v>
      </c>
      <c r="C795" s="549">
        <v>7415</v>
      </c>
      <c r="D795" s="550" t="s">
        <v>12297</v>
      </c>
      <c r="E795" s="550" t="s">
        <v>4650</v>
      </c>
      <c r="F795" s="550" t="s">
        <v>4651</v>
      </c>
      <c r="G795" s="550" t="s">
        <v>78</v>
      </c>
      <c r="H795" s="550" t="s">
        <v>79</v>
      </c>
      <c r="I795" s="550" t="s">
        <v>4652</v>
      </c>
      <c r="J795" s="550" t="s">
        <v>12298</v>
      </c>
      <c r="K795" s="551">
        <v>45554</v>
      </c>
      <c r="L795" s="552">
        <v>3500</v>
      </c>
      <c r="M795" s="552">
        <v>3500</v>
      </c>
      <c r="N795" s="552">
        <v>3500</v>
      </c>
      <c r="O795" s="552"/>
      <c r="P795" s="552"/>
      <c r="Q795" s="548">
        <v>9000</v>
      </c>
      <c r="R795" s="552">
        <v>31500000</v>
      </c>
      <c r="S795" s="548">
        <v>0</v>
      </c>
      <c r="T795" s="552">
        <v>0</v>
      </c>
      <c r="U795" s="548">
        <v>9000</v>
      </c>
      <c r="V795" s="552">
        <v>31500000</v>
      </c>
      <c r="W795" s="552">
        <v>0</v>
      </c>
      <c r="X795" s="552">
        <v>0</v>
      </c>
      <c r="Y795" s="552">
        <v>0</v>
      </c>
      <c r="Z795" s="552">
        <v>0</v>
      </c>
      <c r="AA795" s="552">
        <v>0</v>
      </c>
      <c r="AB795" s="552">
        <v>0</v>
      </c>
      <c r="AC795" s="552">
        <v>0</v>
      </c>
      <c r="AD795" s="552">
        <v>0</v>
      </c>
      <c r="AE795" s="552">
        <v>0</v>
      </c>
      <c r="AF795" s="552">
        <v>0</v>
      </c>
      <c r="AG795" s="552">
        <v>0</v>
      </c>
      <c r="AH795" s="552">
        <v>0</v>
      </c>
      <c r="AI795" s="552">
        <v>0</v>
      </c>
      <c r="AJ795" s="552">
        <v>0</v>
      </c>
    </row>
    <row r="796" spans="1:36" ht="15.95" customHeight="1">
      <c r="A796" s="547"/>
      <c r="B796" s="548">
        <v>344</v>
      </c>
      <c r="C796" s="549">
        <v>7415</v>
      </c>
      <c r="D796" s="550" t="s">
        <v>12297</v>
      </c>
      <c r="E796" s="550" t="s">
        <v>4650</v>
      </c>
      <c r="F796" s="550" t="s">
        <v>4651</v>
      </c>
      <c r="G796" s="550" t="s">
        <v>78</v>
      </c>
      <c r="H796" s="550" t="s">
        <v>79</v>
      </c>
      <c r="I796" s="550" t="s">
        <v>4652</v>
      </c>
      <c r="J796" s="550" t="s">
        <v>12299</v>
      </c>
      <c r="K796" s="551">
        <v>45173</v>
      </c>
      <c r="L796" s="552">
        <v>3500</v>
      </c>
      <c r="M796" s="552">
        <v>3500</v>
      </c>
      <c r="N796" s="552">
        <v>3500</v>
      </c>
      <c r="O796" s="552">
        <v>2000</v>
      </c>
      <c r="P796" s="552">
        <v>7000000</v>
      </c>
      <c r="Q796" s="548">
        <v>0</v>
      </c>
      <c r="R796" s="552">
        <v>0</v>
      </c>
      <c r="S796" s="548">
        <v>2000</v>
      </c>
      <c r="T796" s="552">
        <v>7000000</v>
      </c>
      <c r="U796" s="548">
        <v>0</v>
      </c>
      <c r="V796" s="552">
        <v>0</v>
      </c>
      <c r="W796" s="552">
        <v>0</v>
      </c>
      <c r="X796" s="552">
        <v>0</v>
      </c>
      <c r="Y796" s="552">
        <v>2000</v>
      </c>
      <c r="Z796" s="552">
        <v>7000000</v>
      </c>
      <c r="AA796" s="552">
        <v>2000</v>
      </c>
      <c r="AB796" s="552">
        <v>7000000</v>
      </c>
      <c r="AC796" s="552">
        <v>0</v>
      </c>
      <c r="AD796" s="552">
        <v>0</v>
      </c>
      <c r="AE796" s="552">
        <v>0</v>
      </c>
      <c r="AF796" s="552">
        <v>0</v>
      </c>
      <c r="AG796" s="552">
        <v>0</v>
      </c>
      <c r="AH796" s="552">
        <v>0</v>
      </c>
      <c r="AI796" s="552">
        <v>0</v>
      </c>
      <c r="AJ796" s="552">
        <v>0</v>
      </c>
    </row>
    <row r="797" spans="1:36" ht="15.95" customHeight="1">
      <c r="A797" s="547"/>
      <c r="B797" s="548">
        <v>345</v>
      </c>
      <c r="C797" s="549">
        <v>7415</v>
      </c>
      <c r="D797" s="550" t="s">
        <v>12297</v>
      </c>
      <c r="E797" s="550" t="s">
        <v>4650</v>
      </c>
      <c r="F797" s="550" t="s">
        <v>4651</v>
      </c>
      <c r="G797" s="550" t="s">
        <v>78</v>
      </c>
      <c r="H797" s="550" t="s">
        <v>79</v>
      </c>
      <c r="I797" s="550" t="s">
        <v>4652</v>
      </c>
      <c r="J797" s="550" t="s">
        <v>12300</v>
      </c>
      <c r="K797" s="551">
        <v>45246</v>
      </c>
      <c r="L797" s="552">
        <v>3500</v>
      </c>
      <c r="M797" s="552">
        <v>3500</v>
      </c>
      <c r="N797" s="552">
        <v>3500</v>
      </c>
      <c r="O797" s="552"/>
      <c r="P797" s="552"/>
      <c r="Q797" s="548">
        <v>10400</v>
      </c>
      <c r="R797" s="552">
        <v>36400000</v>
      </c>
      <c r="S797" s="548">
        <v>10400</v>
      </c>
      <c r="T797" s="552">
        <v>36400000</v>
      </c>
      <c r="U797" s="548">
        <v>0</v>
      </c>
      <c r="V797" s="552">
        <v>0</v>
      </c>
      <c r="W797" s="552">
        <v>971</v>
      </c>
      <c r="X797" s="552">
        <v>3398500</v>
      </c>
      <c r="Y797" s="552">
        <v>10400</v>
      </c>
      <c r="Z797" s="552">
        <v>36400000</v>
      </c>
      <c r="AA797" s="552">
        <v>8900</v>
      </c>
      <c r="AB797" s="552">
        <v>31150000</v>
      </c>
      <c r="AC797" s="552">
        <v>1500</v>
      </c>
      <c r="AD797" s="552">
        <v>5250000</v>
      </c>
      <c r="AE797" s="552">
        <v>0</v>
      </c>
      <c r="AF797" s="552">
        <v>0</v>
      </c>
      <c r="AG797" s="552">
        <v>0</v>
      </c>
      <c r="AH797" s="552">
        <v>0</v>
      </c>
      <c r="AI797" s="552">
        <v>500</v>
      </c>
      <c r="AJ797" s="552">
        <v>1750000</v>
      </c>
    </row>
    <row r="798" spans="1:36" ht="15.95" customHeight="1">
      <c r="A798" s="547"/>
      <c r="B798" s="548">
        <v>346</v>
      </c>
      <c r="C798" s="549">
        <v>7416</v>
      </c>
      <c r="D798" s="550" t="s">
        <v>12301</v>
      </c>
      <c r="E798" s="550" t="s">
        <v>4654</v>
      </c>
      <c r="F798" s="550" t="s">
        <v>85</v>
      </c>
      <c r="G798" s="550" t="s">
        <v>4655</v>
      </c>
      <c r="H798" s="550" t="s">
        <v>4656</v>
      </c>
      <c r="I798" s="550" t="s">
        <v>11</v>
      </c>
      <c r="J798" s="550" t="s">
        <v>11644</v>
      </c>
      <c r="K798" s="551">
        <v>45359</v>
      </c>
      <c r="L798" s="552">
        <v>1260</v>
      </c>
      <c r="M798" s="552">
        <v>1260</v>
      </c>
      <c r="N798" s="552">
        <v>1260</v>
      </c>
      <c r="O798" s="552"/>
      <c r="P798" s="552"/>
      <c r="Q798" s="548">
        <v>19980</v>
      </c>
      <c r="R798" s="552">
        <v>25174800</v>
      </c>
      <c r="S798" s="548">
        <v>0</v>
      </c>
      <c r="T798" s="552">
        <v>0</v>
      </c>
      <c r="U798" s="548">
        <v>19980</v>
      </c>
      <c r="V798" s="552">
        <v>25174800</v>
      </c>
      <c r="W798" s="552">
        <v>0</v>
      </c>
      <c r="X798" s="552">
        <v>0</v>
      </c>
      <c r="Y798" s="552">
        <v>0</v>
      </c>
      <c r="Z798" s="552">
        <v>0</v>
      </c>
      <c r="AA798" s="552">
        <v>0</v>
      </c>
      <c r="AB798" s="552">
        <v>0</v>
      </c>
      <c r="AC798" s="552">
        <v>0</v>
      </c>
      <c r="AD798" s="552">
        <v>0</v>
      </c>
      <c r="AE798" s="552">
        <v>0</v>
      </c>
      <c r="AF798" s="552">
        <v>0</v>
      </c>
      <c r="AG798" s="552">
        <v>0</v>
      </c>
      <c r="AH798" s="552">
        <v>0</v>
      </c>
      <c r="AI798" s="552">
        <v>0</v>
      </c>
      <c r="AJ798" s="552">
        <v>0</v>
      </c>
    </row>
    <row r="799" spans="1:36" ht="15.95" customHeight="1">
      <c r="A799" s="547"/>
      <c r="B799" s="548">
        <v>347</v>
      </c>
      <c r="C799" s="549">
        <v>7416</v>
      </c>
      <c r="D799" s="550" t="s">
        <v>12301</v>
      </c>
      <c r="E799" s="550" t="s">
        <v>4654</v>
      </c>
      <c r="F799" s="550" t="s">
        <v>85</v>
      </c>
      <c r="G799" s="550" t="s">
        <v>4655</v>
      </c>
      <c r="H799" s="550" t="s">
        <v>4656</v>
      </c>
      <c r="I799" s="550" t="s">
        <v>11</v>
      </c>
      <c r="J799" s="550" t="s">
        <v>12302</v>
      </c>
      <c r="K799" s="551">
        <v>45024</v>
      </c>
      <c r="L799" s="552">
        <v>1260</v>
      </c>
      <c r="M799" s="552">
        <v>1260</v>
      </c>
      <c r="N799" s="552">
        <v>1260</v>
      </c>
      <c r="O799" s="552"/>
      <c r="P799" s="552"/>
      <c r="Q799" s="548">
        <v>9990</v>
      </c>
      <c r="R799" s="552">
        <v>12587400</v>
      </c>
      <c r="S799" s="548">
        <v>9990</v>
      </c>
      <c r="T799" s="552">
        <v>12587400</v>
      </c>
      <c r="U799" s="548">
        <v>0</v>
      </c>
      <c r="V799" s="552">
        <v>0</v>
      </c>
      <c r="W799" s="552">
        <v>300</v>
      </c>
      <c r="X799" s="552">
        <v>378000</v>
      </c>
      <c r="Y799" s="552">
        <v>9990</v>
      </c>
      <c r="Z799" s="552">
        <v>12587400</v>
      </c>
      <c r="AA799" s="552">
        <v>9690</v>
      </c>
      <c r="AB799" s="552">
        <v>12209400</v>
      </c>
      <c r="AC799" s="552">
        <v>300</v>
      </c>
      <c r="AD799" s="552">
        <v>378000</v>
      </c>
      <c r="AE799" s="552">
        <v>0</v>
      </c>
      <c r="AF799" s="552">
        <v>0</v>
      </c>
      <c r="AG799" s="552">
        <v>0</v>
      </c>
      <c r="AH799" s="552">
        <v>0</v>
      </c>
      <c r="AI799" s="552">
        <v>0</v>
      </c>
      <c r="AJ799" s="552">
        <v>0</v>
      </c>
    </row>
    <row r="800" spans="1:36" ht="15.95" customHeight="1">
      <c r="A800" s="547"/>
      <c r="B800" s="548">
        <v>348</v>
      </c>
      <c r="C800" s="549">
        <v>7416</v>
      </c>
      <c r="D800" s="550" t="s">
        <v>12301</v>
      </c>
      <c r="E800" s="550" t="s">
        <v>4654</v>
      </c>
      <c r="F800" s="550" t="s">
        <v>85</v>
      </c>
      <c r="G800" s="550" t="s">
        <v>4655</v>
      </c>
      <c r="H800" s="550" t="s">
        <v>4656</v>
      </c>
      <c r="I800" s="550" t="s">
        <v>11</v>
      </c>
      <c r="J800" s="550" t="s">
        <v>3826</v>
      </c>
      <c r="K800" s="551">
        <v>45060</v>
      </c>
      <c r="L800" s="552">
        <v>1260</v>
      </c>
      <c r="M800" s="552">
        <v>1260</v>
      </c>
      <c r="N800" s="552">
        <v>1260</v>
      </c>
      <c r="O800" s="552">
        <v>3</v>
      </c>
      <c r="P800" s="552">
        <v>3780</v>
      </c>
      <c r="Q800" s="548">
        <v>0</v>
      </c>
      <c r="R800" s="552">
        <v>0</v>
      </c>
      <c r="S800" s="548">
        <v>3</v>
      </c>
      <c r="T800" s="552">
        <v>3780</v>
      </c>
      <c r="U800" s="548">
        <v>0</v>
      </c>
      <c r="V800" s="552">
        <v>0</v>
      </c>
      <c r="W800" s="552">
        <v>0</v>
      </c>
      <c r="X800" s="552">
        <v>0</v>
      </c>
      <c r="Y800" s="552">
        <v>3</v>
      </c>
      <c r="Z800" s="552">
        <v>3780</v>
      </c>
      <c r="AA800" s="552">
        <v>3</v>
      </c>
      <c r="AB800" s="552">
        <v>3780</v>
      </c>
      <c r="AC800" s="552">
        <v>0</v>
      </c>
      <c r="AD800" s="552">
        <v>0</v>
      </c>
      <c r="AE800" s="552">
        <v>0</v>
      </c>
      <c r="AF800" s="552">
        <v>0</v>
      </c>
      <c r="AG800" s="552">
        <v>0</v>
      </c>
      <c r="AH800" s="552">
        <v>0</v>
      </c>
      <c r="AI800" s="552">
        <v>0</v>
      </c>
      <c r="AJ800" s="552">
        <v>0</v>
      </c>
    </row>
    <row r="801" spans="1:36" ht="15.95" customHeight="1">
      <c r="A801" s="547"/>
      <c r="B801" s="548">
        <v>349</v>
      </c>
      <c r="C801" s="549">
        <v>7416</v>
      </c>
      <c r="D801" s="550" t="s">
        <v>12301</v>
      </c>
      <c r="E801" s="550" t="s">
        <v>4654</v>
      </c>
      <c r="F801" s="550" t="s">
        <v>85</v>
      </c>
      <c r="G801" s="550" t="s">
        <v>4655</v>
      </c>
      <c r="H801" s="550" t="s">
        <v>4656</v>
      </c>
      <c r="I801" s="550" t="s">
        <v>11</v>
      </c>
      <c r="J801" s="550" t="s">
        <v>11645</v>
      </c>
      <c r="K801" s="551">
        <v>45268</v>
      </c>
      <c r="L801" s="552">
        <v>1260</v>
      </c>
      <c r="M801" s="552">
        <v>1260</v>
      </c>
      <c r="N801" s="552">
        <v>1260</v>
      </c>
      <c r="O801" s="552"/>
      <c r="P801" s="552"/>
      <c r="Q801" s="548">
        <v>15990</v>
      </c>
      <c r="R801" s="552">
        <v>20147400</v>
      </c>
      <c r="S801" s="548">
        <v>15981</v>
      </c>
      <c r="T801" s="552">
        <v>20136060</v>
      </c>
      <c r="U801" s="548">
        <v>9</v>
      </c>
      <c r="V801" s="552">
        <v>11340</v>
      </c>
      <c r="W801" s="552">
        <v>250</v>
      </c>
      <c r="X801" s="552">
        <v>315000</v>
      </c>
      <c r="Y801" s="552">
        <v>15981</v>
      </c>
      <c r="Z801" s="552">
        <v>20136060</v>
      </c>
      <c r="AA801" s="552">
        <v>12891</v>
      </c>
      <c r="AB801" s="552">
        <v>16242660</v>
      </c>
      <c r="AC801" s="552">
        <v>3090</v>
      </c>
      <c r="AD801" s="552">
        <v>3893400</v>
      </c>
      <c r="AE801" s="552">
        <v>0</v>
      </c>
      <c r="AF801" s="552">
        <v>0</v>
      </c>
      <c r="AG801" s="552">
        <v>0</v>
      </c>
      <c r="AH801" s="552">
        <v>0</v>
      </c>
      <c r="AI801" s="552">
        <v>0</v>
      </c>
      <c r="AJ801" s="552">
        <v>0</v>
      </c>
    </row>
    <row r="802" spans="1:36" ht="15.95" customHeight="1">
      <c r="A802" s="547"/>
      <c r="B802" s="548">
        <v>400</v>
      </c>
      <c r="C802" s="549">
        <v>7417</v>
      </c>
      <c r="D802" s="550" t="s">
        <v>12303</v>
      </c>
      <c r="E802" s="550" t="s">
        <v>4657</v>
      </c>
      <c r="F802" s="550" t="s">
        <v>4658</v>
      </c>
      <c r="G802" s="550" t="s">
        <v>4659</v>
      </c>
      <c r="H802" s="550" t="s">
        <v>4660</v>
      </c>
      <c r="I802" s="550" t="s">
        <v>15</v>
      </c>
      <c r="J802" s="550" t="s">
        <v>3984</v>
      </c>
      <c r="K802" s="551">
        <v>45033</v>
      </c>
      <c r="L802" s="552">
        <v>34000</v>
      </c>
      <c r="M802" s="552">
        <v>34000</v>
      </c>
      <c r="N802" s="552">
        <v>34000</v>
      </c>
      <c r="O802" s="552">
        <v>120</v>
      </c>
      <c r="P802" s="552">
        <v>4080000</v>
      </c>
      <c r="Q802" s="548">
        <v>0</v>
      </c>
      <c r="R802" s="552">
        <v>0</v>
      </c>
      <c r="S802" s="548">
        <v>120</v>
      </c>
      <c r="T802" s="552">
        <v>4080000</v>
      </c>
      <c r="U802" s="548">
        <v>0</v>
      </c>
      <c r="V802" s="552">
        <v>0</v>
      </c>
      <c r="W802" s="552">
        <v>0</v>
      </c>
      <c r="X802" s="552">
        <v>0</v>
      </c>
      <c r="Y802" s="552">
        <v>120</v>
      </c>
      <c r="Z802" s="552">
        <v>4080000</v>
      </c>
      <c r="AA802" s="552">
        <v>120</v>
      </c>
      <c r="AB802" s="552">
        <v>4080000</v>
      </c>
      <c r="AC802" s="552">
        <v>0</v>
      </c>
      <c r="AD802" s="552">
        <v>0</v>
      </c>
      <c r="AE802" s="552">
        <v>0</v>
      </c>
      <c r="AF802" s="552">
        <v>0</v>
      </c>
      <c r="AG802" s="552">
        <v>0</v>
      </c>
      <c r="AH802" s="552">
        <v>0</v>
      </c>
      <c r="AI802" s="552">
        <v>0</v>
      </c>
      <c r="AJ802" s="552">
        <v>0</v>
      </c>
    </row>
    <row r="803" spans="1:36" ht="15.95" customHeight="1">
      <c r="A803" s="547"/>
      <c r="B803" s="548">
        <v>401</v>
      </c>
      <c r="C803" s="549">
        <v>7417</v>
      </c>
      <c r="D803" s="550" t="s">
        <v>12303</v>
      </c>
      <c r="E803" s="550" t="s">
        <v>4657</v>
      </c>
      <c r="F803" s="550" t="s">
        <v>4658</v>
      </c>
      <c r="G803" s="550" t="s">
        <v>4659</v>
      </c>
      <c r="H803" s="550" t="s">
        <v>4660</v>
      </c>
      <c r="I803" s="550" t="s">
        <v>15</v>
      </c>
      <c r="J803" s="550" t="s">
        <v>12304</v>
      </c>
      <c r="K803" s="551">
        <v>45273</v>
      </c>
      <c r="L803" s="552">
        <v>34000</v>
      </c>
      <c r="M803" s="552">
        <v>34000</v>
      </c>
      <c r="N803" s="552">
        <v>34000</v>
      </c>
      <c r="O803" s="552"/>
      <c r="P803" s="552"/>
      <c r="Q803" s="548">
        <v>300</v>
      </c>
      <c r="R803" s="552">
        <v>10200000</v>
      </c>
      <c r="S803" s="548">
        <v>26</v>
      </c>
      <c r="T803" s="552">
        <v>884000</v>
      </c>
      <c r="U803" s="548">
        <v>274</v>
      </c>
      <c r="V803" s="552">
        <v>9316000</v>
      </c>
      <c r="W803" s="552">
        <v>0</v>
      </c>
      <c r="X803" s="552">
        <v>0</v>
      </c>
      <c r="Y803" s="552">
        <v>26</v>
      </c>
      <c r="Z803" s="552">
        <v>884000</v>
      </c>
      <c r="AA803" s="552">
        <v>26</v>
      </c>
      <c r="AB803" s="552">
        <v>884000</v>
      </c>
      <c r="AC803" s="552">
        <v>0</v>
      </c>
      <c r="AD803" s="552">
        <v>0</v>
      </c>
      <c r="AE803" s="552">
        <v>0</v>
      </c>
      <c r="AF803" s="552">
        <v>0</v>
      </c>
      <c r="AG803" s="552">
        <v>0</v>
      </c>
      <c r="AH803" s="552">
        <v>0</v>
      </c>
      <c r="AI803" s="552">
        <v>0</v>
      </c>
      <c r="AJ803" s="552">
        <v>0</v>
      </c>
    </row>
    <row r="804" spans="1:36" ht="15.95" customHeight="1">
      <c r="A804" s="547"/>
      <c r="B804" s="548">
        <v>402</v>
      </c>
      <c r="C804" s="549">
        <v>7481</v>
      </c>
      <c r="D804" s="550" t="s">
        <v>12305</v>
      </c>
      <c r="E804" s="550" t="s">
        <v>4661</v>
      </c>
      <c r="F804" s="550" t="s">
        <v>90</v>
      </c>
      <c r="G804" s="550" t="s">
        <v>4662</v>
      </c>
      <c r="H804" s="550" t="s">
        <v>4663</v>
      </c>
      <c r="I804" s="550" t="s">
        <v>11</v>
      </c>
      <c r="J804" s="550" t="s">
        <v>3984</v>
      </c>
      <c r="K804" s="551">
        <v>45051</v>
      </c>
      <c r="L804" s="552">
        <v>1200</v>
      </c>
      <c r="M804" s="552">
        <v>1200</v>
      </c>
      <c r="N804" s="552">
        <v>1200</v>
      </c>
      <c r="O804" s="552">
        <v>200</v>
      </c>
      <c r="P804" s="552">
        <v>240000</v>
      </c>
      <c r="Q804" s="548">
        <v>0</v>
      </c>
      <c r="R804" s="552">
        <v>0</v>
      </c>
      <c r="S804" s="548">
        <v>200</v>
      </c>
      <c r="T804" s="552">
        <v>240000</v>
      </c>
      <c r="U804" s="548">
        <v>0</v>
      </c>
      <c r="V804" s="552">
        <v>0</v>
      </c>
      <c r="W804" s="552">
        <v>0</v>
      </c>
      <c r="X804" s="552">
        <v>0</v>
      </c>
      <c r="Y804" s="552">
        <v>200</v>
      </c>
      <c r="Z804" s="552">
        <v>240000</v>
      </c>
      <c r="AA804" s="552">
        <v>200</v>
      </c>
      <c r="AB804" s="552">
        <v>240000</v>
      </c>
      <c r="AC804" s="552">
        <v>0</v>
      </c>
      <c r="AD804" s="552">
        <v>0</v>
      </c>
      <c r="AE804" s="552">
        <v>0</v>
      </c>
      <c r="AF804" s="552">
        <v>0</v>
      </c>
      <c r="AG804" s="552">
        <v>0</v>
      </c>
      <c r="AH804" s="552">
        <v>0</v>
      </c>
      <c r="AI804" s="552">
        <v>0</v>
      </c>
      <c r="AJ804" s="552">
        <v>0</v>
      </c>
    </row>
    <row r="805" spans="1:36" ht="15.95" customHeight="1">
      <c r="A805" s="547"/>
      <c r="B805" s="548">
        <v>403</v>
      </c>
      <c r="C805" s="549">
        <v>7481</v>
      </c>
      <c r="D805" s="550" t="s">
        <v>12305</v>
      </c>
      <c r="E805" s="550" t="s">
        <v>4661</v>
      </c>
      <c r="F805" s="550" t="s">
        <v>90</v>
      </c>
      <c r="G805" s="550" t="s">
        <v>4662</v>
      </c>
      <c r="H805" s="550" t="s">
        <v>4663</v>
      </c>
      <c r="I805" s="550" t="s">
        <v>11</v>
      </c>
      <c r="J805" s="550" t="s">
        <v>11686</v>
      </c>
      <c r="K805" s="551">
        <v>45312</v>
      </c>
      <c r="L805" s="552">
        <v>1200</v>
      </c>
      <c r="M805" s="552">
        <v>1200</v>
      </c>
      <c r="N805" s="552">
        <v>1200</v>
      </c>
      <c r="O805" s="552"/>
      <c r="P805" s="552"/>
      <c r="Q805" s="548">
        <v>5000</v>
      </c>
      <c r="R805" s="552">
        <v>6000000</v>
      </c>
      <c r="S805" s="548">
        <v>5000</v>
      </c>
      <c r="T805" s="552">
        <v>6000000</v>
      </c>
      <c r="U805" s="548">
        <v>0</v>
      </c>
      <c r="V805" s="552">
        <v>0</v>
      </c>
      <c r="W805" s="552">
        <v>0</v>
      </c>
      <c r="X805" s="552">
        <v>0</v>
      </c>
      <c r="Y805" s="552">
        <v>5000</v>
      </c>
      <c r="Z805" s="552">
        <v>6000000</v>
      </c>
      <c r="AA805" s="552">
        <v>5000</v>
      </c>
      <c r="AB805" s="552">
        <v>6000000</v>
      </c>
      <c r="AC805" s="552">
        <v>0</v>
      </c>
      <c r="AD805" s="552">
        <v>0</v>
      </c>
      <c r="AE805" s="552">
        <v>0</v>
      </c>
      <c r="AF805" s="552">
        <v>0</v>
      </c>
      <c r="AG805" s="552">
        <v>0</v>
      </c>
      <c r="AH805" s="552">
        <v>0</v>
      </c>
      <c r="AI805" s="552">
        <v>0</v>
      </c>
      <c r="AJ805" s="552">
        <v>0</v>
      </c>
    </row>
    <row r="806" spans="1:36" ht="15.95" customHeight="1">
      <c r="A806" s="547"/>
      <c r="B806" s="548">
        <v>404</v>
      </c>
      <c r="C806" s="549">
        <v>7481</v>
      </c>
      <c r="D806" s="550" t="s">
        <v>12305</v>
      </c>
      <c r="E806" s="550" t="s">
        <v>4661</v>
      </c>
      <c r="F806" s="550" t="s">
        <v>90</v>
      </c>
      <c r="G806" s="550" t="s">
        <v>4662</v>
      </c>
      <c r="H806" s="550" t="s">
        <v>4663</v>
      </c>
      <c r="I806" s="550" t="s">
        <v>11</v>
      </c>
      <c r="J806" s="550" t="s">
        <v>12306</v>
      </c>
      <c r="K806" s="551">
        <v>45609</v>
      </c>
      <c r="L806" s="552">
        <v>1200</v>
      </c>
      <c r="M806" s="552">
        <v>1200</v>
      </c>
      <c r="N806" s="552">
        <v>1200</v>
      </c>
      <c r="O806" s="552"/>
      <c r="P806" s="552"/>
      <c r="Q806" s="548">
        <v>10000</v>
      </c>
      <c r="R806" s="552">
        <v>12000000</v>
      </c>
      <c r="S806" s="548">
        <v>370</v>
      </c>
      <c r="T806" s="552">
        <v>444000</v>
      </c>
      <c r="U806" s="548">
        <v>9630</v>
      </c>
      <c r="V806" s="552">
        <v>11556000</v>
      </c>
      <c r="W806" s="552">
        <v>0</v>
      </c>
      <c r="X806" s="552">
        <v>0</v>
      </c>
      <c r="Y806" s="552">
        <v>370</v>
      </c>
      <c r="Z806" s="552">
        <v>444000</v>
      </c>
      <c r="AA806" s="552">
        <v>370</v>
      </c>
      <c r="AB806" s="552">
        <v>444000</v>
      </c>
      <c r="AC806" s="552">
        <v>0</v>
      </c>
      <c r="AD806" s="552">
        <v>0</v>
      </c>
      <c r="AE806" s="552">
        <v>0</v>
      </c>
      <c r="AF806" s="552">
        <v>0</v>
      </c>
      <c r="AG806" s="552">
        <v>0</v>
      </c>
      <c r="AH806" s="552">
        <v>0</v>
      </c>
      <c r="AI806" s="552">
        <v>0</v>
      </c>
      <c r="AJ806" s="552">
        <v>0</v>
      </c>
    </row>
    <row r="807" spans="1:36" ht="15.95" customHeight="1">
      <c r="A807" s="547"/>
      <c r="B807" s="548">
        <v>405</v>
      </c>
      <c r="C807" s="549">
        <v>7418</v>
      </c>
      <c r="D807" s="550" t="s">
        <v>12307</v>
      </c>
      <c r="E807" s="550" t="s">
        <v>4664</v>
      </c>
      <c r="F807" s="550" t="s">
        <v>93</v>
      </c>
      <c r="G807" s="550" t="s">
        <v>94</v>
      </c>
      <c r="H807" s="550" t="s">
        <v>95</v>
      </c>
      <c r="I807" s="550" t="s">
        <v>11</v>
      </c>
      <c r="J807" s="550" t="s">
        <v>11686</v>
      </c>
      <c r="K807" s="551">
        <v>45316</v>
      </c>
      <c r="L807" s="552">
        <v>4200</v>
      </c>
      <c r="M807" s="552">
        <v>4200</v>
      </c>
      <c r="N807" s="552">
        <v>4200</v>
      </c>
      <c r="O807" s="552"/>
      <c r="P807" s="552"/>
      <c r="Q807" s="548">
        <v>5000</v>
      </c>
      <c r="R807" s="552">
        <v>21000000</v>
      </c>
      <c r="S807" s="548">
        <v>5000</v>
      </c>
      <c r="T807" s="552">
        <v>21000000</v>
      </c>
      <c r="U807" s="548">
        <v>0</v>
      </c>
      <c r="V807" s="552">
        <v>0</v>
      </c>
      <c r="W807" s="552">
        <v>0</v>
      </c>
      <c r="X807" s="552">
        <v>0</v>
      </c>
      <c r="Y807" s="552">
        <v>5000</v>
      </c>
      <c r="Z807" s="552">
        <v>21000000</v>
      </c>
      <c r="AA807" s="552">
        <v>5000</v>
      </c>
      <c r="AB807" s="552">
        <v>21000000</v>
      </c>
      <c r="AC807" s="552">
        <v>0</v>
      </c>
      <c r="AD807" s="552">
        <v>0</v>
      </c>
      <c r="AE807" s="552">
        <v>0</v>
      </c>
      <c r="AF807" s="552">
        <v>0</v>
      </c>
      <c r="AG807" s="552">
        <v>0</v>
      </c>
      <c r="AH807" s="552">
        <v>0</v>
      </c>
      <c r="AI807" s="552">
        <v>0</v>
      </c>
      <c r="AJ807" s="552">
        <v>0</v>
      </c>
    </row>
    <row r="808" spans="1:36" ht="15.95" customHeight="1">
      <c r="A808" s="547"/>
      <c r="B808" s="548">
        <v>406</v>
      </c>
      <c r="C808" s="549">
        <v>7418</v>
      </c>
      <c r="D808" s="550" t="s">
        <v>12307</v>
      </c>
      <c r="E808" s="550" t="s">
        <v>4664</v>
      </c>
      <c r="F808" s="550" t="s">
        <v>93</v>
      </c>
      <c r="G808" s="550" t="s">
        <v>94</v>
      </c>
      <c r="H808" s="550" t="s">
        <v>95</v>
      </c>
      <c r="I808" s="550" t="s">
        <v>11</v>
      </c>
      <c r="J808" s="550" t="s">
        <v>4074</v>
      </c>
      <c r="K808" s="551">
        <v>45186</v>
      </c>
      <c r="L808" s="552">
        <v>4200</v>
      </c>
      <c r="M808" s="552">
        <v>4200</v>
      </c>
      <c r="N808" s="552">
        <v>4200</v>
      </c>
      <c r="O808" s="552">
        <v>8809</v>
      </c>
      <c r="P808" s="552">
        <v>36997800</v>
      </c>
      <c r="Q808" s="548">
        <v>0</v>
      </c>
      <c r="R808" s="552">
        <v>0</v>
      </c>
      <c r="S808" s="548">
        <v>8809</v>
      </c>
      <c r="T808" s="552">
        <v>36997800</v>
      </c>
      <c r="U808" s="548">
        <v>0</v>
      </c>
      <c r="V808" s="552">
        <v>0</v>
      </c>
      <c r="W808" s="552">
        <v>0</v>
      </c>
      <c r="X808" s="552">
        <v>0</v>
      </c>
      <c r="Y808" s="552">
        <v>8809</v>
      </c>
      <c r="Z808" s="552">
        <v>36997800</v>
      </c>
      <c r="AA808" s="552">
        <v>8809</v>
      </c>
      <c r="AB808" s="552">
        <v>36997800</v>
      </c>
      <c r="AC808" s="552">
        <v>0</v>
      </c>
      <c r="AD808" s="552">
        <v>0</v>
      </c>
      <c r="AE808" s="552">
        <v>0</v>
      </c>
      <c r="AF808" s="552">
        <v>0</v>
      </c>
      <c r="AG808" s="552">
        <v>0</v>
      </c>
      <c r="AH808" s="552">
        <v>0</v>
      </c>
      <c r="AI808" s="552">
        <v>0</v>
      </c>
      <c r="AJ808" s="552">
        <v>0</v>
      </c>
    </row>
    <row r="809" spans="1:36" ht="15.95" customHeight="1">
      <c r="A809" s="547"/>
      <c r="B809" s="548">
        <v>407</v>
      </c>
      <c r="C809" s="549">
        <v>7418</v>
      </c>
      <c r="D809" s="550" t="s">
        <v>12307</v>
      </c>
      <c r="E809" s="550" t="s">
        <v>4664</v>
      </c>
      <c r="F809" s="550" t="s">
        <v>93</v>
      </c>
      <c r="G809" s="550" t="s">
        <v>94</v>
      </c>
      <c r="H809" s="550" t="s">
        <v>95</v>
      </c>
      <c r="I809" s="550" t="s">
        <v>11</v>
      </c>
      <c r="J809" s="550" t="s">
        <v>4636</v>
      </c>
      <c r="K809" s="551">
        <v>45249</v>
      </c>
      <c r="L809" s="552">
        <v>4200</v>
      </c>
      <c r="M809" s="552">
        <v>4200</v>
      </c>
      <c r="N809" s="552">
        <v>4200</v>
      </c>
      <c r="O809" s="552"/>
      <c r="P809" s="552"/>
      <c r="Q809" s="548">
        <v>4000</v>
      </c>
      <c r="R809" s="552">
        <v>16800000</v>
      </c>
      <c r="S809" s="548">
        <v>4000</v>
      </c>
      <c r="T809" s="552">
        <v>16800000</v>
      </c>
      <c r="U809" s="548">
        <v>0</v>
      </c>
      <c r="V809" s="552">
        <v>0</v>
      </c>
      <c r="W809" s="552">
        <v>0</v>
      </c>
      <c r="X809" s="552">
        <v>0</v>
      </c>
      <c r="Y809" s="552">
        <v>4000</v>
      </c>
      <c r="Z809" s="552">
        <v>16800000</v>
      </c>
      <c r="AA809" s="552">
        <v>4000</v>
      </c>
      <c r="AB809" s="552">
        <v>16800000</v>
      </c>
      <c r="AC809" s="552">
        <v>0</v>
      </c>
      <c r="AD809" s="552">
        <v>0</v>
      </c>
      <c r="AE809" s="552">
        <v>0</v>
      </c>
      <c r="AF809" s="552">
        <v>0</v>
      </c>
      <c r="AG809" s="552">
        <v>0</v>
      </c>
      <c r="AH809" s="552">
        <v>0</v>
      </c>
      <c r="AI809" s="552">
        <v>0</v>
      </c>
      <c r="AJ809" s="552">
        <v>0</v>
      </c>
    </row>
    <row r="810" spans="1:36" ht="15.95" customHeight="1">
      <c r="A810" s="547"/>
      <c r="B810" s="548">
        <v>408</v>
      </c>
      <c r="C810" s="549">
        <v>7419</v>
      </c>
      <c r="D810" s="550" t="s">
        <v>12308</v>
      </c>
      <c r="E810" s="550" t="s">
        <v>4666</v>
      </c>
      <c r="F810" s="550" t="s">
        <v>4667</v>
      </c>
      <c r="G810" s="550" t="s">
        <v>4668</v>
      </c>
      <c r="H810" s="550" t="s">
        <v>4669</v>
      </c>
      <c r="I810" s="550" t="s">
        <v>11</v>
      </c>
      <c r="J810" s="550" t="s">
        <v>4665</v>
      </c>
      <c r="K810" s="551">
        <v>45088</v>
      </c>
      <c r="L810" s="552">
        <v>1150</v>
      </c>
      <c r="M810" s="552">
        <v>1150</v>
      </c>
      <c r="N810" s="552">
        <v>1150</v>
      </c>
      <c r="O810" s="552">
        <v>9600</v>
      </c>
      <c r="P810" s="552">
        <v>11040000</v>
      </c>
      <c r="Q810" s="548">
        <v>0</v>
      </c>
      <c r="R810" s="552">
        <v>0</v>
      </c>
      <c r="S810" s="548">
        <v>7543</v>
      </c>
      <c r="T810" s="552">
        <v>8674450</v>
      </c>
      <c r="U810" s="548">
        <v>2057</v>
      </c>
      <c r="V810" s="552">
        <v>2365550</v>
      </c>
      <c r="W810" s="552">
        <v>0</v>
      </c>
      <c r="X810" s="552">
        <v>0</v>
      </c>
      <c r="Y810" s="552">
        <v>7543</v>
      </c>
      <c r="Z810" s="552">
        <v>8674450</v>
      </c>
      <c r="AA810" s="552">
        <v>7543</v>
      </c>
      <c r="AB810" s="552">
        <v>8674450</v>
      </c>
      <c r="AC810" s="552">
        <v>0</v>
      </c>
      <c r="AD810" s="552">
        <v>0</v>
      </c>
      <c r="AE810" s="552">
        <v>0</v>
      </c>
      <c r="AF810" s="552">
        <v>0</v>
      </c>
      <c r="AG810" s="552">
        <v>0</v>
      </c>
      <c r="AH810" s="552">
        <v>0</v>
      </c>
      <c r="AI810" s="552">
        <v>0</v>
      </c>
      <c r="AJ810" s="552">
        <v>0</v>
      </c>
    </row>
    <row r="811" spans="1:36" ht="15.95" customHeight="1">
      <c r="A811" s="547"/>
      <c r="B811" s="548">
        <v>417</v>
      </c>
      <c r="C811" s="549">
        <v>5314</v>
      </c>
      <c r="D811" s="550"/>
      <c r="E811" s="550" t="s">
        <v>4670</v>
      </c>
      <c r="F811" s="550" t="s">
        <v>99</v>
      </c>
      <c r="G811" s="550" t="s">
        <v>100</v>
      </c>
      <c r="H811" s="550" t="s">
        <v>101</v>
      </c>
      <c r="I811" s="550" t="s">
        <v>10</v>
      </c>
      <c r="J811" s="550" t="s">
        <v>4019</v>
      </c>
      <c r="K811" s="551">
        <v>44136</v>
      </c>
      <c r="L811" s="552">
        <v>840</v>
      </c>
      <c r="M811" s="552">
        <v>840</v>
      </c>
      <c r="N811" s="552">
        <v>840</v>
      </c>
      <c r="O811" s="552">
        <v>79</v>
      </c>
      <c r="P811" s="552">
        <v>66360</v>
      </c>
      <c r="Q811" s="548">
        <v>0</v>
      </c>
      <c r="R811" s="552">
        <v>0</v>
      </c>
      <c r="S811" s="548">
        <v>79</v>
      </c>
      <c r="T811" s="552">
        <v>66360</v>
      </c>
      <c r="U811" s="548">
        <v>0</v>
      </c>
      <c r="V811" s="552">
        <v>0</v>
      </c>
      <c r="W811" s="552">
        <v>0</v>
      </c>
      <c r="X811" s="552">
        <v>0</v>
      </c>
      <c r="Y811" s="552">
        <v>0</v>
      </c>
      <c r="Z811" s="552">
        <v>0</v>
      </c>
      <c r="AA811" s="552">
        <v>0</v>
      </c>
      <c r="AB811" s="552">
        <v>0</v>
      </c>
      <c r="AC811" s="552">
        <v>0</v>
      </c>
      <c r="AD811" s="552">
        <v>0</v>
      </c>
      <c r="AE811" s="552">
        <v>0</v>
      </c>
      <c r="AF811" s="552">
        <v>0</v>
      </c>
      <c r="AG811" s="552">
        <v>79</v>
      </c>
      <c r="AH811" s="552">
        <v>66360</v>
      </c>
      <c r="AI811" s="552">
        <v>0</v>
      </c>
      <c r="AJ811" s="552">
        <v>0</v>
      </c>
    </row>
    <row r="812" spans="1:36" ht="15.95" customHeight="1">
      <c r="A812" s="547"/>
      <c r="B812" s="548">
        <v>429</v>
      </c>
      <c r="C812" s="549">
        <v>5780</v>
      </c>
      <c r="D812" s="550"/>
      <c r="E812" s="550" t="s">
        <v>4671</v>
      </c>
      <c r="F812" s="550" t="s">
        <v>104</v>
      </c>
      <c r="G812" s="550" t="s">
        <v>105</v>
      </c>
      <c r="H812" s="550" t="s">
        <v>106</v>
      </c>
      <c r="I812" s="550" t="s">
        <v>10</v>
      </c>
      <c r="J812" s="550" t="s">
        <v>4030</v>
      </c>
      <c r="K812" s="551">
        <v>44451</v>
      </c>
      <c r="L812" s="552">
        <v>2783</v>
      </c>
      <c r="M812" s="552">
        <v>2783</v>
      </c>
      <c r="N812" s="552">
        <v>2783</v>
      </c>
      <c r="O812" s="552">
        <v>3</v>
      </c>
      <c r="P812" s="552">
        <v>8349</v>
      </c>
      <c r="Q812" s="548">
        <v>0</v>
      </c>
      <c r="R812" s="552">
        <v>0</v>
      </c>
      <c r="S812" s="548">
        <v>3</v>
      </c>
      <c r="T812" s="552">
        <v>8349</v>
      </c>
      <c r="U812" s="548">
        <v>0</v>
      </c>
      <c r="V812" s="552">
        <v>0</v>
      </c>
      <c r="W812" s="552">
        <v>0</v>
      </c>
      <c r="X812" s="552">
        <v>0</v>
      </c>
      <c r="Y812" s="552">
        <v>3</v>
      </c>
      <c r="Z812" s="552">
        <v>8349</v>
      </c>
      <c r="AA812" s="552">
        <v>3</v>
      </c>
      <c r="AB812" s="552">
        <v>8349</v>
      </c>
      <c r="AC812" s="552">
        <v>0</v>
      </c>
      <c r="AD812" s="552">
        <v>0</v>
      </c>
      <c r="AE812" s="552">
        <v>0</v>
      </c>
      <c r="AF812" s="552">
        <v>0</v>
      </c>
      <c r="AG812" s="552">
        <v>0</v>
      </c>
      <c r="AH812" s="552">
        <v>0</v>
      </c>
      <c r="AI812" s="552">
        <v>0</v>
      </c>
      <c r="AJ812" s="552">
        <v>0</v>
      </c>
    </row>
    <row r="813" spans="1:36" ht="15.95" customHeight="1">
      <c r="A813" s="547"/>
      <c r="B813" s="548">
        <v>430</v>
      </c>
      <c r="C813" s="549">
        <v>7420</v>
      </c>
      <c r="D813" s="550" t="s">
        <v>12309</v>
      </c>
      <c r="E813" s="550" t="s">
        <v>8790</v>
      </c>
      <c r="F813" s="550" t="s">
        <v>104</v>
      </c>
      <c r="G813" s="550" t="s">
        <v>105</v>
      </c>
      <c r="H813" s="550" t="s">
        <v>12310</v>
      </c>
      <c r="I813" s="550" t="s">
        <v>11</v>
      </c>
      <c r="J813" s="550" t="s">
        <v>11644</v>
      </c>
      <c r="K813" s="551">
        <v>45311</v>
      </c>
      <c r="L813" s="552">
        <v>2780</v>
      </c>
      <c r="M813" s="552">
        <v>2780</v>
      </c>
      <c r="N813" s="552">
        <v>2780</v>
      </c>
      <c r="O813" s="552"/>
      <c r="P813" s="552"/>
      <c r="Q813" s="548">
        <v>5000</v>
      </c>
      <c r="R813" s="552">
        <v>13900000</v>
      </c>
      <c r="S813" s="548">
        <v>0</v>
      </c>
      <c r="T813" s="552">
        <v>0</v>
      </c>
      <c r="U813" s="548">
        <v>5000</v>
      </c>
      <c r="V813" s="552">
        <v>13900000</v>
      </c>
      <c r="W813" s="552">
        <v>0</v>
      </c>
      <c r="X813" s="552">
        <v>0</v>
      </c>
      <c r="Y813" s="552">
        <v>0</v>
      </c>
      <c r="Z813" s="552">
        <v>0</v>
      </c>
      <c r="AA813" s="552">
        <v>0</v>
      </c>
      <c r="AB813" s="552">
        <v>0</v>
      </c>
      <c r="AC813" s="552">
        <v>0</v>
      </c>
      <c r="AD813" s="552">
        <v>0</v>
      </c>
      <c r="AE813" s="552">
        <v>0</v>
      </c>
      <c r="AF813" s="552">
        <v>0</v>
      </c>
      <c r="AG813" s="552">
        <v>0</v>
      </c>
      <c r="AH813" s="552">
        <v>0</v>
      </c>
      <c r="AI813" s="552">
        <v>0</v>
      </c>
      <c r="AJ813" s="552">
        <v>0</v>
      </c>
    </row>
    <row r="814" spans="1:36" ht="15.95" customHeight="1">
      <c r="A814" s="547"/>
      <c r="B814" s="548">
        <v>431</v>
      </c>
      <c r="C814" s="549">
        <v>7420</v>
      </c>
      <c r="D814" s="550" t="s">
        <v>12309</v>
      </c>
      <c r="E814" s="550" t="s">
        <v>8790</v>
      </c>
      <c r="F814" s="550" t="s">
        <v>104</v>
      </c>
      <c r="G814" s="550" t="s">
        <v>105</v>
      </c>
      <c r="H814" s="550" t="s">
        <v>12310</v>
      </c>
      <c r="I814" s="550" t="s">
        <v>11</v>
      </c>
      <c r="J814" s="550" t="s">
        <v>12311</v>
      </c>
      <c r="K814" s="551">
        <v>45267</v>
      </c>
      <c r="L814" s="552">
        <v>2780</v>
      </c>
      <c r="M814" s="552">
        <v>2780</v>
      </c>
      <c r="N814" s="552">
        <v>2780</v>
      </c>
      <c r="O814" s="552"/>
      <c r="P814" s="552"/>
      <c r="Q814" s="548">
        <v>5000</v>
      </c>
      <c r="R814" s="552">
        <v>13900000</v>
      </c>
      <c r="S814" s="548">
        <v>5000</v>
      </c>
      <c r="T814" s="552">
        <v>13900000</v>
      </c>
      <c r="U814" s="548">
        <v>0</v>
      </c>
      <c r="V814" s="552">
        <v>0</v>
      </c>
      <c r="W814" s="552">
        <v>0</v>
      </c>
      <c r="X814" s="552">
        <v>0</v>
      </c>
      <c r="Y814" s="552">
        <v>4880</v>
      </c>
      <c r="Z814" s="552">
        <v>13566400</v>
      </c>
      <c r="AA814" s="552">
        <v>4880</v>
      </c>
      <c r="AB814" s="552">
        <v>13566400</v>
      </c>
      <c r="AC814" s="552">
        <v>0</v>
      </c>
      <c r="AD814" s="552">
        <v>0</v>
      </c>
      <c r="AE814" s="552">
        <v>0</v>
      </c>
      <c r="AF814" s="552">
        <v>0</v>
      </c>
      <c r="AG814" s="552">
        <v>120</v>
      </c>
      <c r="AH814" s="552">
        <v>333600</v>
      </c>
      <c r="AI814" s="552">
        <v>0</v>
      </c>
      <c r="AJ814" s="552">
        <v>0</v>
      </c>
    </row>
    <row r="815" spans="1:36" ht="15.95" customHeight="1">
      <c r="A815" s="547"/>
      <c r="B815" s="548">
        <v>479</v>
      </c>
      <c r="C815" s="549">
        <v>7421</v>
      </c>
      <c r="D815" s="550" t="s">
        <v>12312</v>
      </c>
      <c r="E815" s="550" t="s">
        <v>4672</v>
      </c>
      <c r="F815" s="550" t="s">
        <v>107</v>
      </c>
      <c r="G815" s="550" t="s">
        <v>108</v>
      </c>
      <c r="H815" s="550" t="s">
        <v>4673</v>
      </c>
      <c r="I815" s="550" t="s">
        <v>11</v>
      </c>
      <c r="J815" s="550" t="s">
        <v>4483</v>
      </c>
      <c r="K815" s="551">
        <v>44703</v>
      </c>
      <c r="L815" s="552">
        <v>830</v>
      </c>
      <c r="M815" s="552">
        <v>830</v>
      </c>
      <c r="N815" s="552">
        <v>830</v>
      </c>
      <c r="O815" s="552">
        <v>4</v>
      </c>
      <c r="P815" s="552">
        <v>3320</v>
      </c>
      <c r="Q815" s="548">
        <v>0</v>
      </c>
      <c r="R815" s="552">
        <v>0</v>
      </c>
      <c r="S815" s="548">
        <v>4</v>
      </c>
      <c r="T815" s="552">
        <v>3320</v>
      </c>
      <c r="U815" s="548">
        <v>0</v>
      </c>
      <c r="V815" s="552">
        <v>0</v>
      </c>
      <c r="W815" s="552">
        <v>0</v>
      </c>
      <c r="X815" s="552">
        <v>0</v>
      </c>
      <c r="Y815" s="552">
        <v>4</v>
      </c>
      <c r="Z815" s="552">
        <v>3320</v>
      </c>
      <c r="AA815" s="552">
        <v>4</v>
      </c>
      <c r="AB815" s="552">
        <v>3320</v>
      </c>
      <c r="AC815" s="552">
        <v>0</v>
      </c>
      <c r="AD815" s="552">
        <v>0</v>
      </c>
      <c r="AE815" s="552">
        <v>0</v>
      </c>
      <c r="AF815" s="552">
        <v>0</v>
      </c>
      <c r="AG815" s="552">
        <v>0</v>
      </c>
      <c r="AH815" s="552">
        <v>0</v>
      </c>
      <c r="AI815" s="552">
        <v>0</v>
      </c>
      <c r="AJ815" s="552">
        <v>0</v>
      </c>
    </row>
    <row r="816" spans="1:36" ht="15.95" customHeight="1">
      <c r="A816" s="547"/>
      <c r="B816" s="548">
        <v>480</v>
      </c>
      <c r="C816" s="549">
        <v>7421</v>
      </c>
      <c r="D816" s="550" t="s">
        <v>12312</v>
      </c>
      <c r="E816" s="550" t="s">
        <v>4672</v>
      </c>
      <c r="F816" s="550" t="s">
        <v>107</v>
      </c>
      <c r="G816" s="550" t="s">
        <v>108</v>
      </c>
      <c r="H816" s="550" t="s">
        <v>4673</v>
      </c>
      <c r="I816" s="550" t="s">
        <v>11</v>
      </c>
      <c r="J816" s="550" t="s">
        <v>12281</v>
      </c>
      <c r="K816" s="551">
        <v>44811</v>
      </c>
      <c r="L816" s="552">
        <v>830</v>
      </c>
      <c r="M816" s="552">
        <v>830</v>
      </c>
      <c r="N816" s="552">
        <v>830</v>
      </c>
      <c r="O816" s="552">
        <v>10000</v>
      </c>
      <c r="P816" s="552">
        <v>8300000</v>
      </c>
      <c r="Q816" s="548">
        <v>0</v>
      </c>
      <c r="R816" s="552">
        <v>0</v>
      </c>
      <c r="S816" s="548">
        <v>10000</v>
      </c>
      <c r="T816" s="552">
        <v>8300000</v>
      </c>
      <c r="U816" s="548">
        <v>0</v>
      </c>
      <c r="V816" s="552">
        <v>0</v>
      </c>
      <c r="W816" s="552">
        <v>0</v>
      </c>
      <c r="X816" s="552">
        <v>0</v>
      </c>
      <c r="Y816" s="552">
        <v>10000</v>
      </c>
      <c r="Z816" s="552">
        <v>8300000</v>
      </c>
      <c r="AA816" s="552">
        <v>10000</v>
      </c>
      <c r="AB816" s="552">
        <v>8300000</v>
      </c>
      <c r="AC816" s="552">
        <v>0</v>
      </c>
      <c r="AD816" s="552">
        <v>0</v>
      </c>
      <c r="AE816" s="552">
        <v>0</v>
      </c>
      <c r="AF816" s="552">
        <v>0</v>
      </c>
      <c r="AG816" s="552">
        <v>0</v>
      </c>
      <c r="AH816" s="552">
        <v>0</v>
      </c>
      <c r="AI816" s="552">
        <v>0</v>
      </c>
      <c r="AJ816" s="552">
        <v>0</v>
      </c>
    </row>
    <row r="817" spans="1:36" ht="15.95" customHeight="1">
      <c r="A817" s="547"/>
      <c r="B817" s="548">
        <v>481</v>
      </c>
      <c r="C817" s="549">
        <v>7421</v>
      </c>
      <c r="D817" s="550" t="s">
        <v>12312</v>
      </c>
      <c r="E817" s="550" t="s">
        <v>4672</v>
      </c>
      <c r="F817" s="550" t="s">
        <v>107</v>
      </c>
      <c r="G817" s="550" t="s">
        <v>108</v>
      </c>
      <c r="H817" s="550" t="s">
        <v>4673</v>
      </c>
      <c r="I817" s="550" t="s">
        <v>11</v>
      </c>
      <c r="J817" s="550" t="s">
        <v>12313</v>
      </c>
      <c r="K817" s="551">
        <v>44891</v>
      </c>
      <c r="L817" s="552">
        <v>830</v>
      </c>
      <c r="M817" s="552">
        <v>830</v>
      </c>
      <c r="N817" s="552">
        <v>830</v>
      </c>
      <c r="O817" s="552"/>
      <c r="P817" s="552"/>
      <c r="Q817" s="548">
        <v>10000</v>
      </c>
      <c r="R817" s="552">
        <v>8300000</v>
      </c>
      <c r="S817" s="548">
        <v>9996</v>
      </c>
      <c r="T817" s="552">
        <v>8296680</v>
      </c>
      <c r="U817" s="548">
        <v>4</v>
      </c>
      <c r="V817" s="552">
        <v>3320</v>
      </c>
      <c r="W817" s="552">
        <v>0</v>
      </c>
      <c r="X817" s="552">
        <v>0</v>
      </c>
      <c r="Y817" s="552">
        <v>9996</v>
      </c>
      <c r="Z817" s="552">
        <v>8296680</v>
      </c>
      <c r="AA817" s="552">
        <v>9996</v>
      </c>
      <c r="AB817" s="552">
        <v>8296680</v>
      </c>
      <c r="AC817" s="552">
        <v>0</v>
      </c>
      <c r="AD817" s="552">
        <v>0</v>
      </c>
      <c r="AE817" s="552">
        <v>0</v>
      </c>
      <c r="AF817" s="552">
        <v>0</v>
      </c>
      <c r="AG817" s="552">
        <v>0</v>
      </c>
      <c r="AH817" s="552">
        <v>0</v>
      </c>
      <c r="AI817" s="552">
        <v>0</v>
      </c>
      <c r="AJ817" s="552">
        <v>0</v>
      </c>
    </row>
    <row r="818" spans="1:36" ht="15.95" customHeight="1">
      <c r="A818" s="547"/>
      <c r="B818" s="548">
        <v>496</v>
      </c>
      <c r="C818" s="549">
        <v>7422</v>
      </c>
      <c r="D818" s="550" t="s">
        <v>12314</v>
      </c>
      <c r="E818" s="550" t="s">
        <v>4674</v>
      </c>
      <c r="F818" s="550" t="s">
        <v>4675</v>
      </c>
      <c r="G818" s="550" t="s">
        <v>111</v>
      </c>
      <c r="H818" s="550" t="s">
        <v>4676</v>
      </c>
      <c r="I818" s="550" t="s">
        <v>13</v>
      </c>
      <c r="J818" s="550" t="s">
        <v>12315</v>
      </c>
      <c r="K818" s="551">
        <v>45218</v>
      </c>
      <c r="L818" s="552">
        <v>12000</v>
      </c>
      <c r="M818" s="552">
        <v>12000</v>
      </c>
      <c r="N818" s="552">
        <v>12000</v>
      </c>
      <c r="O818" s="552"/>
      <c r="P818" s="552"/>
      <c r="Q818" s="548">
        <v>4550</v>
      </c>
      <c r="R818" s="552">
        <v>54600000</v>
      </c>
      <c r="S818" s="548">
        <v>442</v>
      </c>
      <c r="T818" s="552">
        <v>5304000</v>
      </c>
      <c r="U818" s="548">
        <v>4108</v>
      </c>
      <c r="V818" s="552">
        <v>49296000</v>
      </c>
      <c r="W818" s="552">
        <v>0</v>
      </c>
      <c r="X818" s="552">
        <v>0</v>
      </c>
      <c r="Y818" s="552">
        <v>442</v>
      </c>
      <c r="Z818" s="552">
        <v>5304000</v>
      </c>
      <c r="AA818" s="552">
        <v>442</v>
      </c>
      <c r="AB818" s="552">
        <v>5304000</v>
      </c>
      <c r="AC818" s="552">
        <v>0</v>
      </c>
      <c r="AD818" s="552">
        <v>0</v>
      </c>
      <c r="AE818" s="552">
        <v>0</v>
      </c>
      <c r="AF818" s="552">
        <v>0</v>
      </c>
      <c r="AG818" s="552">
        <v>0</v>
      </c>
      <c r="AH818" s="552">
        <v>0</v>
      </c>
      <c r="AI818" s="552">
        <v>0</v>
      </c>
      <c r="AJ818" s="552">
        <v>0</v>
      </c>
    </row>
    <row r="819" spans="1:36" ht="15.95" customHeight="1">
      <c r="A819" s="547"/>
      <c r="B819" s="548">
        <v>497</v>
      </c>
      <c r="C819" s="549">
        <v>7422</v>
      </c>
      <c r="D819" s="550" t="s">
        <v>12314</v>
      </c>
      <c r="E819" s="550" t="s">
        <v>4674</v>
      </c>
      <c r="F819" s="550" t="s">
        <v>4675</v>
      </c>
      <c r="G819" s="550" t="s">
        <v>111</v>
      </c>
      <c r="H819" s="550" t="s">
        <v>4676</v>
      </c>
      <c r="I819" s="550" t="s">
        <v>13</v>
      </c>
      <c r="J819" s="550" t="s">
        <v>12316</v>
      </c>
      <c r="K819" s="551">
        <v>45433</v>
      </c>
      <c r="L819" s="552">
        <v>12000</v>
      </c>
      <c r="M819" s="552">
        <v>12000</v>
      </c>
      <c r="N819" s="552">
        <v>12000</v>
      </c>
      <c r="O819" s="552"/>
      <c r="P819" s="552"/>
      <c r="Q819" s="548">
        <v>2000</v>
      </c>
      <c r="R819" s="552">
        <v>24000000</v>
      </c>
      <c r="S819" s="548">
        <v>0</v>
      </c>
      <c r="T819" s="552">
        <v>0</v>
      </c>
      <c r="U819" s="548">
        <v>2000</v>
      </c>
      <c r="V819" s="552">
        <v>24000000</v>
      </c>
      <c r="W819" s="552">
        <v>0</v>
      </c>
      <c r="X819" s="552">
        <v>0</v>
      </c>
      <c r="Y819" s="552">
        <v>0</v>
      </c>
      <c r="Z819" s="552">
        <v>0</v>
      </c>
      <c r="AA819" s="552">
        <v>0</v>
      </c>
      <c r="AB819" s="552">
        <v>0</v>
      </c>
      <c r="AC819" s="552">
        <v>0</v>
      </c>
      <c r="AD819" s="552">
        <v>0</v>
      </c>
      <c r="AE819" s="552">
        <v>0</v>
      </c>
      <c r="AF819" s="552">
        <v>0</v>
      </c>
      <c r="AG819" s="552">
        <v>0</v>
      </c>
      <c r="AH819" s="552">
        <v>0</v>
      </c>
      <c r="AI819" s="552">
        <v>0</v>
      </c>
      <c r="AJ819" s="552">
        <v>0</v>
      </c>
    </row>
    <row r="820" spans="1:36" ht="15.95" customHeight="1">
      <c r="A820" s="547"/>
      <c r="B820" s="548">
        <v>498</v>
      </c>
      <c r="C820" s="549">
        <v>7422</v>
      </c>
      <c r="D820" s="550" t="s">
        <v>12314</v>
      </c>
      <c r="E820" s="550" t="s">
        <v>4674</v>
      </c>
      <c r="F820" s="550" t="s">
        <v>4675</v>
      </c>
      <c r="G820" s="550" t="s">
        <v>111</v>
      </c>
      <c r="H820" s="550" t="s">
        <v>4676</v>
      </c>
      <c r="I820" s="550" t="s">
        <v>13</v>
      </c>
      <c r="J820" s="550" t="s">
        <v>12317</v>
      </c>
      <c r="K820" s="551">
        <v>45043</v>
      </c>
      <c r="L820" s="552">
        <v>12000</v>
      </c>
      <c r="M820" s="552">
        <v>12000</v>
      </c>
      <c r="N820" s="552">
        <v>12000</v>
      </c>
      <c r="O820" s="552">
        <v>1815</v>
      </c>
      <c r="P820" s="552">
        <v>21780000</v>
      </c>
      <c r="Q820" s="548">
        <v>0</v>
      </c>
      <c r="R820" s="552">
        <v>0</v>
      </c>
      <c r="S820" s="548">
        <v>1815</v>
      </c>
      <c r="T820" s="552">
        <v>21780000</v>
      </c>
      <c r="U820" s="548">
        <v>0</v>
      </c>
      <c r="V820" s="552">
        <v>0</v>
      </c>
      <c r="W820" s="552">
        <v>0</v>
      </c>
      <c r="X820" s="552">
        <v>0</v>
      </c>
      <c r="Y820" s="552">
        <v>1815</v>
      </c>
      <c r="Z820" s="552">
        <v>21780000</v>
      </c>
      <c r="AA820" s="552">
        <v>1815</v>
      </c>
      <c r="AB820" s="552">
        <v>21780000</v>
      </c>
      <c r="AC820" s="552">
        <v>0</v>
      </c>
      <c r="AD820" s="552">
        <v>0</v>
      </c>
      <c r="AE820" s="552">
        <v>0</v>
      </c>
      <c r="AF820" s="552">
        <v>0</v>
      </c>
      <c r="AG820" s="552">
        <v>0</v>
      </c>
      <c r="AH820" s="552">
        <v>0</v>
      </c>
      <c r="AI820" s="552">
        <v>0</v>
      </c>
      <c r="AJ820" s="552">
        <v>0</v>
      </c>
    </row>
    <row r="821" spans="1:36" ht="15.95" customHeight="1">
      <c r="A821" s="547"/>
      <c r="B821" s="548">
        <v>499</v>
      </c>
      <c r="C821" s="549">
        <v>7422</v>
      </c>
      <c r="D821" s="550" t="s">
        <v>12314</v>
      </c>
      <c r="E821" s="550" t="s">
        <v>4674</v>
      </c>
      <c r="F821" s="550" t="s">
        <v>4675</v>
      </c>
      <c r="G821" s="550" t="s">
        <v>111</v>
      </c>
      <c r="H821" s="550" t="s">
        <v>4676</v>
      </c>
      <c r="I821" s="550" t="s">
        <v>13</v>
      </c>
      <c r="J821" s="550" t="s">
        <v>12318</v>
      </c>
      <c r="K821" s="551">
        <v>45217</v>
      </c>
      <c r="L821" s="552">
        <v>12000</v>
      </c>
      <c r="M821" s="552">
        <v>12000</v>
      </c>
      <c r="N821" s="552">
        <v>12000</v>
      </c>
      <c r="O821" s="552"/>
      <c r="P821" s="552"/>
      <c r="Q821" s="548">
        <v>2000</v>
      </c>
      <c r="R821" s="552">
        <v>24000000</v>
      </c>
      <c r="S821" s="548">
        <v>2000</v>
      </c>
      <c r="T821" s="552">
        <v>24000000</v>
      </c>
      <c r="U821" s="548">
        <v>0</v>
      </c>
      <c r="V821" s="552">
        <v>0</v>
      </c>
      <c r="W821" s="552">
        <v>0</v>
      </c>
      <c r="X821" s="552">
        <v>0</v>
      </c>
      <c r="Y821" s="552">
        <v>2000</v>
      </c>
      <c r="Z821" s="552">
        <v>24000000</v>
      </c>
      <c r="AA821" s="552">
        <v>2000</v>
      </c>
      <c r="AB821" s="552">
        <v>24000000</v>
      </c>
      <c r="AC821" s="552">
        <v>0</v>
      </c>
      <c r="AD821" s="552">
        <v>0</v>
      </c>
      <c r="AE821" s="552">
        <v>0</v>
      </c>
      <c r="AF821" s="552">
        <v>0</v>
      </c>
      <c r="AG821" s="552">
        <v>0</v>
      </c>
      <c r="AH821" s="552">
        <v>0</v>
      </c>
      <c r="AI821" s="552">
        <v>0</v>
      </c>
      <c r="AJ821" s="552">
        <v>0</v>
      </c>
    </row>
    <row r="822" spans="1:36" ht="15.95" customHeight="1">
      <c r="A822" s="547"/>
      <c r="B822" s="548">
        <v>500</v>
      </c>
      <c r="C822" s="549">
        <v>7422</v>
      </c>
      <c r="D822" s="550" t="s">
        <v>12314</v>
      </c>
      <c r="E822" s="550" t="s">
        <v>4674</v>
      </c>
      <c r="F822" s="550" t="s">
        <v>4675</v>
      </c>
      <c r="G822" s="550" t="s">
        <v>111</v>
      </c>
      <c r="H822" s="550" t="s">
        <v>4676</v>
      </c>
      <c r="I822" s="550" t="s">
        <v>13</v>
      </c>
      <c r="J822" s="550" t="s">
        <v>12319</v>
      </c>
      <c r="K822" s="551">
        <v>45217</v>
      </c>
      <c r="L822" s="552">
        <v>12000</v>
      </c>
      <c r="M822" s="552">
        <v>12000</v>
      </c>
      <c r="N822" s="552">
        <v>12000</v>
      </c>
      <c r="O822" s="552"/>
      <c r="P822" s="552"/>
      <c r="Q822" s="548">
        <v>1450</v>
      </c>
      <c r="R822" s="552">
        <v>17400000</v>
      </c>
      <c r="S822" s="548">
        <v>1450</v>
      </c>
      <c r="T822" s="552">
        <v>17400000</v>
      </c>
      <c r="U822" s="548">
        <v>0</v>
      </c>
      <c r="V822" s="552">
        <v>0</v>
      </c>
      <c r="W822" s="552">
        <v>0</v>
      </c>
      <c r="X822" s="552">
        <v>0</v>
      </c>
      <c r="Y822" s="552">
        <v>1450</v>
      </c>
      <c r="Z822" s="552">
        <v>17400000</v>
      </c>
      <c r="AA822" s="552">
        <v>1450</v>
      </c>
      <c r="AB822" s="552">
        <v>17400000</v>
      </c>
      <c r="AC822" s="552">
        <v>0</v>
      </c>
      <c r="AD822" s="552">
        <v>0</v>
      </c>
      <c r="AE822" s="552">
        <v>0</v>
      </c>
      <c r="AF822" s="552">
        <v>0</v>
      </c>
      <c r="AG822" s="552">
        <v>0</v>
      </c>
      <c r="AH822" s="552">
        <v>0</v>
      </c>
      <c r="AI822" s="552">
        <v>0</v>
      </c>
      <c r="AJ822" s="552">
        <v>0</v>
      </c>
    </row>
    <row r="823" spans="1:36" ht="15.95" customHeight="1">
      <c r="A823" s="547"/>
      <c r="B823" s="548">
        <v>501</v>
      </c>
      <c r="C823" s="549">
        <v>7423</v>
      </c>
      <c r="D823" s="550" t="s">
        <v>12320</v>
      </c>
      <c r="E823" s="550" t="s">
        <v>4677</v>
      </c>
      <c r="F823" s="550" t="s">
        <v>4678</v>
      </c>
      <c r="G823" s="550" t="s">
        <v>119</v>
      </c>
      <c r="H823" s="550" t="s">
        <v>4679</v>
      </c>
      <c r="I823" s="550" t="s">
        <v>11</v>
      </c>
      <c r="J823" s="550" t="s">
        <v>12321</v>
      </c>
      <c r="K823" s="551">
        <v>45156</v>
      </c>
      <c r="L823" s="552">
        <v>175</v>
      </c>
      <c r="M823" s="552">
        <v>175</v>
      </c>
      <c r="N823" s="552">
        <v>175</v>
      </c>
      <c r="O823" s="552">
        <v>47800</v>
      </c>
      <c r="P823" s="552">
        <v>8365000</v>
      </c>
      <c r="Q823" s="548">
        <v>0</v>
      </c>
      <c r="R823" s="552">
        <v>0</v>
      </c>
      <c r="S823" s="548">
        <v>30480</v>
      </c>
      <c r="T823" s="552">
        <v>5334000</v>
      </c>
      <c r="U823" s="548">
        <v>17320</v>
      </c>
      <c r="V823" s="552">
        <v>3031000</v>
      </c>
      <c r="W823" s="552">
        <v>0</v>
      </c>
      <c r="X823" s="552">
        <v>0</v>
      </c>
      <c r="Y823" s="552">
        <v>30480</v>
      </c>
      <c r="Z823" s="552">
        <v>5334000</v>
      </c>
      <c r="AA823" s="552">
        <v>30480</v>
      </c>
      <c r="AB823" s="552">
        <v>5334000</v>
      </c>
      <c r="AC823" s="552">
        <v>0</v>
      </c>
      <c r="AD823" s="552">
        <v>0</v>
      </c>
      <c r="AE823" s="552">
        <v>0</v>
      </c>
      <c r="AF823" s="552">
        <v>0</v>
      </c>
      <c r="AG823" s="552">
        <v>0</v>
      </c>
      <c r="AH823" s="552">
        <v>0</v>
      </c>
      <c r="AI823" s="552">
        <v>0</v>
      </c>
      <c r="AJ823" s="552">
        <v>0</v>
      </c>
    </row>
    <row r="824" spans="1:36" ht="15.95" customHeight="1">
      <c r="A824" s="547"/>
      <c r="B824" s="548">
        <v>502</v>
      </c>
      <c r="C824" s="549">
        <v>7424</v>
      </c>
      <c r="D824" s="550" t="s">
        <v>12322</v>
      </c>
      <c r="E824" s="550" t="s">
        <v>8683</v>
      </c>
      <c r="F824" s="550" t="s">
        <v>12323</v>
      </c>
      <c r="G824" s="550" t="s">
        <v>119</v>
      </c>
      <c r="H824" s="550" t="s">
        <v>8685</v>
      </c>
      <c r="I824" s="550" t="s">
        <v>11</v>
      </c>
      <c r="J824" s="550" t="s">
        <v>12295</v>
      </c>
      <c r="K824" s="551">
        <v>45472</v>
      </c>
      <c r="L824" s="552">
        <v>4000</v>
      </c>
      <c r="M824" s="552">
        <v>4000</v>
      </c>
      <c r="N824" s="552">
        <v>4000</v>
      </c>
      <c r="O824" s="552"/>
      <c r="P824" s="552"/>
      <c r="Q824" s="548">
        <v>6000</v>
      </c>
      <c r="R824" s="552">
        <v>24000000</v>
      </c>
      <c r="S824" s="548">
        <v>0</v>
      </c>
      <c r="T824" s="552">
        <v>0</v>
      </c>
      <c r="U824" s="548">
        <v>6000</v>
      </c>
      <c r="V824" s="552">
        <v>24000000</v>
      </c>
      <c r="W824" s="552">
        <v>0</v>
      </c>
      <c r="X824" s="552">
        <v>0</v>
      </c>
      <c r="Y824" s="552">
        <v>0</v>
      </c>
      <c r="Z824" s="552">
        <v>0</v>
      </c>
      <c r="AA824" s="552">
        <v>0</v>
      </c>
      <c r="AB824" s="552">
        <v>0</v>
      </c>
      <c r="AC824" s="552">
        <v>0</v>
      </c>
      <c r="AD824" s="552">
        <v>0</v>
      </c>
      <c r="AE824" s="552">
        <v>0</v>
      </c>
      <c r="AF824" s="552">
        <v>0</v>
      </c>
      <c r="AG824" s="552">
        <v>0</v>
      </c>
      <c r="AH824" s="552">
        <v>0</v>
      </c>
      <c r="AI824" s="552">
        <v>0</v>
      </c>
      <c r="AJ824" s="552">
        <v>0</v>
      </c>
    </row>
    <row r="825" spans="1:36" ht="15.95" customHeight="1">
      <c r="A825" s="547"/>
      <c r="B825" s="548">
        <v>503</v>
      </c>
      <c r="C825" s="549">
        <v>7425</v>
      </c>
      <c r="D825" s="550" t="s">
        <v>12324</v>
      </c>
      <c r="E825" s="550" t="s">
        <v>4680</v>
      </c>
      <c r="F825" s="550" t="s">
        <v>4681</v>
      </c>
      <c r="G825" s="550" t="s">
        <v>124</v>
      </c>
      <c r="H825" s="550" t="s">
        <v>4682</v>
      </c>
      <c r="I825" s="550" t="s">
        <v>15</v>
      </c>
      <c r="J825" s="550" t="s">
        <v>4683</v>
      </c>
      <c r="K825" s="551">
        <v>44988</v>
      </c>
      <c r="L825" s="552">
        <v>33075</v>
      </c>
      <c r="M825" s="552">
        <v>33075</v>
      </c>
      <c r="N825" s="552">
        <v>33075</v>
      </c>
      <c r="O825" s="552">
        <v>106</v>
      </c>
      <c r="P825" s="552">
        <v>3505950</v>
      </c>
      <c r="Q825" s="548">
        <v>0</v>
      </c>
      <c r="R825" s="552">
        <v>0</v>
      </c>
      <c r="S825" s="548">
        <v>106</v>
      </c>
      <c r="T825" s="552">
        <v>3505950</v>
      </c>
      <c r="U825" s="548">
        <v>0</v>
      </c>
      <c r="V825" s="552">
        <v>0</v>
      </c>
      <c r="W825" s="552">
        <v>346</v>
      </c>
      <c r="X825" s="552">
        <v>11443950</v>
      </c>
      <c r="Y825" s="552">
        <v>106</v>
      </c>
      <c r="Z825" s="552">
        <v>3505950</v>
      </c>
      <c r="AA825" s="552">
        <v>72</v>
      </c>
      <c r="AB825" s="552">
        <v>2381400</v>
      </c>
      <c r="AC825" s="552">
        <v>34</v>
      </c>
      <c r="AD825" s="552">
        <v>1124550</v>
      </c>
      <c r="AE825" s="552">
        <v>0</v>
      </c>
      <c r="AF825" s="552">
        <v>0</v>
      </c>
      <c r="AG825" s="552">
        <v>0</v>
      </c>
      <c r="AH825" s="552">
        <v>0</v>
      </c>
      <c r="AI825" s="552">
        <v>0</v>
      </c>
      <c r="AJ825" s="552">
        <v>0</v>
      </c>
    </row>
    <row r="826" spans="1:36" ht="15.95" customHeight="1">
      <c r="A826" s="547"/>
      <c r="B826" s="548">
        <v>504</v>
      </c>
      <c r="C826" s="549">
        <v>7425</v>
      </c>
      <c r="D826" s="550" t="s">
        <v>12324</v>
      </c>
      <c r="E826" s="550" t="s">
        <v>4680</v>
      </c>
      <c r="F826" s="550" t="s">
        <v>4681</v>
      </c>
      <c r="G826" s="550" t="s">
        <v>124</v>
      </c>
      <c r="H826" s="550" t="s">
        <v>4682</v>
      </c>
      <c r="I826" s="550" t="s">
        <v>15</v>
      </c>
      <c r="J826" s="550" t="s">
        <v>12325</v>
      </c>
      <c r="K826" s="551">
        <v>45172</v>
      </c>
      <c r="L826" s="552">
        <v>33075</v>
      </c>
      <c r="M826" s="552">
        <v>33075</v>
      </c>
      <c r="N826" s="552">
        <v>33075</v>
      </c>
      <c r="O826" s="552">
        <v>380</v>
      </c>
      <c r="P826" s="552">
        <v>12568500</v>
      </c>
      <c r="Q826" s="548">
        <v>0</v>
      </c>
      <c r="R826" s="552">
        <v>0</v>
      </c>
      <c r="S826" s="548">
        <v>343</v>
      </c>
      <c r="T826" s="552">
        <v>11344725</v>
      </c>
      <c r="U826" s="548">
        <v>37</v>
      </c>
      <c r="V826" s="552">
        <v>1223775</v>
      </c>
      <c r="W826" s="552">
        <v>107</v>
      </c>
      <c r="X826" s="552">
        <v>3539025</v>
      </c>
      <c r="Y826" s="552">
        <v>343</v>
      </c>
      <c r="Z826" s="552">
        <v>11344725</v>
      </c>
      <c r="AA826" s="552">
        <v>220</v>
      </c>
      <c r="AB826" s="552">
        <v>7276500</v>
      </c>
      <c r="AC826" s="552">
        <v>123</v>
      </c>
      <c r="AD826" s="552">
        <v>4068225</v>
      </c>
      <c r="AE826" s="552">
        <v>0</v>
      </c>
      <c r="AF826" s="552">
        <v>0</v>
      </c>
      <c r="AG826" s="552">
        <v>0</v>
      </c>
      <c r="AH826" s="552">
        <v>0</v>
      </c>
      <c r="AI826" s="552">
        <v>0</v>
      </c>
      <c r="AJ826" s="552">
        <v>0</v>
      </c>
    </row>
    <row r="827" spans="1:36" ht="15.95" customHeight="1">
      <c r="A827" s="547"/>
      <c r="B827" s="548">
        <v>505</v>
      </c>
      <c r="C827" s="549">
        <v>7425</v>
      </c>
      <c r="D827" s="550" t="s">
        <v>12324</v>
      </c>
      <c r="E827" s="550" t="s">
        <v>4680</v>
      </c>
      <c r="F827" s="550" t="s">
        <v>4681</v>
      </c>
      <c r="G827" s="550" t="s">
        <v>124</v>
      </c>
      <c r="H827" s="550" t="s">
        <v>4682</v>
      </c>
      <c r="I827" s="550" t="s">
        <v>15</v>
      </c>
      <c r="J827" s="550" t="s">
        <v>12326</v>
      </c>
      <c r="K827" s="551">
        <v>45305</v>
      </c>
      <c r="L827" s="552">
        <v>33075</v>
      </c>
      <c r="M827" s="552">
        <v>33075</v>
      </c>
      <c r="N827" s="552">
        <v>33075</v>
      </c>
      <c r="O827" s="552"/>
      <c r="P827" s="552"/>
      <c r="Q827" s="548">
        <v>800</v>
      </c>
      <c r="R827" s="552">
        <v>26460000</v>
      </c>
      <c r="S827" s="548">
        <v>800</v>
      </c>
      <c r="T827" s="552">
        <v>26460000</v>
      </c>
      <c r="U827" s="548">
        <v>0</v>
      </c>
      <c r="V827" s="552">
        <v>0</v>
      </c>
      <c r="W827" s="552">
        <v>177</v>
      </c>
      <c r="X827" s="552">
        <v>5854275</v>
      </c>
      <c r="Y827" s="552">
        <v>800</v>
      </c>
      <c r="Z827" s="552">
        <v>26460000</v>
      </c>
      <c r="AA827" s="552">
        <v>320</v>
      </c>
      <c r="AB827" s="552">
        <v>10584000</v>
      </c>
      <c r="AC827" s="552">
        <v>480</v>
      </c>
      <c r="AD827" s="552">
        <v>15876000</v>
      </c>
      <c r="AE827" s="552">
        <v>0</v>
      </c>
      <c r="AF827" s="552">
        <v>0</v>
      </c>
      <c r="AG827" s="552">
        <v>0</v>
      </c>
      <c r="AH827" s="552">
        <v>0</v>
      </c>
      <c r="AI827" s="552">
        <v>0</v>
      </c>
      <c r="AJ827" s="552">
        <v>0</v>
      </c>
    </row>
    <row r="828" spans="1:36" ht="15.95" customHeight="1">
      <c r="A828" s="547"/>
      <c r="B828" s="548">
        <v>506</v>
      </c>
      <c r="C828" s="549">
        <v>7425</v>
      </c>
      <c r="D828" s="550" t="s">
        <v>12324</v>
      </c>
      <c r="E828" s="550" t="s">
        <v>4680</v>
      </c>
      <c r="F828" s="550" t="s">
        <v>4681</v>
      </c>
      <c r="G828" s="550" t="s">
        <v>124</v>
      </c>
      <c r="H828" s="550" t="s">
        <v>4682</v>
      </c>
      <c r="I828" s="550" t="s">
        <v>15</v>
      </c>
      <c r="J828" s="550" t="s">
        <v>12327</v>
      </c>
      <c r="K828" s="551">
        <v>45317</v>
      </c>
      <c r="L828" s="552">
        <v>33075</v>
      </c>
      <c r="M828" s="552">
        <v>33075</v>
      </c>
      <c r="N828" s="552">
        <v>33075</v>
      </c>
      <c r="O828" s="552"/>
      <c r="P828" s="552"/>
      <c r="Q828" s="548">
        <v>400</v>
      </c>
      <c r="R828" s="552">
        <v>13230000</v>
      </c>
      <c r="S828" s="548">
        <v>400</v>
      </c>
      <c r="T828" s="552">
        <v>13230000</v>
      </c>
      <c r="U828" s="548">
        <v>0</v>
      </c>
      <c r="V828" s="552">
        <v>0</v>
      </c>
      <c r="W828" s="552">
        <v>49</v>
      </c>
      <c r="X828" s="552">
        <v>1620675</v>
      </c>
      <c r="Y828" s="552">
        <v>400</v>
      </c>
      <c r="Z828" s="552">
        <v>13230000</v>
      </c>
      <c r="AA828" s="552">
        <v>0</v>
      </c>
      <c r="AB828" s="552">
        <v>0</v>
      </c>
      <c r="AC828" s="552">
        <v>400</v>
      </c>
      <c r="AD828" s="552">
        <v>13230000</v>
      </c>
      <c r="AE828" s="552">
        <v>0</v>
      </c>
      <c r="AF828" s="552">
        <v>0</v>
      </c>
      <c r="AG828" s="552">
        <v>0</v>
      </c>
      <c r="AH828" s="552">
        <v>0</v>
      </c>
      <c r="AI828" s="552">
        <v>0</v>
      </c>
      <c r="AJ828" s="552">
        <v>0</v>
      </c>
    </row>
    <row r="829" spans="1:36" ht="15.95" customHeight="1">
      <c r="A829" s="547"/>
      <c r="B829" s="548">
        <v>507</v>
      </c>
      <c r="C829" s="549">
        <v>7425</v>
      </c>
      <c r="D829" s="550" t="s">
        <v>12324</v>
      </c>
      <c r="E829" s="550" t="s">
        <v>4680</v>
      </c>
      <c r="F829" s="550" t="s">
        <v>4681</v>
      </c>
      <c r="G829" s="550" t="s">
        <v>124</v>
      </c>
      <c r="H829" s="550" t="s">
        <v>4682</v>
      </c>
      <c r="I829" s="550" t="s">
        <v>15</v>
      </c>
      <c r="J829" s="550" t="s">
        <v>12328</v>
      </c>
      <c r="K829" s="551">
        <v>45377</v>
      </c>
      <c r="L829" s="552">
        <v>33075</v>
      </c>
      <c r="M829" s="552">
        <v>33075</v>
      </c>
      <c r="N829" s="552">
        <v>33075</v>
      </c>
      <c r="O829" s="552"/>
      <c r="P829" s="552"/>
      <c r="Q829" s="548">
        <v>511</v>
      </c>
      <c r="R829" s="552">
        <v>16901325</v>
      </c>
      <c r="S829" s="548">
        <v>63</v>
      </c>
      <c r="T829" s="552">
        <v>2083725</v>
      </c>
      <c r="U829" s="548">
        <v>448</v>
      </c>
      <c r="V829" s="552">
        <v>14817600</v>
      </c>
      <c r="W829" s="552">
        <v>29</v>
      </c>
      <c r="X829" s="552">
        <v>959175</v>
      </c>
      <c r="Y829" s="552">
        <v>63</v>
      </c>
      <c r="Z829" s="552">
        <v>2083725</v>
      </c>
      <c r="AA829" s="552">
        <v>8</v>
      </c>
      <c r="AB829" s="552">
        <v>264600</v>
      </c>
      <c r="AC829" s="552">
        <v>55</v>
      </c>
      <c r="AD829" s="552">
        <v>1819125</v>
      </c>
      <c r="AE829" s="552">
        <v>0</v>
      </c>
      <c r="AF829" s="552">
        <v>0</v>
      </c>
      <c r="AG829" s="552">
        <v>0</v>
      </c>
      <c r="AH829" s="552">
        <v>0</v>
      </c>
      <c r="AI829" s="552">
        <v>0</v>
      </c>
      <c r="AJ829" s="552">
        <v>0</v>
      </c>
    </row>
    <row r="830" spans="1:36" ht="15.95" customHeight="1">
      <c r="A830" s="547"/>
      <c r="B830" s="548">
        <v>508</v>
      </c>
      <c r="C830" s="549">
        <v>7425</v>
      </c>
      <c r="D830" s="550" t="s">
        <v>12324</v>
      </c>
      <c r="E830" s="550" t="s">
        <v>4680</v>
      </c>
      <c r="F830" s="550" t="s">
        <v>4681</v>
      </c>
      <c r="G830" s="550" t="s">
        <v>124</v>
      </c>
      <c r="H830" s="550" t="s">
        <v>4682</v>
      </c>
      <c r="I830" s="550" t="s">
        <v>15</v>
      </c>
      <c r="J830" s="550" t="s">
        <v>12329</v>
      </c>
      <c r="K830" s="551">
        <v>45416</v>
      </c>
      <c r="L830" s="552">
        <v>33075</v>
      </c>
      <c r="M830" s="552">
        <v>33075</v>
      </c>
      <c r="N830" s="552">
        <v>33075</v>
      </c>
      <c r="O830" s="552"/>
      <c r="P830" s="552"/>
      <c r="Q830" s="548">
        <v>1000</v>
      </c>
      <c r="R830" s="552">
        <v>33075000</v>
      </c>
      <c r="S830" s="548">
        <v>0</v>
      </c>
      <c r="T830" s="552">
        <v>0</v>
      </c>
      <c r="U830" s="548">
        <v>1000</v>
      </c>
      <c r="V830" s="552">
        <v>33075000</v>
      </c>
      <c r="W830" s="552">
        <v>0</v>
      </c>
      <c r="X830" s="552">
        <v>0</v>
      </c>
      <c r="Y830" s="552">
        <v>0</v>
      </c>
      <c r="Z830" s="552">
        <v>0</v>
      </c>
      <c r="AA830" s="552">
        <v>0</v>
      </c>
      <c r="AB830" s="552">
        <v>0</v>
      </c>
      <c r="AC830" s="552">
        <v>0</v>
      </c>
      <c r="AD830" s="552">
        <v>0</v>
      </c>
      <c r="AE830" s="552">
        <v>0</v>
      </c>
      <c r="AF830" s="552">
        <v>0</v>
      </c>
      <c r="AG830" s="552">
        <v>0</v>
      </c>
      <c r="AH830" s="552">
        <v>0</v>
      </c>
      <c r="AI830" s="552">
        <v>0</v>
      </c>
      <c r="AJ830" s="552">
        <v>0</v>
      </c>
    </row>
    <row r="831" spans="1:36" ht="15.95" customHeight="1">
      <c r="A831" s="547"/>
      <c r="B831" s="548">
        <v>509</v>
      </c>
      <c r="C831" s="549">
        <v>7426</v>
      </c>
      <c r="D831" s="550" t="s">
        <v>12330</v>
      </c>
      <c r="E831" s="550" t="s">
        <v>4684</v>
      </c>
      <c r="F831" s="550" t="s">
        <v>4685</v>
      </c>
      <c r="G831" s="550" t="s">
        <v>127</v>
      </c>
      <c r="H831" s="550" t="s">
        <v>4686</v>
      </c>
      <c r="I831" s="550" t="s">
        <v>11</v>
      </c>
      <c r="J831" s="550" t="s">
        <v>4726</v>
      </c>
      <c r="K831" s="551">
        <v>45214</v>
      </c>
      <c r="L831" s="552">
        <v>580</v>
      </c>
      <c r="M831" s="552">
        <v>580</v>
      </c>
      <c r="N831" s="552">
        <v>580</v>
      </c>
      <c r="O831" s="552">
        <v>7486</v>
      </c>
      <c r="P831" s="552">
        <v>4341880</v>
      </c>
      <c r="Q831" s="548">
        <v>0</v>
      </c>
      <c r="R831" s="552">
        <v>0</v>
      </c>
      <c r="S831" s="548">
        <v>7486</v>
      </c>
      <c r="T831" s="552">
        <v>4341880</v>
      </c>
      <c r="U831" s="548">
        <v>0</v>
      </c>
      <c r="V831" s="552">
        <v>0</v>
      </c>
      <c r="W831" s="552">
        <v>49</v>
      </c>
      <c r="X831" s="552">
        <v>28420</v>
      </c>
      <c r="Y831" s="552">
        <v>7486</v>
      </c>
      <c r="Z831" s="552">
        <v>4341880</v>
      </c>
      <c r="AA831" s="552">
        <v>7486</v>
      </c>
      <c r="AB831" s="552">
        <v>4341880</v>
      </c>
      <c r="AC831" s="552">
        <v>0</v>
      </c>
      <c r="AD831" s="552">
        <v>0</v>
      </c>
      <c r="AE831" s="552">
        <v>0</v>
      </c>
      <c r="AF831" s="552">
        <v>0</v>
      </c>
      <c r="AG831" s="552">
        <v>0</v>
      </c>
      <c r="AH831" s="552">
        <v>0</v>
      </c>
      <c r="AI831" s="552">
        <v>0</v>
      </c>
      <c r="AJ831" s="552">
        <v>0</v>
      </c>
    </row>
    <row r="832" spans="1:36" ht="15.95" customHeight="1">
      <c r="A832" s="547"/>
      <c r="B832" s="548">
        <v>510</v>
      </c>
      <c r="C832" s="549">
        <v>7426</v>
      </c>
      <c r="D832" s="550" t="s">
        <v>12330</v>
      </c>
      <c r="E832" s="550" t="s">
        <v>4684</v>
      </c>
      <c r="F832" s="550" t="s">
        <v>4685</v>
      </c>
      <c r="G832" s="550" t="s">
        <v>127</v>
      </c>
      <c r="H832" s="550" t="s">
        <v>4686</v>
      </c>
      <c r="I832" s="550" t="s">
        <v>11</v>
      </c>
      <c r="J832" s="550" t="s">
        <v>4722</v>
      </c>
      <c r="K832" s="551">
        <v>45225</v>
      </c>
      <c r="L832" s="552">
        <v>580</v>
      </c>
      <c r="M832" s="552">
        <v>580</v>
      </c>
      <c r="N832" s="552">
        <v>580</v>
      </c>
      <c r="O832" s="552">
        <v>14000</v>
      </c>
      <c r="P832" s="552">
        <v>8120000</v>
      </c>
      <c r="Q832" s="548">
        <v>0</v>
      </c>
      <c r="R832" s="552">
        <v>0</v>
      </c>
      <c r="S832" s="548">
        <v>14000</v>
      </c>
      <c r="T832" s="552">
        <v>8120000</v>
      </c>
      <c r="U832" s="548">
        <v>0</v>
      </c>
      <c r="V832" s="552">
        <v>0</v>
      </c>
      <c r="W832" s="552">
        <v>0</v>
      </c>
      <c r="X832" s="552">
        <v>0</v>
      </c>
      <c r="Y832" s="552">
        <v>14000</v>
      </c>
      <c r="Z832" s="552">
        <v>8120000</v>
      </c>
      <c r="AA832" s="552">
        <v>14000</v>
      </c>
      <c r="AB832" s="552">
        <v>8120000</v>
      </c>
      <c r="AC832" s="552">
        <v>0</v>
      </c>
      <c r="AD832" s="552">
        <v>0</v>
      </c>
      <c r="AE832" s="552">
        <v>0</v>
      </c>
      <c r="AF832" s="552">
        <v>0</v>
      </c>
      <c r="AG832" s="552">
        <v>0</v>
      </c>
      <c r="AH832" s="552">
        <v>0</v>
      </c>
      <c r="AI832" s="552">
        <v>0</v>
      </c>
      <c r="AJ832" s="552">
        <v>0</v>
      </c>
    </row>
    <row r="833" spans="1:36" ht="15.95" customHeight="1">
      <c r="A833" s="547"/>
      <c r="B833" s="548">
        <v>511</v>
      </c>
      <c r="C833" s="549">
        <v>7427</v>
      </c>
      <c r="D833" s="550" t="s">
        <v>12331</v>
      </c>
      <c r="E833" s="550" t="s">
        <v>4687</v>
      </c>
      <c r="F833" s="550" t="s">
        <v>4688</v>
      </c>
      <c r="G833" s="550" t="s">
        <v>127</v>
      </c>
      <c r="H833" s="550" t="s">
        <v>4689</v>
      </c>
      <c r="I833" s="550" t="s">
        <v>11</v>
      </c>
      <c r="J833" s="550" t="s">
        <v>12332</v>
      </c>
      <c r="K833" s="551">
        <v>44899</v>
      </c>
      <c r="L833" s="552">
        <v>315</v>
      </c>
      <c r="M833" s="552">
        <v>315</v>
      </c>
      <c r="N833" s="552">
        <v>315</v>
      </c>
      <c r="O833" s="552"/>
      <c r="P833" s="552"/>
      <c r="Q833" s="548">
        <v>2200</v>
      </c>
      <c r="R833" s="552">
        <v>693000</v>
      </c>
      <c r="S833" s="548">
        <v>2200</v>
      </c>
      <c r="T833" s="552">
        <v>693000</v>
      </c>
      <c r="U833" s="548">
        <v>0</v>
      </c>
      <c r="V833" s="552">
        <v>0</v>
      </c>
      <c r="W833" s="552">
        <v>2200</v>
      </c>
      <c r="X833" s="552">
        <v>693000</v>
      </c>
      <c r="Y833" s="552">
        <v>2200</v>
      </c>
      <c r="Z833" s="552">
        <v>693000</v>
      </c>
      <c r="AA833" s="552">
        <v>0</v>
      </c>
      <c r="AB833" s="552">
        <v>0</v>
      </c>
      <c r="AC833" s="552">
        <v>2200</v>
      </c>
      <c r="AD833" s="552">
        <v>693000</v>
      </c>
      <c r="AE833" s="552">
        <v>0</v>
      </c>
      <c r="AF833" s="552">
        <v>0</v>
      </c>
      <c r="AG833" s="552">
        <v>0</v>
      </c>
      <c r="AH833" s="552">
        <v>0</v>
      </c>
      <c r="AI833" s="552">
        <v>0</v>
      </c>
      <c r="AJ833" s="552">
        <v>0</v>
      </c>
    </row>
    <row r="834" spans="1:36" ht="15.95" customHeight="1">
      <c r="A834" s="547"/>
      <c r="B834" s="548">
        <v>512</v>
      </c>
      <c r="C834" s="549">
        <v>7427</v>
      </c>
      <c r="D834" s="550" t="s">
        <v>12331</v>
      </c>
      <c r="E834" s="550" t="s">
        <v>4687</v>
      </c>
      <c r="F834" s="550" t="s">
        <v>4688</v>
      </c>
      <c r="G834" s="550" t="s">
        <v>127</v>
      </c>
      <c r="H834" s="550" t="s">
        <v>4689</v>
      </c>
      <c r="I834" s="550" t="s">
        <v>11</v>
      </c>
      <c r="J834" s="550" t="s">
        <v>12333</v>
      </c>
      <c r="K834" s="551">
        <v>44899</v>
      </c>
      <c r="L834" s="552">
        <v>315</v>
      </c>
      <c r="M834" s="552">
        <v>315</v>
      </c>
      <c r="N834" s="552">
        <v>315</v>
      </c>
      <c r="O834" s="552"/>
      <c r="P834" s="552"/>
      <c r="Q834" s="548">
        <v>7800</v>
      </c>
      <c r="R834" s="552">
        <v>2457000</v>
      </c>
      <c r="S834" s="548">
        <v>7800</v>
      </c>
      <c r="T834" s="552">
        <v>2457000</v>
      </c>
      <c r="U834" s="548">
        <v>0</v>
      </c>
      <c r="V834" s="552">
        <v>0</v>
      </c>
      <c r="W834" s="552">
        <v>7560</v>
      </c>
      <c r="X834" s="552">
        <v>2381400</v>
      </c>
      <c r="Y834" s="552">
        <v>7800</v>
      </c>
      <c r="Z834" s="552">
        <v>2457000</v>
      </c>
      <c r="AA834" s="552">
        <v>0</v>
      </c>
      <c r="AB834" s="552">
        <v>0</v>
      </c>
      <c r="AC834" s="552">
        <v>7800</v>
      </c>
      <c r="AD834" s="552">
        <v>2457000</v>
      </c>
      <c r="AE834" s="552">
        <v>0</v>
      </c>
      <c r="AF834" s="552">
        <v>0</v>
      </c>
      <c r="AG834" s="552">
        <v>0</v>
      </c>
      <c r="AH834" s="552">
        <v>0</v>
      </c>
      <c r="AI834" s="552">
        <v>0</v>
      </c>
      <c r="AJ834" s="552">
        <v>0</v>
      </c>
    </row>
    <row r="835" spans="1:36" ht="15.95" customHeight="1">
      <c r="A835" s="547"/>
      <c r="B835" s="548">
        <v>513</v>
      </c>
      <c r="C835" s="549">
        <v>7427</v>
      </c>
      <c r="D835" s="550" t="s">
        <v>12331</v>
      </c>
      <c r="E835" s="550" t="s">
        <v>4687</v>
      </c>
      <c r="F835" s="550" t="s">
        <v>4688</v>
      </c>
      <c r="G835" s="550" t="s">
        <v>127</v>
      </c>
      <c r="H835" s="550" t="s">
        <v>4689</v>
      </c>
      <c r="I835" s="550" t="s">
        <v>11</v>
      </c>
      <c r="J835" s="550" t="s">
        <v>12334</v>
      </c>
      <c r="K835" s="551">
        <v>44910</v>
      </c>
      <c r="L835" s="552">
        <v>315</v>
      </c>
      <c r="M835" s="552">
        <v>315</v>
      </c>
      <c r="N835" s="552">
        <v>315</v>
      </c>
      <c r="O835" s="552"/>
      <c r="P835" s="552"/>
      <c r="Q835" s="548">
        <v>15000</v>
      </c>
      <c r="R835" s="552">
        <v>4725000</v>
      </c>
      <c r="S835" s="548">
        <v>15000</v>
      </c>
      <c r="T835" s="552">
        <v>4725000</v>
      </c>
      <c r="U835" s="548">
        <v>0</v>
      </c>
      <c r="V835" s="552">
        <v>0</v>
      </c>
      <c r="W835" s="552">
        <v>7475</v>
      </c>
      <c r="X835" s="552">
        <v>2354625</v>
      </c>
      <c r="Y835" s="552">
        <v>15000</v>
      </c>
      <c r="Z835" s="552">
        <v>4725000</v>
      </c>
      <c r="AA835" s="552">
        <v>5000</v>
      </c>
      <c r="AB835" s="552">
        <v>1575000</v>
      </c>
      <c r="AC835" s="552">
        <v>10000</v>
      </c>
      <c r="AD835" s="552">
        <v>3150000</v>
      </c>
      <c r="AE835" s="552">
        <v>0</v>
      </c>
      <c r="AF835" s="552">
        <v>0</v>
      </c>
      <c r="AG835" s="552">
        <v>0</v>
      </c>
      <c r="AH835" s="552">
        <v>0</v>
      </c>
      <c r="AI835" s="552">
        <v>0</v>
      </c>
      <c r="AJ835" s="552">
        <v>0</v>
      </c>
    </row>
    <row r="836" spans="1:36" ht="15.95" customHeight="1">
      <c r="A836" s="547"/>
      <c r="B836" s="548">
        <v>514</v>
      </c>
      <c r="C836" s="549">
        <v>7427</v>
      </c>
      <c r="D836" s="550" t="s">
        <v>12331</v>
      </c>
      <c r="E836" s="550" t="s">
        <v>4687</v>
      </c>
      <c r="F836" s="550" t="s">
        <v>4688</v>
      </c>
      <c r="G836" s="550" t="s">
        <v>127</v>
      </c>
      <c r="H836" s="550" t="s">
        <v>4689</v>
      </c>
      <c r="I836" s="550" t="s">
        <v>11</v>
      </c>
      <c r="J836" s="550" t="s">
        <v>12335</v>
      </c>
      <c r="K836" s="551">
        <v>44758</v>
      </c>
      <c r="L836" s="552">
        <v>315</v>
      </c>
      <c r="M836" s="552">
        <v>315</v>
      </c>
      <c r="N836" s="552">
        <v>315</v>
      </c>
      <c r="O836" s="552">
        <v>19700</v>
      </c>
      <c r="P836" s="552">
        <v>6205500</v>
      </c>
      <c r="Q836" s="548">
        <v>0</v>
      </c>
      <c r="R836" s="552">
        <v>0</v>
      </c>
      <c r="S836" s="548">
        <v>19700</v>
      </c>
      <c r="T836" s="552">
        <v>6205500</v>
      </c>
      <c r="U836" s="548">
        <v>0</v>
      </c>
      <c r="V836" s="552">
        <v>0</v>
      </c>
      <c r="W836" s="552">
        <v>17215</v>
      </c>
      <c r="X836" s="552">
        <v>5422725</v>
      </c>
      <c r="Y836" s="552">
        <v>19700</v>
      </c>
      <c r="Z836" s="552">
        <v>6205500</v>
      </c>
      <c r="AA836" s="552">
        <v>10700</v>
      </c>
      <c r="AB836" s="552">
        <v>3370500</v>
      </c>
      <c r="AC836" s="552">
        <v>9000</v>
      </c>
      <c r="AD836" s="552">
        <v>2835000</v>
      </c>
      <c r="AE836" s="552">
        <v>0</v>
      </c>
      <c r="AF836" s="552">
        <v>0</v>
      </c>
      <c r="AG836" s="552">
        <v>0</v>
      </c>
      <c r="AH836" s="552">
        <v>0</v>
      </c>
      <c r="AI836" s="552">
        <v>0</v>
      </c>
      <c r="AJ836" s="552">
        <v>0</v>
      </c>
    </row>
    <row r="837" spans="1:36" ht="15.95" customHeight="1">
      <c r="A837" s="547"/>
      <c r="B837" s="548">
        <v>515</v>
      </c>
      <c r="C837" s="549">
        <v>7428</v>
      </c>
      <c r="D837" s="550" t="s">
        <v>12336</v>
      </c>
      <c r="E837" s="550" t="s">
        <v>8548</v>
      </c>
      <c r="F837" s="550" t="s">
        <v>8551</v>
      </c>
      <c r="G837" s="550" t="s">
        <v>127</v>
      </c>
      <c r="H837" s="550" t="s">
        <v>12337</v>
      </c>
      <c r="I837" s="550" t="s">
        <v>11</v>
      </c>
      <c r="J837" s="550" t="s">
        <v>11609</v>
      </c>
      <c r="K837" s="551">
        <v>45382</v>
      </c>
      <c r="L837" s="552">
        <v>720</v>
      </c>
      <c r="M837" s="552">
        <v>720</v>
      </c>
      <c r="N837" s="552">
        <v>720</v>
      </c>
      <c r="O837" s="552"/>
      <c r="P837" s="552"/>
      <c r="Q837" s="548">
        <v>18000</v>
      </c>
      <c r="R837" s="552">
        <v>12960000</v>
      </c>
      <c r="S837" s="548">
        <v>18000</v>
      </c>
      <c r="T837" s="552">
        <v>12960000</v>
      </c>
      <c r="U837" s="548">
        <v>0</v>
      </c>
      <c r="V837" s="552">
        <v>0</v>
      </c>
      <c r="W837" s="552">
        <v>0</v>
      </c>
      <c r="X837" s="552">
        <v>0</v>
      </c>
      <c r="Y837" s="552">
        <v>18000</v>
      </c>
      <c r="Z837" s="552">
        <v>12960000</v>
      </c>
      <c r="AA837" s="552">
        <v>18000</v>
      </c>
      <c r="AB837" s="552">
        <v>12960000</v>
      </c>
      <c r="AC837" s="552">
        <v>0</v>
      </c>
      <c r="AD837" s="552">
        <v>0</v>
      </c>
      <c r="AE837" s="552">
        <v>0</v>
      </c>
      <c r="AF837" s="552">
        <v>0</v>
      </c>
      <c r="AG837" s="552">
        <v>0</v>
      </c>
      <c r="AH837" s="552">
        <v>0</v>
      </c>
      <c r="AI837" s="552">
        <v>0</v>
      </c>
      <c r="AJ837" s="552">
        <v>0</v>
      </c>
    </row>
    <row r="838" spans="1:36" ht="15.95" customHeight="1">
      <c r="A838" s="547"/>
      <c r="B838" s="548">
        <v>516</v>
      </c>
      <c r="C838" s="549">
        <v>7428</v>
      </c>
      <c r="D838" s="550" t="s">
        <v>12336</v>
      </c>
      <c r="E838" s="550" t="s">
        <v>8548</v>
      </c>
      <c r="F838" s="550" t="s">
        <v>8551</v>
      </c>
      <c r="G838" s="550" t="s">
        <v>127</v>
      </c>
      <c r="H838" s="550" t="s">
        <v>12337</v>
      </c>
      <c r="I838" s="550" t="s">
        <v>11</v>
      </c>
      <c r="J838" s="550" t="s">
        <v>12338</v>
      </c>
      <c r="K838" s="551">
        <v>45155</v>
      </c>
      <c r="L838" s="552">
        <v>720</v>
      </c>
      <c r="M838" s="552">
        <v>720</v>
      </c>
      <c r="N838" s="552">
        <v>720</v>
      </c>
      <c r="O838" s="552"/>
      <c r="P838" s="552"/>
      <c r="Q838" s="548">
        <v>2000</v>
      </c>
      <c r="R838" s="552">
        <v>1440000</v>
      </c>
      <c r="S838" s="548">
        <v>2000</v>
      </c>
      <c r="T838" s="552">
        <v>1440000</v>
      </c>
      <c r="U838" s="548">
        <v>0</v>
      </c>
      <c r="V838" s="552">
        <v>0</v>
      </c>
      <c r="W838" s="552">
        <v>0</v>
      </c>
      <c r="X838" s="552">
        <v>0</v>
      </c>
      <c r="Y838" s="552">
        <v>2000</v>
      </c>
      <c r="Z838" s="552">
        <v>1440000</v>
      </c>
      <c r="AA838" s="552">
        <v>2000</v>
      </c>
      <c r="AB838" s="552">
        <v>1440000</v>
      </c>
      <c r="AC838" s="552">
        <v>0</v>
      </c>
      <c r="AD838" s="552">
        <v>0</v>
      </c>
      <c r="AE838" s="552">
        <v>0</v>
      </c>
      <c r="AF838" s="552">
        <v>0</v>
      </c>
      <c r="AG838" s="552">
        <v>0</v>
      </c>
      <c r="AH838" s="552">
        <v>0</v>
      </c>
      <c r="AI838" s="552">
        <v>0</v>
      </c>
      <c r="AJ838" s="552">
        <v>0</v>
      </c>
    </row>
    <row r="839" spans="1:36" ht="15.95" customHeight="1">
      <c r="A839" s="547"/>
      <c r="B839" s="548">
        <v>517</v>
      </c>
      <c r="C839" s="549">
        <v>7483</v>
      </c>
      <c r="D839" s="550" t="s">
        <v>12339</v>
      </c>
      <c r="E839" s="550" t="s">
        <v>8554</v>
      </c>
      <c r="F839" s="550" t="s">
        <v>12340</v>
      </c>
      <c r="G839" s="550" t="s">
        <v>12341</v>
      </c>
      <c r="H839" s="550" t="s">
        <v>12342</v>
      </c>
      <c r="I839" s="550" t="s">
        <v>11</v>
      </c>
      <c r="J839" s="550" t="s">
        <v>12343</v>
      </c>
      <c r="K839" s="551">
        <v>45099</v>
      </c>
      <c r="L839" s="552">
        <v>6000</v>
      </c>
      <c r="M839" s="552">
        <v>6000</v>
      </c>
      <c r="N839" s="552">
        <v>6000</v>
      </c>
      <c r="O839" s="552"/>
      <c r="P839" s="552"/>
      <c r="Q839" s="548">
        <v>270</v>
      </c>
      <c r="R839" s="552">
        <v>1620000</v>
      </c>
      <c r="S839" s="548">
        <v>0</v>
      </c>
      <c r="T839" s="552">
        <v>0</v>
      </c>
      <c r="U839" s="548">
        <v>270</v>
      </c>
      <c r="V839" s="552">
        <v>1620000</v>
      </c>
      <c r="W839" s="552">
        <v>0</v>
      </c>
      <c r="X839" s="552">
        <v>0</v>
      </c>
      <c r="Y839" s="552">
        <v>0</v>
      </c>
      <c r="Z839" s="552">
        <v>0</v>
      </c>
      <c r="AA839" s="552">
        <v>0</v>
      </c>
      <c r="AB839" s="552">
        <v>0</v>
      </c>
      <c r="AC839" s="552">
        <v>0</v>
      </c>
      <c r="AD839" s="552">
        <v>0</v>
      </c>
      <c r="AE839" s="552">
        <v>0</v>
      </c>
      <c r="AF839" s="552">
        <v>0</v>
      </c>
      <c r="AG839" s="552">
        <v>0</v>
      </c>
      <c r="AH839" s="552">
        <v>0</v>
      </c>
      <c r="AI839" s="552">
        <v>0</v>
      </c>
      <c r="AJ839" s="552">
        <v>0</v>
      </c>
    </row>
    <row r="840" spans="1:36" ht="15.95" customHeight="1">
      <c r="A840" s="547"/>
      <c r="B840" s="548">
        <v>518</v>
      </c>
      <c r="C840" s="549">
        <v>7483</v>
      </c>
      <c r="D840" s="550" t="s">
        <v>12339</v>
      </c>
      <c r="E840" s="550" t="s">
        <v>8554</v>
      </c>
      <c r="F840" s="550" t="s">
        <v>12340</v>
      </c>
      <c r="G840" s="550" t="s">
        <v>12341</v>
      </c>
      <c r="H840" s="550" t="s">
        <v>12342</v>
      </c>
      <c r="I840" s="550" t="s">
        <v>11</v>
      </c>
      <c r="J840" s="550" t="s">
        <v>12344</v>
      </c>
      <c r="K840" s="551">
        <v>45100</v>
      </c>
      <c r="L840" s="552">
        <v>6000</v>
      </c>
      <c r="M840" s="552">
        <v>6000</v>
      </c>
      <c r="N840" s="552">
        <v>6000</v>
      </c>
      <c r="O840" s="552"/>
      <c r="P840" s="552"/>
      <c r="Q840" s="548">
        <v>9720</v>
      </c>
      <c r="R840" s="552">
        <v>58320000</v>
      </c>
      <c r="S840" s="548">
        <v>0</v>
      </c>
      <c r="T840" s="552">
        <v>0</v>
      </c>
      <c r="U840" s="548">
        <v>9720</v>
      </c>
      <c r="V840" s="552">
        <v>58320000</v>
      </c>
      <c r="W840" s="552">
        <v>0</v>
      </c>
      <c r="X840" s="552">
        <v>0</v>
      </c>
      <c r="Y840" s="552">
        <v>0</v>
      </c>
      <c r="Z840" s="552">
        <v>0</v>
      </c>
      <c r="AA840" s="552">
        <v>0</v>
      </c>
      <c r="AB840" s="552">
        <v>0</v>
      </c>
      <c r="AC840" s="552">
        <v>0</v>
      </c>
      <c r="AD840" s="552">
        <v>0</v>
      </c>
      <c r="AE840" s="552">
        <v>0</v>
      </c>
      <c r="AF840" s="552">
        <v>0</v>
      </c>
      <c r="AG840" s="552">
        <v>0</v>
      </c>
      <c r="AH840" s="552">
        <v>0</v>
      </c>
      <c r="AI840" s="552">
        <v>0</v>
      </c>
      <c r="AJ840" s="552">
        <v>0</v>
      </c>
    </row>
    <row r="841" spans="1:36" ht="15.95" customHeight="1">
      <c r="A841" s="547"/>
      <c r="B841" s="548">
        <v>519</v>
      </c>
      <c r="C841" s="549">
        <v>7483</v>
      </c>
      <c r="D841" s="550" t="s">
        <v>12339</v>
      </c>
      <c r="E841" s="550" t="s">
        <v>8554</v>
      </c>
      <c r="F841" s="550" t="s">
        <v>12340</v>
      </c>
      <c r="G841" s="550" t="s">
        <v>12341</v>
      </c>
      <c r="H841" s="550" t="s">
        <v>12342</v>
      </c>
      <c r="I841" s="550" t="s">
        <v>11</v>
      </c>
      <c r="J841" s="550" t="s">
        <v>12345</v>
      </c>
      <c r="K841" s="551">
        <v>44917</v>
      </c>
      <c r="L841" s="552">
        <v>6000</v>
      </c>
      <c r="M841" s="552">
        <v>6000</v>
      </c>
      <c r="N841" s="552">
        <v>6000</v>
      </c>
      <c r="O841" s="552"/>
      <c r="P841" s="552"/>
      <c r="Q841" s="548">
        <v>6000</v>
      </c>
      <c r="R841" s="552">
        <v>36000000</v>
      </c>
      <c r="S841" s="548">
        <v>6000</v>
      </c>
      <c r="T841" s="552">
        <v>36000000</v>
      </c>
      <c r="U841" s="548">
        <v>0</v>
      </c>
      <c r="V841" s="552">
        <v>0</v>
      </c>
      <c r="W841" s="552">
        <v>0</v>
      </c>
      <c r="X841" s="552">
        <v>0</v>
      </c>
      <c r="Y841" s="552">
        <v>6000</v>
      </c>
      <c r="Z841" s="552">
        <v>36000000</v>
      </c>
      <c r="AA841" s="552">
        <v>6000</v>
      </c>
      <c r="AB841" s="552">
        <v>36000000</v>
      </c>
      <c r="AC841" s="552">
        <v>0</v>
      </c>
      <c r="AD841" s="552">
        <v>0</v>
      </c>
      <c r="AE841" s="552">
        <v>0</v>
      </c>
      <c r="AF841" s="552">
        <v>0</v>
      </c>
      <c r="AG841" s="552">
        <v>0</v>
      </c>
      <c r="AH841" s="552">
        <v>0</v>
      </c>
      <c r="AI841" s="552">
        <v>0</v>
      </c>
      <c r="AJ841" s="552">
        <v>0</v>
      </c>
    </row>
    <row r="842" spans="1:36" ht="15.95" customHeight="1">
      <c r="A842" s="547"/>
      <c r="B842" s="548">
        <v>520</v>
      </c>
      <c r="C842" s="549">
        <v>7483</v>
      </c>
      <c r="D842" s="550" t="s">
        <v>12339</v>
      </c>
      <c r="E842" s="550" t="s">
        <v>8554</v>
      </c>
      <c r="F842" s="550" t="s">
        <v>12340</v>
      </c>
      <c r="G842" s="550" t="s">
        <v>12341</v>
      </c>
      <c r="H842" s="550" t="s">
        <v>12342</v>
      </c>
      <c r="I842" s="550" t="s">
        <v>11</v>
      </c>
      <c r="J842" s="550" t="s">
        <v>12346</v>
      </c>
      <c r="K842" s="551">
        <v>44919</v>
      </c>
      <c r="L842" s="552">
        <v>6000</v>
      </c>
      <c r="M842" s="552">
        <v>6000</v>
      </c>
      <c r="N842" s="552">
        <v>6000</v>
      </c>
      <c r="O842" s="552"/>
      <c r="P842" s="552"/>
      <c r="Q842" s="548">
        <v>4980</v>
      </c>
      <c r="R842" s="552">
        <v>29880000</v>
      </c>
      <c r="S842" s="548">
        <v>4980</v>
      </c>
      <c r="T842" s="552">
        <v>29880000</v>
      </c>
      <c r="U842" s="548">
        <v>0</v>
      </c>
      <c r="V842" s="552">
        <v>0</v>
      </c>
      <c r="W842" s="552">
        <v>0</v>
      </c>
      <c r="X842" s="552">
        <v>0</v>
      </c>
      <c r="Y842" s="552">
        <v>4980</v>
      </c>
      <c r="Z842" s="552">
        <v>29880000</v>
      </c>
      <c r="AA842" s="552">
        <v>4980</v>
      </c>
      <c r="AB842" s="552">
        <v>29880000</v>
      </c>
      <c r="AC842" s="552">
        <v>0</v>
      </c>
      <c r="AD842" s="552">
        <v>0</v>
      </c>
      <c r="AE842" s="552">
        <v>0</v>
      </c>
      <c r="AF842" s="552">
        <v>0</v>
      </c>
      <c r="AG842" s="552">
        <v>0</v>
      </c>
      <c r="AH842" s="552">
        <v>0</v>
      </c>
      <c r="AI842" s="552">
        <v>0</v>
      </c>
      <c r="AJ842" s="552">
        <v>0</v>
      </c>
    </row>
    <row r="843" spans="1:36" ht="15.95" customHeight="1">
      <c r="A843" s="547"/>
      <c r="B843" s="548">
        <v>521</v>
      </c>
      <c r="C843" s="549">
        <v>7429</v>
      </c>
      <c r="D843" s="550" t="s">
        <v>12347</v>
      </c>
      <c r="E843" s="550" t="s">
        <v>4690</v>
      </c>
      <c r="F843" s="550" t="s">
        <v>129</v>
      </c>
      <c r="G843" s="550" t="s">
        <v>130</v>
      </c>
      <c r="H843" s="550" t="s">
        <v>4691</v>
      </c>
      <c r="I843" s="550" t="s">
        <v>15</v>
      </c>
      <c r="J843" s="550" t="s">
        <v>4483</v>
      </c>
      <c r="K843" s="551">
        <v>44687</v>
      </c>
      <c r="L843" s="552">
        <v>44000</v>
      </c>
      <c r="M843" s="552">
        <v>44000</v>
      </c>
      <c r="N843" s="552">
        <v>44000</v>
      </c>
      <c r="O843" s="552">
        <v>162</v>
      </c>
      <c r="P843" s="552">
        <v>7128000</v>
      </c>
      <c r="Q843" s="548">
        <v>0</v>
      </c>
      <c r="R843" s="552">
        <v>0</v>
      </c>
      <c r="S843" s="548">
        <v>162</v>
      </c>
      <c r="T843" s="552">
        <v>7128000</v>
      </c>
      <c r="U843" s="548">
        <v>0</v>
      </c>
      <c r="V843" s="552">
        <v>0</v>
      </c>
      <c r="W843" s="552">
        <v>0</v>
      </c>
      <c r="X843" s="552">
        <v>0</v>
      </c>
      <c r="Y843" s="552">
        <v>162</v>
      </c>
      <c r="Z843" s="552">
        <v>7128000</v>
      </c>
      <c r="AA843" s="552">
        <v>162</v>
      </c>
      <c r="AB843" s="552">
        <v>7128000</v>
      </c>
      <c r="AC843" s="552">
        <v>0</v>
      </c>
      <c r="AD843" s="552">
        <v>0</v>
      </c>
      <c r="AE843" s="552">
        <v>0</v>
      </c>
      <c r="AF843" s="552">
        <v>0</v>
      </c>
      <c r="AG843" s="552">
        <v>0</v>
      </c>
      <c r="AH843" s="552">
        <v>0</v>
      </c>
      <c r="AI843" s="552">
        <v>0</v>
      </c>
      <c r="AJ843" s="552">
        <v>0</v>
      </c>
    </row>
    <row r="844" spans="1:36" ht="15.95" customHeight="1">
      <c r="A844" s="547"/>
      <c r="B844" s="548">
        <v>522</v>
      </c>
      <c r="C844" s="549">
        <v>7429</v>
      </c>
      <c r="D844" s="550" t="s">
        <v>12347</v>
      </c>
      <c r="E844" s="550" t="s">
        <v>4690</v>
      </c>
      <c r="F844" s="550" t="s">
        <v>129</v>
      </c>
      <c r="G844" s="550" t="s">
        <v>130</v>
      </c>
      <c r="H844" s="550" t="s">
        <v>4691</v>
      </c>
      <c r="I844" s="550" t="s">
        <v>15</v>
      </c>
      <c r="J844" s="550" t="s">
        <v>3955</v>
      </c>
      <c r="K844" s="551">
        <v>44767</v>
      </c>
      <c r="L844" s="552">
        <v>44000</v>
      </c>
      <c r="M844" s="552">
        <v>44000</v>
      </c>
      <c r="N844" s="552">
        <v>44000</v>
      </c>
      <c r="O844" s="552">
        <v>50</v>
      </c>
      <c r="P844" s="552">
        <v>2200000</v>
      </c>
      <c r="Q844" s="548">
        <v>0</v>
      </c>
      <c r="R844" s="552">
        <v>0</v>
      </c>
      <c r="S844" s="548">
        <v>39</v>
      </c>
      <c r="T844" s="552">
        <v>1716000</v>
      </c>
      <c r="U844" s="548">
        <v>11</v>
      </c>
      <c r="V844" s="552">
        <v>484000</v>
      </c>
      <c r="W844" s="552">
        <v>0</v>
      </c>
      <c r="X844" s="552">
        <v>0</v>
      </c>
      <c r="Y844" s="552">
        <v>39</v>
      </c>
      <c r="Z844" s="552">
        <v>1716000</v>
      </c>
      <c r="AA844" s="552">
        <v>39</v>
      </c>
      <c r="AB844" s="552">
        <v>1716000</v>
      </c>
      <c r="AC844" s="552">
        <v>0</v>
      </c>
      <c r="AD844" s="552">
        <v>0</v>
      </c>
      <c r="AE844" s="552">
        <v>0</v>
      </c>
      <c r="AF844" s="552">
        <v>0</v>
      </c>
      <c r="AG844" s="552">
        <v>0</v>
      </c>
      <c r="AH844" s="552">
        <v>0</v>
      </c>
      <c r="AI844" s="552">
        <v>0</v>
      </c>
      <c r="AJ844" s="552">
        <v>0</v>
      </c>
    </row>
    <row r="845" spans="1:36" ht="15.95" customHeight="1">
      <c r="A845" s="547"/>
      <c r="B845" s="548">
        <v>530</v>
      </c>
      <c r="C845" s="549">
        <v>7431</v>
      </c>
      <c r="D845" s="550" t="s">
        <v>12348</v>
      </c>
      <c r="E845" s="550" t="s">
        <v>8575</v>
      </c>
      <c r="F845" s="550" t="s">
        <v>8578</v>
      </c>
      <c r="G845" s="550" t="s">
        <v>12349</v>
      </c>
      <c r="H845" s="550" t="s">
        <v>12350</v>
      </c>
      <c r="I845" s="550" t="s">
        <v>11</v>
      </c>
      <c r="J845" s="550" t="s">
        <v>12351</v>
      </c>
      <c r="K845" s="551">
        <v>45157</v>
      </c>
      <c r="L845" s="552">
        <v>2750</v>
      </c>
      <c r="M845" s="552">
        <v>2750</v>
      </c>
      <c r="N845" s="552">
        <v>2750</v>
      </c>
      <c r="O845" s="552"/>
      <c r="P845" s="552"/>
      <c r="Q845" s="548">
        <v>5000</v>
      </c>
      <c r="R845" s="552">
        <v>13750000</v>
      </c>
      <c r="S845" s="548">
        <v>5000</v>
      </c>
      <c r="T845" s="552">
        <v>13750000</v>
      </c>
      <c r="U845" s="548">
        <v>0</v>
      </c>
      <c r="V845" s="552">
        <v>0</v>
      </c>
      <c r="W845" s="552">
        <v>0</v>
      </c>
      <c r="X845" s="552">
        <v>0</v>
      </c>
      <c r="Y845" s="552">
        <v>5000</v>
      </c>
      <c r="Z845" s="552">
        <v>13750000</v>
      </c>
      <c r="AA845" s="552">
        <v>5000</v>
      </c>
      <c r="AB845" s="552">
        <v>13750000</v>
      </c>
      <c r="AC845" s="552">
        <v>0</v>
      </c>
      <c r="AD845" s="552">
        <v>0</v>
      </c>
      <c r="AE845" s="552">
        <v>0</v>
      </c>
      <c r="AF845" s="552">
        <v>0</v>
      </c>
      <c r="AG845" s="552">
        <v>0</v>
      </c>
      <c r="AH845" s="552">
        <v>0</v>
      </c>
      <c r="AI845" s="552">
        <v>0</v>
      </c>
      <c r="AJ845" s="552">
        <v>0</v>
      </c>
    </row>
    <row r="846" spans="1:36" ht="15.95" customHeight="1">
      <c r="A846" s="547"/>
      <c r="B846" s="548">
        <v>578</v>
      </c>
      <c r="C846" s="549">
        <v>7482</v>
      </c>
      <c r="D846" s="550" t="s">
        <v>12352</v>
      </c>
      <c r="E846" s="550" t="s">
        <v>4692</v>
      </c>
      <c r="F846" s="550" t="s">
        <v>132</v>
      </c>
      <c r="G846" s="550" t="s">
        <v>133</v>
      </c>
      <c r="H846" s="550" t="s">
        <v>134</v>
      </c>
      <c r="I846" s="550" t="s">
        <v>11</v>
      </c>
      <c r="J846" s="550" t="s">
        <v>4693</v>
      </c>
      <c r="K846" s="551">
        <v>45053</v>
      </c>
      <c r="L846" s="552">
        <v>1407</v>
      </c>
      <c r="M846" s="552">
        <v>1407</v>
      </c>
      <c r="N846" s="552">
        <v>1407</v>
      </c>
      <c r="O846" s="552">
        <v>5580</v>
      </c>
      <c r="P846" s="552">
        <v>7851060</v>
      </c>
      <c r="Q846" s="548">
        <v>0</v>
      </c>
      <c r="R846" s="552">
        <v>0</v>
      </c>
      <c r="S846" s="548">
        <v>5580</v>
      </c>
      <c r="T846" s="552">
        <v>7851060</v>
      </c>
      <c r="U846" s="548">
        <v>0</v>
      </c>
      <c r="V846" s="552">
        <v>0</v>
      </c>
      <c r="W846" s="552">
        <v>1597</v>
      </c>
      <c r="X846" s="552">
        <v>2246979</v>
      </c>
      <c r="Y846" s="552">
        <v>5580</v>
      </c>
      <c r="Z846" s="552">
        <v>7851060</v>
      </c>
      <c r="AA846" s="552">
        <v>5580</v>
      </c>
      <c r="AB846" s="552">
        <v>7851060</v>
      </c>
      <c r="AC846" s="552">
        <v>0</v>
      </c>
      <c r="AD846" s="552">
        <v>0</v>
      </c>
      <c r="AE846" s="552">
        <v>0</v>
      </c>
      <c r="AF846" s="552">
        <v>0</v>
      </c>
      <c r="AG846" s="552">
        <v>0</v>
      </c>
      <c r="AH846" s="552">
        <v>0</v>
      </c>
      <c r="AI846" s="552">
        <v>0</v>
      </c>
      <c r="AJ846" s="552">
        <v>0</v>
      </c>
    </row>
    <row r="847" spans="1:36" ht="15.95" customHeight="1">
      <c r="A847" s="547"/>
      <c r="B847" s="548">
        <v>579</v>
      </c>
      <c r="C847" s="549">
        <v>7482</v>
      </c>
      <c r="D847" s="550" t="s">
        <v>12352</v>
      </c>
      <c r="E847" s="550" t="s">
        <v>4692</v>
      </c>
      <c r="F847" s="550" t="s">
        <v>132</v>
      </c>
      <c r="G847" s="550" t="s">
        <v>133</v>
      </c>
      <c r="H847" s="550" t="s">
        <v>134</v>
      </c>
      <c r="I847" s="550" t="s">
        <v>11</v>
      </c>
      <c r="J847" s="550" t="s">
        <v>12353</v>
      </c>
      <c r="K847" s="551">
        <v>45192</v>
      </c>
      <c r="L847" s="552">
        <v>1407</v>
      </c>
      <c r="M847" s="552">
        <v>1407</v>
      </c>
      <c r="N847" s="552">
        <v>1407</v>
      </c>
      <c r="O847" s="552"/>
      <c r="P847" s="552"/>
      <c r="Q847" s="548">
        <v>18000</v>
      </c>
      <c r="R847" s="552">
        <v>25326000</v>
      </c>
      <c r="S847" s="548">
        <v>16627</v>
      </c>
      <c r="T847" s="552">
        <v>23394189</v>
      </c>
      <c r="U847" s="548">
        <v>1373</v>
      </c>
      <c r="V847" s="552">
        <v>1931811</v>
      </c>
      <c r="W847" s="552">
        <v>0</v>
      </c>
      <c r="X847" s="552">
        <v>0</v>
      </c>
      <c r="Y847" s="552">
        <v>16627</v>
      </c>
      <c r="Z847" s="552">
        <v>23394189</v>
      </c>
      <c r="AA847" s="552">
        <v>16627</v>
      </c>
      <c r="AB847" s="552">
        <v>23394189</v>
      </c>
      <c r="AC847" s="552">
        <v>0</v>
      </c>
      <c r="AD847" s="552">
        <v>0</v>
      </c>
      <c r="AE847" s="552">
        <v>0</v>
      </c>
      <c r="AF847" s="552">
        <v>0</v>
      </c>
      <c r="AG847" s="552">
        <v>0</v>
      </c>
      <c r="AH847" s="552">
        <v>0</v>
      </c>
      <c r="AI847" s="552">
        <v>0</v>
      </c>
      <c r="AJ847" s="552">
        <v>0</v>
      </c>
    </row>
    <row r="848" spans="1:36" ht="15.95" customHeight="1">
      <c r="A848" s="547"/>
      <c r="B848" s="548">
        <v>580</v>
      </c>
      <c r="C848" s="549">
        <v>7482</v>
      </c>
      <c r="D848" s="550" t="s">
        <v>12352</v>
      </c>
      <c r="E848" s="550" t="s">
        <v>4692</v>
      </c>
      <c r="F848" s="550" t="s">
        <v>132</v>
      </c>
      <c r="G848" s="550" t="s">
        <v>133</v>
      </c>
      <c r="H848" s="550" t="s">
        <v>134</v>
      </c>
      <c r="I848" s="550" t="s">
        <v>11</v>
      </c>
      <c r="J848" s="550" t="s">
        <v>12354</v>
      </c>
      <c r="K848" s="551">
        <v>45431</v>
      </c>
      <c r="L848" s="552">
        <v>1407</v>
      </c>
      <c r="M848" s="552">
        <v>1407</v>
      </c>
      <c r="N848" s="552">
        <v>1407</v>
      </c>
      <c r="O848" s="552"/>
      <c r="P848" s="552"/>
      <c r="Q848" s="548">
        <v>30000</v>
      </c>
      <c r="R848" s="552">
        <v>42210000</v>
      </c>
      <c r="S848" s="548">
        <v>0</v>
      </c>
      <c r="T848" s="552">
        <v>0</v>
      </c>
      <c r="U848" s="548">
        <v>30000</v>
      </c>
      <c r="V848" s="552">
        <v>42210000</v>
      </c>
      <c r="W848" s="552">
        <v>0</v>
      </c>
      <c r="X848" s="552">
        <v>0</v>
      </c>
      <c r="Y848" s="552">
        <v>0</v>
      </c>
      <c r="Z848" s="552">
        <v>0</v>
      </c>
      <c r="AA848" s="552">
        <v>0</v>
      </c>
      <c r="AB848" s="552">
        <v>0</v>
      </c>
      <c r="AC848" s="552">
        <v>0</v>
      </c>
      <c r="AD848" s="552">
        <v>0</v>
      </c>
      <c r="AE848" s="552">
        <v>0</v>
      </c>
      <c r="AF848" s="552">
        <v>0</v>
      </c>
      <c r="AG848" s="552">
        <v>0</v>
      </c>
      <c r="AH848" s="552">
        <v>0</v>
      </c>
      <c r="AI848" s="552">
        <v>0</v>
      </c>
      <c r="AJ848" s="552">
        <v>0</v>
      </c>
    </row>
    <row r="849" spans="1:36" ht="15.95" customHeight="1">
      <c r="A849" s="547"/>
      <c r="B849" s="548">
        <v>584</v>
      </c>
      <c r="C849" s="549">
        <v>7432</v>
      </c>
      <c r="D849" s="550" t="s">
        <v>12355</v>
      </c>
      <c r="E849" s="550" t="s">
        <v>4694</v>
      </c>
      <c r="F849" s="550" t="s">
        <v>4695</v>
      </c>
      <c r="G849" s="550" t="s">
        <v>136</v>
      </c>
      <c r="H849" s="550" t="s">
        <v>4696</v>
      </c>
      <c r="I849" s="550" t="s">
        <v>11</v>
      </c>
      <c r="J849" s="550" t="s">
        <v>12356</v>
      </c>
      <c r="K849" s="551">
        <v>45176</v>
      </c>
      <c r="L849" s="552">
        <v>2047</v>
      </c>
      <c r="M849" s="552">
        <v>2047</v>
      </c>
      <c r="N849" s="552">
        <v>2047</v>
      </c>
      <c r="O849" s="552">
        <v>1932</v>
      </c>
      <c r="P849" s="552">
        <v>3954804</v>
      </c>
      <c r="Q849" s="548">
        <v>0</v>
      </c>
      <c r="R849" s="552">
        <v>0</v>
      </c>
      <c r="S849" s="548">
        <v>1932</v>
      </c>
      <c r="T849" s="552">
        <v>3954804</v>
      </c>
      <c r="U849" s="548">
        <v>0</v>
      </c>
      <c r="V849" s="552">
        <v>0</v>
      </c>
      <c r="W849" s="552">
        <v>0</v>
      </c>
      <c r="X849" s="552">
        <v>0</v>
      </c>
      <c r="Y849" s="552">
        <v>1932</v>
      </c>
      <c r="Z849" s="552">
        <v>3954804</v>
      </c>
      <c r="AA849" s="552">
        <v>1932</v>
      </c>
      <c r="AB849" s="552">
        <v>3954804</v>
      </c>
      <c r="AC849" s="552">
        <v>0</v>
      </c>
      <c r="AD849" s="552">
        <v>0</v>
      </c>
      <c r="AE849" s="552">
        <v>0</v>
      </c>
      <c r="AF849" s="552">
        <v>0</v>
      </c>
      <c r="AG849" s="552">
        <v>0</v>
      </c>
      <c r="AH849" s="552">
        <v>0</v>
      </c>
      <c r="AI849" s="552">
        <v>0</v>
      </c>
      <c r="AJ849" s="552">
        <v>0</v>
      </c>
    </row>
    <row r="850" spans="1:36" ht="15.95" customHeight="1">
      <c r="A850" s="547"/>
      <c r="B850" s="548">
        <v>585</v>
      </c>
      <c r="C850" s="549">
        <v>7432</v>
      </c>
      <c r="D850" s="550" t="s">
        <v>12355</v>
      </c>
      <c r="E850" s="550" t="s">
        <v>4694</v>
      </c>
      <c r="F850" s="550" t="s">
        <v>4695</v>
      </c>
      <c r="G850" s="550" t="s">
        <v>136</v>
      </c>
      <c r="H850" s="550" t="s">
        <v>4696</v>
      </c>
      <c r="I850" s="550" t="s">
        <v>11</v>
      </c>
      <c r="J850" s="550" t="s">
        <v>12357</v>
      </c>
      <c r="K850" s="551">
        <v>45177</v>
      </c>
      <c r="L850" s="552">
        <v>2047</v>
      </c>
      <c r="M850" s="552">
        <v>2047</v>
      </c>
      <c r="N850" s="552">
        <v>2047</v>
      </c>
      <c r="O850" s="552">
        <v>100</v>
      </c>
      <c r="P850" s="552">
        <v>204700</v>
      </c>
      <c r="Q850" s="548">
        <v>0</v>
      </c>
      <c r="R850" s="552">
        <v>0</v>
      </c>
      <c r="S850" s="548">
        <v>100</v>
      </c>
      <c r="T850" s="552">
        <v>204700</v>
      </c>
      <c r="U850" s="548">
        <v>0</v>
      </c>
      <c r="V850" s="552">
        <v>0</v>
      </c>
      <c r="W850" s="552">
        <v>0</v>
      </c>
      <c r="X850" s="552">
        <v>0</v>
      </c>
      <c r="Y850" s="552">
        <v>100</v>
      </c>
      <c r="Z850" s="552">
        <v>204700</v>
      </c>
      <c r="AA850" s="552">
        <v>100</v>
      </c>
      <c r="AB850" s="552">
        <v>204700</v>
      </c>
      <c r="AC850" s="552">
        <v>0</v>
      </c>
      <c r="AD850" s="552">
        <v>0</v>
      </c>
      <c r="AE850" s="552">
        <v>0</v>
      </c>
      <c r="AF850" s="552">
        <v>0</v>
      </c>
      <c r="AG850" s="552">
        <v>0</v>
      </c>
      <c r="AH850" s="552">
        <v>0</v>
      </c>
      <c r="AI850" s="552">
        <v>0</v>
      </c>
      <c r="AJ850" s="552">
        <v>0</v>
      </c>
    </row>
    <row r="851" spans="1:36" ht="15.95" customHeight="1">
      <c r="A851" s="547"/>
      <c r="B851" s="548">
        <v>586</v>
      </c>
      <c r="C851" s="549">
        <v>7432</v>
      </c>
      <c r="D851" s="550" t="s">
        <v>12355</v>
      </c>
      <c r="E851" s="550" t="s">
        <v>4694</v>
      </c>
      <c r="F851" s="550" t="s">
        <v>4695</v>
      </c>
      <c r="G851" s="550" t="s">
        <v>136</v>
      </c>
      <c r="H851" s="550" t="s">
        <v>4696</v>
      </c>
      <c r="I851" s="550" t="s">
        <v>11</v>
      </c>
      <c r="J851" s="550" t="s">
        <v>12358</v>
      </c>
      <c r="K851" s="551">
        <v>45299</v>
      </c>
      <c r="L851" s="552">
        <v>2047</v>
      </c>
      <c r="M851" s="552">
        <v>2047</v>
      </c>
      <c r="N851" s="552">
        <v>2047</v>
      </c>
      <c r="O851" s="552"/>
      <c r="P851" s="552"/>
      <c r="Q851" s="548">
        <v>4000</v>
      </c>
      <c r="R851" s="552">
        <v>8188000</v>
      </c>
      <c r="S851" s="548">
        <v>4000</v>
      </c>
      <c r="T851" s="552">
        <v>8188000</v>
      </c>
      <c r="U851" s="548">
        <v>0</v>
      </c>
      <c r="V851" s="552">
        <v>0</v>
      </c>
      <c r="W851" s="552">
        <v>0</v>
      </c>
      <c r="X851" s="552">
        <v>0</v>
      </c>
      <c r="Y851" s="552">
        <v>4000</v>
      </c>
      <c r="Z851" s="552">
        <v>8188000</v>
      </c>
      <c r="AA851" s="552">
        <v>4000</v>
      </c>
      <c r="AB851" s="552">
        <v>8188000</v>
      </c>
      <c r="AC851" s="552">
        <v>0</v>
      </c>
      <c r="AD851" s="552">
        <v>0</v>
      </c>
      <c r="AE851" s="552">
        <v>0</v>
      </c>
      <c r="AF851" s="552">
        <v>0</v>
      </c>
      <c r="AG851" s="552">
        <v>0</v>
      </c>
      <c r="AH851" s="552">
        <v>0</v>
      </c>
      <c r="AI851" s="552">
        <v>0</v>
      </c>
      <c r="AJ851" s="552">
        <v>0</v>
      </c>
    </row>
    <row r="852" spans="1:36" ht="15.95" customHeight="1">
      <c r="A852" s="547"/>
      <c r="B852" s="548">
        <v>587</v>
      </c>
      <c r="C852" s="549">
        <v>7432</v>
      </c>
      <c r="D852" s="550" t="s">
        <v>12355</v>
      </c>
      <c r="E852" s="550" t="s">
        <v>4694</v>
      </c>
      <c r="F852" s="550" t="s">
        <v>4695</v>
      </c>
      <c r="G852" s="550" t="s">
        <v>136</v>
      </c>
      <c r="H852" s="550" t="s">
        <v>4696</v>
      </c>
      <c r="I852" s="550" t="s">
        <v>11</v>
      </c>
      <c r="J852" s="550" t="s">
        <v>12359</v>
      </c>
      <c r="K852" s="551">
        <v>45324</v>
      </c>
      <c r="L852" s="552">
        <v>2047</v>
      </c>
      <c r="M852" s="552">
        <v>2047</v>
      </c>
      <c r="N852" s="552">
        <v>2047</v>
      </c>
      <c r="O852" s="552"/>
      <c r="P852" s="552"/>
      <c r="Q852" s="548">
        <v>10000</v>
      </c>
      <c r="R852" s="552">
        <v>20470000</v>
      </c>
      <c r="S852" s="548">
        <v>10000</v>
      </c>
      <c r="T852" s="552">
        <v>20470000</v>
      </c>
      <c r="U852" s="548">
        <v>0</v>
      </c>
      <c r="V852" s="552">
        <v>0</v>
      </c>
      <c r="W852" s="552">
        <v>0</v>
      </c>
      <c r="X852" s="552">
        <v>0</v>
      </c>
      <c r="Y852" s="552">
        <v>10000</v>
      </c>
      <c r="Z852" s="552">
        <v>20470000</v>
      </c>
      <c r="AA852" s="552">
        <v>10000</v>
      </c>
      <c r="AB852" s="552">
        <v>20470000</v>
      </c>
      <c r="AC852" s="552">
        <v>0</v>
      </c>
      <c r="AD852" s="552">
        <v>0</v>
      </c>
      <c r="AE852" s="552">
        <v>0</v>
      </c>
      <c r="AF852" s="552">
        <v>0</v>
      </c>
      <c r="AG852" s="552">
        <v>0</v>
      </c>
      <c r="AH852" s="552">
        <v>0</v>
      </c>
      <c r="AI852" s="552">
        <v>0</v>
      </c>
      <c r="AJ852" s="552">
        <v>0</v>
      </c>
    </row>
    <row r="853" spans="1:36" ht="15.95" customHeight="1">
      <c r="A853" s="547"/>
      <c r="B853" s="548">
        <v>588</v>
      </c>
      <c r="C853" s="549">
        <v>7432</v>
      </c>
      <c r="D853" s="550" t="s">
        <v>12355</v>
      </c>
      <c r="E853" s="550" t="s">
        <v>4694</v>
      </c>
      <c r="F853" s="550" t="s">
        <v>4695</v>
      </c>
      <c r="G853" s="550" t="s">
        <v>136</v>
      </c>
      <c r="H853" s="550" t="s">
        <v>4696</v>
      </c>
      <c r="I853" s="550" t="s">
        <v>11</v>
      </c>
      <c r="J853" s="550" t="s">
        <v>12360</v>
      </c>
      <c r="K853" s="551">
        <v>45366</v>
      </c>
      <c r="L853" s="552">
        <v>2047</v>
      </c>
      <c r="M853" s="552">
        <v>2047</v>
      </c>
      <c r="N853" s="552">
        <v>2047</v>
      </c>
      <c r="O853" s="552"/>
      <c r="P853" s="552"/>
      <c r="Q853" s="548">
        <v>10900</v>
      </c>
      <c r="R853" s="552">
        <v>22312300</v>
      </c>
      <c r="S853" s="548">
        <v>10885</v>
      </c>
      <c r="T853" s="552">
        <v>22281595</v>
      </c>
      <c r="U853" s="548">
        <v>15</v>
      </c>
      <c r="V853" s="552">
        <v>30705</v>
      </c>
      <c r="W853" s="552">
        <v>0</v>
      </c>
      <c r="X853" s="552">
        <v>0</v>
      </c>
      <c r="Y853" s="552">
        <v>10885</v>
      </c>
      <c r="Z853" s="552">
        <v>22281595</v>
      </c>
      <c r="AA853" s="552">
        <v>10885</v>
      </c>
      <c r="AB853" s="552">
        <v>22281595</v>
      </c>
      <c r="AC853" s="552">
        <v>0</v>
      </c>
      <c r="AD853" s="552">
        <v>0</v>
      </c>
      <c r="AE853" s="552">
        <v>0</v>
      </c>
      <c r="AF853" s="552">
        <v>0</v>
      </c>
      <c r="AG853" s="552">
        <v>0</v>
      </c>
      <c r="AH853" s="552">
        <v>0</v>
      </c>
      <c r="AI853" s="552">
        <v>0</v>
      </c>
      <c r="AJ853" s="552">
        <v>0</v>
      </c>
    </row>
    <row r="854" spans="1:36" ht="15.95" customHeight="1">
      <c r="A854" s="547"/>
      <c r="B854" s="548">
        <v>589</v>
      </c>
      <c r="C854" s="549">
        <v>7433</v>
      </c>
      <c r="D854" s="550" t="s">
        <v>12361</v>
      </c>
      <c r="E854" s="550" t="s">
        <v>4697</v>
      </c>
      <c r="F854" s="550" t="s">
        <v>4698</v>
      </c>
      <c r="G854" s="550" t="s">
        <v>192</v>
      </c>
      <c r="H854" s="550" t="s">
        <v>4699</v>
      </c>
      <c r="I854" s="550" t="s">
        <v>11</v>
      </c>
      <c r="J854" s="550" t="s">
        <v>4575</v>
      </c>
      <c r="K854" s="551">
        <v>45022</v>
      </c>
      <c r="L854" s="552">
        <v>2280</v>
      </c>
      <c r="M854" s="552">
        <v>2280</v>
      </c>
      <c r="N854" s="552">
        <v>2280</v>
      </c>
      <c r="O854" s="552">
        <v>770</v>
      </c>
      <c r="P854" s="552">
        <v>1755600</v>
      </c>
      <c r="Q854" s="548">
        <v>0</v>
      </c>
      <c r="R854" s="552">
        <v>0</v>
      </c>
      <c r="S854" s="548">
        <v>770</v>
      </c>
      <c r="T854" s="552">
        <v>1755600</v>
      </c>
      <c r="U854" s="548">
        <v>0</v>
      </c>
      <c r="V854" s="552">
        <v>0</v>
      </c>
      <c r="W854" s="552">
        <v>0</v>
      </c>
      <c r="X854" s="552">
        <v>0</v>
      </c>
      <c r="Y854" s="552">
        <v>770</v>
      </c>
      <c r="Z854" s="552">
        <v>1755600</v>
      </c>
      <c r="AA854" s="552">
        <v>770</v>
      </c>
      <c r="AB854" s="552">
        <v>1755600</v>
      </c>
      <c r="AC854" s="552">
        <v>0</v>
      </c>
      <c r="AD854" s="552">
        <v>0</v>
      </c>
      <c r="AE854" s="552">
        <v>0</v>
      </c>
      <c r="AF854" s="552">
        <v>0</v>
      </c>
      <c r="AG854" s="552">
        <v>0</v>
      </c>
      <c r="AH854" s="552">
        <v>0</v>
      </c>
      <c r="AI854" s="552">
        <v>0</v>
      </c>
      <c r="AJ854" s="552">
        <v>0</v>
      </c>
    </row>
    <row r="855" spans="1:36" ht="15.95" customHeight="1">
      <c r="A855" s="547"/>
      <c r="B855" s="548">
        <v>590</v>
      </c>
      <c r="C855" s="549">
        <v>7433</v>
      </c>
      <c r="D855" s="550" t="s">
        <v>12361</v>
      </c>
      <c r="E855" s="550" t="s">
        <v>4697</v>
      </c>
      <c r="F855" s="550" t="s">
        <v>4698</v>
      </c>
      <c r="G855" s="550" t="s">
        <v>192</v>
      </c>
      <c r="H855" s="550" t="s">
        <v>4699</v>
      </c>
      <c r="I855" s="550" t="s">
        <v>11</v>
      </c>
      <c r="J855" s="550" t="s">
        <v>11814</v>
      </c>
      <c r="K855" s="551">
        <v>45346</v>
      </c>
      <c r="L855" s="552">
        <v>2280</v>
      </c>
      <c r="M855" s="552">
        <v>2280</v>
      </c>
      <c r="N855" s="552">
        <v>2280</v>
      </c>
      <c r="O855" s="552"/>
      <c r="P855" s="552"/>
      <c r="Q855" s="548">
        <v>20000</v>
      </c>
      <c r="R855" s="552">
        <v>45600000</v>
      </c>
      <c r="S855" s="548">
        <v>2360</v>
      </c>
      <c r="T855" s="552">
        <v>5380800</v>
      </c>
      <c r="U855" s="548">
        <v>17640</v>
      </c>
      <c r="V855" s="552">
        <v>40219200</v>
      </c>
      <c r="W855" s="552">
        <v>0</v>
      </c>
      <c r="X855" s="552">
        <v>0</v>
      </c>
      <c r="Y855" s="552">
        <v>2360</v>
      </c>
      <c r="Z855" s="552">
        <v>5380800</v>
      </c>
      <c r="AA855" s="552">
        <v>2360</v>
      </c>
      <c r="AB855" s="552">
        <v>5380800</v>
      </c>
      <c r="AC855" s="552">
        <v>0</v>
      </c>
      <c r="AD855" s="552">
        <v>0</v>
      </c>
      <c r="AE855" s="552">
        <v>0</v>
      </c>
      <c r="AF855" s="552">
        <v>0</v>
      </c>
      <c r="AG855" s="552">
        <v>0</v>
      </c>
      <c r="AH855" s="552">
        <v>0</v>
      </c>
      <c r="AI855" s="552">
        <v>0</v>
      </c>
      <c r="AJ855" s="552">
        <v>0</v>
      </c>
    </row>
    <row r="856" spans="1:36" ht="15.95" customHeight="1">
      <c r="A856" s="547"/>
      <c r="B856" s="548">
        <v>598</v>
      </c>
      <c r="C856" s="549">
        <v>5320</v>
      </c>
      <c r="D856" s="550"/>
      <c r="E856" s="550" t="s">
        <v>4701</v>
      </c>
      <c r="F856" s="550" t="s">
        <v>140</v>
      </c>
      <c r="G856" s="550" t="s">
        <v>143</v>
      </c>
      <c r="H856" s="550" t="s">
        <v>144</v>
      </c>
      <c r="I856" s="550" t="s">
        <v>10</v>
      </c>
      <c r="J856" s="550" t="s">
        <v>4615</v>
      </c>
      <c r="K856" s="551">
        <v>44489</v>
      </c>
      <c r="L856" s="552">
        <v>635</v>
      </c>
      <c r="M856" s="552">
        <v>635</v>
      </c>
      <c r="N856" s="552">
        <v>635</v>
      </c>
      <c r="O856" s="552">
        <v>27927</v>
      </c>
      <c r="P856" s="552">
        <v>17733645</v>
      </c>
      <c r="Q856" s="548">
        <v>0</v>
      </c>
      <c r="R856" s="552">
        <v>0</v>
      </c>
      <c r="S856" s="548">
        <v>27927</v>
      </c>
      <c r="T856" s="552">
        <v>17733645</v>
      </c>
      <c r="U856" s="548">
        <v>0</v>
      </c>
      <c r="V856" s="552">
        <v>0</v>
      </c>
      <c r="W856" s="552">
        <v>800</v>
      </c>
      <c r="X856" s="552">
        <v>508000</v>
      </c>
      <c r="Y856" s="552">
        <v>27927</v>
      </c>
      <c r="Z856" s="552">
        <v>17733645</v>
      </c>
      <c r="AA856" s="552">
        <v>27927</v>
      </c>
      <c r="AB856" s="552">
        <v>17733645</v>
      </c>
      <c r="AC856" s="552">
        <v>0</v>
      </c>
      <c r="AD856" s="552">
        <v>0</v>
      </c>
      <c r="AE856" s="552">
        <v>0</v>
      </c>
      <c r="AF856" s="552">
        <v>0</v>
      </c>
      <c r="AG856" s="552">
        <v>0</v>
      </c>
      <c r="AH856" s="552">
        <v>0</v>
      </c>
      <c r="AI856" s="552">
        <v>0</v>
      </c>
      <c r="AJ856" s="552">
        <v>0</v>
      </c>
    </row>
    <row r="857" spans="1:36" ht="15.95" customHeight="1">
      <c r="A857" s="547"/>
      <c r="B857" s="548">
        <v>599</v>
      </c>
      <c r="C857" s="549">
        <v>5324</v>
      </c>
      <c r="D857" s="550"/>
      <c r="E857" s="550" t="s">
        <v>4700</v>
      </c>
      <c r="F857" s="550" t="s">
        <v>140</v>
      </c>
      <c r="G857" s="550" t="s">
        <v>141</v>
      </c>
      <c r="H857" s="550" t="s">
        <v>142</v>
      </c>
      <c r="I857" s="550" t="s">
        <v>10</v>
      </c>
      <c r="J857" s="550" t="s">
        <v>12362</v>
      </c>
      <c r="K857" s="551">
        <v>44265</v>
      </c>
      <c r="L857" s="552">
        <v>1490</v>
      </c>
      <c r="M857" s="552">
        <v>1490</v>
      </c>
      <c r="N857" s="552">
        <v>1490</v>
      </c>
      <c r="O857" s="552">
        <v>-200</v>
      </c>
      <c r="P857" s="552">
        <v>-298000</v>
      </c>
      <c r="Q857" s="548">
        <v>0</v>
      </c>
      <c r="R857" s="552">
        <v>0</v>
      </c>
      <c r="S857" s="548">
        <v>0</v>
      </c>
      <c r="T857" s="552">
        <v>0</v>
      </c>
      <c r="U857" s="548">
        <v>-200</v>
      </c>
      <c r="V857" s="552">
        <v>-298000</v>
      </c>
      <c r="W857" s="552">
        <v>0</v>
      </c>
      <c r="X857" s="552">
        <v>0</v>
      </c>
      <c r="Y857" s="552">
        <v>0</v>
      </c>
      <c r="Z857" s="552">
        <v>0</v>
      </c>
      <c r="AA857" s="552">
        <v>0</v>
      </c>
      <c r="AB857" s="552">
        <v>0</v>
      </c>
      <c r="AC857" s="552">
        <v>0</v>
      </c>
      <c r="AD857" s="552">
        <v>0</v>
      </c>
      <c r="AE857" s="552">
        <v>0</v>
      </c>
      <c r="AF857" s="552">
        <v>0</v>
      </c>
      <c r="AG857" s="552">
        <v>0</v>
      </c>
      <c r="AH857" s="552">
        <v>0</v>
      </c>
      <c r="AI857" s="552">
        <v>0</v>
      </c>
      <c r="AJ857" s="552">
        <v>0</v>
      </c>
    </row>
    <row r="858" spans="1:36" ht="15.95" customHeight="1">
      <c r="A858" s="547"/>
      <c r="B858" s="548">
        <v>600</v>
      </c>
      <c r="C858" s="549">
        <v>7434</v>
      </c>
      <c r="D858" s="550" t="s">
        <v>12363</v>
      </c>
      <c r="E858" s="550" t="s">
        <v>4700</v>
      </c>
      <c r="F858" s="550" t="s">
        <v>12364</v>
      </c>
      <c r="G858" s="550" t="s">
        <v>141</v>
      </c>
      <c r="H858" s="550" t="s">
        <v>3091</v>
      </c>
      <c r="I858" s="550" t="s">
        <v>11</v>
      </c>
      <c r="J858" s="550" t="s">
        <v>12365</v>
      </c>
      <c r="K858" s="551">
        <v>45529</v>
      </c>
      <c r="L858" s="552">
        <v>1490</v>
      </c>
      <c r="M858" s="552">
        <v>1490</v>
      </c>
      <c r="N858" s="552">
        <v>1490</v>
      </c>
      <c r="O858" s="552"/>
      <c r="P858" s="552"/>
      <c r="Q858" s="548">
        <v>20000</v>
      </c>
      <c r="R858" s="552">
        <v>29800000</v>
      </c>
      <c r="S858" s="548">
        <v>0</v>
      </c>
      <c r="T858" s="552">
        <v>0</v>
      </c>
      <c r="U858" s="548">
        <v>20000</v>
      </c>
      <c r="V858" s="552">
        <v>29800000</v>
      </c>
      <c r="W858" s="552">
        <v>0</v>
      </c>
      <c r="X858" s="552">
        <v>0</v>
      </c>
      <c r="Y858" s="552">
        <v>0</v>
      </c>
      <c r="Z858" s="552">
        <v>0</v>
      </c>
      <c r="AA858" s="552">
        <v>0</v>
      </c>
      <c r="AB858" s="552">
        <v>0</v>
      </c>
      <c r="AC858" s="552">
        <v>0</v>
      </c>
      <c r="AD858" s="552">
        <v>0</v>
      </c>
      <c r="AE858" s="552">
        <v>0</v>
      </c>
      <c r="AF858" s="552">
        <v>0</v>
      </c>
      <c r="AG858" s="552">
        <v>0</v>
      </c>
      <c r="AH858" s="552">
        <v>0</v>
      </c>
      <c r="AI858" s="552">
        <v>0</v>
      </c>
      <c r="AJ858" s="552">
        <v>0</v>
      </c>
    </row>
    <row r="859" spans="1:36" ht="15.95" customHeight="1">
      <c r="A859" s="547"/>
      <c r="B859" s="548">
        <v>601</v>
      </c>
      <c r="C859" s="549">
        <v>7435</v>
      </c>
      <c r="D859" s="550" t="s">
        <v>12366</v>
      </c>
      <c r="E859" s="550" t="s">
        <v>4701</v>
      </c>
      <c r="F859" s="550" t="s">
        <v>3090</v>
      </c>
      <c r="G859" s="550" t="s">
        <v>8785</v>
      </c>
      <c r="H859" s="550" t="s">
        <v>12367</v>
      </c>
      <c r="I859" s="550" t="s">
        <v>11</v>
      </c>
      <c r="J859" s="550" t="s">
        <v>12368</v>
      </c>
      <c r="K859" s="551">
        <v>45065</v>
      </c>
      <c r="L859" s="552">
        <v>350</v>
      </c>
      <c r="M859" s="552">
        <v>350</v>
      </c>
      <c r="N859" s="552">
        <v>350</v>
      </c>
      <c r="O859" s="552"/>
      <c r="P859" s="552"/>
      <c r="Q859" s="548">
        <v>4500</v>
      </c>
      <c r="R859" s="552">
        <v>1575000</v>
      </c>
      <c r="S859" s="548">
        <v>4485</v>
      </c>
      <c r="T859" s="552">
        <v>1569750</v>
      </c>
      <c r="U859" s="548">
        <v>15</v>
      </c>
      <c r="V859" s="552">
        <v>5250</v>
      </c>
      <c r="W859" s="552">
        <v>0</v>
      </c>
      <c r="X859" s="552">
        <v>0</v>
      </c>
      <c r="Y859" s="552">
        <v>4485</v>
      </c>
      <c r="Z859" s="552">
        <v>1569750</v>
      </c>
      <c r="AA859" s="552">
        <v>4485</v>
      </c>
      <c r="AB859" s="552">
        <v>1569750</v>
      </c>
      <c r="AC859" s="552">
        <v>0</v>
      </c>
      <c r="AD859" s="552">
        <v>0</v>
      </c>
      <c r="AE859" s="552">
        <v>0</v>
      </c>
      <c r="AF859" s="552">
        <v>0</v>
      </c>
      <c r="AG859" s="552">
        <v>0</v>
      </c>
      <c r="AH859" s="552">
        <v>0</v>
      </c>
      <c r="AI859" s="552">
        <v>0</v>
      </c>
      <c r="AJ859" s="552">
        <v>0</v>
      </c>
    </row>
    <row r="860" spans="1:36" ht="15.95" customHeight="1">
      <c r="A860" s="547"/>
      <c r="B860" s="548">
        <v>602</v>
      </c>
      <c r="C860" s="549">
        <v>7436</v>
      </c>
      <c r="D860" s="550" t="s">
        <v>12369</v>
      </c>
      <c r="E860" s="550" t="s">
        <v>8779</v>
      </c>
      <c r="F860" s="550" t="s">
        <v>3090</v>
      </c>
      <c r="G860" s="550" t="s">
        <v>3090</v>
      </c>
      <c r="H860" s="550" t="s">
        <v>12370</v>
      </c>
      <c r="I860" s="550" t="s">
        <v>11</v>
      </c>
      <c r="J860" s="550" t="s">
        <v>11506</v>
      </c>
      <c r="K860" s="551">
        <v>44977</v>
      </c>
      <c r="L860" s="552">
        <v>410</v>
      </c>
      <c r="M860" s="552">
        <v>410</v>
      </c>
      <c r="N860" s="552">
        <v>410</v>
      </c>
      <c r="O860" s="552"/>
      <c r="P860" s="552"/>
      <c r="Q860" s="548">
        <v>10000</v>
      </c>
      <c r="R860" s="552">
        <v>4100000</v>
      </c>
      <c r="S860" s="548">
        <v>7403</v>
      </c>
      <c r="T860" s="552">
        <v>3035230</v>
      </c>
      <c r="U860" s="548">
        <v>2597</v>
      </c>
      <c r="V860" s="552">
        <v>1064770</v>
      </c>
      <c r="W860" s="552">
        <v>1832</v>
      </c>
      <c r="X860" s="552">
        <v>751120</v>
      </c>
      <c r="Y860" s="552">
        <v>7403</v>
      </c>
      <c r="Z860" s="552">
        <v>3035230</v>
      </c>
      <c r="AA860" s="552">
        <v>2903</v>
      </c>
      <c r="AB860" s="552">
        <v>1190230</v>
      </c>
      <c r="AC860" s="552">
        <v>4500</v>
      </c>
      <c r="AD860" s="552">
        <v>1845000</v>
      </c>
      <c r="AE860" s="552">
        <v>0</v>
      </c>
      <c r="AF860" s="552">
        <v>0</v>
      </c>
      <c r="AG860" s="552">
        <v>0</v>
      </c>
      <c r="AH860" s="552">
        <v>0</v>
      </c>
      <c r="AI860" s="552">
        <v>0</v>
      </c>
      <c r="AJ860" s="552">
        <v>0</v>
      </c>
    </row>
    <row r="861" spans="1:36" ht="15.95" customHeight="1">
      <c r="A861" s="547"/>
      <c r="B861" s="548">
        <v>603</v>
      </c>
      <c r="C861" s="549">
        <v>7436</v>
      </c>
      <c r="D861" s="550" t="s">
        <v>12369</v>
      </c>
      <c r="E861" s="550" t="s">
        <v>8779</v>
      </c>
      <c r="F861" s="550" t="s">
        <v>3090</v>
      </c>
      <c r="G861" s="550" t="s">
        <v>3090</v>
      </c>
      <c r="H861" s="550" t="s">
        <v>12370</v>
      </c>
      <c r="I861" s="550" t="s">
        <v>11</v>
      </c>
      <c r="J861" s="550" t="s">
        <v>12149</v>
      </c>
      <c r="K861" s="551">
        <v>45095</v>
      </c>
      <c r="L861" s="552">
        <v>410</v>
      </c>
      <c r="M861" s="552">
        <v>410</v>
      </c>
      <c r="N861" s="552">
        <v>410</v>
      </c>
      <c r="O861" s="552"/>
      <c r="P861" s="552"/>
      <c r="Q861" s="548">
        <v>10000</v>
      </c>
      <c r="R861" s="552">
        <v>4100000</v>
      </c>
      <c r="S861" s="548">
        <v>0</v>
      </c>
      <c r="T861" s="552">
        <v>0</v>
      </c>
      <c r="U861" s="548">
        <v>10000</v>
      </c>
      <c r="V861" s="552">
        <v>4100000</v>
      </c>
      <c r="W861" s="552">
        <v>0</v>
      </c>
      <c r="X861" s="552">
        <v>0</v>
      </c>
      <c r="Y861" s="552">
        <v>0</v>
      </c>
      <c r="Z861" s="552">
        <v>0</v>
      </c>
      <c r="AA861" s="552">
        <v>0</v>
      </c>
      <c r="AB861" s="552">
        <v>0</v>
      </c>
      <c r="AC861" s="552">
        <v>0</v>
      </c>
      <c r="AD861" s="552">
        <v>0</v>
      </c>
      <c r="AE861" s="552">
        <v>0</v>
      </c>
      <c r="AF861" s="552">
        <v>0</v>
      </c>
      <c r="AG861" s="552">
        <v>0</v>
      </c>
      <c r="AH861" s="552">
        <v>0</v>
      </c>
      <c r="AI861" s="552">
        <v>0</v>
      </c>
      <c r="AJ861" s="552">
        <v>0</v>
      </c>
    </row>
    <row r="862" spans="1:36" ht="15.95" customHeight="1">
      <c r="A862" s="547"/>
      <c r="B862" s="548">
        <v>604</v>
      </c>
      <c r="C862" s="549">
        <v>7438</v>
      </c>
      <c r="D862" s="550" t="s">
        <v>12371</v>
      </c>
      <c r="E862" s="550" t="s">
        <v>4702</v>
      </c>
      <c r="F862" s="550" t="s">
        <v>4703</v>
      </c>
      <c r="G862" s="550" t="s">
        <v>4704</v>
      </c>
      <c r="H862" s="550" t="s">
        <v>4705</v>
      </c>
      <c r="I862" s="550" t="s">
        <v>13</v>
      </c>
      <c r="J862" s="550" t="s">
        <v>4706</v>
      </c>
      <c r="K862" s="551">
        <v>44985</v>
      </c>
      <c r="L862" s="552">
        <v>7000</v>
      </c>
      <c r="M862" s="552">
        <v>7000</v>
      </c>
      <c r="N862" s="552">
        <v>7000</v>
      </c>
      <c r="O862" s="552">
        <v>1600</v>
      </c>
      <c r="P862" s="552">
        <v>11200000</v>
      </c>
      <c r="Q862" s="548">
        <v>600</v>
      </c>
      <c r="R862" s="552">
        <v>4200000</v>
      </c>
      <c r="S862" s="548">
        <v>696</v>
      </c>
      <c r="T862" s="552">
        <v>4872000</v>
      </c>
      <c r="U862" s="548">
        <v>1504</v>
      </c>
      <c r="V862" s="552">
        <v>10528000</v>
      </c>
      <c r="W862" s="552">
        <v>0</v>
      </c>
      <c r="X862" s="552">
        <v>0</v>
      </c>
      <c r="Y862" s="552">
        <v>696</v>
      </c>
      <c r="Z862" s="552">
        <v>4872000</v>
      </c>
      <c r="AA862" s="552">
        <v>696</v>
      </c>
      <c r="AB862" s="552">
        <v>4872000</v>
      </c>
      <c r="AC862" s="552">
        <v>0</v>
      </c>
      <c r="AD862" s="552">
        <v>0</v>
      </c>
      <c r="AE862" s="552">
        <v>0</v>
      </c>
      <c r="AF862" s="552">
        <v>0</v>
      </c>
      <c r="AG862" s="552">
        <v>0</v>
      </c>
      <c r="AH862" s="552">
        <v>0</v>
      </c>
      <c r="AI862" s="552">
        <v>0</v>
      </c>
      <c r="AJ862" s="552">
        <v>0</v>
      </c>
    </row>
    <row r="863" spans="1:36" ht="15.95" customHeight="1">
      <c r="A863" s="547"/>
      <c r="B863" s="548">
        <v>618</v>
      </c>
      <c r="C863" s="549">
        <v>7439</v>
      </c>
      <c r="D863" s="550" t="s">
        <v>12372</v>
      </c>
      <c r="E863" s="550" t="s">
        <v>4707</v>
      </c>
      <c r="F863" s="550" t="s">
        <v>145</v>
      </c>
      <c r="G863" s="550" t="s">
        <v>146</v>
      </c>
      <c r="H863" s="550" t="s">
        <v>147</v>
      </c>
      <c r="I863" s="550" t="s">
        <v>11</v>
      </c>
      <c r="J863" s="550" t="s">
        <v>12304</v>
      </c>
      <c r="K863" s="551">
        <v>45137</v>
      </c>
      <c r="L863" s="552">
        <v>1200</v>
      </c>
      <c r="M863" s="552">
        <v>1200</v>
      </c>
      <c r="N863" s="552">
        <v>1200</v>
      </c>
      <c r="O863" s="552"/>
      <c r="P863" s="552"/>
      <c r="Q863" s="548">
        <v>800</v>
      </c>
      <c r="R863" s="552">
        <v>960000</v>
      </c>
      <c r="S863" s="548">
        <v>800</v>
      </c>
      <c r="T863" s="552">
        <v>960000</v>
      </c>
      <c r="U863" s="548">
        <v>0</v>
      </c>
      <c r="V863" s="552">
        <v>0</v>
      </c>
      <c r="W863" s="552">
        <v>0</v>
      </c>
      <c r="X863" s="552">
        <v>0</v>
      </c>
      <c r="Y863" s="552">
        <v>800</v>
      </c>
      <c r="Z863" s="552">
        <v>960000</v>
      </c>
      <c r="AA863" s="552">
        <v>800</v>
      </c>
      <c r="AB863" s="552">
        <v>960000</v>
      </c>
      <c r="AC863" s="552">
        <v>0</v>
      </c>
      <c r="AD863" s="552">
        <v>0</v>
      </c>
      <c r="AE863" s="552">
        <v>0</v>
      </c>
      <c r="AF863" s="552">
        <v>0</v>
      </c>
      <c r="AG863" s="552">
        <v>0</v>
      </c>
      <c r="AH863" s="552">
        <v>0</v>
      </c>
      <c r="AI863" s="552">
        <v>0</v>
      </c>
      <c r="AJ863" s="552">
        <v>0</v>
      </c>
    </row>
    <row r="864" spans="1:36" ht="15.95" customHeight="1">
      <c r="A864" s="547"/>
      <c r="B864" s="548">
        <v>619</v>
      </c>
      <c r="C864" s="549">
        <v>7439</v>
      </c>
      <c r="D864" s="550" t="s">
        <v>12372</v>
      </c>
      <c r="E864" s="550" t="s">
        <v>4707</v>
      </c>
      <c r="F864" s="550" t="s">
        <v>145</v>
      </c>
      <c r="G864" s="550" t="s">
        <v>146</v>
      </c>
      <c r="H864" s="550" t="s">
        <v>147</v>
      </c>
      <c r="I864" s="550" t="s">
        <v>11</v>
      </c>
      <c r="J864" s="550" t="s">
        <v>4737</v>
      </c>
      <c r="K864" s="551">
        <v>45241</v>
      </c>
      <c r="L864" s="552">
        <v>1200</v>
      </c>
      <c r="M864" s="552">
        <v>1200</v>
      </c>
      <c r="N864" s="552">
        <v>1200</v>
      </c>
      <c r="O864" s="552">
        <v>2395</v>
      </c>
      <c r="P864" s="552">
        <v>2874000</v>
      </c>
      <c r="Q864" s="548">
        <v>0</v>
      </c>
      <c r="R864" s="552">
        <v>0</v>
      </c>
      <c r="S864" s="548">
        <v>2395</v>
      </c>
      <c r="T864" s="552">
        <v>2874000</v>
      </c>
      <c r="U864" s="548">
        <v>0</v>
      </c>
      <c r="V864" s="552">
        <v>0</v>
      </c>
      <c r="W864" s="552">
        <v>0</v>
      </c>
      <c r="X864" s="552">
        <v>0</v>
      </c>
      <c r="Y864" s="552">
        <v>2395</v>
      </c>
      <c r="Z864" s="552">
        <v>2874000</v>
      </c>
      <c r="AA864" s="552">
        <v>2395</v>
      </c>
      <c r="AB864" s="552">
        <v>2874000</v>
      </c>
      <c r="AC864" s="552">
        <v>0</v>
      </c>
      <c r="AD864" s="552">
        <v>0</v>
      </c>
      <c r="AE864" s="552">
        <v>0</v>
      </c>
      <c r="AF864" s="552">
        <v>0</v>
      </c>
      <c r="AG864" s="552">
        <v>0</v>
      </c>
      <c r="AH864" s="552">
        <v>0</v>
      </c>
      <c r="AI864" s="552">
        <v>0</v>
      </c>
      <c r="AJ864" s="552">
        <v>0</v>
      </c>
    </row>
    <row r="865" spans="1:36" ht="15.95" customHeight="1">
      <c r="A865" s="547"/>
      <c r="B865" s="548">
        <v>620</v>
      </c>
      <c r="C865" s="549">
        <v>7440</v>
      </c>
      <c r="D865" s="550" t="s">
        <v>12373</v>
      </c>
      <c r="E865" s="550" t="s">
        <v>8625</v>
      </c>
      <c r="F865" s="550" t="s">
        <v>12374</v>
      </c>
      <c r="G865" s="550" t="s">
        <v>8626</v>
      </c>
      <c r="H865" s="550" t="s">
        <v>12375</v>
      </c>
      <c r="I865" s="550" t="s">
        <v>11</v>
      </c>
      <c r="J865" s="550" t="s">
        <v>12376</v>
      </c>
      <c r="K865" s="551">
        <v>45522</v>
      </c>
      <c r="L865" s="552">
        <v>2700</v>
      </c>
      <c r="M865" s="552">
        <v>2700</v>
      </c>
      <c r="N865" s="552">
        <v>2700</v>
      </c>
      <c r="O865" s="552"/>
      <c r="P865" s="552"/>
      <c r="Q865" s="548">
        <v>19980</v>
      </c>
      <c r="R865" s="552">
        <v>53946000</v>
      </c>
      <c r="S865" s="548">
        <v>0</v>
      </c>
      <c r="T865" s="552">
        <v>0</v>
      </c>
      <c r="U865" s="548">
        <v>19980</v>
      </c>
      <c r="V865" s="552">
        <v>53946000</v>
      </c>
      <c r="W865" s="552">
        <v>0</v>
      </c>
      <c r="X865" s="552">
        <v>0</v>
      </c>
      <c r="Y865" s="552">
        <v>0</v>
      </c>
      <c r="Z865" s="552">
        <v>0</v>
      </c>
      <c r="AA865" s="552">
        <v>0</v>
      </c>
      <c r="AB865" s="552">
        <v>0</v>
      </c>
      <c r="AC865" s="552">
        <v>0</v>
      </c>
      <c r="AD865" s="552">
        <v>0</v>
      </c>
      <c r="AE865" s="552">
        <v>0</v>
      </c>
      <c r="AF865" s="552">
        <v>0</v>
      </c>
      <c r="AG865" s="552">
        <v>0</v>
      </c>
      <c r="AH865" s="552">
        <v>0</v>
      </c>
      <c r="AI865" s="552">
        <v>0</v>
      </c>
      <c r="AJ865" s="552">
        <v>0</v>
      </c>
    </row>
    <row r="866" spans="1:36" ht="15.95" customHeight="1">
      <c r="A866" s="547"/>
      <c r="B866" s="548">
        <v>621</v>
      </c>
      <c r="C866" s="549">
        <v>7440</v>
      </c>
      <c r="D866" s="550" t="s">
        <v>12373</v>
      </c>
      <c r="E866" s="550" t="s">
        <v>8625</v>
      </c>
      <c r="F866" s="550" t="s">
        <v>12374</v>
      </c>
      <c r="G866" s="550" t="s">
        <v>8626</v>
      </c>
      <c r="H866" s="550" t="s">
        <v>12375</v>
      </c>
      <c r="I866" s="550" t="s">
        <v>11</v>
      </c>
      <c r="J866" s="550" t="s">
        <v>12377</v>
      </c>
      <c r="K866" s="551">
        <v>45226</v>
      </c>
      <c r="L866" s="552">
        <v>2700</v>
      </c>
      <c r="M866" s="552">
        <v>2700</v>
      </c>
      <c r="N866" s="552">
        <v>2700</v>
      </c>
      <c r="O866" s="552"/>
      <c r="P866" s="552"/>
      <c r="Q866" s="548">
        <v>3660</v>
      </c>
      <c r="R866" s="552">
        <v>9882000</v>
      </c>
      <c r="S866" s="548">
        <v>3660</v>
      </c>
      <c r="T866" s="552">
        <v>9882000</v>
      </c>
      <c r="U866" s="548">
        <v>0</v>
      </c>
      <c r="V866" s="552">
        <v>0</v>
      </c>
      <c r="W866" s="552">
        <v>0</v>
      </c>
      <c r="X866" s="552">
        <v>0</v>
      </c>
      <c r="Y866" s="552">
        <v>3660</v>
      </c>
      <c r="Z866" s="552">
        <v>9882000</v>
      </c>
      <c r="AA866" s="552">
        <v>3660</v>
      </c>
      <c r="AB866" s="552">
        <v>9882000</v>
      </c>
      <c r="AC866" s="552">
        <v>0</v>
      </c>
      <c r="AD866" s="552">
        <v>0</v>
      </c>
      <c r="AE866" s="552">
        <v>0</v>
      </c>
      <c r="AF866" s="552">
        <v>0</v>
      </c>
      <c r="AG866" s="552">
        <v>0</v>
      </c>
      <c r="AH866" s="552">
        <v>0</v>
      </c>
      <c r="AI866" s="552">
        <v>0</v>
      </c>
      <c r="AJ866" s="552">
        <v>0</v>
      </c>
    </row>
    <row r="867" spans="1:36" ht="15.95" customHeight="1">
      <c r="A867" s="547"/>
      <c r="B867" s="548">
        <v>622</v>
      </c>
      <c r="C867" s="549">
        <v>7440</v>
      </c>
      <c r="D867" s="550" t="s">
        <v>12373</v>
      </c>
      <c r="E867" s="550" t="s">
        <v>8625</v>
      </c>
      <c r="F867" s="550" t="s">
        <v>12374</v>
      </c>
      <c r="G867" s="550" t="s">
        <v>8626</v>
      </c>
      <c r="H867" s="550" t="s">
        <v>12375</v>
      </c>
      <c r="I867" s="550" t="s">
        <v>11</v>
      </c>
      <c r="J867" s="550" t="s">
        <v>12378</v>
      </c>
      <c r="K867" s="551">
        <v>45241</v>
      </c>
      <c r="L867" s="552">
        <v>2700</v>
      </c>
      <c r="M867" s="552">
        <v>2700</v>
      </c>
      <c r="N867" s="552">
        <v>2700</v>
      </c>
      <c r="O867" s="552"/>
      <c r="P867" s="552"/>
      <c r="Q867" s="548">
        <v>11340</v>
      </c>
      <c r="R867" s="552">
        <v>30618000</v>
      </c>
      <c r="S867" s="548">
        <v>11340</v>
      </c>
      <c r="T867" s="552">
        <v>30618000</v>
      </c>
      <c r="U867" s="548">
        <v>0</v>
      </c>
      <c r="V867" s="552">
        <v>0</v>
      </c>
      <c r="W867" s="552">
        <v>0</v>
      </c>
      <c r="X867" s="552">
        <v>0</v>
      </c>
      <c r="Y867" s="552">
        <v>11340</v>
      </c>
      <c r="Z867" s="552">
        <v>30618000</v>
      </c>
      <c r="AA867" s="552">
        <v>11340</v>
      </c>
      <c r="AB867" s="552">
        <v>30618000</v>
      </c>
      <c r="AC867" s="552">
        <v>0</v>
      </c>
      <c r="AD867" s="552">
        <v>0</v>
      </c>
      <c r="AE867" s="552">
        <v>0</v>
      </c>
      <c r="AF867" s="552">
        <v>0</v>
      </c>
      <c r="AG867" s="552">
        <v>0</v>
      </c>
      <c r="AH867" s="552">
        <v>0</v>
      </c>
      <c r="AI867" s="552">
        <v>0</v>
      </c>
      <c r="AJ867" s="552">
        <v>0</v>
      </c>
    </row>
    <row r="868" spans="1:36" ht="15.95" customHeight="1">
      <c r="A868" s="547"/>
      <c r="B868" s="548">
        <v>653</v>
      </c>
      <c r="C868" s="549">
        <v>7442</v>
      </c>
      <c r="D868" s="550" t="s">
        <v>12379</v>
      </c>
      <c r="E868" s="550" t="s">
        <v>4709</v>
      </c>
      <c r="F868" s="550" t="s">
        <v>4710</v>
      </c>
      <c r="G868" s="550" t="s">
        <v>4711</v>
      </c>
      <c r="H868" s="550" t="s">
        <v>4712</v>
      </c>
      <c r="I868" s="550" t="s">
        <v>658</v>
      </c>
      <c r="J868" s="550" t="s">
        <v>12380</v>
      </c>
      <c r="K868" s="551">
        <v>44980</v>
      </c>
      <c r="L868" s="552">
        <v>25850</v>
      </c>
      <c r="M868" s="552">
        <v>25850</v>
      </c>
      <c r="N868" s="552">
        <v>25850</v>
      </c>
      <c r="O868" s="552">
        <v>299</v>
      </c>
      <c r="P868" s="552">
        <v>7729150</v>
      </c>
      <c r="Q868" s="548">
        <v>0</v>
      </c>
      <c r="R868" s="552">
        <v>0</v>
      </c>
      <c r="S868" s="548">
        <v>136</v>
      </c>
      <c r="T868" s="552">
        <v>3515600</v>
      </c>
      <c r="U868" s="548">
        <v>163</v>
      </c>
      <c r="V868" s="552">
        <v>4213550</v>
      </c>
      <c r="W868" s="552">
        <v>0</v>
      </c>
      <c r="X868" s="552">
        <v>0</v>
      </c>
      <c r="Y868" s="552">
        <v>136</v>
      </c>
      <c r="Z868" s="552">
        <v>3515600</v>
      </c>
      <c r="AA868" s="552">
        <v>136</v>
      </c>
      <c r="AB868" s="552">
        <v>3515600</v>
      </c>
      <c r="AC868" s="552">
        <v>0</v>
      </c>
      <c r="AD868" s="552">
        <v>0</v>
      </c>
      <c r="AE868" s="552">
        <v>0</v>
      </c>
      <c r="AF868" s="552">
        <v>0</v>
      </c>
      <c r="AG868" s="552">
        <v>0</v>
      </c>
      <c r="AH868" s="552">
        <v>0</v>
      </c>
      <c r="AI868" s="552">
        <v>0</v>
      </c>
      <c r="AJ868" s="552">
        <v>0</v>
      </c>
    </row>
    <row r="869" spans="1:36" ht="15.95" customHeight="1">
      <c r="A869" s="547"/>
      <c r="B869" s="548">
        <v>654</v>
      </c>
      <c r="C869" s="549">
        <v>7442</v>
      </c>
      <c r="D869" s="550" t="s">
        <v>12379</v>
      </c>
      <c r="E869" s="550" t="s">
        <v>4709</v>
      </c>
      <c r="F869" s="550" t="s">
        <v>4710</v>
      </c>
      <c r="G869" s="550" t="s">
        <v>4711</v>
      </c>
      <c r="H869" s="550" t="s">
        <v>4712</v>
      </c>
      <c r="I869" s="550" t="s">
        <v>658</v>
      </c>
      <c r="J869" s="550" t="s">
        <v>12381</v>
      </c>
      <c r="K869" s="551">
        <v>45365</v>
      </c>
      <c r="L869" s="552">
        <v>25850</v>
      </c>
      <c r="M869" s="552">
        <v>25850</v>
      </c>
      <c r="N869" s="552">
        <v>25850</v>
      </c>
      <c r="O869" s="552"/>
      <c r="P869" s="552"/>
      <c r="Q869" s="548">
        <v>300</v>
      </c>
      <c r="R869" s="552">
        <v>7755000</v>
      </c>
      <c r="S869" s="548">
        <v>0</v>
      </c>
      <c r="T869" s="552">
        <v>0</v>
      </c>
      <c r="U869" s="548">
        <v>300</v>
      </c>
      <c r="V869" s="552">
        <v>7755000</v>
      </c>
      <c r="W869" s="552">
        <v>0</v>
      </c>
      <c r="X869" s="552">
        <v>0</v>
      </c>
      <c r="Y869" s="552">
        <v>0</v>
      </c>
      <c r="Z869" s="552">
        <v>0</v>
      </c>
      <c r="AA869" s="552">
        <v>0</v>
      </c>
      <c r="AB869" s="552">
        <v>0</v>
      </c>
      <c r="AC869" s="552">
        <v>0</v>
      </c>
      <c r="AD869" s="552">
        <v>0</v>
      </c>
      <c r="AE869" s="552">
        <v>0</v>
      </c>
      <c r="AF869" s="552">
        <v>0</v>
      </c>
      <c r="AG869" s="552">
        <v>0</v>
      </c>
      <c r="AH869" s="552">
        <v>0</v>
      </c>
      <c r="AI869" s="552">
        <v>0</v>
      </c>
      <c r="AJ869" s="552">
        <v>0</v>
      </c>
    </row>
    <row r="870" spans="1:36" ht="15.95" customHeight="1">
      <c r="A870" s="547"/>
      <c r="B870" s="548">
        <v>655</v>
      </c>
      <c r="C870" s="549">
        <v>7442</v>
      </c>
      <c r="D870" s="550" t="s">
        <v>12379</v>
      </c>
      <c r="E870" s="550" t="s">
        <v>4709</v>
      </c>
      <c r="F870" s="550" t="s">
        <v>4710</v>
      </c>
      <c r="G870" s="550" t="s">
        <v>4711</v>
      </c>
      <c r="H870" s="550" t="s">
        <v>4712</v>
      </c>
      <c r="I870" s="550" t="s">
        <v>658</v>
      </c>
      <c r="J870" s="550" t="s">
        <v>12382</v>
      </c>
      <c r="K870" s="551">
        <v>45009</v>
      </c>
      <c r="L870" s="552">
        <v>25850</v>
      </c>
      <c r="M870" s="552">
        <v>25850</v>
      </c>
      <c r="N870" s="552">
        <v>25850</v>
      </c>
      <c r="O870" s="552">
        <v>201</v>
      </c>
      <c r="P870" s="552">
        <v>5195850</v>
      </c>
      <c r="Q870" s="548">
        <v>0</v>
      </c>
      <c r="R870" s="552">
        <v>0</v>
      </c>
      <c r="S870" s="548">
        <v>0</v>
      </c>
      <c r="T870" s="552">
        <v>0</v>
      </c>
      <c r="U870" s="548">
        <v>201</v>
      </c>
      <c r="V870" s="552">
        <v>5195850</v>
      </c>
      <c r="W870" s="552">
        <v>0</v>
      </c>
      <c r="X870" s="552">
        <v>0</v>
      </c>
      <c r="Y870" s="552">
        <v>0</v>
      </c>
      <c r="Z870" s="552">
        <v>0</v>
      </c>
      <c r="AA870" s="552">
        <v>0</v>
      </c>
      <c r="AB870" s="552">
        <v>0</v>
      </c>
      <c r="AC870" s="552">
        <v>0</v>
      </c>
      <c r="AD870" s="552">
        <v>0</v>
      </c>
      <c r="AE870" s="552">
        <v>0</v>
      </c>
      <c r="AF870" s="552">
        <v>0</v>
      </c>
      <c r="AG870" s="552">
        <v>0</v>
      </c>
      <c r="AH870" s="552">
        <v>0</v>
      </c>
      <c r="AI870" s="552">
        <v>0</v>
      </c>
      <c r="AJ870" s="552">
        <v>0</v>
      </c>
    </row>
    <row r="871" spans="1:36" ht="15.95" customHeight="1">
      <c r="A871" s="547"/>
      <c r="B871" s="548">
        <v>656</v>
      </c>
      <c r="C871" s="549">
        <v>7442</v>
      </c>
      <c r="D871" s="550" t="s">
        <v>12379</v>
      </c>
      <c r="E871" s="550" t="s">
        <v>4709</v>
      </c>
      <c r="F871" s="550" t="s">
        <v>4710</v>
      </c>
      <c r="G871" s="550" t="s">
        <v>4711</v>
      </c>
      <c r="H871" s="550" t="s">
        <v>4712</v>
      </c>
      <c r="I871" s="550" t="s">
        <v>658</v>
      </c>
      <c r="J871" s="550" t="s">
        <v>4713</v>
      </c>
      <c r="K871" s="551">
        <v>44903</v>
      </c>
      <c r="L871" s="552">
        <v>25850</v>
      </c>
      <c r="M871" s="552">
        <v>25850</v>
      </c>
      <c r="N871" s="552">
        <v>25850</v>
      </c>
      <c r="O871" s="552">
        <v>110</v>
      </c>
      <c r="P871" s="552">
        <v>2843500</v>
      </c>
      <c r="Q871" s="548">
        <v>0</v>
      </c>
      <c r="R871" s="552">
        <v>0</v>
      </c>
      <c r="S871" s="548">
        <v>110</v>
      </c>
      <c r="T871" s="552">
        <v>2843500</v>
      </c>
      <c r="U871" s="548">
        <v>0</v>
      </c>
      <c r="V871" s="552">
        <v>0</v>
      </c>
      <c r="W871" s="552">
        <v>0</v>
      </c>
      <c r="X871" s="552">
        <v>0</v>
      </c>
      <c r="Y871" s="552">
        <v>110</v>
      </c>
      <c r="Z871" s="552">
        <v>2843500</v>
      </c>
      <c r="AA871" s="552">
        <v>110</v>
      </c>
      <c r="AB871" s="552">
        <v>2843500</v>
      </c>
      <c r="AC871" s="552">
        <v>0</v>
      </c>
      <c r="AD871" s="552">
        <v>0</v>
      </c>
      <c r="AE871" s="552">
        <v>0</v>
      </c>
      <c r="AF871" s="552">
        <v>0</v>
      </c>
      <c r="AG871" s="552">
        <v>0</v>
      </c>
      <c r="AH871" s="552">
        <v>0</v>
      </c>
      <c r="AI871" s="552">
        <v>0</v>
      </c>
      <c r="AJ871" s="552">
        <v>0</v>
      </c>
    </row>
    <row r="872" spans="1:36" ht="15.95" customHeight="1">
      <c r="A872" s="547"/>
      <c r="B872" s="548">
        <v>657</v>
      </c>
      <c r="C872" s="549">
        <v>7443</v>
      </c>
      <c r="D872" s="550" t="s">
        <v>12383</v>
      </c>
      <c r="E872" s="550" t="s">
        <v>4622</v>
      </c>
      <c r="F872" s="550" t="s">
        <v>12384</v>
      </c>
      <c r="G872" s="550" t="s">
        <v>52</v>
      </c>
      <c r="H872" s="550" t="s">
        <v>12385</v>
      </c>
      <c r="I872" s="550" t="s">
        <v>15</v>
      </c>
      <c r="J872" s="550" t="s">
        <v>4603</v>
      </c>
      <c r="K872" s="551">
        <v>44742</v>
      </c>
      <c r="L872" s="552">
        <v>70000</v>
      </c>
      <c r="M872" s="552">
        <v>70000</v>
      </c>
      <c r="N872" s="552">
        <v>70000</v>
      </c>
      <c r="O872" s="552"/>
      <c r="P872" s="552"/>
      <c r="Q872" s="548">
        <v>60</v>
      </c>
      <c r="R872" s="552">
        <v>4200000</v>
      </c>
      <c r="S872" s="548">
        <v>60</v>
      </c>
      <c r="T872" s="552">
        <v>4200000</v>
      </c>
      <c r="U872" s="548">
        <v>0</v>
      </c>
      <c r="V872" s="552">
        <v>0</v>
      </c>
      <c r="W872" s="552">
        <v>42</v>
      </c>
      <c r="X872" s="552">
        <v>2940000</v>
      </c>
      <c r="Y872" s="552">
        <v>60</v>
      </c>
      <c r="Z872" s="552">
        <v>4200000</v>
      </c>
      <c r="AA872" s="552">
        <v>0</v>
      </c>
      <c r="AB872" s="552">
        <v>0</v>
      </c>
      <c r="AC872" s="552">
        <v>60</v>
      </c>
      <c r="AD872" s="552">
        <v>4200000</v>
      </c>
      <c r="AE872" s="552">
        <v>0</v>
      </c>
      <c r="AF872" s="552">
        <v>0</v>
      </c>
      <c r="AG872" s="552">
        <v>0</v>
      </c>
      <c r="AH872" s="552">
        <v>0</v>
      </c>
      <c r="AI872" s="552">
        <v>0</v>
      </c>
      <c r="AJ872" s="552">
        <v>0</v>
      </c>
    </row>
    <row r="873" spans="1:36" ht="15.95" customHeight="1">
      <c r="A873" s="547"/>
      <c r="B873" s="548">
        <v>665</v>
      </c>
      <c r="C873" s="549">
        <v>7444</v>
      </c>
      <c r="D873" s="550" t="s">
        <v>12386</v>
      </c>
      <c r="E873" s="550" t="s">
        <v>8631</v>
      </c>
      <c r="F873" s="550" t="s">
        <v>8634</v>
      </c>
      <c r="G873" s="550" t="s">
        <v>12387</v>
      </c>
      <c r="H873" s="550" t="s">
        <v>272</v>
      </c>
      <c r="I873" s="550" t="s">
        <v>11</v>
      </c>
      <c r="J873" s="550" t="s">
        <v>12388</v>
      </c>
      <c r="K873" s="551">
        <v>45362</v>
      </c>
      <c r="L873" s="552">
        <v>1900</v>
      </c>
      <c r="M873" s="552">
        <v>1900</v>
      </c>
      <c r="N873" s="552">
        <v>1900</v>
      </c>
      <c r="O873" s="552"/>
      <c r="P873" s="552"/>
      <c r="Q873" s="548">
        <v>5000</v>
      </c>
      <c r="R873" s="552">
        <v>9500000</v>
      </c>
      <c r="S873" s="548">
        <v>2143</v>
      </c>
      <c r="T873" s="552">
        <v>4071700</v>
      </c>
      <c r="U873" s="548">
        <v>2857</v>
      </c>
      <c r="V873" s="552">
        <v>5428300</v>
      </c>
      <c r="W873" s="552">
        <v>0</v>
      </c>
      <c r="X873" s="552">
        <v>0</v>
      </c>
      <c r="Y873" s="552">
        <v>2143</v>
      </c>
      <c r="Z873" s="552">
        <v>4071700</v>
      </c>
      <c r="AA873" s="552">
        <v>2143</v>
      </c>
      <c r="AB873" s="552">
        <v>4071700</v>
      </c>
      <c r="AC873" s="552">
        <v>0</v>
      </c>
      <c r="AD873" s="552">
        <v>0</v>
      </c>
      <c r="AE873" s="552">
        <v>0</v>
      </c>
      <c r="AF873" s="552">
        <v>0</v>
      </c>
      <c r="AG873" s="552">
        <v>0</v>
      </c>
      <c r="AH873" s="552">
        <v>0</v>
      </c>
      <c r="AI873" s="552">
        <v>0</v>
      </c>
      <c r="AJ873" s="552">
        <v>0</v>
      </c>
    </row>
    <row r="874" spans="1:36" ht="15.95" customHeight="1">
      <c r="A874" s="547"/>
      <c r="B874" s="548">
        <v>824</v>
      </c>
      <c r="C874" s="549">
        <v>7476</v>
      </c>
      <c r="D874" s="550" t="s">
        <v>12389</v>
      </c>
      <c r="E874" s="550" t="s">
        <v>8642</v>
      </c>
      <c r="F874" s="550" t="s">
        <v>8645</v>
      </c>
      <c r="G874" s="550" t="s">
        <v>8643</v>
      </c>
      <c r="H874" s="550" t="s">
        <v>12390</v>
      </c>
      <c r="I874" s="550" t="s">
        <v>11</v>
      </c>
      <c r="J874" s="550" t="s">
        <v>12391</v>
      </c>
      <c r="K874" s="551">
        <v>44592</v>
      </c>
      <c r="L874" s="552">
        <v>2250</v>
      </c>
      <c r="M874" s="552">
        <v>2250</v>
      </c>
      <c r="N874" s="552">
        <v>2250</v>
      </c>
      <c r="O874" s="552"/>
      <c r="P874" s="552"/>
      <c r="Q874" s="548">
        <v>10000</v>
      </c>
      <c r="R874" s="552">
        <v>22500000</v>
      </c>
      <c r="S874" s="548">
        <v>5091</v>
      </c>
      <c r="T874" s="552">
        <v>11454750</v>
      </c>
      <c r="U874" s="548">
        <v>4909</v>
      </c>
      <c r="V874" s="552">
        <v>11045250</v>
      </c>
      <c r="W874" s="552">
        <v>0</v>
      </c>
      <c r="X874" s="552">
        <v>0</v>
      </c>
      <c r="Y874" s="552">
        <v>5091</v>
      </c>
      <c r="Z874" s="552">
        <v>11454750</v>
      </c>
      <c r="AA874" s="552">
        <v>5091</v>
      </c>
      <c r="AB874" s="552">
        <v>11454750</v>
      </c>
      <c r="AC874" s="552">
        <v>0</v>
      </c>
      <c r="AD874" s="552">
        <v>0</v>
      </c>
      <c r="AE874" s="552">
        <v>0</v>
      </c>
      <c r="AF874" s="552">
        <v>0</v>
      </c>
      <c r="AG874" s="552">
        <v>0</v>
      </c>
      <c r="AH874" s="552">
        <v>0</v>
      </c>
      <c r="AI874" s="552">
        <v>0</v>
      </c>
      <c r="AJ874" s="552">
        <v>0</v>
      </c>
    </row>
    <row r="875" spans="1:36" ht="15.95" customHeight="1">
      <c r="A875" s="547"/>
      <c r="B875" s="548">
        <v>825</v>
      </c>
      <c r="C875" s="549">
        <v>7447</v>
      </c>
      <c r="D875" s="550" t="s">
        <v>12392</v>
      </c>
      <c r="E875" s="550" t="s">
        <v>4715</v>
      </c>
      <c r="F875" s="550" t="s">
        <v>4716</v>
      </c>
      <c r="G875" s="550" t="s">
        <v>155</v>
      </c>
      <c r="H875" s="550" t="s">
        <v>156</v>
      </c>
      <c r="I875" s="550" t="s">
        <v>4717</v>
      </c>
      <c r="J875" s="550" t="s">
        <v>12393</v>
      </c>
      <c r="K875" s="551">
        <v>44738</v>
      </c>
      <c r="L875" s="552">
        <v>6000</v>
      </c>
      <c r="M875" s="552">
        <v>6000</v>
      </c>
      <c r="N875" s="552">
        <v>6000</v>
      </c>
      <c r="O875" s="552"/>
      <c r="P875" s="552"/>
      <c r="Q875" s="548">
        <v>4500</v>
      </c>
      <c r="R875" s="552">
        <v>27000000</v>
      </c>
      <c r="S875" s="548">
        <v>4500</v>
      </c>
      <c r="T875" s="552">
        <v>27000000</v>
      </c>
      <c r="U875" s="548">
        <v>0</v>
      </c>
      <c r="V875" s="552">
        <v>0</v>
      </c>
      <c r="W875" s="552">
        <v>0</v>
      </c>
      <c r="X875" s="552">
        <v>0</v>
      </c>
      <c r="Y875" s="552">
        <v>4500</v>
      </c>
      <c r="Z875" s="552">
        <v>27000000</v>
      </c>
      <c r="AA875" s="552">
        <v>4500</v>
      </c>
      <c r="AB875" s="552">
        <v>27000000</v>
      </c>
      <c r="AC875" s="552">
        <v>0</v>
      </c>
      <c r="AD875" s="552">
        <v>0</v>
      </c>
      <c r="AE875" s="552">
        <v>0</v>
      </c>
      <c r="AF875" s="552">
        <v>0</v>
      </c>
      <c r="AG875" s="552">
        <v>0</v>
      </c>
      <c r="AH875" s="552">
        <v>0</v>
      </c>
      <c r="AI875" s="552">
        <v>0</v>
      </c>
      <c r="AJ875" s="552">
        <v>0</v>
      </c>
    </row>
    <row r="876" spans="1:36" ht="15.95" customHeight="1">
      <c r="A876" s="547"/>
      <c r="B876" s="548">
        <v>826</v>
      </c>
      <c r="C876" s="549">
        <v>7447</v>
      </c>
      <c r="D876" s="550" t="s">
        <v>12392</v>
      </c>
      <c r="E876" s="550" t="s">
        <v>4715</v>
      </c>
      <c r="F876" s="550" t="s">
        <v>4716</v>
      </c>
      <c r="G876" s="550" t="s">
        <v>155</v>
      </c>
      <c r="H876" s="550" t="s">
        <v>156</v>
      </c>
      <c r="I876" s="550" t="s">
        <v>4717</v>
      </c>
      <c r="J876" s="550" t="s">
        <v>12394</v>
      </c>
      <c r="K876" s="551">
        <v>44740</v>
      </c>
      <c r="L876" s="552">
        <v>6000</v>
      </c>
      <c r="M876" s="552">
        <v>6000</v>
      </c>
      <c r="N876" s="552">
        <v>6000</v>
      </c>
      <c r="O876" s="552"/>
      <c r="P876" s="552"/>
      <c r="Q876" s="548">
        <v>4500</v>
      </c>
      <c r="R876" s="552">
        <v>27000000</v>
      </c>
      <c r="S876" s="548">
        <v>4500</v>
      </c>
      <c r="T876" s="552">
        <v>27000000</v>
      </c>
      <c r="U876" s="548">
        <v>0</v>
      </c>
      <c r="V876" s="552">
        <v>0</v>
      </c>
      <c r="W876" s="552">
        <v>0</v>
      </c>
      <c r="X876" s="552">
        <v>0</v>
      </c>
      <c r="Y876" s="552">
        <v>4500</v>
      </c>
      <c r="Z876" s="552">
        <v>27000000</v>
      </c>
      <c r="AA876" s="552">
        <v>4500</v>
      </c>
      <c r="AB876" s="552">
        <v>27000000</v>
      </c>
      <c r="AC876" s="552">
        <v>0</v>
      </c>
      <c r="AD876" s="552">
        <v>0</v>
      </c>
      <c r="AE876" s="552">
        <v>0</v>
      </c>
      <c r="AF876" s="552">
        <v>0</v>
      </c>
      <c r="AG876" s="552">
        <v>0</v>
      </c>
      <c r="AH876" s="552">
        <v>0</v>
      </c>
      <c r="AI876" s="552">
        <v>0</v>
      </c>
      <c r="AJ876" s="552">
        <v>0</v>
      </c>
    </row>
    <row r="877" spans="1:36" ht="15.95" customHeight="1">
      <c r="A877" s="547"/>
      <c r="B877" s="548">
        <v>827</v>
      </c>
      <c r="C877" s="549">
        <v>7447</v>
      </c>
      <c r="D877" s="550" t="s">
        <v>12392</v>
      </c>
      <c r="E877" s="550" t="s">
        <v>4715</v>
      </c>
      <c r="F877" s="550" t="s">
        <v>4716</v>
      </c>
      <c r="G877" s="550" t="s">
        <v>155</v>
      </c>
      <c r="H877" s="550" t="s">
        <v>156</v>
      </c>
      <c r="I877" s="550" t="s">
        <v>4717</v>
      </c>
      <c r="J877" s="550" t="s">
        <v>12395</v>
      </c>
      <c r="K877" s="551">
        <v>44792</v>
      </c>
      <c r="L877" s="552">
        <v>6000</v>
      </c>
      <c r="M877" s="552">
        <v>6000</v>
      </c>
      <c r="N877" s="552">
        <v>6000</v>
      </c>
      <c r="O877" s="552"/>
      <c r="P877" s="552"/>
      <c r="Q877" s="548">
        <v>1998</v>
      </c>
      <c r="R877" s="552">
        <v>11988000</v>
      </c>
      <c r="S877" s="548">
        <v>0</v>
      </c>
      <c r="T877" s="552">
        <v>0</v>
      </c>
      <c r="U877" s="548">
        <v>1998</v>
      </c>
      <c r="V877" s="552">
        <v>11988000</v>
      </c>
      <c r="W877" s="552">
        <v>0</v>
      </c>
      <c r="X877" s="552">
        <v>0</v>
      </c>
      <c r="Y877" s="552">
        <v>0</v>
      </c>
      <c r="Z877" s="552">
        <v>0</v>
      </c>
      <c r="AA877" s="552">
        <v>0</v>
      </c>
      <c r="AB877" s="552">
        <v>0</v>
      </c>
      <c r="AC877" s="552">
        <v>0</v>
      </c>
      <c r="AD877" s="552">
        <v>0</v>
      </c>
      <c r="AE877" s="552">
        <v>0</v>
      </c>
      <c r="AF877" s="552">
        <v>0</v>
      </c>
      <c r="AG877" s="552">
        <v>0</v>
      </c>
      <c r="AH877" s="552">
        <v>0</v>
      </c>
      <c r="AI877" s="552">
        <v>0</v>
      </c>
      <c r="AJ877" s="552">
        <v>0</v>
      </c>
    </row>
    <row r="878" spans="1:36" ht="15.95" customHeight="1">
      <c r="A878" s="547"/>
      <c r="B878" s="548">
        <v>828</v>
      </c>
      <c r="C878" s="549">
        <v>7448</v>
      </c>
      <c r="D878" s="550" t="s">
        <v>12396</v>
      </c>
      <c r="E878" s="550" t="s">
        <v>4718</v>
      </c>
      <c r="F878" s="550" t="s">
        <v>4719</v>
      </c>
      <c r="G878" s="550" t="s">
        <v>4720</v>
      </c>
      <c r="H878" s="550" t="s">
        <v>4721</v>
      </c>
      <c r="I878" s="550" t="s">
        <v>15</v>
      </c>
      <c r="J878" s="550" t="s">
        <v>12397</v>
      </c>
      <c r="K878" s="551">
        <v>45426</v>
      </c>
      <c r="L878" s="552">
        <v>32000</v>
      </c>
      <c r="M878" s="552">
        <v>32000</v>
      </c>
      <c r="N878" s="552">
        <v>32000</v>
      </c>
      <c r="O878" s="552"/>
      <c r="P878" s="552"/>
      <c r="Q878" s="548">
        <v>500</v>
      </c>
      <c r="R878" s="552">
        <v>16000000</v>
      </c>
      <c r="S878" s="548">
        <v>121</v>
      </c>
      <c r="T878" s="552">
        <v>3872000</v>
      </c>
      <c r="U878" s="548">
        <v>379</v>
      </c>
      <c r="V878" s="552">
        <v>12128000</v>
      </c>
      <c r="W878" s="552">
        <v>0</v>
      </c>
      <c r="X878" s="552">
        <v>0</v>
      </c>
      <c r="Y878" s="552">
        <v>121</v>
      </c>
      <c r="Z878" s="552">
        <v>3872000</v>
      </c>
      <c r="AA878" s="552">
        <v>121</v>
      </c>
      <c r="AB878" s="552">
        <v>3872000</v>
      </c>
      <c r="AC878" s="552">
        <v>0</v>
      </c>
      <c r="AD878" s="552">
        <v>0</v>
      </c>
      <c r="AE878" s="552">
        <v>0</v>
      </c>
      <c r="AF878" s="552">
        <v>0</v>
      </c>
      <c r="AG878" s="552">
        <v>0</v>
      </c>
      <c r="AH878" s="552">
        <v>0</v>
      </c>
      <c r="AI878" s="552">
        <v>0</v>
      </c>
      <c r="AJ878" s="552">
        <v>0</v>
      </c>
    </row>
    <row r="879" spans="1:36" ht="15.95" customHeight="1">
      <c r="A879" s="547"/>
      <c r="B879" s="548">
        <v>829</v>
      </c>
      <c r="C879" s="549">
        <v>7448</v>
      </c>
      <c r="D879" s="550" t="s">
        <v>12396</v>
      </c>
      <c r="E879" s="550" t="s">
        <v>4718</v>
      </c>
      <c r="F879" s="550" t="s">
        <v>4719</v>
      </c>
      <c r="G879" s="550" t="s">
        <v>4720</v>
      </c>
      <c r="H879" s="550" t="s">
        <v>4721</v>
      </c>
      <c r="I879" s="550" t="s">
        <v>15</v>
      </c>
      <c r="J879" s="550" t="s">
        <v>12398</v>
      </c>
      <c r="K879" s="551">
        <v>45625</v>
      </c>
      <c r="L879" s="552">
        <v>32000</v>
      </c>
      <c r="M879" s="552">
        <v>32000</v>
      </c>
      <c r="N879" s="552">
        <v>32000</v>
      </c>
      <c r="O879" s="552"/>
      <c r="P879" s="552"/>
      <c r="Q879" s="548">
        <v>500</v>
      </c>
      <c r="R879" s="552">
        <v>16000000</v>
      </c>
      <c r="S879" s="548">
        <v>0</v>
      </c>
      <c r="T879" s="552">
        <v>0</v>
      </c>
      <c r="U879" s="548">
        <v>500</v>
      </c>
      <c r="V879" s="552">
        <v>16000000</v>
      </c>
      <c r="W879" s="552">
        <v>0</v>
      </c>
      <c r="X879" s="552">
        <v>0</v>
      </c>
      <c r="Y879" s="552">
        <v>0</v>
      </c>
      <c r="Z879" s="552">
        <v>0</v>
      </c>
      <c r="AA879" s="552">
        <v>0</v>
      </c>
      <c r="AB879" s="552">
        <v>0</v>
      </c>
      <c r="AC879" s="552">
        <v>0</v>
      </c>
      <c r="AD879" s="552">
        <v>0</v>
      </c>
      <c r="AE879" s="552">
        <v>0</v>
      </c>
      <c r="AF879" s="552">
        <v>0</v>
      </c>
      <c r="AG879" s="552">
        <v>0</v>
      </c>
      <c r="AH879" s="552">
        <v>0</v>
      </c>
      <c r="AI879" s="552">
        <v>0</v>
      </c>
      <c r="AJ879" s="552">
        <v>0</v>
      </c>
    </row>
    <row r="880" spans="1:36" ht="15.95" customHeight="1">
      <c r="A880" s="547"/>
      <c r="B880" s="548">
        <v>830</v>
      </c>
      <c r="C880" s="549">
        <v>7448</v>
      </c>
      <c r="D880" s="550" t="s">
        <v>12396</v>
      </c>
      <c r="E880" s="550" t="s">
        <v>4718</v>
      </c>
      <c r="F880" s="550" t="s">
        <v>4719</v>
      </c>
      <c r="G880" s="550" t="s">
        <v>4720</v>
      </c>
      <c r="H880" s="550" t="s">
        <v>4721</v>
      </c>
      <c r="I880" s="550" t="s">
        <v>15</v>
      </c>
      <c r="J880" s="550" t="s">
        <v>12399</v>
      </c>
      <c r="K880" s="551">
        <v>45213</v>
      </c>
      <c r="L880" s="552">
        <v>32000</v>
      </c>
      <c r="M880" s="552">
        <v>32000</v>
      </c>
      <c r="N880" s="552">
        <v>32000</v>
      </c>
      <c r="O880" s="552">
        <v>11</v>
      </c>
      <c r="P880" s="552">
        <v>352000</v>
      </c>
      <c r="Q880" s="548">
        <v>0</v>
      </c>
      <c r="R880" s="552">
        <v>0</v>
      </c>
      <c r="S880" s="548">
        <v>11</v>
      </c>
      <c r="T880" s="552">
        <v>352000</v>
      </c>
      <c r="U880" s="548">
        <v>0</v>
      </c>
      <c r="V880" s="552">
        <v>0</v>
      </c>
      <c r="W880" s="552">
        <v>0</v>
      </c>
      <c r="X880" s="552">
        <v>0</v>
      </c>
      <c r="Y880" s="552">
        <v>11</v>
      </c>
      <c r="Z880" s="552">
        <v>352000</v>
      </c>
      <c r="AA880" s="552">
        <v>11</v>
      </c>
      <c r="AB880" s="552">
        <v>352000</v>
      </c>
      <c r="AC880" s="552">
        <v>0</v>
      </c>
      <c r="AD880" s="552">
        <v>0</v>
      </c>
      <c r="AE880" s="552">
        <v>0</v>
      </c>
      <c r="AF880" s="552">
        <v>0</v>
      </c>
      <c r="AG880" s="552">
        <v>0</v>
      </c>
      <c r="AH880" s="552">
        <v>0</v>
      </c>
      <c r="AI880" s="552">
        <v>0</v>
      </c>
      <c r="AJ880" s="552">
        <v>0</v>
      </c>
    </row>
    <row r="881" spans="1:36" ht="15.95" customHeight="1">
      <c r="A881" s="547"/>
      <c r="B881" s="548">
        <v>831</v>
      </c>
      <c r="C881" s="549">
        <v>7448</v>
      </c>
      <c r="D881" s="550" t="s">
        <v>12396</v>
      </c>
      <c r="E881" s="550" t="s">
        <v>4718</v>
      </c>
      <c r="F881" s="550" t="s">
        <v>4719</v>
      </c>
      <c r="G881" s="550" t="s">
        <v>4720</v>
      </c>
      <c r="H881" s="550" t="s">
        <v>4721</v>
      </c>
      <c r="I881" s="550" t="s">
        <v>15</v>
      </c>
      <c r="J881" s="550" t="s">
        <v>12400</v>
      </c>
      <c r="K881" s="551">
        <v>45238</v>
      </c>
      <c r="L881" s="552">
        <v>32000</v>
      </c>
      <c r="M881" s="552">
        <v>32000</v>
      </c>
      <c r="N881" s="552">
        <v>32000</v>
      </c>
      <c r="O881" s="552">
        <v>60</v>
      </c>
      <c r="P881" s="552">
        <v>1920000</v>
      </c>
      <c r="Q881" s="548">
        <v>0</v>
      </c>
      <c r="R881" s="552">
        <v>0</v>
      </c>
      <c r="S881" s="548">
        <v>60</v>
      </c>
      <c r="T881" s="552">
        <v>1920000</v>
      </c>
      <c r="U881" s="548">
        <v>0</v>
      </c>
      <c r="V881" s="552">
        <v>0</v>
      </c>
      <c r="W881" s="552">
        <v>62</v>
      </c>
      <c r="X881" s="552">
        <v>1984000</v>
      </c>
      <c r="Y881" s="552">
        <v>60</v>
      </c>
      <c r="Z881" s="552">
        <v>1920000</v>
      </c>
      <c r="AA881" s="552">
        <v>60</v>
      </c>
      <c r="AB881" s="552">
        <v>1920000</v>
      </c>
      <c r="AC881" s="552">
        <v>0</v>
      </c>
      <c r="AD881" s="552">
        <v>0</v>
      </c>
      <c r="AE881" s="552">
        <v>0</v>
      </c>
      <c r="AF881" s="552">
        <v>0</v>
      </c>
      <c r="AG881" s="552">
        <v>0</v>
      </c>
      <c r="AH881" s="552">
        <v>0</v>
      </c>
      <c r="AI881" s="552">
        <v>0</v>
      </c>
      <c r="AJ881" s="552">
        <v>0</v>
      </c>
    </row>
    <row r="882" spans="1:36" ht="15.95" customHeight="1">
      <c r="A882" s="547"/>
      <c r="B882" s="548">
        <v>832</v>
      </c>
      <c r="C882" s="549">
        <v>7448</v>
      </c>
      <c r="D882" s="550" t="s">
        <v>12396</v>
      </c>
      <c r="E882" s="550" t="s">
        <v>4718</v>
      </c>
      <c r="F882" s="550" t="s">
        <v>4719</v>
      </c>
      <c r="G882" s="550" t="s">
        <v>4720</v>
      </c>
      <c r="H882" s="550" t="s">
        <v>4721</v>
      </c>
      <c r="I882" s="550" t="s">
        <v>15</v>
      </c>
      <c r="J882" s="550" t="s">
        <v>12401</v>
      </c>
      <c r="K882" s="551">
        <v>45276</v>
      </c>
      <c r="L882" s="552">
        <v>32000</v>
      </c>
      <c r="M882" s="552">
        <v>32000</v>
      </c>
      <c r="N882" s="552">
        <v>32000</v>
      </c>
      <c r="O882" s="552"/>
      <c r="P882" s="552"/>
      <c r="Q882" s="548">
        <v>1000</v>
      </c>
      <c r="R882" s="552">
        <v>32000000</v>
      </c>
      <c r="S882" s="548">
        <v>1000</v>
      </c>
      <c r="T882" s="552">
        <v>32000000</v>
      </c>
      <c r="U882" s="548">
        <v>0</v>
      </c>
      <c r="V882" s="552">
        <v>0</v>
      </c>
      <c r="W882" s="552">
        <v>0</v>
      </c>
      <c r="X882" s="552">
        <v>0</v>
      </c>
      <c r="Y882" s="552">
        <v>1000</v>
      </c>
      <c r="Z882" s="552">
        <v>32000000</v>
      </c>
      <c r="AA882" s="552">
        <v>1000</v>
      </c>
      <c r="AB882" s="552">
        <v>32000000</v>
      </c>
      <c r="AC882" s="552">
        <v>0</v>
      </c>
      <c r="AD882" s="552">
        <v>0</v>
      </c>
      <c r="AE882" s="552">
        <v>0</v>
      </c>
      <c r="AF882" s="552">
        <v>0</v>
      </c>
      <c r="AG882" s="552">
        <v>0</v>
      </c>
      <c r="AH882" s="552">
        <v>0</v>
      </c>
      <c r="AI882" s="552">
        <v>0</v>
      </c>
      <c r="AJ882" s="552">
        <v>0</v>
      </c>
    </row>
    <row r="883" spans="1:36" ht="15.95" customHeight="1">
      <c r="A883" s="547"/>
      <c r="B883" s="548">
        <v>835</v>
      </c>
      <c r="C883" s="549">
        <v>7478</v>
      </c>
      <c r="D883" s="550" t="s">
        <v>12402</v>
      </c>
      <c r="E883" s="550" t="s">
        <v>8844</v>
      </c>
      <c r="F883" s="550" t="s">
        <v>8847</v>
      </c>
      <c r="G883" s="550" t="s">
        <v>8845</v>
      </c>
      <c r="H883" s="550" t="s">
        <v>12403</v>
      </c>
      <c r="I883" s="550" t="s">
        <v>11</v>
      </c>
      <c r="J883" s="550" t="s">
        <v>4708</v>
      </c>
      <c r="K883" s="551">
        <v>45018</v>
      </c>
      <c r="L883" s="552">
        <v>1029</v>
      </c>
      <c r="M883" s="552">
        <v>1029</v>
      </c>
      <c r="N883" s="552">
        <v>1029</v>
      </c>
      <c r="O883" s="552"/>
      <c r="P883" s="552"/>
      <c r="Q883" s="548">
        <v>5000</v>
      </c>
      <c r="R883" s="552">
        <v>5145000</v>
      </c>
      <c r="S883" s="548">
        <v>5000</v>
      </c>
      <c r="T883" s="552">
        <v>5145000</v>
      </c>
      <c r="U883" s="548">
        <v>0</v>
      </c>
      <c r="V883" s="552">
        <v>0</v>
      </c>
      <c r="W883" s="552">
        <v>0</v>
      </c>
      <c r="X883" s="552">
        <v>0</v>
      </c>
      <c r="Y883" s="552">
        <v>5000</v>
      </c>
      <c r="Z883" s="552">
        <v>5145000</v>
      </c>
      <c r="AA883" s="552">
        <v>5000</v>
      </c>
      <c r="AB883" s="552">
        <v>5145000</v>
      </c>
      <c r="AC883" s="552">
        <v>0</v>
      </c>
      <c r="AD883" s="552">
        <v>0</v>
      </c>
      <c r="AE883" s="552">
        <v>0</v>
      </c>
      <c r="AF883" s="552">
        <v>0</v>
      </c>
      <c r="AG883" s="552">
        <v>0</v>
      </c>
      <c r="AH883" s="552">
        <v>0</v>
      </c>
      <c r="AI883" s="552">
        <v>0</v>
      </c>
      <c r="AJ883" s="552">
        <v>0</v>
      </c>
    </row>
    <row r="884" spans="1:36" ht="15.95" customHeight="1">
      <c r="A884" s="547"/>
      <c r="B884" s="548">
        <v>836</v>
      </c>
      <c r="C884" s="549">
        <v>7450</v>
      </c>
      <c r="D884" s="550" t="s">
        <v>12404</v>
      </c>
      <c r="E884" s="550" t="s">
        <v>4723</v>
      </c>
      <c r="F884" s="550" t="s">
        <v>161</v>
      </c>
      <c r="G884" s="550" t="s">
        <v>162</v>
      </c>
      <c r="H884" s="550" t="s">
        <v>4724</v>
      </c>
      <c r="I884" s="550" t="s">
        <v>11</v>
      </c>
      <c r="J884" s="550" t="s">
        <v>11609</v>
      </c>
      <c r="K884" s="551">
        <v>45004</v>
      </c>
      <c r="L884" s="552">
        <v>1680</v>
      </c>
      <c r="M884" s="552">
        <v>1680</v>
      </c>
      <c r="N884" s="552">
        <v>1680</v>
      </c>
      <c r="O884" s="552"/>
      <c r="P884" s="552"/>
      <c r="Q884" s="548">
        <v>15000</v>
      </c>
      <c r="R884" s="552">
        <v>25200000</v>
      </c>
      <c r="S884" s="548">
        <v>9701</v>
      </c>
      <c r="T884" s="552">
        <v>16297680</v>
      </c>
      <c r="U884" s="548">
        <v>5299</v>
      </c>
      <c r="V884" s="552">
        <v>8902320</v>
      </c>
      <c r="W884" s="552">
        <v>0</v>
      </c>
      <c r="X884" s="552">
        <v>0</v>
      </c>
      <c r="Y884" s="552">
        <v>9701</v>
      </c>
      <c r="Z884" s="552">
        <v>16297680</v>
      </c>
      <c r="AA884" s="552">
        <v>9701</v>
      </c>
      <c r="AB884" s="552">
        <v>16297680</v>
      </c>
      <c r="AC884" s="552">
        <v>0</v>
      </c>
      <c r="AD884" s="552">
        <v>0</v>
      </c>
      <c r="AE884" s="552">
        <v>0</v>
      </c>
      <c r="AF884" s="552">
        <v>0</v>
      </c>
      <c r="AG884" s="552">
        <v>0</v>
      </c>
      <c r="AH884" s="552">
        <v>0</v>
      </c>
      <c r="AI884" s="552">
        <v>0</v>
      </c>
      <c r="AJ884" s="552">
        <v>0</v>
      </c>
    </row>
    <row r="885" spans="1:36" ht="15.95" customHeight="1">
      <c r="A885" s="547"/>
      <c r="B885" s="548">
        <v>837</v>
      </c>
      <c r="C885" s="549">
        <v>7450</v>
      </c>
      <c r="D885" s="550" t="s">
        <v>12404</v>
      </c>
      <c r="E885" s="550" t="s">
        <v>4723</v>
      </c>
      <c r="F885" s="550" t="s">
        <v>161</v>
      </c>
      <c r="G885" s="550" t="s">
        <v>162</v>
      </c>
      <c r="H885" s="550" t="s">
        <v>4724</v>
      </c>
      <c r="I885" s="550" t="s">
        <v>11</v>
      </c>
      <c r="J885" s="550" t="s">
        <v>12405</v>
      </c>
      <c r="K885" s="551">
        <v>45207</v>
      </c>
      <c r="L885" s="552">
        <v>1680</v>
      </c>
      <c r="M885" s="552">
        <v>1680</v>
      </c>
      <c r="N885" s="552">
        <v>1680</v>
      </c>
      <c r="O885" s="552"/>
      <c r="P885" s="552"/>
      <c r="Q885" s="548">
        <v>5000</v>
      </c>
      <c r="R885" s="552">
        <v>8400000</v>
      </c>
      <c r="S885" s="548">
        <v>0</v>
      </c>
      <c r="T885" s="552">
        <v>0</v>
      </c>
      <c r="U885" s="548">
        <v>5000</v>
      </c>
      <c r="V885" s="552">
        <v>8400000</v>
      </c>
      <c r="W885" s="552">
        <v>0</v>
      </c>
      <c r="X885" s="552">
        <v>0</v>
      </c>
      <c r="Y885" s="552">
        <v>0</v>
      </c>
      <c r="Z885" s="552">
        <v>0</v>
      </c>
      <c r="AA885" s="552">
        <v>0</v>
      </c>
      <c r="AB885" s="552">
        <v>0</v>
      </c>
      <c r="AC885" s="552">
        <v>0</v>
      </c>
      <c r="AD885" s="552">
        <v>0</v>
      </c>
      <c r="AE885" s="552">
        <v>0</v>
      </c>
      <c r="AF885" s="552">
        <v>0</v>
      </c>
      <c r="AG885" s="552">
        <v>0</v>
      </c>
      <c r="AH885" s="552">
        <v>0</v>
      </c>
      <c r="AI885" s="552">
        <v>0</v>
      </c>
      <c r="AJ885" s="552">
        <v>0</v>
      </c>
    </row>
    <row r="886" spans="1:36" ht="15.95" customHeight="1">
      <c r="A886" s="547"/>
      <c r="B886" s="548">
        <v>866</v>
      </c>
      <c r="C886" s="549">
        <v>7451</v>
      </c>
      <c r="D886" s="550" t="s">
        <v>12406</v>
      </c>
      <c r="E886" s="550" t="s">
        <v>8850</v>
      </c>
      <c r="F886" s="550" t="s">
        <v>8853</v>
      </c>
      <c r="G886" s="550" t="s">
        <v>100</v>
      </c>
      <c r="H886" s="550" t="s">
        <v>12407</v>
      </c>
      <c r="I886" s="550" t="s">
        <v>11</v>
      </c>
      <c r="J886" s="550" t="s">
        <v>11609</v>
      </c>
      <c r="K886" s="551">
        <v>45373</v>
      </c>
      <c r="L886" s="552">
        <v>1640</v>
      </c>
      <c r="M886" s="552">
        <v>1640</v>
      </c>
      <c r="N886" s="552">
        <v>1640</v>
      </c>
      <c r="O886" s="552"/>
      <c r="P886" s="552"/>
      <c r="Q886" s="548">
        <v>5000</v>
      </c>
      <c r="R886" s="552">
        <v>8200000</v>
      </c>
      <c r="S886" s="548">
        <v>952</v>
      </c>
      <c r="T886" s="552">
        <v>1561280</v>
      </c>
      <c r="U886" s="548">
        <v>4048</v>
      </c>
      <c r="V886" s="552">
        <v>6638720</v>
      </c>
      <c r="W886" s="552">
        <v>0</v>
      </c>
      <c r="X886" s="552">
        <v>0</v>
      </c>
      <c r="Y886" s="552">
        <v>952</v>
      </c>
      <c r="Z886" s="552">
        <v>1561280</v>
      </c>
      <c r="AA886" s="552">
        <v>952</v>
      </c>
      <c r="AB886" s="552">
        <v>1561280</v>
      </c>
      <c r="AC886" s="552">
        <v>0</v>
      </c>
      <c r="AD886" s="552">
        <v>0</v>
      </c>
      <c r="AE886" s="552">
        <v>0</v>
      </c>
      <c r="AF886" s="552">
        <v>0</v>
      </c>
      <c r="AG886" s="552">
        <v>0</v>
      </c>
      <c r="AH886" s="552">
        <v>0</v>
      </c>
      <c r="AI886" s="552">
        <v>0</v>
      </c>
      <c r="AJ886" s="552">
        <v>0</v>
      </c>
    </row>
    <row r="887" spans="1:36" ht="15.95" customHeight="1">
      <c r="A887" s="547"/>
      <c r="B887" s="548">
        <v>875</v>
      </c>
      <c r="C887" s="549">
        <v>7452</v>
      </c>
      <c r="D887" s="550" t="s">
        <v>12408</v>
      </c>
      <c r="E887" s="550" t="s">
        <v>4725</v>
      </c>
      <c r="F887" s="550" t="s">
        <v>163</v>
      </c>
      <c r="G887" s="550" t="s">
        <v>164</v>
      </c>
      <c r="H887" s="550" t="s">
        <v>165</v>
      </c>
      <c r="I887" s="550" t="s">
        <v>11</v>
      </c>
      <c r="J887" s="550" t="s">
        <v>12295</v>
      </c>
      <c r="K887" s="551">
        <v>45354</v>
      </c>
      <c r="L887" s="552">
        <v>950</v>
      </c>
      <c r="M887" s="552">
        <v>950</v>
      </c>
      <c r="N887" s="552">
        <v>950</v>
      </c>
      <c r="O887" s="552"/>
      <c r="P887" s="552"/>
      <c r="Q887" s="548">
        <v>8000</v>
      </c>
      <c r="R887" s="552">
        <v>7600000</v>
      </c>
      <c r="S887" s="548">
        <v>8000</v>
      </c>
      <c r="T887" s="552">
        <v>7600000</v>
      </c>
      <c r="U887" s="548">
        <v>0</v>
      </c>
      <c r="V887" s="552">
        <v>0</v>
      </c>
      <c r="W887" s="552">
        <v>0</v>
      </c>
      <c r="X887" s="552">
        <v>0</v>
      </c>
      <c r="Y887" s="552">
        <v>8000</v>
      </c>
      <c r="Z887" s="552">
        <v>7600000</v>
      </c>
      <c r="AA887" s="552">
        <v>8000</v>
      </c>
      <c r="AB887" s="552">
        <v>7600000</v>
      </c>
      <c r="AC887" s="552">
        <v>0</v>
      </c>
      <c r="AD887" s="552">
        <v>0</v>
      </c>
      <c r="AE887" s="552">
        <v>0</v>
      </c>
      <c r="AF887" s="552">
        <v>0</v>
      </c>
      <c r="AG887" s="552">
        <v>0</v>
      </c>
      <c r="AH887" s="552">
        <v>0</v>
      </c>
      <c r="AI887" s="552">
        <v>0</v>
      </c>
      <c r="AJ887" s="552">
        <v>0</v>
      </c>
    </row>
    <row r="888" spans="1:36" ht="15.95" customHeight="1">
      <c r="A888" s="547"/>
      <c r="B888" s="548">
        <v>876</v>
      </c>
      <c r="C888" s="549">
        <v>7452</v>
      </c>
      <c r="D888" s="550" t="s">
        <v>12408</v>
      </c>
      <c r="E888" s="550" t="s">
        <v>4725</v>
      </c>
      <c r="F888" s="550" t="s">
        <v>163</v>
      </c>
      <c r="G888" s="550" t="s">
        <v>164</v>
      </c>
      <c r="H888" s="550" t="s">
        <v>165</v>
      </c>
      <c r="I888" s="550" t="s">
        <v>11</v>
      </c>
      <c r="J888" s="550" t="s">
        <v>12409</v>
      </c>
      <c r="K888" s="551">
        <v>45375</v>
      </c>
      <c r="L888" s="552">
        <v>950</v>
      </c>
      <c r="M888" s="552">
        <v>950</v>
      </c>
      <c r="N888" s="552">
        <v>950</v>
      </c>
      <c r="O888" s="552"/>
      <c r="P888" s="552"/>
      <c r="Q888" s="548">
        <v>10000</v>
      </c>
      <c r="R888" s="552">
        <v>9500000</v>
      </c>
      <c r="S888" s="548">
        <v>9996</v>
      </c>
      <c r="T888" s="552">
        <v>9496200</v>
      </c>
      <c r="U888" s="548">
        <v>4</v>
      </c>
      <c r="V888" s="552">
        <v>3800</v>
      </c>
      <c r="W888" s="552">
        <v>0</v>
      </c>
      <c r="X888" s="552">
        <v>0</v>
      </c>
      <c r="Y888" s="552">
        <v>9996</v>
      </c>
      <c r="Z888" s="552">
        <v>9496200</v>
      </c>
      <c r="AA888" s="552">
        <v>9996</v>
      </c>
      <c r="AB888" s="552">
        <v>9496200</v>
      </c>
      <c r="AC888" s="552">
        <v>0</v>
      </c>
      <c r="AD888" s="552">
        <v>0</v>
      </c>
      <c r="AE888" s="552">
        <v>0</v>
      </c>
      <c r="AF888" s="552">
        <v>0</v>
      </c>
      <c r="AG888" s="552">
        <v>0</v>
      </c>
      <c r="AH888" s="552">
        <v>0</v>
      </c>
      <c r="AI888" s="552">
        <v>0</v>
      </c>
      <c r="AJ888" s="552">
        <v>0</v>
      </c>
    </row>
    <row r="889" spans="1:36" ht="15.95" customHeight="1">
      <c r="A889" s="547"/>
      <c r="B889" s="548">
        <v>877</v>
      </c>
      <c r="C889" s="549">
        <v>7452</v>
      </c>
      <c r="D889" s="550" t="s">
        <v>12408</v>
      </c>
      <c r="E889" s="550" t="s">
        <v>4725</v>
      </c>
      <c r="F889" s="550" t="s">
        <v>163</v>
      </c>
      <c r="G889" s="550" t="s">
        <v>164</v>
      </c>
      <c r="H889" s="550" t="s">
        <v>165</v>
      </c>
      <c r="I889" s="550" t="s">
        <v>11</v>
      </c>
      <c r="J889" s="550" t="s">
        <v>12410</v>
      </c>
      <c r="K889" s="551">
        <v>45612</v>
      </c>
      <c r="L889" s="552">
        <v>950</v>
      </c>
      <c r="M889" s="552">
        <v>950</v>
      </c>
      <c r="N889" s="552">
        <v>950</v>
      </c>
      <c r="O889" s="552"/>
      <c r="P889" s="552"/>
      <c r="Q889" s="548">
        <v>12400</v>
      </c>
      <c r="R889" s="552">
        <v>11780000</v>
      </c>
      <c r="S889" s="548">
        <v>0</v>
      </c>
      <c r="T889" s="552">
        <v>0</v>
      </c>
      <c r="U889" s="548">
        <v>12400</v>
      </c>
      <c r="V889" s="552">
        <v>11780000</v>
      </c>
      <c r="W889" s="552">
        <v>0</v>
      </c>
      <c r="X889" s="552">
        <v>0</v>
      </c>
      <c r="Y889" s="552">
        <v>0</v>
      </c>
      <c r="Z889" s="552">
        <v>0</v>
      </c>
      <c r="AA889" s="552">
        <v>0</v>
      </c>
      <c r="AB889" s="552">
        <v>0</v>
      </c>
      <c r="AC889" s="552">
        <v>0</v>
      </c>
      <c r="AD889" s="552">
        <v>0</v>
      </c>
      <c r="AE889" s="552">
        <v>0</v>
      </c>
      <c r="AF889" s="552">
        <v>0</v>
      </c>
      <c r="AG889" s="552">
        <v>0</v>
      </c>
      <c r="AH889" s="552">
        <v>0</v>
      </c>
      <c r="AI889" s="552">
        <v>0</v>
      </c>
      <c r="AJ889" s="552">
        <v>0</v>
      </c>
    </row>
    <row r="890" spans="1:36" ht="15.95" customHeight="1">
      <c r="A890" s="547"/>
      <c r="B890" s="548">
        <v>878</v>
      </c>
      <c r="C890" s="549">
        <v>7452</v>
      </c>
      <c r="D890" s="550" t="s">
        <v>12408</v>
      </c>
      <c r="E890" s="550" t="s">
        <v>4725</v>
      </c>
      <c r="F890" s="550" t="s">
        <v>163</v>
      </c>
      <c r="G890" s="550" t="s">
        <v>164</v>
      </c>
      <c r="H890" s="550" t="s">
        <v>165</v>
      </c>
      <c r="I890" s="550" t="s">
        <v>11</v>
      </c>
      <c r="J890" s="550" t="s">
        <v>12411</v>
      </c>
      <c r="K890" s="551">
        <v>45207</v>
      </c>
      <c r="L890" s="552">
        <v>950</v>
      </c>
      <c r="M890" s="552">
        <v>950</v>
      </c>
      <c r="N890" s="552">
        <v>950</v>
      </c>
      <c r="O890" s="552">
        <v>6268</v>
      </c>
      <c r="P890" s="552">
        <v>5954600</v>
      </c>
      <c r="Q890" s="548">
        <v>0</v>
      </c>
      <c r="R890" s="552">
        <v>0</v>
      </c>
      <c r="S890" s="548">
        <v>6268</v>
      </c>
      <c r="T890" s="552">
        <v>5954600</v>
      </c>
      <c r="U890" s="548">
        <v>0</v>
      </c>
      <c r="V890" s="552">
        <v>0</v>
      </c>
      <c r="W890" s="552">
        <v>0</v>
      </c>
      <c r="X890" s="552">
        <v>0</v>
      </c>
      <c r="Y890" s="552">
        <v>6268</v>
      </c>
      <c r="Z890" s="552">
        <v>5954600</v>
      </c>
      <c r="AA890" s="552">
        <v>6268</v>
      </c>
      <c r="AB890" s="552">
        <v>5954600</v>
      </c>
      <c r="AC890" s="552">
        <v>0</v>
      </c>
      <c r="AD890" s="552">
        <v>0</v>
      </c>
      <c r="AE890" s="552">
        <v>0</v>
      </c>
      <c r="AF890" s="552">
        <v>0</v>
      </c>
      <c r="AG890" s="552">
        <v>0</v>
      </c>
      <c r="AH890" s="552">
        <v>0</v>
      </c>
      <c r="AI890" s="552">
        <v>0</v>
      </c>
      <c r="AJ890" s="552">
        <v>0</v>
      </c>
    </row>
    <row r="891" spans="1:36" ht="15.95" customHeight="1">
      <c r="A891" s="547"/>
      <c r="B891" s="548">
        <v>906</v>
      </c>
      <c r="C891" s="549">
        <v>7453</v>
      </c>
      <c r="D891" s="550" t="s">
        <v>12412</v>
      </c>
      <c r="E891" s="550" t="s">
        <v>4727</v>
      </c>
      <c r="F891" s="550" t="s">
        <v>4728</v>
      </c>
      <c r="G891" s="550" t="s">
        <v>4729</v>
      </c>
      <c r="H891" s="550" t="s">
        <v>4730</v>
      </c>
      <c r="I891" s="550" t="s">
        <v>11</v>
      </c>
      <c r="J891" s="550" t="s">
        <v>12306</v>
      </c>
      <c r="K891" s="551">
        <v>45062</v>
      </c>
      <c r="L891" s="552">
        <v>2067</v>
      </c>
      <c r="M891" s="552">
        <v>2067</v>
      </c>
      <c r="N891" s="552">
        <v>2067</v>
      </c>
      <c r="O891" s="552"/>
      <c r="P891" s="552"/>
      <c r="Q891" s="548">
        <v>480</v>
      </c>
      <c r="R891" s="552">
        <v>992160</v>
      </c>
      <c r="S891" s="548">
        <v>480</v>
      </c>
      <c r="T891" s="552">
        <v>992160</v>
      </c>
      <c r="U891" s="548">
        <v>0</v>
      </c>
      <c r="V891" s="552">
        <v>0</v>
      </c>
      <c r="W891" s="552">
        <v>470</v>
      </c>
      <c r="X891" s="552">
        <v>971490</v>
      </c>
      <c r="Y891" s="552">
        <v>480</v>
      </c>
      <c r="Z891" s="552">
        <v>992160</v>
      </c>
      <c r="AA891" s="552">
        <v>0</v>
      </c>
      <c r="AB891" s="552">
        <v>0</v>
      </c>
      <c r="AC891" s="552">
        <v>480</v>
      </c>
      <c r="AD891" s="552">
        <v>992160</v>
      </c>
      <c r="AE891" s="552">
        <v>0</v>
      </c>
      <c r="AF891" s="552">
        <v>0</v>
      </c>
      <c r="AG891" s="552">
        <v>0</v>
      </c>
      <c r="AH891" s="552">
        <v>0</v>
      </c>
      <c r="AI891" s="552">
        <v>0</v>
      </c>
      <c r="AJ891" s="552">
        <v>0</v>
      </c>
    </row>
    <row r="892" spans="1:36" ht="15.95" customHeight="1">
      <c r="A892" s="547"/>
      <c r="B892" s="548">
        <v>907</v>
      </c>
      <c r="C892" s="549">
        <v>7453</v>
      </c>
      <c r="D892" s="550" t="s">
        <v>12412</v>
      </c>
      <c r="E892" s="550" t="s">
        <v>4727</v>
      </c>
      <c r="F892" s="550" t="s">
        <v>4728</v>
      </c>
      <c r="G892" s="550" t="s">
        <v>4729</v>
      </c>
      <c r="H892" s="550" t="s">
        <v>4730</v>
      </c>
      <c r="I892" s="550" t="s">
        <v>11</v>
      </c>
      <c r="J892" s="550" t="s">
        <v>4731</v>
      </c>
      <c r="K892" s="551">
        <v>44645</v>
      </c>
      <c r="L892" s="552">
        <v>2067</v>
      </c>
      <c r="M892" s="552">
        <v>2067</v>
      </c>
      <c r="N892" s="552">
        <v>2067</v>
      </c>
      <c r="O892" s="552">
        <v>2850</v>
      </c>
      <c r="P892" s="552">
        <v>5890950</v>
      </c>
      <c r="Q892" s="548">
        <v>0</v>
      </c>
      <c r="R892" s="552">
        <v>0</v>
      </c>
      <c r="S892" s="548">
        <v>2850</v>
      </c>
      <c r="T892" s="552">
        <v>5890950</v>
      </c>
      <c r="U892" s="548">
        <v>0</v>
      </c>
      <c r="V892" s="552">
        <v>0</v>
      </c>
      <c r="W892" s="552">
        <v>0</v>
      </c>
      <c r="X892" s="552">
        <v>0</v>
      </c>
      <c r="Y892" s="552">
        <v>2850</v>
      </c>
      <c r="Z892" s="552">
        <v>5890950</v>
      </c>
      <c r="AA892" s="552">
        <v>2850</v>
      </c>
      <c r="AB892" s="552">
        <v>5890950</v>
      </c>
      <c r="AC892" s="552">
        <v>0</v>
      </c>
      <c r="AD892" s="552">
        <v>0</v>
      </c>
      <c r="AE892" s="552">
        <v>0</v>
      </c>
      <c r="AF892" s="552">
        <v>0</v>
      </c>
      <c r="AG892" s="552">
        <v>0</v>
      </c>
      <c r="AH892" s="552">
        <v>0</v>
      </c>
      <c r="AI892" s="552">
        <v>0</v>
      </c>
      <c r="AJ892" s="552">
        <v>0</v>
      </c>
    </row>
    <row r="893" spans="1:36" ht="15.95" customHeight="1">
      <c r="A893" s="547"/>
      <c r="B893" s="548">
        <v>908</v>
      </c>
      <c r="C893" s="549">
        <v>7453</v>
      </c>
      <c r="D893" s="550" t="s">
        <v>12412</v>
      </c>
      <c r="E893" s="550" t="s">
        <v>4727</v>
      </c>
      <c r="F893" s="550" t="s">
        <v>4728</v>
      </c>
      <c r="G893" s="550" t="s">
        <v>4729</v>
      </c>
      <c r="H893" s="550" t="s">
        <v>4730</v>
      </c>
      <c r="I893" s="550" t="s">
        <v>11</v>
      </c>
      <c r="J893" s="550" t="s">
        <v>12413</v>
      </c>
      <c r="K893" s="551">
        <v>45086</v>
      </c>
      <c r="L893" s="552">
        <v>2067</v>
      </c>
      <c r="M893" s="552">
        <v>2067</v>
      </c>
      <c r="N893" s="552">
        <v>2067</v>
      </c>
      <c r="O893" s="552"/>
      <c r="P893" s="552"/>
      <c r="Q893" s="548">
        <v>4980</v>
      </c>
      <c r="R893" s="552">
        <v>10293660</v>
      </c>
      <c r="S893" s="548">
        <v>0</v>
      </c>
      <c r="T893" s="552">
        <v>0</v>
      </c>
      <c r="U893" s="548">
        <v>4980</v>
      </c>
      <c r="V893" s="552">
        <v>10293660</v>
      </c>
      <c r="W893" s="552">
        <v>0</v>
      </c>
      <c r="X893" s="552">
        <v>0</v>
      </c>
      <c r="Y893" s="552">
        <v>0</v>
      </c>
      <c r="Z893" s="552">
        <v>0</v>
      </c>
      <c r="AA893" s="552">
        <v>0</v>
      </c>
      <c r="AB893" s="552">
        <v>0</v>
      </c>
      <c r="AC893" s="552">
        <v>0</v>
      </c>
      <c r="AD893" s="552">
        <v>0</v>
      </c>
      <c r="AE893" s="552">
        <v>0</v>
      </c>
      <c r="AF893" s="552">
        <v>0</v>
      </c>
      <c r="AG893" s="552">
        <v>0</v>
      </c>
      <c r="AH893" s="552">
        <v>0</v>
      </c>
      <c r="AI893" s="552">
        <v>0</v>
      </c>
      <c r="AJ893" s="552">
        <v>0</v>
      </c>
    </row>
    <row r="894" spans="1:36" ht="15.95" customHeight="1">
      <c r="A894" s="547"/>
      <c r="B894" s="548">
        <v>935</v>
      </c>
      <c r="C894" s="549">
        <v>7455</v>
      </c>
      <c r="D894" s="550" t="s">
        <v>12414</v>
      </c>
      <c r="E894" s="550" t="s">
        <v>4732</v>
      </c>
      <c r="F894" s="550" t="s">
        <v>4733</v>
      </c>
      <c r="G894" s="550" t="s">
        <v>4734</v>
      </c>
      <c r="H894" s="550" t="s">
        <v>4735</v>
      </c>
      <c r="I894" s="550" t="s">
        <v>658</v>
      </c>
      <c r="J894" s="550" t="s">
        <v>4461</v>
      </c>
      <c r="K894" s="551">
        <v>44569</v>
      </c>
      <c r="L894" s="552">
        <v>28500</v>
      </c>
      <c r="M894" s="552">
        <v>28500</v>
      </c>
      <c r="N894" s="552">
        <v>28500</v>
      </c>
      <c r="O894" s="552">
        <v>220</v>
      </c>
      <c r="P894" s="552">
        <v>6270000</v>
      </c>
      <c r="Q894" s="548">
        <v>0</v>
      </c>
      <c r="R894" s="552">
        <v>0</v>
      </c>
      <c r="S894" s="548">
        <v>220</v>
      </c>
      <c r="T894" s="552">
        <v>6270000</v>
      </c>
      <c r="U894" s="548">
        <v>0</v>
      </c>
      <c r="V894" s="552">
        <v>0</v>
      </c>
      <c r="W894" s="552">
        <v>17</v>
      </c>
      <c r="X894" s="552">
        <v>484500</v>
      </c>
      <c r="Y894" s="552">
        <v>220</v>
      </c>
      <c r="Z894" s="552">
        <v>6270000</v>
      </c>
      <c r="AA894" s="552">
        <v>220</v>
      </c>
      <c r="AB894" s="552">
        <v>6270000</v>
      </c>
      <c r="AC894" s="552">
        <v>0</v>
      </c>
      <c r="AD894" s="552">
        <v>0</v>
      </c>
      <c r="AE894" s="552">
        <v>0</v>
      </c>
      <c r="AF894" s="552">
        <v>0</v>
      </c>
      <c r="AG894" s="552">
        <v>0</v>
      </c>
      <c r="AH894" s="552">
        <v>0</v>
      </c>
      <c r="AI894" s="552">
        <v>0</v>
      </c>
      <c r="AJ894" s="552">
        <v>0</v>
      </c>
    </row>
    <row r="895" spans="1:36" ht="15.95" customHeight="1">
      <c r="A895" s="547"/>
      <c r="B895" s="548">
        <v>936</v>
      </c>
      <c r="C895" s="549">
        <v>7456</v>
      </c>
      <c r="D895" s="550" t="s">
        <v>12415</v>
      </c>
      <c r="E895" s="550" t="s">
        <v>8514</v>
      </c>
      <c r="F895" s="550" t="s">
        <v>8516</v>
      </c>
      <c r="G895" s="550" t="s">
        <v>4659</v>
      </c>
      <c r="H895" s="550" t="s">
        <v>12416</v>
      </c>
      <c r="I895" s="550" t="s">
        <v>520</v>
      </c>
      <c r="J895" s="550" t="s">
        <v>12417</v>
      </c>
      <c r="K895" s="551">
        <v>45164</v>
      </c>
      <c r="L895" s="552">
        <v>5500</v>
      </c>
      <c r="M895" s="552">
        <v>5500</v>
      </c>
      <c r="N895" s="552">
        <v>5500</v>
      </c>
      <c r="O895" s="552"/>
      <c r="P895" s="552"/>
      <c r="Q895" s="548">
        <v>60</v>
      </c>
      <c r="R895" s="552">
        <v>330000</v>
      </c>
      <c r="S895" s="548">
        <v>60</v>
      </c>
      <c r="T895" s="552">
        <v>330000</v>
      </c>
      <c r="U895" s="548">
        <v>0</v>
      </c>
      <c r="V895" s="552">
        <v>0</v>
      </c>
      <c r="W895" s="552">
        <v>20</v>
      </c>
      <c r="X895" s="552">
        <v>110000</v>
      </c>
      <c r="Y895" s="552">
        <v>60</v>
      </c>
      <c r="Z895" s="552">
        <v>330000</v>
      </c>
      <c r="AA895" s="552">
        <v>0</v>
      </c>
      <c r="AB895" s="552">
        <v>0</v>
      </c>
      <c r="AC895" s="552">
        <v>60</v>
      </c>
      <c r="AD895" s="552">
        <v>330000</v>
      </c>
      <c r="AE895" s="552">
        <v>0</v>
      </c>
      <c r="AF895" s="552">
        <v>0</v>
      </c>
      <c r="AG895" s="552">
        <v>0</v>
      </c>
      <c r="AH895" s="552">
        <v>0</v>
      </c>
      <c r="AI895" s="552">
        <v>0</v>
      </c>
      <c r="AJ895" s="552">
        <v>0</v>
      </c>
    </row>
    <row r="896" spans="1:36" ht="15.95" customHeight="1">
      <c r="A896" s="547"/>
      <c r="B896" s="548">
        <v>949</v>
      </c>
      <c r="C896" s="549">
        <v>7457</v>
      </c>
      <c r="D896" s="550" t="s">
        <v>12418</v>
      </c>
      <c r="E896" s="550" t="s">
        <v>4736</v>
      </c>
      <c r="F896" s="550" t="s">
        <v>166</v>
      </c>
      <c r="G896" s="550" t="s">
        <v>167</v>
      </c>
      <c r="H896" s="550" t="s">
        <v>168</v>
      </c>
      <c r="I896" s="550" t="s">
        <v>11</v>
      </c>
      <c r="J896" s="550" t="s">
        <v>12419</v>
      </c>
      <c r="K896" s="551">
        <v>45146</v>
      </c>
      <c r="L896" s="552">
        <v>1200</v>
      </c>
      <c r="M896" s="552">
        <v>1200</v>
      </c>
      <c r="N896" s="552">
        <v>1200</v>
      </c>
      <c r="O896" s="552">
        <v>1905</v>
      </c>
      <c r="P896" s="552">
        <v>2286000</v>
      </c>
      <c r="Q896" s="548">
        <v>0</v>
      </c>
      <c r="R896" s="552">
        <v>0</v>
      </c>
      <c r="S896" s="548">
        <v>1904</v>
      </c>
      <c r="T896" s="552">
        <v>2284800</v>
      </c>
      <c r="U896" s="548">
        <v>1</v>
      </c>
      <c r="V896" s="552">
        <v>1200</v>
      </c>
      <c r="W896" s="552">
        <v>0</v>
      </c>
      <c r="X896" s="552">
        <v>0</v>
      </c>
      <c r="Y896" s="552">
        <v>1904</v>
      </c>
      <c r="Z896" s="552">
        <v>2284800</v>
      </c>
      <c r="AA896" s="552">
        <v>1904</v>
      </c>
      <c r="AB896" s="552">
        <v>2284800</v>
      </c>
      <c r="AC896" s="552">
        <v>0</v>
      </c>
      <c r="AD896" s="552">
        <v>0</v>
      </c>
      <c r="AE896" s="552">
        <v>0</v>
      </c>
      <c r="AF896" s="552">
        <v>0</v>
      </c>
      <c r="AG896" s="552">
        <v>0</v>
      </c>
      <c r="AH896" s="552">
        <v>0</v>
      </c>
      <c r="AI896" s="552">
        <v>0</v>
      </c>
      <c r="AJ896" s="552">
        <v>0</v>
      </c>
    </row>
    <row r="897" spans="1:36" ht="15.95" customHeight="1">
      <c r="A897" s="547"/>
      <c r="B897" s="548">
        <v>986</v>
      </c>
      <c r="C897" s="549">
        <v>7458</v>
      </c>
      <c r="D897" s="550" t="s">
        <v>12420</v>
      </c>
      <c r="E897" s="550" t="s">
        <v>8662</v>
      </c>
      <c r="F897" s="550" t="s">
        <v>8665</v>
      </c>
      <c r="G897" s="550" t="s">
        <v>8663</v>
      </c>
      <c r="H897" s="550" t="s">
        <v>12421</v>
      </c>
      <c r="I897" s="550" t="s">
        <v>11</v>
      </c>
      <c r="J897" s="550" t="s">
        <v>11506</v>
      </c>
      <c r="K897" s="551">
        <v>44963</v>
      </c>
      <c r="L897" s="552">
        <v>1260</v>
      </c>
      <c r="M897" s="552">
        <v>1260</v>
      </c>
      <c r="N897" s="552">
        <v>1260</v>
      </c>
      <c r="O897" s="552"/>
      <c r="P897" s="552"/>
      <c r="Q897" s="548">
        <v>5000</v>
      </c>
      <c r="R897" s="552">
        <v>6300000</v>
      </c>
      <c r="S897" s="548">
        <v>5000</v>
      </c>
      <c r="T897" s="552">
        <v>6300000</v>
      </c>
      <c r="U897" s="548">
        <v>0</v>
      </c>
      <c r="V897" s="552">
        <v>0</v>
      </c>
      <c r="W897" s="552">
        <v>0</v>
      </c>
      <c r="X897" s="552">
        <v>0</v>
      </c>
      <c r="Y897" s="552">
        <v>5000</v>
      </c>
      <c r="Z897" s="552">
        <v>6300000</v>
      </c>
      <c r="AA897" s="552">
        <v>5000</v>
      </c>
      <c r="AB897" s="552">
        <v>6300000</v>
      </c>
      <c r="AC897" s="552">
        <v>0</v>
      </c>
      <c r="AD897" s="552">
        <v>0</v>
      </c>
      <c r="AE897" s="552">
        <v>0</v>
      </c>
      <c r="AF897" s="552">
        <v>0</v>
      </c>
      <c r="AG897" s="552">
        <v>0</v>
      </c>
      <c r="AH897" s="552">
        <v>0</v>
      </c>
      <c r="AI897" s="552">
        <v>0</v>
      </c>
      <c r="AJ897" s="552">
        <v>0</v>
      </c>
    </row>
    <row r="898" spans="1:36" ht="15.95" customHeight="1">
      <c r="A898" s="547"/>
      <c r="B898" s="548">
        <v>987</v>
      </c>
      <c r="C898" s="549">
        <v>7458</v>
      </c>
      <c r="D898" s="550" t="s">
        <v>12420</v>
      </c>
      <c r="E898" s="550" t="s">
        <v>8662</v>
      </c>
      <c r="F898" s="550" t="s">
        <v>8665</v>
      </c>
      <c r="G898" s="550" t="s">
        <v>8663</v>
      </c>
      <c r="H898" s="550" t="s">
        <v>12421</v>
      </c>
      <c r="I898" s="550" t="s">
        <v>11</v>
      </c>
      <c r="J898" s="550" t="s">
        <v>11609</v>
      </c>
      <c r="K898" s="551">
        <v>44995</v>
      </c>
      <c r="L898" s="552">
        <v>1260</v>
      </c>
      <c r="M898" s="552">
        <v>1260</v>
      </c>
      <c r="N898" s="552">
        <v>1260</v>
      </c>
      <c r="O898" s="552"/>
      <c r="P898" s="552"/>
      <c r="Q898" s="548">
        <v>9000</v>
      </c>
      <c r="R898" s="552">
        <v>11340000</v>
      </c>
      <c r="S898" s="548">
        <v>998</v>
      </c>
      <c r="T898" s="552">
        <v>1257480</v>
      </c>
      <c r="U898" s="548">
        <v>8002</v>
      </c>
      <c r="V898" s="552">
        <v>10082520</v>
      </c>
      <c r="W898" s="552">
        <v>0</v>
      </c>
      <c r="X898" s="552">
        <v>0</v>
      </c>
      <c r="Y898" s="552">
        <v>998</v>
      </c>
      <c r="Z898" s="552">
        <v>1257480</v>
      </c>
      <c r="AA898" s="552">
        <v>998</v>
      </c>
      <c r="AB898" s="552">
        <v>1257480</v>
      </c>
      <c r="AC898" s="552">
        <v>0</v>
      </c>
      <c r="AD898" s="552">
        <v>0</v>
      </c>
      <c r="AE898" s="552">
        <v>0</v>
      </c>
      <c r="AF898" s="552">
        <v>0</v>
      </c>
      <c r="AG898" s="552">
        <v>0</v>
      </c>
      <c r="AH898" s="552">
        <v>0</v>
      </c>
      <c r="AI898" s="552">
        <v>0</v>
      </c>
      <c r="AJ898" s="552">
        <v>0</v>
      </c>
    </row>
    <row r="899" spans="1:36" ht="15.95" customHeight="1">
      <c r="A899" s="547"/>
      <c r="B899" s="548">
        <v>988</v>
      </c>
      <c r="C899" s="549">
        <v>7458</v>
      </c>
      <c r="D899" s="550" t="s">
        <v>12420</v>
      </c>
      <c r="E899" s="550" t="s">
        <v>8662</v>
      </c>
      <c r="F899" s="550" t="s">
        <v>8665</v>
      </c>
      <c r="G899" s="550" t="s">
        <v>8663</v>
      </c>
      <c r="H899" s="550" t="s">
        <v>12421</v>
      </c>
      <c r="I899" s="550" t="s">
        <v>11</v>
      </c>
      <c r="J899" s="550" t="s">
        <v>12313</v>
      </c>
      <c r="K899" s="551">
        <v>44888</v>
      </c>
      <c r="L899" s="552">
        <v>1260</v>
      </c>
      <c r="M899" s="552">
        <v>1260</v>
      </c>
      <c r="N899" s="552">
        <v>1260</v>
      </c>
      <c r="O899" s="552"/>
      <c r="P899" s="552"/>
      <c r="Q899" s="548">
        <v>6000</v>
      </c>
      <c r="R899" s="552">
        <v>7560000</v>
      </c>
      <c r="S899" s="548">
        <v>6000</v>
      </c>
      <c r="T899" s="552">
        <v>7560000</v>
      </c>
      <c r="U899" s="548">
        <v>0</v>
      </c>
      <c r="V899" s="552">
        <v>0</v>
      </c>
      <c r="W899" s="552">
        <v>0</v>
      </c>
      <c r="X899" s="552">
        <v>0</v>
      </c>
      <c r="Y899" s="552">
        <v>6000</v>
      </c>
      <c r="Z899" s="552">
        <v>7560000</v>
      </c>
      <c r="AA899" s="552">
        <v>6000</v>
      </c>
      <c r="AB899" s="552">
        <v>7560000</v>
      </c>
      <c r="AC899" s="552">
        <v>0</v>
      </c>
      <c r="AD899" s="552">
        <v>0</v>
      </c>
      <c r="AE899" s="552">
        <v>0</v>
      </c>
      <c r="AF899" s="552">
        <v>0</v>
      </c>
      <c r="AG899" s="552">
        <v>0</v>
      </c>
      <c r="AH899" s="552">
        <v>0</v>
      </c>
      <c r="AI899" s="552">
        <v>0</v>
      </c>
      <c r="AJ899" s="552">
        <v>0</v>
      </c>
    </row>
    <row r="900" spans="1:36" ht="15.95" customHeight="1">
      <c r="A900" s="547"/>
      <c r="B900" s="548">
        <v>994</v>
      </c>
      <c r="C900" s="549">
        <v>7459</v>
      </c>
      <c r="D900" s="550" t="s">
        <v>12422</v>
      </c>
      <c r="E900" s="550" t="s">
        <v>4738</v>
      </c>
      <c r="F900" s="550" t="s">
        <v>169</v>
      </c>
      <c r="G900" s="550" t="s">
        <v>170</v>
      </c>
      <c r="H900" s="550" t="s">
        <v>171</v>
      </c>
      <c r="I900" s="550" t="s">
        <v>11</v>
      </c>
      <c r="J900" s="550" t="s">
        <v>4739</v>
      </c>
      <c r="K900" s="551">
        <v>44892</v>
      </c>
      <c r="L900" s="552">
        <v>3450</v>
      </c>
      <c r="M900" s="552">
        <v>3450</v>
      </c>
      <c r="N900" s="552">
        <v>3450</v>
      </c>
      <c r="O900" s="552">
        <v>8328</v>
      </c>
      <c r="P900" s="552">
        <v>28731600</v>
      </c>
      <c r="Q900" s="548">
        <v>0</v>
      </c>
      <c r="R900" s="552">
        <v>0</v>
      </c>
      <c r="S900" s="548">
        <v>8328</v>
      </c>
      <c r="T900" s="552">
        <v>28731600</v>
      </c>
      <c r="U900" s="548">
        <v>0</v>
      </c>
      <c r="V900" s="552">
        <v>0</v>
      </c>
      <c r="W900" s="552">
        <v>0</v>
      </c>
      <c r="X900" s="552">
        <v>0</v>
      </c>
      <c r="Y900" s="552">
        <v>8328</v>
      </c>
      <c r="Z900" s="552">
        <v>28731600</v>
      </c>
      <c r="AA900" s="552">
        <v>8328</v>
      </c>
      <c r="AB900" s="552">
        <v>28731600</v>
      </c>
      <c r="AC900" s="552">
        <v>0</v>
      </c>
      <c r="AD900" s="552">
        <v>0</v>
      </c>
      <c r="AE900" s="552">
        <v>0</v>
      </c>
      <c r="AF900" s="552">
        <v>0</v>
      </c>
      <c r="AG900" s="552">
        <v>0</v>
      </c>
      <c r="AH900" s="552">
        <v>0</v>
      </c>
      <c r="AI900" s="552">
        <v>0</v>
      </c>
      <c r="AJ900" s="552">
        <v>0</v>
      </c>
    </row>
    <row r="901" spans="1:36" ht="15.95" customHeight="1">
      <c r="A901" s="547"/>
      <c r="B901" s="548">
        <v>995</v>
      </c>
      <c r="C901" s="549">
        <v>7459</v>
      </c>
      <c r="D901" s="550" t="s">
        <v>12422</v>
      </c>
      <c r="E901" s="550" t="s">
        <v>4738</v>
      </c>
      <c r="F901" s="550" t="s">
        <v>169</v>
      </c>
      <c r="G901" s="550" t="s">
        <v>170</v>
      </c>
      <c r="H901" s="550" t="s">
        <v>171</v>
      </c>
      <c r="I901" s="550" t="s">
        <v>11</v>
      </c>
      <c r="J901" s="550" t="s">
        <v>12423</v>
      </c>
      <c r="K901" s="551">
        <v>45165</v>
      </c>
      <c r="L901" s="552">
        <v>3450</v>
      </c>
      <c r="M901" s="552">
        <v>3450</v>
      </c>
      <c r="N901" s="552">
        <v>3450</v>
      </c>
      <c r="O901" s="552"/>
      <c r="P901" s="552"/>
      <c r="Q901" s="548">
        <v>10080</v>
      </c>
      <c r="R901" s="552">
        <v>34776000</v>
      </c>
      <c r="S901" s="548">
        <v>3570</v>
      </c>
      <c r="T901" s="552">
        <v>12316500</v>
      </c>
      <c r="U901" s="548">
        <v>6510</v>
      </c>
      <c r="V901" s="552">
        <v>22459500</v>
      </c>
      <c r="W901" s="552">
        <v>0</v>
      </c>
      <c r="X901" s="552">
        <v>0</v>
      </c>
      <c r="Y901" s="552">
        <v>3360</v>
      </c>
      <c r="Z901" s="552">
        <v>11592000</v>
      </c>
      <c r="AA901" s="552">
        <v>3360</v>
      </c>
      <c r="AB901" s="552">
        <v>11592000</v>
      </c>
      <c r="AC901" s="552">
        <v>0</v>
      </c>
      <c r="AD901" s="552">
        <v>0</v>
      </c>
      <c r="AE901" s="552">
        <v>0</v>
      </c>
      <c r="AF901" s="552">
        <v>0</v>
      </c>
      <c r="AG901" s="552">
        <v>210</v>
      </c>
      <c r="AH901" s="552">
        <v>724500</v>
      </c>
      <c r="AI901" s="552">
        <v>0</v>
      </c>
      <c r="AJ901" s="552">
        <v>0</v>
      </c>
    </row>
    <row r="902" spans="1:36" ht="15.95" customHeight="1">
      <c r="A902" s="547"/>
      <c r="B902" s="548">
        <v>1006</v>
      </c>
      <c r="C902" s="549">
        <v>7460</v>
      </c>
      <c r="D902" s="550" t="s">
        <v>12424</v>
      </c>
      <c r="E902" s="550" t="s">
        <v>4740</v>
      </c>
      <c r="F902" s="550" t="s">
        <v>4741</v>
      </c>
      <c r="G902" s="550" t="s">
        <v>4742</v>
      </c>
      <c r="H902" s="550" t="s">
        <v>4743</v>
      </c>
      <c r="I902" s="550" t="s">
        <v>1258</v>
      </c>
      <c r="J902" s="550" t="s">
        <v>12425</v>
      </c>
      <c r="K902" s="551">
        <v>45362</v>
      </c>
      <c r="L902" s="552">
        <v>4990</v>
      </c>
      <c r="M902" s="552">
        <v>4990</v>
      </c>
      <c r="N902" s="552">
        <v>4990</v>
      </c>
      <c r="O902" s="552"/>
      <c r="P902" s="552"/>
      <c r="Q902" s="548">
        <v>500</v>
      </c>
      <c r="R902" s="552">
        <v>2495000</v>
      </c>
      <c r="S902" s="548">
        <v>500</v>
      </c>
      <c r="T902" s="552">
        <v>2495000</v>
      </c>
      <c r="U902" s="548">
        <v>0</v>
      </c>
      <c r="V902" s="552">
        <v>0</v>
      </c>
      <c r="W902" s="552">
        <v>0</v>
      </c>
      <c r="X902" s="552">
        <v>0</v>
      </c>
      <c r="Y902" s="552">
        <v>500</v>
      </c>
      <c r="Z902" s="552">
        <v>2495000</v>
      </c>
      <c r="AA902" s="552">
        <v>0</v>
      </c>
      <c r="AB902" s="552">
        <v>0</v>
      </c>
      <c r="AC902" s="552">
        <v>500</v>
      </c>
      <c r="AD902" s="552">
        <v>2495000</v>
      </c>
      <c r="AE902" s="552">
        <v>0</v>
      </c>
      <c r="AF902" s="552">
        <v>0</v>
      </c>
      <c r="AG902" s="552">
        <v>0</v>
      </c>
      <c r="AH902" s="552">
        <v>0</v>
      </c>
      <c r="AI902" s="552">
        <v>0</v>
      </c>
      <c r="AJ902" s="552">
        <v>0</v>
      </c>
    </row>
    <row r="903" spans="1:36" ht="15.95" customHeight="1">
      <c r="A903" s="547"/>
      <c r="B903" s="548">
        <v>1007</v>
      </c>
      <c r="C903" s="549">
        <v>7461</v>
      </c>
      <c r="D903" s="550" t="s">
        <v>12426</v>
      </c>
      <c r="E903" s="550" t="s">
        <v>4744</v>
      </c>
      <c r="F903" s="550" t="s">
        <v>175</v>
      </c>
      <c r="G903" s="550" t="s">
        <v>176</v>
      </c>
      <c r="H903" s="550" t="s">
        <v>4745</v>
      </c>
      <c r="I903" s="550" t="s">
        <v>13</v>
      </c>
      <c r="J903" s="550" t="s">
        <v>4575</v>
      </c>
      <c r="K903" s="551">
        <v>44995</v>
      </c>
      <c r="L903" s="552">
        <v>2750</v>
      </c>
      <c r="M903" s="552">
        <v>2750</v>
      </c>
      <c r="N903" s="552">
        <v>2750</v>
      </c>
      <c r="O903" s="552">
        <v>960</v>
      </c>
      <c r="P903" s="552">
        <v>2640000</v>
      </c>
      <c r="Q903" s="548">
        <v>960</v>
      </c>
      <c r="R903" s="552">
        <v>2640000</v>
      </c>
      <c r="S903" s="548">
        <v>1304</v>
      </c>
      <c r="T903" s="552">
        <v>3586000</v>
      </c>
      <c r="U903" s="548">
        <v>616</v>
      </c>
      <c r="V903" s="552">
        <v>1694000</v>
      </c>
      <c r="W903" s="552">
        <v>0</v>
      </c>
      <c r="X903" s="552">
        <v>0</v>
      </c>
      <c r="Y903" s="552">
        <v>1304</v>
      </c>
      <c r="Z903" s="552">
        <v>3586000</v>
      </c>
      <c r="AA903" s="552">
        <v>1304</v>
      </c>
      <c r="AB903" s="552">
        <v>3586000</v>
      </c>
      <c r="AC903" s="552">
        <v>0</v>
      </c>
      <c r="AD903" s="552">
        <v>0</v>
      </c>
      <c r="AE903" s="552">
        <v>0</v>
      </c>
      <c r="AF903" s="552">
        <v>0</v>
      </c>
      <c r="AG903" s="552">
        <v>0</v>
      </c>
      <c r="AH903" s="552">
        <v>0</v>
      </c>
      <c r="AI903" s="552">
        <v>0</v>
      </c>
      <c r="AJ903" s="552">
        <v>0</v>
      </c>
    </row>
    <row r="904" spans="1:36" ht="15.95" customHeight="1">
      <c r="A904" s="547"/>
      <c r="B904" s="548">
        <v>1013</v>
      </c>
      <c r="C904" s="549">
        <v>7462</v>
      </c>
      <c r="D904" s="550" t="s">
        <v>12427</v>
      </c>
      <c r="E904" s="550" t="s">
        <v>4746</v>
      </c>
      <c r="F904" s="550" t="s">
        <v>4747</v>
      </c>
      <c r="G904" s="550" t="s">
        <v>4748</v>
      </c>
      <c r="H904" s="550" t="s">
        <v>4749</v>
      </c>
      <c r="I904" s="550" t="s">
        <v>658</v>
      </c>
      <c r="J904" s="550" t="s">
        <v>4750</v>
      </c>
      <c r="K904" s="551">
        <v>44938</v>
      </c>
      <c r="L904" s="552">
        <v>39900</v>
      </c>
      <c r="M904" s="552">
        <v>39900</v>
      </c>
      <c r="N904" s="552">
        <v>39900</v>
      </c>
      <c r="O904" s="552">
        <v>29</v>
      </c>
      <c r="P904" s="552">
        <v>1157100</v>
      </c>
      <c r="Q904" s="548">
        <v>0</v>
      </c>
      <c r="R904" s="552">
        <v>0</v>
      </c>
      <c r="S904" s="548">
        <v>29</v>
      </c>
      <c r="T904" s="552">
        <v>1157100</v>
      </c>
      <c r="U904" s="548">
        <v>0</v>
      </c>
      <c r="V904" s="552">
        <v>0</v>
      </c>
      <c r="W904" s="552">
        <v>0</v>
      </c>
      <c r="X904" s="552">
        <v>0</v>
      </c>
      <c r="Y904" s="552">
        <v>29</v>
      </c>
      <c r="Z904" s="552">
        <v>1157100</v>
      </c>
      <c r="AA904" s="552">
        <v>29</v>
      </c>
      <c r="AB904" s="552">
        <v>1157100</v>
      </c>
      <c r="AC904" s="552">
        <v>0</v>
      </c>
      <c r="AD904" s="552">
        <v>0</v>
      </c>
      <c r="AE904" s="552">
        <v>0</v>
      </c>
      <c r="AF904" s="552">
        <v>0</v>
      </c>
      <c r="AG904" s="552">
        <v>0</v>
      </c>
      <c r="AH904" s="552">
        <v>0</v>
      </c>
      <c r="AI904" s="552">
        <v>0</v>
      </c>
      <c r="AJ904" s="552">
        <v>0</v>
      </c>
    </row>
    <row r="905" spans="1:36" ht="15.95" customHeight="1">
      <c r="A905" s="547"/>
      <c r="B905" s="548">
        <v>1014</v>
      </c>
      <c r="C905" s="549">
        <v>7462</v>
      </c>
      <c r="D905" s="550" t="s">
        <v>12427</v>
      </c>
      <c r="E905" s="550" t="s">
        <v>4746</v>
      </c>
      <c r="F905" s="550" t="s">
        <v>4747</v>
      </c>
      <c r="G905" s="550" t="s">
        <v>4748</v>
      </c>
      <c r="H905" s="550" t="s">
        <v>4749</v>
      </c>
      <c r="I905" s="550" t="s">
        <v>658</v>
      </c>
      <c r="J905" s="550" t="s">
        <v>12428</v>
      </c>
      <c r="K905" s="551">
        <v>45096</v>
      </c>
      <c r="L905" s="552">
        <v>39900</v>
      </c>
      <c r="M905" s="552">
        <v>39900</v>
      </c>
      <c r="N905" s="552">
        <v>39900</v>
      </c>
      <c r="O905" s="552">
        <v>100</v>
      </c>
      <c r="P905" s="552">
        <v>3990000</v>
      </c>
      <c r="Q905" s="548">
        <v>0</v>
      </c>
      <c r="R905" s="552">
        <v>0</v>
      </c>
      <c r="S905" s="548">
        <v>100</v>
      </c>
      <c r="T905" s="552">
        <v>3990000</v>
      </c>
      <c r="U905" s="548">
        <v>0</v>
      </c>
      <c r="V905" s="552">
        <v>0</v>
      </c>
      <c r="W905" s="552">
        <v>0</v>
      </c>
      <c r="X905" s="552">
        <v>0</v>
      </c>
      <c r="Y905" s="552">
        <v>100</v>
      </c>
      <c r="Z905" s="552">
        <v>3990000</v>
      </c>
      <c r="AA905" s="552">
        <v>100</v>
      </c>
      <c r="AB905" s="552">
        <v>3990000</v>
      </c>
      <c r="AC905" s="552">
        <v>0</v>
      </c>
      <c r="AD905" s="552">
        <v>0</v>
      </c>
      <c r="AE905" s="552">
        <v>0</v>
      </c>
      <c r="AF905" s="552">
        <v>0</v>
      </c>
      <c r="AG905" s="552">
        <v>0</v>
      </c>
      <c r="AH905" s="552">
        <v>0</v>
      </c>
      <c r="AI905" s="552">
        <v>0</v>
      </c>
      <c r="AJ905" s="552">
        <v>0</v>
      </c>
    </row>
    <row r="906" spans="1:36" ht="15.95" customHeight="1">
      <c r="A906" s="547"/>
      <c r="B906" s="548">
        <v>1015</v>
      </c>
      <c r="C906" s="549">
        <v>7462</v>
      </c>
      <c r="D906" s="550" t="s">
        <v>12427</v>
      </c>
      <c r="E906" s="550" t="s">
        <v>4746</v>
      </c>
      <c r="F906" s="550" t="s">
        <v>4747</v>
      </c>
      <c r="G906" s="550" t="s">
        <v>4748</v>
      </c>
      <c r="H906" s="550" t="s">
        <v>4749</v>
      </c>
      <c r="I906" s="550" t="s">
        <v>658</v>
      </c>
      <c r="J906" s="550" t="s">
        <v>12429</v>
      </c>
      <c r="K906" s="551">
        <v>45111</v>
      </c>
      <c r="L906" s="552">
        <v>39900</v>
      </c>
      <c r="M906" s="552">
        <v>39900</v>
      </c>
      <c r="N906" s="552">
        <v>39900</v>
      </c>
      <c r="O906" s="552"/>
      <c r="P906" s="552"/>
      <c r="Q906" s="548">
        <v>100</v>
      </c>
      <c r="R906" s="552">
        <v>3990000</v>
      </c>
      <c r="S906" s="548">
        <v>21</v>
      </c>
      <c r="T906" s="552">
        <v>837900</v>
      </c>
      <c r="U906" s="548">
        <v>79</v>
      </c>
      <c r="V906" s="552">
        <v>3152100</v>
      </c>
      <c r="W906" s="552">
        <v>0</v>
      </c>
      <c r="X906" s="552">
        <v>0</v>
      </c>
      <c r="Y906" s="552">
        <v>21</v>
      </c>
      <c r="Z906" s="552">
        <v>837900</v>
      </c>
      <c r="AA906" s="552">
        <v>21</v>
      </c>
      <c r="AB906" s="552">
        <v>837900</v>
      </c>
      <c r="AC906" s="552">
        <v>0</v>
      </c>
      <c r="AD906" s="552">
        <v>0</v>
      </c>
      <c r="AE906" s="552">
        <v>0</v>
      </c>
      <c r="AF906" s="552">
        <v>0</v>
      </c>
      <c r="AG906" s="552">
        <v>0</v>
      </c>
      <c r="AH906" s="552">
        <v>0</v>
      </c>
      <c r="AI906" s="552">
        <v>0</v>
      </c>
      <c r="AJ906" s="552">
        <v>0</v>
      </c>
    </row>
    <row r="907" spans="1:36" ht="15.95" customHeight="1">
      <c r="A907" s="547"/>
      <c r="B907" s="548">
        <v>1016</v>
      </c>
      <c r="C907" s="549">
        <v>7477</v>
      </c>
      <c r="D907" s="550" t="s">
        <v>12430</v>
      </c>
      <c r="E907" s="550" t="s">
        <v>4751</v>
      </c>
      <c r="F907" s="550" t="s">
        <v>4752</v>
      </c>
      <c r="G907" s="550" t="s">
        <v>4753</v>
      </c>
      <c r="H907" s="550" t="s">
        <v>4754</v>
      </c>
      <c r="I907" s="550" t="s">
        <v>11</v>
      </c>
      <c r="J907" s="550" t="s">
        <v>4755</v>
      </c>
      <c r="K907" s="551">
        <v>45028</v>
      </c>
      <c r="L907" s="552">
        <v>1900</v>
      </c>
      <c r="M907" s="552">
        <v>1900</v>
      </c>
      <c r="N907" s="552">
        <v>1900</v>
      </c>
      <c r="O907" s="552">
        <v>4556</v>
      </c>
      <c r="P907" s="552">
        <v>8656400</v>
      </c>
      <c r="Q907" s="548">
        <v>0</v>
      </c>
      <c r="R907" s="552">
        <v>0</v>
      </c>
      <c r="S907" s="548">
        <v>4556</v>
      </c>
      <c r="T907" s="552">
        <v>8656400</v>
      </c>
      <c r="U907" s="548">
        <v>0</v>
      </c>
      <c r="V907" s="552">
        <v>0</v>
      </c>
      <c r="W907" s="552">
        <v>0</v>
      </c>
      <c r="X907" s="552">
        <v>0</v>
      </c>
      <c r="Y907" s="552">
        <v>4556</v>
      </c>
      <c r="Z907" s="552">
        <v>8656400</v>
      </c>
      <c r="AA907" s="552">
        <v>4556</v>
      </c>
      <c r="AB907" s="552">
        <v>8656400</v>
      </c>
      <c r="AC907" s="552">
        <v>0</v>
      </c>
      <c r="AD907" s="552">
        <v>0</v>
      </c>
      <c r="AE907" s="552">
        <v>0</v>
      </c>
      <c r="AF907" s="552">
        <v>0</v>
      </c>
      <c r="AG907" s="552">
        <v>0</v>
      </c>
      <c r="AH907" s="552">
        <v>0</v>
      </c>
      <c r="AI907" s="552">
        <v>0</v>
      </c>
      <c r="AJ907" s="552">
        <v>0</v>
      </c>
    </row>
    <row r="908" spans="1:36" ht="15.95" customHeight="1">
      <c r="A908" s="547"/>
      <c r="B908" s="548">
        <v>1017</v>
      </c>
      <c r="C908" s="549">
        <v>7477</v>
      </c>
      <c r="D908" s="550" t="s">
        <v>12430</v>
      </c>
      <c r="E908" s="550" t="s">
        <v>4751</v>
      </c>
      <c r="F908" s="550" t="s">
        <v>4752</v>
      </c>
      <c r="G908" s="550" t="s">
        <v>4753</v>
      </c>
      <c r="H908" s="550" t="s">
        <v>4754</v>
      </c>
      <c r="I908" s="550" t="s">
        <v>11</v>
      </c>
      <c r="J908" s="550" t="s">
        <v>12431</v>
      </c>
      <c r="K908" s="551">
        <v>45266</v>
      </c>
      <c r="L908" s="552">
        <v>1900</v>
      </c>
      <c r="M908" s="552">
        <v>1900</v>
      </c>
      <c r="N908" s="552">
        <v>1900</v>
      </c>
      <c r="O908" s="552"/>
      <c r="P908" s="552"/>
      <c r="Q908" s="548">
        <v>5000</v>
      </c>
      <c r="R908" s="552">
        <v>9500000</v>
      </c>
      <c r="S908" s="548">
        <v>2293</v>
      </c>
      <c r="T908" s="552">
        <v>4356700</v>
      </c>
      <c r="U908" s="548">
        <v>2707</v>
      </c>
      <c r="V908" s="552">
        <v>5143300</v>
      </c>
      <c r="W908" s="552">
        <v>0</v>
      </c>
      <c r="X908" s="552">
        <v>0</v>
      </c>
      <c r="Y908" s="552">
        <v>2293</v>
      </c>
      <c r="Z908" s="552">
        <v>4356700</v>
      </c>
      <c r="AA908" s="552">
        <v>2293</v>
      </c>
      <c r="AB908" s="552">
        <v>4356700</v>
      </c>
      <c r="AC908" s="552">
        <v>0</v>
      </c>
      <c r="AD908" s="552">
        <v>0</v>
      </c>
      <c r="AE908" s="552">
        <v>0</v>
      </c>
      <c r="AF908" s="552">
        <v>0</v>
      </c>
      <c r="AG908" s="552">
        <v>0</v>
      </c>
      <c r="AH908" s="552">
        <v>0</v>
      </c>
      <c r="AI908" s="552">
        <v>0</v>
      </c>
      <c r="AJ908" s="552">
        <v>0</v>
      </c>
    </row>
    <row r="909" spans="1:36" ht="15.95" customHeight="1">
      <c r="A909" s="547"/>
      <c r="B909" s="548">
        <v>1018</v>
      </c>
      <c r="C909" s="549">
        <v>7464</v>
      </c>
      <c r="D909" s="550" t="s">
        <v>12432</v>
      </c>
      <c r="E909" s="550" t="s">
        <v>8529</v>
      </c>
      <c r="F909" s="550" t="s">
        <v>12433</v>
      </c>
      <c r="G909" s="550" t="s">
        <v>12434</v>
      </c>
      <c r="H909" s="550" t="s">
        <v>8531</v>
      </c>
      <c r="I909" s="550" t="s">
        <v>13</v>
      </c>
      <c r="J909" s="550" t="s">
        <v>3984</v>
      </c>
      <c r="K909" s="551">
        <v>44967</v>
      </c>
      <c r="L909" s="552">
        <v>1800</v>
      </c>
      <c r="M909" s="552">
        <v>1800</v>
      </c>
      <c r="N909" s="552">
        <v>1800</v>
      </c>
      <c r="O909" s="552"/>
      <c r="P909" s="552"/>
      <c r="Q909" s="548">
        <v>8130</v>
      </c>
      <c r="R909" s="552">
        <v>14634000</v>
      </c>
      <c r="S909" s="548">
        <v>5000</v>
      </c>
      <c r="T909" s="552">
        <v>9000000</v>
      </c>
      <c r="U909" s="548">
        <v>3130</v>
      </c>
      <c r="V909" s="552">
        <v>5634000</v>
      </c>
      <c r="W909" s="552">
        <v>0</v>
      </c>
      <c r="X909" s="552">
        <v>0</v>
      </c>
      <c r="Y909" s="552">
        <v>5000</v>
      </c>
      <c r="Z909" s="552">
        <v>9000000</v>
      </c>
      <c r="AA909" s="552">
        <v>5000</v>
      </c>
      <c r="AB909" s="552">
        <v>9000000</v>
      </c>
      <c r="AC909" s="552">
        <v>0</v>
      </c>
      <c r="AD909" s="552">
        <v>0</v>
      </c>
      <c r="AE909" s="552">
        <v>0</v>
      </c>
      <c r="AF909" s="552">
        <v>0</v>
      </c>
      <c r="AG909" s="552">
        <v>0</v>
      </c>
      <c r="AH909" s="552">
        <v>0</v>
      </c>
      <c r="AI909" s="552">
        <v>0</v>
      </c>
      <c r="AJ909" s="552">
        <v>0</v>
      </c>
    </row>
    <row r="910" spans="1:36" ht="15.95" customHeight="1">
      <c r="A910" s="547"/>
      <c r="B910" s="548">
        <v>1019</v>
      </c>
      <c r="C910" s="549">
        <v>7464</v>
      </c>
      <c r="D910" s="550" t="s">
        <v>12432</v>
      </c>
      <c r="E910" s="550" t="s">
        <v>8529</v>
      </c>
      <c r="F910" s="550" t="s">
        <v>12433</v>
      </c>
      <c r="G910" s="550" t="s">
        <v>12434</v>
      </c>
      <c r="H910" s="550" t="s">
        <v>8531</v>
      </c>
      <c r="I910" s="550" t="s">
        <v>13</v>
      </c>
      <c r="J910" s="550" t="s">
        <v>11686</v>
      </c>
      <c r="K910" s="551">
        <v>45492</v>
      </c>
      <c r="L910" s="552">
        <v>1800</v>
      </c>
      <c r="M910" s="552">
        <v>1800</v>
      </c>
      <c r="N910" s="552">
        <v>1800</v>
      </c>
      <c r="O910" s="552"/>
      <c r="P910" s="552"/>
      <c r="Q910" s="548">
        <v>6870</v>
      </c>
      <c r="R910" s="552">
        <v>12366000</v>
      </c>
      <c r="S910" s="548">
        <v>0</v>
      </c>
      <c r="T910" s="552">
        <v>0</v>
      </c>
      <c r="U910" s="548">
        <v>6870</v>
      </c>
      <c r="V910" s="552">
        <v>12366000</v>
      </c>
      <c r="W910" s="552">
        <v>0</v>
      </c>
      <c r="X910" s="552">
        <v>0</v>
      </c>
      <c r="Y910" s="552">
        <v>0</v>
      </c>
      <c r="Z910" s="552">
        <v>0</v>
      </c>
      <c r="AA910" s="552">
        <v>0</v>
      </c>
      <c r="AB910" s="552">
        <v>0</v>
      </c>
      <c r="AC910" s="552">
        <v>0</v>
      </c>
      <c r="AD910" s="552">
        <v>0</v>
      </c>
      <c r="AE910" s="552">
        <v>0</v>
      </c>
      <c r="AF910" s="552">
        <v>0</v>
      </c>
      <c r="AG910" s="552">
        <v>0</v>
      </c>
      <c r="AH910" s="552">
        <v>0</v>
      </c>
      <c r="AI910" s="552">
        <v>0</v>
      </c>
      <c r="AJ910" s="552">
        <v>0</v>
      </c>
    </row>
    <row r="911" spans="1:36" ht="15.95" customHeight="1">
      <c r="A911" s="547"/>
      <c r="B911" s="548">
        <v>1020</v>
      </c>
      <c r="C911" s="549">
        <v>7465</v>
      </c>
      <c r="D911" s="550" t="s">
        <v>12435</v>
      </c>
      <c r="E911" s="550" t="s">
        <v>4756</v>
      </c>
      <c r="F911" s="550" t="s">
        <v>4757</v>
      </c>
      <c r="G911" s="550" t="s">
        <v>4758</v>
      </c>
      <c r="H911" s="550" t="s">
        <v>4759</v>
      </c>
      <c r="I911" s="550" t="s">
        <v>15</v>
      </c>
      <c r="J911" s="550" t="s">
        <v>4760</v>
      </c>
      <c r="K911" s="551">
        <v>45025</v>
      </c>
      <c r="L911" s="552">
        <v>23100</v>
      </c>
      <c r="M911" s="552">
        <v>23100</v>
      </c>
      <c r="N911" s="552">
        <v>23100</v>
      </c>
      <c r="O911" s="552">
        <v>103</v>
      </c>
      <c r="P911" s="552">
        <v>2379300</v>
      </c>
      <c r="Q911" s="548">
        <v>0</v>
      </c>
      <c r="R911" s="552">
        <v>0</v>
      </c>
      <c r="S911" s="548">
        <v>103</v>
      </c>
      <c r="T911" s="552">
        <v>2379300</v>
      </c>
      <c r="U911" s="548">
        <v>0</v>
      </c>
      <c r="V911" s="552">
        <v>0</v>
      </c>
      <c r="W911" s="552">
        <v>265</v>
      </c>
      <c r="X911" s="552">
        <v>6121500</v>
      </c>
      <c r="Y911" s="552">
        <v>103</v>
      </c>
      <c r="Z911" s="552">
        <v>2379300</v>
      </c>
      <c r="AA911" s="552">
        <v>103</v>
      </c>
      <c r="AB911" s="552">
        <v>2379300</v>
      </c>
      <c r="AC911" s="552">
        <v>0</v>
      </c>
      <c r="AD911" s="552">
        <v>0</v>
      </c>
      <c r="AE911" s="552">
        <v>0</v>
      </c>
      <c r="AF911" s="552">
        <v>0</v>
      </c>
      <c r="AG911" s="552">
        <v>0</v>
      </c>
      <c r="AH911" s="552">
        <v>0</v>
      </c>
      <c r="AI911" s="552">
        <v>0</v>
      </c>
      <c r="AJ911" s="552">
        <v>0</v>
      </c>
    </row>
    <row r="912" spans="1:36" ht="15.95" customHeight="1">
      <c r="A912" s="547"/>
      <c r="B912" s="548">
        <v>1021</v>
      </c>
      <c r="C912" s="549">
        <v>7465</v>
      </c>
      <c r="D912" s="550" t="s">
        <v>12435</v>
      </c>
      <c r="E912" s="550" t="s">
        <v>4756</v>
      </c>
      <c r="F912" s="550" t="s">
        <v>4757</v>
      </c>
      <c r="G912" s="550" t="s">
        <v>4758</v>
      </c>
      <c r="H912" s="550" t="s">
        <v>4759</v>
      </c>
      <c r="I912" s="550" t="s">
        <v>15</v>
      </c>
      <c r="J912" s="550" t="s">
        <v>12436</v>
      </c>
      <c r="K912" s="551">
        <v>45158</v>
      </c>
      <c r="L912" s="552">
        <v>23100</v>
      </c>
      <c r="M912" s="552">
        <v>23100</v>
      </c>
      <c r="N912" s="552">
        <v>23100</v>
      </c>
      <c r="O912" s="552">
        <v>205</v>
      </c>
      <c r="P912" s="552">
        <v>4735500</v>
      </c>
      <c r="Q912" s="548">
        <v>40</v>
      </c>
      <c r="R912" s="552">
        <v>924000</v>
      </c>
      <c r="S912" s="548">
        <v>245</v>
      </c>
      <c r="T912" s="552">
        <v>5659500</v>
      </c>
      <c r="U912" s="548">
        <v>0</v>
      </c>
      <c r="V912" s="552">
        <v>0</v>
      </c>
      <c r="W912" s="552">
        <v>121</v>
      </c>
      <c r="X912" s="552">
        <v>2795100</v>
      </c>
      <c r="Y912" s="552">
        <v>245</v>
      </c>
      <c r="Z912" s="552">
        <v>5659500</v>
      </c>
      <c r="AA912" s="552">
        <v>120</v>
      </c>
      <c r="AB912" s="552">
        <v>2772000</v>
      </c>
      <c r="AC912" s="552">
        <v>125</v>
      </c>
      <c r="AD912" s="552">
        <v>2887500</v>
      </c>
      <c r="AE912" s="552">
        <v>0</v>
      </c>
      <c r="AF912" s="552">
        <v>0</v>
      </c>
      <c r="AG912" s="552">
        <v>0</v>
      </c>
      <c r="AH912" s="552">
        <v>0</v>
      </c>
      <c r="AI912" s="552">
        <v>40</v>
      </c>
      <c r="AJ912" s="552">
        <v>924000</v>
      </c>
    </row>
    <row r="913" spans="1:36" ht="15.95" customHeight="1">
      <c r="A913" s="547"/>
      <c r="B913" s="548">
        <v>1022</v>
      </c>
      <c r="C913" s="549">
        <v>7465</v>
      </c>
      <c r="D913" s="550" t="s">
        <v>12435</v>
      </c>
      <c r="E913" s="550" t="s">
        <v>4756</v>
      </c>
      <c r="F913" s="550" t="s">
        <v>4757</v>
      </c>
      <c r="G913" s="550" t="s">
        <v>4758</v>
      </c>
      <c r="H913" s="550" t="s">
        <v>4759</v>
      </c>
      <c r="I913" s="550" t="s">
        <v>15</v>
      </c>
      <c r="J913" s="550" t="s">
        <v>12437</v>
      </c>
      <c r="K913" s="551">
        <v>45271</v>
      </c>
      <c r="L913" s="552">
        <v>23100</v>
      </c>
      <c r="M913" s="552">
        <v>23100</v>
      </c>
      <c r="N913" s="552">
        <v>23100</v>
      </c>
      <c r="O913" s="552"/>
      <c r="P913" s="552"/>
      <c r="Q913" s="548">
        <v>800</v>
      </c>
      <c r="R913" s="552">
        <v>18480000</v>
      </c>
      <c r="S913" s="548">
        <v>627</v>
      </c>
      <c r="T913" s="552">
        <v>14483700</v>
      </c>
      <c r="U913" s="548">
        <v>173</v>
      </c>
      <c r="V913" s="552">
        <v>3996300</v>
      </c>
      <c r="W913" s="552">
        <v>149</v>
      </c>
      <c r="X913" s="552">
        <v>3441900</v>
      </c>
      <c r="Y913" s="552">
        <v>627</v>
      </c>
      <c r="Z913" s="552">
        <v>14483700</v>
      </c>
      <c r="AA913" s="552">
        <v>202</v>
      </c>
      <c r="AB913" s="552">
        <v>4666200</v>
      </c>
      <c r="AC913" s="552">
        <v>425</v>
      </c>
      <c r="AD913" s="552">
        <v>9817500</v>
      </c>
      <c r="AE913" s="552">
        <v>0</v>
      </c>
      <c r="AF913" s="552">
        <v>0</v>
      </c>
      <c r="AG913" s="552">
        <v>0</v>
      </c>
      <c r="AH913" s="552">
        <v>0</v>
      </c>
      <c r="AI913" s="552">
        <v>0</v>
      </c>
      <c r="AJ913" s="552">
        <v>0</v>
      </c>
    </row>
    <row r="914" spans="1:36" ht="15.95" customHeight="1">
      <c r="A914" s="547"/>
      <c r="B914" s="548">
        <v>1023</v>
      </c>
      <c r="C914" s="549">
        <v>7465</v>
      </c>
      <c r="D914" s="550" t="s">
        <v>12435</v>
      </c>
      <c r="E914" s="550" t="s">
        <v>4756</v>
      </c>
      <c r="F914" s="550" t="s">
        <v>4757</v>
      </c>
      <c r="G914" s="550" t="s">
        <v>4758</v>
      </c>
      <c r="H914" s="550" t="s">
        <v>4759</v>
      </c>
      <c r="I914" s="550" t="s">
        <v>15</v>
      </c>
      <c r="J914" s="550" t="s">
        <v>12438</v>
      </c>
      <c r="K914" s="551">
        <v>45302</v>
      </c>
      <c r="L914" s="552">
        <v>23100</v>
      </c>
      <c r="M914" s="552">
        <v>23100</v>
      </c>
      <c r="N914" s="552">
        <v>23100</v>
      </c>
      <c r="O914" s="552"/>
      <c r="P914" s="552"/>
      <c r="Q914" s="548">
        <v>400</v>
      </c>
      <c r="R914" s="552">
        <v>9240000</v>
      </c>
      <c r="S914" s="548">
        <v>0</v>
      </c>
      <c r="T914" s="552">
        <v>0</v>
      </c>
      <c r="U914" s="548">
        <v>400</v>
      </c>
      <c r="V914" s="552">
        <v>9240000</v>
      </c>
      <c r="W914" s="552">
        <v>0</v>
      </c>
      <c r="X914" s="552">
        <v>0</v>
      </c>
      <c r="Y914" s="552">
        <v>0</v>
      </c>
      <c r="Z914" s="552">
        <v>0</v>
      </c>
      <c r="AA914" s="552">
        <v>0</v>
      </c>
      <c r="AB914" s="552">
        <v>0</v>
      </c>
      <c r="AC914" s="552">
        <v>0</v>
      </c>
      <c r="AD914" s="552">
        <v>0</v>
      </c>
      <c r="AE914" s="552">
        <v>0</v>
      </c>
      <c r="AF914" s="552">
        <v>0</v>
      </c>
      <c r="AG914" s="552">
        <v>0</v>
      </c>
      <c r="AH914" s="552">
        <v>0</v>
      </c>
      <c r="AI914" s="552">
        <v>0</v>
      </c>
      <c r="AJ914" s="552">
        <v>0</v>
      </c>
    </row>
    <row r="915" spans="1:36" ht="15.95" customHeight="1">
      <c r="A915" s="547"/>
      <c r="B915" s="548">
        <v>1028</v>
      </c>
      <c r="C915" s="549">
        <v>7487</v>
      </c>
      <c r="D915" s="550" t="s">
        <v>12439</v>
      </c>
      <c r="E915" s="550" t="s">
        <v>8798</v>
      </c>
      <c r="F915" s="550" t="s">
        <v>189</v>
      </c>
      <c r="G915" s="550" t="s">
        <v>12440</v>
      </c>
      <c r="H915" s="550" t="s">
        <v>12441</v>
      </c>
      <c r="I915" s="550" t="s">
        <v>11</v>
      </c>
      <c r="J915" s="550" t="s">
        <v>12442</v>
      </c>
      <c r="K915" s="551">
        <v>45341</v>
      </c>
      <c r="L915" s="552">
        <v>2975</v>
      </c>
      <c r="M915" s="552">
        <v>2975</v>
      </c>
      <c r="N915" s="552">
        <v>2975</v>
      </c>
      <c r="O915" s="552"/>
      <c r="P915" s="552"/>
      <c r="Q915" s="548">
        <v>10000</v>
      </c>
      <c r="R915" s="552">
        <v>29750000</v>
      </c>
      <c r="S915" s="548">
        <v>9994</v>
      </c>
      <c r="T915" s="552">
        <v>29732150</v>
      </c>
      <c r="U915" s="548">
        <v>6</v>
      </c>
      <c r="V915" s="552">
        <v>17850</v>
      </c>
      <c r="W915" s="552">
        <v>0</v>
      </c>
      <c r="X915" s="552">
        <v>0</v>
      </c>
      <c r="Y915" s="552">
        <v>9994</v>
      </c>
      <c r="Z915" s="552">
        <v>29732150</v>
      </c>
      <c r="AA915" s="552">
        <v>9994</v>
      </c>
      <c r="AB915" s="552">
        <v>29732150</v>
      </c>
      <c r="AC915" s="552">
        <v>0</v>
      </c>
      <c r="AD915" s="552">
        <v>0</v>
      </c>
      <c r="AE915" s="552">
        <v>0</v>
      </c>
      <c r="AF915" s="552">
        <v>0</v>
      </c>
      <c r="AG915" s="552">
        <v>0</v>
      </c>
      <c r="AH915" s="552">
        <v>0</v>
      </c>
      <c r="AI915" s="552">
        <v>0</v>
      </c>
      <c r="AJ915" s="552">
        <v>0</v>
      </c>
    </row>
    <row r="916" spans="1:36" ht="15.95" customHeight="1">
      <c r="A916" s="547"/>
      <c r="B916" s="548">
        <v>1029</v>
      </c>
      <c r="C916" s="549">
        <v>7487</v>
      </c>
      <c r="D916" s="550" t="s">
        <v>12439</v>
      </c>
      <c r="E916" s="550" t="s">
        <v>8798</v>
      </c>
      <c r="F916" s="550" t="s">
        <v>189</v>
      </c>
      <c r="G916" s="550" t="s">
        <v>12440</v>
      </c>
      <c r="H916" s="550" t="s">
        <v>12441</v>
      </c>
      <c r="I916" s="550" t="s">
        <v>11</v>
      </c>
      <c r="J916" s="550" t="s">
        <v>12443</v>
      </c>
      <c r="K916" s="551">
        <v>45457</v>
      </c>
      <c r="L916" s="552">
        <v>2975</v>
      </c>
      <c r="M916" s="552">
        <v>2975</v>
      </c>
      <c r="N916" s="552">
        <v>2975</v>
      </c>
      <c r="O916" s="552"/>
      <c r="P916" s="552"/>
      <c r="Q916" s="548">
        <v>10000</v>
      </c>
      <c r="R916" s="552">
        <v>29750000</v>
      </c>
      <c r="S916" s="548">
        <v>0</v>
      </c>
      <c r="T916" s="552">
        <v>0</v>
      </c>
      <c r="U916" s="548">
        <v>10000</v>
      </c>
      <c r="V916" s="552">
        <v>29750000</v>
      </c>
      <c r="W916" s="552">
        <v>0</v>
      </c>
      <c r="X916" s="552">
        <v>0</v>
      </c>
      <c r="Y916" s="552">
        <v>0</v>
      </c>
      <c r="Z916" s="552">
        <v>0</v>
      </c>
      <c r="AA916" s="552">
        <v>0</v>
      </c>
      <c r="AB916" s="552">
        <v>0</v>
      </c>
      <c r="AC916" s="552">
        <v>0</v>
      </c>
      <c r="AD916" s="552">
        <v>0</v>
      </c>
      <c r="AE916" s="552">
        <v>0</v>
      </c>
      <c r="AF916" s="552">
        <v>0</v>
      </c>
      <c r="AG916" s="552">
        <v>0</v>
      </c>
      <c r="AH916" s="552">
        <v>0</v>
      </c>
      <c r="AI916" s="552">
        <v>0</v>
      </c>
      <c r="AJ916" s="552">
        <v>0</v>
      </c>
    </row>
    <row r="917" spans="1:36" ht="15.95" customHeight="1">
      <c r="A917" s="547"/>
      <c r="B917" s="548">
        <v>1030</v>
      </c>
      <c r="C917" s="549">
        <v>7487</v>
      </c>
      <c r="D917" s="550" t="s">
        <v>12439</v>
      </c>
      <c r="E917" s="550" t="s">
        <v>8798</v>
      </c>
      <c r="F917" s="550" t="s">
        <v>189</v>
      </c>
      <c r="G917" s="550" t="s">
        <v>12440</v>
      </c>
      <c r="H917" s="550" t="s">
        <v>12441</v>
      </c>
      <c r="I917" s="550" t="s">
        <v>11</v>
      </c>
      <c r="J917" s="550" t="s">
        <v>12444</v>
      </c>
      <c r="K917" s="551">
        <v>45211</v>
      </c>
      <c r="L917" s="552">
        <v>2975</v>
      </c>
      <c r="M917" s="552">
        <v>2975</v>
      </c>
      <c r="N917" s="552">
        <v>2975</v>
      </c>
      <c r="O917" s="552">
        <v>10000</v>
      </c>
      <c r="P917" s="552">
        <v>29750000</v>
      </c>
      <c r="Q917" s="548">
        <v>0</v>
      </c>
      <c r="R917" s="552">
        <v>0</v>
      </c>
      <c r="S917" s="548">
        <v>10000</v>
      </c>
      <c r="T917" s="552">
        <v>29750000</v>
      </c>
      <c r="U917" s="548">
        <v>0</v>
      </c>
      <c r="V917" s="552">
        <v>0</v>
      </c>
      <c r="W917" s="552">
        <v>0</v>
      </c>
      <c r="X917" s="552">
        <v>0</v>
      </c>
      <c r="Y917" s="552">
        <v>10000</v>
      </c>
      <c r="Z917" s="552">
        <v>29750000</v>
      </c>
      <c r="AA917" s="552">
        <v>10000</v>
      </c>
      <c r="AB917" s="552">
        <v>29750000</v>
      </c>
      <c r="AC917" s="552">
        <v>0</v>
      </c>
      <c r="AD917" s="552">
        <v>0</v>
      </c>
      <c r="AE917" s="552">
        <v>0</v>
      </c>
      <c r="AF917" s="552">
        <v>0</v>
      </c>
      <c r="AG917" s="552">
        <v>0</v>
      </c>
      <c r="AH917" s="552">
        <v>0</v>
      </c>
      <c r="AI917" s="552">
        <v>0</v>
      </c>
      <c r="AJ917" s="552">
        <v>0</v>
      </c>
    </row>
    <row r="918" spans="1:36" ht="15.95" customHeight="1">
      <c r="A918" s="547"/>
      <c r="B918" s="548">
        <v>1031</v>
      </c>
      <c r="C918" s="549">
        <v>7487</v>
      </c>
      <c r="D918" s="550" t="s">
        <v>12439</v>
      </c>
      <c r="E918" s="550" t="s">
        <v>8798</v>
      </c>
      <c r="F918" s="550" t="s">
        <v>189</v>
      </c>
      <c r="G918" s="550" t="s">
        <v>12440</v>
      </c>
      <c r="H918" s="550" t="s">
        <v>12441</v>
      </c>
      <c r="I918" s="550" t="s">
        <v>11</v>
      </c>
      <c r="J918" s="550" t="s">
        <v>12445</v>
      </c>
      <c r="K918" s="551">
        <v>45248</v>
      </c>
      <c r="L918" s="552">
        <v>2975</v>
      </c>
      <c r="M918" s="552">
        <v>2975</v>
      </c>
      <c r="N918" s="552">
        <v>2975</v>
      </c>
      <c r="O918" s="552"/>
      <c r="P918" s="552"/>
      <c r="Q918" s="548">
        <v>20000</v>
      </c>
      <c r="R918" s="552">
        <v>59500000</v>
      </c>
      <c r="S918" s="548">
        <v>20000</v>
      </c>
      <c r="T918" s="552">
        <v>59500000</v>
      </c>
      <c r="U918" s="548">
        <v>0</v>
      </c>
      <c r="V918" s="552">
        <v>0</v>
      </c>
      <c r="W918" s="552">
        <v>0</v>
      </c>
      <c r="X918" s="552">
        <v>0</v>
      </c>
      <c r="Y918" s="552">
        <v>20000</v>
      </c>
      <c r="Z918" s="552">
        <v>59500000</v>
      </c>
      <c r="AA918" s="552">
        <v>20000</v>
      </c>
      <c r="AB918" s="552">
        <v>59500000</v>
      </c>
      <c r="AC918" s="552">
        <v>0</v>
      </c>
      <c r="AD918" s="552">
        <v>0</v>
      </c>
      <c r="AE918" s="552">
        <v>0</v>
      </c>
      <c r="AF918" s="552">
        <v>0</v>
      </c>
      <c r="AG918" s="552">
        <v>0</v>
      </c>
      <c r="AH918" s="552">
        <v>0</v>
      </c>
      <c r="AI918" s="552">
        <v>0</v>
      </c>
      <c r="AJ918" s="552">
        <v>0</v>
      </c>
    </row>
    <row r="919" spans="1:36" ht="15.95" customHeight="1">
      <c r="A919" s="547"/>
      <c r="B919" s="548">
        <v>1052</v>
      </c>
      <c r="C919" s="549">
        <v>7469</v>
      </c>
      <c r="D919" s="550" t="s">
        <v>12446</v>
      </c>
      <c r="E919" s="550" t="s">
        <v>4761</v>
      </c>
      <c r="F919" s="550" t="s">
        <v>199</v>
      </c>
      <c r="G919" s="550" t="s">
        <v>200</v>
      </c>
      <c r="H919" s="550" t="s">
        <v>4762</v>
      </c>
      <c r="I919" s="550" t="s">
        <v>11</v>
      </c>
      <c r="J919" s="550" t="s">
        <v>4152</v>
      </c>
      <c r="K919" s="551">
        <v>44716</v>
      </c>
      <c r="L919" s="552">
        <v>720</v>
      </c>
      <c r="M919" s="552">
        <v>720</v>
      </c>
      <c r="N919" s="552">
        <v>720</v>
      </c>
      <c r="O919" s="552">
        <v>10000</v>
      </c>
      <c r="P919" s="552">
        <v>7200000</v>
      </c>
      <c r="Q919" s="548">
        <v>0</v>
      </c>
      <c r="R919" s="552">
        <v>0</v>
      </c>
      <c r="S919" s="548">
        <v>10000</v>
      </c>
      <c r="T919" s="552">
        <v>7200000</v>
      </c>
      <c r="U919" s="548">
        <v>0</v>
      </c>
      <c r="V919" s="552">
        <v>0</v>
      </c>
      <c r="W919" s="552">
        <v>500</v>
      </c>
      <c r="X919" s="552">
        <v>360000</v>
      </c>
      <c r="Y919" s="552">
        <v>10000</v>
      </c>
      <c r="Z919" s="552">
        <v>7200000</v>
      </c>
      <c r="AA919" s="552">
        <v>9500</v>
      </c>
      <c r="AB919" s="552">
        <v>6840000</v>
      </c>
      <c r="AC919" s="552">
        <v>500</v>
      </c>
      <c r="AD919" s="552">
        <v>360000</v>
      </c>
      <c r="AE919" s="552">
        <v>0</v>
      </c>
      <c r="AF919" s="552">
        <v>0</v>
      </c>
      <c r="AG919" s="552">
        <v>0</v>
      </c>
      <c r="AH919" s="552">
        <v>0</v>
      </c>
      <c r="AI919" s="552">
        <v>0</v>
      </c>
      <c r="AJ919" s="552">
        <v>0</v>
      </c>
    </row>
    <row r="920" spans="1:36" ht="15.95" customHeight="1">
      <c r="A920" s="547"/>
      <c r="B920" s="548">
        <v>1053</v>
      </c>
      <c r="C920" s="549">
        <v>7469</v>
      </c>
      <c r="D920" s="550" t="s">
        <v>12446</v>
      </c>
      <c r="E920" s="550" t="s">
        <v>4761</v>
      </c>
      <c r="F920" s="550" t="s">
        <v>199</v>
      </c>
      <c r="G920" s="550" t="s">
        <v>200</v>
      </c>
      <c r="H920" s="550" t="s">
        <v>4762</v>
      </c>
      <c r="I920" s="550" t="s">
        <v>11</v>
      </c>
      <c r="J920" s="550" t="s">
        <v>12447</v>
      </c>
      <c r="K920" s="551">
        <v>44899</v>
      </c>
      <c r="L920" s="552">
        <v>720</v>
      </c>
      <c r="M920" s="552">
        <v>720</v>
      </c>
      <c r="N920" s="552">
        <v>720</v>
      </c>
      <c r="O920" s="552"/>
      <c r="P920" s="552"/>
      <c r="Q920" s="548">
        <v>20000</v>
      </c>
      <c r="R920" s="552">
        <v>14400000</v>
      </c>
      <c r="S920" s="548">
        <v>20000</v>
      </c>
      <c r="T920" s="552">
        <v>14400000</v>
      </c>
      <c r="U920" s="548">
        <v>0</v>
      </c>
      <c r="V920" s="552">
        <v>0</v>
      </c>
      <c r="W920" s="552">
        <v>500</v>
      </c>
      <c r="X920" s="552">
        <v>360000</v>
      </c>
      <c r="Y920" s="552">
        <v>20000</v>
      </c>
      <c r="Z920" s="552">
        <v>14400000</v>
      </c>
      <c r="AA920" s="552">
        <v>19500</v>
      </c>
      <c r="AB920" s="552">
        <v>14040000</v>
      </c>
      <c r="AC920" s="552">
        <v>500</v>
      </c>
      <c r="AD920" s="552">
        <v>360000</v>
      </c>
      <c r="AE920" s="552">
        <v>0</v>
      </c>
      <c r="AF920" s="552">
        <v>0</v>
      </c>
      <c r="AG920" s="552">
        <v>0</v>
      </c>
      <c r="AH920" s="552">
        <v>0</v>
      </c>
      <c r="AI920" s="552">
        <v>0</v>
      </c>
      <c r="AJ920" s="552">
        <v>0</v>
      </c>
    </row>
    <row r="921" spans="1:36" ht="15.95" customHeight="1">
      <c r="A921" s="547"/>
      <c r="B921" s="548">
        <v>1054</v>
      </c>
      <c r="C921" s="549">
        <v>7469</v>
      </c>
      <c r="D921" s="550" t="s">
        <v>12446</v>
      </c>
      <c r="E921" s="550" t="s">
        <v>4761</v>
      </c>
      <c r="F921" s="550" t="s">
        <v>199</v>
      </c>
      <c r="G921" s="550" t="s">
        <v>200</v>
      </c>
      <c r="H921" s="550" t="s">
        <v>4762</v>
      </c>
      <c r="I921" s="550" t="s">
        <v>11</v>
      </c>
      <c r="J921" s="550" t="s">
        <v>12448</v>
      </c>
      <c r="K921" s="551">
        <v>45148</v>
      </c>
      <c r="L921" s="552">
        <v>720</v>
      </c>
      <c r="M921" s="552">
        <v>720</v>
      </c>
      <c r="N921" s="552">
        <v>720</v>
      </c>
      <c r="O921" s="552"/>
      <c r="P921" s="552"/>
      <c r="Q921" s="548">
        <v>20000</v>
      </c>
      <c r="R921" s="552">
        <v>14400000</v>
      </c>
      <c r="S921" s="548">
        <v>0</v>
      </c>
      <c r="T921" s="552">
        <v>0</v>
      </c>
      <c r="U921" s="548">
        <v>20000</v>
      </c>
      <c r="V921" s="552">
        <v>14400000</v>
      </c>
      <c r="W921" s="552">
        <v>0</v>
      </c>
      <c r="X921" s="552">
        <v>0</v>
      </c>
      <c r="Y921" s="552">
        <v>0</v>
      </c>
      <c r="Z921" s="552">
        <v>0</v>
      </c>
      <c r="AA921" s="552">
        <v>0</v>
      </c>
      <c r="AB921" s="552">
        <v>0</v>
      </c>
      <c r="AC921" s="552">
        <v>0</v>
      </c>
      <c r="AD921" s="552">
        <v>0</v>
      </c>
      <c r="AE921" s="552">
        <v>0</v>
      </c>
      <c r="AF921" s="552">
        <v>0</v>
      </c>
      <c r="AG921" s="552">
        <v>0</v>
      </c>
      <c r="AH921" s="552">
        <v>0</v>
      </c>
      <c r="AI921" s="552">
        <v>0</v>
      </c>
      <c r="AJ921" s="552">
        <v>0</v>
      </c>
    </row>
    <row r="922" spans="1:36" ht="15.95" customHeight="1">
      <c r="A922" s="547"/>
      <c r="B922" s="548">
        <v>1055</v>
      </c>
      <c r="C922" s="549">
        <v>7469</v>
      </c>
      <c r="D922" s="550" t="s">
        <v>12446</v>
      </c>
      <c r="E922" s="550" t="s">
        <v>4761</v>
      </c>
      <c r="F922" s="550" t="s">
        <v>199</v>
      </c>
      <c r="G922" s="550" t="s">
        <v>200</v>
      </c>
      <c r="H922" s="550" t="s">
        <v>4762</v>
      </c>
      <c r="I922" s="550" t="s">
        <v>11</v>
      </c>
      <c r="J922" s="550" t="s">
        <v>12449</v>
      </c>
      <c r="K922" s="551">
        <v>44938</v>
      </c>
      <c r="L922" s="552">
        <v>720</v>
      </c>
      <c r="M922" s="552">
        <v>720</v>
      </c>
      <c r="N922" s="552">
        <v>720</v>
      </c>
      <c r="O922" s="552"/>
      <c r="P922" s="552"/>
      <c r="Q922" s="548">
        <v>10000</v>
      </c>
      <c r="R922" s="552">
        <v>7200000</v>
      </c>
      <c r="S922" s="548">
        <v>10000</v>
      </c>
      <c r="T922" s="552">
        <v>7200000</v>
      </c>
      <c r="U922" s="548">
        <v>0</v>
      </c>
      <c r="V922" s="552">
        <v>0</v>
      </c>
      <c r="W922" s="552">
        <v>0</v>
      </c>
      <c r="X922" s="552">
        <v>0</v>
      </c>
      <c r="Y922" s="552">
        <v>10000</v>
      </c>
      <c r="Z922" s="552">
        <v>7200000</v>
      </c>
      <c r="AA922" s="552">
        <v>10000</v>
      </c>
      <c r="AB922" s="552">
        <v>7200000</v>
      </c>
      <c r="AC922" s="552">
        <v>0</v>
      </c>
      <c r="AD922" s="552">
        <v>0</v>
      </c>
      <c r="AE922" s="552">
        <v>0</v>
      </c>
      <c r="AF922" s="552">
        <v>0</v>
      </c>
      <c r="AG922" s="552">
        <v>0</v>
      </c>
      <c r="AH922" s="552">
        <v>0</v>
      </c>
      <c r="AI922" s="552">
        <v>0</v>
      </c>
      <c r="AJ922" s="552">
        <v>0</v>
      </c>
    </row>
    <row r="923" spans="1:36" ht="15.95" customHeight="1">
      <c r="A923" s="547"/>
      <c r="B923" s="548">
        <v>1064</v>
      </c>
      <c r="C923" s="549">
        <v>7470</v>
      </c>
      <c r="D923" s="550" t="s">
        <v>12450</v>
      </c>
      <c r="E923" s="550" t="s">
        <v>8653</v>
      </c>
      <c r="F923" s="550" t="s">
        <v>12451</v>
      </c>
      <c r="G923" s="550" t="s">
        <v>12452</v>
      </c>
      <c r="H923" s="550" t="s">
        <v>12453</v>
      </c>
      <c r="I923" s="550" t="s">
        <v>11</v>
      </c>
      <c r="J923" s="550" t="s">
        <v>11644</v>
      </c>
      <c r="K923" s="551">
        <v>44941</v>
      </c>
      <c r="L923" s="552">
        <v>1020</v>
      </c>
      <c r="M923" s="552">
        <v>1020</v>
      </c>
      <c r="N923" s="552">
        <v>1020</v>
      </c>
      <c r="O923" s="552"/>
      <c r="P923" s="552"/>
      <c r="Q923" s="548">
        <v>6000</v>
      </c>
      <c r="R923" s="552">
        <v>6120000</v>
      </c>
      <c r="S923" s="548">
        <v>6000</v>
      </c>
      <c r="T923" s="552">
        <v>6120000</v>
      </c>
      <c r="U923" s="548">
        <v>0</v>
      </c>
      <c r="V923" s="552">
        <v>0</v>
      </c>
      <c r="W923" s="552">
        <v>0</v>
      </c>
      <c r="X923" s="552">
        <v>0</v>
      </c>
      <c r="Y923" s="552">
        <v>6000</v>
      </c>
      <c r="Z923" s="552">
        <v>6120000</v>
      </c>
      <c r="AA923" s="552">
        <v>6000</v>
      </c>
      <c r="AB923" s="552">
        <v>6120000</v>
      </c>
      <c r="AC923" s="552">
        <v>0</v>
      </c>
      <c r="AD923" s="552">
        <v>0</v>
      </c>
      <c r="AE923" s="552">
        <v>0</v>
      </c>
      <c r="AF923" s="552">
        <v>0</v>
      </c>
      <c r="AG923" s="552">
        <v>0</v>
      </c>
      <c r="AH923" s="552">
        <v>0</v>
      </c>
      <c r="AI923" s="552">
        <v>0</v>
      </c>
      <c r="AJ923" s="552">
        <v>0</v>
      </c>
    </row>
    <row r="924" spans="1:36" ht="15.95" customHeight="1">
      <c r="A924" s="547"/>
      <c r="B924" s="548">
        <v>1065</v>
      </c>
      <c r="C924" s="549">
        <v>7470</v>
      </c>
      <c r="D924" s="550" t="s">
        <v>12450</v>
      </c>
      <c r="E924" s="550" t="s">
        <v>8653</v>
      </c>
      <c r="F924" s="550" t="s">
        <v>12451</v>
      </c>
      <c r="G924" s="550" t="s">
        <v>12452</v>
      </c>
      <c r="H924" s="550" t="s">
        <v>12453</v>
      </c>
      <c r="I924" s="550" t="s">
        <v>11</v>
      </c>
      <c r="J924" s="550" t="s">
        <v>12149</v>
      </c>
      <c r="K924" s="551">
        <v>45087</v>
      </c>
      <c r="L924" s="552">
        <v>1020</v>
      </c>
      <c r="M924" s="552">
        <v>1020</v>
      </c>
      <c r="N924" s="552">
        <v>1020</v>
      </c>
      <c r="O924" s="552"/>
      <c r="P924" s="552"/>
      <c r="Q924" s="548">
        <v>5000</v>
      </c>
      <c r="R924" s="552">
        <v>5100000</v>
      </c>
      <c r="S924" s="548">
        <v>0</v>
      </c>
      <c r="T924" s="552">
        <v>0</v>
      </c>
      <c r="U924" s="548">
        <v>5000</v>
      </c>
      <c r="V924" s="552">
        <v>5100000</v>
      </c>
      <c r="W924" s="552">
        <v>0</v>
      </c>
      <c r="X924" s="552">
        <v>0</v>
      </c>
      <c r="Y924" s="552">
        <v>0</v>
      </c>
      <c r="Z924" s="552">
        <v>0</v>
      </c>
      <c r="AA924" s="552">
        <v>0</v>
      </c>
      <c r="AB924" s="552">
        <v>0</v>
      </c>
      <c r="AC924" s="552">
        <v>0</v>
      </c>
      <c r="AD924" s="552">
        <v>0</v>
      </c>
      <c r="AE924" s="552">
        <v>0</v>
      </c>
      <c r="AF924" s="552">
        <v>0</v>
      </c>
      <c r="AG924" s="552">
        <v>0</v>
      </c>
      <c r="AH924" s="552">
        <v>0</v>
      </c>
      <c r="AI924" s="552">
        <v>0</v>
      </c>
      <c r="AJ924" s="552">
        <v>0</v>
      </c>
    </row>
    <row r="925" spans="1:36" ht="15.95" customHeight="1">
      <c r="A925" s="547"/>
      <c r="B925" s="548">
        <v>1066</v>
      </c>
      <c r="C925" s="549">
        <v>7470</v>
      </c>
      <c r="D925" s="550" t="s">
        <v>12450</v>
      </c>
      <c r="E925" s="550" t="s">
        <v>8653</v>
      </c>
      <c r="F925" s="550" t="s">
        <v>12451</v>
      </c>
      <c r="G925" s="550" t="s">
        <v>12452</v>
      </c>
      <c r="H925" s="550" t="s">
        <v>12453</v>
      </c>
      <c r="I925" s="550" t="s">
        <v>11</v>
      </c>
      <c r="J925" s="550" t="s">
        <v>12447</v>
      </c>
      <c r="K925" s="551">
        <v>44903</v>
      </c>
      <c r="L925" s="552">
        <v>1020</v>
      </c>
      <c r="M925" s="552">
        <v>1020</v>
      </c>
      <c r="N925" s="552">
        <v>1020</v>
      </c>
      <c r="O925" s="552"/>
      <c r="P925" s="552"/>
      <c r="Q925" s="548">
        <v>10000</v>
      </c>
      <c r="R925" s="552">
        <v>10200000</v>
      </c>
      <c r="S925" s="548">
        <v>10000</v>
      </c>
      <c r="T925" s="552">
        <v>10200000</v>
      </c>
      <c r="U925" s="548">
        <v>0</v>
      </c>
      <c r="V925" s="552">
        <v>0</v>
      </c>
      <c r="W925" s="552">
        <v>0</v>
      </c>
      <c r="X925" s="552">
        <v>0</v>
      </c>
      <c r="Y925" s="552">
        <v>10000</v>
      </c>
      <c r="Z925" s="552">
        <v>10200000</v>
      </c>
      <c r="AA925" s="552">
        <v>10000</v>
      </c>
      <c r="AB925" s="552">
        <v>10200000</v>
      </c>
      <c r="AC925" s="552">
        <v>0</v>
      </c>
      <c r="AD925" s="552">
        <v>0</v>
      </c>
      <c r="AE925" s="552">
        <v>0</v>
      </c>
      <c r="AF925" s="552">
        <v>0</v>
      </c>
      <c r="AG925" s="552">
        <v>0</v>
      </c>
      <c r="AH925" s="552">
        <v>0</v>
      </c>
      <c r="AI925" s="552">
        <v>0</v>
      </c>
      <c r="AJ925" s="552">
        <v>0</v>
      </c>
    </row>
    <row r="926" spans="1:36" ht="15.95" customHeight="1">
      <c r="A926" s="547"/>
      <c r="B926" s="548">
        <v>1067</v>
      </c>
      <c r="C926" s="549">
        <v>7470</v>
      </c>
      <c r="D926" s="550" t="s">
        <v>12450</v>
      </c>
      <c r="E926" s="550" t="s">
        <v>8653</v>
      </c>
      <c r="F926" s="550" t="s">
        <v>12451</v>
      </c>
      <c r="G926" s="550" t="s">
        <v>12452</v>
      </c>
      <c r="H926" s="550" t="s">
        <v>12453</v>
      </c>
      <c r="I926" s="550" t="s">
        <v>11</v>
      </c>
      <c r="J926" s="550" t="s">
        <v>11571</v>
      </c>
      <c r="K926" s="551">
        <v>44944</v>
      </c>
      <c r="L926" s="552">
        <v>1020</v>
      </c>
      <c r="M926" s="552">
        <v>1020</v>
      </c>
      <c r="N926" s="552">
        <v>1020</v>
      </c>
      <c r="O926" s="552"/>
      <c r="P926" s="552"/>
      <c r="Q926" s="548">
        <v>6000</v>
      </c>
      <c r="R926" s="552">
        <v>6120000</v>
      </c>
      <c r="S926" s="548">
        <v>6000</v>
      </c>
      <c r="T926" s="552">
        <v>6120000</v>
      </c>
      <c r="U926" s="548">
        <v>0</v>
      </c>
      <c r="V926" s="552">
        <v>0</v>
      </c>
      <c r="W926" s="552">
        <v>0</v>
      </c>
      <c r="X926" s="552">
        <v>0</v>
      </c>
      <c r="Y926" s="552">
        <v>6000</v>
      </c>
      <c r="Z926" s="552">
        <v>6120000</v>
      </c>
      <c r="AA926" s="552">
        <v>6000</v>
      </c>
      <c r="AB926" s="552">
        <v>6120000</v>
      </c>
      <c r="AC926" s="552">
        <v>0</v>
      </c>
      <c r="AD926" s="552">
        <v>0</v>
      </c>
      <c r="AE926" s="552">
        <v>0</v>
      </c>
      <c r="AF926" s="552">
        <v>0</v>
      </c>
      <c r="AG926" s="552">
        <v>0</v>
      </c>
      <c r="AH926" s="552">
        <v>0</v>
      </c>
      <c r="AI926" s="552">
        <v>0</v>
      </c>
      <c r="AJ926" s="552">
        <v>0</v>
      </c>
    </row>
    <row r="927" spans="1:36" ht="15.95" customHeight="1">
      <c r="A927" s="547"/>
      <c r="B927" s="548">
        <v>1088</v>
      </c>
      <c r="C927" s="549">
        <v>5911</v>
      </c>
      <c r="D927" s="550"/>
      <c r="E927" s="550" t="s">
        <v>4763</v>
      </c>
      <c r="F927" s="550" t="s">
        <v>201</v>
      </c>
      <c r="G927" s="550" t="s">
        <v>202</v>
      </c>
      <c r="H927" s="550" t="s">
        <v>203</v>
      </c>
      <c r="I927" s="550" t="s">
        <v>10</v>
      </c>
      <c r="J927" s="550" t="s">
        <v>4764</v>
      </c>
      <c r="K927" s="551">
        <v>44344</v>
      </c>
      <c r="L927" s="552">
        <v>968</v>
      </c>
      <c r="M927" s="552">
        <v>968</v>
      </c>
      <c r="N927" s="552">
        <v>968</v>
      </c>
      <c r="O927" s="552">
        <v>19261</v>
      </c>
      <c r="P927" s="552">
        <v>18644648</v>
      </c>
      <c r="Q927" s="548">
        <v>800</v>
      </c>
      <c r="R927" s="552">
        <v>774400</v>
      </c>
      <c r="S927" s="548">
        <v>20061</v>
      </c>
      <c r="T927" s="552">
        <v>19419048</v>
      </c>
      <c r="U927" s="548">
        <v>0</v>
      </c>
      <c r="V927" s="552">
        <v>0</v>
      </c>
      <c r="W927" s="552">
        <v>4706</v>
      </c>
      <c r="X927" s="552">
        <v>4555408</v>
      </c>
      <c r="Y927" s="552">
        <v>20061</v>
      </c>
      <c r="Z927" s="552">
        <v>19419048</v>
      </c>
      <c r="AA927" s="552">
        <v>16261</v>
      </c>
      <c r="AB927" s="552">
        <v>15740648</v>
      </c>
      <c r="AC927" s="552">
        <v>3800</v>
      </c>
      <c r="AD927" s="552">
        <v>3678400</v>
      </c>
      <c r="AE927" s="552">
        <v>0</v>
      </c>
      <c r="AF927" s="552">
        <v>0</v>
      </c>
      <c r="AG927" s="552">
        <v>0</v>
      </c>
      <c r="AH927" s="552">
        <v>0</v>
      </c>
      <c r="AI927" s="552">
        <v>800</v>
      </c>
      <c r="AJ927" s="552">
        <v>774400</v>
      </c>
    </row>
    <row r="928" spans="1:36" ht="15.95" customHeight="1">
      <c r="A928" s="547"/>
      <c r="B928" s="548">
        <v>1089</v>
      </c>
      <c r="C928" s="549">
        <v>7471</v>
      </c>
      <c r="D928" s="550" t="s">
        <v>12454</v>
      </c>
      <c r="E928" s="550" t="s">
        <v>4763</v>
      </c>
      <c r="F928" s="550" t="s">
        <v>201</v>
      </c>
      <c r="G928" s="550" t="s">
        <v>202</v>
      </c>
      <c r="H928" s="550" t="s">
        <v>8764</v>
      </c>
      <c r="I928" s="550" t="s">
        <v>11</v>
      </c>
      <c r="J928" s="550" t="s">
        <v>12455</v>
      </c>
      <c r="K928" s="551">
        <v>45374</v>
      </c>
      <c r="L928" s="552">
        <v>965</v>
      </c>
      <c r="M928" s="552">
        <v>965</v>
      </c>
      <c r="N928" s="552">
        <v>965</v>
      </c>
      <c r="O928" s="552"/>
      <c r="P928" s="552"/>
      <c r="Q928" s="548">
        <v>6400</v>
      </c>
      <c r="R928" s="552">
        <v>6176000</v>
      </c>
      <c r="S928" s="548">
        <v>6400</v>
      </c>
      <c r="T928" s="552">
        <v>6176000</v>
      </c>
      <c r="U928" s="548">
        <v>0</v>
      </c>
      <c r="V928" s="552">
        <v>0</v>
      </c>
      <c r="W928" s="552">
        <v>1186</v>
      </c>
      <c r="X928" s="552">
        <v>1144490</v>
      </c>
      <c r="Y928" s="552">
        <v>6400</v>
      </c>
      <c r="Z928" s="552">
        <v>6176000</v>
      </c>
      <c r="AA928" s="552">
        <v>5000</v>
      </c>
      <c r="AB928" s="552">
        <v>4825000</v>
      </c>
      <c r="AC928" s="552">
        <v>1400</v>
      </c>
      <c r="AD928" s="552">
        <v>1351000</v>
      </c>
      <c r="AE928" s="552">
        <v>0</v>
      </c>
      <c r="AF928" s="552">
        <v>0</v>
      </c>
      <c r="AG928" s="552">
        <v>0</v>
      </c>
      <c r="AH928" s="552">
        <v>0</v>
      </c>
      <c r="AI928" s="552">
        <v>0</v>
      </c>
      <c r="AJ928" s="552">
        <v>0</v>
      </c>
    </row>
    <row r="929" spans="1:36" ht="15.95" customHeight="1">
      <c r="A929" s="547"/>
      <c r="B929" s="548">
        <v>1092</v>
      </c>
      <c r="C929" s="549">
        <v>7484</v>
      </c>
      <c r="D929" s="550" t="s">
        <v>12456</v>
      </c>
      <c r="E929" s="550" t="s">
        <v>4765</v>
      </c>
      <c r="F929" s="550" t="s">
        <v>4766</v>
      </c>
      <c r="G929" s="550" t="s">
        <v>4767</v>
      </c>
      <c r="H929" s="550" t="s">
        <v>4768</v>
      </c>
      <c r="I929" s="550" t="s">
        <v>11</v>
      </c>
      <c r="J929" s="550" t="s">
        <v>12197</v>
      </c>
      <c r="K929" s="551">
        <v>45051</v>
      </c>
      <c r="L929" s="552">
        <v>900</v>
      </c>
      <c r="M929" s="552">
        <v>900</v>
      </c>
      <c r="N929" s="552">
        <v>900</v>
      </c>
      <c r="O929" s="552"/>
      <c r="P929" s="552"/>
      <c r="Q929" s="548">
        <v>4980</v>
      </c>
      <c r="R929" s="552">
        <v>4482000</v>
      </c>
      <c r="S929" s="548">
        <v>0</v>
      </c>
      <c r="T929" s="552">
        <v>0</v>
      </c>
      <c r="U929" s="548">
        <v>4980</v>
      </c>
      <c r="V929" s="552">
        <v>4482000</v>
      </c>
      <c r="W929" s="552">
        <v>0</v>
      </c>
      <c r="X929" s="552">
        <v>0</v>
      </c>
      <c r="Y929" s="552">
        <v>0</v>
      </c>
      <c r="Z929" s="552">
        <v>0</v>
      </c>
      <c r="AA929" s="552">
        <v>0</v>
      </c>
      <c r="AB929" s="552">
        <v>0</v>
      </c>
      <c r="AC929" s="552">
        <v>0</v>
      </c>
      <c r="AD929" s="552">
        <v>0</v>
      </c>
      <c r="AE929" s="552">
        <v>0</v>
      </c>
      <c r="AF929" s="552">
        <v>0</v>
      </c>
      <c r="AG929" s="552">
        <v>0</v>
      </c>
      <c r="AH929" s="552">
        <v>0</v>
      </c>
      <c r="AI929" s="552">
        <v>0</v>
      </c>
      <c r="AJ929" s="552">
        <v>0</v>
      </c>
    </row>
    <row r="930" spans="1:36" ht="15.95" customHeight="1">
      <c r="A930" s="547"/>
      <c r="B930" s="548">
        <v>1093</v>
      </c>
      <c r="C930" s="549">
        <v>7484</v>
      </c>
      <c r="D930" s="550" t="s">
        <v>12456</v>
      </c>
      <c r="E930" s="550" t="s">
        <v>4765</v>
      </c>
      <c r="F930" s="550" t="s">
        <v>4766</v>
      </c>
      <c r="G930" s="550" t="s">
        <v>4767</v>
      </c>
      <c r="H930" s="550" t="s">
        <v>4768</v>
      </c>
      <c r="I930" s="550" t="s">
        <v>11</v>
      </c>
      <c r="J930" s="550" t="s">
        <v>4769</v>
      </c>
      <c r="K930" s="551">
        <v>44530</v>
      </c>
      <c r="L930" s="552">
        <v>900</v>
      </c>
      <c r="M930" s="552">
        <v>900</v>
      </c>
      <c r="N930" s="552">
        <v>900</v>
      </c>
      <c r="O930" s="552">
        <v>4</v>
      </c>
      <c r="P930" s="552">
        <v>3600</v>
      </c>
      <c r="Q930" s="548">
        <v>0</v>
      </c>
      <c r="R930" s="552">
        <v>0</v>
      </c>
      <c r="S930" s="548">
        <v>4</v>
      </c>
      <c r="T930" s="552">
        <v>3600</v>
      </c>
      <c r="U930" s="548">
        <v>0</v>
      </c>
      <c r="V930" s="552">
        <v>0</v>
      </c>
      <c r="W930" s="552">
        <v>640</v>
      </c>
      <c r="X930" s="552">
        <v>576000</v>
      </c>
      <c r="Y930" s="552">
        <v>4</v>
      </c>
      <c r="Z930" s="552">
        <v>3600</v>
      </c>
      <c r="AA930" s="552">
        <v>4</v>
      </c>
      <c r="AB930" s="552">
        <v>3600</v>
      </c>
      <c r="AC930" s="552">
        <v>0</v>
      </c>
      <c r="AD930" s="552">
        <v>0</v>
      </c>
      <c r="AE930" s="552">
        <v>0</v>
      </c>
      <c r="AF930" s="552">
        <v>0</v>
      </c>
      <c r="AG930" s="552">
        <v>0</v>
      </c>
      <c r="AH930" s="552">
        <v>0</v>
      </c>
      <c r="AI930" s="552">
        <v>0</v>
      </c>
      <c r="AJ930" s="552">
        <v>0</v>
      </c>
    </row>
    <row r="931" spans="1:36" ht="15.95" customHeight="1">
      <c r="A931" s="547"/>
      <c r="B931" s="548">
        <v>1094</v>
      </c>
      <c r="C931" s="549">
        <v>7484</v>
      </c>
      <c r="D931" s="550" t="s">
        <v>12456</v>
      </c>
      <c r="E931" s="550" t="s">
        <v>4765</v>
      </c>
      <c r="F931" s="550" t="s">
        <v>4766</v>
      </c>
      <c r="G931" s="550" t="s">
        <v>4767</v>
      </c>
      <c r="H931" s="550" t="s">
        <v>4768</v>
      </c>
      <c r="I931" s="550" t="s">
        <v>11</v>
      </c>
      <c r="J931" s="550" t="s">
        <v>12457</v>
      </c>
      <c r="K931" s="551">
        <v>44975</v>
      </c>
      <c r="L931" s="552">
        <v>900</v>
      </c>
      <c r="M931" s="552">
        <v>900</v>
      </c>
      <c r="N931" s="552">
        <v>900</v>
      </c>
      <c r="O931" s="552"/>
      <c r="P931" s="552"/>
      <c r="Q931" s="548">
        <v>9000</v>
      </c>
      <c r="R931" s="552">
        <v>8100000</v>
      </c>
      <c r="S931" s="548">
        <v>9000</v>
      </c>
      <c r="T931" s="552">
        <v>8100000</v>
      </c>
      <c r="U931" s="548">
        <v>0</v>
      </c>
      <c r="V931" s="552">
        <v>0</v>
      </c>
      <c r="W931" s="552">
        <v>0</v>
      </c>
      <c r="X931" s="552">
        <v>0</v>
      </c>
      <c r="Y931" s="552">
        <v>9000</v>
      </c>
      <c r="Z931" s="552">
        <v>8100000</v>
      </c>
      <c r="AA931" s="552">
        <v>9000</v>
      </c>
      <c r="AB931" s="552">
        <v>8100000</v>
      </c>
      <c r="AC931" s="552">
        <v>0</v>
      </c>
      <c r="AD931" s="552">
        <v>0</v>
      </c>
      <c r="AE931" s="552">
        <v>0</v>
      </c>
      <c r="AF931" s="552">
        <v>0</v>
      </c>
      <c r="AG931" s="552">
        <v>0</v>
      </c>
      <c r="AH931" s="552">
        <v>0</v>
      </c>
      <c r="AI931" s="552">
        <v>0</v>
      </c>
      <c r="AJ931" s="552">
        <v>0</v>
      </c>
    </row>
    <row r="932" spans="1:36" ht="15.95" customHeight="1">
      <c r="A932" s="547"/>
      <c r="B932" s="548">
        <v>1095</v>
      </c>
      <c r="C932" s="549">
        <v>7472</v>
      </c>
      <c r="D932" s="550" t="s">
        <v>12458</v>
      </c>
      <c r="E932" s="550" t="s">
        <v>4770</v>
      </c>
      <c r="F932" s="550" t="s">
        <v>2320</v>
      </c>
      <c r="G932" s="550" t="s">
        <v>4771</v>
      </c>
      <c r="H932" s="550" t="s">
        <v>4772</v>
      </c>
      <c r="I932" s="550" t="s">
        <v>11</v>
      </c>
      <c r="J932" s="550" t="s">
        <v>4773</v>
      </c>
      <c r="K932" s="551">
        <v>44853</v>
      </c>
      <c r="L932" s="552">
        <v>714</v>
      </c>
      <c r="M932" s="552">
        <v>714</v>
      </c>
      <c r="N932" s="552">
        <v>714</v>
      </c>
      <c r="O932" s="552">
        <v>3072</v>
      </c>
      <c r="P932" s="552">
        <v>2193408</v>
      </c>
      <c r="Q932" s="548">
        <v>0</v>
      </c>
      <c r="R932" s="552">
        <v>0</v>
      </c>
      <c r="S932" s="548">
        <v>3072</v>
      </c>
      <c r="T932" s="552">
        <v>2193408</v>
      </c>
      <c r="U932" s="548">
        <v>0</v>
      </c>
      <c r="V932" s="552">
        <v>0</v>
      </c>
      <c r="W932" s="552">
        <v>170</v>
      </c>
      <c r="X932" s="552">
        <v>121380</v>
      </c>
      <c r="Y932" s="552">
        <v>3072</v>
      </c>
      <c r="Z932" s="552">
        <v>2193408</v>
      </c>
      <c r="AA932" s="552">
        <v>3072</v>
      </c>
      <c r="AB932" s="552">
        <v>2193408</v>
      </c>
      <c r="AC932" s="552">
        <v>0</v>
      </c>
      <c r="AD932" s="552">
        <v>0</v>
      </c>
      <c r="AE932" s="552">
        <v>0</v>
      </c>
      <c r="AF932" s="552">
        <v>0</v>
      </c>
      <c r="AG932" s="552">
        <v>0</v>
      </c>
      <c r="AH932" s="552">
        <v>0</v>
      </c>
      <c r="AI932" s="552">
        <v>0</v>
      </c>
      <c r="AJ932" s="552">
        <v>0</v>
      </c>
    </row>
    <row r="933" spans="1:36" ht="15.95" customHeight="1">
      <c r="A933" s="547"/>
      <c r="B933" s="548">
        <v>1096</v>
      </c>
      <c r="C933" s="549">
        <v>7472</v>
      </c>
      <c r="D933" s="550" t="s">
        <v>12458</v>
      </c>
      <c r="E933" s="550" t="s">
        <v>4770</v>
      </c>
      <c r="F933" s="550" t="s">
        <v>2320</v>
      </c>
      <c r="G933" s="550" t="s">
        <v>4771</v>
      </c>
      <c r="H933" s="550" t="s">
        <v>4772</v>
      </c>
      <c r="I933" s="550" t="s">
        <v>11</v>
      </c>
      <c r="J933" s="550" t="s">
        <v>4778</v>
      </c>
      <c r="K933" s="551">
        <v>44928</v>
      </c>
      <c r="L933" s="552">
        <v>714</v>
      </c>
      <c r="M933" s="552">
        <v>714</v>
      </c>
      <c r="N933" s="552">
        <v>714</v>
      </c>
      <c r="O933" s="552"/>
      <c r="P933" s="552"/>
      <c r="Q933" s="548">
        <v>5000</v>
      </c>
      <c r="R933" s="552">
        <v>3570000</v>
      </c>
      <c r="S933" s="548">
        <v>3512</v>
      </c>
      <c r="T933" s="552">
        <v>2507568</v>
      </c>
      <c r="U933" s="548">
        <v>1488</v>
      </c>
      <c r="V933" s="552">
        <v>1062432</v>
      </c>
      <c r="W933" s="552">
        <v>0</v>
      </c>
      <c r="X933" s="552">
        <v>0</v>
      </c>
      <c r="Y933" s="552">
        <v>3512</v>
      </c>
      <c r="Z933" s="552">
        <v>2507568</v>
      </c>
      <c r="AA933" s="552">
        <v>3512</v>
      </c>
      <c r="AB933" s="552">
        <v>2507568</v>
      </c>
      <c r="AC933" s="552">
        <v>0</v>
      </c>
      <c r="AD933" s="552">
        <v>0</v>
      </c>
      <c r="AE933" s="552">
        <v>0</v>
      </c>
      <c r="AF933" s="552">
        <v>0</v>
      </c>
      <c r="AG933" s="552">
        <v>0</v>
      </c>
      <c r="AH933" s="552">
        <v>0</v>
      </c>
      <c r="AI933" s="552">
        <v>0</v>
      </c>
      <c r="AJ933" s="552">
        <v>0</v>
      </c>
    </row>
    <row r="934" spans="1:36" ht="15.95" customHeight="1">
      <c r="A934" s="547"/>
      <c r="B934" s="548">
        <v>1097</v>
      </c>
      <c r="C934" s="549">
        <v>7473</v>
      </c>
      <c r="D934" s="550" t="s">
        <v>12459</v>
      </c>
      <c r="E934" s="550" t="s">
        <v>4774</v>
      </c>
      <c r="F934" s="550" t="s">
        <v>4775</v>
      </c>
      <c r="G934" s="550" t="s">
        <v>4776</v>
      </c>
      <c r="H934" s="550" t="s">
        <v>4777</v>
      </c>
      <c r="I934" s="550" t="s">
        <v>11</v>
      </c>
      <c r="J934" s="550" t="s">
        <v>4778</v>
      </c>
      <c r="K934" s="551">
        <v>44992</v>
      </c>
      <c r="L934" s="552">
        <v>850</v>
      </c>
      <c r="M934" s="552">
        <v>850</v>
      </c>
      <c r="N934" s="552">
        <v>850</v>
      </c>
      <c r="O934" s="552">
        <v>968</v>
      </c>
      <c r="P934" s="552">
        <v>822800</v>
      </c>
      <c r="Q934" s="548">
        <v>0</v>
      </c>
      <c r="R934" s="552">
        <v>0</v>
      </c>
      <c r="S934" s="548">
        <v>968</v>
      </c>
      <c r="T934" s="552">
        <v>822800</v>
      </c>
      <c r="U934" s="548">
        <v>0</v>
      </c>
      <c r="V934" s="552">
        <v>0</v>
      </c>
      <c r="W934" s="552">
        <v>0</v>
      </c>
      <c r="X934" s="552">
        <v>0</v>
      </c>
      <c r="Y934" s="552">
        <v>968</v>
      </c>
      <c r="Z934" s="552">
        <v>822800</v>
      </c>
      <c r="AA934" s="552">
        <v>968</v>
      </c>
      <c r="AB934" s="552">
        <v>822800</v>
      </c>
      <c r="AC934" s="552">
        <v>0</v>
      </c>
      <c r="AD934" s="552">
        <v>0</v>
      </c>
      <c r="AE934" s="552">
        <v>0</v>
      </c>
      <c r="AF934" s="552">
        <v>0</v>
      </c>
      <c r="AG934" s="552">
        <v>0</v>
      </c>
      <c r="AH934" s="552">
        <v>0</v>
      </c>
      <c r="AI934" s="552">
        <v>0</v>
      </c>
      <c r="AJ934" s="552">
        <v>0</v>
      </c>
    </row>
    <row r="935" spans="1:36" ht="15.95" customHeight="1">
      <c r="A935" s="547"/>
      <c r="B935" s="548">
        <v>1098</v>
      </c>
      <c r="C935" s="549">
        <v>7473</v>
      </c>
      <c r="D935" s="550" t="s">
        <v>12459</v>
      </c>
      <c r="E935" s="550" t="s">
        <v>4774</v>
      </c>
      <c r="F935" s="550" t="s">
        <v>4775</v>
      </c>
      <c r="G935" s="550" t="s">
        <v>4776</v>
      </c>
      <c r="H935" s="550" t="s">
        <v>4777</v>
      </c>
      <c r="I935" s="550" t="s">
        <v>11</v>
      </c>
      <c r="J935" s="550" t="s">
        <v>4706</v>
      </c>
      <c r="K935" s="551">
        <v>45236</v>
      </c>
      <c r="L935" s="552">
        <v>850</v>
      </c>
      <c r="M935" s="552">
        <v>850</v>
      </c>
      <c r="N935" s="552">
        <v>850</v>
      </c>
      <c r="O935" s="552"/>
      <c r="P935" s="552"/>
      <c r="Q935" s="548">
        <v>9960</v>
      </c>
      <c r="R935" s="552">
        <v>8466000</v>
      </c>
      <c r="S935" s="548">
        <v>9952</v>
      </c>
      <c r="T935" s="552">
        <v>8459200</v>
      </c>
      <c r="U935" s="548">
        <v>8</v>
      </c>
      <c r="V935" s="552">
        <v>6800</v>
      </c>
      <c r="W935" s="552">
        <v>0</v>
      </c>
      <c r="X935" s="552">
        <v>0</v>
      </c>
      <c r="Y935" s="552">
        <v>9952</v>
      </c>
      <c r="Z935" s="552">
        <v>8459200</v>
      </c>
      <c r="AA935" s="552">
        <v>9952</v>
      </c>
      <c r="AB935" s="552">
        <v>8459200</v>
      </c>
      <c r="AC935" s="552">
        <v>0</v>
      </c>
      <c r="AD935" s="552">
        <v>0</v>
      </c>
      <c r="AE935" s="552">
        <v>0</v>
      </c>
      <c r="AF935" s="552">
        <v>0</v>
      </c>
      <c r="AG935" s="552">
        <v>0</v>
      </c>
      <c r="AH935" s="552">
        <v>0</v>
      </c>
      <c r="AI935" s="552">
        <v>0</v>
      </c>
      <c r="AJ935" s="552">
        <v>0</v>
      </c>
    </row>
    <row r="936" spans="1:36" ht="15.95" customHeight="1">
      <c r="A936" s="547"/>
      <c r="B936" s="548">
        <v>1149</v>
      </c>
      <c r="C936" s="549">
        <v>7474</v>
      </c>
      <c r="D936" s="550" t="s">
        <v>12460</v>
      </c>
      <c r="E936" s="550" t="s">
        <v>8715</v>
      </c>
      <c r="F936" s="550" t="s">
        <v>12461</v>
      </c>
      <c r="G936" s="550" t="s">
        <v>12462</v>
      </c>
      <c r="H936" s="550" t="s">
        <v>12463</v>
      </c>
      <c r="I936" s="550" t="s">
        <v>15</v>
      </c>
      <c r="J936" s="550" t="s">
        <v>12464</v>
      </c>
      <c r="K936" s="551">
        <v>44751</v>
      </c>
      <c r="L936" s="552">
        <v>40000</v>
      </c>
      <c r="M936" s="552">
        <v>40000</v>
      </c>
      <c r="N936" s="552">
        <v>40000</v>
      </c>
      <c r="O936" s="552"/>
      <c r="P936" s="552"/>
      <c r="Q936" s="548">
        <v>200</v>
      </c>
      <c r="R936" s="552">
        <v>8000000</v>
      </c>
      <c r="S936" s="548">
        <v>48</v>
      </c>
      <c r="T936" s="552">
        <v>1920000</v>
      </c>
      <c r="U936" s="548">
        <v>152</v>
      </c>
      <c r="V936" s="552">
        <v>6080000</v>
      </c>
      <c r="W936" s="552">
        <v>0</v>
      </c>
      <c r="X936" s="552">
        <v>0</v>
      </c>
      <c r="Y936" s="552">
        <v>48</v>
      </c>
      <c r="Z936" s="552">
        <v>1920000</v>
      </c>
      <c r="AA936" s="552">
        <v>48</v>
      </c>
      <c r="AB936" s="552">
        <v>1920000</v>
      </c>
      <c r="AC936" s="552">
        <v>0</v>
      </c>
      <c r="AD936" s="552">
        <v>0</v>
      </c>
      <c r="AE936" s="552">
        <v>0</v>
      </c>
      <c r="AF936" s="552">
        <v>0</v>
      </c>
      <c r="AG936" s="552">
        <v>0</v>
      </c>
      <c r="AH936" s="552">
        <v>0</v>
      </c>
      <c r="AI936" s="552">
        <v>0</v>
      </c>
      <c r="AJ936" s="552">
        <v>0</v>
      </c>
    </row>
    <row r="937" spans="1:36" ht="15.95" customHeight="1">
      <c r="A937" s="547"/>
      <c r="B937" s="548">
        <v>1150</v>
      </c>
      <c r="C937" s="549">
        <v>7474</v>
      </c>
      <c r="D937" s="550" t="s">
        <v>12460</v>
      </c>
      <c r="E937" s="550" t="s">
        <v>8715</v>
      </c>
      <c r="F937" s="550" t="s">
        <v>12461</v>
      </c>
      <c r="G937" s="550" t="s">
        <v>12462</v>
      </c>
      <c r="H937" s="550" t="s">
        <v>12463</v>
      </c>
      <c r="I937" s="550" t="s">
        <v>15</v>
      </c>
      <c r="J937" s="550" t="s">
        <v>12465</v>
      </c>
      <c r="K937" s="551">
        <v>45247</v>
      </c>
      <c r="L937" s="552">
        <v>40000</v>
      </c>
      <c r="M937" s="552">
        <v>40000</v>
      </c>
      <c r="N937" s="552">
        <v>40000</v>
      </c>
      <c r="O937" s="552"/>
      <c r="P937" s="552"/>
      <c r="Q937" s="548">
        <v>100</v>
      </c>
      <c r="R937" s="552">
        <v>4000000</v>
      </c>
      <c r="S937" s="548">
        <v>0</v>
      </c>
      <c r="T937" s="552">
        <v>0</v>
      </c>
      <c r="U937" s="548">
        <v>100</v>
      </c>
      <c r="V937" s="552">
        <v>4000000</v>
      </c>
      <c r="W937" s="552">
        <v>0</v>
      </c>
      <c r="X937" s="552">
        <v>0</v>
      </c>
      <c r="Y937" s="552">
        <v>0</v>
      </c>
      <c r="Z937" s="552">
        <v>0</v>
      </c>
      <c r="AA937" s="552">
        <v>0</v>
      </c>
      <c r="AB937" s="552">
        <v>0</v>
      </c>
      <c r="AC937" s="552">
        <v>0</v>
      </c>
      <c r="AD937" s="552">
        <v>0</v>
      </c>
      <c r="AE937" s="552">
        <v>0</v>
      </c>
      <c r="AF937" s="552">
        <v>0</v>
      </c>
      <c r="AG937" s="552">
        <v>0</v>
      </c>
      <c r="AH937" s="552">
        <v>0</v>
      </c>
      <c r="AI937" s="552">
        <v>0</v>
      </c>
      <c r="AJ937" s="552">
        <v>0</v>
      </c>
    </row>
    <row r="938" spans="1:36" ht="0.75" customHeight="1">
      <c r="A938" s="547"/>
      <c r="B938" s="718"/>
      <c r="C938" s="718"/>
      <c r="D938" s="718"/>
      <c r="E938" s="718"/>
      <c r="F938" s="718"/>
      <c r="G938" s="718"/>
      <c r="H938" s="718"/>
      <c r="I938" s="718"/>
      <c r="J938" s="718"/>
      <c r="K938" s="718"/>
      <c r="L938" s="718"/>
      <c r="M938" s="718"/>
      <c r="N938" s="718"/>
      <c r="O938" s="718"/>
      <c r="P938" s="718"/>
      <c r="Q938" s="553"/>
      <c r="R938" s="719"/>
      <c r="S938" s="719"/>
      <c r="T938" s="719"/>
      <c r="U938" s="719"/>
      <c r="V938" s="719"/>
      <c r="W938" s="719"/>
      <c r="X938" s="719"/>
      <c r="Y938" s="719"/>
      <c r="Z938" s="719"/>
      <c r="AA938" s="719"/>
      <c r="AB938" s="719"/>
      <c r="AC938" s="719"/>
      <c r="AD938" s="719"/>
      <c r="AE938" s="719"/>
      <c r="AF938" s="719"/>
      <c r="AG938" s="719"/>
      <c r="AH938" s="719"/>
      <c r="AI938" s="719"/>
      <c r="AJ938" s="719"/>
    </row>
    <row r="939" spans="1:36" ht="12.95" customHeight="1">
      <c r="A939" s="547"/>
      <c r="B939" s="720"/>
      <c r="C939" s="720"/>
      <c r="D939" s="720"/>
      <c r="E939" s="720"/>
      <c r="F939" s="720"/>
      <c r="G939" s="720"/>
      <c r="H939" s="720"/>
      <c r="I939" s="720"/>
      <c r="J939" s="720"/>
      <c r="K939" s="720"/>
      <c r="L939" s="720"/>
      <c r="M939" s="720"/>
      <c r="N939" s="720"/>
      <c r="O939" s="720"/>
      <c r="P939" s="720"/>
      <c r="Q939" s="554"/>
      <c r="R939" s="721"/>
      <c r="S939" s="721"/>
      <c r="T939" s="721"/>
      <c r="U939" s="721"/>
      <c r="V939" s="721"/>
      <c r="W939" s="721"/>
      <c r="X939" s="721"/>
      <c r="Y939" s="721"/>
      <c r="Z939" s="721"/>
      <c r="AA939" s="721"/>
      <c r="AB939" s="721"/>
      <c r="AC939" s="721"/>
      <c r="AD939" s="721"/>
      <c r="AE939" s="721"/>
      <c r="AF939" s="721"/>
      <c r="AG939" s="721"/>
      <c r="AH939" s="721"/>
      <c r="AI939" s="721"/>
      <c r="AJ939" s="721"/>
    </row>
    <row r="940" spans="1:36" ht="0.75" customHeight="1">
      <c r="A940" s="547"/>
      <c r="B940" s="714"/>
      <c r="C940" s="714"/>
      <c r="D940" s="714"/>
      <c r="E940" s="714"/>
      <c r="F940" s="714"/>
      <c r="G940" s="714"/>
      <c r="H940" s="714"/>
      <c r="I940" s="714"/>
      <c r="J940" s="714"/>
      <c r="K940" s="714"/>
      <c r="L940" s="714"/>
      <c r="M940" s="714"/>
      <c r="N940" s="714"/>
      <c r="O940" s="714"/>
      <c r="P940" s="714"/>
      <c r="Q940" s="555"/>
      <c r="R940" s="715"/>
      <c r="S940" s="715"/>
      <c r="T940" s="715"/>
      <c r="U940" s="715"/>
      <c r="V940" s="715"/>
      <c r="W940" s="715"/>
      <c r="X940" s="715"/>
      <c r="Y940" s="715"/>
      <c r="Z940" s="715"/>
      <c r="AA940" s="715"/>
      <c r="AB940" s="715"/>
      <c r="AC940" s="715"/>
      <c r="AD940" s="715"/>
      <c r="AE940" s="715"/>
      <c r="AF940" s="715"/>
      <c r="AG940" s="715"/>
      <c r="AH940" s="715"/>
      <c r="AI940" s="715"/>
      <c r="AJ940" s="715"/>
    </row>
    <row r="941" spans="1:36" ht="13.7" customHeight="1">
      <c r="A941" s="717" t="s">
        <v>12466</v>
      </c>
      <c r="B941" s="717"/>
      <c r="C941" s="717"/>
      <c r="D941" s="717"/>
      <c r="E941" s="717"/>
      <c r="F941" s="717"/>
      <c r="G941" s="717"/>
      <c r="H941" s="717"/>
      <c r="I941" s="717"/>
      <c r="J941" s="717"/>
      <c r="K941" s="717"/>
      <c r="L941" s="717"/>
      <c r="M941" s="717"/>
      <c r="N941" s="717"/>
      <c r="O941" s="717"/>
      <c r="P941" s="717"/>
      <c r="Q941" s="717"/>
      <c r="R941" s="717"/>
      <c r="S941" s="717"/>
      <c r="T941" s="717"/>
      <c r="U941" s="717"/>
      <c r="V941" s="717"/>
      <c r="W941" s="717"/>
      <c r="X941" s="717"/>
      <c r="Y941" s="717"/>
      <c r="Z941" s="717"/>
      <c r="AA941" s="717"/>
      <c r="AB941" s="717"/>
      <c r="AC941" s="717"/>
      <c r="AD941" s="717"/>
      <c r="AE941" s="717"/>
      <c r="AF941" s="717"/>
      <c r="AG941" s="717"/>
      <c r="AH941" s="717"/>
      <c r="AI941" s="717"/>
      <c r="AJ941" s="717"/>
    </row>
    <row r="942" spans="1:36" ht="15.95" customHeight="1">
      <c r="A942" s="547"/>
      <c r="B942" s="548">
        <v>169</v>
      </c>
      <c r="C942" s="549">
        <v>7615</v>
      </c>
      <c r="D942" s="550" t="s">
        <v>12467</v>
      </c>
      <c r="E942" s="550" t="s">
        <v>5000</v>
      </c>
      <c r="F942" s="550" t="s">
        <v>12468</v>
      </c>
      <c r="G942" s="550" t="s">
        <v>4998</v>
      </c>
      <c r="H942" s="550" t="s">
        <v>1959</v>
      </c>
      <c r="I942" s="550" t="s">
        <v>11</v>
      </c>
      <c r="J942" s="550" t="s">
        <v>12469</v>
      </c>
      <c r="K942" s="551">
        <v>44934</v>
      </c>
      <c r="L942" s="552">
        <v>3500</v>
      </c>
      <c r="M942" s="552">
        <v>3500</v>
      </c>
      <c r="N942" s="552">
        <v>3500</v>
      </c>
      <c r="O942" s="552"/>
      <c r="P942" s="552"/>
      <c r="Q942" s="548">
        <v>1800</v>
      </c>
      <c r="R942" s="552">
        <v>6300000</v>
      </c>
      <c r="S942" s="548">
        <v>1800</v>
      </c>
      <c r="T942" s="552">
        <v>6300000</v>
      </c>
      <c r="U942" s="548">
        <v>0</v>
      </c>
      <c r="V942" s="552">
        <v>0</v>
      </c>
      <c r="W942" s="552">
        <v>63</v>
      </c>
      <c r="X942" s="552">
        <v>220500</v>
      </c>
      <c r="Y942" s="552">
        <v>1800</v>
      </c>
      <c r="Z942" s="552">
        <v>6300000</v>
      </c>
      <c r="AA942" s="552">
        <v>1200</v>
      </c>
      <c r="AB942" s="552">
        <v>4200000</v>
      </c>
      <c r="AC942" s="552">
        <v>600</v>
      </c>
      <c r="AD942" s="552">
        <v>2100000</v>
      </c>
      <c r="AE942" s="552">
        <v>0</v>
      </c>
      <c r="AF942" s="552">
        <v>0</v>
      </c>
      <c r="AG942" s="552">
        <v>0</v>
      </c>
      <c r="AH942" s="552">
        <v>0</v>
      </c>
      <c r="AI942" s="552">
        <v>0</v>
      </c>
      <c r="AJ942" s="552">
        <v>0</v>
      </c>
    </row>
    <row r="943" spans="1:36" ht="15.95" customHeight="1">
      <c r="A943" s="547"/>
      <c r="B943" s="548">
        <v>170</v>
      </c>
      <c r="C943" s="549">
        <v>7615</v>
      </c>
      <c r="D943" s="550" t="s">
        <v>12467</v>
      </c>
      <c r="E943" s="550" t="s">
        <v>5000</v>
      </c>
      <c r="F943" s="550" t="s">
        <v>12468</v>
      </c>
      <c r="G943" s="550" t="s">
        <v>4998</v>
      </c>
      <c r="H943" s="550" t="s">
        <v>1959</v>
      </c>
      <c r="I943" s="550" t="s">
        <v>11</v>
      </c>
      <c r="J943" s="550" t="s">
        <v>12470</v>
      </c>
      <c r="K943" s="551">
        <v>44976</v>
      </c>
      <c r="L943" s="552">
        <v>3500</v>
      </c>
      <c r="M943" s="552">
        <v>3500</v>
      </c>
      <c r="N943" s="552">
        <v>3500</v>
      </c>
      <c r="O943" s="552"/>
      <c r="P943" s="552"/>
      <c r="Q943" s="548">
        <v>7825</v>
      </c>
      <c r="R943" s="552">
        <v>27387500</v>
      </c>
      <c r="S943" s="548">
        <v>7477</v>
      </c>
      <c r="T943" s="552">
        <v>26169500</v>
      </c>
      <c r="U943" s="548">
        <v>348</v>
      </c>
      <c r="V943" s="552">
        <v>1218000</v>
      </c>
      <c r="W943" s="552">
        <v>2152</v>
      </c>
      <c r="X943" s="552">
        <v>7532000</v>
      </c>
      <c r="Y943" s="552">
        <v>7477</v>
      </c>
      <c r="Z943" s="552">
        <v>26169500</v>
      </c>
      <c r="AA943" s="552">
        <v>2395</v>
      </c>
      <c r="AB943" s="552">
        <v>8382500</v>
      </c>
      <c r="AC943" s="552">
        <v>5082</v>
      </c>
      <c r="AD943" s="552">
        <v>17787000</v>
      </c>
      <c r="AE943" s="552">
        <v>0</v>
      </c>
      <c r="AF943" s="552">
        <v>0</v>
      </c>
      <c r="AG943" s="552">
        <v>0</v>
      </c>
      <c r="AH943" s="552">
        <v>0</v>
      </c>
      <c r="AI943" s="552">
        <v>0</v>
      </c>
      <c r="AJ943" s="552">
        <v>0</v>
      </c>
    </row>
    <row r="944" spans="1:36" ht="15.95" customHeight="1">
      <c r="A944" s="547"/>
      <c r="B944" s="548">
        <v>171</v>
      </c>
      <c r="C944" s="549">
        <v>7615</v>
      </c>
      <c r="D944" s="550" t="s">
        <v>12467</v>
      </c>
      <c r="E944" s="550" t="s">
        <v>5000</v>
      </c>
      <c r="F944" s="550" t="s">
        <v>12468</v>
      </c>
      <c r="G944" s="550" t="s">
        <v>4998</v>
      </c>
      <c r="H944" s="550" t="s">
        <v>1959</v>
      </c>
      <c r="I944" s="550" t="s">
        <v>11</v>
      </c>
      <c r="J944" s="550" t="s">
        <v>12471</v>
      </c>
      <c r="K944" s="551">
        <v>44976</v>
      </c>
      <c r="L944" s="552">
        <v>3500</v>
      </c>
      <c r="M944" s="552">
        <v>3500</v>
      </c>
      <c r="N944" s="552">
        <v>3500</v>
      </c>
      <c r="O944" s="552"/>
      <c r="P944" s="552"/>
      <c r="Q944" s="548">
        <v>800</v>
      </c>
      <c r="R944" s="552">
        <v>2800000</v>
      </c>
      <c r="S944" s="548">
        <v>800</v>
      </c>
      <c r="T944" s="552">
        <v>2800000</v>
      </c>
      <c r="U944" s="548">
        <v>0</v>
      </c>
      <c r="V944" s="552">
        <v>0</v>
      </c>
      <c r="W944" s="552">
        <v>0</v>
      </c>
      <c r="X944" s="552">
        <v>0</v>
      </c>
      <c r="Y944" s="552">
        <v>800</v>
      </c>
      <c r="Z944" s="552">
        <v>2800000</v>
      </c>
      <c r="AA944" s="552">
        <v>800</v>
      </c>
      <c r="AB944" s="552">
        <v>2800000</v>
      </c>
      <c r="AC944" s="552">
        <v>0</v>
      </c>
      <c r="AD944" s="552">
        <v>0</v>
      </c>
      <c r="AE944" s="552">
        <v>0</v>
      </c>
      <c r="AF944" s="552">
        <v>0</v>
      </c>
      <c r="AG944" s="552">
        <v>0</v>
      </c>
      <c r="AH944" s="552">
        <v>0</v>
      </c>
      <c r="AI944" s="552">
        <v>0</v>
      </c>
      <c r="AJ944" s="552">
        <v>0</v>
      </c>
    </row>
    <row r="945" spans="1:36" ht="15.95" customHeight="1">
      <c r="A945" s="547"/>
      <c r="B945" s="548">
        <v>172</v>
      </c>
      <c r="C945" s="549">
        <v>7615</v>
      </c>
      <c r="D945" s="550" t="s">
        <v>12467</v>
      </c>
      <c r="E945" s="550" t="s">
        <v>5000</v>
      </c>
      <c r="F945" s="550" t="s">
        <v>12468</v>
      </c>
      <c r="G945" s="550" t="s">
        <v>4998</v>
      </c>
      <c r="H945" s="550" t="s">
        <v>1959</v>
      </c>
      <c r="I945" s="550" t="s">
        <v>11</v>
      </c>
      <c r="J945" s="550" t="s">
        <v>12472</v>
      </c>
      <c r="K945" s="551">
        <v>44992</v>
      </c>
      <c r="L945" s="552">
        <v>3500</v>
      </c>
      <c r="M945" s="552">
        <v>3500</v>
      </c>
      <c r="N945" s="552">
        <v>3500</v>
      </c>
      <c r="O945" s="552"/>
      <c r="P945" s="552"/>
      <c r="Q945" s="548">
        <v>5400</v>
      </c>
      <c r="R945" s="552">
        <v>18900000</v>
      </c>
      <c r="S945" s="548">
        <v>1196</v>
      </c>
      <c r="T945" s="552">
        <v>4186000</v>
      </c>
      <c r="U945" s="548">
        <v>4204</v>
      </c>
      <c r="V945" s="552">
        <v>14714000</v>
      </c>
      <c r="W945" s="552">
        <v>2</v>
      </c>
      <c r="X945" s="552">
        <v>7000</v>
      </c>
      <c r="Y945" s="552">
        <v>1196</v>
      </c>
      <c r="Z945" s="552">
        <v>4186000</v>
      </c>
      <c r="AA945" s="552">
        <v>567</v>
      </c>
      <c r="AB945" s="552">
        <v>1984500</v>
      </c>
      <c r="AC945" s="552">
        <v>629</v>
      </c>
      <c r="AD945" s="552">
        <v>2201500</v>
      </c>
      <c r="AE945" s="552">
        <v>0</v>
      </c>
      <c r="AF945" s="552">
        <v>0</v>
      </c>
      <c r="AG945" s="552">
        <v>0</v>
      </c>
      <c r="AH945" s="552">
        <v>0</v>
      </c>
      <c r="AI945" s="552">
        <v>0</v>
      </c>
      <c r="AJ945" s="552">
        <v>0</v>
      </c>
    </row>
    <row r="946" spans="1:36" ht="15.95" customHeight="1">
      <c r="A946" s="547"/>
      <c r="B946" s="548">
        <v>173</v>
      </c>
      <c r="C946" s="549">
        <v>7615</v>
      </c>
      <c r="D946" s="550" t="s">
        <v>12467</v>
      </c>
      <c r="E946" s="550" t="s">
        <v>5000</v>
      </c>
      <c r="F946" s="550" t="s">
        <v>12468</v>
      </c>
      <c r="G946" s="550" t="s">
        <v>4998</v>
      </c>
      <c r="H946" s="550" t="s">
        <v>1959</v>
      </c>
      <c r="I946" s="550" t="s">
        <v>11</v>
      </c>
      <c r="J946" s="550" t="s">
        <v>12473</v>
      </c>
      <c r="K946" s="551">
        <v>44996</v>
      </c>
      <c r="L946" s="552">
        <v>3500</v>
      </c>
      <c r="M946" s="552">
        <v>3500</v>
      </c>
      <c r="N946" s="552">
        <v>3500</v>
      </c>
      <c r="O946" s="552"/>
      <c r="P946" s="552"/>
      <c r="Q946" s="548">
        <v>6000</v>
      </c>
      <c r="R946" s="552">
        <v>21000000</v>
      </c>
      <c r="S946" s="548">
        <v>0</v>
      </c>
      <c r="T946" s="552">
        <v>0</v>
      </c>
      <c r="U946" s="548">
        <v>6000</v>
      </c>
      <c r="V946" s="552">
        <v>21000000</v>
      </c>
      <c r="W946" s="552">
        <v>0</v>
      </c>
      <c r="X946" s="552">
        <v>0</v>
      </c>
      <c r="Y946" s="552">
        <v>0</v>
      </c>
      <c r="Z946" s="552">
        <v>0</v>
      </c>
      <c r="AA946" s="552">
        <v>0</v>
      </c>
      <c r="AB946" s="552">
        <v>0</v>
      </c>
      <c r="AC946" s="552">
        <v>0</v>
      </c>
      <c r="AD946" s="552">
        <v>0</v>
      </c>
      <c r="AE946" s="552">
        <v>0</v>
      </c>
      <c r="AF946" s="552">
        <v>0</v>
      </c>
      <c r="AG946" s="552">
        <v>0</v>
      </c>
      <c r="AH946" s="552">
        <v>0</v>
      </c>
      <c r="AI946" s="552">
        <v>0</v>
      </c>
      <c r="AJ946" s="552">
        <v>0</v>
      </c>
    </row>
    <row r="947" spans="1:36" ht="15.95" customHeight="1">
      <c r="A947" s="547"/>
      <c r="B947" s="548">
        <v>174</v>
      </c>
      <c r="C947" s="549">
        <v>7615</v>
      </c>
      <c r="D947" s="550" t="s">
        <v>12467</v>
      </c>
      <c r="E947" s="550" t="s">
        <v>5000</v>
      </c>
      <c r="F947" s="550" t="s">
        <v>12468</v>
      </c>
      <c r="G947" s="550" t="s">
        <v>4998</v>
      </c>
      <c r="H947" s="550" t="s">
        <v>1959</v>
      </c>
      <c r="I947" s="550" t="s">
        <v>11</v>
      </c>
      <c r="J947" s="550" t="s">
        <v>12474</v>
      </c>
      <c r="K947" s="551">
        <v>44996</v>
      </c>
      <c r="L947" s="552">
        <v>3500</v>
      </c>
      <c r="M947" s="552">
        <v>3500</v>
      </c>
      <c r="N947" s="552">
        <v>3500</v>
      </c>
      <c r="O947" s="552"/>
      <c r="P947" s="552"/>
      <c r="Q947" s="548">
        <v>8200</v>
      </c>
      <c r="R947" s="552">
        <v>28700000</v>
      </c>
      <c r="S947" s="548">
        <v>0</v>
      </c>
      <c r="T947" s="552">
        <v>0</v>
      </c>
      <c r="U947" s="548">
        <v>8200</v>
      </c>
      <c r="V947" s="552">
        <v>28700000</v>
      </c>
      <c r="W947" s="552">
        <v>0</v>
      </c>
      <c r="X947" s="552">
        <v>0</v>
      </c>
      <c r="Y947" s="552">
        <v>0</v>
      </c>
      <c r="Z947" s="552">
        <v>0</v>
      </c>
      <c r="AA947" s="552">
        <v>0</v>
      </c>
      <c r="AB947" s="552">
        <v>0</v>
      </c>
      <c r="AC947" s="552">
        <v>0</v>
      </c>
      <c r="AD947" s="552">
        <v>0</v>
      </c>
      <c r="AE947" s="552">
        <v>0</v>
      </c>
      <c r="AF947" s="552">
        <v>0</v>
      </c>
      <c r="AG947" s="552">
        <v>0</v>
      </c>
      <c r="AH947" s="552">
        <v>0</v>
      </c>
      <c r="AI947" s="552">
        <v>0</v>
      </c>
      <c r="AJ947" s="552">
        <v>0</v>
      </c>
    </row>
    <row r="948" spans="1:36" ht="15.95" customHeight="1">
      <c r="A948" s="547"/>
      <c r="B948" s="548">
        <v>175</v>
      </c>
      <c r="C948" s="549">
        <v>7615</v>
      </c>
      <c r="D948" s="550" t="s">
        <v>12467</v>
      </c>
      <c r="E948" s="550" t="s">
        <v>5000</v>
      </c>
      <c r="F948" s="550" t="s">
        <v>12468</v>
      </c>
      <c r="G948" s="550" t="s">
        <v>4998</v>
      </c>
      <c r="H948" s="550" t="s">
        <v>1959</v>
      </c>
      <c r="I948" s="550" t="s">
        <v>11</v>
      </c>
      <c r="J948" s="550" t="s">
        <v>12475</v>
      </c>
      <c r="K948" s="551">
        <v>45036</v>
      </c>
      <c r="L948" s="552">
        <v>3500</v>
      </c>
      <c r="M948" s="552">
        <v>3500</v>
      </c>
      <c r="N948" s="552">
        <v>3500</v>
      </c>
      <c r="O948" s="552"/>
      <c r="P948" s="552"/>
      <c r="Q948" s="548">
        <v>11900</v>
      </c>
      <c r="R948" s="552">
        <v>41650000</v>
      </c>
      <c r="S948" s="548">
        <v>0</v>
      </c>
      <c r="T948" s="552">
        <v>0</v>
      </c>
      <c r="U948" s="548">
        <v>11900</v>
      </c>
      <c r="V948" s="552">
        <v>41650000</v>
      </c>
      <c r="W948" s="552">
        <v>0</v>
      </c>
      <c r="X948" s="552">
        <v>0</v>
      </c>
      <c r="Y948" s="552">
        <v>0</v>
      </c>
      <c r="Z948" s="552">
        <v>0</v>
      </c>
      <c r="AA948" s="552">
        <v>0</v>
      </c>
      <c r="AB948" s="552">
        <v>0</v>
      </c>
      <c r="AC948" s="552">
        <v>0</v>
      </c>
      <c r="AD948" s="552">
        <v>0</v>
      </c>
      <c r="AE948" s="552">
        <v>0</v>
      </c>
      <c r="AF948" s="552">
        <v>0</v>
      </c>
      <c r="AG948" s="552">
        <v>0</v>
      </c>
      <c r="AH948" s="552">
        <v>0</v>
      </c>
      <c r="AI948" s="552">
        <v>0</v>
      </c>
      <c r="AJ948" s="552">
        <v>0</v>
      </c>
    </row>
    <row r="949" spans="1:36" ht="15.95" customHeight="1">
      <c r="A949" s="547"/>
      <c r="B949" s="548">
        <v>176</v>
      </c>
      <c r="C949" s="549">
        <v>7615</v>
      </c>
      <c r="D949" s="550" t="s">
        <v>12467</v>
      </c>
      <c r="E949" s="550" t="s">
        <v>5000</v>
      </c>
      <c r="F949" s="550" t="s">
        <v>12468</v>
      </c>
      <c r="G949" s="550" t="s">
        <v>4998</v>
      </c>
      <c r="H949" s="550" t="s">
        <v>1959</v>
      </c>
      <c r="I949" s="550" t="s">
        <v>11</v>
      </c>
      <c r="J949" s="550" t="s">
        <v>12476</v>
      </c>
      <c r="K949" s="551">
        <v>45072</v>
      </c>
      <c r="L949" s="552">
        <v>3500</v>
      </c>
      <c r="M949" s="552">
        <v>3500</v>
      </c>
      <c r="N949" s="552">
        <v>3500</v>
      </c>
      <c r="O949" s="552"/>
      <c r="P949" s="552"/>
      <c r="Q949" s="548">
        <v>10000</v>
      </c>
      <c r="R949" s="552">
        <v>35000000</v>
      </c>
      <c r="S949" s="548">
        <v>0</v>
      </c>
      <c r="T949" s="552">
        <v>0</v>
      </c>
      <c r="U949" s="548">
        <v>10000</v>
      </c>
      <c r="V949" s="552">
        <v>35000000</v>
      </c>
      <c r="W949" s="552">
        <v>0</v>
      </c>
      <c r="X949" s="552">
        <v>0</v>
      </c>
      <c r="Y949" s="552">
        <v>0</v>
      </c>
      <c r="Z949" s="552">
        <v>0</v>
      </c>
      <c r="AA949" s="552">
        <v>0</v>
      </c>
      <c r="AB949" s="552">
        <v>0</v>
      </c>
      <c r="AC949" s="552">
        <v>0</v>
      </c>
      <c r="AD949" s="552">
        <v>0</v>
      </c>
      <c r="AE949" s="552">
        <v>0</v>
      </c>
      <c r="AF949" s="552">
        <v>0</v>
      </c>
      <c r="AG949" s="552">
        <v>0</v>
      </c>
      <c r="AH949" s="552">
        <v>0</v>
      </c>
      <c r="AI949" s="552">
        <v>0</v>
      </c>
      <c r="AJ949" s="552">
        <v>0</v>
      </c>
    </row>
    <row r="950" spans="1:36" ht="15.95" customHeight="1">
      <c r="A950" s="547"/>
      <c r="B950" s="548">
        <v>177</v>
      </c>
      <c r="C950" s="549">
        <v>7615</v>
      </c>
      <c r="D950" s="550" t="s">
        <v>12467</v>
      </c>
      <c r="E950" s="550" t="s">
        <v>5000</v>
      </c>
      <c r="F950" s="550" t="s">
        <v>12468</v>
      </c>
      <c r="G950" s="550" t="s">
        <v>4998</v>
      </c>
      <c r="H950" s="550" t="s">
        <v>1959</v>
      </c>
      <c r="I950" s="550" t="s">
        <v>11</v>
      </c>
      <c r="J950" s="550" t="s">
        <v>12477</v>
      </c>
      <c r="K950" s="551">
        <v>44906</v>
      </c>
      <c r="L950" s="552">
        <v>3500</v>
      </c>
      <c r="M950" s="552">
        <v>3500</v>
      </c>
      <c r="N950" s="552">
        <v>3500</v>
      </c>
      <c r="O950" s="552"/>
      <c r="P950" s="552"/>
      <c r="Q950" s="548">
        <v>10006</v>
      </c>
      <c r="R950" s="552">
        <v>35021000</v>
      </c>
      <c r="S950" s="548">
        <v>9996</v>
      </c>
      <c r="T950" s="552">
        <v>34986000</v>
      </c>
      <c r="U950" s="548">
        <v>10</v>
      </c>
      <c r="V950" s="552">
        <v>35000</v>
      </c>
      <c r="W950" s="552">
        <v>1977</v>
      </c>
      <c r="X950" s="552">
        <v>6919500</v>
      </c>
      <c r="Y950" s="552">
        <v>9986</v>
      </c>
      <c r="Z950" s="552">
        <v>34951000</v>
      </c>
      <c r="AA950" s="552">
        <v>6580</v>
      </c>
      <c r="AB950" s="552">
        <v>23030000</v>
      </c>
      <c r="AC950" s="552">
        <v>3406</v>
      </c>
      <c r="AD950" s="552">
        <v>11921000</v>
      </c>
      <c r="AE950" s="552">
        <v>0</v>
      </c>
      <c r="AF950" s="552">
        <v>0</v>
      </c>
      <c r="AG950" s="552">
        <v>20</v>
      </c>
      <c r="AH950" s="552">
        <v>70000</v>
      </c>
      <c r="AI950" s="552">
        <v>0</v>
      </c>
      <c r="AJ950" s="552">
        <v>0</v>
      </c>
    </row>
    <row r="951" spans="1:36" ht="15.95" customHeight="1">
      <c r="A951" s="547"/>
      <c r="B951" s="548">
        <v>271</v>
      </c>
      <c r="C951" s="549">
        <v>6572</v>
      </c>
      <c r="D951" s="550" t="s">
        <v>12478</v>
      </c>
      <c r="E951" s="550" t="s">
        <v>4781</v>
      </c>
      <c r="F951" s="550" t="s">
        <v>2469</v>
      </c>
      <c r="G951" s="550" t="s">
        <v>2469</v>
      </c>
      <c r="H951" s="550" t="s">
        <v>4782</v>
      </c>
      <c r="I951" s="550" t="s">
        <v>11</v>
      </c>
      <c r="J951" s="550" t="s">
        <v>4783</v>
      </c>
      <c r="K951" s="551">
        <v>44377</v>
      </c>
      <c r="L951" s="552">
        <v>100</v>
      </c>
      <c r="M951" s="552">
        <v>100</v>
      </c>
      <c r="N951" s="552">
        <v>100</v>
      </c>
      <c r="O951" s="552">
        <v>1000</v>
      </c>
      <c r="P951" s="552">
        <v>100000</v>
      </c>
      <c r="Q951" s="548">
        <v>0</v>
      </c>
      <c r="R951" s="552">
        <v>0</v>
      </c>
      <c r="S951" s="548">
        <v>1000</v>
      </c>
      <c r="T951" s="552">
        <v>100000</v>
      </c>
      <c r="U951" s="548">
        <v>0</v>
      </c>
      <c r="V951" s="552">
        <v>0</v>
      </c>
      <c r="W951" s="552">
        <v>1407</v>
      </c>
      <c r="X951" s="552">
        <v>140700</v>
      </c>
      <c r="Y951" s="552">
        <v>1000</v>
      </c>
      <c r="Z951" s="552">
        <v>100000</v>
      </c>
      <c r="AA951" s="552">
        <v>0</v>
      </c>
      <c r="AB951" s="552">
        <v>0</v>
      </c>
      <c r="AC951" s="552">
        <v>1000</v>
      </c>
      <c r="AD951" s="552">
        <v>100000</v>
      </c>
      <c r="AE951" s="552">
        <v>0</v>
      </c>
      <c r="AF951" s="552">
        <v>0</v>
      </c>
      <c r="AG951" s="552">
        <v>0</v>
      </c>
      <c r="AH951" s="552">
        <v>0</v>
      </c>
      <c r="AI951" s="552">
        <v>0</v>
      </c>
      <c r="AJ951" s="552">
        <v>0</v>
      </c>
    </row>
    <row r="952" spans="1:36" ht="15.95" customHeight="1">
      <c r="A952" s="547"/>
      <c r="B952" s="548">
        <v>624</v>
      </c>
      <c r="C952" s="549">
        <v>7618</v>
      </c>
      <c r="D952" s="550" t="s">
        <v>12479</v>
      </c>
      <c r="E952" s="550" t="s">
        <v>6112</v>
      </c>
      <c r="F952" s="550" t="s">
        <v>12480</v>
      </c>
      <c r="G952" s="550" t="s">
        <v>556</v>
      </c>
      <c r="H952" s="550" t="s">
        <v>238</v>
      </c>
      <c r="I952" s="550" t="s">
        <v>11</v>
      </c>
      <c r="J952" s="550" t="s">
        <v>12481</v>
      </c>
      <c r="K952" s="551">
        <v>45147</v>
      </c>
      <c r="L952" s="552">
        <v>1990</v>
      </c>
      <c r="M952" s="552">
        <v>1990</v>
      </c>
      <c r="N952" s="552">
        <v>1990</v>
      </c>
      <c r="O952" s="552"/>
      <c r="P952" s="552"/>
      <c r="Q952" s="548">
        <v>10000</v>
      </c>
      <c r="R952" s="552">
        <v>19900000</v>
      </c>
      <c r="S952" s="548">
        <v>0</v>
      </c>
      <c r="T952" s="552">
        <v>0</v>
      </c>
      <c r="U952" s="548">
        <v>10000</v>
      </c>
      <c r="V952" s="552">
        <v>19900000</v>
      </c>
      <c r="W952" s="552">
        <v>0</v>
      </c>
      <c r="X952" s="552">
        <v>0</v>
      </c>
      <c r="Y952" s="552">
        <v>0</v>
      </c>
      <c r="Z952" s="552">
        <v>0</v>
      </c>
      <c r="AA952" s="552">
        <v>0</v>
      </c>
      <c r="AB952" s="552">
        <v>0</v>
      </c>
      <c r="AC952" s="552">
        <v>0</v>
      </c>
      <c r="AD952" s="552">
        <v>0</v>
      </c>
      <c r="AE952" s="552">
        <v>0</v>
      </c>
      <c r="AF952" s="552">
        <v>0</v>
      </c>
      <c r="AG952" s="552">
        <v>0</v>
      </c>
      <c r="AH952" s="552">
        <v>0</v>
      </c>
      <c r="AI952" s="552">
        <v>0</v>
      </c>
      <c r="AJ952" s="552">
        <v>0</v>
      </c>
    </row>
    <row r="953" spans="1:36" ht="15.95" customHeight="1">
      <c r="A953" s="547"/>
      <c r="B953" s="548">
        <v>1104</v>
      </c>
      <c r="C953" s="549">
        <v>7640</v>
      </c>
      <c r="D953" s="550" t="s">
        <v>12482</v>
      </c>
      <c r="E953" s="550" t="s">
        <v>12482</v>
      </c>
      <c r="F953" s="550" t="s">
        <v>12483</v>
      </c>
      <c r="G953" s="550" t="s">
        <v>1477</v>
      </c>
      <c r="H953" s="550" t="s">
        <v>2522</v>
      </c>
      <c r="I953" s="550" t="s">
        <v>520</v>
      </c>
      <c r="J953" s="550" t="s">
        <v>12484</v>
      </c>
      <c r="K953" s="551">
        <v>44612</v>
      </c>
      <c r="L953" s="552">
        <v>1260</v>
      </c>
      <c r="M953" s="552">
        <v>1260</v>
      </c>
      <c r="N953" s="552">
        <v>1260</v>
      </c>
      <c r="O953" s="552"/>
      <c r="P953" s="552"/>
      <c r="Q953" s="548">
        <v>50</v>
      </c>
      <c r="R953" s="552">
        <v>63000</v>
      </c>
      <c r="S953" s="548">
        <v>16</v>
      </c>
      <c r="T953" s="552">
        <v>20160</v>
      </c>
      <c r="U953" s="548">
        <v>34</v>
      </c>
      <c r="V953" s="552">
        <v>42840</v>
      </c>
      <c r="W953" s="552">
        <v>0</v>
      </c>
      <c r="X953" s="552">
        <v>0</v>
      </c>
      <c r="Y953" s="552">
        <v>6</v>
      </c>
      <c r="Z953" s="552">
        <v>7560</v>
      </c>
      <c r="AA953" s="552">
        <v>0</v>
      </c>
      <c r="AB953" s="552">
        <v>0</v>
      </c>
      <c r="AC953" s="552">
        <v>6</v>
      </c>
      <c r="AD953" s="552">
        <v>7560</v>
      </c>
      <c r="AE953" s="552">
        <v>0</v>
      </c>
      <c r="AF953" s="552">
        <v>0</v>
      </c>
      <c r="AG953" s="552">
        <v>10</v>
      </c>
      <c r="AH953" s="552">
        <v>12600</v>
      </c>
      <c r="AI953" s="552">
        <v>0</v>
      </c>
      <c r="AJ953" s="552">
        <v>0</v>
      </c>
    </row>
    <row r="954" spans="1:36" ht="0.75" customHeight="1">
      <c r="A954" s="547"/>
      <c r="B954" s="718"/>
      <c r="C954" s="718"/>
      <c r="D954" s="718"/>
      <c r="E954" s="718"/>
      <c r="F954" s="718"/>
      <c r="G954" s="718"/>
      <c r="H954" s="718"/>
      <c r="I954" s="718"/>
      <c r="J954" s="718"/>
      <c r="K954" s="718"/>
      <c r="L954" s="718"/>
      <c r="M954" s="718"/>
      <c r="N954" s="718"/>
      <c r="O954" s="718"/>
      <c r="P954" s="718"/>
      <c r="Q954" s="553"/>
      <c r="R954" s="719"/>
      <c r="S954" s="719"/>
      <c r="T954" s="719"/>
      <c r="U954" s="719"/>
      <c r="V954" s="719"/>
      <c r="W954" s="719"/>
      <c r="X954" s="719"/>
      <c r="Y954" s="719"/>
      <c r="Z954" s="719"/>
      <c r="AA954" s="719"/>
      <c r="AB954" s="719"/>
      <c r="AC954" s="719"/>
      <c r="AD954" s="719"/>
      <c r="AE954" s="719"/>
      <c r="AF954" s="719"/>
      <c r="AG954" s="719"/>
      <c r="AH954" s="719"/>
      <c r="AI954" s="719"/>
      <c r="AJ954" s="719"/>
    </row>
    <row r="955" spans="1:36" ht="12.95" customHeight="1">
      <c r="A955" s="547"/>
      <c r="B955" s="720"/>
      <c r="C955" s="720"/>
      <c r="D955" s="720"/>
      <c r="E955" s="720"/>
      <c r="F955" s="720"/>
      <c r="G955" s="720"/>
      <c r="H955" s="720"/>
      <c r="I955" s="720"/>
      <c r="J955" s="720"/>
      <c r="K955" s="720"/>
      <c r="L955" s="720"/>
      <c r="M955" s="720"/>
      <c r="N955" s="720"/>
      <c r="O955" s="720"/>
      <c r="P955" s="720"/>
      <c r="Q955" s="554"/>
      <c r="R955" s="721"/>
      <c r="S955" s="721"/>
      <c r="T955" s="721"/>
      <c r="U955" s="721"/>
      <c r="V955" s="721"/>
      <c r="W955" s="721"/>
      <c r="X955" s="721"/>
      <c r="Y955" s="721"/>
      <c r="Z955" s="721"/>
      <c r="AA955" s="721"/>
      <c r="AB955" s="721"/>
      <c r="AC955" s="721"/>
      <c r="AD955" s="721"/>
      <c r="AE955" s="721"/>
      <c r="AF955" s="721"/>
      <c r="AG955" s="721"/>
      <c r="AH955" s="721"/>
      <c r="AI955" s="721"/>
      <c r="AJ955" s="721"/>
    </row>
    <row r="956" spans="1:36" ht="0.75" customHeight="1">
      <c r="A956" s="547"/>
      <c r="B956" s="714"/>
      <c r="C956" s="714"/>
      <c r="D956" s="714"/>
      <c r="E956" s="714"/>
      <c r="F956" s="714"/>
      <c r="G956" s="714"/>
      <c r="H956" s="714"/>
      <c r="I956" s="714"/>
      <c r="J956" s="714"/>
      <c r="K956" s="714"/>
      <c r="L956" s="714"/>
      <c r="M956" s="714"/>
      <c r="N956" s="714"/>
      <c r="O956" s="714"/>
      <c r="P956" s="714"/>
      <c r="Q956" s="555"/>
      <c r="R956" s="715"/>
      <c r="S956" s="715"/>
      <c r="T956" s="715"/>
      <c r="U956" s="715"/>
      <c r="V956" s="715"/>
      <c r="W956" s="715"/>
      <c r="X956" s="715"/>
      <c r="Y956" s="715"/>
      <c r="Z956" s="715"/>
      <c r="AA956" s="715"/>
      <c r="AB956" s="715"/>
      <c r="AC956" s="715"/>
      <c r="AD956" s="715"/>
      <c r="AE956" s="715"/>
      <c r="AF956" s="715"/>
      <c r="AG956" s="715"/>
      <c r="AH956" s="715"/>
      <c r="AI956" s="715"/>
      <c r="AJ956" s="715"/>
    </row>
    <row r="957" spans="1:36" ht="13.7" customHeight="1">
      <c r="A957" s="717" t="s">
        <v>12485</v>
      </c>
      <c r="B957" s="717"/>
      <c r="C957" s="717"/>
      <c r="D957" s="717"/>
      <c r="E957" s="717"/>
      <c r="F957" s="717"/>
      <c r="G957" s="717"/>
      <c r="H957" s="717"/>
      <c r="I957" s="717"/>
      <c r="J957" s="717"/>
      <c r="K957" s="717"/>
      <c r="L957" s="717"/>
      <c r="M957" s="717"/>
      <c r="N957" s="717"/>
      <c r="O957" s="717"/>
      <c r="P957" s="717"/>
      <c r="Q957" s="717"/>
      <c r="R957" s="717"/>
      <c r="S957" s="717"/>
      <c r="T957" s="717"/>
      <c r="U957" s="717"/>
      <c r="V957" s="717"/>
      <c r="W957" s="717"/>
      <c r="X957" s="717"/>
      <c r="Y957" s="717"/>
      <c r="Z957" s="717"/>
      <c r="AA957" s="717"/>
      <c r="AB957" s="717"/>
      <c r="AC957" s="717"/>
      <c r="AD957" s="717"/>
      <c r="AE957" s="717"/>
      <c r="AF957" s="717"/>
      <c r="AG957" s="717"/>
      <c r="AH957" s="717"/>
      <c r="AI957" s="717"/>
      <c r="AJ957" s="717"/>
    </row>
    <row r="958" spans="1:36" ht="15.95" customHeight="1">
      <c r="A958" s="547"/>
      <c r="B958" s="548">
        <v>8</v>
      </c>
      <c r="C958" s="549">
        <v>6021</v>
      </c>
      <c r="D958" s="550"/>
      <c r="E958" s="550" t="s">
        <v>4784</v>
      </c>
      <c r="F958" s="550" t="s">
        <v>4785</v>
      </c>
      <c r="G958" s="550" t="s">
        <v>438</v>
      </c>
      <c r="H958" s="550" t="s">
        <v>229</v>
      </c>
      <c r="I958" s="550" t="s">
        <v>628</v>
      </c>
      <c r="J958" s="550" t="s">
        <v>4786</v>
      </c>
      <c r="K958" s="551">
        <v>44379</v>
      </c>
      <c r="L958" s="552">
        <v>1190</v>
      </c>
      <c r="M958" s="552">
        <v>1190</v>
      </c>
      <c r="N958" s="552">
        <v>1190</v>
      </c>
      <c r="O958" s="552">
        <v>112</v>
      </c>
      <c r="P958" s="552">
        <v>133280</v>
      </c>
      <c r="Q958" s="548">
        <v>0</v>
      </c>
      <c r="R958" s="552">
        <v>0</v>
      </c>
      <c r="S958" s="548">
        <v>112</v>
      </c>
      <c r="T958" s="552">
        <v>133280</v>
      </c>
      <c r="U958" s="548">
        <v>0</v>
      </c>
      <c r="V958" s="552">
        <v>0</v>
      </c>
      <c r="W958" s="552">
        <v>0</v>
      </c>
      <c r="X958" s="552">
        <v>0</v>
      </c>
      <c r="Y958" s="552">
        <v>112</v>
      </c>
      <c r="Z958" s="552">
        <v>133280</v>
      </c>
      <c r="AA958" s="552">
        <v>0</v>
      </c>
      <c r="AB958" s="552">
        <v>0</v>
      </c>
      <c r="AC958" s="552">
        <v>112</v>
      </c>
      <c r="AD958" s="552">
        <v>133280</v>
      </c>
      <c r="AE958" s="552">
        <v>0</v>
      </c>
      <c r="AF958" s="552">
        <v>0</v>
      </c>
      <c r="AG958" s="552">
        <v>0</v>
      </c>
      <c r="AH958" s="552">
        <v>0</v>
      </c>
      <c r="AI958" s="552">
        <v>0</v>
      </c>
      <c r="AJ958" s="552">
        <v>0</v>
      </c>
    </row>
    <row r="959" spans="1:36" ht="15.95" customHeight="1">
      <c r="A959" s="547"/>
      <c r="B959" s="548">
        <v>35</v>
      </c>
      <c r="C959" s="549">
        <v>6026</v>
      </c>
      <c r="D959" s="550"/>
      <c r="E959" s="550"/>
      <c r="F959" s="550" t="s">
        <v>4787</v>
      </c>
      <c r="G959" s="550" t="s">
        <v>227</v>
      </c>
      <c r="H959" s="550" t="s">
        <v>232</v>
      </c>
      <c r="I959" s="550" t="s">
        <v>12</v>
      </c>
      <c r="J959" s="550" t="s">
        <v>12486</v>
      </c>
      <c r="K959" s="551">
        <v>45032</v>
      </c>
      <c r="L959" s="552">
        <v>365</v>
      </c>
      <c r="M959" s="552">
        <v>365</v>
      </c>
      <c r="N959" s="552">
        <v>365</v>
      </c>
      <c r="O959" s="552">
        <v>266</v>
      </c>
      <c r="P959" s="552">
        <v>97090</v>
      </c>
      <c r="Q959" s="548">
        <v>0</v>
      </c>
      <c r="R959" s="552">
        <v>0</v>
      </c>
      <c r="S959" s="548">
        <v>266</v>
      </c>
      <c r="T959" s="552">
        <v>97090</v>
      </c>
      <c r="U959" s="548">
        <v>0</v>
      </c>
      <c r="V959" s="552">
        <v>0</v>
      </c>
      <c r="W959" s="552">
        <v>1357</v>
      </c>
      <c r="X959" s="552">
        <v>495305</v>
      </c>
      <c r="Y959" s="552">
        <v>266</v>
      </c>
      <c r="Z959" s="552">
        <v>97090</v>
      </c>
      <c r="AA959" s="552">
        <v>266</v>
      </c>
      <c r="AB959" s="552">
        <v>97090</v>
      </c>
      <c r="AC959" s="552">
        <v>0</v>
      </c>
      <c r="AD959" s="552">
        <v>0</v>
      </c>
      <c r="AE959" s="552">
        <v>0</v>
      </c>
      <c r="AF959" s="552">
        <v>0</v>
      </c>
      <c r="AG959" s="552">
        <v>0</v>
      </c>
      <c r="AH959" s="552">
        <v>0</v>
      </c>
      <c r="AI959" s="552">
        <v>0</v>
      </c>
      <c r="AJ959" s="552">
        <v>0</v>
      </c>
    </row>
    <row r="960" spans="1:36" ht="15.95" customHeight="1">
      <c r="A960" s="547"/>
      <c r="B960" s="548">
        <v>36</v>
      </c>
      <c r="C960" s="549">
        <v>6026</v>
      </c>
      <c r="D960" s="550"/>
      <c r="E960" s="550"/>
      <c r="F960" s="550" t="s">
        <v>4787</v>
      </c>
      <c r="G960" s="550" t="s">
        <v>227</v>
      </c>
      <c r="H960" s="550" t="s">
        <v>232</v>
      </c>
      <c r="I960" s="550" t="s">
        <v>12</v>
      </c>
      <c r="J960" s="550" t="s">
        <v>11515</v>
      </c>
      <c r="K960" s="551">
        <v>45170</v>
      </c>
      <c r="L960" s="552">
        <v>365</v>
      </c>
      <c r="M960" s="552">
        <v>365</v>
      </c>
      <c r="N960" s="552">
        <v>365</v>
      </c>
      <c r="O960" s="552"/>
      <c r="P960" s="552"/>
      <c r="Q960" s="548">
        <v>10740</v>
      </c>
      <c r="R960" s="552">
        <v>3920100</v>
      </c>
      <c r="S960" s="548">
        <v>10713</v>
      </c>
      <c r="T960" s="552">
        <v>3910245</v>
      </c>
      <c r="U960" s="548">
        <v>27</v>
      </c>
      <c r="V960" s="552">
        <v>9855</v>
      </c>
      <c r="W960" s="552">
        <v>60</v>
      </c>
      <c r="X960" s="552">
        <v>21900</v>
      </c>
      <c r="Y960" s="552">
        <v>117</v>
      </c>
      <c r="Z960" s="552">
        <v>42705</v>
      </c>
      <c r="AA960" s="552">
        <v>0</v>
      </c>
      <c r="AB960" s="552">
        <v>0</v>
      </c>
      <c r="AC960" s="552">
        <v>117</v>
      </c>
      <c r="AD960" s="552">
        <v>42705</v>
      </c>
      <c r="AE960" s="552">
        <v>0</v>
      </c>
      <c r="AF960" s="552">
        <v>0</v>
      </c>
      <c r="AG960" s="552">
        <v>10596</v>
      </c>
      <c r="AH960" s="552">
        <v>3867540</v>
      </c>
      <c r="AI960" s="552">
        <v>0</v>
      </c>
      <c r="AJ960" s="552">
        <v>0</v>
      </c>
    </row>
    <row r="961" spans="1:36" ht="15.95" customHeight="1">
      <c r="A961" s="547"/>
      <c r="B961" s="548">
        <v>37</v>
      </c>
      <c r="C961" s="549">
        <v>6026</v>
      </c>
      <c r="D961" s="550"/>
      <c r="E961" s="550"/>
      <c r="F961" s="550" t="s">
        <v>4787</v>
      </c>
      <c r="G961" s="550" t="s">
        <v>227</v>
      </c>
      <c r="H961" s="550" t="s">
        <v>232</v>
      </c>
      <c r="I961" s="550" t="s">
        <v>12</v>
      </c>
      <c r="J961" s="550" t="s">
        <v>11527</v>
      </c>
      <c r="K961" s="551">
        <v>45170</v>
      </c>
      <c r="L961" s="552">
        <v>365</v>
      </c>
      <c r="M961" s="552">
        <v>365</v>
      </c>
      <c r="N961" s="552">
        <v>365</v>
      </c>
      <c r="O961" s="552"/>
      <c r="P961" s="552"/>
      <c r="Q961" s="548">
        <v>9319</v>
      </c>
      <c r="R961" s="552">
        <v>3401435</v>
      </c>
      <c r="S961" s="548">
        <v>9188</v>
      </c>
      <c r="T961" s="552">
        <v>3353620</v>
      </c>
      <c r="U961" s="548">
        <v>131</v>
      </c>
      <c r="V961" s="552">
        <v>47815</v>
      </c>
      <c r="W961" s="552">
        <v>864</v>
      </c>
      <c r="X961" s="552">
        <v>315360</v>
      </c>
      <c r="Y961" s="552">
        <v>7309</v>
      </c>
      <c r="Z961" s="552">
        <v>2667785</v>
      </c>
      <c r="AA961" s="552">
        <v>5121</v>
      </c>
      <c r="AB961" s="552">
        <v>1869165</v>
      </c>
      <c r="AC961" s="552">
        <v>2188</v>
      </c>
      <c r="AD961" s="552">
        <v>798620</v>
      </c>
      <c r="AE961" s="552">
        <v>0</v>
      </c>
      <c r="AF961" s="552">
        <v>0</v>
      </c>
      <c r="AG961" s="552">
        <v>1879</v>
      </c>
      <c r="AH961" s="552">
        <v>685835</v>
      </c>
      <c r="AI961" s="552">
        <v>0</v>
      </c>
      <c r="AJ961" s="552">
        <v>0</v>
      </c>
    </row>
    <row r="962" spans="1:36" ht="15.95" customHeight="1">
      <c r="A962" s="547"/>
      <c r="B962" s="548">
        <v>67</v>
      </c>
      <c r="C962" s="549">
        <v>6032</v>
      </c>
      <c r="D962" s="550"/>
      <c r="E962" s="550" t="s">
        <v>4789</v>
      </c>
      <c r="F962" s="550" t="s">
        <v>4790</v>
      </c>
      <c r="G962" s="550" t="s">
        <v>347</v>
      </c>
      <c r="H962" s="550" t="s">
        <v>327</v>
      </c>
      <c r="I962" s="550" t="s">
        <v>10</v>
      </c>
      <c r="J962" s="550" t="s">
        <v>4791</v>
      </c>
      <c r="K962" s="551">
        <v>44890</v>
      </c>
      <c r="L962" s="552">
        <v>254</v>
      </c>
      <c r="M962" s="552">
        <v>254</v>
      </c>
      <c r="N962" s="552">
        <v>254</v>
      </c>
      <c r="O962" s="552">
        <v>293</v>
      </c>
      <c r="P962" s="552">
        <v>74422</v>
      </c>
      <c r="Q962" s="548">
        <v>4</v>
      </c>
      <c r="R962" s="552">
        <v>1016</v>
      </c>
      <c r="S962" s="548">
        <v>297</v>
      </c>
      <c r="T962" s="552">
        <v>75438</v>
      </c>
      <c r="U962" s="548">
        <v>0</v>
      </c>
      <c r="V962" s="552">
        <v>0</v>
      </c>
      <c r="W962" s="552">
        <v>1906</v>
      </c>
      <c r="X962" s="552">
        <v>484124</v>
      </c>
      <c r="Y962" s="552">
        <v>297</v>
      </c>
      <c r="Z962" s="552">
        <v>75438</v>
      </c>
      <c r="AA962" s="552">
        <v>0</v>
      </c>
      <c r="AB962" s="552">
        <v>0</v>
      </c>
      <c r="AC962" s="552">
        <v>297</v>
      </c>
      <c r="AD962" s="552">
        <v>75438</v>
      </c>
      <c r="AE962" s="552">
        <v>0</v>
      </c>
      <c r="AF962" s="552">
        <v>0</v>
      </c>
      <c r="AG962" s="552">
        <v>0</v>
      </c>
      <c r="AH962" s="552">
        <v>0</v>
      </c>
      <c r="AI962" s="552">
        <v>0</v>
      </c>
      <c r="AJ962" s="552">
        <v>0</v>
      </c>
    </row>
    <row r="963" spans="1:36" ht="15.95" customHeight="1">
      <c r="A963" s="547"/>
      <c r="B963" s="548">
        <v>68</v>
      </c>
      <c r="C963" s="549">
        <v>6032</v>
      </c>
      <c r="D963" s="550"/>
      <c r="E963" s="550" t="s">
        <v>4789</v>
      </c>
      <c r="F963" s="550" t="s">
        <v>4790</v>
      </c>
      <c r="G963" s="550" t="s">
        <v>347</v>
      </c>
      <c r="H963" s="550" t="s">
        <v>327</v>
      </c>
      <c r="I963" s="550" t="s">
        <v>10</v>
      </c>
      <c r="J963" s="550" t="s">
        <v>12487</v>
      </c>
      <c r="K963" s="551">
        <v>44912</v>
      </c>
      <c r="L963" s="552">
        <v>254</v>
      </c>
      <c r="M963" s="552">
        <v>254</v>
      </c>
      <c r="N963" s="552">
        <v>254</v>
      </c>
      <c r="O963" s="552">
        <v>12684</v>
      </c>
      <c r="P963" s="552">
        <v>3221736</v>
      </c>
      <c r="Q963" s="548">
        <v>20</v>
      </c>
      <c r="R963" s="552">
        <v>5080</v>
      </c>
      <c r="S963" s="548">
        <v>12661</v>
      </c>
      <c r="T963" s="552">
        <v>3215894</v>
      </c>
      <c r="U963" s="548">
        <v>43</v>
      </c>
      <c r="V963" s="552">
        <v>10922</v>
      </c>
      <c r="W963" s="552">
        <v>506</v>
      </c>
      <c r="X963" s="552">
        <v>128524</v>
      </c>
      <c r="Y963" s="552">
        <v>12661</v>
      </c>
      <c r="Z963" s="552">
        <v>3215894</v>
      </c>
      <c r="AA963" s="552">
        <v>11406</v>
      </c>
      <c r="AB963" s="552">
        <v>2897124</v>
      </c>
      <c r="AC963" s="552">
        <v>1255</v>
      </c>
      <c r="AD963" s="552">
        <v>318770</v>
      </c>
      <c r="AE963" s="552">
        <v>0</v>
      </c>
      <c r="AF963" s="552">
        <v>0</v>
      </c>
      <c r="AG963" s="552">
        <v>0</v>
      </c>
      <c r="AH963" s="552">
        <v>0</v>
      </c>
      <c r="AI963" s="552">
        <v>0</v>
      </c>
      <c r="AJ963" s="552">
        <v>0</v>
      </c>
    </row>
    <row r="964" spans="1:36" ht="15.95" customHeight="1">
      <c r="A964" s="547"/>
      <c r="B964" s="548">
        <v>69</v>
      </c>
      <c r="C964" s="549">
        <v>6034</v>
      </c>
      <c r="D964" s="550"/>
      <c r="E964" s="550" t="s">
        <v>4793</v>
      </c>
      <c r="F964" s="550" t="s">
        <v>412</v>
      </c>
      <c r="G964" s="550" t="s">
        <v>411</v>
      </c>
      <c r="H964" s="550" t="s">
        <v>225</v>
      </c>
      <c r="I964" s="550" t="s">
        <v>10</v>
      </c>
      <c r="J964" s="550" t="s">
        <v>4794</v>
      </c>
      <c r="K964" s="551">
        <v>45102</v>
      </c>
      <c r="L964" s="552">
        <v>484</v>
      </c>
      <c r="M964" s="552">
        <v>484</v>
      </c>
      <c r="N964" s="552">
        <v>484</v>
      </c>
      <c r="O964" s="552">
        <v>66</v>
      </c>
      <c r="P964" s="552">
        <v>31944</v>
      </c>
      <c r="Q964" s="548">
        <v>0</v>
      </c>
      <c r="R964" s="552">
        <v>0</v>
      </c>
      <c r="S964" s="548">
        <v>66</v>
      </c>
      <c r="T964" s="552">
        <v>31944</v>
      </c>
      <c r="U964" s="548">
        <v>0</v>
      </c>
      <c r="V964" s="552">
        <v>0</v>
      </c>
      <c r="W964" s="552">
        <v>878</v>
      </c>
      <c r="X964" s="552">
        <v>424952</v>
      </c>
      <c r="Y964" s="552">
        <v>66</v>
      </c>
      <c r="Z964" s="552">
        <v>31944</v>
      </c>
      <c r="AA964" s="552">
        <v>66</v>
      </c>
      <c r="AB964" s="552">
        <v>31944</v>
      </c>
      <c r="AC964" s="552">
        <v>0</v>
      </c>
      <c r="AD964" s="552">
        <v>0</v>
      </c>
      <c r="AE964" s="552">
        <v>0</v>
      </c>
      <c r="AF964" s="552">
        <v>0</v>
      </c>
      <c r="AG964" s="552">
        <v>0</v>
      </c>
      <c r="AH964" s="552">
        <v>0</v>
      </c>
      <c r="AI964" s="552">
        <v>0</v>
      </c>
      <c r="AJ964" s="552">
        <v>0</v>
      </c>
    </row>
    <row r="965" spans="1:36" ht="15.95" customHeight="1">
      <c r="A965" s="547"/>
      <c r="B965" s="548">
        <v>77</v>
      </c>
      <c r="C965" s="549">
        <v>6036</v>
      </c>
      <c r="D965" s="550"/>
      <c r="E965" s="550"/>
      <c r="F965" s="550" t="s">
        <v>3539</v>
      </c>
      <c r="G965" s="550" t="s">
        <v>363</v>
      </c>
      <c r="H965" s="550" t="s">
        <v>291</v>
      </c>
      <c r="I965" s="550" t="s">
        <v>10</v>
      </c>
      <c r="J965" s="550" t="s">
        <v>4795</v>
      </c>
      <c r="K965" s="551">
        <v>45621</v>
      </c>
      <c r="L965" s="552">
        <v>750</v>
      </c>
      <c r="M965" s="552">
        <v>750</v>
      </c>
      <c r="N965" s="552">
        <v>750</v>
      </c>
      <c r="O965" s="552">
        <v>5000</v>
      </c>
      <c r="P965" s="552">
        <v>3750000</v>
      </c>
      <c r="Q965" s="548">
        <v>0</v>
      </c>
      <c r="R965" s="552">
        <v>0</v>
      </c>
      <c r="S965" s="548">
        <v>84</v>
      </c>
      <c r="T965" s="552">
        <v>63000</v>
      </c>
      <c r="U965" s="548">
        <v>4916</v>
      </c>
      <c r="V965" s="552">
        <v>3687000</v>
      </c>
      <c r="W965" s="552">
        <v>0</v>
      </c>
      <c r="X965" s="552">
        <v>0</v>
      </c>
      <c r="Y965" s="552">
        <v>84</v>
      </c>
      <c r="Z965" s="552">
        <v>63000</v>
      </c>
      <c r="AA965" s="552">
        <v>84</v>
      </c>
      <c r="AB965" s="552">
        <v>63000</v>
      </c>
      <c r="AC965" s="552">
        <v>0</v>
      </c>
      <c r="AD965" s="552">
        <v>0</v>
      </c>
      <c r="AE965" s="552">
        <v>0</v>
      </c>
      <c r="AF965" s="552">
        <v>0</v>
      </c>
      <c r="AG965" s="552">
        <v>0</v>
      </c>
      <c r="AH965" s="552">
        <v>0</v>
      </c>
      <c r="AI965" s="552">
        <v>0</v>
      </c>
      <c r="AJ965" s="552">
        <v>0</v>
      </c>
    </row>
    <row r="966" spans="1:36" ht="15.95" customHeight="1">
      <c r="A966" s="547"/>
      <c r="B966" s="548">
        <v>83</v>
      </c>
      <c r="C966" s="549">
        <v>6037</v>
      </c>
      <c r="D966" s="550"/>
      <c r="E966" s="550" t="s">
        <v>4796</v>
      </c>
      <c r="F966" s="550" t="s">
        <v>366</v>
      </c>
      <c r="G966" s="550" t="s">
        <v>365</v>
      </c>
      <c r="H966" s="550" t="s">
        <v>235</v>
      </c>
      <c r="I966" s="550" t="s">
        <v>10</v>
      </c>
      <c r="J966" s="550" t="s">
        <v>4382</v>
      </c>
      <c r="K966" s="551">
        <v>44440</v>
      </c>
      <c r="L966" s="552">
        <v>232</v>
      </c>
      <c r="M966" s="552">
        <v>232</v>
      </c>
      <c r="N966" s="552">
        <v>232</v>
      </c>
      <c r="O966" s="552">
        <v>5</v>
      </c>
      <c r="P966" s="552">
        <v>1160</v>
      </c>
      <c r="Q966" s="548">
        <v>0</v>
      </c>
      <c r="R966" s="552">
        <v>0</v>
      </c>
      <c r="S966" s="548">
        <v>0</v>
      </c>
      <c r="T966" s="552">
        <v>0</v>
      </c>
      <c r="U966" s="548">
        <v>5</v>
      </c>
      <c r="V966" s="552">
        <v>1160</v>
      </c>
      <c r="W966" s="552">
        <v>0</v>
      </c>
      <c r="X966" s="552">
        <v>0</v>
      </c>
      <c r="Y966" s="552">
        <v>0</v>
      </c>
      <c r="Z966" s="552">
        <v>0</v>
      </c>
      <c r="AA966" s="552">
        <v>0</v>
      </c>
      <c r="AB966" s="552">
        <v>0</v>
      </c>
      <c r="AC966" s="552">
        <v>0</v>
      </c>
      <c r="AD966" s="552">
        <v>0</v>
      </c>
      <c r="AE966" s="552">
        <v>0</v>
      </c>
      <c r="AF966" s="552">
        <v>0</v>
      </c>
      <c r="AG966" s="552">
        <v>0</v>
      </c>
      <c r="AH966" s="552">
        <v>0</v>
      </c>
      <c r="AI966" s="552">
        <v>0</v>
      </c>
      <c r="AJ966" s="552">
        <v>0</v>
      </c>
    </row>
    <row r="967" spans="1:36" ht="15.95" customHeight="1">
      <c r="A967" s="547"/>
      <c r="B967" s="548">
        <v>84</v>
      </c>
      <c r="C967" s="549">
        <v>6037</v>
      </c>
      <c r="D967" s="550"/>
      <c r="E967" s="550" t="s">
        <v>4796</v>
      </c>
      <c r="F967" s="550" t="s">
        <v>366</v>
      </c>
      <c r="G967" s="550" t="s">
        <v>365</v>
      </c>
      <c r="H967" s="550" t="s">
        <v>235</v>
      </c>
      <c r="I967" s="550" t="s">
        <v>10</v>
      </c>
      <c r="J967" s="550" t="s">
        <v>4797</v>
      </c>
      <c r="K967" s="551">
        <v>45058</v>
      </c>
      <c r="L967" s="552">
        <v>232</v>
      </c>
      <c r="M967" s="552">
        <v>232</v>
      </c>
      <c r="N967" s="552">
        <v>232</v>
      </c>
      <c r="O967" s="552">
        <v>464</v>
      </c>
      <c r="P967" s="552">
        <v>107648</v>
      </c>
      <c r="Q967" s="548">
        <v>0</v>
      </c>
      <c r="R967" s="552">
        <v>0</v>
      </c>
      <c r="S967" s="548">
        <v>237</v>
      </c>
      <c r="T967" s="552">
        <v>54984</v>
      </c>
      <c r="U967" s="548">
        <v>227</v>
      </c>
      <c r="V967" s="552">
        <v>52664</v>
      </c>
      <c r="W967" s="552">
        <v>0</v>
      </c>
      <c r="X967" s="552">
        <v>0</v>
      </c>
      <c r="Y967" s="552">
        <v>237</v>
      </c>
      <c r="Z967" s="552">
        <v>54984</v>
      </c>
      <c r="AA967" s="552">
        <v>0</v>
      </c>
      <c r="AB967" s="552">
        <v>0</v>
      </c>
      <c r="AC967" s="552">
        <v>237</v>
      </c>
      <c r="AD967" s="552">
        <v>54984</v>
      </c>
      <c r="AE967" s="552">
        <v>0</v>
      </c>
      <c r="AF967" s="552">
        <v>0</v>
      </c>
      <c r="AG967" s="552">
        <v>0</v>
      </c>
      <c r="AH967" s="552">
        <v>0</v>
      </c>
      <c r="AI967" s="552">
        <v>0</v>
      </c>
      <c r="AJ967" s="552">
        <v>0</v>
      </c>
    </row>
    <row r="968" spans="1:36" ht="15.95" customHeight="1">
      <c r="A968" s="547"/>
      <c r="B968" s="548">
        <v>87</v>
      </c>
      <c r="C968" s="549">
        <v>6039</v>
      </c>
      <c r="D968" s="550"/>
      <c r="E968" s="550" t="s">
        <v>4800</v>
      </c>
      <c r="F968" s="550" t="s">
        <v>4801</v>
      </c>
      <c r="G968" s="550" t="s">
        <v>683</v>
      </c>
      <c r="H968" s="550" t="s">
        <v>219</v>
      </c>
      <c r="I968" s="550" t="s">
        <v>10</v>
      </c>
      <c r="J968" s="550" t="s">
        <v>4802</v>
      </c>
      <c r="K968" s="551">
        <v>45109</v>
      </c>
      <c r="L968" s="552">
        <v>2375</v>
      </c>
      <c r="M968" s="552">
        <v>2375</v>
      </c>
      <c r="N968" s="552">
        <v>2375</v>
      </c>
      <c r="O968" s="552">
        <v>1576</v>
      </c>
      <c r="P968" s="552">
        <v>3743000</v>
      </c>
      <c r="Q968" s="548">
        <v>12</v>
      </c>
      <c r="R968" s="552">
        <v>28500</v>
      </c>
      <c r="S968" s="548">
        <v>1546</v>
      </c>
      <c r="T968" s="552">
        <v>3671750</v>
      </c>
      <c r="U968" s="548">
        <v>42</v>
      </c>
      <c r="V968" s="552">
        <v>99750</v>
      </c>
      <c r="W968" s="552">
        <v>102</v>
      </c>
      <c r="X968" s="552">
        <v>242250</v>
      </c>
      <c r="Y968" s="552">
        <v>1533</v>
      </c>
      <c r="Z968" s="552">
        <v>3640875</v>
      </c>
      <c r="AA968" s="552">
        <v>24</v>
      </c>
      <c r="AB968" s="552">
        <v>57000</v>
      </c>
      <c r="AC968" s="552">
        <v>1509</v>
      </c>
      <c r="AD968" s="552">
        <v>3583875</v>
      </c>
      <c r="AE968" s="552">
        <v>0</v>
      </c>
      <c r="AF968" s="552">
        <v>0</v>
      </c>
      <c r="AG968" s="552">
        <v>13</v>
      </c>
      <c r="AH968" s="552">
        <v>30875</v>
      </c>
      <c r="AI968" s="552">
        <v>0</v>
      </c>
      <c r="AJ968" s="552">
        <v>0</v>
      </c>
    </row>
    <row r="969" spans="1:36" ht="15.95" customHeight="1">
      <c r="A969" s="547"/>
      <c r="B969" s="548">
        <v>138</v>
      </c>
      <c r="C969" s="549">
        <v>6044</v>
      </c>
      <c r="D969" s="550"/>
      <c r="E969" s="550" t="s">
        <v>4807</v>
      </c>
      <c r="F969" s="550" t="s">
        <v>368</v>
      </c>
      <c r="G969" s="550" t="s">
        <v>695</v>
      </c>
      <c r="H969" s="550" t="s">
        <v>369</v>
      </c>
      <c r="I969" s="550" t="s">
        <v>10</v>
      </c>
      <c r="J969" s="550" t="s">
        <v>4808</v>
      </c>
      <c r="K969" s="551">
        <v>44944</v>
      </c>
      <c r="L969" s="552">
        <v>34</v>
      </c>
      <c r="M969" s="552">
        <v>34</v>
      </c>
      <c r="N969" s="552">
        <v>34</v>
      </c>
      <c r="O969" s="552">
        <v>111</v>
      </c>
      <c r="P969" s="552">
        <v>3774</v>
      </c>
      <c r="Q969" s="548">
        <v>6</v>
      </c>
      <c r="R969" s="552">
        <v>204</v>
      </c>
      <c r="S969" s="548">
        <v>117</v>
      </c>
      <c r="T969" s="552">
        <v>3978</v>
      </c>
      <c r="U969" s="548">
        <v>0</v>
      </c>
      <c r="V969" s="552">
        <v>0</v>
      </c>
      <c r="W969" s="552">
        <v>5432</v>
      </c>
      <c r="X969" s="552">
        <v>184688</v>
      </c>
      <c r="Y969" s="552">
        <v>117</v>
      </c>
      <c r="Z969" s="552">
        <v>3978</v>
      </c>
      <c r="AA969" s="552">
        <v>0</v>
      </c>
      <c r="AB969" s="552">
        <v>0</v>
      </c>
      <c r="AC969" s="552">
        <v>117</v>
      </c>
      <c r="AD969" s="552">
        <v>3978</v>
      </c>
      <c r="AE969" s="552">
        <v>0</v>
      </c>
      <c r="AF969" s="552">
        <v>0</v>
      </c>
      <c r="AG969" s="552">
        <v>0</v>
      </c>
      <c r="AH969" s="552">
        <v>0</v>
      </c>
      <c r="AI969" s="552">
        <v>0</v>
      </c>
      <c r="AJ969" s="552">
        <v>0</v>
      </c>
    </row>
    <row r="970" spans="1:36" ht="15.95" customHeight="1">
      <c r="A970" s="547"/>
      <c r="B970" s="548">
        <v>139</v>
      </c>
      <c r="C970" s="549">
        <v>6044</v>
      </c>
      <c r="D970" s="550"/>
      <c r="E970" s="550" t="s">
        <v>4807</v>
      </c>
      <c r="F970" s="550" t="s">
        <v>368</v>
      </c>
      <c r="G970" s="550" t="s">
        <v>695</v>
      </c>
      <c r="H970" s="550" t="s">
        <v>369</v>
      </c>
      <c r="I970" s="550" t="s">
        <v>10</v>
      </c>
      <c r="J970" s="550" t="s">
        <v>12488</v>
      </c>
      <c r="K970" s="551">
        <v>45277</v>
      </c>
      <c r="L970" s="552">
        <v>34</v>
      </c>
      <c r="M970" s="552">
        <v>34</v>
      </c>
      <c r="N970" s="552">
        <v>34</v>
      </c>
      <c r="O970" s="552">
        <v>40000</v>
      </c>
      <c r="P970" s="552">
        <v>1360000</v>
      </c>
      <c r="Q970" s="548">
        <v>21</v>
      </c>
      <c r="R970" s="552">
        <v>714</v>
      </c>
      <c r="S970" s="548">
        <v>5336</v>
      </c>
      <c r="T970" s="552">
        <v>181424</v>
      </c>
      <c r="U970" s="548">
        <v>34685</v>
      </c>
      <c r="V970" s="552">
        <v>1179290</v>
      </c>
      <c r="W970" s="552">
        <v>174</v>
      </c>
      <c r="X970" s="552">
        <v>5916</v>
      </c>
      <c r="Y970" s="552">
        <v>5336</v>
      </c>
      <c r="Z970" s="552">
        <v>181424</v>
      </c>
      <c r="AA970" s="552">
        <v>0</v>
      </c>
      <c r="AB970" s="552">
        <v>0</v>
      </c>
      <c r="AC970" s="552">
        <v>5336</v>
      </c>
      <c r="AD970" s="552">
        <v>181424</v>
      </c>
      <c r="AE970" s="552">
        <v>0</v>
      </c>
      <c r="AF970" s="552">
        <v>0</v>
      </c>
      <c r="AG970" s="552">
        <v>0</v>
      </c>
      <c r="AH970" s="552">
        <v>0</v>
      </c>
      <c r="AI970" s="552">
        <v>0</v>
      </c>
      <c r="AJ970" s="552">
        <v>0</v>
      </c>
    </row>
    <row r="971" spans="1:36" ht="15.95" customHeight="1">
      <c r="A971" s="547"/>
      <c r="B971" s="548">
        <v>140</v>
      </c>
      <c r="C971" s="549">
        <v>6044</v>
      </c>
      <c r="D971" s="550"/>
      <c r="E971" s="550" t="s">
        <v>4807</v>
      </c>
      <c r="F971" s="550" t="s">
        <v>368</v>
      </c>
      <c r="G971" s="550" t="s">
        <v>695</v>
      </c>
      <c r="H971" s="550" t="s">
        <v>369</v>
      </c>
      <c r="I971" s="550" t="s">
        <v>10</v>
      </c>
      <c r="J971" s="550" t="s">
        <v>4809</v>
      </c>
      <c r="K971" s="551">
        <v>44958</v>
      </c>
      <c r="L971" s="552">
        <v>34</v>
      </c>
      <c r="M971" s="552">
        <v>34</v>
      </c>
      <c r="N971" s="552">
        <v>34</v>
      </c>
      <c r="O971" s="552">
        <v>2757</v>
      </c>
      <c r="P971" s="552">
        <v>93738</v>
      </c>
      <c r="Q971" s="548">
        <v>0</v>
      </c>
      <c r="R971" s="552">
        <v>0</v>
      </c>
      <c r="S971" s="548">
        <v>2757</v>
      </c>
      <c r="T971" s="552">
        <v>93738</v>
      </c>
      <c r="U971" s="548">
        <v>0</v>
      </c>
      <c r="V971" s="552">
        <v>0</v>
      </c>
      <c r="W971" s="552">
        <v>375</v>
      </c>
      <c r="X971" s="552">
        <v>12750</v>
      </c>
      <c r="Y971" s="552">
        <v>2757</v>
      </c>
      <c r="Z971" s="552">
        <v>93738</v>
      </c>
      <c r="AA971" s="552">
        <v>2757</v>
      </c>
      <c r="AB971" s="552">
        <v>93738</v>
      </c>
      <c r="AC971" s="552">
        <v>0</v>
      </c>
      <c r="AD971" s="552">
        <v>0</v>
      </c>
      <c r="AE971" s="552">
        <v>0</v>
      </c>
      <c r="AF971" s="552">
        <v>0</v>
      </c>
      <c r="AG971" s="552">
        <v>0</v>
      </c>
      <c r="AH971" s="552">
        <v>0</v>
      </c>
      <c r="AI971" s="552">
        <v>0</v>
      </c>
      <c r="AJ971" s="552">
        <v>0</v>
      </c>
    </row>
    <row r="972" spans="1:36" ht="15.95" customHeight="1">
      <c r="A972" s="547"/>
      <c r="B972" s="548">
        <v>141</v>
      </c>
      <c r="C972" s="549">
        <v>6045</v>
      </c>
      <c r="D972" s="550"/>
      <c r="E972" s="550" t="s">
        <v>4810</v>
      </c>
      <c r="F972" s="550" t="s">
        <v>368</v>
      </c>
      <c r="G972" s="550" t="s">
        <v>695</v>
      </c>
      <c r="H972" s="550" t="s">
        <v>369</v>
      </c>
      <c r="I972" s="550" t="s">
        <v>10</v>
      </c>
      <c r="J972" s="550" t="s">
        <v>12489</v>
      </c>
      <c r="K972" s="551">
        <v>45079</v>
      </c>
      <c r="L972" s="552">
        <v>34</v>
      </c>
      <c r="M972" s="552">
        <v>34</v>
      </c>
      <c r="N972" s="552">
        <v>34</v>
      </c>
      <c r="O972" s="552">
        <v>18200</v>
      </c>
      <c r="P972" s="552">
        <v>618800</v>
      </c>
      <c r="Q972" s="548">
        <v>77</v>
      </c>
      <c r="R972" s="552">
        <v>2618</v>
      </c>
      <c r="S972" s="548">
        <v>5775</v>
      </c>
      <c r="T972" s="552">
        <v>196350</v>
      </c>
      <c r="U972" s="548">
        <v>12502</v>
      </c>
      <c r="V972" s="552">
        <v>425068</v>
      </c>
      <c r="W972" s="552">
        <v>6385</v>
      </c>
      <c r="X972" s="552">
        <v>217090</v>
      </c>
      <c r="Y972" s="552">
        <v>5775</v>
      </c>
      <c r="Z972" s="552">
        <v>196350</v>
      </c>
      <c r="AA972" s="552">
        <v>141</v>
      </c>
      <c r="AB972" s="552">
        <v>4794</v>
      </c>
      <c r="AC972" s="552">
        <v>5634</v>
      </c>
      <c r="AD972" s="552">
        <v>191556</v>
      </c>
      <c r="AE972" s="552">
        <v>0</v>
      </c>
      <c r="AF972" s="552">
        <v>0</v>
      </c>
      <c r="AG972" s="552">
        <v>0</v>
      </c>
      <c r="AH972" s="552">
        <v>0</v>
      </c>
      <c r="AI972" s="552">
        <v>0</v>
      </c>
      <c r="AJ972" s="552">
        <v>0</v>
      </c>
    </row>
    <row r="973" spans="1:36" ht="15.95" customHeight="1">
      <c r="A973" s="547"/>
      <c r="B973" s="548">
        <v>142</v>
      </c>
      <c r="C973" s="549">
        <v>6045</v>
      </c>
      <c r="D973" s="550"/>
      <c r="E973" s="550" t="s">
        <v>4810</v>
      </c>
      <c r="F973" s="550" t="s">
        <v>368</v>
      </c>
      <c r="G973" s="550" t="s">
        <v>695</v>
      </c>
      <c r="H973" s="550" t="s">
        <v>369</v>
      </c>
      <c r="I973" s="550" t="s">
        <v>10</v>
      </c>
      <c r="J973" s="550" t="s">
        <v>4811</v>
      </c>
      <c r="K973" s="551">
        <v>45045</v>
      </c>
      <c r="L973" s="552">
        <v>34</v>
      </c>
      <c r="M973" s="552">
        <v>34</v>
      </c>
      <c r="N973" s="552">
        <v>34</v>
      </c>
      <c r="O973" s="552">
        <v>347</v>
      </c>
      <c r="P973" s="552">
        <v>11798</v>
      </c>
      <c r="Q973" s="548">
        <v>6</v>
      </c>
      <c r="R973" s="552">
        <v>204</v>
      </c>
      <c r="S973" s="548">
        <v>353</v>
      </c>
      <c r="T973" s="552">
        <v>12002</v>
      </c>
      <c r="U973" s="548">
        <v>0</v>
      </c>
      <c r="V973" s="552">
        <v>0</v>
      </c>
      <c r="W973" s="552">
        <v>65</v>
      </c>
      <c r="X973" s="552">
        <v>2210</v>
      </c>
      <c r="Y973" s="552">
        <v>353</v>
      </c>
      <c r="Z973" s="552">
        <v>12002</v>
      </c>
      <c r="AA973" s="552">
        <v>0</v>
      </c>
      <c r="AB973" s="552">
        <v>0</v>
      </c>
      <c r="AC973" s="552">
        <v>353</v>
      </c>
      <c r="AD973" s="552">
        <v>12002</v>
      </c>
      <c r="AE973" s="552">
        <v>0</v>
      </c>
      <c r="AF973" s="552">
        <v>0</v>
      </c>
      <c r="AG973" s="552">
        <v>0</v>
      </c>
      <c r="AH973" s="552">
        <v>0</v>
      </c>
      <c r="AI973" s="552">
        <v>0</v>
      </c>
      <c r="AJ973" s="552">
        <v>0</v>
      </c>
    </row>
    <row r="974" spans="1:36" ht="15.95" customHeight="1">
      <c r="A974" s="547"/>
      <c r="B974" s="548">
        <v>147</v>
      </c>
      <c r="C974" s="549">
        <v>6046</v>
      </c>
      <c r="D974" s="550"/>
      <c r="E974" s="550" t="s">
        <v>4812</v>
      </c>
      <c r="F974" s="550" t="s">
        <v>4813</v>
      </c>
      <c r="G974" s="550" t="s">
        <v>695</v>
      </c>
      <c r="H974" s="550" t="s">
        <v>369</v>
      </c>
      <c r="I974" s="550" t="s">
        <v>10</v>
      </c>
      <c r="J974" s="550" t="s">
        <v>12490</v>
      </c>
      <c r="K974" s="551">
        <v>44807</v>
      </c>
      <c r="L974" s="552">
        <v>786</v>
      </c>
      <c r="M974" s="552">
        <v>786</v>
      </c>
      <c r="N974" s="552">
        <v>786</v>
      </c>
      <c r="O974" s="552">
        <v>5000</v>
      </c>
      <c r="P974" s="552">
        <v>3930000</v>
      </c>
      <c r="Q974" s="548">
        <v>0</v>
      </c>
      <c r="R974" s="552">
        <v>0</v>
      </c>
      <c r="S974" s="548">
        <v>4601</v>
      </c>
      <c r="T974" s="552">
        <v>3616386</v>
      </c>
      <c r="U974" s="548">
        <v>399</v>
      </c>
      <c r="V974" s="552">
        <v>313614</v>
      </c>
      <c r="W974" s="552">
        <v>600</v>
      </c>
      <c r="X974" s="552">
        <v>471600</v>
      </c>
      <c r="Y974" s="552">
        <v>4579</v>
      </c>
      <c r="Z974" s="552">
        <v>3599094</v>
      </c>
      <c r="AA974" s="552">
        <v>3857</v>
      </c>
      <c r="AB974" s="552">
        <v>3031602</v>
      </c>
      <c r="AC974" s="552">
        <v>722</v>
      </c>
      <c r="AD974" s="552">
        <v>567492</v>
      </c>
      <c r="AE974" s="552">
        <v>0</v>
      </c>
      <c r="AF974" s="552">
        <v>0</v>
      </c>
      <c r="AG974" s="552">
        <v>22</v>
      </c>
      <c r="AH974" s="552">
        <v>17292</v>
      </c>
      <c r="AI974" s="552">
        <v>0</v>
      </c>
      <c r="AJ974" s="552">
        <v>0</v>
      </c>
    </row>
    <row r="975" spans="1:36" ht="15.95" customHeight="1">
      <c r="A975" s="547"/>
      <c r="B975" s="548">
        <v>148</v>
      </c>
      <c r="C975" s="549">
        <v>6046</v>
      </c>
      <c r="D975" s="550"/>
      <c r="E975" s="550" t="s">
        <v>4812</v>
      </c>
      <c r="F975" s="550" t="s">
        <v>4813</v>
      </c>
      <c r="G975" s="550" t="s">
        <v>695</v>
      </c>
      <c r="H975" s="550" t="s">
        <v>369</v>
      </c>
      <c r="I975" s="550" t="s">
        <v>10</v>
      </c>
      <c r="J975" s="550" t="s">
        <v>12491</v>
      </c>
      <c r="K975" s="551">
        <v>44807</v>
      </c>
      <c r="L975" s="552">
        <v>786</v>
      </c>
      <c r="M975" s="552">
        <v>786</v>
      </c>
      <c r="N975" s="552">
        <v>786</v>
      </c>
      <c r="O975" s="552">
        <v>5000</v>
      </c>
      <c r="P975" s="552">
        <v>3930000</v>
      </c>
      <c r="Q975" s="548">
        <v>0</v>
      </c>
      <c r="R975" s="552">
        <v>0</v>
      </c>
      <c r="S975" s="548">
        <v>5000</v>
      </c>
      <c r="T975" s="552">
        <v>3930000</v>
      </c>
      <c r="U975" s="548">
        <v>0</v>
      </c>
      <c r="V975" s="552">
        <v>0</v>
      </c>
      <c r="W975" s="552">
        <v>0</v>
      </c>
      <c r="X975" s="552">
        <v>0</v>
      </c>
      <c r="Y975" s="552">
        <v>5000</v>
      </c>
      <c r="Z975" s="552">
        <v>3930000</v>
      </c>
      <c r="AA975" s="552">
        <v>5000</v>
      </c>
      <c r="AB975" s="552">
        <v>3930000</v>
      </c>
      <c r="AC975" s="552">
        <v>0</v>
      </c>
      <c r="AD975" s="552">
        <v>0</v>
      </c>
      <c r="AE975" s="552">
        <v>0</v>
      </c>
      <c r="AF975" s="552">
        <v>0</v>
      </c>
      <c r="AG975" s="552">
        <v>0</v>
      </c>
      <c r="AH975" s="552">
        <v>0</v>
      </c>
      <c r="AI975" s="552">
        <v>0</v>
      </c>
      <c r="AJ975" s="552">
        <v>0</v>
      </c>
    </row>
    <row r="976" spans="1:36" ht="15.95" customHeight="1">
      <c r="A976" s="547"/>
      <c r="B976" s="548">
        <v>149</v>
      </c>
      <c r="C976" s="549">
        <v>6046</v>
      </c>
      <c r="D976" s="550"/>
      <c r="E976" s="550" t="s">
        <v>4812</v>
      </c>
      <c r="F976" s="550" t="s">
        <v>4813</v>
      </c>
      <c r="G976" s="550" t="s">
        <v>695</v>
      </c>
      <c r="H976" s="550" t="s">
        <v>369</v>
      </c>
      <c r="I976" s="550" t="s">
        <v>10</v>
      </c>
      <c r="J976" s="550" t="s">
        <v>12492</v>
      </c>
      <c r="K976" s="551">
        <v>44749</v>
      </c>
      <c r="L976" s="552">
        <v>786</v>
      </c>
      <c r="M976" s="552">
        <v>786</v>
      </c>
      <c r="N976" s="552">
        <v>786</v>
      </c>
      <c r="O976" s="552">
        <v>1700</v>
      </c>
      <c r="P976" s="552">
        <v>1336200</v>
      </c>
      <c r="Q976" s="548">
        <v>0</v>
      </c>
      <c r="R976" s="552">
        <v>0</v>
      </c>
      <c r="S976" s="548">
        <v>1700</v>
      </c>
      <c r="T976" s="552">
        <v>1336200</v>
      </c>
      <c r="U976" s="548">
        <v>0</v>
      </c>
      <c r="V976" s="552">
        <v>0</v>
      </c>
      <c r="W976" s="552">
        <v>0</v>
      </c>
      <c r="X976" s="552">
        <v>0</v>
      </c>
      <c r="Y976" s="552">
        <v>1700</v>
      </c>
      <c r="Z976" s="552">
        <v>1336200</v>
      </c>
      <c r="AA976" s="552">
        <v>1700</v>
      </c>
      <c r="AB976" s="552">
        <v>1336200</v>
      </c>
      <c r="AC976" s="552">
        <v>0</v>
      </c>
      <c r="AD976" s="552">
        <v>0</v>
      </c>
      <c r="AE976" s="552">
        <v>0</v>
      </c>
      <c r="AF976" s="552">
        <v>0</v>
      </c>
      <c r="AG976" s="552">
        <v>0</v>
      </c>
      <c r="AH976" s="552">
        <v>0</v>
      </c>
      <c r="AI976" s="552">
        <v>0</v>
      </c>
      <c r="AJ976" s="552">
        <v>0</v>
      </c>
    </row>
    <row r="977" spans="1:36" ht="15.95" customHeight="1">
      <c r="A977" s="547"/>
      <c r="B977" s="548">
        <v>151</v>
      </c>
      <c r="C977" s="549">
        <v>6050</v>
      </c>
      <c r="D977" s="550"/>
      <c r="E977" s="550" t="s">
        <v>4816</v>
      </c>
      <c r="F977" s="550" t="s">
        <v>516</v>
      </c>
      <c r="G977" s="550" t="s">
        <v>515</v>
      </c>
      <c r="H977" s="550" t="s">
        <v>517</v>
      </c>
      <c r="I977" s="550" t="s">
        <v>520</v>
      </c>
      <c r="J977" s="550" t="s">
        <v>4817</v>
      </c>
      <c r="K977" s="551">
        <v>45313</v>
      </c>
      <c r="L977" s="552">
        <v>8376</v>
      </c>
      <c r="M977" s="552">
        <v>8376</v>
      </c>
      <c r="N977" s="552">
        <v>8376</v>
      </c>
      <c r="O977" s="552">
        <v>1</v>
      </c>
      <c r="P977" s="552">
        <v>8376</v>
      </c>
      <c r="Q977" s="548">
        <v>0</v>
      </c>
      <c r="R977" s="552">
        <v>0</v>
      </c>
      <c r="S977" s="548">
        <v>1</v>
      </c>
      <c r="T977" s="552">
        <v>8376</v>
      </c>
      <c r="U977" s="548">
        <v>0</v>
      </c>
      <c r="V977" s="552">
        <v>0</v>
      </c>
      <c r="W977" s="552">
        <v>0</v>
      </c>
      <c r="X977" s="552">
        <v>0</v>
      </c>
      <c r="Y977" s="552">
        <v>1</v>
      </c>
      <c r="Z977" s="552">
        <v>8376</v>
      </c>
      <c r="AA977" s="552">
        <v>0</v>
      </c>
      <c r="AB977" s="552">
        <v>0</v>
      </c>
      <c r="AC977" s="552">
        <v>1</v>
      </c>
      <c r="AD977" s="552">
        <v>8376</v>
      </c>
      <c r="AE977" s="552">
        <v>0</v>
      </c>
      <c r="AF977" s="552">
        <v>0</v>
      </c>
      <c r="AG977" s="552">
        <v>0</v>
      </c>
      <c r="AH977" s="552">
        <v>0</v>
      </c>
      <c r="AI977" s="552">
        <v>0</v>
      </c>
      <c r="AJ977" s="552">
        <v>0</v>
      </c>
    </row>
    <row r="978" spans="1:36" ht="15.95" customHeight="1">
      <c r="A978" s="547"/>
      <c r="B978" s="548">
        <v>152</v>
      </c>
      <c r="C978" s="549">
        <v>6050</v>
      </c>
      <c r="D978" s="550"/>
      <c r="E978" s="550" t="s">
        <v>4816</v>
      </c>
      <c r="F978" s="550" t="s">
        <v>516</v>
      </c>
      <c r="G978" s="550" t="s">
        <v>515</v>
      </c>
      <c r="H978" s="550" t="s">
        <v>517</v>
      </c>
      <c r="I978" s="550" t="s">
        <v>520</v>
      </c>
      <c r="J978" s="550" t="s">
        <v>4818</v>
      </c>
      <c r="K978" s="551">
        <v>45497</v>
      </c>
      <c r="L978" s="552">
        <v>8376</v>
      </c>
      <c r="M978" s="552">
        <v>8376</v>
      </c>
      <c r="N978" s="552">
        <v>8376</v>
      </c>
      <c r="O978" s="552">
        <v>228</v>
      </c>
      <c r="P978" s="552">
        <v>1909728</v>
      </c>
      <c r="Q978" s="548">
        <v>5</v>
      </c>
      <c r="R978" s="552">
        <v>41880</v>
      </c>
      <c r="S978" s="548">
        <v>231</v>
      </c>
      <c r="T978" s="552">
        <v>1934856</v>
      </c>
      <c r="U978" s="548">
        <v>2</v>
      </c>
      <c r="V978" s="552">
        <v>16752</v>
      </c>
      <c r="W978" s="552">
        <v>0</v>
      </c>
      <c r="X978" s="552">
        <v>0</v>
      </c>
      <c r="Y978" s="552">
        <v>231</v>
      </c>
      <c r="Z978" s="552">
        <v>1934856</v>
      </c>
      <c r="AA978" s="552">
        <v>0</v>
      </c>
      <c r="AB978" s="552">
        <v>0</v>
      </c>
      <c r="AC978" s="552">
        <v>231</v>
      </c>
      <c r="AD978" s="552">
        <v>1934856</v>
      </c>
      <c r="AE978" s="552">
        <v>0</v>
      </c>
      <c r="AF978" s="552">
        <v>0</v>
      </c>
      <c r="AG978" s="552">
        <v>0</v>
      </c>
      <c r="AH978" s="552">
        <v>0</v>
      </c>
      <c r="AI978" s="552">
        <v>0</v>
      </c>
      <c r="AJ978" s="552">
        <v>0</v>
      </c>
    </row>
    <row r="979" spans="1:36" ht="15.95" customHeight="1">
      <c r="A979" s="547"/>
      <c r="B979" s="548">
        <v>153</v>
      </c>
      <c r="C979" s="549">
        <v>6050</v>
      </c>
      <c r="D979" s="550"/>
      <c r="E979" s="550" t="s">
        <v>4816</v>
      </c>
      <c r="F979" s="550" t="s">
        <v>516</v>
      </c>
      <c r="G979" s="550" t="s">
        <v>515</v>
      </c>
      <c r="H979" s="550" t="s">
        <v>517</v>
      </c>
      <c r="I979" s="550" t="s">
        <v>520</v>
      </c>
      <c r="J979" s="550" t="s">
        <v>12493</v>
      </c>
      <c r="K979" s="551">
        <v>45726</v>
      </c>
      <c r="L979" s="552">
        <v>8376</v>
      </c>
      <c r="M979" s="552">
        <v>8376</v>
      </c>
      <c r="N979" s="552">
        <v>8376</v>
      </c>
      <c r="O979" s="552">
        <v>600</v>
      </c>
      <c r="P979" s="552">
        <v>5025600</v>
      </c>
      <c r="Q979" s="548">
        <v>0</v>
      </c>
      <c r="R979" s="552">
        <v>0</v>
      </c>
      <c r="S979" s="548">
        <v>244</v>
      </c>
      <c r="T979" s="552">
        <v>2043744</v>
      </c>
      <c r="U979" s="548">
        <v>356</v>
      </c>
      <c r="V979" s="552">
        <v>2981856</v>
      </c>
      <c r="W979" s="552">
        <v>0</v>
      </c>
      <c r="X979" s="552">
        <v>0</v>
      </c>
      <c r="Y979" s="552">
        <v>234</v>
      </c>
      <c r="Z979" s="552">
        <v>1959984</v>
      </c>
      <c r="AA979" s="552">
        <v>0</v>
      </c>
      <c r="AB979" s="552">
        <v>0</v>
      </c>
      <c r="AC979" s="552">
        <v>234</v>
      </c>
      <c r="AD979" s="552">
        <v>1959984</v>
      </c>
      <c r="AE979" s="552">
        <v>0</v>
      </c>
      <c r="AF979" s="552">
        <v>0</v>
      </c>
      <c r="AG979" s="552">
        <v>10</v>
      </c>
      <c r="AH979" s="552">
        <v>83760</v>
      </c>
      <c r="AI979" s="552">
        <v>0</v>
      </c>
      <c r="AJ979" s="552">
        <v>0</v>
      </c>
    </row>
    <row r="980" spans="1:36" ht="15.95" customHeight="1">
      <c r="A980" s="547"/>
      <c r="B980" s="548">
        <v>154</v>
      </c>
      <c r="C980" s="549">
        <v>6051</v>
      </c>
      <c r="D980" s="550"/>
      <c r="E980" s="550" t="s">
        <v>4819</v>
      </c>
      <c r="F980" s="550" t="s">
        <v>521</v>
      </c>
      <c r="G980" s="550" t="s">
        <v>515</v>
      </c>
      <c r="H980" s="550" t="s">
        <v>238</v>
      </c>
      <c r="I980" s="550" t="s">
        <v>10</v>
      </c>
      <c r="J980" s="550" t="s">
        <v>4820</v>
      </c>
      <c r="K980" s="551">
        <v>44827</v>
      </c>
      <c r="L980" s="552">
        <v>1120</v>
      </c>
      <c r="M980" s="552">
        <v>1120</v>
      </c>
      <c r="N980" s="552">
        <v>1120</v>
      </c>
      <c r="O980" s="552">
        <v>330</v>
      </c>
      <c r="P980" s="552">
        <v>369600</v>
      </c>
      <c r="Q980" s="548">
        <v>9</v>
      </c>
      <c r="R980" s="552">
        <v>10080</v>
      </c>
      <c r="S980" s="548">
        <v>339</v>
      </c>
      <c r="T980" s="552">
        <v>379680</v>
      </c>
      <c r="U980" s="548">
        <v>0</v>
      </c>
      <c r="V980" s="552">
        <v>0</v>
      </c>
      <c r="W980" s="552">
        <v>1037</v>
      </c>
      <c r="X980" s="552">
        <v>1161440</v>
      </c>
      <c r="Y980" s="552">
        <v>339</v>
      </c>
      <c r="Z980" s="552">
        <v>379680</v>
      </c>
      <c r="AA980" s="552">
        <v>0</v>
      </c>
      <c r="AB980" s="552">
        <v>0</v>
      </c>
      <c r="AC980" s="552">
        <v>339</v>
      </c>
      <c r="AD980" s="552">
        <v>379680</v>
      </c>
      <c r="AE980" s="552">
        <v>0</v>
      </c>
      <c r="AF980" s="552">
        <v>0</v>
      </c>
      <c r="AG980" s="552">
        <v>0</v>
      </c>
      <c r="AH980" s="552">
        <v>0</v>
      </c>
      <c r="AI980" s="552">
        <v>0</v>
      </c>
      <c r="AJ980" s="552">
        <v>0</v>
      </c>
    </row>
    <row r="981" spans="1:36" ht="15.95" customHeight="1">
      <c r="A981" s="547"/>
      <c r="B981" s="548">
        <v>155</v>
      </c>
      <c r="C981" s="549">
        <v>6051</v>
      </c>
      <c r="D981" s="550"/>
      <c r="E981" s="550" t="s">
        <v>4819</v>
      </c>
      <c r="F981" s="550" t="s">
        <v>521</v>
      </c>
      <c r="G981" s="550" t="s">
        <v>515</v>
      </c>
      <c r="H981" s="550" t="s">
        <v>238</v>
      </c>
      <c r="I981" s="550" t="s">
        <v>10</v>
      </c>
      <c r="J981" s="550" t="s">
        <v>12494</v>
      </c>
      <c r="K981" s="551">
        <v>44898</v>
      </c>
      <c r="L981" s="552">
        <v>1120</v>
      </c>
      <c r="M981" s="552">
        <v>1120</v>
      </c>
      <c r="N981" s="552">
        <v>1120</v>
      </c>
      <c r="O981" s="552">
        <v>9865</v>
      </c>
      <c r="P981" s="552">
        <v>11048800</v>
      </c>
      <c r="Q981" s="548">
        <v>22</v>
      </c>
      <c r="R981" s="552">
        <v>24640</v>
      </c>
      <c r="S981" s="548">
        <v>7962</v>
      </c>
      <c r="T981" s="552">
        <v>8917440</v>
      </c>
      <c r="U981" s="548">
        <v>1925</v>
      </c>
      <c r="V981" s="552">
        <v>2156000</v>
      </c>
      <c r="W981" s="552">
        <v>1859</v>
      </c>
      <c r="X981" s="552">
        <v>2082080</v>
      </c>
      <c r="Y981" s="552">
        <v>7949</v>
      </c>
      <c r="Z981" s="552">
        <v>8902880</v>
      </c>
      <c r="AA981" s="552">
        <v>7445</v>
      </c>
      <c r="AB981" s="552">
        <v>8338400</v>
      </c>
      <c r="AC981" s="552">
        <v>504</v>
      </c>
      <c r="AD981" s="552">
        <v>564480</v>
      </c>
      <c r="AE981" s="552">
        <v>0</v>
      </c>
      <c r="AF981" s="552">
        <v>0</v>
      </c>
      <c r="AG981" s="552">
        <v>13</v>
      </c>
      <c r="AH981" s="552">
        <v>14560</v>
      </c>
      <c r="AI981" s="552">
        <v>0</v>
      </c>
      <c r="AJ981" s="552">
        <v>0</v>
      </c>
    </row>
    <row r="982" spans="1:36" ht="15.95" customHeight="1">
      <c r="A982" s="547"/>
      <c r="B982" s="548">
        <v>156</v>
      </c>
      <c r="C982" s="549">
        <v>6051</v>
      </c>
      <c r="D982" s="550"/>
      <c r="E982" s="550" t="s">
        <v>4819</v>
      </c>
      <c r="F982" s="550" t="s">
        <v>521</v>
      </c>
      <c r="G982" s="550" t="s">
        <v>515</v>
      </c>
      <c r="H982" s="550" t="s">
        <v>238</v>
      </c>
      <c r="I982" s="550" t="s">
        <v>10</v>
      </c>
      <c r="J982" s="550" t="s">
        <v>12495</v>
      </c>
      <c r="K982" s="551">
        <v>44940</v>
      </c>
      <c r="L982" s="552">
        <v>1120</v>
      </c>
      <c r="M982" s="552">
        <v>1120</v>
      </c>
      <c r="N982" s="552">
        <v>1120</v>
      </c>
      <c r="O982" s="552">
        <v>10000</v>
      </c>
      <c r="P982" s="552">
        <v>11200000</v>
      </c>
      <c r="Q982" s="548">
        <v>0</v>
      </c>
      <c r="R982" s="552">
        <v>0</v>
      </c>
      <c r="S982" s="548">
        <v>100</v>
      </c>
      <c r="T982" s="552">
        <v>112000</v>
      </c>
      <c r="U982" s="548">
        <v>9900</v>
      </c>
      <c r="V982" s="552">
        <v>11088000</v>
      </c>
      <c r="W982" s="552">
        <v>0</v>
      </c>
      <c r="X982" s="552">
        <v>0</v>
      </c>
      <c r="Y982" s="552">
        <v>100</v>
      </c>
      <c r="Z982" s="552">
        <v>112000</v>
      </c>
      <c r="AA982" s="552">
        <v>0</v>
      </c>
      <c r="AB982" s="552">
        <v>0</v>
      </c>
      <c r="AC982" s="552">
        <v>100</v>
      </c>
      <c r="AD982" s="552">
        <v>112000</v>
      </c>
      <c r="AE982" s="552">
        <v>0</v>
      </c>
      <c r="AF982" s="552">
        <v>0</v>
      </c>
      <c r="AG982" s="552">
        <v>0</v>
      </c>
      <c r="AH982" s="552">
        <v>0</v>
      </c>
      <c r="AI982" s="552">
        <v>0</v>
      </c>
      <c r="AJ982" s="552">
        <v>0</v>
      </c>
    </row>
    <row r="983" spans="1:36" ht="15.95" customHeight="1">
      <c r="A983" s="547"/>
      <c r="B983" s="548">
        <v>194</v>
      </c>
      <c r="C983" s="549">
        <v>6053</v>
      </c>
      <c r="D983" s="550"/>
      <c r="E983" s="550" t="s">
        <v>4821</v>
      </c>
      <c r="F983" s="550" t="s">
        <v>371</v>
      </c>
      <c r="G983" s="550" t="s">
        <v>371</v>
      </c>
      <c r="H983" s="550" t="s">
        <v>248</v>
      </c>
      <c r="I983" s="550" t="s">
        <v>10</v>
      </c>
      <c r="J983" s="550" t="s">
        <v>12496</v>
      </c>
      <c r="K983" s="551">
        <v>44956</v>
      </c>
      <c r="L983" s="552">
        <v>76</v>
      </c>
      <c r="M983" s="552">
        <v>76</v>
      </c>
      <c r="N983" s="552">
        <v>76</v>
      </c>
      <c r="O983" s="552">
        <v>100000</v>
      </c>
      <c r="P983" s="552">
        <v>7600000</v>
      </c>
      <c r="Q983" s="548">
        <v>141</v>
      </c>
      <c r="R983" s="552">
        <v>10716</v>
      </c>
      <c r="S983" s="548">
        <v>50213</v>
      </c>
      <c r="T983" s="552">
        <v>3816188</v>
      </c>
      <c r="U983" s="548">
        <v>49928</v>
      </c>
      <c r="V983" s="552">
        <v>3794528</v>
      </c>
      <c r="W983" s="552">
        <v>27428</v>
      </c>
      <c r="X983" s="552">
        <v>2084528</v>
      </c>
      <c r="Y983" s="552">
        <v>48903</v>
      </c>
      <c r="Z983" s="552">
        <v>3716628</v>
      </c>
      <c r="AA983" s="552">
        <v>0</v>
      </c>
      <c r="AB983" s="552">
        <v>0</v>
      </c>
      <c r="AC983" s="552">
        <v>48903</v>
      </c>
      <c r="AD983" s="552">
        <v>3716628</v>
      </c>
      <c r="AE983" s="552">
        <v>0</v>
      </c>
      <c r="AF983" s="552">
        <v>0</v>
      </c>
      <c r="AG983" s="552">
        <v>1310</v>
      </c>
      <c r="AH983" s="552">
        <v>99560</v>
      </c>
      <c r="AI983" s="552">
        <v>0</v>
      </c>
      <c r="AJ983" s="552">
        <v>0</v>
      </c>
    </row>
    <row r="984" spans="1:36" ht="15.95" customHeight="1">
      <c r="A984" s="547"/>
      <c r="B984" s="548">
        <v>210</v>
      </c>
      <c r="C984" s="549">
        <v>6055</v>
      </c>
      <c r="D984" s="550"/>
      <c r="E984" s="550" t="s">
        <v>4822</v>
      </c>
      <c r="F984" s="550" t="s">
        <v>494</v>
      </c>
      <c r="G984" s="550" t="s">
        <v>493</v>
      </c>
      <c r="H984" s="550" t="s">
        <v>429</v>
      </c>
      <c r="I984" s="550" t="s">
        <v>14</v>
      </c>
      <c r="J984" s="550" t="s">
        <v>4823</v>
      </c>
      <c r="K984" s="551">
        <v>44870</v>
      </c>
      <c r="L984" s="552">
        <v>5838</v>
      </c>
      <c r="M984" s="552">
        <v>5838</v>
      </c>
      <c r="N984" s="552">
        <v>5838</v>
      </c>
      <c r="O984" s="552">
        <v>413</v>
      </c>
      <c r="P984" s="552">
        <v>2411094</v>
      </c>
      <c r="Q984" s="548">
        <v>4</v>
      </c>
      <c r="R984" s="552">
        <v>23352</v>
      </c>
      <c r="S984" s="548">
        <v>413</v>
      </c>
      <c r="T984" s="552">
        <v>2411094</v>
      </c>
      <c r="U984" s="548">
        <v>4</v>
      </c>
      <c r="V984" s="552">
        <v>23352</v>
      </c>
      <c r="W984" s="552">
        <v>0</v>
      </c>
      <c r="X984" s="552">
        <v>0</v>
      </c>
      <c r="Y984" s="552">
        <v>413</v>
      </c>
      <c r="Z984" s="552">
        <v>2411094</v>
      </c>
      <c r="AA984" s="552">
        <v>0</v>
      </c>
      <c r="AB984" s="552">
        <v>0</v>
      </c>
      <c r="AC984" s="552">
        <v>413</v>
      </c>
      <c r="AD984" s="552">
        <v>2411094</v>
      </c>
      <c r="AE984" s="552">
        <v>0</v>
      </c>
      <c r="AF984" s="552">
        <v>0</v>
      </c>
      <c r="AG984" s="552">
        <v>0</v>
      </c>
      <c r="AH984" s="552">
        <v>0</v>
      </c>
      <c r="AI984" s="552">
        <v>0</v>
      </c>
      <c r="AJ984" s="552">
        <v>0</v>
      </c>
    </row>
    <row r="985" spans="1:36" ht="15.95" customHeight="1">
      <c r="A985" s="547"/>
      <c r="B985" s="548">
        <v>224</v>
      </c>
      <c r="C985" s="549">
        <v>6056</v>
      </c>
      <c r="D985" s="550"/>
      <c r="E985" s="550" t="s">
        <v>4824</v>
      </c>
      <c r="F985" s="550" t="s">
        <v>4825</v>
      </c>
      <c r="G985" s="550" t="s">
        <v>274</v>
      </c>
      <c r="H985" s="550" t="s">
        <v>305</v>
      </c>
      <c r="I985" s="550" t="s">
        <v>14</v>
      </c>
      <c r="J985" s="550" t="s">
        <v>4826</v>
      </c>
      <c r="K985" s="551">
        <v>44409</v>
      </c>
      <c r="L985" s="552">
        <v>69000</v>
      </c>
      <c r="M985" s="552">
        <v>69000</v>
      </c>
      <c r="N985" s="552">
        <v>69000</v>
      </c>
      <c r="O985" s="552">
        <v>70</v>
      </c>
      <c r="P985" s="552">
        <v>4830000</v>
      </c>
      <c r="Q985" s="548">
        <v>0</v>
      </c>
      <c r="R985" s="552">
        <v>0</v>
      </c>
      <c r="S985" s="548">
        <v>70</v>
      </c>
      <c r="T985" s="552">
        <v>4830000</v>
      </c>
      <c r="U985" s="548">
        <v>0</v>
      </c>
      <c r="V985" s="552">
        <v>0</v>
      </c>
      <c r="W985" s="552">
        <v>11</v>
      </c>
      <c r="X985" s="552">
        <v>759000</v>
      </c>
      <c r="Y985" s="552">
        <v>69</v>
      </c>
      <c r="Z985" s="552">
        <v>4761000</v>
      </c>
      <c r="AA985" s="552">
        <v>69</v>
      </c>
      <c r="AB985" s="552">
        <v>4761000</v>
      </c>
      <c r="AC985" s="552">
        <v>0</v>
      </c>
      <c r="AD985" s="552">
        <v>0</v>
      </c>
      <c r="AE985" s="552">
        <v>0</v>
      </c>
      <c r="AF985" s="552">
        <v>0</v>
      </c>
      <c r="AG985" s="552">
        <v>1</v>
      </c>
      <c r="AH985" s="552">
        <v>69000</v>
      </c>
      <c r="AI985" s="552">
        <v>0</v>
      </c>
      <c r="AJ985" s="552">
        <v>0</v>
      </c>
    </row>
    <row r="986" spans="1:36" ht="15.95" customHeight="1">
      <c r="A986" s="547"/>
      <c r="B986" s="548">
        <v>227</v>
      </c>
      <c r="C986" s="549">
        <v>6060</v>
      </c>
      <c r="D986" s="550"/>
      <c r="E986" s="550" t="s">
        <v>4828</v>
      </c>
      <c r="F986" s="550" t="s">
        <v>274</v>
      </c>
      <c r="G986" s="550" t="s">
        <v>274</v>
      </c>
      <c r="H986" s="550" t="s">
        <v>225</v>
      </c>
      <c r="I986" s="550" t="s">
        <v>10</v>
      </c>
      <c r="J986" s="550" t="s">
        <v>4829</v>
      </c>
      <c r="K986" s="551">
        <v>44968</v>
      </c>
      <c r="L986" s="552">
        <v>394</v>
      </c>
      <c r="M986" s="552">
        <v>394</v>
      </c>
      <c r="N986" s="552">
        <v>394</v>
      </c>
      <c r="O986" s="552">
        <v>139</v>
      </c>
      <c r="P986" s="552">
        <v>54766</v>
      </c>
      <c r="Q986" s="548">
        <v>3</v>
      </c>
      <c r="R986" s="552">
        <v>1182</v>
      </c>
      <c r="S986" s="548">
        <v>142</v>
      </c>
      <c r="T986" s="552">
        <v>55948</v>
      </c>
      <c r="U986" s="548">
        <v>0</v>
      </c>
      <c r="V986" s="552">
        <v>0</v>
      </c>
      <c r="W986" s="552">
        <v>119</v>
      </c>
      <c r="X986" s="552">
        <v>46886</v>
      </c>
      <c r="Y986" s="552">
        <v>142</v>
      </c>
      <c r="Z986" s="552">
        <v>55948</v>
      </c>
      <c r="AA986" s="552">
        <v>0</v>
      </c>
      <c r="AB986" s="552">
        <v>0</v>
      </c>
      <c r="AC986" s="552">
        <v>142</v>
      </c>
      <c r="AD986" s="552">
        <v>55948</v>
      </c>
      <c r="AE986" s="552">
        <v>0</v>
      </c>
      <c r="AF986" s="552">
        <v>0</v>
      </c>
      <c r="AG986" s="552">
        <v>0</v>
      </c>
      <c r="AH986" s="552">
        <v>0</v>
      </c>
      <c r="AI986" s="552">
        <v>0</v>
      </c>
      <c r="AJ986" s="552">
        <v>0</v>
      </c>
    </row>
    <row r="987" spans="1:36" ht="15.95" customHeight="1">
      <c r="A987" s="547"/>
      <c r="B987" s="548">
        <v>228</v>
      </c>
      <c r="C987" s="549">
        <v>6060</v>
      </c>
      <c r="D987" s="550"/>
      <c r="E987" s="550" t="s">
        <v>4828</v>
      </c>
      <c r="F987" s="550" t="s">
        <v>274</v>
      </c>
      <c r="G987" s="550" t="s">
        <v>274</v>
      </c>
      <c r="H987" s="550" t="s">
        <v>225</v>
      </c>
      <c r="I987" s="550" t="s">
        <v>10</v>
      </c>
      <c r="J987" s="550" t="s">
        <v>12497</v>
      </c>
      <c r="K987" s="551">
        <v>45264</v>
      </c>
      <c r="L987" s="552">
        <v>394</v>
      </c>
      <c r="M987" s="552">
        <v>394</v>
      </c>
      <c r="N987" s="552">
        <v>394</v>
      </c>
      <c r="O987" s="552">
        <v>5000</v>
      </c>
      <c r="P987" s="552">
        <v>1970000</v>
      </c>
      <c r="Q987" s="548">
        <v>0</v>
      </c>
      <c r="R987" s="552">
        <v>0</v>
      </c>
      <c r="S987" s="548">
        <v>5000</v>
      </c>
      <c r="T987" s="552">
        <v>1970000</v>
      </c>
      <c r="U987" s="548">
        <v>0</v>
      </c>
      <c r="V987" s="552">
        <v>0</v>
      </c>
      <c r="W987" s="552">
        <v>3304</v>
      </c>
      <c r="X987" s="552">
        <v>1301776</v>
      </c>
      <c r="Y987" s="552">
        <v>4600</v>
      </c>
      <c r="Z987" s="552">
        <v>1812400</v>
      </c>
      <c r="AA987" s="552">
        <v>0</v>
      </c>
      <c r="AB987" s="552">
        <v>0</v>
      </c>
      <c r="AC987" s="552">
        <v>4600</v>
      </c>
      <c r="AD987" s="552">
        <v>1812400</v>
      </c>
      <c r="AE987" s="552">
        <v>0</v>
      </c>
      <c r="AF987" s="552">
        <v>0</v>
      </c>
      <c r="AG987" s="552">
        <v>400</v>
      </c>
      <c r="AH987" s="552">
        <v>157600</v>
      </c>
      <c r="AI987" s="552">
        <v>0</v>
      </c>
      <c r="AJ987" s="552">
        <v>0</v>
      </c>
    </row>
    <row r="988" spans="1:36" ht="15.95" customHeight="1">
      <c r="A988" s="547"/>
      <c r="B988" s="548">
        <v>229</v>
      </c>
      <c r="C988" s="549">
        <v>6060</v>
      </c>
      <c r="D988" s="550"/>
      <c r="E988" s="550" t="s">
        <v>4828</v>
      </c>
      <c r="F988" s="550" t="s">
        <v>274</v>
      </c>
      <c r="G988" s="550" t="s">
        <v>274</v>
      </c>
      <c r="H988" s="550" t="s">
        <v>225</v>
      </c>
      <c r="I988" s="550" t="s">
        <v>10</v>
      </c>
      <c r="J988" s="550" t="s">
        <v>12498</v>
      </c>
      <c r="K988" s="551">
        <v>45020</v>
      </c>
      <c r="L988" s="552">
        <v>394</v>
      </c>
      <c r="M988" s="552">
        <v>394</v>
      </c>
      <c r="N988" s="552">
        <v>394</v>
      </c>
      <c r="O988" s="552">
        <v>4796</v>
      </c>
      <c r="P988" s="552">
        <v>1889624</v>
      </c>
      <c r="Q988" s="548">
        <v>61</v>
      </c>
      <c r="R988" s="552">
        <v>24034</v>
      </c>
      <c r="S988" s="548">
        <v>4714</v>
      </c>
      <c r="T988" s="552">
        <v>1857316</v>
      </c>
      <c r="U988" s="548">
        <v>143</v>
      </c>
      <c r="V988" s="552">
        <v>56342</v>
      </c>
      <c r="W988" s="552">
        <v>4425</v>
      </c>
      <c r="X988" s="552">
        <v>1743450</v>
      </c>
      <c r="Y988" s="552">
        <v>3734</v>
      </c>
      <c r="Z988" s="552">
        <v>1471196</v>
      </c>
      <c r="AA988" s="552">
        <v>2223</v>
      </c>
      <c r="AB988" s="552">
        <v>875862</v>
      </c>
      <c r="AC988" s="552">
        <v>1511</v>
      </c>
      <c r="AD988" s="552">
        <v>595334</v>
      </c>
      <c r="AE988" s="552">
        <v>0</v>
      </c>
      <c r="AF988" s="552">
        <v>0</v>
      </c>
      <c r="AG988" s="552">
        <v>980</v>
      </c>
      <c r="AH988" s="552">
        <v>386120</v>
      </c>
      <c r="AI988" s="552">
        <v>0</v>
      </c>
      <c r="AJ988" s="552">
        <v>0</v>
      </c>
    </row>
    <row r="989" spans="1:36" ht="15.95" customHeight="1">
      <c r="A989" s="547"/>
      <c r="B989" s="548">
        <v>230</v>
      </c>
      <c r="C989" s="549">
        <v>6064</v>
      </c>
      <c r="D989" s="550"/>
      <c r="E989" s="550" t="s">
        <v>4832</v>
      </c>
      <c r="F989" s="550" t="s">
        <v>4833</v>
      </c>
      <c r="G989" s="550" t="s">
        <v>274</v>
      </c>
      <c r="H989" s="550" t="s">
        <v>435</v>
      </c>
      <c r="I989" s="550" t="s">
        <v>18</v>
      </c>
      <c r="J989" s="550" t="s">
        <v>4834</v>
      </c>
      <c r="K989" s="551">
        <v>44698</v>
      </c>
      <c r="L989" s="552">
        <v>18480</v>
      </c>
      <c r="M989" s="552">
        <v>18480</v>
      </c>
      <c r="N989" s="552">
        <v>18480</v>
      </c>
      <c r="O989" s="552">
        <v>39</v>
      </c>
      <c r="P989" s="552">
        <v>720720</v>
      </c>
      <c r="Q989" s="548">
        <v>1</v>
      </c>
      <c r="R989" s="552">
        <v>18480</v>
      </c>
      <c r="S989" s="548">
        <v>40</v>
      </c>
      <c r="T989" s="552">
        <v>739200</v>
      </c>
      <c r="U989" s="548">
        <v>0</v>
      </c>
      <c r="V989" s="552">
        <v>0</v>
      </c>
      <c r="W989" s="552">
        <v>0</v>
      </c>
      <c r="X989" s="552">
        <v>0</v>
      </c>
      <c r="Y989" s="552">
        <v>40</v>
      </c>
      <c r="Z989" s="552">
        <v>739200</v>
      </c>
      <c r="AA989" s="552">
        <v>0</v>
      </c>
      <c r="AB989" s="552">
        <v>0</v>
      </c>
      <c r="AC989" s="552">
        <v>40</v>
      </c>
      <c r="AD989" s="552">
        <v>739200</v>
      </c>
      <c r="AE989" s="552">
        <v>0</v>
      </c>
      <c r="AF989" s="552">
        <v>0</v>
      </c>
      <c r="AG989" s="552">
        <v>0</v>
      </c>
      <c r="AH989" s="552">
        <v>0</v>
      </c>
      <c r="AI989" s="552">
        <v>0</v>
      </c>
      <c r="AJ989" s="552">
        <v>0</v>
      </c>
    </row>
    <row r="990" spans="1:36" ht="15.95" customHeight="1">
      <c r="A990" s="547"/>
      <c r="B990" s="548">
        <v>231</v>
      </c>
      <c r="C990" s="549">
        <v>6064</v>
      </c>
      <c r="D990" s="550"/>
      <c r="E990" s="550" t="s">
        <v>4832</v>
      </c>
      <c r="F990" s="550" t="s">
        <v>4833</v>
      </c>
      <c r="G990" s="550" t="s">
        <v>274</v>
      </c>
      <c r="H990" s="550" t="s">
        <v>435</v>
      </c>
      <c r="I990" s="550" t="s">
        <v>18</v>
      </c>
      <c r="J990" s="550" t="s">
        <v>12499</v>
      </c>
      <c r="K990" s="551">
        <v>45163</v>
      </c>
      <c r="L990" s="552">
        <v>18480</v>
      </c>
      <c r="M990" s="552">
        <v>18480</v>
      </c>
      <c r="N990" s="552">
        <v>18480</v>
      </c>
      <c r="O990" s="552">
        <v>200</v>
      </c>
      <c r="P990" s="552">
        <v>3696000</v>
      </c>
      <c r="Q990" s="548">
        <v>0</v>
      </c>
      <c r="R990" s="552">
        <v>0</v>
      </c>
      <c r="S990" s="548">
        <v>13</v>
      </c>
      <c r="T990" s="552">
        <v>240240</v>
      </c>
      <c r="U990" s="548">
        <v>187</v>
      </c>
      <c r="V990" s="552">
        <v>3455760</v>
      </c>
      <c r="W990" s="552">
        <v>0</v>
      </c>
      <c r="X990" s="552">
        <v>0</v>
      </c>
      <c r="Y990" s="552">
        <v>13</v>
      </c>
      <c r="Z990" s="552">
        <v>240240</v>
      </c>
      <c r="AA990" s="552">
        <v>0</v>
      </c>
      <c r="AB990" s="552">
        <v>0</v>
      </c>
      <c r="AC990" s="552">
        <v>13</v>
      </c>
      <c r="AD990" s="552">
        <v>240240</v>
      </c>
      <c r="AE990" s="552">
        <v>0</v>
      </c>
      <c r="AF990" s="552">
        <v>0</v>
      </c>
      <c r="AG990" s="552">
        <v>0</v>
      </c>
      <c r="AH990" s="552">
        <v>0</v>
      </c>
      <c r="AI990" s="552">
        <v>0</v>
      </c>
      <c r="AJ990" s="552">
        <v>0</v>
      </c>
    </row>
    <row r="991" spans="1:36" ht="15.95" customHeight="1">
      <c r="A991" s="547"/>
      <c r="B991" s="548">
        <v>239</v>
      </c>
      <c r="C991" s="549">
        <v>6068</v>
      </c>
      <c r="D991" s="550"/>
      <c r="E991" s="550" t="s">
        <v>4835</v>
      </c>
      <c r="F991" s="550" t="s">
        <v>261</v>
      </c>
      <c r="G991" s="550" t="s">
        <v>260</v>
      </c>
      <c r="H991" s="550" t="s">
        <v>262</v>
      </c>
      <c r="I991" s="550" t="s">
        <v>10</v>
      </c>
      <c r="J991" s="550" t="s">
        <v>4778</v>
      </c>
      <c r="K991" s="551">
        <v>45026</v>
      </c>
      <c r="L991" s="552">
        <v>1638</v>
      </c>
      <c r="M991" s="552">
        <v>1638</v>
      </c>
      <c r="N991" s="552">
        <v>1638</v>
      </c>
      <c r="O991" s="552">
        <v>1000</v>
      </c>
      <c r="P991" s="552">
        <v>1638000</v>
      </c>
      <c r="Q991" s="548">
        <v>0</v>
      </c>
      <c r="R991" s="552">
        <v>0</v>
      </c>
      <c r="S991" s="548">
        <v>358</v>
      </c>
      <c r="T991" s="552">
        <v>586404</v>
      </c>
      <c r="U991" s="548">
        <v>642</v>
      </c>
      <c r="V991" s="552">
        <v>1051596</v>
      </c>
      <c r="W991" s="552">
        <v>0</v>
      </c>
      <c r="X991" s="552">
        <v>0</v>
      </c>
      <c r="Y991" s="552">
        <v>358</v>
      </c>
      <c r="Z991" s="552">
        <v>586404</v>
      </c>
      <c r="AA991" s="552">
        <v>297</v>
      </c>
      <c r="AB991" s="552">
        <v>486486</v>
      </c>
      <c r="AC991" s="552">
        <v>61</v>
      </c>
      <c r="AD991" s="552">
        <v>99918</v>
      </c>
      <c r="AE991" s="552">
        <v>0</v>
      </c>
      <c r="AF991" s="552">
        <v>0</v>
      </c>
      <c r="AG991" s="552">
        <v>0</v>
      </c>
      <c r="AH991" s="552">
        <v>0</v>
      </c>
      <c r="AI991" s="552">
        <v>0</v>
      </c>
      <c r="AJ991" s="552">
        <v>0</v>
      </c>
    </row>
    <row r="992" spans="1:36" ht="15.95" customHeight="1">
      <c r="A992" s="547"/>
      <c r="B992" s="548">
        <v>240</v>
      </c>
      <c r="C992" s="549">
        <v>6068</v>
      </c>
      <c r="D992" s="550"/>
      <c r="E992" s="550" t="s">
        <v>4835</v>
      </c>
      <c r="F992" s="550" t="s">
        <v>261</v>
      </c>
      <c r="G992" s="550" t="s">
        <v>260</v>
      </c>
      <c r="H992" s="550" t="s">
        <v>262</v>
      </c>
      <c r="I992" s="550" t="s">
        <v>10</v>
      </c>
      <c r="J992" s="550" t="s">
        <v>4778</v>
      </c>
      <c r="K992" s="551">
        <v>45213</v>
      </c>
      <c r="L992" s="552">
        <v>1638</v>
      </c>
      <c r="M992" s="552">
        <v>1638</v>
      </c>
      <c r="N992" s="552">
        <v>1638</v>
      </c>
      <c r="O992" s="552">
        <v>600</v>
      </c>
      <c r="P992" s="552">
        <v>982800</v>
      </c>
      <c r="Q992" s="548">
        <v>0</v>
      </c>
      <c r="R992" s="552">
        <v>0</v>
      </c>
      <c r="S992" s="548">
        <v>0</v>
      </c>
      <c r="T992" s="552">
        <v>0</v>
      </c>
      <c r="U992" s="548">
        <v>600</v>
      </c>
      <c r="V992" s="552">
        <v>982800</v>
      </c>
      <c r="W992" s="552">
        <v>0</v>
      </c>
      <c r="X992" s="552">
        <v>0</v>
      </c>
      <c r="Y992" s="552">
        <v>0</v>
      </c>
      <c r="Z992" s="552">
        <v>0</v>
      </c>
      <c r="AA992" s="552">
        <v>0</v>
      </c>
      <c r="AB992" s="552">
        <v>0</v>
      </c>
      <c r="AC992" s="552">
        <v>0</v>
      </c>
      <c r="AD992" s="552">
        <v>0</v>
      </c>
      <c r="AE992" s="552">
        <v>0</v>
      </c>
      <c r="AF992" s="552">
        <v>0</v>
      </c>
      <c r="AG992" s="552">
        <v>0</v>
      </c>
      <c r="AH992" s="552">
        <v>0</v>
      </c>
      <c r="AI992" s="552">
        <v>0</v>
      </c>
      <c r="AJ992" s="552">
        <v>0</v>
      </c>
    </row>
    <row r="993" spans="1:36" ht="15.95" customHeight="1">
      <c r="A993" s="547"/>
      <c r="B993" s="548">
        <v>252</v>
      </c>
      <c r="C993" s="549">
        <v>6069</v>
      </c>
      <c r="D993" s="550"/>
      <c r="E993" s="550" t="s">
        <v>4836</v>
      </c>
      <c r="F993" s="550" t="s">
        <v>4837</v>
      </c>
      <c r="G993" s="550" t="s">
        <v>3890</v>
      </c>
      <c r="H993" s="550" t="s">
        <v>296</v>
      </c>
      <c r="I993" s="550" t="s">
        <v>10</v>
      </c>
      <c r="J993" s="550" t="s">
        <v>4838</v>
      </c>
      <c r="K993" s="551">
        <v>44228</v>
      </c>
      <c r="L993" s="552">
        <v>6750</v>
      </c>
      <c r="M993" s="552">
        <v>6750</v>
      </c>
      <c r="N993" s="552">
        <v>6750</v>
      </c>
      <c r="O993" s="552">
        <v>75</v>
      </c>
      <c r="P993" s="552">
        <v>506250</v>
      </c>
      <c r="Q993" s="548">
        <v>0</v>
      </c>
      <c r="R993" s="552">
        <v>0</v>
      </c>
      <c r="S993" s="548">
        <v>75</v>
      </c>
      <c r="T993" s="552">
        <v>506250</v>
      </c>
      <c r="U993" s="548">
        <v>0</v>
      </c>
      <c r="V993" s="552">
        <v>0</v>
      </c>
      <c r="W993" s="552">
        <v>0</v>
      </c>
      <c r="X993" s="552">
        <v>0</v>
      </c>
      <c r="Y993" s="552">
        <v>75</v>
      </c>
      <c r="Z993" s="552">
        <v>506250</v>
      </c>
      <c r="AA993" s="552">
        <v>70</v>
      </c>
      <c r="AB993" s="552">
        <v>472500</v>
      </c>
      <c r="AC993" s="552">
        <v>5</v>
      </c>
      <c r="AD993" s="552">
        <v>33750</v>
      </c>
      <c r="AE993" s="552">
        <v>0</v>
      </c>
      <c r="AF993" s="552">
        <v>0</v>
      </c>
      <c r="AG993" s="552">
        <v>0</v>
      </c>
      <c r="AH993" s="552">
        <v>0</v>
      </c>
      <c r="AI993" s="552">
        <v>0</v>
      </c>
      <c r="AJ993" s="552">
        <v>0</v>
      </c>
    </row>
    <row r="994" spans="1:36" ht="15.95" customHeight="1">
      <c r="A994" s="547"/>
      <c r="B994" s="548">
        <v>354</v>
      </c>
      <c r="C994" s="549">
        <v>6077</v>
      </c>
      <c r="D994" s="550"/>
      <c r="E994" s="550" t="s">
        <v>4842</v>
      </c>
      <c r="F994" s="550" t="s">
        <v>4843</v>
      </c>
      <c r="G994" s="550" t="s">
        <v>227</v>
      </c>
      <c r="H994" s="550" t="s">
        <v>225</v>
      </c>
      <c r="I994" s="550" t="s">
        <v>410</v>
      </c>
      <c r="J994" s="550" t="s">
        <v>4844</v>
      </c>
      <c r="K994" s="551">
        <v>45031</v>
      </c>
      <c r="L994" s="552">
        <v>790</v>
      </c>
      <c r="M994" s="552">
        <v>790</v>
      </c>
      <c r="N994" s="552">
        <v>790</v>
      </c>
      <c r="O994" s="552">
        <v>1307</v>
      </c>
      <c r="P994" s="552">
        <v>1032530</v>
      </c>
      <c r="Q994" s="548">
        <v>0</v>
      </c>
      <c r="R994" s="552">
        <v>0</v>
      </c>
      <c r="S994" s="548">
        <v>1307</v>
      </c>
      <c r="T994" s="552">
        <v>1032530</v>
      </c>
      <c r="U994" s="548">
        <v>0</v>
      </c>
      <c r="V994" s="552">
        <v>0</v>
      </c>
      <c r="W994" s="552">
        <v>1040</v>
      </c>
      <c r="X994" s="552">
        <v>821600</v>
      </c>
      <c r="Y994" s="552">
        <v>1307</v>
      </c>
      <c r="Z994" s="552">
        <v>1032530</v>
      </c>
      <c r="AA994" s="552">
        <v>1307</v>
      </c>
      <c r="AB994" s="552">
        <v>1032530</v>
      </c>
      <c r="AC994" s="552">
        <v>0</v>
      </c>
      <c r="AD994" s="552">
        <v>0</v>
      </c>
      <c r="AE994" s="552">
        <v>0</v>
      </c>
      <c r="AF994" s="552">
        <v>0</v>
      </c>
      <c r="AG994" s="552">
        <v>0</v>
      </c>
      <c r="AH994" s="552">
        <v>0</v>
      </c>
      <c r="AI994" s="552">
        <v>0</v>
      </c>
      <c r="AJ994" s="552">
        <v>0</v>
      </c>
    </row>
    <row r="995" spans="1:36" ht="15.95" customHeight="1">
      <c r="A995" s="547"/>
      <c r="B995" s="548">
        <v>355</v>
      </c>
      <c r="C995" s="549">
        <v>6077</v>
      </c>
      <c r="D995" s="550"/>
      <c r="E995" s="550" t="s">
        <v>4842</v>
      </c>
      <c r="F995" s="550" t="s">
        <v>4843</v>
      </c>
      <c r="G995" s="550" t="s">
        <v>227</v>
      </c>
      <c r="H995" s="550" t="s">
        <v>225</v>
      </c>
      <c r="I995" s="550" t="s">
        <v>410</v>
      </c>
      <c r="J995" s="550" t="s">
        <v>4845</v>
      </c>
      <c r="K995" s="551">
        <v>45034</v>
      </c>
      <c r="L995" s="552">
        <v>790</v>
      </c>
      <c r="M995" s="552">
        <v>790</v>
      </c>
      <c r="N995" s="552">
        <v>790</v>
      </c>
      <c r="O995" s="552">
        <v>4608</v>
      </c>
      <c r="P995" s="552">
        <v>3640320</v>
      </c>
      <c r="Q995" s="548">
        <v>0</v>
      </c>
      <c r="R995" s="552">
        <v>0</v>
      </c>
      <c r="S995" s="548">
        <v>4608</v>
      </c>
      <c r="T995" s="552">
        <v>3640320</v>
      </c>
      <c r="U995" s="548">
        <v>0</v>
      </c>
      <c r="V995" s="552">
        <v>0</v>
      </c>
      <c r="W995" s="552">
        <v>3096</v>
      </c>
      <c r="X995" s="552">
        <v>2445840</v>
      </c>
      <c r="Y995" s="552">
        <v>4608</v>
      </c>
      <c r="Z995" s="552">
        <v>3640320</v>
      </c>
      <c r="AA995" s="552">
        <v>4608</v>
      </c>
      <c r="AB995" s="552">
        <v>3640320</v>
      </c>
      <c r="AC995" s="552">
        <v>0</v>
      </c>
      <c r="AD995" s="552">
        <v>0</v>
      </c>
      <c r="AE995" s="552">
        <v>0</v>
      </c>
      <c r="AF995" s="552">
        <v>0</v>
      </c>
      <c r="AG995" s="552">
        <v>0</v>
      </c>
      <c r="AH995" s="552">
        <v>0</v>
      </c>
      <c r="AI995" s="552">
        <v>0</v>
      </c>
      <c r="AJ995" s="552">
        <v>0</v>
      </c>
    </row>
    <row r="996" spans="1:36" ht="15.95" customHeight="1">
      <c r="A996" s="547"/>
      <c r="B996" s="548">
        <v>356</v>
      </c>
      <c r="C996" s="549">
        <v>6077</v>
      </c>
      <c r="D996" s="550"/>
      <c r="E996" s="550" t="s">
        <v>4842</v>
      </c>
      <c r="F996" s="550" t="s">
        <v>4843</v>
      </c>
      <c r="G996" s="550" t="s">
        <v>227</v>
      </c>
      <c r="H996" s="550" t="s">
        <v>225</v>
      </c>
      <c r="I996" s="550" t="s">
        <v>410</v>
      </c>
      <c r="J996" s="550" t="s">
        <v>12500</v>
      </c>
      <c r="K996" s="551">
        <v>45164</v>
      </c>
      <c r="L996" s="552">
        <v>790</v>
      </c>
      <c r="M996" s="552">
        <v>790</v>
      </c>
      <c r="N996" s="552">
        <v>790</v>
      </c>
      <c r="O996" s="552">
        <v>23616</v>
      </c>
      <c r="P996" s="552">
        <v>18656640</v>
      </c>
      <c r="Q996" s="548">
        <v>0</v>
      </c>
      <c r="R996" s="552">
        <v>0</v>
      </c>
      <c r="S996" s="548">
        <v>6800</v>
      </c>
      <c r="T996" s="552">
        <v>5372000</v>
      </c>
      <c r="U996" s="548">
        <v>16816</v>
      </c>
      <c r="V996" s="552">
        <v>13284640</v>
      </c>
      <c r="W996" s="552">
        <v>0</v>
      </c>
      <c r="X996" s="552">
        <v>0</v>
      </c>
      <c r="Y996" s="552">
        <v>6800</v>
      </c>
      <c r="Z996" s="552">
        <v>5372000</v>
      </c>
      <c r="AA996" s="552">
        <v>6320</v>
      </c>
      <c r="AB996" s="552">
        <v>4992800</v>
      </c>
      <c r="AC996" s="552">
        <v>480</v>
      </c>
      <c r="AD996" s="552">
        <v>379200</v>
      </c>
      <c r="AE996" s="552">
        <v>0</v>
      </c>
      <c r="AF996" s="552">
        <v>0</v>
      </c>
      <c r="AG996" s="552">
        <v>0</v>
      </c>
      <c r="AH996" s="552">
        <v>0</v>
      </c>
      <c r="AI996" s="552">
        <v>0</v>
      </c>
      <c r="AJ996" s="552">
        <v>0</v>
      </c>
    </row>
    <row r="997" spans="1:36" ht="15.95" customHeight="1">
      <c r="A997" s="547"/>
      <c r="B997" s="548">
        <v>357</v>
      </c>
      <c r="C997" s="549">
        <v>6077</v>
      </c>
      <c r="D997" s="550"/>
      <c r="E997" s="550" t="s">
        <v>4842</v>
      </c>
      <c r="F997" s="550" t="s">
        <v>4843</v>
      </c>
      <c r="G997" s="550" t="s">
        <v>227</v>
      </c>
      <c r="H997" s="550" t="s">
        <v>225</v>
      </c>
      <c r="I997" s="550" t="s">
        <v>410</v>
      </c>
      <c r="J997" s="550" t="s">
        <v>12501</v>
      </c>
      <c r="K997" s="551">
        <v>45165</v>
      </c>
      <c r="L997" s="552">
        <v>790</v>
      </c>
      <c r="M997" s="552">
        <v>790</v>
      </c>
      <c r="N997" s="552">
        <v>790</v>
      </c>
      <c r="O997" s="552">
        <v>26384</v>
      </c>
      <c r="P997" s="552">
        <v>20843360</v>
      </c>
      <c r="Q997" s="548">
        <v>0</v>
      </c>
      <c r="R997" s="552">
        <v>0</v>
      </c>
      <c r="S997" s="548">
        <v>0</v>
      </c>
      <c r="T997" s="552">
        <v>0</v>
      </c>
      <c r="U997" s="548">
        <v>26384</v>
      </c>
      <c r="V997" s="552">
        <v>20843360</v>
      </c>
      <c r="W997" s="552">
        <v>0</v>
      </c>
      <c r="X997" s="552">
        <v>0</v>
      </c>
      <c r="Y997" s="552">
        <v>0</v>
      </c>
      <c r="Z997" s="552">
        <v>0</v>
      </c>
      <c r="AA997" s="552">
        <v>0</v>
      </c>
      <c r="AB997" s="552">
        <v>0</v>
      </c>
      <c r="AC997" s="552">
        <v>0</v>
      </c>
      <c r="AD997" s="552">
        <v>0</v>
      </c>
      <c r="AE997" s="552">
        <v>0</v>
      </c>
      <c r="AF997" s="552">
        <v>0</v>
      </c>
      <c r="AG997" s="552">
        <v>0</v>
      </c>
      <c r="AH997" s="552">
        <v>0</v>
      </c>
      <c r="AI997" s="552">
        <v>0</v>
      </c>
      <c r="AJ997" s="552">
        <v>0</v>
      </c>
    </row>
    <row r="998" spans="1:36" ht="15.95" customHeight="1">
      <c r="A998" s="547"/>
      <c r="B998" s="548">
        <v>371</v>
      </c>
      <c r="C998" s="549">
        <v>6078</v>
      </c>
      <c r="D998" s="550"/>
      <c r="E998" s="550" t="s">
        <v>4846</v>
      </c>
      <c r="F998" s="550" t="s">
        <v>236</v>
      </c>
      <c r="G998" s="550" t="s">
        <v>236</v>
      </c>
      <c r="H998" s="550" t="s">
        <v>327</v>
      </c>
      <c r="I998" s="550" t="s">
        <v>10</v>
      </c>
      <c r="J998" s="550" t="s">
        <v>12502</v>
      </c>
      <c r="K998" s="551">
        <v>45223</v>
      </c>
      <c r="L998" s="552">
        <v>77</v>
      </c>
      <c r="M998" s="552">
        <v>77</v>
      </c>
      <c r="N998" s="552">
        <v>77</v>
      </c>
      <c r="O998" s="552">
        <v>12813</v>
      </c>
      <c r="P998" s="552">
        <v>986601</v>
      </c>
      <c r="Q998" s="548">
        <v>0</v>
      </c>
      <c r="R998" s="552">
        <v>0</v>
      </c>
      <c r="S998" s="548">
        <v>12813</v>
      </c>
      <c r="T998" s="552">
        <v>986601</v>
      </c>
      <c r="U998" s="548">
        <v>0</v>
      </c>
      <c r="V998" s="552">
        <v>0</v>
      </c>
      <c r="W998" s="552">
        <v>6690</v>
      </c>
      <c r="X998" s="552">
        <v>515130</v>
      </c>
      <c r="Y998" s="552">
        <v>12813</v>
      </c>
      <c r="Z998" s="552">
        <v>986601</v>
      </c>
      <c r="AA998" s="552">
        <v>11713</v>
      </c>
      <c r="AB998" s="552">
        <v>901901</v>
      </c>
      <c r="AC998" s="552">
        <v>1100</v>
      </c>
      <c r="AD998" s="552">
        <v>84700</v>
      </c>
      <c r="AE998" s="552">
        <v>0</v>
      </c>
      <c r="AF998" s="552">
        <v>0</v>
      </c>
      <c r="AG998" s="552">
        <v>0</v>
      </c>
      <c r="AH998" s="552">
        <v>0</v>
      </c>
      <c r="AI998" s="552">
        <v>0</v>
      </c>
      <c r="AJ998" s="552">
        <v>0</v>
      </c>
    </row>
    <row r="999" spans="1:36" ht="15.95" customHeight="1">
      <c r="A999" s="547"/>
      <c r="B999" s="548">
        <v>372</v>
      </c>
      <c r="C999" s="549">
        <v>6079</v>
      </c>
      <c r="D999" s="550"/>
      <c r="E999" s="550" t="s">
        <v>4847</v>
      </c>
      <c r="F999" s="550" t="s">
        <v>236</v>
      </c>
      <c r="G999" s="550" t="s">
        <v>236</v>
      </c>
      <c r="H999" s="550" t="s">
        <v>327</v>
      </c>
      <c r="I999" s="550" t="s">
        <v>10</v>
      </c>
      <c r="J999" s="550" t="s">
        <v>12503</v>
      </c>
      <c r="K999" s="551">
        <v>45208</v>
      </c>
      <c r="L999" s="552">
        <v>77</v>
      </c>
      <c r="M999" s="552">
        <v>77</v>
      </c>
      <c r="N999" s="552">
        <v>77</v>
      </c>
      <c r="O999" s="552">
        <v>100000</v>
      </c>
      <c r="P999" s="552">
        <v>7700000</v>
      </c>
      <c r="Q999" s="548">
        <v>0</v>
      </c>
      <c r="R999" s="552">
        <v>0</v>
      </c>
      <c r="S999" s="548">
        <v>48425</v>
      </c>
      <c r="T999" s="552">
        <v>3728725</v>
      </c>
      <c r="U999" s="548">
        <v>51575</v>
      </c>
      <c r="V999" s="552">
        <v>3971275</v>
      </c>
      <c r="W999" s="552">
        <v>22427</v>
      </c>
      <c r="X999" s="552">
        <v>1726879</v>
      </c>
      <c r="Y999" s="552">
        <v>48425</v>
      </c>
      <c r="Z999" s="552">
        <v>3728725</v>
      </c>
      <c r="AA999" s="552">
        <v>8485</v>
      </c>
      <c r="AB999" s="552">
        <v>653345</v>
      </c>
      <c r="AC999" s="552">
        <v>39940</v>
      </c>
      <c r="AD999" s="552">
        <v>3075380</v>
      </c>
      <c r="AE999" s="552">
        <v>0</v>
      </c>
      <c r="AF999" s="552">
        <v>0</v>
      </c>
      <c r="AG999" s="552">
        <v>0</v>
      </c>
      <c r="AH999" s="552">
        <v>0</v>
      </c>
      <c r="AI999" s="552">
        <v>0</v>
      </c>
      <c r="AJ999" s="552">
        <v>0</v>
      </c>
    </row>
    <row r="1000" spans="1:36" ht="15.95" customHeight="1">
      <c r="A1000" s="547"/>
      <c r="B1000" s="548">
        <v>420</v>
      </c>
      <c r="C1000" s="549">
        <v>6086</v>
      </c>
      <c r="D1000" s="550"/>
      <c r="E1000" s="550" t="s">
        <v>4849</v>
      </c>
      <c r="F1000" s="550" t="s">
        <v>4850</v>
      </c>
      <c r="G1000" s="550" t="s">
        <v>506</v>
      </c>
      <c r="H1000" s="550" t="s">
        <v>258</v>
      </c>
      <c r="I1000" s="550" t="s">
        <v>14</v>
      </c>
      <c r="J1000" s="550" t="s">
        <v>4851</v>
      </c>
      <c r="K1000" s="551">
        <v>44228</v>
      </c>
      <c r="L1000" s="552">
        <v>7849</v>
      </c>
      <c r="M1000" s="552">
        <v>7849</v>
      </c>
      <c r="N1000" s="552">
        <v>7849</v>
      </c>
      <c r="O1000" s="552">
        <v>6</v>
      </c>
      <c r="P1000" s="552">
        <v>47094</v>
      </c>
      <c r="Q1000" s="548">
        <v>0</v>
      </c>
      <c r="R1000" s="552">
        <v>0</v>
      </c>
      <c r="S1000" s="548">
        <v>6</v>
      </c>
      <c r="T1000" s="552">
        <v>47094</v>
      </c>
      <c r="U1000" s="548">
        <v>0</v>
      </c>
      <c r="V1000" s="552">
        <v>0</v>
      </c>
      <c r="W1000" s="552">
        <v>0</v>
      </c>
      <c r="X1000" s="552">
        <v>0</v>
      </c>
      <c r="Y1000" s="552">
        <v>6</v>
      </c>
      <c r="Z1000" s="552">
        <v>47094</v>
      </c>
      <c r="AA1000" s="552">
        <v>0</v>
      </c>
      <c r="AB1000" s="552">
        <v>0</v>
      </c>
      <c r="AC1000" s="552">
        <v>6</v>
      </c>
      <c r="AD1000" s="552">
        <v>47094</v>
      </c>
      <c r="AE1000" s="552">
        <v>0</v>
      </c>
      <c r="AF1000" s="552">
        <v>0</v>
      </c>
      <c r="AG1000" s="552">
        <v>0</v>
      </c>
      <c r="AH1000" s="552">
        <v>0</v>
      </c>
      <c r="AI1000" s="552">
        <v>0</v>
      </c>
      <c r="AJ1000" s="552">
        <v>0</v>
      </c>
    </row>
    <row r="1001" spans="1:36" ht="15.95" customHeight="1">
      <c r="A1001" s="547"/>
      <c r="B1001" s="548">
        <v>490</v>
      </c>
      <c r="C1001" s="549">
        <v>6093</v>
      </c>
      <c r="D1001" s="550"/>
      <c r="E1001" s="550" t="s">
        <v>4853</v>
      </c>
      <c r="F1001" s="550" t="s">
        <v>500</v>
      </c>
      <c r="G1001" s="550" t="s">
        <v>289</v>
      </c>
      <c r="H1001" s="550" t="s">
        <v>291</v>
      </c>
      <c r="I1001" s="550" t="s">
        <v>10</v>
      </c>
      <c r="J1001" s="550" t="s">
        <v>4854</v>
      </c>
      <c r="K1001" s="551">
        <v>44738</v>
      </c>
      <c r="L1001" s="552">
        <v>798</v>
      </c>
      <c r="M1001" s="552">
        <v>798</v>
      </c>
      <c r="N1001" s="552">
        <v>798</v>
      </c>
      <c r="O1001" s="552">
        <v>175</v>
      </c>
      <c r="P1001" s="552">
        <v>139650</v>
      </c>
      <c r="Q1001" s="548">
        <v>10</v>
      </c>
      <c r="R1001" s="552">
        <v>7980</v>
      </c>
      <c r="S1001" s="548">
        <v>117</v>
      </c>
      <c r="T1001" s="552">
        <v>93366</v>
      </c>
      <c r="U1001" s="548">
        <v>68</v>
      </c>
      <c r="V1001" s="552">
        <v>54264</v>
      </c>
      <c r="W1001" s="552">
        <v>0</v>
      </c>
      <c r="X1001" s="552">
        <v>0</v>
      </c>
      <c r="Y1001" s="552">
        <v>117</v>
      </c>
      <c r="Z1001" s="552">
        <v>93366</v>
      </c>
      <c r="AA1001" s="552">
        <v>0</v>
      </c>
      <c r="AB1001" s="552">
        <v>0</v>
      </c>
      <c r="AC1001" s="552">
        <v>117</v>
      </c>
      <c r="AD1001" s="552">
        <v>93366</v>
      </c>
      <c r="AE1001" s="552">
        <v>0</v>
      </c>
      <c r="AF1001" s="552">
        <v>0</v>
      </c>
      <c r="AG1001" s="552">
        <v>0</v>
      </c>
      <c r="AH1001" s="552">
        <v>0</v>
      </c>
      <c r="AI1001" s="552">
        <v>0</v>
      </c>
      <c r="AJ1001" s="552">
        <v>0</v>
      </c>
    </row>
    <row r="1002" spans="1:36" ht="15.95" customHeight="1">
      <c r="A1002" s="547"/>
      <c r="B1002" s="548">
        <v>491</v>
      </c>
      <c r="C1002" s="549">
        <v>6093</v>
      </c>
      <c r="D1002" s="550"/>
      <c r="E1002" s="550" t="s">
        <v>4853</v>
      </c>
      <c r="F1002" s="550" t="s">
        <v>500</v>
      </c>
      <c r="G1002" s="550" t="s">
        <v>289</v>
      </c>
      <c r="H1002" s="550" t="s">
        <v>291</v>
      </c>
      <c r="I1002" s="550" t="s">
        <v>10</v>
      </c>
      <c r="J1002" s="550" t="s">
        <v>4291</v>
      </c>
      <c r="K1002" s="551">
        <v>44934</v>
      </c>
      <c r="L1002" s="552">
        <v>798</v>
      </c>
      <c r="M1002" s="552">
        <v>798</v>
      </c>
      <c r="N1002" s="552">
        <v>798</v>
      </c>
      <c r="O1002" s="552">
        <v>12423</v>
      </c>
      <c r="P1002" s="552">
        <v>9913554</v>
      </c>
      <c r="Q1002" s="548">
        <v>0</v>
      </c>
      <c r="R1002" s="552">
        <v>0</v>
      </c>
      <c r="S1002" s="548">
        <v>11923</v>
      </c>
      <c r="T1002" s="552">
        <v>9514554</v>
      </c>
      <c r="U1002" s="548">
        <v>500</v>
      </c>
      <c r="V1002" s="552">
        <v>399000</v>
      </c>
      <c r="W1002" s="552">
        <v>0</v>
      </c>
      <c r="X1002" s="552">
        <v>0</v>
      </c>
      <c r="Y1002" s="552">
        <v>11923</v>
      </c>
      <c r="Z1002" s="552">
        <v>9514554</v>
      </c>
      <c r="AA1002" s="552">
        <v>11923</v>
      </c>
      <c r="AB1002" s="552">
        <v>9514554</v>
      </c>
      <c r="AC1002" s="552">
        <v>0</v>
      </c>
      <c r="AD1002" s="552">
        <v>0</v>
      </c>
      <c r="AE1002" s="552">
        <v>0</v>
      </c>
      <c r="AF1002" s="552">
        <v>0</v>
      </c>
      <c r="AG1002" s="552">
        <v>0</v>
      </c>
      <c r="AH1002" s="552">
        <v>0</v>
      </c>
      <c r="AI1002" s="552">
        <v>0</v>
      </c>
      <c r="AJ1002" s="552">
        <v>0</v>
      </c>
    </row>
    <row r="1003" spans="1:36" ht="15.95" customHeight="1">
      <c r="A1003" s="547"/>
      <c r="B1003" s="548">
        <v>524</v>
      </c>
      <c r="C1003" s="549">
        <v>6094</v>
      </c>
      <c r="D1003" s="550"/>
      <c r="E1003" s="550" t="s">
        <v>4855</v>
      </c>
      <c r="F1003" s="550" t="s">
        <v>403</v>
      </c>
      <c r="G1003" s="550" t="s">
        <v>4110</v>
      </c>
      <c r="H1003" s="550" t="s">
        <v>327</v>
      </c>
      <c r="I1003" s="550" t="s">
        <v>10</v>
      </c>
      <c r="J1003" s="550" t="s">
        <v>12504</v>
      </c>
      <c r="K1003" s="551">
        <v>45248</v>
      </c>
      <c r="L1003" s="552">
        <v>95</v>
      </c>
      <c r="M1003" s="552">
        <v>95</v>
      </c>
      <c r="N1003" s="552">
        <v>95</v>
      </c>
      <c r="O1003" s="552">
        <v>50000</v>
      </c>
      <c r="P1003" s="552">
        <v>4750000</v>
      </c>
      <c r="Q1003" s="548">
        <v>0</v>
      </c>
      <c r="R1003" s="552">
        <v>0</v>
      </c>
      <c r="S1003" s="548">
        <v>0</v>
      </c>
      <c r="T1003" s="552">
        <v>0</v>
      </c>
      <c r="U1003" s="548">
        <v>50000</v>
      </c>
      <c r="V1003" s="552">
        <v>4750000</v>
      </c>
      <c r="W1003" s="552">
        <v>0</v>
      </c>
      <c r="X1003" s="552">
        <v>0</v>
      </c>
      <c r="Y1003" s="552">
        <v>0</v>
      </c>
      <c r="Z1003" s="552">
        <v>0</v>
      </c>
      <c r="AA1003" s="552">
        <v>0</v>
      </c>
      <c r="AB1003" s="552">
        <v>0</v>
      </c>
      <c r="AC1003" s="552">
        <v>0</v>
      </c>
      <c r="AD1003" s="552">
        <v>0</v>
      </c>
      <c r="AE1003" s="552">
        <v>0</v>
      </c>
      <c r="AF1003" s="552">
        <v>0</v>
      </c>
      <c r="AG1003" s="552">
        <v>0</v>
      </c>
      <c r="AH1003" s="552">
        <v>0</v>
      </c>
      <c r="AI1003" s="552">
        <v>0</v>
      </c>
      <c r="AJ1003" s="552">
        <v>0</v>
      </c>
    </row>
    <row r="1004" spans="1:36" ht="15.95" customHeight="1">
      <c r="A1004" s="547"/>
      <c r="B1004" s="548">
        <v>525</v>
      </c>
      <c r="C1004" s="549">
        <v>6094</v>
      </c>
      <c r="D1004" s="550"/>
      <c r="E1004" s="550" t="s">
        <v>4855</v>
      </c>
      <c r="F1004" s="550" t="s">
        <v>403</v>
      </c>
      <c r="G1004" s="550" t="s">
        <v>4110</v>
      </c>
      <c r="H1004" s="550" t="s">
        <v>327</v>
      </c>
      <c r="I1004" s="550" t="s">
        <v>10</v>
      </c>
      <c r="J1004" s="550" t="s">
        <v>12505</v>
      </c>
      <c r="K1004" s="551">
        <v>45174</v>
      </c>
      <c r="L1004" s="552">
        <v>95</v>
      </c>
      <c r="M1004" s="552">
        <v>95</v>
      </c>
      <c r="N1004" s="552">
        <v>95</v>
      </c>
      <c r="O1004" s="552">
        <v>28000</v>
      </c>
      <c r="P1004" s="552">
        <v>2660000</v>
      </c>
      <c r="Q1004" s="548">
        <v>0</v>
      </c>
      <c r="R1004" s="552">
        <v>0</v>
      </c>
      <c r="S1004" s="548">
        <v>19578</v>
      </c>
      <c r="T1004" s="552">
        <v>1859910</v>
      </c>
      <c r="U1004" s="548">
        <v>8422</v>
      </c>
      <c r="V1004" s="552">
        <v>800090</v>
      </c>
      <c r="W1004" s="552">
        <v>13296</v>
      </c>
      <c r="X1004" s="552">
        <v>1263120</v>
      </c>
      <c r="Y1004" s="552">
        <v>19578</v>
      </c>
      <c r="Z1004" s="552">
        <v>1859910</v>
      </c>
      <c r="AA1004" s="552">
        <v>4578</v>
      </c>
      <c r="AB1004" s="552">
        <v>434910</v>
      </c>
      <c r="AC1004" s="552">
        <v>15000</v>
      </c>
      <c r="AD1004" s="552">
        <v>1425000</v>
      </c>
      <c r="AE1004" s="552">
        <v>0</v>
      </c>
      <c r="AF1004" s="552">
        <v>0</v>
      </c>
      <c r="AG1004" s="552">
        <v>0</v>
      </c>
      <c r="AH1004" s="552">
        <v>0</v>
      </c>
      <c r="AI1004" s="552">
        <v>0</v>
      </c>
      <c r="AJ1004" s="552">
        <v>0</v>
      </c>
    </row>
    <row r="1005" spans="1:36" ht="15.95" customHeight="1">
      <c r="A1005" s="547"/>
      <c r="B1005" s="548">
        <v>526</v>
      </c>
      <c r="C1005" s="549">
        <v>6094</v>
      </c>
      <c r="D1005" s="550"/>
      <c r="E1005" s="550" t="s">
        <v>4855</v>
      </c>
      <c r="F1005" s="550" t="s">
        <v>403</v>
      </c>
      <c r="G1005" s="550" t="s">
        <v>4110</v>
      </c>
      <c r="H1005" s="550" t="s">
        <v>327</v>
      </c>
      <c r="I1005" s="550" t="s">
        <v>10</v>
      </c>
      <c r="J1005" s="550" t="s">
        <v>4856</v>
      </c>
      <c r="K1005" s="551">
        <v>44998</v>
      </c>
      <c r="L1005" s="552">
        <v>95</v>
      </c>
      <c r="M1005" s="552">
        <v>95</v>
      </c>
      <c r="N1005" s="552">
        <v>95</v>
      </c>
      <c r="O1005" s="552">
        <v>1422</v>
      </c>
      <c r="P1005" s="552">
        <v>135090</v>
      </c>
      <c r="Q1005" s="548">
        <v>0</v>
      </c>
      <c r="R1005" s="552">
        <v>0</v>
      </c>
      <c r="S1005" s="548">
        <v>1422</v>
      </c>
      <c r="T1005" s="552">
        <v>135090</v>
      </c>
      <c r="U1005" s="548">
        <v>0</v>
      </c>
      <c r="V1005" s="552">
        <v>0</v>
      </c>
      <c r="W1005" s="552">
        <v>4740</v>
      </c>
      <c r="X1005" s="552">
        <v>450300</v>
      </c>
      <c r="Y1005" s="552">
        <v>1422</v>
      </c>
      <c r="Z1005" s="552">
        <v>135090</v>
      </c>
      <c r="AA1005" s="552">
        <v>1422</v>
      </c>
      <c r="AB1005" s="552">
        <v>135090</v>
      </c>
      <c r="AC1005" s="552">
        <v>0</v>
      </c>
      <c r="AD1005" s="552">
        <v>0</v>
      </c>
      <c r="AE1005" s="552">
        <v>0</v>
      </c>
      <c r="AF1005" s="552">
        <v>0</v>
      </c>
      <c r="AG1005" s="552">
        <v>0</v>
      </c>
      <c r="AH1005" s="552">
        <v>0</v>
      </c>
      <c r="AI1005" s="552">
        <v>0</v>
      </c>
      <c r="AJ1005" s="552">
        <v>0</v>
      </c>
    </row>
    <row r="1006" spans="1:36" ht="15.95" customHeight="1">
      <c r="A1006" s="547"/>
      <c r="B1006" s="548">
        <v>531</v>
      </c>
      <c r="C1006" s="549">
        <v>6096</v>
      </c>
      <c r="D1006" s="550"/>
      <c r="E1006" s="550" t="s">
        <v>4857</v>
      </c>
      <c r="F1006" s="550" t="s">
        <v>378</v>
      </c>
      <c r="G1006" s="550" t="s">
        <v>378</v>
      </c>
      <c r="H1006" s="550" t="s">
        <v>334</v>
      </c>
      <c r="I1006" s="550" t="s">
        <v>10</v>
      </c>
      <c r="J1006" s="550" t="s">
        <v>4858</v>
      </c>
      <c r="K1006" s="551">
        <v>44991</v>
      </c>
      <c r="L1006" s="552">
        <v>234</v>
      </c>
      <c r="M1006" s="552">
        <v>234</v>
      </c>
      <c r="N1006" s="552">
        <v>234</v>
      </c>
      <c r="O1006" s="552">
        <v>2248</v>
      </c>
      <c r="P1006" s="552">
        <v>526032</v>
      </c>
      <c r="Q1006" s="548">
        <v>0</v>
      </c>
      <c r="R1006" s="552">
        <v>0</v>
      </c>
      <c r="S1006" s="548">
        <v>2248</v>
      </c>
      <c r="T1006" s="552">
        <v>526032</v>
      </c>
      <c r="U1006" s="548">
        <v>0</v>
      </c>
      <c r="V1006" s="552">
        <v>0</v>
      </c>
      <c r="W1006" s="552">
        <v>6206</v>
      </c>
      <c r="X1006" s="552">
        <v>1452204</v>
      </c>
      <c r="Y1006" s="552">
        <v>2248</v>
      </c>
      <c r="Z1006" s="552">
        <v>526032</v>
      </c>
      <c r="AA1006" s="552">
        <v>2248</v>
      </c>
      <c r="AB1006" s="552">
        <v>526032</v>
      </c>
      <c r="AC1006" s="552">
        <v>0</v>
      </c>
      <c r="AD1006" s="552">
        <v>0</v>
      </c>
      <c r="AE1006" s="552">
        <v>0</v>
      </c>
      <c r="AF1006" s="552">
        <v>0</v>
      </c>
      <c r="AG1006" s="552">
        <v>0</v>
      </c>
      <c r="AH1006" s="552">
        <v>0</v>
      </c>
      <c r="AI1006" s="552">
        <v>0</v>
      </c>
      <c r="AJ1006" s="552">
        <v>0</v>
      </c>
    </row>
    <row r="1007" spans="1:36" ht="15.95" customHeight="1">
      <c r="A1007" s="547"/>
      <c r="B1007" s="548">
        <v>532</v>
      </c>
      <c r="C1007" s="549">
        <v>6096</v>
      </c>
      <c r="D1007" s="550"/>
      <c r="E1007" s="550" t="s">
        <v>4857</v>
      </c>
      <c r="F1007" s="550" t="s">
        <v>378</v>
      </c>
      <c r="G1007" s="550" t="s">
        <v>378</v>
      </c>
      <c r="H1007" s="550" t="s">
        <v>334</v>
      </c>
      <c r="I1007" s="550" t="s">
        <v>10</v>
      </c>
      <c r="J1007" s="550" t="s">
        <v>4859</v>
      </c>
      <c r="K1007" s="551">
        <v>44378</v>
      </c>
      <c r="L1007" s="552">
        <v>234</v>
      </c>
      <c r="M1007" s="552">
        <v>234</v>
      </c>
      <c r="N1007" s="552">
        <v>234</v>
      </c>
      <c r="O1007" s="552">
        <v>143</v>
      </c>
      <c r="P1007" s="552">
        <v>33462</v>
      </c>
      <c r="Q1007" s="548">
        <v>0</v>
      </c>
      <c r="R1007" s="552">
        <v>0</v>
      </c>
      <c r="S1007" s="548">
        <v>143</v>
      </c>
      <c r="T1007" s="552">
        <v>33462</v>
      </c>
      <c r="U1007" s="548">
        <v>0</v>
      </c>
      <c r="V1007" s="552">
        <v>0</v>
      </c>
      <c r="W1007" s="552">
        <v>0</v>
      </c>
      <c r="X1007" s="552">
        <v>0</v>
      </c>
      <c r="Y1007" s="552">
        <v>143</v>
      </c>
      <c r="Z1007" s="552">
        <v>33462</v>
      </c>
      <c r="AA1007" s="552">
        <v>143</v>
      </c>
      <c r="AB1007" s="552">
        <v>33462</v>
      </c>
      <c r="AC1007" s="552">
        <v>0</v>
      </c>
      <c r="AD1007" s="552">
        <v>0</v>
      </c>
      <c r="AE1007" s="552">
        <v>0</v>
      </c>
      <c r="AF1007" s="552">
        <v>0</v>
      </c>
      <c r="AG1007" s="552">
        <v>0</v>
      </c>
      <c r="AH1007" s="552">
        <v>0</v>
      </c>
      <c r="AI1007" s="552">
        <v>0</v>
      </c>
      <c r="AJ1007" s="552">
        <v>0</v>
      </c>
    </row>
    <row r="1008" spans="1:36" ht="15.95" customHeight="1">
      <c r="A1008" s="547"/>
      <c r="B1008" s="548">
        <v>533</v>
      </c>
      <c r="C1008" s="549">
        <v>6097</v>
      </c>
      <c r="D1008" s="550"/>
      <c r="E1008" s="550" t="s">
        <v>4860</v>
      </c>
      <c r="F1008" s="550" t="s">
        <v>378</v>
      </c>
      <c r="G1008" s="550" t="s">
        <v>378</v>
      </c>
      <c r="H1008" s="550" t="s">
        <v>334</v>
      </c>
      <c r="I1008" s="550" t="s">
        <v>10</v>
      </c>
      <c r="J1008" s="550" t="s">
        <v>12506</v>
      </c>
      <c r="K1008" s="551">
        <v>45200</v>
      </c>
      <c r="L1008" s="552">
        <v>234</v>
      </c>
      <c r="M1008" s="552">
        <v>234</v>
      </c>
      <c r="N1008" s="552">
        <v>234</v>
      </c>
      <c r="O1008" s="552">
        <v>9500</v>
      </c>
      <c r="P1008" s="552">
        <v>2223000</v>
      </c>
      <c r="Q1008" s="548">
        <v>0</v>
      </c>
      <c r="R1008" s="552">
        <v>0</v>
      </c>
      <c r="S1008" s="548">
        <v>5925</v>
      </c>
      <c r="T1008" s="552">
        <v>1386450</v>
      </c>
      <c r="U1008" s="548">
        <v>3575</v>
      </c>
      <c r="V1008" s="552">
        <v>836550</v>
      </c>
      <c r="W1008" s="552">
        <v>949</v>
      </c>
      <c r="X1008" s="552">
        <v>222066</v>
      </c>
      <c r="Y1008" s="552">
        <v>5825</v>
      </c>
      <c r="Z1008" s="552">
        <v>1363050</v>
      </c>
      <c r="AA1008" s="552">
        <v>1617</v>
      </c>
      <c r="AB1008" s="552">
        <v>378378</v>
      </c>
      <c r="AC1008" s="552">
        <v>4208</v>
      </c>
      <c r="AD1008" s="552">
        <v>984672</v>
      </c>
      <c r="AE1008" s="552">
        <v>0</v>
      </c>
      <c r="AF1008" s="552">
        <v>0</v>
      </c>
      <c r="AG1008" s="552">
        <v>100</v>
      </c>
      <c r="AH1008" s="552">
        <v>23400</v>
      </c>
      <c r="AI1008" s="552">
        <v>0</v>
      </c>
      <c r="AJ1008" s="552">
        <v>0</v>
      </c>
    </row>
    <row r="1009" spans="1:36" ht="15.95" customHeight="1">
      <c r="A1009" s="547"/>
      <c r="B1009" s="548">
        <v>534</v>
      </c>
      <c r="C1009" s="549">
        <v>6097</v>
      </c>
      <c r="D1009" s="550"/>
      <c r="E1009" s="550" t="s">
        <v>4860</v>
      </c>
      <c r="F1009" s="550" t="s">
        <v>378</v>
      </c>
      <c r="G1009" s="550" t="s">
        <v>378</v>
      </c>
      <c r="H1009" s="550" t="s">
        <v>334</v>
      </c>
      <c r="I1009" s="550" t="s">
        <v>10</v>
      </c>
      <c r="J1009" s="550" t="s">
        <v>12507</v>
      </c>
      <c r="K1009" s="551">
        <v>45239</v>
      </c>
      <c r="L1009" s="552">
        <v>234</v>
      </c>
      <c r="M1009" s="552">
        <v>234</v>
      </c>
      <c r="N1009" s="552">
        <v>234</v>
      </c>
      <c r="O1009" s="552">
        <v>40000</v>
      </c>
      <c r="P1009" s="552">
        <v>9360000</v>
      </c>
      <c r="Q1009" s="548">
        <v>0</v>
      </c>
      <c r="R1009" s="552">
        <v>0</v>
      </c>
      <c r="S1009" s="548">
        <v>1300</v>
      </c>
      <c r="T1009" s="552">
        <v>304200</v>
      </c>
      <c r="U1009" s="548">
        <v>38700</v>
      </c>
      <c r="V1009" s="552">
        <v>9055800</v>
      </c>
      <c r="W1009" s="552">
        <v>0</v>
      </c>
      <c r="X1009" s="552">
        <v>0</v>
      </c>
      <c r="Y1009" s="552">
        <v>1300</v>
      </c>
      <c r="Z1009" s="552">
        <v>304200</v>
      </c>
      <c r="AA1009" s="552">
        <v>0</v>
      </c>
      <c r="AB1009" s="552">
        <v>0</v>
      </c>
      <c r="AC1009" s="552">
        <v>1300</v>
      </c>
      <c r="AD1009" s="552">
        <v>304200</v>
      </c>
      <c r="AE1009" s="552">
        <v>0</v>
      </c>
      <c r="AF1009" s="552">
        <v>0</v>
      </c>
      <c r="AG1009" s="552">
        <v>0</v>
      </c>
      <c r="AH1009" s="552">
        <v>0</v>
      </c>
      <c r="AI1009" s="552">
        <v>0</v>
      </c>
      <c r="AJ1009" s="552">
        <v>0</v>
      </c>
    </row>
    <row r="1010" spans="1:36" ht="15.95" customHeight="1">
      <c r="A1010" s="547"/>
      <c r="B1010" s="548">
        <v>555</v>
      </c>
      <c r="C1010" s="549">
        <v>6100</v>
      </c>
      <c r="D1010" s="550"/>
      <c r="E1010" s="550" t="s">
        <v>4861</v>
      </c>
      <c r="F1010" s="550" t="s">
        <v>393</v>
      </c>
      <c r="G1010" s="550" t="s">
        <v>392</v>
      </c>
      <c r="H1010" s="550" t="s">
        <v>235</v>
      </c>
      <c r="I1010" s="550" t="s">
        <v>10</v>
      </c>
      <c r="J1010" s="550" t="s">
        <v>4862</v>
      </c>
      <c r="K1010" s="551">
        <v>44409</v>
      </c>
      <c r="L1010" s="552">
        <v>131</v>
      </c>
      <c r="M1010" s="552">
        <v>131</v>
      </c>
      <c r="N1010" s="552">
        <v>131</v>
      </c>
      <c r="O1010" s="552">
        <v>1</v>
      </c>
      <c r="P1010" s="552">
        <v>131</v>
      </c>
      <c r="Q1010" s="548">
        <v>0</v>
      </c>
      <c r="R1010" s="552">
        <v>0</v>
      </c>
      <c r="S1010" s="548">
        <v>1</v>
      </c>
      <c r="T1010" s="552">
        <v>131</v>
      </c>
      <c r="U1010" s="548">
        <v>0</v>
      </c>
      <c r="V1010" s="552">
        <v>0</v>
      </c>
      <c r="W1010" s="552">
        <v>0</v>
      </c>
      <c r="X1010" s="552">
        <v>0</v>
      </c>
      <c r="Y1010" s="552">
        <v>1</v>
      </c>
      <c r="Z1010" s="552">
        <v>131</v>
      </c>
      <c r="AA1010" s="552">
        <v>0</v>
      </c>
      <c r="AB1010" s="552">
        <v>0</v>
      </c>
      <c r="AC1010" s="552">
        <v>1</v>
      </c>
      <c r="AD1010" s="552">
        <v>131</v>
      </c>
      <c r="AE1010" s="552">
        <v>0</v>
      </c>
      <c r="AF1010" s="552">
        <v>0</v>
      </c>
      <c r="AG1010" s="552">
        <v>0</v>
      </c>
      <c r="AH1010" s="552">
        <v>0</v>
      </c>
      <c r="AI1010" s="552">
        <v>0</v>
      </c>
      <c r="AJ1010" s="552">
        <v>0</v>
      </c>
    </row>
    <row r="1011" spans="1:36" ht="15.95" customHeight="1">
      <c r="A1011" s="547"/>
      <c r="B1011" s="548">
        <v>556</v>
      </c>
      <c r="C1011" s="549">
        <v>6100</v>
      </c>
      <c r="D1011" s="550"/>
      <c r="E1011" s="550" t="s">
        <v>4861</v>
      </c>
      <c r="F1011" s="550" t="s">
        <v>393</v>
      </c>
      <c r="G1011" s="550" t="s">
        <v>392</v>
      </c>
      <c r="H1011" s="550" t="s">
        <v>235</v>
      </c>
      <c r="I1011" s="550" t="s">
        <v>10</v>
      </c>
      <c r="J1011" s="550" t="s">
        <v>12508</v>
      </c>
      <c r="K1011" s="551">
        <v>45240</v>
      </c>
      <c r="L1011" s="552">
        <v>131</v>
      </c>
      <c r="M1011" s="552">
        <v>131</v>
      </c>
      <c r="N1011" s="552">
        <v>131</v>
      </c>
      <c r="O1011" s="552">
        <v>5000</v>
      </c>
      <c r="P1011" s="552">
        <v>655000</v>
      </c>
      <c r="Q1011" s="548">
        <v>0</v>
      </c>
      <c r="R1011" s="552">
        <v>0</v>
      </c>
      <c r="S1011" s="548">
        <v>5000</v>
      </c>
      <c r="T1011" s="552">
        <v>655000</v>
      </c>
      <c r="U1011" s="548">
        <v>0</v>
      </c>
      <c r="V1011" s="552">
        <v>0</v>
      </c>
      <c r="W1011" s="552">
        <v>2633</v>
      </c>
      <c r="X1011" s="552">
        <v>344923</v>
      </c>
      <c r="Y1011" s="552">
        <v>5000</v>
      </c>
      <c r="Z1011" s="552">
        <v>655000</v>
      </c>
      <c r="AA1011" s="552">
        <v>2100</v>
      </c>
      <c r="AB1011" s="552">
        <v>275100</v>
      </c>
      <c r="AC1011" s="552">
        <v>2900</v>
      </c>
      <c r="AD1011" s="552">
        <v>379900</v>
      </c>
      <c r="AE1011" s="552">
        <v>0</v>
      </c>
      <c r="AF1011" s="552">
        <v>0</v>
      </c>
      <c r="AG1011" s="552">
        <v>0</v>
      </c>
      <c r="AH1011" s="552">
        <v>0</v>
      </c>
      <c r="AI1011" s="552">
        <v>0</v>
      </c>
      <c r="AJ1011" s="552">
        <v>0</v>
      </c>
    </row>
    <row r="1012" spans="1:36" ht="15.95" customHeight="1">
      <c r="A1012" s="547"/>
      <c r="B1012" s="548">
        <v>557</v>
      </c>
      <c r="C1012" s="549">
        <v>6100</v>
      </c>
      <c r="D1012" s="550"/>
      <c r="E1012" s="550" t="s">
        <v>4861</v>
      </c>
      <c r="F1012" s="550" t="s">
        <v>393</v>
      </c>
      <c r="G1012" s="550" t="s">
        <v>392</v>
      </c>
      <c r="H1012" s="550" t="s">
        <v>235</v>
      </c>
      <c r="I1012" s="550" t="s">
        <v>10</v>
      </c>
      <c r="J1012" s="550" t="s">
        <v>4863</v>
      </c>
      <c r="K1012" s="551">
        <v>45038</v>
      </c>
      <c r="L1012" s="552">
        <v>131</v>
      </c>
      <c r="M1012" s="552">
        <v>131</v>
      </c>
      <c r="N1012" s="552">
        <v>131</v>
      </c>
      <c r="O1012" s="552">
        <v>3900</v>
      </c>
      <c r="P1012" s="552">
        <v>510900</v>
      </c>
      <c r="Q1012" s="548">
        <v>25</v>
      </c>
      <c r="R1012" s="552">
        <v>3275</v>
      </c>
      <c r="S1012" s="548">
        <v>3876</v>
      </c>
      <c r="T1012" s="552">
        <v>507756</v>
      </c>
      <c r="U1012" s="548">
        <v>49</v>
      </c>
      <c r="V1012" s="552">
        <v>6419</v>
      </c>
      <c r="W1012" s="552">
        <v>5386</v>
      </c>
      <c r="X1012" s="552">
        <v>705566</v>
      </c>
      <c r="Y1012" s="552">
        <v>3876</v>
      </c>
      <c r="Z1012" s="552">
        <v>507756</v>
      </c>
      <c r="AA1012" s="552">
        <v>2900</v>
      </c>
      <c r="AB1012" s="552">
        <v>379900</v>
      </c>
      <c r="AC1012" s="552">
        <v>976</v>
      </c>
      <c r="AD1012" s="552">
        <v>127856</v>
      </c>
      <c r="AE1012" s="552">
        <v>0</v>
      </c>
      <c r="AF1012" s="552">
        <v>0</v>
      </c>
      <c r="AG1012" s="552">
        <v>0</v>
      </c>
      <c r="AH1012" s="552">
        <v>0</v>
      </c>
      <c r="AI1012" s="552">
        <v>0</v>
      </c>
      <c r="AJ1012" s="552">
        <v>0</v>
      </c>
    </row>
    <row r="1013" spans="1:36" ht="15.95" customHeight="1">
      <c r="A1013" s="547"/>
      <c r="B1013" s="548">
        <v>558</v>
      </c>
      <c r="C1013" s="549">
        <v>6100</v>
      </c>
      <c r="D1013" s="550"/>
      <c r="E1013" s="550" t="s">
        <v>4861</v>
      </c>
      <c r="F1013" s="550" t="s">
        <v>393</v>
      </c>
      <c r="G1013" s="550" t="s">
        <v>392</v>
      </c>
      <c r="H1013" s="550" t="s">
        <v>235</v>
      </c>
      <c r="I1013" s="550" t="s">
        <v>10</v>
      </c>
      <c r="J1013" s="550" t="s">
        <v>12509</v>
      </c>
      <c r="K1013" s="551">
        <v>45265</v>
      </c>
      <c r="L1013" s="552">
        <v>131</v>
      </c>
      <c r="M1013" s="552">
        <v>131</v>
      </c>
      <c r="N1013" s="552">
        <v>131</v>
      </c>
      <c r="O1013" s="552">
        <v>50000</v>
      </c>
      <c r="P1013" s="552">
        <v>6550000</v>
      </c>
      <c r="Q1013" s="548">
        <v>234</v>
      </c>
      <c r="R1013" s="552">
        <v>30654</v>
      </c>
      <c r="S1013" s="548">
        <v>34066</v>
      </c>
      <c r="T1013" s="552">
        <v>4462646</v>
      </c>
      <c r="U1013" s="548">
        <v>16168</v>
      </c>
      <c r="V1013" s="552">
        <v>2118008</v>
      </c>
      <c r="W1013" s="552">
        <v>6636</v>
      </c>
      <c r="X1013" s="552">
        <v>869316</v>
      </c>
      <c r="Y1013" s="552">
        <v>33266</v>
      </c>
      <c r="Z1013" s="552">
        <v>4357846</v>
      </c>
      <c r="AA1013" s="552">
        <v>18447</v>
      </c>
      <c r="AB1013" s="552">
        <v>2416557</v>
      </c>
      <c r="AC1013" s="552">
        <v>14819</v>
      </c>
      <c r="AD1013" s="552">
        <v>1941289</v>
      </c>
      <c r="AE1013" s="552">
        <v>0</v>
      </c>
      <c r="AF1013" s="552">
        <v>0</v>
      </c>
      <c r="AG1013" s="552">
        <v>800</v>
      </c>
      <c r="AH1013" s="552">
        <v>104800</v>
      </c>
      <c r="AI1013" s="552">
        <v>0</v>
      </c>
      <c r="AJ1013" s="552">
        <v>0</v>
      </c>
    </row>
    <row r="1014" spans="1:36" ht="15.95" customHeight="1">
      <c r="A1014" s="547"/>
      <c r="B1014" s="548">
        <v>559</v>
      </c>
      <c r="C1014" s="549">
        <v>6101</v>
      </c>
      <c r="D1014" s="550"/>
      <c r="E1014" s="550" t="s">
        <v>4864</v>
      </c>
      <c r="F1014" s="550" t="s">
        <v>383</v>
      </c>
      <c r="G1014" s="550" t="s">
        <v>353</v>
      </c>
      <c r="H1014" s="550" t="s">
        <v>384</v>
      </c>
      <c r="I1014" s="550" t="s">
        <v>10</v>
      </c>
      <c r="J1014" s="550" t="s">
        <v>12510</v>
      </c>
      <c r="K1014" s="551">
        <v>45267</v>
      </c>
      <c r="L1014" s="552">
        <v>120</v>
      </c>
      <c r="M1014" s="552">
        <v>120</v>
      </c>
      <c r="N1014" s="552">
        <v>120</v>
      </c>
      <c r="O1014" s="552">
        <v>13000</v>
      </c>
      <c r="P1014" s="552">
        <v>1560000</v>
      </c>
      <c r="Q1014" s="548">
        <v>0</v>
      </c>
      <c r="R1014" s="552">
        <v>0</v>
      </c>
      <c r="S1014" s="548">
        <v>527</v>
      </c>
      <c r="T1014" s="552">
        <v>63240</v>
      </c>
      <c r="U1014" s="548">
        <v>12473</v>
      </c>
      <c r="V1014" s="552">
        <v>1496760</v>
      </c>
      <c r="W1014" s="552">
        <v>6</v>
      </c>
      <c r="X1014" s="552">
        <v>720</v>
      </c>
      <c r="Y1014" s="552">
        <v>527</v>
      </c>
      <c r="Z1014" s="552">
        <v>63240</v>
      </c>
      <c r="AA1014" s="552">
        <v>27</v>
      </c>
      <c r="AB1014" s="552">
        <v>3240</v>
      </c>
      <c r="AC1014" s="552">
        <v>500</v>
      </c>
      <c r="AD1014" s="552">
        <v>60000</v>
      </c>
      <c r="AE1014" s="552">
        <v>0</v>
      </c>
      <c r="AF1014" s="552">
        <v>0</v>
      </c>
      <c r="AG1014" s="552">
        <v>0</v>
      </c>
      <c r="AH1014" s="552">
        <v>0</v>
      </c>
      <c r="AI1014" s="552">
        <v>0</v>
      </c>
      <c r="AJ1014" s="552">
        <v>0</v>
      </c>
    </row>
    <row r="1015" spans="1:36" ht="15.95" customHeight="1">
      <c r="A1015" s="547"/>
      <c r="B1015" s="548">
        <v>574</v>
      </c>
      <c r="C1015" s="549">
        <v>6103</v>
      </c>
      <c r="D1015" s="550"/>
      <c r="E1015" s="550" t="s">
        <v>4866</v>
      </c>
      <c r="F1015" s="550" t="s">
        <v>361</v>
      </c>
      <c r="G1015" s="550" t="s">
        <v>347</v>
      </c>
      <c r="H1015" s="550" t="s">
        <v>327</v>
      </c>
      <c r="I1015" s="550" t="s">
        <v>10</v>
      </c>
      <c r="J1015" s="550" t="s">
        <v>12511</v>
      </c>
      <c r="K1015" s="551">
        <v>45099</v>
      </c>
      <c r="L1015" s="552">
        <v>81</v>
      </c>
      <c r="M1015" s="552">
        <v>81</v>
      </c>
      <c r="N1015" s="552">
        <v>81</v>
      </c>
      <c r="O1015" s="552">
        <v>120000</v>
      </c>
      <c r="P1015" s="552">
        <v>9720000</v>
      </c>
      <c r="Q1015" s="548">
        <v>444</v>
      </c>
      <c r="R1015" s="552">
        <v>35964</v>
      </c>
      <c r="S1015" s="548">
        <v>106156</v>
      </c>
      <c r="T1015" s="552">
        <v>8598636</v>
      </c>
      <c r="U1015" s="548">
        <v>14288</v>
      </c>
      <c r="V1015" s="552">
        <v>1157328</v>
      </c>
      <c r="W1015" s="552">
        <v>21703</v>
      </c>
      <c r="X1015" s="552">
        <v>1757943</v>
      </c>
      <c r="Y1015" s="552">
        <v>106109</v>
      </c>
      <c r="Z1015" s="552">
        <v>8594829</v>
      </c>
      <c r="AA1015" s="552">
        <v>60899</v>
      </c>
      <c r="AB1015" s="552">
        <v>4932819</v>
      </c>
      <c r="AC1015" s="552">
        <v>45210</v>
      </c>
      <c r="AD1015" s="552">
        <v>3662010</v>
      </c>
      <c r="AE1015" s="552">
        <v>0</v>
      </c>
      <c r="AF1015" s="552">
        <v>0</v>
      </c>
      <c r="AG1015" s="552">
        <v>47</v>
      </c>
      <c r="AH1015" s="552">
        <v>3807</v>
      </c>
      <c r="AI1015" s="552">
        <v>0</v>
      </c>
      <c r="AJ1015" s="552">
        <v>0</v>
      </c>
    </row>
    <row r="1016" spans="1:36" ht="15.95" customHeight="1">
      <c r="A1016" s="547"/>
      <c r="B1016" s="548">
        <v>575</v>
      </c>
      <c r="C1016" s="549">
        <v>6103</v>
      </c>
      <c r="D1016" s="550"/>
      <c r="E1016" s="550" t="s">
        <v>4866</v>
      </c>
      <c r="F1016" s="550" t="s">
        <v>361</v>
      </c>
      <c r="G1016" s="550" t="s">
        <v>347</v>
      </c>
      <c r="H1016" s="550" t="s">
        <v>327</v>
      </c>
      <c r="I1016" s="550" t="s">
        <v>10</v>
      </c>
      <c r="J1016" s="550" t="s">
        <v>12512</v>
      </c>
      <c r="K1016" s="551">
        <v>45099</v>
      </c>
      <c r="L1016" s="552">
        <v>81</v>
      </c>
      <c r="M1016" s="552">
        <v>81</v>
      </c>
      <c r="N1016" s="552">
        <v>81</v>
      </c>
      <c r="O1016" s="552">
        <v>30000</v>
      </c>
      <c r="P1016" s="552">
        <v>2430000</v>
      </c>
      <c r="Q1016" s="548">
        <v>0</v>
      </c>
      <c r="R1016" s="552">
        <v>0</v>
      </c>
      <c r="S1016" s="548">
        <v>30000</v>
      </c>
      <c r="T1016" s="552">
        <v>2430000</v>
      </c>
      <c r="U1016" s="548">
        <v>0</v>
      </c>
      <c r="V1016" s="552">
        <v>0</v>
      </c>
      <c r="W1016" s="552">
        <v>4000</v>
      </c>
      <c r="X1016" s="552">
        <v>324000</v>
      </c>
      <c r="Y1016" s="552">
        <v>30000</v>
      </c>
      <c r="Z1016" s="552">
        <v>2430000</v>
      </c>
      <c r="AA1016" s="552">
        <v>26000</v>
      </c>
      <c r="AB1016" s="552">
        <v>2106000</v>
      </c>
      <c r="AC1016" s="552">
        <v>4000</v>
      </c>
      <c r="AD1016" s="552">
        <v>324000</v>
      </c>
      <c r="AE1016" s="552">
        <v>0</v>
      </c>
      <c r="AF1016" s="552">
        <v>0</v>
      </c>
      <c r="AG1016" s="552">
        <v>0</v>
      </c>
      <c r="AH1016" s="552">
        <v>0</v>
      </c>
      <c r="AI1016" s="552">
        <v>0</v>
      </c>
      <c r="AJ1016" s="552">
        <v>0</v>
      </c>
    </row>
    <row r="1017" spans="1:36" ht="15.95" customHeight="1">
      <c r="A1017" s="547"/>
      <c r="B1017" s="548">
        <v>576</v>
      </c>
      <c r="C1017" s="549">
        <v>6103</v>
      </c>
      <c r="D1017" s="550"/>
      <c r="E1017" s="550" t="s">
        <v>4866</v>
      </c>
      <c r="F1017" s="550" t="s">
        <v>361</v>
      </c>
      <c r="G1017" s="550" t="s">
        <v>347</v>
      </c>
      <c r="H1017" s="550" t="s">
        <v>327</v>
      </c>
      <c r="I1017" s="550" t="s">
        <v>10</v>
      </c>
      <c r="J1017" s="550" t="s">
        <v>12513</v>
      </c>
      <c r="K1017" s="551">
        <v>45099</v>
      </c>
      <c r="L1017" s="552">
        <v>81</v>
      </c>
      <c r="M1017" s="552">
        <v>81</v>
      </c>
      <c r="N1017" s="552">
        <v>81</v>
      </c>
      <c r="O1017" s="552">
        <v>50000</v>
      </c>
      <c r="P1017" s="552">
        <v>4050000</v>
      </c>
      <c r="Q1017" s="548">
        <v>0</v>
      </c>
      <c r="R1017" s="552">
        <v>0</v>
      </c>
      <c r="S1017" s="548">
        <v>50000</v>
      </c>
      <c r="T1017" s="552">
        <v>4050000</v>
      </c>
      <c r="U1017" s="548">
        <v>0</v>
      </c>
      <c r="V1017" s="552">
        <v>0</v>
      </c>
      <c r="W1017" s="552">
        <v>21735</v>
      </c>
      <c r="X1017" s="552">
        <v>1760535</v>
      </c>
      <c r="Y1017" s="552">
        <v>50000</v>
      </c>
      <c r="Z1017" s="552">
        <v>4050000</v>
      </c>
      <c r="AA1017" s="552">
        <v>27000</v>
      </c>
      <c r="AB1017" s="552">
        <v>2187000</v>
      </c>
      <c r="AC1017" s="552">
        <v>23000</v>
      </c>
      <c r="AD1017" s="552">
        <v>1863000</v>
      </c>
      <c r="AE1017" s="552">
        <v>0</v>
      </c>
      <c r="AF1017" s="552">
        <v>0</v>
      </c>
      <c r="AG1017" s="552">
        <v>0</v>
      </c>
      <c r="AH1017" s="552">
        <v>0</v>
      </c>
      <c r="AI1017" s="552">
        <v>0</v>
      </c>
      <c r="AJ1017" s="552">
        <v>0</v>
      </c>
    </row>
    <row r="1018" spans="1:36" ht="15.95" customHeight="1">
      <c r="A1018" s="547"/>
      <c r="B1018" s="548">
        <v>615</v>
      </c>
      <c r="C1018" s="549">
        <v>6106</v>
      </c>
      <c r="D1018" s="550"/>
      <c r="E1018" s="550" t="s">
        <v>4867</v>
      </c>
      <c r="F1018" s="550" t="s">
        <v>3621</v>
      </c>
      <c r="G1018" s="550" t="s">
        <v>2509</v>
      </c>
      <c r="H1018" s="550" t="s">
        <v>4868</v>
      </c>
      <c r="I1018" s="550" t="s">
        <v>628</v>
      </c>
      <c r="J1018" s="550" t="s">
        <v>3749</v>
      </c>
      <c r="K1018" s="551">
        <v>44849</v>
      </c>
      <c r="L1018" s="552">
        <v>438</v>
      </c>
      <c r="M1018" s="552">
        <v>438</v>
      </c>
      <c r="N1018" s="552">
        <v>438</v>
      </c>
      <c r="O1018" s="552">
        <v>2000</v>
      </c>
      <c r="P1018" s="552">
        <v>876000</v>
      </c>
      <c r="Q1018" s="548">
        <v>0</v>
      </c>
      <c r="R1018" s="552">
        <v>0</v>
      </c>
      <c r="S1018" s="548">
        <v>1098</v>
      </c>
      <c r="T1018" s="552">
        <v>480924</v>
      </c>
      <c r="U1018" s="548">
        <v>902</v>
      </c>
      <c r="V1018" s="552">
        <v>395076</v>
      </c>
      <c r="W1018" s="552">
        <v>0</v>
      </c>
      <c r="X1018" s="552">
        <v>0</v>
      </c>
      <c r="Y1018" s="552">
        <v>420</v>
      </c>
      <c r="Z1018" s="552">
        <v>183960</v>
      </c>
      <c r="AA1018" s="552">
        <v>51</v>
      </c>
      <c r="AB1018" s="552">
        <v>22338</v>
      </c>
      <c r="AC1018" s="552">
        <v>369</v>
      </c>
      <c r="AD1018" s="552">
        <v>161622</v>
      </c>
      <c r="AE1018" s="552">
        <v>0</v>
      </c>
      <c r="AF1018" s="552">
        <v>0</v>
      </c>
      <c r="AG1018" s="552">
        <v>730</v>
      </c>
      <c r="AH1018" s="552">
        <v>319740</v>
      </c>
      <c r="AI1018" s="552">
        <v>0</v>
      </c>
      <c r="AJ1018" s="552">
        <v>0</v>
      </c>
    </row>
    <row r="1019" spans="1:36" ht="15.95" customHeight="1">
      <c r="A1019" s="547"/>
      <c r="B1019" s="548">
        <v>616</v>
      </c>
      <c r="C1019" s="549">
        <v>6106</v>
      </c>
      <c r="D1019" s="550"/>
      <c r="E1019" s="550" t="s">
        <v>4867</v>
      </c>
      <c r="F1019" s="550" t="s">
        <v>3621</v>
      </c>
      <c r="G1019" s="550" t="s">
        <v>2509</v>
      </c>
      <c r="H1019" s="550" t="s">
        <v>4868</v>
      </c>
      <c r="I1019" s="550" t="s">
        <v>628</v>
      </c>
      <c r="J1019" s="550" t="s">
        <v>4481</v>
      </c>
      <c r="K1019" s="551">
        <v>44765</v>
      </c>
      <c r="L1019" s="552">
        <v>438</v>
      </c>
      <c r="M1019" s="552">
        <v>438</v>
      </c>
      <c r="N1019" s="552">
        <v>438</v>
      </c>
      <c r="O1019" s="552">
        <v>398</v>
      </c>
      <c r="P1019" s="552">
        <v>174324</v>
      </c>
      <c r="Q1019" s="548">
        <v>0</v>
      </c>
      <c r="R1019" s="552">
        <v>0</v>
      </c>
      <c r="S1019" s="548">
        <v>397</v>
      </c>
      <c r="T1019" s="552">
        <v>173886</v>
      </c>
      <c r="U1019" s="548">
        <v>1</v>
      </c>
      <c r="V1019" s="552">
        <v>438</v>
      </c>
      <c r="W1019" s="552">
        <v>0</v>
      </c>
      <c r="X1019" s="552">
        <v>0</v>
      </c>
      <c r="Y1019" s="552">
        <v>434</v>
      </c>
      <c r="Z1019" s="552">
        <v>190092</v>
      </c>
      <c r="AA1019" s="552">
        <v>57</v>
      </c>
      <c r="AB1019" s="552">
        <v>24966</v>
      </c>
      <c r="AC1019" s="552">
        <v>377</v>
      </c>
      <c r="AD1019" s="552">
        <v>165126</v>
      </c>
      <c r="AE1019" s="552">
        <v>0</v>
      </c>
      <c r="AF1019" s="552">
        <v>0</v>
      </c>
      <c r="AG1019" s="552">
        <v>20</v>
      </c>
      <c r="AH1019" s="552">
        <v>8760</v>
      </c>
      <c r="AI1019" s="552">
        <v>0</v>
      </c>
      <c r="AJ1019" s="552">
        <v>0</v>
      </c>
    </row>
    <row r="1020" spans="1:36" ht="15.95" customHeight="1">
      <c r="A1020" s="547"/>
      <c r="B1020" s="548">
        <v>617</v>
      </c>
      <c r="C1020" s="549">
        <v>6106</v>
      </c>
      <c r="D1020" s="550"/>
      <c r="E1020" s="550" t="s">
        <v>4867</v>
      </c>
      <c r="F1020" s="550" t="s">
        <v>3621</v>
      </c>
      <c r="G1020" s="550" t="s">
        <v>2509</v>
      </c>
      <c r="H1020" s="550" t="s">
        <v>4868</v>
      </c>
      <c r="I1020" s="550" t="s">
        <v>628</v>
      </c>
      <c r="J1020" s="550" t="s">
        <v>4869</v>
      </c>
      <c r="K1020" s="551">
        <v>44565</v>
      </c>
      <c r="L1020" s="552">
        <v>438</v>
      </c>
      <c r="M1020" s="552">
        <v>438</v>
      </c>
      <c r="N1020" s="552">
        <v>438</v>
      </c>
      <c r="O1020" s="552">
        <v>10</v>
      </c>
      <c r="P1020" s="552">
        <v>4380</v>
      </c>
      <c r="Q1020" s="548">
        <v>0</v>
      </c>
      <c r="R1020" s="552">
        <v>0</v>
      </c>
      <c r="S1020" s="548">
        <v>1</v>
      </c>
      <c r="T1020" s="552">
        <v>438</v>
      </c>
      <c r="U1020" s="548">
        <v>9</v>
      </c>
      <c r="V1020" s="552">
        <v>3942</v>
      </c>
      <c r="W1020" s="552">
        <v>0</v>
      </c>
      <c r="X1020" s="552">
        <v>0</v>
      </c>
      <c r="Y1020" s="552">
        <v>1</v>
      </c>
      <c r="Z1020" s="552">
        <v>438</v>
      </c>
      <c r="AA1020" s="552">
        <v>1</v>
      </c>
      <c r="AB1020" s="552">
        <v>438</v>
      </c>
      <c r="AC1020" s="552">
        <v>0</v>
      </c>
      <c r="AD1020" s="552">
        <v>0</v>
      </c>
      <c r="AE1020" s="552">
        <v>0</v>
      </c>
      <c r="AF1020" s="552">
        <v>0</v>
      </c>
      <c r="AG1020" s="552">
        <v>0</v>
      </c>
      <c r="AH1020" s="552">
        <v>0</v>
      </c>
      <c r="AI1020" s="552">
        <v>0</v>
      </c>
      <c r="AJ1020" s="552">
        <v>0</v>
      </c>
    </row>
    <row r="1021" spans="1:36" ht="15.95" customHeight="1">
      <c r="A1021" s="547"/>
      <c r="B1021" s="548">
        <v>630</v>
      </c>
      <c r="C1021" s="549">
        <v>6107</v>
      </c>
      <c r="D1021" s="550"/>
      <c r="E1021" s="550"/>
      <c r="F1021" s="550" t="s">
        <v>221</v>
      </c>
      <c r="G1021" s="550" t="s">
        <v>221</v>
      </c>
      <c r="H1021" s="550" t="s">
        <v>222</v>
      </c>
      <c r="I1021" s="550" t="s">
        <v>10</v>
      </c>
      <c r="J1021" s="550" t="s">
        <v>12514</v>
      </c>
      <c r="K1021" s="551">
        <v>45199</v>
      </c>
      <c r="L1021" s="552">
        <v>123</v>
      </c>
      <c r="M1021" s="552">
        <v>123</v>
      </c>
      <c r="N1021" s="552">
        <v>123</v>
      </c>
      <c r="O1021" s="552">
        <v>5000</v>
      </c>
      <c r="P1021" s="552">
        <v>615000</v>
      </c>
      <c r="Q1021" s="548">
        <v>0</v>
      </c>
      <c r="R1021" s="552">
        <v>0</v>
      </c>
      <c r="S1021" s="548">
        <v>1029</v>
      </c>
      <c r="T1021" s="552">
        <v>126567</v>
      </c>
      <c r="U1021" s="548">
        <v>3971</v>
      </c>
      <c r="V1021" s="552">
        <v>488433</v>
      </c>
      <c r="W1021" s="552">
        <v>10</v>
      </c>
      <c r="X1021" s="552">
        <v>1230</v>
      </c>
      <c r="Y1021" s="552">
        <v>1029</v>
      </c>
      <c r="Z1021" s="552">
        <v>126567</v>
      </c>
      <c r="AA1021" s="552">
        <v>29</v>
      </c>
      <c r="AB1021" s="552">
        <v>3567</v>
      </c>
      <c r="AC1021" s="552">
        <v>1000</v>
      </c>
      <c r="AD1021" s="552">
        <v>123000</v>
      </c>
      <c r="AE1021" s="552">
        <v>0</v>
      </c>
      <c r="AF1021" s="552">
        <v>0</v>
      </c>
      <c r="AG1021" s="552">
        <v>0</v>
      </c>
      <c r="AH1021" s="552">
        <v>0</v>
      </c>
      <c r="AI1021" s="552">
        <v>0</v>
      </c>
      <c r="AJ1021" s="552">
        <v>0</v>
      </c>
    </row>
    <row r="1022" spans="1:36" ht="15.95" customHeight="1">
      <c r="A1022" s="547"/>
      <c r="B1022" s="548">
        <v>631</v>
      </c>
      <c r="C1022" s="549">
        <v>6107</v>
      </c>
      <c r="D1022" s="550"/>
      <c r="E1022" s="550"/>
      <c r="F1022" s="550" t="s">
        <v>221</v>
      </c>
      <c r="G1022" s="550" t="s">
        <v>221</v>
      </c>
      <c r="H1022" s="550" t="s">
        <v>222</v>
      </c>
      <c r="I1022" s="550" t="s">
        <v>10</v>
      </c>
      <c r="J1022" s="550" t="s">
        <v>4870</v>
      </c>
      <c r="K1022" s="551">
        <v>44501</v>
      </c>
      <c r="L1022" s="552">
        <v>123</v>
      </c>
      <c r="M1022" s="552">
        <v>123</v>
      </c>
      <c r="N1022" s="552">
        <v>123</v>
      </c>
      <c r="O1022" s="552">
        <v>577</v>
      </c>
      <c r="P1022" s="552">
        <v>70971</v>
      </c>
      <c r="Q1022" s="548">
        <v>400</v>
      </c>
      <c r="R1022" s="552">
        <v>49200</v>
      </c>
      <c r="S1022" s="548">
        <v>977</v>
      </c>
      <c r="T1022" s="552">
        <v>120171</v>
      </c>
      <c r="U1022" s="548">
        <v>0</v>
      </c>
      <c r="V1022" s="552">
        <v>0</v>
      </c>
      <c r="W1022" s="552">
        <v>2508</v>
      </c>
      <c r="X1022" s="552">
        <v>308484</v>
      </c>
      <c r="Y1022" s="552">
        <v>513</v>
      </c>
      <c r="Z1022" s="552">
        <v>63099</v>
      </c>
      <c r="AA1022" s="552">
        <v>513</v>
      </c>
      <c r="AB1022" s="552">
        <v>63099</v>
      </c>
      <c r="AC1022" s="552">
        <v>0</v>
      </c>
      <c r="AD1022" s="552">
        <v>0</v>
      </c>
      <c r="AE1022" s="552">
        <v>0</v>
      </c>
      <c r="AF1022" s="552">
        <v>0</v>
      </c>
      <c r="AG1022" s="552">
        <v>464</v>
      </c>
      <c r="AH1022" s="552">
        <v>57072</v>
      </c>
      <c r="AI1022" s="552">
        <v>400</v>
      </c>
      <c r="AJ1022" s="552">
        <v>49200</v>
      </c>
    </row>
    <row r="1023" spans="1:36" ht="15.95" customHeight="1">
      <c r="A1023" s="547"/>
      <c r="B1023" s="548">
        <v>632</v>
      </c>
      <c r="C1023" s="549">
        <v>6107</v>
      </c>
      <c r="D1023" s="550"/>
      <c r="E1023" s="550"/>
      <c r="F1023" s="550" t="s">
        <v>221</v>
      </c>
      <c r="G1023" s="550" t="s">
        <v>221</v>
      </c>
      <c r="H1023" s="550" t="s">
        <v>222</v>
      </c>
      <c r="I1023" s="550" t="s">
        <v>10</v>
      </c>
      <c r="J1023" s="550" t="s">
        <v>4871</v>
      </c>
      <c r="K1023" s="551">
        <v>45109</v>
      </c>
      <c r="L1023" s="552">
        <v>123</v>
      </c>
      <c r="M1023" s="552">
        <v>123</v>
      </c>
      <c r="N1023" s="552">
        <v>123</v>
      </c>
      <c r="O1023" s="552">
        <v>100</v>
      </c>
      <c r="P1023" s="552">
        <v>12300</v>
      </c>
      <c r="Q1023" s="548">
        <v>0</v>
      </c>
      <c r="R1023" s="552">
        <v>0</v>
      </c>
      <c r="S1023" s="548">
        <v>100</v>
      </c>
      <c r="T1023" s="552">
        <v>12300</v>
      </c>
      <c r="U1023" s="548">
        <v>0</v>
      </c>
      <c r="V1023" s="552">
        <v>0</v>
      </c>
      <c r="W1023" s="552">
        <v>300</v>
      </c>
      <c r="X1023" s="552">
        <v>36900</v>
      </c>
      <c r="Y1023" s="552">
        <v>0</v>
      </c>
      <c r="Z1023" s="552">
        <v>0</v>
      </c>
      <c r="AA1023" s="552">
        <v>0</v>
      </c>
      <c r="AB1023" s="552">
        <v>0</v>
      </c>
      <c r="AC1023" s="552">
        <v>0</v>
      </c>
      <c r="AD1023" s="552">
        <v>0</v>
      </c>
      <c r="AE1023" s="552">
        <v>0</v>
      </c>
      <c r="AF1023" s="552">
        <v>0</v>
      </c>
      <c r="AG1023" s="552">
        <v>100</v>
      </c>
      <c r="AH1023" s="552">
        <v>12300</v>
      </c>
      <c r="AI1023" s="552">
        <v>0</v>
      </c>
      <c r="AJ1023" s="552">
        <v>0</v>
      </c>
    </row>
    <row r="1024" spans="1:36" ht="15.95" customHeight="1">
      <c r="A1024" s="547"/>
      <c r="B1024" s="548">
        <v>633</v>
      </c>
      <c r="C1024" s="549">
        <v>6108</v>
      </c>
      <c r="D1024" s="550"/>
      <c r="E1024" s="550" t="s">
        <v>4872</v>
      </c>
      <c r="F1024" s="550" t="s">
        <v>4873</v>
      </c>
      <c r="G1024" s="550" t="s">
        <v>221</v>
      </c>
      <c r="H1024" s="550" t="s">
        <v>222</v>
      </c>
      <c r="I1024" s="550" t="s">
        <v>10</v>
      </c>
      <c r="J1024" s="550" t="s">
        <v>11664</v>
      </c>
      <c r="K1024" s="551">
        <v>45177</v>
      </c>
      <c r="L1024" s="552">
        <v>115</v>
      </c>
      <c r="M1024" s="552">
        <v>115</v>
      </c>
      <c r="N1024" s="552">
        <v>115</v>
      </c>
      <c r="O1024" s="552">
        <v>800</v>
      </c>
      <c r="P1024" s="552">
        <v>92000</v>
      </c>
      <c r="Q1024" s="548">
        <v>200</v>
      </c>
      <c r="R1024" s="552">
        <v>23000</v>
      </c>
      <c r="S1024" s="548">
        <v>586</v>
      </c>
      <c r="T1024" s="552">
        <v>67390</v>
      </c>
      <c r="U1024" s="548">
        <v>414</v>
      </c>
      <c r="V1024" s="552">
        <v>47610</v>
      </c>
      <c r="W1024" s="552">
        <v>1520</v>
      </c>
      <c r="X1024" s="552">
        <v>174800</v>
      </c>
      <c r="Y1024" s="552">
        <v>219</v>
      </c>
      <c r="Z1024" s="552">
        <v>25185</v>
      </c>
      <c r="AA1024" s="552">
        <v>0</v>
      </c>
      <c r="AB1024" s="552">
        <v>0</v>
      </c>
      <c r="AC1024" s="552">
        <v>219</v>
      </c>
      <c r="AD1024" s="552">
        <v>25185</v>
      </c>
      <c r="AE1024" s="552">
        <v>0</v>
      </c>
      <c r="AF1024" s="552">
        <v>0</v>
      </c>
      <c r="AG1024" s="552">
        <v>367</v>
      </c>
      <c r="AH1024" s="552">
        <v>42205</v>
      </c>
      <c r="AI1024" s="552">
        <v>0</v>
      </c>
      <c r="AJ1024" s="552">
        <v>0</v>
      </c>
    </row>
    <row r="1025" spans="1:36" ht="15.95" customHeight="1">
      <c r="A1025" s="547"/>
      <c r="B1025" s="548">
        <v>659</v>
      </c>
      <c r="C1025" s="549">
        <v>6111</v>
      </c>
      <c r="D1025" s="550"/>
      <c r="E1025" s="550" t="s">
        <v>4875</v>
      </c>
      <c r="F1025" s="550" t="s">
        <v>4876</v>
      </c>
      <c r="G1025" s="550" t="s">
        <v>224</v>
      </c>
      <c r="H1025" s="550" t="s">
        <v>225</v>
      </c>
      <c r="I1025" s="550" t="s">
        <v>10</v>
      </c>
      <c r="J1025" s="550" t="s">
        <v>3780</v>
      </c>
      <c r="K1025" s="551">
        <v>45001</v>
      </c>
      <c r="L1025" s="552">
        <v>1450</v>
      </c>
      <c r="M1025" s="552">
        <v>1450</v>
      </c>
      <c r="N1025" s="552">
        <v>1450</v>
      </c>
      <c r="O1025" s="552">
        <v>320</v>
      </c>
      <c r="P1025" s="552">
        <v>464000</v>
      </c>
      <c r="Q1025" s="548">
        <v>0</v>
      </c>
      <c r="R1025" s="552">
        <v>0</v>
      </c>
      <c r="S1025" s="548">
        <v>228</v>
      </c>
      <c r="T1025" s="552">
        <v>330600</v>
      </c>
      <c r="U1025" s="548">
        <v>92</v>
      </c>
      <c r="V1025" s="552">
        <v>133400</v>
      </c>
      <c r="W1025" s="552">
        <v>29</v>
      </c>
      <c r="X1025" s="552">
        <v>42050</v>
      </c>
      <c r="Y1025" s="552">
        <v>168</v>
      </c>
      <c r="Z1025" s="552">
        <v>243600</v>
      </c>
      <c r="AA1025" s="552">
        <v>88</v>
      </c>
      <c r="AB1025" s="552">
        <v>127600</v>
      </c>
      <c r="AC1025" s="552">
        <v>80</v>
      </c>
      <c r="AD1025" s="552">
        <v>116000</v>
      </c>
      <c r="AE1025" s="552">
        <v>0</v>
      </c>
      <c r="AF1025" s="552">
        <v>0</v>
      </c>
      <c r="AG1025" s="552">
        <v>60</v>
      </c>
      <c r="AH1025" s="552">
        <v>87000</v>
      </c>
      <c r="AI1025" s="552">
        <v>0</v>
      </c>
      <c r="AJ1025" s="552">
        <v>0</v>
      </c>
    </row>
    <row r="1026" spans="1:36" ht="15.95" customHeight="1">
      <c r="A1026" s="547"/>
      <c r="B1026" s="548">
        <v>660</v>
      </c>
      <c r="C1026" s="549">
        <v>6111</v>
      </c>
      <c r="D1026" s="550"/>
      <c r="E1026" s="550" t="s">
        <v>4875</v>
      </c>
      <c r="F1026" s="550" t="s">
        <v>4876</v>
      </c>
      <c r="G1026" s="550" t="s">
        <v>224</v>
      </c>
      <c r="H1026" s="550" t="s">
        <v>225</v>
      </c>
      <c r="I1026" s="550" t="s">
        <v>10</v>
      </c>
      <c r="J1026" s="550" t="s">
        <v>12515</v>
      </c>
      <c r="K1026" s="551">
        <v>45204</v>
      </c>
      <c r="L1026" s="552">
        <v>1450</v>
      </c>
      <c r="M1026" s="552">
        <v>1450</v>
      </c>
      <c r="N1026" s="552">
        <v>1450</v>
      </c>
      <c r="O1026" s="552"/>
      <c r="P1026" s="552"/>
      <c r="Q1026" s="548">
        <v>200</v>
      </c>
      <c r="R1026" s="552">
        <v>290000</v>
      </c>
      <c r="S1026" s="548">
        <v>0</v>
      </c>
      <c r="T1026" s="552">
        <v>0</v>
      </c>
      <c r="U1026" s="548">
        <v>200</v>
      </c>
      <c r="V1026" s="552">
        <v>290000</v>
      </c>
      <c r="W1026" s="552">
        <v>0</v>
      </c>
      <c r="X1026" s="552">
        <v>0</v>
      </c>
      <c r="Y1026" s="552">
        <v>0</v>
      </c>
      <c r="Z1026" s="552">
        <v>0</v>
      </c>
      <c r="AA1026" s="552">
        <v>0</v>
      </c>
      <c r="AB1026" s="552">
        <v>0</v>
      </c>
      <c r="AC1026" s="552">
        <v>0</v>
      </c>
      <c r="AD1026" s="552">
        <v>0</v>
      </c>
      <c r="AE1026" s="552">
        <v>0</v>
      </c>
      <c r="AF1026" s="552">
        <v>0</v>
      </c>
      <c r="AG1026" s="552">
        <v>0</v>
      </c>
      <c r="AH1026" s="552">
        <v>0</v>
      </c>
      <c r="AI1026" s="552">
        <v>0</v>
      </c>
      <c r="AJ1026" s="552">
        <v>0</v>
      </c>
    </row>
    <row r="1027" spans="1:36" ht="15.95" customHeight="1">
      <c r="A1027" s="547"/>
      <c r="B1027" s="548">
        <v>661</v>
      </c>
      <c r="C1027" s="549">
        <v>6111</v>
      </c>
      <c r="D1027" s="550"/>
      <c r="E1027" s="550" t="s">
        <v>4875</v>
      </c>
      <c r="F1027" s="550" t="s">
        <v>4876</v>
      </c>
      <c r="G1027" s="550" t="s">
        <v>224</v>
      </c>
      <c r="H1027" s="550" t="s">
        <v>225</v>
      </c>
      <c r="I1027" s="550" t="s">
        <v>10</v>
      </c>
      <c r="J1027" s="550" t="s">
        <v>4280</v>
      </c>
      <c r="K1027" s="551">
        <v>44368</v>
      </c>
      <c r="L1027" s="552">
        <v>1450</v>
      </c>
      <c r="M1027" s="552">
        <v>1450</v>
      </c>
      <c r="N1027" s="552">
        <v>1450</v>
      </c>
      <c r="O1027" s="552">
        <v>10</v>
      </c>
      <c r="P1027" s="552">
        <v>14500</v>
      </c>
      <c r="Q1027" s="548">
        <v>0</v>
      </c>
      <c r="R1027" s="552">
        <v>0</v>
      </c>
      <c r="S1027" s="548">
        <v>10</v>
      </c>
      <c r="T1027" s="552">
        <v>14500</v>
      </c>
      <c r="U1027" s="548">
        <v>0</v>
      </c>
      <c r="V1027" s="552">
        <v>0</v>
      </c>
      <c r="W1027" s="552">
        <v>0</v>
      </c>
      <c r="X1027" s="552">
        <v>0</v>
      </c>
      <c r="Y1027" s="552">
        <v>10</v>
      </c>
      <c r="Z1027" s="552">
        <v>14500</v>
      </c>
      <c r="AA1027" s="552">
        <v>10</v>
      </c>
      <c r="AB1027" s="552">
        <v>14500</v>
      </c>
      <c r="AC1027" s="552">
        <v>0</v>
      </c>
      <c r="AD1027" s="552">
        <v>0</v>
      </c>
      <c r="AE1027" s="552">
        <v>0</v>
      </c>
      <c r="AF1027" s="552">
        <v>0</v>
      </c>
      <c r="AG1027" s="552">
        <v>0</v>
      </c>
      <c r="AH1027" s="552">
        <v>0</v>
      </c>
      <c r="AI1027" s="552">
        <v>0</v>
      </c>
      <c r="AJ1027" s="552">
        <v>0</v>
      </c>
    </row>
    <row r="1028" spans="1:36" ht="15.95" customHeight="1">
      <c r="A1028" s="547"/>
      <c r="B1028" s="548">
        <v>662</v>
      </c>
      <c r="C1028" s="549">
        <v>6112</v>
      </c>
      <c r="D1028" s="550"/>
      <c r="E1028" s="550" t="s">
        <v>4877</v>
      </c>
      <c r="F1028" s="550" t="s">
        <v>4876</v>
      </c>
      <c r="G1028" s="550" t="s">
        <v>224</v>
      </c>
      <c r="H1028" s="550" t="s">
        <v>225</v>
      </c>
      <c r="I1028" s="550" t="s">
        <v>10</v>
      </c>
      <c r="J1028" s="550" t="s">
        <v>4878</v>
      </c>
      <c r="K1028" s="551">
        <v>44843</v>
      </c>
      <c r="L1028" s="552">
        <v>1450</v>
      </c>
      <c r="M1028" s="552">
        <v>1450</v>
      </c>
      <c r="N1028" s="552">
        <v>1450</v>
      </c>
      <c r="O1028" s="552">
        <v>75</v>
      </c>
      <c r="P1028" s="552">
        <v>108750</v>
      </c>
      <c r="Q1028" s="548">
        <v>0</v>
      </c>
      <c r="R1028" s="552">
        <v>0</v>
      </c>
      <c r="S1028" s="548">
        <v>75</v>
      </c>
      <c r="T1028" s="552">
        <v>108750</v>
      </c>
      <c r="U1028" s="548">
        <v>0</v>
      </c>
      <c r="V1028" s="552">
        <v>0</v>
      </c>
      <c r="W1028" s="552">
        <v>22</v>
      </c>
      <c r="X1028" s="552">
        <v>31900</v>
      </c>
      <c r="Y1028" s="552">
        <v>75</v>
      </c>
      <c r="Z1028" s="552">
        <v>108750</v>
      </c>
      <c r="AA1028" s="552">
        <v>75</v>
      </c>
      <c r="AB1028" s="552">
        <v>108750</v>
      </c>
      <c r="AC1028" s="552">
        <v>0</v>
      </c>
      <c r="AD1028" s="552">
        <v>0</v>
      </c>
      <c r="AE1028" s="552">
        <v>0</v>
      </c>
      <c r="AF1028" s="552">
        <v>0</v>
      </c>
      <c r="AG1028" s="552">
        <v>0</v>
      </c>
      <c r="AH1028" s="552">
        <v>0</v>
      </c>
      <c r="AI1028" s="552">
        <v>0</v>
      </c>
      <c r="AJ1028" s="552">
        <v>0</v>
      </c>
    </row>
    <row r="1029" spans="1:36" ht="15.95" customHeight="1">
      <c r="A1029" s="547"/>
      <c r="B1029" s="548">
        <v>672</v>
      </c>
      <c r="C1029" s="549">
        <v>6113</v>
      </c>
      <c r="D1029" s="550"/>
      <c r="E1029" s="550" t="s">
        <v>4879</v>
      </c>
      <c r="F1029" s="550" t="s">
        <v>461</v>
      </c>
      <c r="G1029" s="550" t="s">
        <v>353</v>
      </c>
      <c r="H1029" s="550" t="s">
        <v>381</v>
      </c>
      <c r="I1029" s="550" t="s">
        <v>10</v>
      </c>
      <c r="J1029" s="550" t="s">
        <v>4880</v>
      </c>
      <c r="K1029" s="551">
        <v>44500</v>
      </c>
      <c r="L1029" s="552">
        <v>1410</v>
      </c>
      <c r="M1029" s="552">
        <v>1410</v>
      </c>
      <c r="N1029" s="552">
        <v>1410</v>
      </c>
      <c r="O1029" s="552">
        <v>7227</v>
      </c>
      <c r="P1029" s="552">
        <v>10190070</v>
      </c>
      <c r="Q1029" s="548">
        <v>0</v>
      </c>
      <c r="R1029" s="552">
        <v>0</v>
      </c>
      <c r="S1029" s="548">
        <v>7227</v>
      </c>
      <c r="T1029" s="552">
        <v>10190070</v>
      </c>
      <c r="U1029" s="548">
        <v>0</v>
      </c>
      <c r="V1029" s="552">
        <v>0</v>
      </c>
      <c r="W1029" s="552">
        <v>600</v>
      </c>
      <c r="X1029" s="552">
        <v>846000</v>
      </c>
      <c r="Y1029" s="552">
        <v>7227</v>
      </c>
      <c r="Z1029" s="552">
        <v>10190070</v>
      </c>
      <c r="AA1029" s="552">
        <v>6627</v>
      </c>
      <c r="AB1029" s="552">
        <v>9344070</v>
      </c>
      <c r="AC1029" s="552">
        <v>600</v>
      </c>
      <c r="AD1029" s="552">
        <v>846000</v>
      </c>
      <c r="AE1029" s="552">
        <v>0</v>
      </c>
      <c r="AF1029" s="552">
        <v>0</v>
      </c>
      <c r="AG1029" s="552">
        <v>0</v>
      </c>
      <c r="AH1029" s="552">
        <v>0</v>
      </c>
      <c r="AI1029" s="552">
        <v>0</v>
      </c>
      <c r="AJ1029" s="552">
        <v>0</v>
      </c>
    </row>
    <row r="1030" spans="1:36" ht="15.95" customHeight="1">
      <c r="A1030" s="547"/>
      <c r="B1030" s="548">
        <v>673</v>
      </c>
      <c r="C1030" s="549">
        <v>6113</v>
      </c>
      <c r="D1030" s="550"/>
      <c r="E1030" s="550" t="s">
        <v>4879</v>
      </c>
      <c r="F1030" s="550" t="s">
        <v>461</v>
      </c>
      <c r="G1030" s="550" t="s">
        <v>353</v>
      </c>
      <c r="H1030" s="550" t="s">
        <v>381</v>
      </c>
      <c r="I1030" s="550" t="s">
        <v>10</v>
      </c>
      <c r="J1030" s="550" t="s">
        <v>4881</v>
      </c>
      <c r="K1030" s="551">
        <v>44500</v>
      </c>
      <c r="L1030" s="552">
        <v>1410</v>
      </c>
      <c r="M1030" s="552">
        <v>1410</v>
      </c>
      <c r="N1030" s="552">
        <v>1410</v>
      </c>
      <c r="O1030" s="552">
        <v>318</v>
      </c>
      <c r="P1030" s="552">
        <v>448380</v>
      </c>
      <c r="Q1030" s="548">
        <v>2</v>
      </c>
      <c r="R1030" s="552">
        <v>2820</v>
      </c>
      <c r="S1030" s="548">
        <v>320</v>
      </c>
      <c r="T1030" s="552">
        <v>451200</v>
      </c>
      <c r="U1030" s="548">
        <v>0</v>
      </c>
      <c r="V1030" s="552">
        <v>0</v>
      </c>
      <c r="W1030" s="552">
        <v>286</v>
      </c>
      <c r="X1030" s="552">
        <v>403260</v>
      </c>
      <c r="Y1030" s="552">
        <v>320</v>
      </c>
      <c r="Z1030" s="552">
        <v>451200</v>
      </c>
      <c r="AA1030" s="552">
        <v>0</v>
      </c>
      <c r="AB1030" s="552">
        <v>0</v>
      </c>
      <c r="AC1030" s="552">
        <v>320</v>
      </c>
      <c r="AD1030" s="552">
        <v>451200</v>
      </c>
      <c r="AE1030" s="552">
        <v>0</v>
      </c>
      <c r="AF1030" s="552">
        <v>0</v>
      </c>
      <c r="AG1030" s="552">
        <v>0</v>
      </c>
      <c r="AH1030" s="552">
        <v>0</v>
      </c>
      <c r="AI1030" s="552">
        <v>0</v>
      </c>
      <c r="AJ1030" s="552">
        <v>0</v>
      </c>
    </row>
    <row r="1031" spans="1:36" ht="15.95" customHeight="1">
      <c r="A1031" s="547"/>
      <c r="B1031" s="548">
        <v>674</v>
      </c>
      <c r="C1031" s="549">
        <v>6114</v>
      </c>
      <c r="D1031" s="550"/>
      <c r="E1031" s="550"/>
      <c r="F1031" s="550" t="s">
        <v>353</v>
      </c>
      <c r="G1031" s="550" t="s">
        <v>353</v>
      </c>
      <c r="H1031" s="550" t="s">
        <v>381</v>
      </c>
      <c r="I1031" s="550" t="s">
        <v>10</v>
      </c>
      <c r="J1031" s="550" t="s">
        <v>12516</v>
      </c>
      <c r="K1031" s="551">
        <v>45254</v>
      </c>
      <c r="L1031" s="552">
        <v>53</v>
      </c>
      <c r="M1031" s="552">
        <v>53</v>
      </c>
      <c r="N1031" s="552">
        <v>53</v>
      </c>
      <c r="O1031" s="552">
        <v>1500</v>
      </c>
      <c r="P1031" s="552">
        <v>79500</v>
      </c>
      <c r="Q1031" s="548">
        <v>0</v>
      </c>
      <c r="R1031" s="552">
        <v>0</v>
      </c>
      <c r="S1031" s="548">
        <v>1500</v>
      </c>
      <c r="T1031" s="552">
        <v>79500</v>
      </c>
      <c r="U1031" s="548">
        <v>0</v>
      </c>
      <c r="V1031" s="552">
        <v>0</v>
      </c>
      <c r="W1031" s="552">
        <v>9336</v>
      </c>
      <c r="X1031" s="552">
        <v>494808</v>
      </c>
      <c r="Y1031" s="552">
        <v>1500</v>
      </c>
      <c r="Z1031" s="552">
        <v>79500</v>
      </c>
      <c r="AA1031" s="552">
        <v>1500</v>
      </c>
      <c r="AB1031" s="552">
        <v>79500</v>
      </c>
      <c r="AC1031" s="552">
        <v>0</v>
      </c>
      <c r="AD1031" s="552">
        <v>0</v>
      </c>
      <c r="AE1031" s="552">
        <v>0</v>
      </c>
      <c r="AF1031" s="552">
        <v>0</v>
      </c>
      <c r="AG1031" s="552">
        <v>0</v>
      </c>
      <c r="AH1031" s="552">
        <v>0</v>
      </c>
      <c r="AI1031" s="552">
        <v>0</v>
      </c>
      <c r="AJ1031" s="552">
        <v>0</v>
      </c>
    </row>
    <row r="1032" spans="1:36" ht="15.95" customHeight="1">
      <c r="A1032" s="547"/>
      <c r="B1032" s="548">
        <v>675</v>
      </c>
      <c r="C1032" s="549">
        <v>6115</v>
      </c>
      <c r="D1032" s="550"/>
      <c r="E1032" s="550"/>
      <c r="F1032" s="550" t="s">
        <v>353</v>
      </c>
      <c r="G1032" s="550" t="s">
        <v>353</v>
      </c>
      <c r="H1032" s="550" t="s">
        <v>381</v>
      </c>
      <c r="I1032" s="550" t="s">
        <v>10</v>
      </c>
      <c r="J1032" s="550" t="s">
        <v>12517</v>
      </c>
      <c r="K1032" s="551">
        <v>45268</v>
      </c>
      <c r="L1032" s="552">
        <v>53</v>
      </c>
      <c r="M1032" s="552">
        <v>53</v>
      </c>
      <c r="N1032" s="552">
        <v>53</v>
      </c>
      <c r="O1032" s="552">
        <v>15000</v>
      </c>
      <c r="P1032" s="552">
        <v>795000</v>
      </c>
      <c r="Q1032" s="548">
        <v>0</v>
      </c>
      <c r="R1032" s="552">
        <v>0</v>
      </c>
      <c r="S1032" s="548">
        <v>14996</v>
      </c>
      <c r="T1032" s="552">
        <v>794788</v>
      </c>
      <c r="U1032" s="548">
        <v>4</v>
      </c>
      <c r="V1032" s="552">
        <v>212</v>
      </c>
      <c r="W1032" s="552">
        <v>3522</v>
      </c>
      <c r="X1032" s="552">
        <v>186666</v>
      </c>
      <c r="Y1032" s="552">
        <v>14996</v>
      </c>
      <c r="Z1032" s="552">
        <v>794788</v>
      </c>
      <c r="AA1032" s="552">
        <v>3886</v>
      </c>
      <c r="AB1032" s="552">
        <v>205958</v>
      </c>
      <c r="AC1032" s="552">
        <v>11110</v>
      </c>
      <c r="AD1032" s="552">
        <v>588830</v>
      </c>
      <c r="AE1032" s="552">
        <v>0</v>
      </c>
      <c r="AF1032" s="552">
        <v>0</v>
      </c>
      <c r="AG1032" s="552">
        <v>0</v>
      </c>
      <c r="AH1032" s="552">
        <v>0</v>
      </c>
      <c r="AI1032" s="552">
        <v>0</v>
      </c>
      <c r="AJ1032" s="552">
        <v>0</v>
      </c>
    </row>
    <row r="1033" spans="1:36" ht="15.95" customHeight="1">
      <c r="A1033" s="547"/>
      <c r="B1033" s="548">
        <v>676</v>
      </c>
      <c r="C1033" s="549">
        <v>6116</v>
      </c>
      <c r="D1033" s="550"/>
      <c r="E1033" s="550"/>
      <c r="F1033" s="550" t="s">
        <v>4882</v>
      </c>
      <c r="G1033" s="550" t="s">
        <v>265</v>
      </c>
      <c r="H1033" s="550" t="s">
        <v>390</v>
      </c>
      <c r="I1033" s="550" t="s">
        <v>10</v>
      </c>
      <c r="J1033" s="550" t="s">
        <v>4764</v>
      </c>
      <c r="K1033" s="551">
        <v>44324</v>
      </c>
      <c r="L1033" s="552">
        <v>900</v>
      </c>
      <c r="M1033" s="552">
        <v>900</v>
      </c>
      <c r="N1033" s="552">
        <v>900</v>
      </c>
      <c r="O1033" s="552">
        <v>190</v>
      </c>
      <c r="P1033" s="552">
        <v>171000</v>
      </c>
      <c r="Q1033" s="548">
        <v>0</v>
      </c>
      <c r="R1033" s="552">
        <v>0</v>
      </c>
      <c r="S1033" s="548">
        <v>190</v>
      </c>
      <c r="T1033" s="552">
        <v>171000</v>
      </c>
      <c r="U1033" s="548">
        <v>0</v>
      </c>
      <c r="V1033" s="552">
        <v>0</v>
      </c>
      <c r="W1033" s="552">
        <v>0</v>
      </c>
      <c r="X1033" s="552">
        <v>0</v>
      </c>
      <c r="Y1033" s="552">
        <v>190</v>
      </c>
      <c r="Z1033" s="552">
        <v>171000</v>
      </c>
      <c r="AA1033" s="552">
        <v>182</v>
      </c>
      <c r="AB1033" s="552">
        <v>163800</v>
      </c>
      <c r="AC1033" s="552">
        <v>8</v>
      </c>
      <c r="AD1033" s="552">
        <v>7200</v>
      </c>
      <c r="AE1033" s="552">
        <v>0</v>
      </c>
      <c r="AF1033" s="552">
        <v>0</v>
      </c>
      <c r="AG1033" s="552">
        <v>0</v>
      </c>
      <c r="AH1033" s="552">
        <v>0</v>
      </c>
      <c r="AI1033" s="552">
        <v>0</v>
      </c>
      <c r="AJ1033" s="552">
        <v>0</v>
      </c>
    </row>
    <row r="1034" spans="1:36" ht="15.95" customHeight="1">
      <c r="A1034" s="547"/>
      <c r="B1034" s="548">
        <v>677</v>
      </c>
      <c r="C1034" s="549">
        <v>6116</v>
      </c>
      <c r="D1034" s="550"/>
      <c r="E1034" s="550"/>
      <c r="F1034" s="550" t="s">
        <v>4882</v>
      </c>
      <c r="G1034" s="550" t="s">
        <v>265</v>
      </c>
      <c r="H1034" s="550" t="s">
        <v>390</v>
      </c>
      <c r="I1034" s="550" t="s">
        <v>10</v>
      </c>
      <c r="J1034" s="550" t="s">
        <v>4607</v>
      </c>
      <c r="K1034" s="551">
        <v>45020</v>
      </c>
      <c r="L1034" s="552">
        <v>900</v>
      </c>
      <c r="M1034" s="552">
        <v>900</v>
      </c>
      <c r="N1034" s="552">
        <v>900</v>
      </c>
      <c r="O1034" s="552">
        <v>6010</v>
      </c>
      <c r="P1034" s="552">
        <v>5409000</v>
      </c>
      <c r="Q1034" s="548">
        <v>0</v>
      </c>
      <c r="R1034" s="552">
        <v>0</v>
      </c>
      <c r="S1034" s="548">
        <v>310</v>
      </c>
      <c r="T1034" s="552">
        <v>279000</v>
      </c>
      <c r="U1034" s="548">
        <v>5700</v>
      </c>
      <c r="V1034" s="552">
        <v>5130000</v>
      </c>
      <c r="W1034" s="552">
        <v>39</v>
      </c>
      <c r="X1034" s="552">
        <v>35100</v>
      </c>
      <c r="Y1034" s="552">
        <v>220</v>
      </c>
      <c r="Z1034" s="552">
        <v>198000</v>
      </c>
      <c r="AA1034" s="552">
        <v>217</v>
      </c>
      <c r="AB1034" s="552">
        <v>195300</v>
      </c>
      <c r="AC1034" s="552">
        <v>3</v>
      </c>
      <c r="AD1034" s="552">
        <v>2700</v>
      </c>
      <c r="AE1034" s="552">
        <v>0</v>
      </c>
      <c r="AF1034" s="552">
        <v>0</v>
      </c>
      <c r="AG1034" s="552">
        <v>90</v>
      </c>
      <c r="AH1034" s="552">
        <v>81000</v>
      </c>
      <c r="AI1034" s="552">
        <v>0</v>
      </c>
      <c r="AJ1034" s="552">
        <v>0</v>
      </c>
    </row>
    <row r="1035" spans="1:36" ht="15.95" customHeight="1">
      <c r="A1035" s="547"/>
      <c r="B1035" s="548">
        <v>678</v>
      </c>
      <c r="C1035" s="549">
        <v>6116</v>
      </c>
      <c r="D1035" s="550"/>
      <c r="E1035" s="550"/>
      <c r="F1035" s="550" t="s">
        <v>4882</v>
      </c>
      <c r="G1035" s="550" t="s">
        <v>265</v>
      </c>
      <c r="H1035" s="550" t="s">
        <v>390</v>
      </c>
      <c r="I1035" s="550" t="s">
        <v>10</v>
      </c>
      <c r="J1035" s="550" t="s">
        <v>4883</v>
      </c>
      <c r="K1035" s="551">
        <v>44467</v>
      </c>
      <c r="L1035" s="552">
        <v>900</v>
      </c>
      <c r="M1035" s="552">
        <v>900</v>
      </c>
      <c r="N1035" s="552">
        <v>900</v>
      </c>
      <c r="O1035" s="552">
        <v>20</v>
      </c>
      <c r="P1035" s="552">
        <v>18000</v>
      </c>
      <c r="Q1035" s="548">
        <v>0</v>
      </c>
      <c r="R1035" s="552">
        <v>0</v>
      </c>
      <c r="S1035" s="548">
        <v>20</v>
      </c>
      <c r="T1035" s="552">
        <v>18000</v>
      </c>
      <c r="U1035" s="548">
        <v>0</v>
      </c>
      <c r="V1035" s="552">
        <v>0</v>
      </c>
      <c r="W1035" s="552">
        <v>0</v>
      </c>
      <c r="X1035" s="552">
        <v>0</v>
      </c>
      <c r="Y1035" s="552">
        <v>20</v>
      </c>
      <c r="Z1035" s="552">
        <v>18000</v>
      </c>
      <c r="AA1035" s="552">
        <v>20</v>
      </c>
      <c r="AB1035" s="552">
        <v>18000</v>
      </c>
      <c r="AC1035" s="552">
        <v>0</v>
      </c>
      <c r="AD1035" s="552">
        <v>0</v>
      </c>
      <c r="AE1035" s="552">
        <v>0</v>
      </c>
      <c r="AF1035" s="552">
        <v>0</v>
      </c>
      <c r="AG1035" s="552">
        <v>0</v>
      </c>
      <c r="AH1035" s="552">
        <v>0</v>
      </c>
      <c r="AI1035" s="552">
        <v>0</v>
      </c>
      <c r="AJ1035" s="552">
        <v>0</v>
      </c>
    </row>
    <row r="1036" spans="1:36" ht="15.95" customHeight="1">
      <c r="A1036" s="547"/>
      <c r="B1036" s="548">
        <v>683</v>
      </c>
      <c r="C1036" s="549">
        <v>6118</v>
      </c>
      <c r="D1036" s="550"/>
      <c r="E1036" s="550" t="s">
        <v>4884</v>
      </c>
      <c r="F1036" s="550" t="s">
        <v>386</v>
      </c>
      <c r="G1036" s="550" t="s">
        <v>265</v>
      </c>
      <c r="H1036" s="550" t="s">
        <v>387</v>
      </c>
      <c r="I1036" s="550" t="s">
        <v>10</v>
      </c>
      <c r="J1036" s="550" t="s">
        <v>12518</v>
      </c>
      <c r="K1036" s="551">
        <v>45040</v>
      </c>
      <c r="L1036" s="552">
        <v>677</v>
      </c>
      <c r="M1036" s="552">
        <v>677</v>
      </c>
      <c r="N1036" s="552">
        <v>677</v>
      </c>
      <c r="O1036" s="552">
        <v>5000</v>
      </c>
      <c r="P1036" s="552">
        <v>3385000</v>
      </c>
      <c r="Q1036" s="548">
        <v>335</v>
      </c>
      <c r="R1036" s="552">
        <v>226795</v>
      </c>
      <c r="S1036" s="548">
        <v>2106</v>
      </c>
      <c r="T1036" s="552">
        <v>1425762</v>
      </c>
      <c r="U1036" s="548">
        <v>3229</v>
      </c>
      <c r="V1036" s="552">
        <v>2186033</v>
      </c>
      <c r="W1036" s="552">
        <v>255</v>
      </c>
      <c r="X1036" s="552">
        <v>172635</v>
      </c>
      <c r="Y1036" s="552">
        <v>878</v>
      </c>
      <c r="Z1036" s="552">
        <v>594406</v>
      </c>
      <c r="AA1036" s="552">
        <v>0</v>
      </c>
      <c r="AB1036" s="552">
        <v>0</v>
      </c>
      <c r="AC1036" s="552">
        <v>878</v>
      </c>
      <c r="AD1036" s="552">
        <v>594406</v>
      </c>
      <c r="AE1036" s="552">
        <v>0</v>
      </c>
      <c r="AF1036" s="552">
        <v>0</v>
      </c>
      <c r="AG1036" s="552">
        <v>1228</v>
      </c>
      <c r="AH1036" s="552">
        <v>831356</v>
      </c>
      <c r="AI1036" s="552">
        <v>0</v>
      </c>
      <c r="AJ1036" s="552">
        <v>0</v>
      </c>
    </row>
    <row r="1037" spans="1:36" ht="15.95" customHeight="1">
      <c r="A1037" s="547"/>
      <c r="B1037" s="548">
        <v>684</v>
      </c>
      <c r="C1037" s="549">
        <v>6119</v>
      </c>
      <c r="D1037" s="550"/>
      <c r="E1037" s="550" t="s">
        <v>4885</v>
      </c>
      <c r="F1037" s="550" t="s">
        <v>389</v>
      </c>
      <c r="G1037" s="550" t="s">
        <v>265</v>
      </c>
      <c r="H1037" s="550" t="s">
        <v>390</v>
      </c>
      <c r="I1037" s="550" t="s">
        <v>10</v>
      </c>
      <c r="J1037" s="550" t="s">
        <v>12519</v>
      </c>
      <c r="K1037" s="551">
        <v>45235</v>
      </c>
      <c r="L1037" s="552">
        <v>230</v>
      </c>
      <c r="M1037" s="552">
        <v>230</v>
      </c>
      <c r="N1037" s="552">
        <v>230</v>
      </c>
      <c r="O1037" s="552">
        <v>7500</v>
      </c>
      <c r="P1037" s="552">
        <v>1725000</v>
      </c>
      <c r="Q1037" s="548">
        <v>0</v>
      </c>
      <c r="R1037" s="552">
        <v>0</v>
      </c>
      <c r="S1037" s="548">
        <v>0</v>
      </c>
      <c r="T1037" s="552">
        <v>0</v>
      </c>
      <c r="U1037" s="548">
        <v>7500</v>
      </c>
      <c r="V1037" s="552">
        <v>1725000</v>
      </c>
      <c r="W1037" s="552">
        <v>0</v>
      </c>
      <c r="X1037" s="552">
        <v>0</v>
      </c>
      <c r="Y1037" s="552">
        <v>0</v>
      </c>
      <c r="Z1037" s="552">
        <v>0</v>
      </c>
      <c r="AA1037" s="552">
        <v>0</v>
      </c>
      <c r="AB1037" s="552">
        <v>0</v>
      </c>
      <c r="AC1037" s="552">
        <v>0</v>
      </c>
      <c r="AD1037" s="552">
        <v>0</v>
      </c>
      <c r="AE1037" s="552">
        <v>0</v>
      </c>
      <c r="AF1037" s="552">
        <v>0</v>
      </c>
      <c r="AG1037" s="552">
        <v>0</v>
      </c>
      <c r="AH1037" s="552">
        <v>0</v>
      </c>
      <c r="AI1037" s="552">
        <v>0</v>
      </c>
      <c r="AJ1037" s="552">
        <v>0</v>
      </c>
    </row>
    <row r="1038" spans="1:36" ht="15.95" customHeight="1">
      <c r="A1038" s="547"/>
      <c r="B1038" s="548">
        <v>685</v>
      </c>
      <c r="C1038" s="549">
        <v>6119</v>
      </c>
      <c r="D1038" s="550"/>
      <c r="E1038" s="550" t="s">
        <v>4885</v>
      </c>
      <c r="F1038" s="550" t="s">
        <v>389</v>
      </c>
      <c r="G1038" s="550" t="s">
        <v>265</v>
      </c>
      <c r="H1038" s="550" t="s">
        <v>390</v>
      </c>
      <c r="I1038" s="550" t="s">
        <v>10</v>
      </c>
      <c r="J1038" s="550" t="s">
        <v>4886</v>
      </c>
      <c r="K1038" s="551">
        <v>45043</v>
      </c>
      <c r="L1038" s="552">
        <v>230</v>
      </c>
      <c r="M1038" s="552">
        <v>230</v>
      </c>
      <c r="N1038" s="552">
        <v>230</v>
      </c>
      <c r="O1038" s="552">
        <v>3000</v>
      </c>
      <c r="P1038" s="552">
        <v>690000</v>
      </c>
      <c r="Q1038" s="548">
        <v>0</v>
      </c>
      <c r="R1038" s="552">
        <v>0</v>
      </c>
      <c r="S1038" s="548">
        <v>1360</v>
      </c>
      <c r="T1038" s="552">
        <v>312800</v>
      </c>
      <c r="U1038" s="548">
        <v>1640</v>
      </c>
      <c r="V1038" s="552">
        <v>377200</v>
      </c>
      <c r="W1038" s="552">
        <v>1200</v>
      </c>
      <c r="X1038" s="552">
        <v>276000</v>
      </c>
      <c r="Y1038" s="552">
        <v>1200</v>
      </c>
      <c r="Z1038" s="552">
        <v>276000</v>
      </c>
      <c r="AA1038" s="552">
        <v>0</v>
      </c>
      <c r="AB1038" s="552">
        <v>0</v>
      </c>
      <c r="AC1038" s="552">
        <v>1200</v>
      </c>
      <c r="AD1038" s="552">
        <v>276000</v>
      </c>
      <c r="AE1038" s="552">
        <v>0</v>
      </c>
      <c r="AF1038" s="552">
        <v>0</v>
      </c>
      <c r="AG1038" s="552">
        <v>160</v>
      </c>
      <c r="AH1038" s="552">
        <v>36800</v>
      </c>
      <c r="AI1038" s="552">
        <v>0</v>
      </c>
      <c r="AJ1038" s="552">
        <v>0</v>
      </c>
    </row>
    <row r="1039" spans="1:36" ht="15.95" customHeight="1">
      <c r="A1039" s="547"/>
      <c r="B1039" s="548">
        <v>686</v>
      </c>
      <c r="C1039" s="549">
        <v>6119</v>
      </c>
      <c r="D1039" s="550"/>
      <c r="E1039" s="550" t="s">
        <v>4885</v>
      </c>
      <c r="F1039" s="550" t="s">
        <v>389</v>
      </c>
      <c r="G1039" s="550" t="s">
        <v>265</v>
      </c>
      <c r="H1039" s="550" t="s">
        <v>390</v>
      </c>
      <c r="I1039" s="550" t="s">
        <v>10</v>
      </c>
      <c r="J1039" s="550" t="s">
        <v>4887</v>
      </c>
      <c r="K1039" s="551">
        <v>45010</v>
      </c>
      <c r="L1039" s="552">
        <v>230</v>
      </c>
      <c r="M1039" s="552">
        <v>230</v>
      </c>
      <c r="N1039" s="552">
        <v>230</v>
      </c>
      <c r="O1039" s="552">
        <v>2689</v>
      </c>
      <c r="P1039" s="552">
        <v>618470</v>
      </c>
      <c r="Q1039" s="548">
        <v>0</v>
      </c>
      <c r="R1039" s="552">
        <v>0</v>
      </c>
      <c r="S1039" s="548">
        <v>2351</v>
      </c>
      <c r="T1039" s="552">
        <v>540730</v>
      </c>
      <c r="U1039" s="548">
        <v>338</v>
      </c>
      <c r="V1039" s="552">
        <v>77740</v>
      </c>
      <c r="W1039" s="552">
        <v>9507</v>
      </c>
      <c r="X1039" s="552">
        <v>2186610</v>
      </c>
      <c r="Y1039" s="552">
        <v>2351</v>
      </c>
      <c r="Z1039" s="552">
        <v>540730</v>
      </c>
      <c r="AA1039" s="552">
        <v>1551</v>
      </c>
      <c r="AB1039" s="552">
        <v>356730</v>
      </c>
      <c r="AC1039" s="552">
        <v>800</v>
      </c>
      <c r="AD1039" s="552">
        <v>184000</v>
      </c>
      <c r="AE1039" s="552">
        <v>0</v>
      </c>
      <c r="AF1039" s="552">
        <v>0</v>
      </c>
      <c r="AG1039" s="552">
        <v>0</v>
      </c>
      <c r="AH1039" s="552">
        <v>0</v>
      </c>
      <c r="AI1039" s="552">
        <v>0</v>
      </c>
      <c r="AJ1039" s="552">
        <v>0</v>
      </c>
    </row>
    <row r="1040" spans="1:36" ht="15.95" customHeight="1">
      <c r="A1040" s="547"/>
      <c r="B1040" s="548">
        <v>687</v>
      </c>
      <c r="C1040" s="549">
        <v>6119</v>
      </c>
      <c r="D1040" s="550"/>
      <c r="E1040" s="550" t="s">
        <v>4885</v>
      </c>
      <c r="F1040" s="550" t="s">
        <v>389</v>
      </c>
      <c r="G1040" s="550" t="s">
        <v>265</v>
      </c>
      <c r="H1040" s="550" t="s">
        <v>390</v>
      </c>
      <c r="I1040" s="550" t="s">
        <v>10</v>
      </c>
      <c r="J1040" s="550" t="s">
        <v>12520</v>
      </c>
      <c r="K1040" s="551">
        <v>45244</v>
      </c>
      <c r="L1040" s="552">
        <v>230</v>
      </c>
      <c r="M1040" s="552">
        <v>230</v>
      </c>
      <c r="N1040" s="552">
        <v>230</v>
      </c>
      <c r="O1040" s="552">
        <v>25000</v>
      </c>
      <c r="P1040" s="552">
        <v>5750000</v>
      </c>
      <c r="Q1040" s="548">
        <v>0</v>
      </c>
      <c r="R1040" s="552">
        <v>0</v>
      </c>
      <c r="S1040" s="548">
        <v>0</v>
      </c>
      <c r="T1040" s="552">
        <v>0</v>
      </c>
      <c r="U1040" s="548">
        <v>25000</v>
      </c>
      <c r="V1040" s="552">
        <v>5750000</v>
      </c>
      <c r="W1040" s="552">
        <v>0</v>
      </c>
      <c r="X1040" s="552">
        <v>0</v>
      </c>
      <c r="Y1040" s="552">
        <v>0</v>
      </c>
      <c r="Z1040" s="552">
        <v>0</v>
      </c>
      <c r="AA1040" s="552">
        <v>0</v>
      </c>
      <c r="AB1040" s="552">
        <v>0</v>
      </c>
      <c r="AC1040" s="552">
        <v>0</v>
      </c>
      <c r="AD1040" s="552">
        <v>0</v>
      </c>
      <c r="AE1040" s="552">
        <v>0</v>
      </c>
      <c r="AF1040" s="552">
        <v>0</v>
      </c>
      <c r="AG1040" s="552">
        <v>0</v>
      </c>
      <c r="AH1040" s="552">
        <v>0</v>
      </c>
      <c r="AI1040" s="552">
        <v>0</v>
      </c>
      <c r="AJ1040" s="552">
        <v>0</v>
      </c>
    </row>
    <row r="1041" spans="1:36" ht="15.95" customHeight="1">
      <c r="A1041" s="547"/>
      <c r="B1041" s="548">
        <v>688</v>
      </c>
      <c r="C1041" s="549">
        <v>6120</v>
      </c>
      <c r="D1041" s="550"/>
      <c r="E1041" s="550" t="s">
        <v>4888</v>
      </c>
      <c r="F1041" s="550" t="s">
        <v>442</v>
      </c>
      <c r="G1041" s="550" t="s">
        <v>442</v>
      </c>
      <c r="H1041" s="550" t="s">
        <v>272</v>
      </c>
      <c r="I1041" s="550" t="s">
        <v>10</v>
      </c>
      <c r="J1041" s="550" t="s">
        <v>4553</v>
      </c>
      <c r="K1041" s="551">
        <v>45102</v>
      </c>
      <c r="L1041" s="552">
        <v>92</v>
      </c>
      <c r="M1041" s="552">
        <v>92</v>
      </c>
      <c r="N1041" s="552">
        <v>92</v>
      </c>
      <c r="O1041" s="552">
        <v>600</v>
      </c>
      <c r="P1041" s="552">
        <v>55200</v>
      </c>
      <c r="Q1041" s="548">
        <v>0</v>
      </c>
      <c r="R1041" s="552">
        <v>0</v>
      </c>
      <c r="S1041" s="548">
        <v>600</v>
      </c>
      <c r="T1041" s="552">
        <v>55200</v>
      </c>
      <c r="U1041" s="548">
        <v>0</v>
      </c>
      <c r="V1041" s="552">
        <v>0</v>
      </c>
      <c r="W1041" s="552">
        <v>539</v>
      </c>
      <c r="X1041" s="552">
        <v>49588</v>
      </c>
      <c r="Y1041" s="552">
        <v>600</v>
      </c>
      <c r="Z1041" s="552">
        <v>55200</v>
      </c>
      <c r="AA1041" s="552">
        <v>600</v>
      </c>
      <c r="AB1041" s="552">
        <v>55200</v>
      </c>
      <c r="AC1041" s="552">
        <v>0</v>
      </c>
      <c r="AD1041" s="552">
        <v>0</v>
      </c>
      <c r="AE1041" s="552">
        <v>0</v>
      </c>
      <c r="AF1041" s="552">
        <v>0</v>
      </c>
      <c r="AG1041" s="552">
        <v>0</v>
      </c>
      <c r="AH1041" s="552">
        <v>0</v>
      </c>
      <c r="AI1041" s="552">
        <v>0</v>
      </c>
      <c r="AJ1041" s="552">
        <v>0</v>
      </c>
    </row>
    <row r="1042" spans="1:36" ht="15.95" customHeight="1">
      <c r="A1042" s="547"/>
      <c r="B1042" s="548">
        <v>689</v>
      </c>
      <c r="C1042" s="549">
        <v>6120</v>
      </c>
      <c r="D1042" s="550"/>
      <c r="E1042" s="550" t="s">
        <v>4888</v>
      </c>
      <c r="F1042" s="550" t="s">
        <v>442</v>
      </c>
      <c r="G1042" s="550" t="s">
        <v>442</v>
      </c>
      <c r="H1042" s="550" t="s">
        <v>272</v>
      </c>
      <c r="I1042" s="550" t="s">
        <v>10</v>
      </c>
      <c r="J1042" s="550" t="s">
        <v>12521</v>
      </c>
      <c r="K1042" s="551">
        <v>45103</v>
      </c>
      <c r="L1042" s="552">
        <v>92</v>
      </c>
      <c r="M1042" s="552">
        <v>92</v>
      </c>
      <c r="N1042" s="552">
        <v>92</v>
      </c>
      <c r="O1042" s="552">
        <v>3500</v>
      </c>
      <c r="P1042" s="552">
        <v>322000</v>
      </c>
      <c r="Q1042" s="548">
        <v>0</v>
      </c>
      <c r="R1042" s="552">
        <v>0</v>
      </c>
      <c r="S1042" s="548">
        <v>1755</v>
      </c>
      <c r="T1042" s="552">
        <v>161460</v>
      </c>
      <c r="U1042" s="548">
        <v>1745</v>
      </c>
      <c r="V1042" s="552">
        <v>160540</v>
      </c>
      <c r="W1042" s="552">
        <v>0</v>
      </c>
      <c r="X1042" s="552">
        <v>0</v>
      </c>
      <c r="Y1042" s="552">
        <v>1755</v>
      </c>
      <c r="Z1042" s="552">
        <v>161460</v>
      </c>
      <c r="AA1042" s="552">
        <v>1755</v>
      </c>
      <c r="AB1042" s="552">
        <v>161460</v>
      </c>
      <c r="AC1042" s="552">
        <v>0</v>
      </c>
      <c r="AD1042" s="552">
        <v>0</v>
      </c>
      <c r="AE1042" s="552">
        <v>0</v>
      </c>
      <c r="AF1042" s="552">
        <v>0</v>
      </c>
      <c r="AG1042" s="552">
        <v>0</v>
      </c>
      <c r="AH1042" s="552">
        <v>0</v>
      </c>
      <c r="AI1042" s="552">
        <v>0</v>
      </c>
      <c r="AJ1042" s="552">
        <v>0</v>
      </c>
    </row>
    <row r="1043" spans="1:36" ht="15.95" customHeight="1">
      <c r="A1043" s="547"/>
      <c r="B1043" s="548">
        <v>690</v>
      </c>
      <c r="C1043" s="549">
        <v>6120</v>
      </c>
      <c r="D1043" s="550"/>
      <c r="E1043" s="550" t="s">
        <v>4888</v>
      </c>
      <c r="F1043" s="550" t="s">
        <v>442</v>
      </c>
      <c r="G1043" s="550" t="s">
        <v>442</v>
      </c>
      <c r="H1043" s="550" t="s">
        <v>272</v>
      </c>
      <c r="I1043" s="550" t="s">
        <v>10</v>
      </c>
      <c r="J1043" s="550" t="s">
        <v>4889</v>
      </c>
      <c r="K1043" s="551">
        <v>44891</v>
      </c>
      <c r="L1043" s="552">
        <v>92</v>
      </c>
      <c r="M1043" s="552">
        <v>92</v>
      </c>
      <c r="N1043" s="552">
        <v>92</v>
      </c>
      <c r="O1043" s="552">
        <v>189</v>
      </c>
      <c r="P1043" s="552">
        <v>17388</v>
      </c>
      <c r="Q1043" s="548">
        <v>0</v>
      </c>
      <c r="R1043" s="552">
        <v>0</v>
      </c>
      <c r="S1043" s="548">
        <v>129</v>
      </c>
      <c r="T1043" s="552">
        <v>11868</v>
      </c>
      <c r="U1043" s="548">
        <v>60</v>
      </c>
      <c r="V1043" s="552">
        <v>5520</v>
      </c>
      <c r="W1043" s="552">
        <v>223</v>
      </c>
      <c r="X1043" s="552">
        <v>20516</v>
      </c>
      <c r="Y1043" s="552">
        <v>129</v>
      </c>
      <c r="Z1043" s="552">
        <v>11868</v>
      </c>
      <c r="AA1043" s="552">
        <v>129</v>
      </c>
      <c r="AB1043" s="552">
        <v>11868</v>
      </c>
      <c r="AC1043" s="552">
        <v>0</v>
      </c>
      <c r="AD1043" s="552">
        <v>0</v>
      </c>
      <c r="AE1043" s="552">
        <v>0</v>
      </c>
      <c r="AF1043" s="552">
        <v>0</v>
      </c>
      <c r="AG1043" s="552">
        <v>0</v>
      </c>
      <c r="AH1043" s="552">
        <v>0</v>
      </c>
      <c r="AI1043" s="552">
        <v>0</v>
      </c>
      <c r="AJ1043" s="552">
        <v>0</v>
      </c>
    </row>
    <row r="1044" spans="1:36" ht="15.95" customHeight="1">
      <c r="A1044" s="547"/>
      <c r="B1044" s="548">
        <v>691</v>
      </c>
      <c r="C1044" s="549">
        <v>6121</v>
      </c>
      <c r="D1044" s="550"/>
      <c r="E1044" s="550" t="s">
        <v>4890</v>
      </c>
      <c r="F1044" s="550" t="s">
        <v>4891</v>
      </c>
      <c r="G1044" s="550" t="s">
        <v>442</v>
      </c>
      <c r="H1044" s="550" t="s">
        <v>444</v>
      </c>
      <c r="I1044" s="550" t="s">
        <v>18</v>
      </c>
      <c r="J1044" s="550" t="s">
        <v>12522</v>
      </c>
      <c r="K1044" s="551">
        <v>45158</v>
      </c>
      <c r="L1044" s="552">
        <v>8820</v>
      </c>
      <c r="M1044" s="552">
        <v>8820</v>
      </c>
      <c r="N1044" s="552">
        <v>8820</v>
      </c>
      <c r="O1044" s="552">
        <v>50</v>
      </c>
      <c r="P1044" s="552">
        <v>441000</v>
      </c>
      <c r="Q1044" s="548">
        <v>0</v>
      </c>
      <c r="R1044" s="552">
        <v>0</v>
      </c>
      <c r="S1044" s="548">
        <v>0</v>
      </c>
      <c r="T1044" s="552">
        <v>0</v>
      </c>
      <c r="U1044" s="548">
        <v>50</v>
      </c>
      <c r="V1044" s="552">
        <v>441000</v>
      </c>
      <c r="W1044" s="552">
        <v>0</v>
      </c>
      <c r="X1044" s="552">
        <v>0</v>
      </c>
      <c r="Y1044" s="552">
        <v>0</v>
      </c>
      <c r="Z1044" s="552">
        <v>0</v>
      </c>
      <c r="AA1044" s="552">
        <v>0</v>
      </c>
      <c r="AB1044" s="552">
        <v>0</v>
      </c>
      <c r="AC1044" s="552">
        <v>0</v>
      </c>
      <c r="AD1044" s="552">
        <v>0</v>
      </c>
      <c r="AE1044" s="552">
        <v>0</v>
      </c>
      <c r="AF1044" s="552">
        <v>0</v>
      </c>
      <c r="AG1044" s="552">
        <v>0</v>
      </c>
      <c r="AH1044" s="552">
        <v>0</v>
      </c>
      <c r="AI1044" s="552">
        <v>0</v>
      </c>
      <c r="AJ1044" s="552">
        <v>0</v>
      </c>
    </row>
    <row r="1045" spans="1:36" ht="15.95" customHeight="1">
      <c r="A1045" s="547"/>
      <c r="B1045" s="548">
        <v>692</v>
      </c>
      <c r="C1045" s="549">
        <v>6121</v>
      </c>
      <c r="D1045" s="550"/>
      <c r="E1045" s="550" t="s">
        <v>4890</v>
      </c>
      <c r="F1045" s="550" t="s">
        <v>4891</v>
      </c>
      <c r="G1045" s="550" t="s">
        <v>442</v>
      </c>
      <c r="H1045" s="550" t="s">
        <v>444</v>
      </c>
      <c r="I1045" s="550" t="s">
        <v>18</v>
      </c>
      <c r="J1045" s="550" t="s">
        <v>4892</v>
      </c>
      <c r="K1045" s="551">
        <v>44372</v>
      </c>
      <c r="L1045" s="552">
        <v>8820</v>
      </c>
      <c r="M1045" s="552">
        <v>8820</v>
      </c>
      <c r="N1045" s="552">
        <v>8820</v>
      </c>
      <c r="O1045" s="552">
        <v>80</v>
      </c>
      <c r="P1045" s="552">
        <v>705600</v>
      </c>
      <c r="Q1045" s="548">
        <v>0</v>
      </c>
      <c r="R1045" s="552">
        <v>0</v>
      </c>
      <c r="S1045" s="548">
        <v>80</v>
      </c>
      <c r="T1045" s="552">
        <v>705600</v>
      </c>
      <c r="U1045" s="548">
        <v>0</v>
      </c>
      <c r="V1045" s="552">
        <v>0</v>
      </c>
      <c r="W1045" s="552">
        <v>0</v>
      </c>
      <c r="X1045" s="552">
        <v>0</v>
      </c>
      <c r="Y1045" s="552">
        <v>10</v>
      </c>
      <c r="Z1045" s="552">
        <v>88200</v>
      </c>
      <c r="AA1045" s="552">
        <v>0</v>
      </c>
      <c r="AB1045" s="552">
        <v>0</v>
      </c>
      <c r="AC1045" s="552">
        <v>10</v>
      </c>
      <c r="AD1045" s="552">
        <v>88200</v>
      </c>
      <c r="AE1045" s="552">
        <v>0</v>
      </c>
      <c r="AF1045" s="552">
        <v>0</v>
      </c>
      <c r="AG1045" s="552">
        <v>70</v>
      </c>
      <c r="AH1045" s="552">
        <v>617400</v>
      </c>
      <c r="AI1045" s="552">
        <v>0</v>
      </c>
      <c r="AJ1045" s="552">
        <v>0</v>
      </c>
    </row>
    <row r="1046" spans="1:36" ht="15.95" customHeight="1">
      <c r="A1046" s="547"/>
      <c r="B1046" s="548">
        <v>694</v>
      </c>
      <c r="C1046" s="549">
        <v>6122</v>
      </c>
      <c r="D1046" s="550"/>
      <c r="E1046" s="550" t="s">
        <v>4893</v>
      </c>
      <c r="F1046" s="550" t="s">
        <v>4894</v>
      </c>
      <c r="G1046" s="550" t="s">
        <v>236</v>
      </c>
      <c r="H1046" s="550" t="s">
        <v>238</v>
      </c>
      <c r="I1046" s="550" t="s">
        <v>10</v>
      </c>
      <c r="J1046" s="550" t="s">
        <v>12523</v>
      </c>
      <c r="K1046" s="551">
        <v>44987</v>
      </c>
      <c r="L1046" s="552">
        <v>136</v>
      </c>
      <c r="M1046" s="552">
        <v>136</v>
      </c>
      <c r="N1046" s="552">
        <v>136</v>
      </c>
      <c r="O1046" s="552">
        <v>10000</v>
      </c>
      <c r="P1046" s="552">
        <v>1360000</v>
      </c>
      <c r="Q1046" s="548">
        <v>0</v>
      </c>
      <c r="R1046" s="552">
        <v>0</v>
      </c>
      <c r="S1046" s="548">
        <v>7000</v>
      </c>
      <c r="T1046" s="552">
        <v>952000</v>
      </c>
      <c r="U1046" s="548">
        <v>3000</v>
      </c>
      <c r="V1046" s="552">
        <v>408000</v>
      </c>
      <c r="W1046" s="552">
        <v>6126</v>
      </c>
      <c r="X1046" s="552">
        <v>833136</v>
      </c>
      <c r="Y1046" s="552">
        <v>7000</v>
      </c>
      <c r="Z1046" s="552">
        <v>952000</v>
      </c>
      <c r="AA1046" s="552">
        <v>0</v>
      </c>
      <c r="AB1046" s="552">
        <v>0</v>
      </c>
      <c r="AC1046" s="552">
        <v>7000</v>
      </c>
      <c r="AD1046" s="552">
        <v>952000</v>
      </c>
      <c r="AE1046" s="552">
        <v>0</v>
      </c>
      <c r="AF1046" s="552">
        <v>0</v>
      </c>
      <c r="AG1046" s="552">
        <v>0</v>
      </c>
      <c r="AH1046" s="552">
        <v>0</v>
      </c>
      <c r="AI1046" s="552">
        <v>0</v>
      </c>
      <c r="AJ1046" s="552">
        <v>0</v>
      </c>
    </row>
    <row r="1047" spans="1:36" ht="15.95" customHeight="1">
      <c r="A1047" s="547"/>
      <c r="B1047" s="548">
        <v>747</v>
      </c>
      <c r="C1047" s="549">
        <v>6127</v>
      </c>
      <c r="D1047" s="550"/>
      <c r="E1047" s="550" t="s">
        <v>4895</v>
      </c>
      <c r="F1047" s="550" t="s">
        <v>502</v>
      </c>
      <c r="G1047" s="550" t="s">
        <v>313</v>
      </c>
      <c r="H1047" s="550" t="s">
        <v>235</v>
      </c>
      <c r="I1047" s="550" t="s">
        <v>10</v>
      </c>
      <c r="J1047" s="550" t="s">
        <v>3966</v>
      </c>
      <c r="K1047" s="551">
        <v>45027</v>
      </c>
      <c r="L1047" s="552">
        <v>473</v>
      </c>
      <c r="M1047" s="552">
        <v>473</v>
      </c>
      <c r="N1047" s="552">
        <v>473</v>
      </c>
      <c r="O1047" s="552">
        <v>247</v>
      </c>
      <c r="P1047" s="552">
        <v>116831</v>
      </c>
      <c r="Q1047" s="548">
        <v>1</v>
      </c>
      <c r="R1047" s="552">
        <v>473</v>
      </c>
      <c r="S1047" s="548">
        <v>178</v>
      </c>
      <c r="T1047" s="552">
        <v>84194</v>
      </c>
      <c r="U1047" s="548">
        <v>70</v>
      </c>
      <c r="V1047" s="552">
        <v>33110</v>
      </c>
      <c r="W1047" s="552">
        <v>1309</v>
      </c>
      <c r="X1047" s="552">
        <v>619157</v>
      </c>
      <c r="Y1047" s="552">
        <v>178</v>
      </c>
      <c r="Z1047" s="552">
        <v>84194</v>
      </c>
      <c r="AA1047" s="552">
        <v>0</v>
      </c>
      <c r="AB1047" s="552">
        <v>0</v>
      </c>
      <c r="AC1047" s="552">
        <v>178</v>
      </c>
      <c r="AD1047" s="552">
        <v>84194</v>
      </c>
      <c r="AE1047" s="552">
        <v>0</v>
      </c>
      <c r="AF1047" s="552">
        <v>0</v>
      </c>
      <c r="AG1047" s="552">
        <v>0</v>
      </c>
      <c r="AH1047" s="552">
        <v>0</v>
      </c>
      <c r="AI1047" s="552">
        <v>0</v>
      </c>
      <c r="AJ1047" s="552">
        <v>0</v>
      </c>
    </row>
    <row r="1048" spans="1:36" ht="15.95" customHeight="1">
      <c r="A1048" s="547"/>
      <c r="B1048" s="548">
        <v>748</v>
      </c>
      <c r="C1048" s="549">
        <v>6127</v>
      </c>
      <c r="D1048" s="550"/>
      <c r="E1048" s="550" t="s">
        <v>4895</v>
      </c>
      <c r="F1048" s="550" t="s">
        <v>502</v>
      </c>
      <c r="G1048" s="550" t="s">
        <v>313</v>
      </c>
      <c r="H1048" s="550" t="s">
        <v>235</v>
      </c>
      <c r="I1048" s="550" t="s">
        <v>10</v>
      </c>
      <c r="J1048" s="550" t="s">
        <v>12524</v>
      </c>
      <c r="K1048" s="551">
        <v>45195</v>
      </c>
      <c r="L1048" s="552">
        <v>473</v>
      </c>
      <c r="M1048" s="552">
        <v>473</v>
      </c>
      <c r="N1048" s="552">
        <v>473</v>
      </c>
      <c r="O1048" s="552">
        <v>6878</v>
      </c>
      <c r="P1048" s="552">
        <v>3253294</v>
      </c>
      <c r="Q1048" s="548">
        <v>0</v>
      </c>
      <c r="R1048" s="552">
        <v>0</v>
      </c>
      <c r="S1048" s="548">
        <v>6678</v>
      </c>
      <c r="T1048" s="552">
        <v>3158694</v>
      </c>
      <c r="U1048" s="548">
        <v>200</v>
      </c>
      <c r="V1048" s="552">
        <v>94600</v>
      </c>
      <c r="W1048" s="552">
        <v>8219</v>
      </c>
      <c r="X1048" s="552">
        <v>3887587</v>
      </c>
      <c r="Y1048" s="552">
        <v>6628</v>
      </c>
      <c r="Z1048" s="552">
        <v>3135044</v>
      </c>
      <c r="AA1048" s="552">
        <v>3678</v>
      </c>
      <c r="AB1048" s="552">
        <v>1739694</v>
      </c>
      <c r="AC1048" s="552">
        <v>2950</v>
      </c>
      <c r="AD1048" s="552">
        <v>1395350</v>
      </c>
      <c r="AE1048" s="552">
        <v>0</v>
      </c>
      <c r="AF1048" s="552">
        <v>0</v>
      </c>
      <c r="AG1048" s="552">
        <v>50</v>
      </c>
      <c r="AH1048" s="552">
        <v>23650</v>
      </c>
      <c r="AI1048" s="552">
        <v>0</v>
      </c>
      <c r="AJ1048" s="552">
        <v>0</v>
      </c>
    </row>
    <row r="1049" spans="1:36" ht="15.95" customHeight="1">
      <c r="A1049" s="547"/>
      <c r="B1049" s="548">
        <v>749</v>
      </c>
      <c r="C1049" s="549">
        <v>6127</v>
      </c>
      <c r="D1049" s="550"/>
      <c r="E1049" s="550" t="s">
        <v>4895</v>
      </c>
      <c r="F1049" s="550" t="s">
        <v>502</v>
      </c>
      <c r="G1049" s="550" t="s">
        <v>313</v>
      </c>
      <c r="H1049" s="550" t="s">
        <v>235</v>
      </c>
      <c r="I1049" s="550" t="s">
        <v>10</v>
      </c>
      <c r="J1049" s="550" t="s">
        <v>11620</v>
      </c>
      <c r="K1049" s="551">
        <v>45233</v>
      </c>
      <c r="L1049" s="552">
        <v>473</v>
      </c>
      <c r="M1049" s="552">
        <v>473</v>
      </c>
      <c r="N1049" s="552">
        <v>473</v>
      </c>
      <c r="O1049" s="552">
        <v>23000</v>
      </c>
      <c r="P1049" s="552">
        <v>10879000</v>
      </c>
      <c r="Q1049" s="548">
        <v>0</v>
      </c>
      <c r="R1049" s="552">
        <v>0</v>
      </c>
      <c r="S1049" s="548">
        <v>21776</v>
      </c>
      <c r="T1049" s="552">
        <v>10300048</v>
      </c>
      <c r="U1049" s="548">
        <v>1224</v>
      </c>
      <c r="V1049" s="552">
        <v>578952</v>
      </c>
      <c r="W1049" s="552">
        <v>5129</v>
      </c>
      <c r="X1049" s="552">
        <v>2426017</v>
      </c>
      <c r="Y1049" s="552">
        <v>21776</v>
      </c>
      <c r="Z1049" s="552">
        <v>10300048</v>
      </c>
      <c r="AA1049" s="552">
        <v>12026</v>
      </c>
      <c r="AB1049" s="552">
        <v>5688298</v>
      </c>
      <c r="AC1049" s="552">
        <v>9750</v>
      </c>
      <c r="AD1049" s="552">
        <v>4611750</v>
      </c>
      <c r="AE1049" s="552">
        <v>0</v>
      </c>
      <c r="AF1049" s="552">
        <v>0</v>
      </c>
      <c r="AG1049" s="552">
        <v>0</v>
      </c>
      <c r="AH1049" s="552">
        <v>0</v>
      </c>
      <c r="AI1049" s="552">
        <v>0</v>
      </c>
      <c r="AJ1049" s="552">
        <v>0</v>
      </c>
    </row>
    <row r="1050" spans="1:36" ht="15.95" customHeight="1">
      <c r="A1050" s="547"/>
      <c r="B1050" s="548">
        <v>763</v>
      </c>
      <c r="C1050" s="549">
        <v>6128</v>
      </c>
      <c r="D1050" s="550"/>
      <c r="E1050" s="550"/>
      <c r="F1050" s="550" t="s">
        <v>2530</v>
      </c>
      <c r="G1050" s="550" t="s">
        <v>2530</v>
      </c>
      <c r="H1050" s="550" t="s">
        <v>342</v>
      </c>
      <c r="I1050" s="550" t="s">
        <v>628</v>
      </c>
      <c r="J1050" s="550" t="s">
        <v>4897</v>
      </c>
      <c r="K1050" s="551">
        <v>44348</v>
      </c>
      <c r="L1050" s="552">
        <v>499</v>
      </c>
      <c r="M1050" s="552">
        <v>499</v>
      </c>
      <c r="N1050" s="552">
        <v>499</v>
      </c>
      <c r="O1050" s="552">
        <v>13</v>
      </c>
      <c r="P1050" s="552">
        <v>6487</v>
      </c>
      <c r="Q1050" s="548">
        <v>0</v>
      </c>
      <c r="R1050" s="552">
        <v>0</v>
      </c>
      <c r="S1050" s="548">
        <v>1</v>
      </c>
      <c r="T1050" s="552">
        <v>499</v>
      </c>
      <c r="U1050" s="548">
        <v>12</v>
      </c>
      <c r="V1050" s="552">
        <v>5988</v>
      </c>
      <c r="W1050" s="552">
        <v>0</v>
      </c>
      <c r="X1050" s="552">
        <v>0</v>
      </c>
      <c r="Y1050" s="552">
        <v>1</v>
      </c>
      <c r="Z1050" s="552">
        <v>499</v>
      </c>
      <c r="AA1050" s="552">
        <v>1</v>
      </c>
      <c r="AB1050" s="552">
        <v>499</v>
      </c>
      <c r="AC1050" s="552">
        <v>0</v>
      </c>
      <c r="AD1050" s="552">
        <v>0</v>
      </c>
      <c r="AE1050" s="552">
        <v>0</v>
      </c>
      <c r="AF1050" s="552">
        <v>0</v>
      </c>
      <c r="AG1050" s="552">
        <v>0</v>
      </c>
      <c r="AH1050" s="552">
        <v>0</v>
      </c>
      <c r="AI1050" s="552">
        <v>0</v>
      </c>
      <c r="AJ1050" s="552">
        <v>0</v>
      </c>
    </row>
    <row r="1051" spans="1:36" ht="15.95" customHeight="1">
      <c r="A1051" s="547"/>
      <c r="B1051" s="548">
        <v>764</v>
      </c>
      <c r="C1051" s="549">
        <v>6128</v>
      </c>
      <c r="D1051" s="550"/>
      <c r="E1051" s="550"/>
      <c r="F1051" s="550" t="s">
        <v>2530</v>
      </c>
      <c r="G1051" s="550" t="s">
        <v>2530</v>
      </c>
      <c r="H1051" s="550" t="s">
        <v>342</v>
      </c>
      <c r="I1051" s="550" t="s">
        <v>628</v>
      </c>
      <c r="J1051" s="550" t="s">
        <v>12525</v>
      </c>
      <c r="K1051" s="551">
        <v>45169</v>
      </c>
      <c r="L1051" s="552">
        <v>499</v>
      </c>
      <c r="M1051" s="552">
        <v>499</v>
      </c>
      <c r="N1051" s="552">
        <v>499</v>
      </c>
      <c r="O1051" s="552"/>
      <c r="P1051" s="552"/>
      <c r="Q1051" s="548">
        <v>5017</v>
      </c>
      <c r="R1051" s="552">
        <v>2503483</v>
      </c>
      <c r="S1051" s="548">
        <v>2122</v>
      </c>
      <c r="T1051" s="552">
        <v>1058878</v>
      </c>
      <c r="U1051" s="548">
        <v>2895</v>
      </c>
      <c r="V1051" s="552">
        <v>1444605</v>
      </c>
      <c r="W1051" s="552">
        <v>0</v>
      </c>
      <c r="X1051" s="552">
        <v>0</v>
      </c>
      <c r="Y1051" s="552">
        <v>1893</v>
      </c>
      <c r="Z1051" s="552">
        <v>944607</v>
      </c>
      <c r="AA1051" s="552">
        <v>86</v>
      </c>
      <c r="AB1051" s="552">
        <v>42914</v>
      </c>
      <c r="AC1051" s="552">
        <v>1807</v>
      </c>
      <c r="AD1051" s="552">
        <v>901693</v>
      </c>
      <c r="AE1051" s="552">
        <v>0</v>
      </c>
      <c r="AF1051" s="552">
        <v>0</v>
      </c>
      <c r="AG1051" s="552">
        <v>330</v>
      </c>
      <c r="AH1051" s="552">
        <v>164670</v>
      </c>
      <c r="AI1051" s="552">
        <v>0</v>
      </c>
      <c r="AJ1051" s="552">
        <v>0</v>
      </c>
    </row>
    <row r="1052" spans="1:36" ht="15.95" customHeight="1">
      <c r="A1052" s="547"/>
      <c r="B1052" s="548">
        <v>765</v>
      </c>
      <c r="C1052" s="549">
        <v>6128</v>
      </c>
      <c r="D1052" s="550"/>
      <c r="E1052" s="550"/>
      <c r="F1052" s="550" t="s">
        <v>2530</v>
      </c>
      <c r="G1052" s="550" t="s">
        <v>2530</v>
      </c>
      <c r="H1052" s="550" t="s">
        <v>342</v>
      </c>
      <c r="I1052" s="550" t="s">
        <v>628</v>
      </c>
      <c r="J1052" s="550" t="s">
        <v>4898</v>
      </c>
      <c r="K1052" s="551">
        <v>44501</v>
      </c>
      <c r="L1052" s="552">
        <v>499</v>
      </c>
      <c r="M1052" s="552">
        <v>499</v>
      </c>
      <c r="N1052" s="552">
        <v>499</v>
      </c>
      <c r="O1052" s="552">
        <v>7</v>
      </c>
      <c r="P1052" s="552">
        <v>3493</v>
      </c>
      <c r="Q1052" s="548">
        <v>0</v>
      </c>
      <c r="R1052" s="552">
        <v>0</v>
      </c>
      <c r="S1052" s="548">
        <v>0</v>
      </c>
      <c r="T1052" s="552">
        <v>0</v>
      </c>
      <c r="U1052" s="548">
        <v>7</v>
      </c>
      <c r="V1052" s="552">
        <v>3493</v>
      </c>
      <c r="W1052" s="552">
        <v>0</v>
      </c>
      <c r="X1052" s="552">
        <v>0</v>
      </c>
      <c r="Y1052" s="552">
        <v>0</v>
      </c>
      <c r="Z1052" s="552">
        <v>0</v>
      </c>
      <c r="AA1052" s="552">
        <v>0</v>
      </c>
      <c r="AB1052" s="552">
        <v>0</v>
      </c>
      <c r="AC1052" s="552">
        <v>0</v>
      </c>
      <c r="AD1052" s="552">
        <v>0</v>
      </c>
      <c r="AE1052" s="552">
        <v>0</v>
      </c>
      <c r="AF1052" s="552">
        <v>0</v>
      </c>
      <c r="AG1052" s="552">
        <v>0</v>
      </c>
      <c r="AH1052" s="552">
        <v>0</v>
      </c>
      <c r="AI1052" s="552">
        <v>0</v>
      </c>
      <c r="AJ1052" s="552">
        <v>0</v>
      </c>
    </row>
    <row r="1053" spans="1:36" ht="15.95" customHeight="1">
      <c r="A1053" s="547"/>
      <c r="B1053" s="548">
        <v>766</v>
      </c>
      <c r="C1053" s="549">
        <v>6129</v>
      </c>
      <c r="D1053" s="550"/>
      <c r="E1053" s="550"/>
      <c r="F1053" s="550" t="s">
        <v>421</v>
      </c>
      <c r="G1053" s="550" t="s">
        <v>2530</v>
      </c>
      <c r="H1053" s="550" t="s">
        <v>422</v>
      </c>
      <c r="I1053" s="550" t="s">
        <v>628</v>
      </c>
      <c r="J1053" s="550" t="s">
        <v>4899</v>
      </c>
      <c r="K1053" s="551">
        <v>44541</v>
      </c>
      <c r="L1053" s="552">
        <v>980</v>
      </c>
      <c r="M1053" s="552">
        <v>980</v>
      </c>
      <c r="N1053" s="552">
        <v>980</v>
      </c>
      <c r="O1053" s="552">
        <v>16</v>
      </c>
      <c r="P1053" s="552">
        <v>15680</v>
      </c>
      <c r="Q1053" s="548">
        <v>0</v>
      </c>
      <c r="R1053" s="552">
        <v>0</v>
      </c>
      <c r="S1053" s="548">
        <v>0</v>
      </c>
      <c r="T1053" s="552">
        <v>0</v>
      </c>
      <c r="U1053" s="548">
        <v>16</v>
      </c>
      <c r="V1053" s="552">
        <v>15680</v>
      </c>
      <c r="W1053" s="552">
        <v>0</v>
      </c>
      <c r="X1053" s="552">
        <v>0</v>
      </c>
      <c r="Y1053" s="552">
        <v>0</v>
      </c>
      <c r="Z1053" s="552">
        <v>0</v>
      </c>
      <c r="AA1053" s="552">
        <v>0</v>
      </c>
      <c r="AB1053" s="552">
        <v>0</v>
      </c>
      <c r="AC1053" s="552">
        <v>0</v>
      </c>
      <c r="AD1053" s="552">
        <v>0</v>
      </c>
      <c r="AE1053" s="552">
        <v>0</v>
      </c>
      <c r="AF1053" s="552">
        <v>0</v>
      </c>
      <c r="AG1053" s="552">
        <v>0</v>
      </c>
      <c r="AH1053" s="552">
        <v>0</v>
      </c>
      <c r="AI1053" s="552">
        <v>0</v>
      </c>
      <c r="AJ1053" s="552">
        <v>0</v>
      </c>
    </row>
    <row r="1054" spans="1:36" ht="15.95" customHeight="1">
      <c r="A1054" s="547"/>
      <c r="B1054" s="548">
        <v>767</v>
      </c>
      <c r="C1054" s="549">
        <v>6129</v>
      </c>
      <c r="D1054" s="550"/>
      <c r="E1054" s="550"/>
      <c r="F1054" s="550" t="s">
        <v>421</v>
      </c>
      <c r="G1054" s="550" t="s">
        <v>2530</v>
      </c>
      <c r="H1054" s="550" t="s">
        <v>422</v>
      </c>
      <c r="I1054" s="550" t="s">
        <v>628</v>
      </c>
      <c r="J1054" s="550" t="s">
        <v>4900</v>
      </c>
      <c r="K1054" s="551">
        <v>45180</v>
      </c>
      <c r="L1054" s="552">
        <v>980</v>
      </c>
      <c r="M1054" s="552">
        <v>980</v>
      </c>
      <c r="N1054" s="552">
        <v>980</v>
      </c>
      <c r="O1054" s="552">
        <v>17</v>
      </c>
      <c r="P1054" s="552">
        <v>16660</v>
      </c>
      <c r="Q1054" s="548">
        <v>0</v>
      </c>
      <c r="R1054" s="552">
        <v>0</v>
      </c>
      <c r="S1054" s="548">
        <v>10</v>
      </c>
      <c r="T1054" s="552">
        <v>9800</v>
      </c>
      <c r="U1054" s="548">
        <v>7</v>
      </c>
      <c r="V1054" s="552">
        <v>6860</v>
      </c>
      <c r="W1054" s="552">
        <v>0</v>
      </c>
      <c r="X1054" s="552">
        <v>0</v>
      </c>
      <c r="Y1054" s="552">
        <v>0</v>
      </c>
      <c r="Z1054" s="552">
        <v>0</v>
      </c>
      <c r="AA1054" s="552">
        <v>0</v>
      </c>
      <c r="AB1054" s="552">
        <v>0</v>
      </c>
      <c r="AC1054" s="552">
        <v>0</v>
      </c>
      <c r="AD1054" s="552">
        <v>0</v>
      </c>
      <c r="AE1054" s="552">
        <v>0</v>
      </c>
      <c r="AF1054" s="552">
        <v>0</v>
      </c>
      <c r="AG1054" s="552">
        <v>10</v>
      </c>
      <c r="AH1054" s="552">
        <v>9800</v>
      </c>
      <c r="AI1054" s="552">
        <v>0</v>
      </c>
      <c r="AJ1054" s="552">
        <v>0</v>
      </c>
    </row>
    <row r="1055" spans="1:36" ht="15.95" customHeight="1">
      <c r="A1055" s="547"/>
      <c r="B1055" s="548">
        <v>783</v>
      </c>
      <c r="C1055" s="549">
        <v>6130</v>
      </c>
      <c r="D1055" s="550"/>
      <c r="E1055" s="550" t="s">
        <v>4901</v>
      </c>
      <c r="F1055" s="550" t="s">
        <v>490</v>
      </c>
      <c r="G1055" s="550" t="s">
        <v>256</v>
      </c>
      <c r="H1055" s="550" t="s">
        <v>299</v>
      </c>
      <c r="I1055" s="550" t="s">
        <v>10</v>
      </c>
      <c r="J1055" s="550" t="s">
        <v>12526</v>
      </c>
      <c r="K1055" s="551">
        <v>45178</v>
      </c>
      <c r="L1055" s="552">
        <v>998</v>
      </c>
      <c r="M1055" s="552">
        <v>998</v>
      </c>
      <c r="N1055" s="552">
        <v>998</v>
      </c>
      <c r="O1055" s="552"/>
      <c r="P1055" s="552"/>
      <c r="Q1055" s="548">
        <v>10000</v>
      </c>
      <c r="R1055" s="552">
        <v>9980000</v>
      </c>
      <c r="S1055" s="548">
        <v>9706</v>
      </c>
      <c r="T1055" s="552">
        <v>9686588</v>
      </c>
      <c r="U1055" s="548">
        <v>294</v>
      </c>
      <c r="V1055" s="552">
        <v>293412</v>
      </c>
      <c r="W1055" s="552">
        <v>0</v>
      </c>
      <c r="X1055" s="552">
        <v>0</v>
      </c>
      <c r="Y1055" s="552">
        <v>9706</v>
      </c>
      <c r="Z1055" s="552">
        <v>9686588</v>
      </c>
      <c r="AA1055" s="552">
        <v>9599</v>
      </c>
      <c r="AB1055" s="552">
        <v>9579802</v>
      </c>
      <c r="AC1055" s="552">
        <v>107</v>
      </c>
      <c r="AD1055" s="552">
        <v>106786</v>
      </c>
      <c r="AE1055" s="552">
        <v>0</v>
      </c>
      <c r="AF1055" s="552">
        <v>0</v>
      </c>
      <c r="AG1055" s="552">
        <v>0</v>
      </c>
      <c r="AH1055" s="552">
        <v>0</v>
      </c>
      <c r="AI1055" s="552">
        <v>0</v>
      </c>
      <c r="AJ1055" s="552">
        <v>0</v>
      </c>
    </row>
    <row r="1056" spans="1:36" ht="15.95" customHeight="1">
      <c r="A1056" s="547"/>
      <c r="B1056" s="548">
        <v>789</v>
      </c>
      <c r="C1056" s="549">
        <v>6131</v>
      </c>
      <c r="D1056" s="550"/>
      <c r="E1056" s="550" t="s">
        <v>4902</v>
      </c>
      <c r="F1056" s="550" t="s">
        <v>4903</v>
      </c>
      <c r="G1056" s="550" t="s">
        <v>242</v>
      </c>
      <c r="H1056" s="550" t="s">
        <v>243</v>
      </c>
      <c r="I1056" s="550" t="s">
        <v>628</v>
      </c>
      <c r="J1056" s="550" t="s">
        <v>12527</v>
      </c>
      <c r="K1056" s="551">
        <v>45102</v>
      </c>
      <c r="L1056" s="552">
        <v>3255</v>
      </c>
      <c r="M1056" s="552">
        <v>3255</v>
      </c>
      <c r="N1056" s="552">
        <v>3255</v>
      </c>
      <c r="O1056" s="552">
        <v>100</v>
      </c>
      <c r="P1056" s="552">
        <v>325500</v>
      </c>
      <c r="Q1056" s="548">
        <v>0</v>
      </c>
      <c r="R1056" s="552">
        <v>0</v>
      </c>
      <c r="S1056" s="548">
        <v>84</v>
      </c>
      <c r="T1056" s="552">
        <v>273420</v>
      </c>
      <c r="U1056" s="548">
        <v>16</v>
      </c>
      <c r="V1056" s="552">
        <v>52080</v>
      </c>
      <c r="W1056" s="552">
        <v>0</v>
      </c>
      <c r="X1056" s="552">
        <v>0</v>
      </c>
      <c r="Y1056" s="552">
        <v>74</v>
      </c>
      <c r="Z1056" s="552">
        <v>240870</v>
      </c>
      <c r="AA1056" s="552">
        <v>0</v>
      </c>
      <c r="AB1056" s="552">
        <v>0</v>
      </c>
      <c r="AC1056" s="552">
        <v>74</v>
      </c>
      <c r="AD1056" s="552">
        <v>240870</v>
      </c>
      <c r="AE1056" s="552">
        <v>0</v>
      </c>
      <c r="AF1056" s="552">
        <v>0</v>
      </c>
      <c r="AG1056" s="552">
        <v>10</v>
      </c>
      <c r="AH1056" s="552">
        <v>32550</v>
      </c>
      <c r="AI1056" s="552">
        <v>0</v>
      </c>
      <c r="AJ1056" s="552">
        <v>0</v>
      </c>
    </row>
    <row r="1057" spans="1:36" ht="15.95" customHeight="1">
      <c r="A1057" s="547"/>
      <c r="B1057" s="548">
        <v>790</v>
      </c>
      <c r="C1057" s="549">
        <v>6131</v>
      </c>
      <c r="D1057" s="550"/>
      <c r="E1057" s="550" t="s">
        <v>4902</v>
      </c>
      <c r="F1057" s="550" t="s">
        <v>4903</v>
      </c>
      <c r="G1057" s="550" t="s">
        <v>242</v>
      </c>
      <c r="H1057" s="550" t="s">
        <v>243</v>
      </c>
      <c r="I1057" s="550" t="s">
        <v>628</v>
      </c>
      <c r="J1057" s="550" t="s">
        <v>4904</v>
      </c>
      <c r="K1057" s="551">
        <v>44591</v>
      </c>
      <c r="L1057" s="552">
        <v>3255</v>
      </c>
      <c r="M1057" s="552">
        <v>3255</v>
      </c>
      <c r="N1057" s="552">
        <v>3255</v>
      </c>
      <c r="O1057" s="552">
        <v>64</v>
      </c>
      <c r="P1057" s="552">
        <v>208320</v>
      </c>
      <c r="Q1057" s="548">
        <v>0</v>
      </c>
      <c r="R1057" s="552">
        <v>0</v>
      </c>
      <c r="S1057" s="548">
        <v>18</v>
      </c>
      <c r="T1057" s="552">
        <v>58590</v>
      </c>
      <c r="U1057" s="548">
        <v>46</v>
      </c>
      <c r="V1057" s="552">
        <v>149730</v>
      </c>
      <c r="W1057" s="552">
        <v>0</v>
      </c>
      <c r="X1057" s="552">
        <v>0</v>
      </c>
      <c r="Y1057" s="552">
        <v>18</v>
      </c>
      <c r="Z1057" s="552">
        <v>58590</v>
      </c>
      <c r="AA1057" s="552">
        <v>0</v>
      </c>
      <c r="AB1057" s="552">
        <v>0</v>
      </c>
      <c r="AC1057" s="552">
        <v>18</v>
      </c>
      <c r="AD1057" s="552">
        <v>58590</v>
      </c>
      <c r="AE1057" s="552">
        <v>0</v>
      </c>
      <c r="AF1057" s="552">
        <v>0</v>
      </c>
      <c r="AG1057" s="552">
        <v>0</v>
      </c>
      <c r="AH1057" s="552">
        <v>0</v>
      </c>
      <c r="AI1057" s="552">
        <v>0</v>
      </c>
      <c r="AJ1057" s="552">
        <v>0</v>
      </c>
    </row>
    <row r="1058" spans="1:36" ht="15.95" customHeight="1">
      <c r="A1058" s="547"/>
      <c r="B1058" s="548">
        <v>791</v>
      </c>
      <c r="C1058" s="549">
        <v>6131</v>
      </c>
      <c r="D1058" s="550"/>
      <c r="E1058" s="550" t="s">
        <v>4902</v>
      </c>
      <c r="F1058" s="550" t="s">
        <v>4903</v>
      </c>
      <c r="G1058" s="550" t="s">
        <v>242</v>
      </c>
      <c r="H1058" s="550" t="s">
        <v>243</v>
      </c>
      <c r="I1058" s="550" t="s">
        <v>628</v>
      </c>
      <c r="J1058" s="550" t="s">
        <v>4905</v>
      </c>
      <c r="K1058" s="551">
        <v>44880</v>
      </c>
      <c r="L1058" s="552">
        <v>3255</v>
      </c>
      <c r="M1058" s="552">
        <v>3255</v>
      </c>
      <c r="N1058" s="552">
        <v>3255</v>
      </c>
      <c r="O1058" s="552">
        <v>65</v>
      </c>
      <c r="P1058" s="552">
        <v>211575</v>
      </c>
      <c r="Q1058" s="548">
        <v>0</v>
      </c>
      <c r="R1058" s="552">
        <v>0</v>
      </c>
      <c r="S1058" s="548">
        <v>65</v>
      </c>
      <c r="T1058" s="552">
        <v>211575</v>
      </c>
      <c r="U1058" s="548">
        <v>0</v>
      </c>
      <c r="V1058" s="552">
        <v>0</v>
      </c>
      <c r="W1058" s="552">
        <v>0</v>
      </c>
      <c r="X1058" s="552">
        <v>0</v>
      </c>
      <c r="Y1058" s="552">
        <v>65</v>
      </c>
      <c r="Z1058" s="552">
        <v>211575</v>
      </c>
      <c r="AA1058" s="552">
        <v>0</v>
      </c>
      <c r="AB1058" s="552">
        <v>0</v>
      </c>
      <c r="AC1058" s="552">
        <v>65</v>
      </c>
      <c r="AD1058" s="552">
        <v>211575</v>
      </c>
      <c r="AE1058" s="552">
        <v>0</v>
      </c>
      <c r="AF1058" s="552">
        <v>0</v>
      </c>
      <c r="AG1058" s="552">
        <v>0</v>
      </c>
      <c r="AH1058" s="552">
        <v>0</v>
      </c>
      <c r="AI1058" s="552">
        <v>0</v>
      </c>
      <c r="AJ1058" s="552">
        <v>0</v>
      </c>
    </row>
    <row r="1059" spans="1:36" ht="15.95" customHeight="1">
      <c r="A1059" s="547"/>
      <c r="B1059" s="548">
        <v>798</v>
      </c>
      <c r="C1059" s="549">
        <v>6132</v>
      </c>
      <c r="D1059" s="550"/>
      <c r="E1059" s="550" t="s">
        <v>4906</v>
      </c>
      <c r="F1059" s="550" t="s">
        <v>397</v>
      </c>
      <c r="G1059" s="550" t="s">
        <v>227</v>
      </c>
      <c r="H1059" s="550" t="s">
        <v>398</v>
      </c>
      <c r="I1059" s="550" t="s">
        <v>10</v>
      </c>
      <c r="J1059" s="550" t="s">
        <v>12528</v>
      </c>
      <c r="K1059" s="551">
        <v>45100</v>
      </c>
      <c r="L1059" s="552">
        <v>89</v>
      </c>
      <c r="M1059" s="552">
        <v>89</v>
      </c>
      <c r="N1059" s="552">
        <v>89</v>
      </c>
      <c r="O1059" s="552">
        <v>19506</v>
      </c>
      <c r="P1059" s="552">
        <v>1736034</v>
      </c>
      <c r="Q1059" s="548">
        <v>0</v>
      </c>
      <c r="R1059" s="552">
        <v>0</v>
      </c>
      <c r="S1059" s="548">
        <v>19506</v>
      </c>
      <c r="T1059" s="552">
        <v>1736034</v>
      </c>
      <c r="U1059" s="548">
        <v>0</v>
      </c>
      <c r="V1059" s="552">
        <v>0</v>
      </c>
      <c r="W1059" s="552">
        <v>16671</v>
      </c>
      <c r="X1059" s="552">
        <v>1483719</v>
      </c>
      <c r="Y1059" s="552">
        <v>19506</v>
      </c>
      <c r="Z1059" s="552">
        <v>1736034</v>
      </c>
      <c r="AA1059" s="552">
        <v>19506</v>
      </c>
      <c r="AB1059" s="552">
        <v>1736034</v>
      </c>
      <c r="AC1059" s="552">
        <v>0</v>
      </c>
      <c r="AD1059" s="552">
        <v>0</v>
      </c>
      <c r="AE1059" s="552">
        <v>0</v>
      </c>
      <c r="AF1059" s="552">
        <v>0</v>
      </c>
      <c r="AG1059" s="552">
        <v>0</v>
      </c>
      <c r="AH1059" s="552">
        <v>0</v>
      </c>
      <c r="AI1059" s="552">
        <v>0</v>
      </c>
      <c r="AJ1059" s="552">
        <v>0</v>
      </c>
    </row>
    <row r="1060" spans="1:36" ht="15.95" customHeight="1">
      <c r="A1060" s="547"/>
      <c r="B1060" s="548">
        <v>799</v>
      </c>
      <c r="C1060" s="549">
        <v>6132</v>
      </c>
      <c r="D1060" s="550"/>
      <c r="E1060" s="550" t="s">
        <v>4906</v>
      </c>
      <c r="F1060" s="550" t="s">
        <v>397</v>
      </c>
      <c r="G1060" s="550" t="s">
        <v>227</v>
      </c>
      <c r="H1060" s="550" t="s">
        <v>398</v>
      </c>
      <c r="I1060" s="550" t="s">
        <v>10</v>
      </c>
      <c r="J1060" s="550" t="s">
        <v>12529</v>
      </c>
      <c r="K1060" s="551">
        <v>45101</v>
      </c>
      <c r="L1060" s="552">
        <v>89</v>
      </c>
      <c r="M1060" s="552">
        <v>89</v>
      </c>
      <c r="N1060" s="552">
        <v>89</v>
      </c>
      <c r="O1060" s="552">
        <v>18000</v>
      </c>
      <c r="P1060" s="552">
        <v>1602000</v>
      </c>
      <c r="Q1060" s="548">
        <v>0</v>
      </c>
      <c r="R1060" s="552">
        <v>0</v>
      </c>
      <c r="S1060" s="548">
        <v>12000</v>
      </c>
      <c r="T1060" s="552">
        <v>1068000</v>
      </c>
      <c r="U1060" s="548">
        <v>6000</v>
      </c>
      <c r="V1060" s="552">
        <v>534000</v>
      </c>
      <c r="W1060" s="552">
        <v>0</v>
      </c>
      <c r="X1060" s="552">
        <v>0</v>
      </c>
      <c r="Y1060" s="552">
        <v>11000</v>
      </c>
      <c r="Z1060" s="552">
        <v>979000</v>
      </c>
      <c r="AA1060" s="552">
        <v>11000</v>
      </c>
      <c r="AB1060" s="552">
        <v>979000</v>
      </c>
      <c r="AC1060" s="552">
        <v>0</v>
      </c>
      <c r="AD1060" s="552">
        <v>0</v>
      </c>
      <c r="AE1060" s="552">
        <v>0</v>
      </c>
      <c r="AF1060" s="552">
        <v>0</v>
      </c>
      <c r="AG1060" s="552">
        <v>1000</v>
      </c>
      <c r="AH1060" s="552">
        <v>89000</v>
      </c>
      <c r="AI1060" s="552">
        <v>0</v>
      </c>
      <c r="AJ1060" s="552">
        <v>0</v>
      </c>
    </row>
    <row r="1061" spans="1:36" ht="15.95" customHeight="1">
      <c r="A1061" s="547"/>
      <c r="B1061" s="548">
        <v>800</v>
      </c>
      <c r="C1061" s="549">
        <v>6132</v>
      </c>
      <c r="D1061" s="550"/>
      <c r="E1061" s="550" t="s">
        <v>4906</v>
      </c>
      <c r="F1061" s="550" t="s">
        <v>397</v>
      </c>
      <c r="G1061" s="550" t="s">
        <v>227</v>
      </c>
      <c r="H1061" s="550" t="s">
        <v>398</v>
      </c>
      <c r="I1061" s="550" t="s">
        <v>10</v>
      </c>
      <c r="J1061" s="550" t="s">
        <v>12530</v>
      </c>
      <c r="K1061" s="551">
        <v>45062</v>
      </c>
      <c r="L1061" s="552">
        <v>89</v>
      </c>
      <c r="M1061" s="552">
        <v>89</v>
      </c>
      <c r="N1061" s="552">
        <v>89</v>
      </c>
      <c r="O1061" s="552">
        <v>72000</v>
      </c>
      <c r="P1061" s="552">
        <v>6408000</v>
      </c>
      <c r="Q1061" s="548">
        <v>0</v>
      </c>
      <c r="R1061" s="552">
        <v>0</v>
      </c>
      <c r="S1061" s="548">
        <v>72000</v>
      </c>
      <c r="T1061" s="552">
        <v>6408000</v>
      </c>
      <c r="U1061" s="548">
        <v>0</v>
      </c>
      <c r="V1061" s="552">
        <v>0</v>
      </c>
      <c r="W1061" s="552">
        <v>14818</v>
      </c>
      <c r="X1061" s="552">
        <v>1318802</v>
      </c>
      <c r="Y1061" s="552">
        <v>72000</v>
      </c>
      <c r="Z1061" s="552">
        <v>6408000</v>
      </c>
      <c r="AA1061" s="552">
        <v>57000</v>
      </c>
      <c r="AB1061" s="552">
        <v>5073000</v>
      </c>
      <c r="AC1061" s="552">
        <v>15000</v>
      </c>
      <c r="AD1061" s="552">
        <v>1335000</v>
      </c>
      <c r="AE1061" s="552">
        <v>0</v>
      </c>
      <c r="AF1061" s="552">
        <v>0</v>
      </c>
      <c r="AG1061" s="552">
        <v>0</v>
      </c>
      <c r="AH1061" s="552">
        <v>0</v>
      </c>
      <c r="AI1061" s="552">
        <v>0</v>
      </c>
      <c r="AJ1061" s="552">
        <v>0</v>
      </c>
    </row>
    <row r="1062" spans="1:36" ht="15.95" customHeight="1">
      <c r="A1062" s="547"/>
      <c r="B1062" s="548">
        <v>801</v>
      </c>
      <c r="C1062" s="549">
        <v>6134</v>
      </c>
      <c r="D1062" s="550"/>
      <c r="E1062" s="550" t="s">
        <v>4908</v>
      </c>
      <c r="F1062" s="550" t="s">
        <v>527</v>
      </c>
      <c r="G1062" s="550" t="s">
        <v>227</v>
      </c>
      <c r="H1062" s="550" t="s">
        <v>225</v>
      </c>
      <c r="I1062" s="550" t="s">
        <v>410</v>
      </c>
      <c r="J1062" s="550" t="s">
        <v>4909</v>
      </c>
      <c r="K1062" s="551">
        <v>44963</v>
      </c>
      <c r="L1062" s="552">
        <v>1954</v>
      </c>
      <c r="M1062" s="552">
        <v>1954</v>
      </c>
      <c r="N1062" s="552">
        <v>1954</v>
      </c>
      <c r="O1062" s="552">
        <v>438</v>
      </c>
      <c r="P1062" s="552">
        <v>855852</v>
      </c>
      <c r="Q1062" s="548">
        <v>3</v>
      </c>
      <c r="R1062" s="552">
        <v>5862</v>
      </c>
      <c r="S1062" s="548">
        <v>440</v>
      </c>
      <c r="T1062" s="552">
        <v>859760</v>
      </c>
      <c r="U1062" s="548">
        <v>1</v>
      </c>
      <c r="V1062" s="552">
        <v>1954</v>
      </c>
      <c r="W1062" s="552">
        <v>1785</v>
      </c>
      <c r="X1062" s="552">
        <v>3487890</v>
      </c>
      <c r="Y1062" s="552">
        <v>440</v>
      </c>
      <c r="Z1062" s="552">
        <v>859760</v>
      </c>
      <c r="AA1062" s="552">
        <v>0</v>
      </c>
      <c r="AB1062" s="552">
        <v>0</v>
      </c>
      <c r="AC1062" s="552">
        <v>440</v>
      </c>
      <c r="AD1062" s="552">
        <v>859760</v>
      </c>
      <c r="AE1062" s="552">
        <v>0</v>
      </c>
      <c r="AF1062" s="552">
        <v>0</v>
      </c>
      <c r="AG1062" s="552">
        <v>0</v>
      </c>
      <c r="AH1062" s="552">
        <v>0</v>
      </c>
      <c r="AI1062" s="552">
        <v>0</v>
      </c>
      <c r="AJ1062" s="552">
        <v>0</v>
      </c>
    </row>
    <row r="1063" spans="1:36" ht="15.95" customHeight="1">
      <c r="A1063" s="547"/>
      <c r="B1063" s="548">
        <v>802</v>
      </c>
      <c r="C1063" s="549">
        <v>6134</v>
      </c>
      <c r="D1063" s="550"/>
      <c r="E1063" s="550" t="s">
        <v>4908</v>
      </c>
      <c r="F1063" s="550" t="s">
        <v>527</v>
      </c>
      <c r="G1063" s="550" t="s">
        <v>227</v>
      </c>
      <c r="H1063" s="550" t="s">
        <v>225</v>
      </c>
      <c r="I1063" s="550" t="s">
        <v>410</v>
      </c>
      <c r="J1063" s="550" t="s">
        <v>12531</v>
      </c>
      <c r="K1063" s="551">
        <v>44982</v>
      </c>
      <c r="L1063" s="552">
        <v>1954</v>
      </c>
      <c r="M1063" s="552">
        <v>1954</v>
      </c>
      <c r="N1063" s="552">
        <v>1954</v>
      </c>
      <c r="O1063" s="552">
        <v>21900</v>
      </c>
      <c r="P1063" s="552">
        <v>42792600</v>
      </c>
      <c r="Q1063" s="548">
        <v>812</v>
      </c>
      <c r="R1063" s="552">
        <v>1586648</v>
      </c>
      <c r="S1063" s="548">
        <v>16566</v>
      </c>
      <c r="T1063" s="552">
        <v>32369964</v>
      </c>
      <c r="U1063" s="548">
        <v>6146</v>
      </c>
      <c r="V1063" s="552">
        <v>12009284</v>
      </c>
      <c r="W1063" s="552">
        <v>1626</v>
      </c>
      <c r="X1063" s="552">
        <v>3177204</v>
      </c>
      <c r="Y1063" s="552">
        <v>14306</v>
      </c>
      <c r="Z1063" s="552">
        <v>27953924</v>
      </c>
      <c r="AA1063" s="552">
        <v>3793</v>
      </c>
      <c r="AB1063" s="552">
        <v>7411522</v>
      </c>
      <c r="AC1063" s="552">
        <v>10513</v>
      </c>
      <c r="AD1063" s="552">
        <v>20542402</v>
      </c>
      <c r="AE1063" s="552">
        <v>0</v>
      </c>
      <c r="AF1063" s="552">
        <v>0</v>
      </c>
      <c r="AG1063" s="552">
        <v>2260</v>
      </c>
      <c r="AH1063" s="552">
        <v>4416040</v>
      </c>
      <c r="AI1063" s="552">
        <v>0</v>
      </c>
      <c r="AJ1063" s="552">
        <v>0</v>
      </c>
    </row>
    <row r="1064" spans="1:36" ht="15.95" customHeight="1">
      <c r="A1064" s="547"/>
      <c r="B1064" s="548">
        <v>803</v>
      </c>
      <c r="C1064" s="549">
        <v>6134</v>
      </c>
      <c r="D1064" s="550"/>
      <c r="E1064" s="550" t="s">
        <v>4908</v>
      </c>
      <c r="F1064" s="550" t="s">
        <v>527</v>
      </c>
      <c r="G1064" s="550" t="s">
        <v>227</v>
      </c>
      <c r="H1064" s="550" t="s">
        <v>225</v>
      </c>
      <c r="I1064" s="550" t="s">
        <v>410</v>
      </c>
      <c r="J1064" s="550" t="s">
        <v>12532</v>
      </c>
      <c r="K1064" s="551">
        <v>44984</v>
      </c>
      <c r="L1064" s="552">
        <v>1954</v>
      </c>
      <c r="M1064" s="552">
        <v>1954</v>
      </c>
      <c r="N1064" s="552">
        <v>1954</v>
      </c>
      <c r="O1064" s="552">
        <v>40000</v>
      </c>
      <c r="P1064" s="552">
        <v>78160000</v>
      </c>
      <c r="Q1064" s="548">
        <v>0</v>
      </c>
      <c r="R1064" s="552">
        <v>0</v>
      </c>
      <c r="S1064" s="548">
        <v>50</v>
      </c>
      <c r="T1064" s="552">
        <v>97700</v>
      </c>
      <c r="U1064" s="548">
        <v>39950</v>
      </c>
      <c r="V1064" s="552">
        <v>78062300</v>
      </c>
      <c r="W1064" s="552">
        <v>0</v>
      </c>
      <c r="X1064" s="552">
        <v>0</v>
      </c>
      <c r="Y1064" s="552">
        <v>0</v>
      </c>
      <c r="Z1064" s="552">
        <v>0</v>
      </c>
      <c r="AA1064" s="552">
        <v>0</v>
      </c>
      <c r="AB1064" s="552">
        <v>0</v>
      </c>
      <c r="AC1064" s="552">
        <v>0</v>
      </c>
      <c r="AD1064" s="552">
        <v>0</v>
      </c>
      <c r="AE1064" s="552">
        <v>0</v>
      </c>
      <c r="AF1064" s="552">
        <v>0</v>
      </c>
      <c r="AG1064" s="552">
        <v>50</v>
      </c>
      <c r="AH1064" s="552">
        <v>97700</v>
      </c>
      <c r="AI1064" s="552">
        <v>0</v>
      </c>
      <c r="AJ1064" s="552">
        <v>0</v>
      </c>
    </row>
    <row r="1065" spans="1:36" ht="15.95" customHeight="1">
      <c r="A1065" s="547"/>
      <c r="B1065" s="548">
        <v>808</v>
      </c>
      <c r="C1065" s="549">
        <v>6135</v>
      </c>
      <c r="D1065" s="550"/>
      <c r="E1065" s="550" t="s">
        <v>4910</v>
      </c>
      <c r="F1065" s="550" t="s">
        <v>395</v>
      </c>
      <c r="G1065" s="550" t="s">
        <v>395</v>
      </c>
      <c r="H1065" s="550" t="s">
        <v>267</v>
      </c>
      <c r="I1065" s="550" t="s">
        <v>10</v>
      </c>
      <c r="J1065" s="550" t="s">
        <v>12533</v>
      </c>
      <c r="K1065" s="551">
        <v>45103</v>
      </c>
      <c r="L1065" s="552">
        <v>326</v>
      </c>
      <c r="M1065" s="552">
        <v>326</v>
      </c>
      <c r="N1065" s="552">
        <v>326</v>
      </c>
      <c r="O1065" s="552">
        <v>15000</v>
      </c>
      <c r="P1065" s="552">
        <v>4890000</v>
      </c>
      <c r="Q1065" s="548">
        <v>2000</v>
      </c>
      <c r="R1065" s="552">
        <v>652000</v>
      </c>
      <c r="S1065" s="548">
        <v>10061</v>
      </c>
      <c r="T1065" s="552">
        <v>3279886</v>
      </c>
      <c r="U1065" s="548">
        <v>6939</v>
      </c>
      <c r="V1065" s="552">
        <v>2262114</v>
      </c>
      <c r="W1065" s="552">
        <v>0</v>
      </c>
      <c r="X1065" s="552">
        <v>0</v>
      </c>
      <c r="Y1065" s="552">
        <v>10061</v>
      </c>
      <c r="Z1065" s="552">
        <v>3279886</v>
      </c>
      <c r="AA1065" s="552">
        <v>8050</v>
      </c>
      <c r="AB1065" s="552">
        <v>2624300</v>
      </c>
      <c r="AC1065" s="552">
        <v>2011</v>
      </c>
      <c r="AD1065" s="552">
        <v>655586</v>
      </c>
      <c r="AE1065" s="552">
        <v>0</v>
      </c>
      <c r="AF1065" s="552">
        <v>0</v>
      </c>
      <c r="AG1065" s="552">
        <v>0</v>
      </c>
      <c r="AH1065" s="552">
        <v>0</v>
      </c>
      <c r="AI1065" s="552">
        <v>2000</v>
      </c>
      <c r="AJ1065" s="552">
        <v>652000</v>
      </c>
    </row>
    <row r="1066" spans="1:36" ht="15.95" customHeight="1">
      <c r="A1066" s="547"/>
      <c r="B1066" s="548">
        <v>809</v>
      </c>
      <c r="C1066" s="549">
        <v>6137</v>
      </c>
      <c r="D1066" s="550"/>
      <c r="E1066" s="550" t="s">
        <v>4911</v>
      </c>
      <c r="F1066" s="550" t="s">
        <v>4912</v>
      </c>
      <c r="G1066" s="550" t="s">
        <v>227</v>
      </c>
      <c r="H1066" s="550" t="s">
        <v>225</v>
      </c>
      <c r="I1066" s="550" t="s">
        <v>10</v>
      </c>
      <c r="J1066" s="550" t="s">
        <v>4665</v>
      </c>
      <c r="K1066" s="551">
        <v>45157</v>
      </c>
      <c r="L1066" s="552">
        <v>76</v>
      </c>
      <c r="M1066" s="552">
        <v>76</v>
      </c>
      <c r="N1066" s="552">
        <v>76</v>
      </c>
      <c r="O1066" s="552">
        <v>200000</v>
      </c>
      <c r="P1066" s="552">
        <v>15200000</v>
      </c>
      <c r="Q1066" s="548">
        <v>0</v>
      </c>
      <c r="R1066" s="552">
        <v>0</v>
      </c>
      <c r="S1066" s="548">
        <v>200000</v>
      </c>
      <c r="T1066" s="552">
        <v>15200000</v>
      </c>
      <c r="U1066" s="548">
        <v>0</v>
      </c>
      <c r="V1066" s="552">
        <v>0</v>
      </c>
      <c r="W1066" s="552">
        <v>51102</v>
      </c>
      <c r="X1066" s="552">
        <v>3883752</v>
      </c>
      <c r="Y1066" s="552">
        <v>105000</v>
      </c>
      <c r="Z1066" s="552">
        <v>7980000</v>
      </c>
      <c r="AA1066" s="552">
        <v>0</v>
      </c>
      <c r="AB1066" s="552">
        <v>0</v>
      </c>
      <c r="AC1066" s="552">
        <v>105000</v>
      </c>
      <c r="AD1066" s="552">
        <v>7980000</v>
      </c>
      <c r="AE1066" s="552">
        <v>0</v>
      </c>
      <c r="AF1066" s="552">
        <v>0</v>
      </c>
      <c r="AG1066" s="552">
        <v>95000</v>
      </c>
      <c r="AH1066" s="552">
        <v>7220000</v>
      </c>
      <c r="AI1066" s="552">
        <v>0</v>
      </c>
      <c r="AJ1066" s="552">
        <v>0</v>
      </c>
    </row>
    <row r="1067" spans="1:36" ht="15.95" customHeight="1">
      <c r="A1067" s="547"/>
      <c r="B1067" s="548">
        <v>843</v>
      </c>
      <c r="C1067" s="549">
        <v>6140</v>
      </c>
      <c r="D1067" s="550"/>
      <c r="E1067" s="550" t="s">
        <v>4914</v>
      </c>
      <c r="F1067" s="550" t="s">
        <v>400</v>
      </c>
      <c r="G1067" s="550" t="s">
        <v>400</v>
      </c>
      <c r="H1067" s="550" t="s">
        <v>235</v>
      </c>
      <c r="I1067" s="550" t="s">
        <v>10</v>
      </c>
      <c r="J1067" s="550" t="s">
        <v>12534</v>
      </c>
      <c r="K1067" s="551">
        <v>45248</v>
      </c>
      <c r="L1067" s="552">
        <v>146</v>
      </c>
      <c r="M1067" s="552">
        <v>146</v>
      </c>
      <c r="N1067" s="552">
        <v>146</v>
      </c>
      <c r="O1067" s="552">
        <v>8000</v>
      </c>
      <c r="P1067" s="552">
        <v>1168000</v>
      </c>
      <c r="Q1067" s="548">
        <v>0</v>
      </c>
      <c r="R1067" s="552">
        <v>0</v>
      </c>
      <c r="S1067" s="548">
        <v>0</v>
      </c>
      <c r="T1067" s="552">
        <v>0</v>
      </c>
      <c r="U1067" s="548">
        <v>8000</v>
      </c>
      <c r="V1067" s="552">
        <v>1168000</v>
      </c>
      <c r="W1067" s="552">
        <v>0</v>
      </c>
      <c r="X1067" s="552">
        <v>0</v>
      </c>
      <c r="Y1067" s="552">
        <v>0</v>
      </c>
      <c r="Z1067" s="552">
        <v>0</v>
      </c>
      <c r="AA1067" s="552">
        <v>0</v>
      </c>
      <c r="AB1067" s="552">
        <v>0</v>
      </c>
      <c r="AC1067" s="552">
        <v>0</v>
      </c>
      <c r="AD1067" s="552">
        <v>0</v>
      </c>
      <c r="AE1067" s="552">
        <v>0</v>
      </c>
      <c r="AF1067" s="552">
        <v>0</v>
      </c>
      <c r="AG1067" s="552">
        <v>0</v>
      </c>
      <c r="AH1067" s="552">
        <v>0</v>
      </c>
      <c r="AI1067" s="552">
        <v>0</v>
      </c>
      <c r="AJ1067" s="552">
        <v>0</v>
      </c>
    </row>
    <row r="1068" spans="1:36" ht="15.95" customHeight="1">
      <c r="A1068" s="547"/>
      <c r="B1068" s="548">
        <v>859</v>
      </c>
      <c r="C1068" s="549">
        <v>6141</v>
      </c>
      <c r="D1068" s="550"/>
      <c r="E1068" s="550" t="s">
        <v>4915</v>
      </c>
      <c r="F1068" s="550" t="s">
        <v>4916</v>
      </c>
      <c r="G1068" s="550" t="s">
        <v>309</v>
      </c>
      <c r="H1068" s="550" t="s">
        <v>310</v>
      </c>
      <c r="I1068" s="550" t="s">
        <v>10</v>
      </c>
      <c r="J1068" s="550" t="s">
        <v>3926</v>
      </c>
      <c r="K1068" s="551">
        <v>45028</v>
      </c>
      <c r="L1068" s="552">
        <v>420</v>
      </c>
      <c r="M1068" s="552">
        <v>420</v>
      </c>
      <c r="N1068" s="552">
        <v>420</v>
      </c>
      <c r="O1068" s="552">
        <v>9621</v>
      </c>
      <c r="P1068" s="552">
        <v>4040820</v>
      </c>
      <c r="Q1068" s="548">
        <v>0</v>
      </c>
      <c r="R1068" s="552">
        <v>0</v>
      </c>
      <c r="S1068" s="548">
        <v>9621</v>
      </c>
      <c r="T1068" s="552">
        <v>4040820</v>
      </c>
      <c r="U1068" s="548">
        <v>0</v>
      </c>
      <c r="V1068" s="552">
        <v>0</v>
      </c>
      <c r="W1068" s="552">
        <v>0</v>
      </c>
      <c r="X1068" s="552">
        <v>0</v>
      </c>
      <c r="Y1068" s="552">
        <v>9621</v>
      </c>
      <c r="Z1068" s="552">
        <v>4040820</v>
      </c>
      <c r="AA1068" s="552">
        <v>9621</v>
      </c>
      <c r="AB1068" s="552">
        <v>4040820</v>
      </c>
      <c r="AC1068" s="552">
        <v>0</v>
      </c>
      <c r="AD1068" s="552">
        <v>0</v>
      </c>
      <c r="AE1068" s="552">
        <v>0</v>
      </c>
      <c r="AF1068" s="552">
        <v>0</v>
      </c>
      <c r="AG1068" s="552">
        <v>0</v>
      </c>
      <c r="AH1068" s="552">
        <v>0</v>
      </c>
      <c r="AI1068" s="552">
        <v>0</v>
      </c>
      <c r="AJ1068" s="552">
        <v>0</v>
      </c>
    </row>
    <row r="1069" spans="1:36" ht="15.95" customHeight="1">
      <c r="A1069" s="547"/>
      <c r="B1069" s="548">
        <v>860</v>
      </c>
      <c r="C1069" s="549">
        <v>6141</v>
      </c>
      <c r="D1069" s="550"/>
      <c r="E1069" s="550" t="s">
        <v>4915</v>
      </c>
      <c r="F1069" s="550" t="s">
        <v>4916</v>
      </c>
      <c r="G1069" s="550" t="s">
        <v>309</v>
      </c>
      <c r="H1069" s="550" t="s">
        <v>310</v>
      </c>
      <c r="I1069" s="550" t="s">
        <v>10</v>
      </c>
      <c r="J1069" s="550" t="s">
        <v>12535</v>
      </c>
      <c r="K1069" s="551">
        <v>45248</v>
      </c>
      <c r="L1069" s="552">
        <v>420</v>
      </c>
      <c r="M1069" s="552">
        <v>420</v>
      </c>
      <c r="N1069" s="552">
        <v>420</v>
      </c>
      <c r="O1069" s="552">
        <v>60000</v>
      </c>
      <c r="P1069" s="552">
        <v>25200000</v>
      </c>
      <c r="Q1069" s="548">
        <v>0</v>
      </c>
      <c r="R1069" s="552">
        <v>0</v>
      </c>
      <c r="S1069" s="548">
        <v>21915</v>
      </c>
      <c r="T1069" s="552">
        <v>9204300</v>
      </c>
      <c r="U1069" s="548">
        <v>38085</v>
      </c>
      <c r="V1069" s="552">
        <v>15995700</v>
      </c>
      <c r="W1069" s="552">
        <v>0</v>
      </c>
      <c r="X1069" s="552">
        <v>0</v>
      </c>
      <c r="Y1069" s="552">
        <v>21915</v>
      </c>
      <c r="Z1069" s="552">
        <v>9204300</v>
      </c>
      <c r="AA1069" s="552">
        <v>21915</v>
      </c>
      <c r="AB1069" s="552">
        <v>9204300</v>
      </c>
      <c r="AC1069" s="552">
        <v>0</v>
      </c>
      <c r="AD1069" s="552">
        <v>0</v>
      </c>
      <c r="AE1069" s="552">
        <v>0</v>
      </c>
      <c r="AF1069" s="552">
        <v>0</v>
      </c>
      <c r="AG1069" s="552">
        <v>0</v>
      </c>
      <c r="AH1069" s="552">
        <v>0</v>
      </c>
      <c r="AI1069" s="552">
        <v>0</v>
      </c>
      <c r="AJ1069" s="552">
        <v>0</v>
      </c>
    </row>
    <row r="1070" spans="1:36" ht="15.95" customHeight="1">
      <c r="A1070" s="547"/>
      <c r="B1070" s="548">
        <v>861</v>
      </c>
      <c r="C1070" s="549">
        <v>6142</v>
      </c>
      <c r="D1070" s="550"/>
      <c r="E1070" s="550" t="s">
        <v>4917</v>
      </c>
      <c r="F1070" s="550" t="s">
        <v>4918</v>
      </c>
      <c r="G1070" s="550" t="s">
        <v>313</v>
      </c>
      <c r="H1070" s="550" t="s">
        <v>238</v>
      </c>
      <c r="I1070" s="550" t="s">
        <v>10</v>
      </c>
      <c r="J1070" s="550" t="s">
        <v>4481</v>
      </c>
      <c r="K1070" s="551">
        <v>44771</v>
      </c>
      <c r="L1070" s="552">
        <v>980</v>
      </c>
      <c r="M1070" s="552">
        <v>980</v>
      </c>
      <c r="N1070" s="552">
        <v>980</v>
      </c>
      <c r="O1070" s="552">
        <v>5000</v>
      </c>
      <c r="P1070" s="552">
        <v>4900000</v>
      </c>
      <c r="Q1070" s="548">
        <v>0</v>
      </c>
      <c r="R1070" s="552">
        <v>0</v>
      </c>
      <c r="S1070" s="548">
        <v>4755</v>
      </c>
      <c r="T1070" s="552">
        <v>4659900</v>
      </c>
      <c r="U1070" s="548">
        <v>245</v>
      </c>
      <c r="V1070" s="552">
        <v>240100</v>
      </c>
      <c r="W1070" s="552">
        <v>2011</v>
      </c>
      <c r="X1070" s="552">
        <v>1970780</v>
      </c>
      <c r="Y1070" s="552">
        <v>4755</v>
      </c>
      <c r="Z1070" s="552">
        <v>4659900</v>
      </c>
      <c r="AA1070" s="552">
        <v>755</v>
      </c>
      <c r="AB1070" s="552">
        <v>739900</v>
      </c>
      <c r="AC1070" s="552">
        <v>4000</v>
      </c>
      <c r="AD1070" s="552">
        <v>3920000</v>
      </c>
      <c r="AE1070" s="552">
        <v>0</v>
      </c>
      <c r="AF1070" s="552">
        <v>0</v>
      </c>
      <c r="AG1070" s="552">
        <v>0</v>
      </c>
      <c r="AH1070" s="552">
        <v>0</v>
      </c>
      <c r="AI1070" s="552">
        <v>0</v>
      </c>
      <c r="AJ1070" s="552">
        <v>0</v>
      </c>
    </row>
    <row r="1071" spans="1:36" ht="15.95" customHeight="1">
      <c r="A1071" s="547"/>
      <c r="B1071" s="548">
        <v>874</v>
      </c>
      <c r="C1071" s="549">
        <v>6148</v>
      </c>
      <c r="D1071" s="550"/>
      <c r="E1071" s="550" t="s">
        <v>4922</v>
      </c>
      <c r="F1071" s="550" t="s">
        <v>405</v>
      </c>
      <c r="G1071" s="550" t="s">
        <v>236</v>
      </c>
      <c r="H1071" s="550" t="s">
        <v>327</v>
      </c>
      <c r="I1071" s="550" t="s">
        <v>10</v>
      </c>
      <c r="J1071" s="550" t="s">
        <v>4923</v>
      </c>
      <c r="K1071" s="551">
        <v>44368</v>
      </c>
      <c r="L1071" s="552">
        <v>428</v>
      </c>
      <c r="M1071" s="552">
        <v>428</v>
      </c>
      <c r="N1071" s="552">
        <v>428</v>
      </c>
      <c r="O1071" s="552">
        <v>257</v>
      </c>
      <c r="P1071" s="552">
        <v>109996</v>
      </c>
      <c r="Q1071" s="548">
        <v>1</v>
      </c>
      <c r="R1071" s="552">
        <v>428</v>
      </c>
      <c r="S1071" s="548">
        <v>258</v>
      </c>
      <c r="T1071" s="552">
        <v>110424</v>
      </c>
      <c r="U1071" s="548">
        <v>0</v>
      </c>
      <c r="V1071" s="552">
        <v>0</v>
      </c>
      <c r="W1071" s="552">
        <v>0</v>
      </c>
      <c r="X1071" s="552">
        <v>0</v>
      </c>
      <c r="Y1071" s="552">
        <v>258</v>
      </c>
      <c r="Z1071" s="552">
        <v>110424</v>
      </c>
      <c r="AA1071" s="552">
        <v>221</v>
      </c>
      <c r="AB1071" s="552">
        <v>94588</v>
      </c>
      <c r="AC1071" s="552">
        <v>37</v>
      </c>
      <c r="AD1071" s="552">
        <v>15836</v>
      </c>
      <c r="AE1071" s="552">
        <v>0</v>
      </c>
      <c r="AF1071" s="552">
        <v>0</v>
      </c>
      <c r="AG1071" s="552">
        <v>0</v>
      </c>
      <c r="AH1071" s="552">
        <v>0</v>
      </c>
      <c r="AI1071" s="552">
        <v>0</v>
      </c>
      <c r="AJ1071" s="552">
        <v>0</v>
      </c>
    </row>
    <row r="1072" spans="1:36" ht="15.95" customHeight="1">
      <c r="A1072" s="547"/>
      <c r="B1072" s="548">
        <v>902</v>
      </c>
      <c r="C1072" s="549">
        <v>6151</v>
      </c>
      <c r="D1072" s="550"/>
      <c r="E1072" s="550" t="s">
        <v>4924</v>
      </c>
      <c r="F1072" s="550" t="s">
        <v>456</v>
      </c>
      <c r="G1072" s="550" t="s">
        <v>359</v>
      </c>
      <c r="H1072" s="550" t="s">
        <v>262</v>
      </c>
      <c r="I1072" s="550" t="s">
        <v>10</v>
      </c>
      <c r="J1072" s="550" t="s">
        <v>4925</v>
      </c>
      <c r="K1072" s="551">
        <v>45199</v>
      </c>
      <c r="L1072" s="552">
        <v>1780</v>
      </c>
      <c r="M1072" s="552">
        <v>1780</v>
      </c>
      <c r="N1072" s="552">
        <v>1780</v>
      </c>
      <c r="O1072" s="552">
        <v>63</v>
      </c>
      <c r="P1072" s="552">
        <v>112140</v>
      </c>
      <c r="Q1072" s="548">
        <v>0</v>
      </c>
      <c r="R1072" s="552">
        <v>0</v>
      </c>
      <c r="S1072" s="548">
        <v>0</v>
      </c>
      <c r="T1072" s="552">
        <v>0</v>
      </c>
      <c r="U1072" s="548">
        <v>63</v>
      </c>
      <c r="V1072" s="552">
        <v>112140</v>
      </c>
      <c r="W1072" s="552">
        <v>0</v>
      </c>
      <c r="X1072" s="552">
        <v>0</v>
      </c>
      <c r="Y1072" s="552">
        <v>0</v>
      </c>
      <c r="Z1072" s="552">
        <v>0</v>
      </c>
      <c r="AA1072" s="552">
        <v>0</v>
      </c>
      <c r="AB1072" s="552">
        <v>0</v>
      </c>
      <c r="AC1072" s="552">
        <v>0</v>
      </c>
      <c r="AD1072" s="552">
        <v>0</v>
      </c>
      <c r="AE1072" s="552">
        <v>0</v>
      </c>
      <c r="AF1072" s="552">
        <v>0</v>
      </c>
      <c r="AG1072" s="552">
        <v>0</v>
      </c>
      <c r="AH1072" s="552">
        <v>0</v>
      </c>
      <c r="AI1072" s="552">
        <v>0</v>
      </c>
      <c r="AJ1072" s="552">
        <v>0</v>
      </c>
    </row>
    <row r="1073" spans="1:36" ht="15.95" customHeight="1">
      <c r="A1073" s="547"/>
      <c r="B1073" s="548">
        <v>903</v>
      </c>
      <c r="C1073" s="549">
        <v>6151</v>
      </c>
      <c r="D1073" s="550"/>
      <c r="E1073" s="550" t="s">
        <v>4924</v>
      </c>
      <c r="F1073" s="550" t="s">
        <v>456</v>
      </c>
      <c r="G1073" s="550" t="s">
        <v>359</v>
      </c>
      <c r="H1073" s="550" t="s">
        <v>262</v>
      </c>
      <c r="I1073" s="550" t="s">
        <v>10</v>
      </c>
      <c r="J1073" s="550" t="s">
        <v>4926</v>
      </c>
      <c r="K1073" s="551">
        <v>45351</v>
      </c>
      <c r="L1073" s="552">
        <v>1780</v>
      </c>
      <c r="M1073" s="552">
        <v>1780</v>
      </c>
      <c r="N1073" s="552">
        <v>1780</v>
      </c>
      <c r="O1073" s="552">
        <v>606</v>
      </c>
      <c r="P1073" s="552">
        <v>1078680</v>
      </c>
      <c r="Q1073" s="548">
        <v>0</v>
      </c>
      <c r="R1073" s="552">
        <v>0</v>
      </c>
      <c r="S1073" s="548">
        <v>606</v>
      </c>
      <c r="T1073" s="552">
        <v>1078680</v>
      </c>
      <c r="U1073" s="548">
        <v>0</v>
      </c>
      <c r="V1073" s="552">
        <v>0</v>
      </c>
      <c r="W1073" s="552">
        <v>474</v>
      </c>
      <c r="X1073" s="552">
        <v>843720</v>
      </c>
      <c r="Y1073" s="552">
        <v>606</v>
      </c>
      <c r="Z1073" s="552">
        <v>1078680</v>
      </c>
      <c r="AA1073" s="552">
        <v>606</v>
      </c>
      <c r="AB1073" s="552">
        <v>1078680</v>
      </c>
      <c r="AC1073" s="552">
        <v>0</v>
      </c>
      <c r="AD1073" s="552">
        <v>0</v>
      </c>
      <c r="AE1073" s="552">
        <v>0</v>
      </c>
      <c r="AF1073" s="552">
        <v>0</v>
      </c>
      <c r="AG1073" s="552">
        <v>0</v>
      </c>
      <c r="AH1073" s="552">
        <v>0</v>
      </c>
      <c r="AI1073" s="552">
        <v>0</v>
      </c>
      <c r="AJ1073" s="552">
        <v>0</v>
      </c>
    </row>
    <row r="1074" spans="1:36" ht="15.95" customHeight="1">
      <c r="A1074" s="547"/>
      <c r="B1074" s="548">
        <v>904</v>
      </c>
      <c r="C1074" s="549">
        <v>6151</v>
      </c>
      <c r="D1074" s="550"/>
      <c r="E1074" s="550" t="s">
        <v>4924</v>
      </c>
      <c r="F1074" s="550" t="s">
        <v>456</v>
      </c>
      <c r="G1074" s="550" t="s">
        <v>359</v>
      </c>
      <c r="H1074" s="550" t="s">
        <v>262</v>
      </c>
      <c r="I1074" s="550" t="s">
        <v>10</v>
      </c>
      <c r="J1074" s="550" t="s">
        <v>4927</v>
      </c>
      <c r="K1074" s="551">
        <v>45412</v>
      </c>
      <c r="L1074" s="552">
        <v>1780</v>
      </c>
      <c r="M1074" s="552">
        <v>1780</v>
      </c>
      <c r="N1074" s="552">
        <v>1780</v>
      </c>
      <c r="O1074" s="552">
        <v>900</v>
      </c>
      <c r="P1074" s="552">
        <v>1602000</v>
      </c>
      <c r="Q1074" s="548">
        <v>0</v>
      </c>
      <c r="R1074" s="552">
        <v>0</v>
      </c>
      <c r="S1074" s="548">
        <v>436</v>
      </c>
      <c r="T1074" s="552">
        <v>776080</v>
      </c>
      <c r="U1074" s="548">
        <v>464</v>
      </c>
      <c r="V1074" s="552">
        <v>825920</v>
      </c>
      <c r="W1074" s="552">
        <v>0</v>
      </c>
      <c r="X1074" s="552">
        <v>0</v>
      </c>
      <c r="Y1074" s="552">
        <v>436</v>
      </c>
      <c r="Z1074" s="552">
        <v>776080</v>
      </c>
      <c r="AA1074" s="552">
        <v>436</v>
      </c>
      <c r="AB1074" s="552">
        <v>776080</v>
      </c>
      <c r="AC1074" s="552">
        <v>0</v>
      </c>
      <c r="AD1074" s="552">
        <v>0</v>
      </c>
      <c r="AE1074" s="552">
        <v>0</v>
      </c>
      <c r="AF1074" s="552">
        <v>0</v>
      </c>
      <c r="AG1074" s="552">
        <v>0</v>
      </c>
      <c r="AH1074" s="552">
        <v>0</v>
      </c>
      <c r="AI1074" s="552">
        <v>0</v>
      </c>
      <c r="AJ1074" s="552">
        <v>0</v>
      </c>
    </row>
    <row r="1075" spans="1:36" ht="15.95" customHeight="1">
      <c r="A1075" s="547"/>
      <c r="B1075" s="548">
        <v>918</v>
      </c>
      <c r="C1075" s="549">
        <v>6153</v>
      </c>
      <c r="D1075" s="550"/>
      <c r="E1075" s="550" t="s">
        <v>4928</v>
      </c>
      <c r="F1075" s="550" t="s">
        <v>4929</v>
      </c>
      <c r="G1075" s="550" t="s">
        <v>395</v>
      </c>
      <c r="H1075" s="550" t="s">
        <v>267</v>
      </c>
      <c r="I1075" s="550" t="s">
        <v>10</v>
      </c>
      <c r="J1075" s="550" t="s">
        <v>4930</v>
      </c>
      <c r="K1075" s="551">
        <v>44484</v>
      </c>
      <c r="L1075" s="552">
        <v>1095</v>
      </c>
      <c r="M1075" s="552">
        <v>1095</v>
      </c>
      <c r="N1075" s="552">
        <v>1095</v>
      </c>
      <c r="O1075" s="552">
        <v>103</v>
      </c>
      <c r="P1075" s="552">
        <v>112785</v>
      </c>
      <c r="Q1075" s="548">
        <v>2</v>
      </c>
      <c r="R1075" s="552">
        <v>2190</v>
      </c>
      <c r="S1075" s="548">
        <v>105</v>
      </c>
      <c r="T1075" s="552">
        <v>114975</v>
      </c>
      <c r="U1075" s="548">
        <v>0</v>
      </c>
      <c r="V1075" s="552">
        <v>0</v>
      </c>
      <c r="W1075" s="552">
        <v>0</v>
      </c>
      <c r="X1075" s="552">
        <v>0</v>
      </c>
      <c r="Y1075" s="552">
        <v>105</v>
      </c>
      <c r="Z1075" s="552">
        <v>114975</v>
      </c>
      <c r="AA1075" s="552">
        <v>74</v>
      </c>
      <c r="AB1075" s="552">
        <v>81030</v>
      </c>
      <c r="AC1075" s="552">
        <v>31</v>
      </c>
      <c r="AD1075" s="552">
        <v>33945</v>
      </c>
      <c r="AE1075" s="552">
        <v>0</v>
      </c>
      <c r="AF1075" s="552">
        <v>0</v>
      </c>
      <c r="AG1075" s="552">
        <v>0</v>
      </c>
      <c r="AH1075" s="552">
        <v>0</v>
      </c>
      <c r="AI1075" s="552">
        <v>0</v>
      </c>
      <c r="AJ1075" s="552">
        <v>0</v>
      </c>
    </row>
    <row r="1076" spans="1:36" ht="15.95" customHeight="1">
      <c r="A1076" s="547"/>
      <c r="B1076" s="548">
        <v>919</v>
      </c>
      <c r="C1076" s="549">
        <v>6153</v>
      </c>
      <c r="D1076" s="550"/>
      <c r="E1076" s="550" t="s">
        <v>4928</v>
      </c>
      <c r="F1076" s="550" t="s">
        <v>4929</v>
      </c>
      <c r="G1076" s="550" t="s">
        <v>395</v>
      </c>
      <c r="H1076" s="550" t="s">
        <v>267</v>
      </c>
      <c r="I1076" s="550" t="s">
        <v>10</v>
      </c>
      <c r="J1076" s="550" t="s">
        <v>4931</v>
      </c>
      <c r="K1076" s="551">
        <v>44992</v>
      </c>
      <c r="L1076" s="552">
        <v>1095</v>
      </c>
      <c r="M1076" s="552">
        <v>1095</v>
      </c>
      <c r="N1076" s="552">
        <v>1095</v>
      </c>
      <c r="O1076" s="552">
        <v>3820</v>
      </c>
      <c r="P1076" s="552">
        <v>4182900</v>
      </c>
      <c r="Q1076" s="548">
        <v>0</v>
      </c>
      <c r="R1076" s="552">
        <v>0</v>
      </c>
      <c r="S1076" s="548">
        <v>3820</v>
      </c>
      <c r="T1076" s="552">
        <v>4182900</v>
      </c>
      <c r="U1076" s="548">
        <v>0</v>
      </c>
      <c r="V1076" s="552">
        <v>0</v>
      </c>
      <c r="W1076" s="552">
        <v>0</v>
      </c>
      <c r="X1076" s="552">
        <v>0</v>
      </c>
      <c r="Y1076" s="552">
        <v>3820</v>
      </c>
      <c r="Z1076" s="552">
        <v>4182900</v>
      </c>
      <c r="AA1076" s="552">
        <v>3820</v>
      </c>
      <c r="AB1076" s="552">
        <v>4182900</v>
      </c>
      <c r="AC1076" s="552">
        <v>0</v>
      </c>
      <c r="AD1076" s="552">
        <v>0</v>
      </c>
      <c r="AE1076" s="552">
        <v>0</v>
      </c>
      <c r="AF1076" s="552">
        <v>0</v>
      </c>
      <c r="AG1076" s="552">
        <v>0</v>
      </c>
      <c r="AH1076" s="552">
        <v>0</v>
      </c>
      <c r="AI1076" s="552">
        <v>0</v>
      </c>
      <c r="AJ1076" s="552">
        <v>0</v>
      </c>
    </row>
    <row r="1077" spans="1:36" ht="15.95" customHeight="1">
      <c r="A1077" s="547"/>
      <c r="B1077" s="548">
        <v>920</v>
      </c>
      <c r="C1077" s="549">
        <v>6153</v>
      </c>
      <c r="D1077" s="550"/>
      <c r="E1077" s="550" t="s">
        <v>4928</v>
      </c>
      <c r="F1077" s="550" t="s">
        <v>4929</v>
      </c>
      <c r="G1077" s="550" t="s">
        <v>395</v>
      </c>
      <c r="H1077" s="550" t="s">
        <v>267</v>
      </c>
      <c r="I1077" s="550" t="s">
        <v>10</v>
      </c>
      <c r="J1077" s="550" t="s">
        <v>12536</v>
      </c>
      <c r="K1077" s="551">
        <v>45249</v>
      </c>
      <c r="L1077" s="552">
        <v>1095</v>
      </c>
      <c r="M1077" s="552">
        <v>1095</v>
      </c>
      <c r="N1077" s="552">
        <v>1095</v>
      </c>
      <c r="O1077" s="552">
        <v>10000</v>
      </c>
      <c r="P1077" s="552">
        <v>10950000</v>
      </c>
      <c r="Q1077" s="548">
        <v>0</v>
      </c>
      <c r="R1077" s="552">
        <v>0</v>
      </c>
      <c r="S1077" s="548">
        <v>10000</v>
      </c>
      <c r="T1077" s="552">
        <v>10950000</v>
      </c>
      <c r="U1077" s="548">
        <v>0</v>
      </c>
      <c r="V1077" s="552">
        <v>0</v>
      </c>
      <c r="W1077" s="552">
        <v>0</v>
      </c>
      <c r="X1077" s="552">
        <v>0</v>
      </c>
      <c r="Y1077" s="552">
        <v>10000</v>
      </c>
      <c r="Z1077" s="552">
        <v>10950000</v>
      </c>
      <c r="AA1077" s="552">
        <v>10000</v>
      </c>
      <c r="AB1077" s="552">
        <v>10950000</v>
      </c>
      <c r="AC1077" s="552">
        <v>0</v>
      </c>
      <c r="AD1077" s="552">
        <v>0</v>
      </c>
      <c r="AE1077" s="552">
        <v>0</v>
      </c>
      <c r="AF1077" s="552">
        <v>0</v>
      </c>
      <c r="AG1077" s="552">
        <v>0</v>
      </c>
      <c r="AH1077" s="552">
        <v>0</v>
      </c>
      <c r="AI1077" s="552">
        <v>0</v>
      </c>
      <c r="AJ1077" s="552">
        <v>0</v>
      </c>
    </row>
    <row r="1078" spans="1:36" ht="15.95" customHeight="1">
      <c r="A1078" s="547"/>
      <c r="B1078" s="548">
        <v>924</v>
      </c>
      <c r="C1078" s="549">
        <v>6155</v>
      </c>
      <c r="D1078" s="550"/>
      <c r="E1078" s="550" t="s">
        <v>4932</v>
      </c>
      <c r="F1078" s="550" t="s">
        <v>344</v>
      </c>
      <c r="G1078" s="550" t="s">
        <v>227</v>
      </c>
      <c r="H1078" s="550" t="s">
        <v>225</v>
      </c>
      <c r="I1078" s="550" t="s">
        <v>10</v>
      </c>
      <c r="J1078" s="550" t="s">
        <v>12537</v>
      </c>
      <c r="K1078" s="551">
        <v>44809</v>
      </c>
      <c r="L1078" s="552">
        <v>420</v>
      </c>
      <c r="M1078" s="552">
        <v>420</v>
      </c>
      <c r="N1078" s="552">
        <v>420</v>
      </c>
      <c r="O1078" s="552">
        <v>100000</v>
      </c>
      <c r="P1078" s="552">
        <v>42000000</v>
      </c>
      <c r="Q1078" s="548">
        <v>0</v>
      </c>
      <c r="R1078" s="552">
        <v>0</v>
      </c>
      <c r="S1078" s="548">
        <v>99998</v>
      </c>
      <c r="T1078" s="552">
        <v>41999160</v>
      </c>
      <c r="U1078" s="548">
        <v>2</v>
      </c>
      <c r="V1078" s="552">
        <v>840</v>
      </c>
      <c r="W1078" s="552">
        <v>19148</v>
      </c>
      <c r="X1078" s="552">
        <v>8042160</v>
      </c>
      <c r="Y1078" s="552">
        <v>25998</v>
      </c>
      <c r="Z1078" s="552">
        <v>10919160</v>
      </c>
      <c r="AA1078" s="552">
        <v>14998</v>
      </c>
      <c r="AB1078" s="552">
        <v>6299160</v>
      </c>
      <c r="AC1078" s="552">
        <v>11000</v>
      </c>
      <c r="AD1078" s="552">
        <v>4620000</v>
      </c>
      <c r="AE1078" s="552">
        <v>0</v>
      </c>
      <c r="AF1078" s="552">
        <v>0</v>
      </c>
      <c r="AG1078" s="552">
        <v>74000</v>
      </c>
      <c r="AH1078" s="552">
        <v>31080000</v>
      </c>
      <c r="AI1078" s="552">
        <v>0</v>
      </c>
      <c r="AJ1078" s="552">
        <v>0</v>
      </c>
    </row>
    <row r="1079" spans="1:36" ht="15.95" customHeight="1">
      <c r="A1079" s="547"/>
      <c r="B1079" s="548">
        <v>944</v>
      </c>
      <c r="C1079" s="549">
        <v>6160</v>
      </c>
      <c r="D1079" s="550"/>
      <c r="E1079" s="550" t="s">
        <v>4933</v>
      </c>
      <c r="F1079" s="550" t="s">
        <v>266</v>
      </c>
      <c r="G1079" s="550" t="s">
        <v>265</v>
      </c>
      <c r="H1079" s="550" t="s">
        <v>267</v>
      </c>
      <c r="I1079" s="550" t="s">
        <v>14</v>
      </c>
      <c r="J1079" s="550" t="s">
        <v>4934</v>
      </c>
      <c r="K1079" s="551">
        <v>44191</v>
      </c>
      <c r="L1079" s="552">
        <v>8988</v>
      </c>
      <c r="M1079" s="552">
        <v>8988</v>
      </c>
      <c r="N1079" s="552">
        <v>8988</v>
      </c>
      <c r="O1079" s="552">
        <v>6</v>
      </c>
      <c r="P1079" s="552">
        <v>53928</v>
      </c>
      <c r="Q1079" s="548">
        <v>0</v>
      </c>
      <c r="R1079" s="552">
        <v>0</v>
      </c>
      <c r="S1079" s="548">
        <v>0</v>
      </c>
      <c r="T1079" s="552">
        <v>0</v>
      </c>
      <c r="U1079" s="548">
        <v>6</v>
      </c>
      <c r="V1079" s="552">
        <v>53928</v>
      </c>
      <c r="W1079" s="552">
        <v>0</v>
      </c>
      <c r="X1079" s="552">
        <v>0</v>
      </c>
      <c r="Y1079" s="552">
        <v>0</v>
      </c>
      <c r="Z1079" s="552">
        <v>0</v>
      </c>
      <c r="AA1079" s="552">
        <v>0</v>
      </c>
      <c r="AB1079" s="552">
        <v>0</v>
      </c>
      <c r="AC1079" s="552">
        <v>0</v>
      </c>
      <c r="AD1079" s="552">
        <v>0</v>
      </c>
      <c r="AE1079" s="552">
        <v>0</v>
      </c>
      <c r="AF1079" s="552">
        <v>0</v>
      </c>
      <c r="AG1079" s="552">
        <v>0</v>
      </c>
      <c r="AH1079" s="552">
        <v>0</v>
      </c>
      <c r="AI1079" s="552">
        <v>0</v>
      </c>
      <c r="AJ1079" s="552">
        <v>0</v>
      </c>
    </row>
    <row r="1080" spans="1:36" ht="15.95" customHeight="1">
      <c r="A1080" s="547"/>
      <c r="B1080" s="548">
        <v>945</v>
      </c>
      <c r="C1080" s="549">
        <v>6160</v>
      </c>
      <c r="D1080" s="550"/>
      <c r="E1080" s="550" t="s">
        <v>4933</v>
      </c>
      <c r="F1080" s="550" t="s">
        <v>266</v>
      </c>
      <c r="G1080" s="550" t="s">
        <v>265</v>
      </c>
      <c r="H1080" s="550" t="s">
        <v>267</v>
      </c>
      <c r="I1080" s="550" t="s">
        <v>14</v>
      </c>
      <c r="J1080" s="550" t="s">
        <v>4935</v>
      </c>
      <c r="K1080" s="551">
        <v>44744</v>
      </c>
      <c r="L1080" s="552">
        <v>8988</v>
      </c>
      <c r="M1080" s="552">
        <v>8988</v>
      </c>
      <c r="N1080" s="552">
        <v>8988</v>
      </c>
      <c r="O1080" s="552">
        <v>17</v>
      </c>
      <c r="P1080" s="552">
        <v>152796</v>
      </c>
      <c r="Q1080" s="548">
        <v>0</v>
      </c>
      <c r="R1080" s="552">
        <v>0</v>
      </c>
      <c r="S1080" s="548">
        <v>17</v>
      </c>
      <c r="T1080" s="552">
        <v>152796</v>
      </c>
      <c r="U1080" s="548">
        <v>0</v>
      </c>
      <c r="V1080" s="552">
        <v>0</v>
      </c>
      <c r="W1080" s="552">
        <v>0</v>
      </c>
      <c r="X1080" s="552">
        <v>0</v>
      </c>
      <c r="Y1080" s="552">
        <v>17</v>
      </c>
      <c r="Z1080" s="552">
        <v>152796</v>
      </c>
      <c r="AA1080" s="552">
        <v>0</v>
      </c>
      <c r="AB1080" s="552">
        <v>0</v>
      </c>
      <c r="AC1080" s="552">
        <v>17</v>
      </c>
      <c r="AD1080" s="552">
        <v>152796</v>
      </c>
      <c r="AE1080" s="552">
        <v>0</v>
      </c>
      <c r="AF1080" s="552">
        <v>0</v>
      </c>
      <c r="AG1080" s="552">
        <v>0</v>
      </c>
      <c r="AH1080" s="552">
        <v>0</v>
      </c>
      <c r="AI1080" s="552">
        <v>0</v>
      </c>
      <c r="AJ1080" s="552">
        <v>0</v>
      </c>
    </row>
    <row r="1081" spans="1:36" ht="15.95" customHeight="1">
      <c r="A1081" s="547"/>
      <c r="B1081" s="548">
        <v>946</v>
      </c>
      <c r="C1081" s="549">
        <v>6160</v>
      </c>
      <c r="D1081" s="550"/>
      <c r="E1081" s="550" t="s">
        <v>4933</v>
      </c>
      <c r="F1081" s="550" t="s">
        <v>266</v>
      </c>
      <c r="G1081" s="550" t="s">
        <v>265</v>
      </c>
      <c r="H1081" s="550" t="s">
        <v>267</v>
      </c>
      <c r="I1081" s="550" t="s">
        <v>14</v>
      </c>
      <c r="J1081" s="550" t="s">
        <v>12538</v>
      </c>
      <c r="K1081" s="551">
        <v>45031</v>
      </c>
      <c r="L1081" s="552">
        <v>8988</v>
      </c>
      <c r="M1081" s="552">
        <v>8988</v>
      </c>
      <c r="N1081" s="552">
        <v>8988</v>
      </c>
      <c r="O1081" s="552">
        <v>200</v>
      </c>
      <c r="P1081" s="552">
        <v>1797600</v>
      </c>
      <c r="Q1081" s="548">
        <v>2</v>
      </c>
      <c r="R1081" s="552">
        <v>17976</v>
      </c>
      <c r="S1081" s="548">
        <v>202</v>
      </c>
      <c r="T1081" s="552">
        <v>1815576</v>
      </c>
      <c r="U1081" s="548">
        <v>0</v>
      </c>
      <c r="V1081" s="552">
        <v>0</v>
      </c>
      <c r="W1081" s="552">
        <v>0</v>
      </c>
      <c r="X1081" s="552">
        <v>0</v>
      </c>
      <c r="Y1081" s="552">
        <v>186</v>
      </c>
      <c r="Z1081" s="552">
        <v>1671768</v>
      </c>
      <c r="AA1081" s="552">
        <v>0</v>
      </c>
      <c r="AB1081" s="552">
        <v>0</v>
      </c>
      <c r="AC1081" s="552">
        <v>186</v>
      </c>
      <c r="AD1081" s="552">
        <v>1671768</v>
      </c>
      <c r="AE1081" s="552">
        <v>0</v>
      </c>
      <c r="AF1081" s="552">
        <v>0</v>
      </c>
      <c r="AG1081" s="552">
        <v>16</v>
      </c>
      <c r="AH1081" s="552">
        <v>143808</v>
      </c>
      <c r="AI1081" s="552">
        <v>0</v>
      </c>
      <c r="AJ1081" s="552">
        <v>0</v>
      </c>
    </row>
    <row r="1082" spans="1:36" ht="15.95" customHeight="1">
      <c r="A1082" s="547"/>
      <c r="B1082" s="548">
        <v>947</v>
      </c>
      <c r="C1082" s="549">
        <v>6160</v>
      </c>
      <c r="D1082" s="550"/>
      <c r="E1082" s="550" t="s">
        <v>4933</v>
      </c>
      <c r="F1082" s="550" t="s">
        <v>266</v>
      </c>
      <c r="G1082" s="550" t="s">
        <v>265</v>
      </c>
      <c r="H1082" s="550" t="s">
        <v>267</v>
      </c>
      <c r="I1082" s="550" t="s">
        <v>14</v>
      </c>
      <c r="J1082" s="550" t="s">
        <v>4760</v>
      </c>
      <c r="K1082" s="551">
        <v>45036</v>
      </c>
      <c r="L1082" s="552">
        <v>8988</v>
      </c>
      <c r="M1082" s="552">
        <v>8988</v>
      </c>
      <c r="N1082" s="552">
        <v>8988</v>
      </c>
      <c r="O1082" s="552">
        <v>100</v>
      </c>
      <c r="P1082" s="552">
        <v>898800</v>
      </c>
      <c r="Q1082" s="548">
        <v>3</v>
      </c>
      <c r="R1082" s="552">
        <v>26964</v>
      </c>
      <c r="S1082" s="548">
        <v>101</v>
      </c>
      <c r="T1082" s="552">
        <v>907788</v>
      </c>
      <c r="U1082" s="548">
        <v>2</v>
      </c>
      <c r="V1082" s="552">
        <v>17976</v>
      </c>
      <c r="W1082" s="552">
        <v>0</v>
      </c>
      <c r="X1082" s="552">
        <v>0</v>
      </c>
      <c r="Y1082" s="552">
        <v>95</v>
      </c>
      <c r="Z1082" s="552">
        <v>853860</v>
      </c>
      <c r="AA1082" s="552">
        <v>0</v>
      </c>
      <c r="AB1082" s="552">
        <v>0</v>
      </c>
      <c r="AC1082" s="552">
        <v>95</v>
      </c>
      <c r="AD1082" s="552">
        <v>853860</v>
      </c>
      <c r="AE1082" s="552">
        <v>0</v>
      </c>
      <c r="AF1082" s="552">
        <v>0</v>
      </c>
      <c r="AG1082" s="552">
        <v>6</v>
      </c>
      <c r="AH1082" s="552">
        <v>53928</v>
      </c>
      <c r="AI1082" s="552">
        <v>0</v>
      </c>
      <c r="AJ1082" s="552">
        <v>0</v>
      </c>
    </row>
    <row r="1083" spans="1:36" ht="15.95" customHeight="1">
      <c r="A1083" s="547"/>
      <c r="B1083" s="548">
        <v>948</v>
      </c>
      <c r="C1083" s="549">
        <v>6160</v>
      </c>
      <c r="D1083" s="550"/>
      <c r="E1083" s="550" t="s">
        <v>4933</v>
      </c>
      <c r="F1083" s="550" t="s">
        <v>266</v>
      </c>
      <c r="G1083" s="550" t="s">
        <v>265</v>
      </c>
      <c r="H1083" s="550" t="s">
        <v>267</v>
      </c>
      <c r="I1083" s="550" t="s">
        <v>14</v>
      </c>
      <c r="J1083" s="550" t="s">
        <v>12539</v>
      </c>
      <c r="K1083" s="551">
        <v>45137</v>
      </c>
      <c r="L1083" s="552">
        <v>8988</v>
      </c>
      <c r="M1083" s="552">
        <v>8988</v>
      </c>
      <c r="N1083" s="552">
        <v>8988</v>
      </c>
      <c r="O1083" s="552">
        <v>150</v>
      </c>
      <c r="P1083" s="552">
        <v>1348200</v>
      </c>
      <c r="Q1083" s="548">
        <v>3</v>
      </c>
      <c r="R1083" s="552">
        <v>26964</v>
      </c>
      <c r="S1083" s="548">
        <v>147</v>
      </c>
      <c r="T1083" s="552">
        <v>1321236</v>
      </c>
      <c r="U1083" s="548">
        <v>6</v>
      </c>
      <c r="V1083" s="552">
        <v>53928</v>
      </c>
      <c r="W1083" s="552">
        <v>0</v>
      </c>
      <c r="X1083" s="552">
        <v>0</v>
      </c>
      <c r="Y1083" s="552">
        <v>116</v>
      </c>
      <c r="Z1083" s="552">
        <v>1042608</v>
      </c>
      <c r="AA1083" s="552">
        <v>0</v>
      </c>
      <c r="AB1083" s="552">
        <v>0</v>
      </c>
      <c r="AC1083" s="552">
        <v>116</v>
      </c>
      <c r="AD1083" s="552">
        <v>1042608</v>
      </c>
      <c r="AE1083" s="552">
        <v>0</v>
      </c>
      <c r="AF1083" s="552">
        <v>0</v>
      </c>
      <c r="AG1083" s="552">
        <v>31</v>
      </c>
      <c r="AH1083" s="552">
        <v>278628</v>
      </c>
      <c r="AI1083" s="552">
        <v>0</v>
      </c>
      <c r="AJ1083" s="552">
        <v>0</v>
      </c>
    </row>
    <row r="1084" spans="1:36" ht="15.95" customHeight="1">
      <c r="A1084" s="547"/>
      <c r="B1084" s="548">
        <v>998</v>
      </c>
      <c r="C1084" s="549">
        <v>6164</v>
      </c>
      <c r="D1084" s="550"/>
      <c r="E1084" s="550" t="s">
        <v>4941</v>
      </c>
      <c r="F1084" s="550" t="s">
        <v>4942</v>
      </c>
      <c r="G1084" s="550" t="s">
        <v>227</v>
      </c>
      <c r="H1084" s="550" t="s">
        <v>225</v>
      </c>
      <c r="I1084" s="550" t="s">
        <v>10</v>
      </c>
      <c r="J1084" s="550" t="s">
        <v>4943</v>
      </c>
      <c r="K1084" s="551">
        <v>45766</v>
      </c>
      <c r="L1084" s="552">
        <v>420</v>
      </c>
      <c r="M1084" s="552">
        <v>420</v>
      </c>
      <c r="N1084" s="552">
        <v>420</v>
      </c>
      <c r="O1084" s="552">
        <v>51507</v>
      </c>
      <c r="P1084" s="552">
        <v>21632940</v>
      </c>
      <c r="Q1084" s="548">
        <v>945</v>
      </c>
      <c r="R1084" s="552">
        <v>396900</v>
      </c>
      <c r="S1084" s="548">
        <v>34810</v>
      </c>
      <c r="T1084" s="552">
        <v>14620200</v>
      </c>
      <c r="U1084" s="548">
        <v>17642</v>
      </c>
      <c r="V1084" s="552">
        <v>7409640</v>
      </c>
      <c r="W1084" s="552">
        <v>4353</v>
      </c>
      <c r="X1084" s="552">
        <v>1828260</v>
      </c>
      <c r="Y1084" s="552">
        <v>14054</v>
      </c>
      <c r="Z1084" s="552">
        <v>5902680</v>
      </c>
      <c r="AA1084" s="552">
        <v>0</v>
      </c>
      <c r="AB1084" s="552">
        <v>0</v>
      </c>
      <c r="AC1084" s="552">
        <v>14054</v>
      </c>
      <c r="AD1084" s="552">
        <v>5902680</v>
      </c>
      <c r="AE1084" s="552">
        <v>0</v>
      </c>
      <c r="AF1084" s="552">
        <v>0</v>
      </c>
      <c r="AG1084" s="552">
        <v>20756</v>
      </c>
      <c r="AH1084" s="552">
        <v>8717520</v>
      </c>
      <c r="AI1084" s="552">
        <v>0</v>
      </c>
      <c r="AJ1084" s="552">
        <v>0</v>
      </c>
    </row>
    <row r="1085" spans="1:36" ht="15.95" customHeight="1">
      <c r="A1085" s="547"/>
      <c r="B1085" s="548">
        <v>1040</v>
      </c>
      <c r="C1085" s="549">
        <v>6167</v>
      </c>
      <c r="D1085" s="550"/>
      <c r="E1085" s="550" t="s">
        <v>5372</v>
      </c>
      <c r="F1085" s="550" t="s">
        <v>496</v>
      </c>
      <c r="G1085" s="550" t="s">
        <v>433</v>
      </c>
      <c r="H1085" s="550" t="s">
        <v>272</v>
      </c>
      <c r="I1085" s="550" t="s">
        <v>10</v>
      </c>
      <c r="J1085" s="550" t="s">
        <v>12540</v>
      </c>
      <c r="K1085" s="551">
        <v>45109</v>
      </c>
      <c r="L1085" s="552">
        <v>1193</v>
      </c>
      <c r="M1085" s="552">
        <v>1193</v>
      </c>
      <c r="N1085" s="552">
        <v>1193</v>
      </c>
      <c r="O1085" s="552"/>
      <c r="P1085" s="552"/>
      <c r="Q1085" s="548">
        <v>4960</v>
      </c>
      <c r="R1085" s="552">
        <v>5917280</v>
      </c>
      <c r="S1085" s="548">
        <v>4960</v>
      </c>
      <c r="T1085" s="552">
        <v>5917280</v>
      </c>
      <c r="U1085" s="548">
        <v>0</v>
      </c>
      <c r="V1085" s="552">
        <v>0</v>
      </c>
      <c r="W1085" s="552">
        <v>4730</v>
      </c>
      <c r="X1085" s="552">
        <v>5642890</v>
      </c>
      <c r="Y1085" s="552">
        <v>4960</v>
      </c>
      <c r="Z1085" s="552">
        <v>5917280</v>
      </c>
      <c r="AA1085" s="552">
        <v>0</v>
      </c>
      <c r="AB1085" s="552">
        <v>0</v>
      </c>
      <c r="AC1085" s="552">
        <v>4960</v>
      </c>
      <c r="AD1085" s="552">
        <v>5917280</v>
      </c>
      <c r="AE1085" s="552">
        <v>0</v>
      </c>
      <c r="AF1085" s="552">
        <v>0</v>
      </c>
      <c r="AG1085" s="552">
        <v>0</v>
      </c>
      <c r="AH1085" s="552">
        <v>0</v>
      </c>
      <c r="AI1085" s="552">
        <v>0</v>
      </c>
      <c r="AJ1085" s="552">
        <v>0</v>
      </c>
    </row>
    <row r="1086" spans="1:36" ht="15.95" customHeight="1">
      <c r="A1086" s="547"/>
      <c r="B1086" s="548">
        <v>1041</v>
      </c>
      <c r="C1086" s="549">
        <v>6168</v>
      </c>
      <c r="D1086" s="550"/>
      <c r="E1086" s="550" t="s">
        <v>5378</v>
      </c>
      <c r="F1086" s="550" t="s">
        <v>498</v>
      </c>
      <c r="G1086" s="550" t="s">
        <v>433</v>
      </c>
      <c r="H1086" s="550" t="s">
        <v>225</v>
      </c>
      <c r="I1086" s="550" t="s">
        <v>10</v>
      </c>
      <c r="J1086" s="550" t="s">
        <v>12541</v>
      </c>
      <c r="K1086" s="551">
        <v>45045</v>
      </c>
      <c r="L1086" s="552">
        <v>2038</v>
      </c>
      <c r="M1086" s="552">
        <v>2038</v>
      </c>
      <c r="N1086" s="552">
        <v>2038</v>
      </c>
      <c r="O1086" s="552"/>
      <c r="P1086" s="552"/>
      <c r="Q1086" s="548">
        <v>4960</v>
      </c>
      <c r="R1086" s="552">
        <v>10108480</v>
      </c>
      <c r="S1086" s="548">
        <v>4960</v>
      </c>
      <c r="T1086" s="552">
        <v>10108480</v>
      </c>
      <c r="U1086" s="548">
        <v>0</v>
      </c>
      <c r="V1086" s="552">
        <v>0</v>
      </c>
      <c r="W1086" s="552">
        <v>4960</v>
      </c>
      <c r="X1086" s="552">
        <v>10108480</v>
      </c>
      <c r="Y1086" s="552">
        <v>4960</v>
      </c>
      <c r="Z1086" s="552">
        <v>10108480</v>
      </c>
      <c r="AA1086" s="552">
        <v>0</v>
      </c>
      <c r="AB1086" s="552">
        <v>0</v>
      </c>
      <c r="AC1086" s="552">
        <v>4960</v>
      </c>
      <c r="AD1086" s="552">
        <v>10108480</v>
      </c>
      <c r="AE1086" s="552">
        <v>0</v>
      </c>
      <c r="AF1086" s="552">
        <v>0</v>
      </c>
      <c r="AG1086" s="552">
        <v>0</v>
      </c>
      <c r="AH1086" s="552">
        <v>0</v>
      </c>
      <c r="AI1086" s="552">
        <v>0</v>
      </c>
      <c r="AJ1086" s="552">
        <v>0</v>
      </c>
    </row>
    <row r="1087" spans="1:36" ht="15.95" customHeight="1">
      <c r="A1087" s="547"/>
      <c r="B1087" s="548">
        <v>1086</v>
      </c>
      <c r="C1087" s="549">
        <v>6170</v>
      </c>
      <c r="D1087" s="550"/>
      <c r="E1087" s="550" t="s">
        <v>4944</v>
      </c>
      <c r="F1087" s="550" t="s">
        <v>4945</v>
      </c>
      <c r="G1087" s="550" t="s">
        <v>246</v>
      </c>
      <c r="H1087" s="550" t="s">
        <v>248</v>
      </c>
      <c r="I1087" s="550" t="s">
        <v>10</v>
      </c>
      <c r="J1087" s="550" t="s">
        <v>4946</v>
      </c>
      <c r="K1087" s="551">
        <v>44088</v>
      </c>
      <c r="L1087" s="552">
        <v>1785</v>
      </c>
      <c r="M1087" s="552">
        <v>1785</v>
      </c>
      <c r="N1087" s="552">
        <v>1785</v>
      </c>
      <c r="O1087" s="552">
        <v>13</v>
      </c>
      <c r="P1087" s="552">
        <v>23205</v>
      </c>
      <c r="Q1087" s="548">
        <v>0</v>
      </c>
      <c r="R1087" s="552">
        <v>0</v>
      </c>
      <c r="S1087" s="548">
        <v>13</v>
      </c>
      <c r="T1087" s="552">
        <v>23205</v>
      </c>
      <c r="U1087" s="548">
        <v>0</v>
      </c>
      <c r="V1087" s="552">
        <v>0</v>
      </c>
      <c r="W1087" s="552">
        <v>0</v>
      </c>
      <c r="X1087" s="552">
        <v>0</v>
      </c>
      <c r="Y1087" s="552">
        <v>13</v>
      </c>
      <c r="Z1087" s="552">
        <v>23205</v>
      </c>
      <c r="AA1087" s="552">
        <v>13</v>
      </c>
      <c r="AB1087" s="552">
        <v>23205</v>
      </c>
      <c r="AC1087" s="552">
        <v>0</v>
      </c>
      <c r="AD1087" s="552">
        <v>0</v>
      </c>
      <c r="AE1087" s="552">
        <v>0</v>
      </c>
      <c r="AF1087" s="552">
        <v>0</v>
      </c>
      <c r="AG1087" s="552">
        <v>0</v>
      </c>
      <c r="AH1087" s="552">
        <v>0</v>
      </c>
      <c r="AI1087" s="552">
        <v>0</v>
      </c>
      <c r="AJ1087" s="552">
        <v>0</v>
      </c>
    </row>
    <row r="1088" spans="1:36" ht="15.95" customHeight="1">
      <c r="A1088" s="547"/>
      <c r="B1088" s="548">
        <v>1087</v>
      </c>
      <c r="C1088" s="549">
        <v>6170</v>
      </c>
      <c r="D1088" s="550"/>
      <c r="E1088" s="550" t="s">
        <v>4944</v>
      </c>
      <c r="F1088" s="550" t="s">
        <v>4945</v>
      </c>
      <c r="G1088" s="550" t="s">
        <v>246</v>
      </c>
      <c r="H1088" s="550" t="s">
        <v>248</v>
      </c>
      <c r="I1088" s="550" t="s">
        <v>10</v>
      </c>
      <c r="J1088" s="550" t="s">
        <v>4947</v>
      </c>
      <c r="K1088" s="551">
        <v>44829</v>
      </c>
      <c r="L1088" s="552">
        <v>1785</v>
      </c>
      <c r="M1088" s="552">
        <v>1785</v>
      </c>
      <c r="N1088" s="552">
        <v>1785</v>
      </c>
      <c r="O1088" s="552">
        <v>3665</v>
      </c>
      <c r="P1088" s="552">
        <v>6542025</v>
      </c>
      <c r="Q1088" s="548">
        <v>0</v>
      </c>
      <c r="R1088" s="552">
        <v>0</v>
      </c>
      <c r="S1088" s="548">
        <v>2037</v>
      </c>
      <c r="T1088" s="552">
        <v>3636045</v>
      </c>
      <c r="U1088" s="548">
        <v>1628</v>
      </c>
      <c r="V1088" s="552">
        <v>2905980</v>
      </c>
      <c r="W1088" s="552">
        <v>20</v>
      </c>
      <c r="X1088" s="552">
        <v>35700</v>
      </c>
      <c r="Y1088" s="552">
        <v>2037</v>
      </c>
      <c r="Z1088" s="552">
        <v>3636045</v>
      </c>
      <c r="AA1088" s="552">
        <v>1837</v>
      </c>
      <c r="AB1088" s="552">
        <v>3279045</v>
      </c>
      <c r="AC1088" s="552">
        <v>200</v>
      </c>
      <c r="AD1088" s="552">
        <v>357000</v>
      </c>
      <c r="AE1088" s="552">
        <v>0</v>
      </c>
      <c r="AF1088" s="552">
        <v>0</v>
      </c>
      <c r="AG1088" s="552">
        <v>0</v>
      </c>
      <c r="AH1088" s="552">
        <v>0</v>
      </c>
      <c r="AI1088" s="552">
        <v>0</v>
      </c>
      <c r="AJ1088" s="552">
        <v>0</v>
      </c>
    </row>
    <row r="1089" spans="1:36" ht="15.95" customHeight="1">
      <c r="A1089" s="547"/>
      <c r="B1089" s="548">
        <v>1101</v>
      </c>
      <c r="C1089" s="549">
        <v>6172</v>
      </c>
      <c r="D1089" s="550"/>
      <c r="E1089" s="550" t="s">
        <v>4948</v>
      </c>
      <c r="F1089" s="550" t="s">
        <v>4949</v>
      </c>
      <c r="G1089" s="550" t="s">
        <v>4950</v>
      </c>
      <c r="H1089" s="550" t="s">
        <v>4951</v>
      </c>
      <c r="I1089" s="550" t="s">
        <v>628</v>
      </c>
      <c r="J1089" s="550" t="s">
        <v>4952</v>
      </c>
      <c r="K1089" s="551">
        <v>44832</v>
      </c>
      <c r="L1089" s="552">
        <v>8274</v>
      </c>
      <c r="M1089" s="552">
        <v>8274</v>
      </c>
      <c r="N1089" s="552">
        <v>8274</v>
      </c>
      <c r="O1089" s="552">
        <v>82</v>
      </c>
      <c r="P1089" s="552">
        <v>678468</v>
      </c>
      <c r="Q1089" s="548">
        <v>3</v>
      </c>
      <c r="R1089" s="552">
        <v>24822</v>
      </c>
      <c r="S1089" s="548">
        <v>75</v>
      </c>
      <c r="T1089" s="552">
        <v>620550</v>
      </c>
      <c r="U1089" s="548">
        <v>10</v>
      </c>
      <c r="V1089" s="552">
        <v>82740</v>
      </c>
      <c r="W1089" s="552">
        <v>0</v>
      </c>
      <c r="X1089" s="552">
        <v>0</v>
      </c>
      <c r="Y1089" s="552">
        <v>66</v>
      </c>
      <c r="Z1089" s="552">
        <v>546084</v>
      </c>
      <c r="AA1089" s="552">
        <v>0</v>
      </c>
      <c r="AB1089" s="552">
        <v>0</v>
      </c>
      <c r="AC1089" s="552">
        <v>66</v>
      </c>
      <c r="AD1089" s="552">
        <v>546084</v>
      </c>
      <c r="AE1089" s="552">
        <v>0</v>
      </c>
      <c r="AF1089" s="552">
        <v>0</v>
      </c>
      <c r="AG1089" s="552">
        <v>9</v>
      </c>
      <c r="AH1089" s="552">
        <v>74466</v>
      </c>
      <c r="AI1089" s="552">
        <v>0</v>
      </c>
      <c r="AJ1089" s="552">
        <v>0</v>
      </c>
    </row>
    <row r="1090" spans="1:36" ht="15.95" customHeight="1">
      <c r="A1090" s="547"/>
      <c r="B1090" s="548">
        <v>1105</v>
      </c>
      <c r="C1090" s="549">
        <v>6173</v>
      </c>
      <c r="D1090" s="550"/>
      <c r="E1090" s="550" t="s">
        <v>4953</v>
      </c>
      <c r="F1090" s="550" t="s">
        <v>532</v>
      </c>
      <c r="G1090" s="550" t="s">
        <v>531</v>
      </c>
      <c r="H1090" s="550" t="s">
        <v>533</v>
      </c>
      <c r="I1090" s="550" t="s">
        <v>628</v>
      </c>
      <c r="J1090" s="550" t="s">
        <v>12093</v>
      </c>
      <c r="K1090" s="551">
        <v>45118</v>
      </c>
      <c r="L1090" s="552">
        <v>1176</v>
      </c>
      <c r="M1090" s="552">
        <v>1176</v>
      </c>
      <c r="N1090" s="552">
        <v>1176</v>
      </c>
      <c r="O1090" s="552">
        <v>923</v>
      </c>
      <c r="P1090" s="552">
        <v>1085448</v>
      </c>
      <c r="Q1090" s="548">
        <v>0</v>
      </c>
      <c r="R1090" s="552">
        <v>0</v>
      </c>
      <c r="S1090" s="548">
        <v>551</v>
      </c>
      <c r="T1090" s="552">
        <v>647976</v>
      </c>
      <c r="U1090" s="548">
        <v>372</v>
      </c>
      <c r="V1090" s="552">
        <v>437472</v>
      </c>
      <c r="W1090" s="552">
        <v>0</v>
      </c>
      <c r="X1090" s="552">
        <v>0</v>
      </c>
      <c r="Y1090" s="552">
        <v>536</v>
      </c>
      <c r="Z1090" s="552">
        <v>630336</v>
      </c>
      <c r="AA1090" s="552">
        <v>0</v>
      </c>
      <c r="AB1090" s="552">
        <v>0</v>
      </c>
      <c r="AC1090" s="552">
        <v>536</v>
      </c>
      <c r="AD1090" s="552">
        <v>630336</v>
      </c>
      <c r="AE1090" s="552">
        <v>0</v>
      </c>
      <c r="AF1090" s="552">
        <v>0</v>
      </c>
      <c r="AG1090" s="552">
        <v>15</v>
      </c>
      <c r="AH1090" s="552">
        <v>17640</v>
      </c>
      <c r="AI1090" s="552">
        <v>0</v>
      </c>
      <c r="AJ1090" s="552">
        <v>0</v>
      </c>
    </row>
    <row r="1091" spans="1:36" ht="15.95" customHeight="1">
      <c r="A1091" s="547"/>
      <c r="B1091" s="548">
        <v>1106</v>
      </c>
      <c r="C1091" s="549">
        <v>6174</v>
      </c>
      <c r="D1091" s="550"/>
      <c r="E1091" s="550" t="s">
        <v>4954</v>
      </c>
      <c r="F1091" s="550" t="s">
        <v>532</v>
      </c>
      <c r="G1091" s="550" t="s">
        <v>531</v>
      </c>
      <c r="H1091" s="550" t="s">
        <v>534</v>
      </c>
      <c r="I1091" s="550" t="s">
        <v>10</v>
      </c>
      <c r="J1091" s="550" t="s">
        <v>11595</v>
      </c>
      <c r="K1091" s="551">
        <v>45065</v>
      </c>
      <c r="L1091" s="552">
        <v>115</v>
      </c>
      <c r="M1091" s="552">
        <v>115</v>
      </c>
      <c r="N1091" s="552">
        <v>115</v>
      </c>
      <c r="O1091" s="552">
        <v>250</v>
      </c>
      <c r="P1091" s="552">
        <v>28750</v>
      </c>
      <c r="Q1091" s="548">
        <v>0</v>
      </c>
      <c r="R1091" s="552">
        <v>0</v>
      </c>
      <c r="S1091" s="548">
        <v>0</v>
      </c>
      <c r="T1091" s="552">
        <v>0</v>
      </c>
      <c r="U1091" s="548">
        <v>250</v>
      </c>
      <c r="V1091" s="552">
        <v>28750</v>
      </c>
      <c r="W1091" s="552">
        <v>0</v>
      </c>
      <c r="X1091" s="552">
        <v>0</v>
      </c>
      <c r="Y1091" s="552">
        <v>0</v>
      </c>
      <c r="Z1091" s="552">
        <v>0</v>
      </c>
      <c r="AA1091" s="552">
        <v>0</v>
      </c>
      <c r="AB1091" s="552">
        <v>0</v>
      </c>
      <c r="AC1091" s="552">
        <v>0</v>
      </c>
      <c r="AD1091" s="552">
        <v>0</v>
      </c>
      <c r="AE1091" s="552">
        <v>0</v>
      </c>
      <c r="AF1091" s="552">
        <v>0</v>
      </c>
      <c r="AG1091" s="552">
        <v>0</v>
      </c>
      <c r="AH1091" s="552">
        <v>0</v>
      </c>
      <c r="AI1091" s="552">
        <v>0</v>
      </c>
      <c r="AJ1091" s="552">
        <v>0</v>
      </c>
    </row>
    <row r="1092" spans="1:36" ht="15.95" customHeight="1">
      <c r="A1092" s="547"/>
      <c r="B1092" s="548">
        <v>1107</v>
      </c>
      <c r="C1092" s="549">
        <v>6174</v>
      </c>
      <c r="D1092" s="550"/>
      <c r="E1092" s="550" t="s">
        <v>4954</v>
      </c>
      <c r="F1092" s="550" t="s">
        <v>532</v>
      </c>
      <c r="G1092" s="550" t="s">
        <v>531</v>
      </c>
      <c r="H1092" s="550" t="s">
        <v>534</v>
      </c>
      <c r="I1092" s="550" t="s">
        <v>10</v>
      </c>
      <c r="J1092" s="550" t="s">
        <v>4270</v>
      </c>
      <c r="K1092" s="551">
        <v>44911</v>
      </c>
      <c r="L1092" s="552">
        <v>115</v>
      </c>
      <c r="M1092" s="552">
        <v>115</v>
      </c>
      <c r="N1092" s="552">
        <v>115</v>
      </c>
      <c r="O1092" s="552">
        <v>8280</v>
      </c>
      <c r="P1092" s="552">
        <v>952200</v>
      </c>
      <c r="Q1092" s="548">
        <v>351</v>
      </c>
      <c r="R1092" s="552">
        <v>40365</v>
      </c>
      <c r="S1092" s="548">
        <v>3559</v>
      </c>
      <c r="T1092" s="552">
        <v>409285</v>
      </c>
      <c r="U1092" s="548">
        <v>5072</v>
      </c>
      <c r="V1092" s="552">
        <v>583280</v>
      </c>
      <c r="W1092" s="552">
        <v>83</v>
      </c>
      <c r="X1092" s="552">
        <v>9545</v>
      </c>
      <c r="Y1092" s="552">
        <v>3537</v>
      </c>
      <c r="Z1092" s="552">
        <v>406755</v>
      </c>
      <c r="AA1092" s="552">
        <v>2858</v>
      </c>
      <c r="AB1092" s="552">
        <v>328670</v>
      </c>
      <c r="AC1092" s="552">
        <v>679</v>
      </c>
      <c r="AD1092" s="552">
        <v>78085</v>
      </c>
      <c r="AE1092" s="552">
        <v>0</v>
      </c>
      <c r="AF1092" s="552">
        <v>0</v>
      </c>
      <c r="AG1092" s="552">
        <v>22</v>
      </c>
      <c r="AH1092" s="552">
        <v>2530</v>
      </c>
      <c r="AI1092" s="552">
        <v>0</v>
      </c>
      <c r="AJ1092" s="552">
        <v>0</v>
      </c>
    </row>
    <row r="1093" spans="1:36" ht="15.95" customHeight="1">
      <c r="A1093" s="547"/>
      <c r="B1093" s="548">
        <v>1109</v>
      </c>
      <c r="C1093" s="549">
        <v>6175</v>
      </c>
      <c r="D1093" s="550"/>
      <c r="E1093" s="550" t="s">
        <v>4955</v>
      </c>
      <c r="F1093" s="550" t="s">
        <v>4956</v>
      </c>
      <c r="G1093" s="550" t="s">
        <v>265</v>
      </c>
      <c r="H1093" s="550" t="s">
        <v>387</v>
      </c>
      <c r="I1093" s="550" t="s">
        <v>10</v>
      </c>
      <c r="J1093" s="550" t="s">
        <v>4291</v>
      </c>
      <c r="K1093" s="551">
        <v>45011</v>
      </c>
      <c r="L1093" s="552">
        <v>1900</v>
      </c>
      <c r="M1093" s="552">
        <v>1900</v>
      </c>
      <c r="N1093" s="552">
        <v>1900</v>
      </c>
      <c r="O1093" s="552">
        <v>2283</v>
      </c>
      <c r="P1093" s="552">
        <v>4337700</v>
      </c>
      <c r="Q1093" s="548">
        <v>13</v>
      </c>
      <c r="R1093" s="552">
        <v>24700</v>
      </c>
      <c r="S1093" s="548">
        <v>2293</v>
      </c>
      <c r="T1093" s="552">
        <v>4356700</v>
      </c>
      <c r="U1093" s="548">
        <v>3</v>
      </c>
      <c r="V1093" s="552">
        <v>5700</v>
      </c>
      <c r="W1093" s="552">
        <v>0</v>
      </c>
      <c r="X1093" s="552">
        <v>0</v>
      </c>
      <c r="Y1093" s="552">
        <v>2293</v>
      </c>
      <c r="Z1093" s="552">
        <v>4356700</v>
      </c>
      <c r="AA1093" s="552">
        <v>1910</v>
      </c>
      <c r="AB1093" s="552">
        <v>3629000</v>
      </c>
      <c r="AC1093" s="552">
        <v>383</v>
      </c>
      <c r="AD1093" s="552">
        <v>727700</v>
      </c>
      <c r="AE1093" s="552">
        <v>0</v>
      </c>
      <c r="AF1093" s="552">
        <v>0</v>
      </c>
      <c r="AG1093" s="552">
        <v>0</v>
      </c>
      <c r="AH1093" s="552">
        <v>0</v>
      </c>
      <c r="AI1093" s="552">
        <v>0</v>
      </c>
      <c r="AJ1093" s="552">
        <v>0</v>
      </c>
    </row>
    <row r="1094" spans="1:36" ht="15.95" customHeight="1">
      <c r="A1094" s="547"/>
      <c r="B1094" s="548">
        <v>1110</v>
      </c>
      <c r="C1094" s="549">
        <v>6175</v>
      </c>
      <c r="D1094" s="550"/>
      <c r="E1094" s="550" t="s">
        <v>4955</v>
      </c>
      <c r="F1094" s="550" t="s">
        <v>4956</v>
      </c>
      <c r="G1094" s="550" t="s">
        <v>265</v>
      </c>
      <c r="H1094" s="550" t="s">
        <v>387</v>
      </c>
      <c r="I1094" s="550" t="s">
        <v>10</v>
      </c>
      <c r="J1094" s="550" t="s">
        <v>4105</v>
      </c>
      <c r="K1094" s="551">
        <v>45094</v>
      </c>
      <c r="L1094" s="552">
        <v>1900</v>
      </c>
      <c r="M1094" s="552">
        <v>1900</v>
      </c>
      <c r="N1094" s="552">
        <v>1900</v>
      </c>
      <c r="O1094" s="552">
        <v>20000</v>
      </c>
      <c r="P1094" s="552">
        <v>38000000</v>
      </c>
      <c r="Q1094" s="548">
        <v>2</v>
      </c>
      <c r="R1094" s="552">
        <v>3800</v>
      </c>
      <c r="S1094" s="548">
        <v>17984</v>
      </c>
      <c r="T1094" s="552">
        <v>34169600</v>
      </c>
      <c r="U1094" s="548">
        <v>2018</v>
      </c>
      <c r="V1094" s="552">
        <v>3834200</v>
      </c>
      <c r="W1094" s="552">
        <v>500</v>
      </c>
      <c r="X1094" s="552">
        <v>950000</v>
      </c>
      <c r="Y1094" s="552">
        <v>17984</v>
      </c>
      <c r="Z1094" s="552">
        <v>34169600</v>
      </c>
      <c r="AA1094" s="552">
        <v>17979</v>
      </c>
      <c r="AB1094" s="552">
        <v>34160100</v>
      </c>
      <c r="AC1094" s="552">
        <v>5</v>
      </c>
      <c r="AD1094" s="552">
        <v>9500</v>
      </c>
      <c r="AE1094" s="552">
        <v>0</v>
      </c>
      <c r="AF1094" s="552">
        <v>0</v>
      </c>
      <c r="AG1094" s="552">
        <v>0</v>
      </c>
      <c r="AH1094" s="552">
        <v>0</v>
      </c>
      <c r="AI1094" s="552">
        <v>0</v>
      </c>
      <c r="AJ1094" s="552">
        <v>0</v>
      </c>
    </row>
    <row r="1095" spans="1:36" ht="15.95" customHeight="1">
      <c r="A1095" s="547"/>
      <c r="B1095" s="548">
        <v>1111</v>
      </c>
      <c r="C1095" s="549">
        <v>6175</v>
      </c>
      <c r="D1095" s="550"/>
      <c r="E1095" s="550" t="s">
        <v>4955</v>
      </c>
      <c r="F1095" s="550" t="s">
        <v>4956</v>
      </c>
      <c r="G1095" s="550" t="s">
        <v>265</v>
      </c>
      <c r="H1095" s="550" t="s">
        <v>387</v>
      </c>
      <c r="I1095" s="550" t="s">
        <v>10</v>
      </c>
      <c r="J1095" s="550" t="s">
        <v>4105</v>
      </c>
      <c r="K1095" s="551">
        <v>45155</v>
      </c>
      <c r="L1095" s="552">
        <v>1900</v>
      </c>
      <c r="M1095" s="552">
        <v>1900</v>
      </c>
      <c r="N1095" s="552">
        <v>1900</v>
      </c>
      <c r="O1095" s="552">
        <v>20000</v>
      </c>
      <c r="P1095" s="552">
        <v>38000000</v>
      </c>
      <c r="Q1095" s="548">
        <v>334</v>
      </c>
      <c r="R1095" s="552">
        <v>634600</v>
      </c>
      <c r="S1095" s="548">
        <v>800</v>
      </c>
      <c r="T1095" s="552">
        <v>1520000</v>
      </c>
      <c r="U1095" s="548">
        <v>19534</v>
      </c>
      <c r="V1095" s="552">
        <v>37114600</v>
      </c>
      <c r="W1095" s="552">
        <v>393</v>
      </c>
      <c r="X1095" s="552">
        <v>746700</v>
      </c>
      <c r="Y1095" s="552">
        <v>800</v>
      </c>
      <c r="Z1095" s="552">
        <v>1520000</v>
      </c>
      <c r="AA1095" s="552">
        <v>0</v>
      </c>
      <c r="AB1095" s="552">
        <v>0</v>
      </c>
      <c r="AC1095" s="552">
        <v>800</v>
      </c>
      <c r="AD1095" s="552">
        <v>1520000</v>
      </c>
      <c r="AE1095" s="552">
        <v>0</v>
      </c>
      <c r="AF1095" s="552">
        <v>0</v>
      </c>
      <c r="AG1095" s="552">
        <v>0</v>
      </c>
      <c r="AH1095" s="552">
        <v>0</v>
      </c>
      <c r="AI1095" s="552">
        <v>0</v>
      </c>
      <c r="AJ1095" s="552">
        <v>0</v>
      </c>
    </row>
    <row r="1096" spans="1:36" ht="0.75" customHeight="1">
      <c r="A1096" s="547"/>
      <c r="B1096" s="718"/>
      <c r="C1096" s="718"/>
      <c r="D1096" s="718"/>
      <c r="E1096" s="718"/>
      <c r="F1096" s="718"/>
      <c r="G1096" s="718"/>
      <c r="H1096" s="718"/>
      <c r="I1096" s="718"/>
      <c r="J1096" s="718"/>
      <c r="K1096" s="718"/>
      <c r="L1096" s="718"/>
      <c r="M1096" s="718"/>
      <c r="N1096" s="718"/>
      <c r="O1096" s="718"/>
      <c r="P1096" s="718"/>
      <c r="Q1096" s="553"/>
      <c r="R1096" s="719"/>
      <c r="S1096" s="719"/>
      <c r="T1096" s="719"/>
      <c r="U1096" s="719"/>
      <c r="V1096" s="719"/>
      <c r="W1096" s="719"/>
      <c r="X1096" s="719"/>
      <c r="Y1096" s="719"/>
      <c r="Z1096" s="719"/>
      <c r="AA1096" s="719"/>
      <c r="AB1096" s="719"/>
      <c r="AC1096" s="719"/>
      <c r="AD1096" s="719"/>
      <c r="AE1096" s="719"/>
      <c r="AF1096" s="719"/>
      <c r="AG1096" s="719"/>
      <c r="AH1096" s="719"/>
      <c r="AI1096" s="719"/>
      <c r="AJ1096" s="719"/>
    </row>
    <row r="1097" spans="1:36" ht="12.95" customHeight="1">
      <c r="A1097" s="547"/>
      <c r="B1097" s="720"/>
      <c r="C1097" s="720"/>
      <c r="D1097" s="720"/>
      <c r="E1097" s="720"/>
      <c r="F1097" s="720"/>
      <c r="G1097" s="720"/>
      <c r="H1097" s="720"/>
      <c r="I1097" s="720"/>
      <c r="J1097" s="720"/>
      <c r="K1097" s="720"/>
      <c r="L1097" s="720"/>
      <c r="M1097" s="720"/>
      <c r="N1097" s="720"/>
      <c r="O1097" s="720"/>
      <c r="P1097" s="720"/>
      <c r="Q1097" s="554"/>
      <c r="R1097" s="721"/>
      <c r="S1097" s="721"/>
      <c r="T1097" s="721"/>
      <c r="U1097" s="721"/>
      <c r="V1097" s="721"/>
      <c r="W1097" s="721"/>
      <c r="X1097" s="721"/>
      <c r="Y1097" s="721"/>
      <c r="Z1097" s="721"/>
      <c r="AA1097" s="721"/>
      <c r="AB1097" s="721"/>
      <c r="AC1097" s="721"/>
      <c r="AD1097" s="721"/>
      <c r="AE1097" s="721"/>
      <c r="AF1097" s="721"/>
      <c r="AG1097" s="721"/>
      <c r="AH1097" s="721"/>
      <c r="AI1097" s="721"/>
      <c r="AJ1097" s="721"/>
    </row>
    <row r="1098" spans="1:36" ht="0.75" customHeight="1">
      <c r="A1098" s="547"/>
      <c r="B1098" s="714"/>
      <c r="C1098" s="714"/>
      <c r="D1098" s="714"/>
      <c r="E1098" s="714"/>
      <c r="F1098" s="714"/>
      <c r="G1098" s="714"/>
      <c r="H1098" s="714"/>
      <c r="I1098" s="714"/>
      <c r="J1098" s="714"/>
      <c r="K1098" s="714"/>
      <c r="L1098" s="714"/>
      <c r="M1098" s="714"/>
      <c r="N1098" s="714"/>
      <c r="O1098" s="714"/>
      <c r="P1098" s="714"/>
      <c r="Q1098" s="555"/>
      <c r="R1098" s="715"/>
      <c r="S1098" s="715"/>
      <c r="T1098" s="715"/>
      <c r="U1098" s="715"/>
      <c r="V1098" s="715"/>
      <c r="W1098" s="715"/>
      <c r="X1098" s="715"/>
      <c r="Y1098" s="715"/>
      <c r="Z1098" s="715"/>
      <c r="AA1098" s="715"/>
      <c r="AB1098" s="715"/>
      <c r="AC1098" s="715"/>
      <c r="AD1098" s="715"/>
      <c r="AE1098" s="715"/>
      <c r="AF1098" s="715"/>
      <c r="AG1098" s="715"/>
      <c r="AH1098" s="715"/>
      <c r="AI1098" s="715"/>
      <c r="AJ1098" s="715"/>
    </row>
    <row r="1099" spans="1:36" ht="13.7" customHeight="1">
      <c r="A1099" s="717" t="s">
        <v>12542</v>
      </c>
      <c r="B1099" s="717"/>
      <c r="C1099" s="717"/>
      <c r="D1099" s="717"/>
      <c r="E1099" s="717"/>
      <c r="F1099" s="717"/>
      <c r="G1099" s="717"/>
      <c r="H1099" s="717"/>
      <c r="I1099" s="717"/>
      <c r="J1099" s="717"/>
      <c r="K1099" s="717"/>
      <c r="L1099" s="717"/>
      <c r="M1099" s="717"/>
      <c r="N1099" s="717"/>
      <c r="O1099" s="717"/>
      <c r="P1099" s="717"/>
      <c r="Q1099" s="717"/>
      <c r="R1099" s="717"/>
      <c r="S1099" s="717"/>
      <c r="T1099" s="717"/>
      <c r="U1099" s="717"/>
      <c r="V1099" s="717"/>
      <c r="W1099" s="717"/>
      <c r="X1099" s="717"/>
      <c r="Y1099" s="717"/>
      <c r="Z1099" s="717"/>
      <c r="AA1099" s="717"/>
      <c r="AB1099" s="717"/>
      <c r="AC1099" s="717"/>
      <c r="AD1099" s="717"/>
      <c r="AE1099" s="717"/>
      <c r="AF1099" s="717"/>
      <c r="AG1099" s="717"/>
      <c r="AH1099" s="717"/>
      <c r="AI1099" s="717"/>
      <c r="AJ1099" s="717"/>
    </row>
    <row r="1100" spans="1:36" ht="15.95" customHeight="1">
      <c r="A1100" s="547"/>
      <c r="B1100" s="548">
        <v>272</v>
      </c>
      <c r="C1100" s="549">
        <v>7837</v>
      </c>
      <c r="D1100" s="550" t="s">
        <v>12543</v>
      </c>
      <c r="E1100" s="550" t="s">
        <v>12543</v>
      </c>
      <c r="F1100" s="550" t="s">
        <v>12544</v>
      </c>
      <c r="G1100" s="550" t="s">
        <v>12545</v>
      </c>
      <c r="H1100" s="550" t="s">
        <v>390</v>
      </c>
      <c r="I1100" s="550" t="s">
        <v>628</v>
      </c>
      <c r="J1100" s="550" t="s">
        <v>11664</v>
      </c>
      <c r="K1100" s="551">
        <v>45145</v>
      </c>
      <c r="L1100" s="552">
        <v>0</v>
      </c>
      <c r="M1100" s="552">
        <v>0</v>
      </c>
      <c r="N1100" s="552">
        <v>0</v>
      </c>
      <c r="O1100" s="552"/>
      <c r="P1100" s="552"/>
      <c r="Q1100" s="548">
        <v>200</v>
      </c>
      <c r="R1100" s="552">
        <v>0</v>
      </c>
      <c r="S1100" s="548">
        <v>12</v>
      </c>
      <c r="T1100" s="552">
        <v>0</v>
      </c>
      <c r="U1100" s="548">
        <v>188</v>
      </c>
      <c r="V1100" s="552">
        <v>0</v>
      </c>
      <c r="W1100" s="552">
        <v>0</v>
      </c>
      <c r="X1100" s="552">
        <v>0</v>
      </c>
      <c r="Y1100" s="552">
        <v>12</v>
      </c>
      <c r="Z1100" s="552">
        <v>0</v>
      </c>
      <c r="AA1100" s="552">
        <v>0</v>
      </c>
      <c r="AB1100" s="552">
        <v>0</v>
      </c>
      <c r="AC1100" s="552">
        <v>12</v>
      </c>
      <c r="AD1100" s="552">
        <v>0</v>
      </c>
      <c r="AE1100" s="552">
        <v>0</v>
      </c>
      <c r="AF1100" s="552">
        <v>0</v>
      </c>
      <c r="AG1100" s="552">
        <v>0</v>
      </c>
      <c r="AH1100" s="552">
        <v>0</v>
      </c>
      <c r="AI1100" s="552">
        <v>0</v>
      </c>
      <c r="AJ1100" s="552">
        <v>0</v>
      </c>
    </row>
    <row r="1101" spans="1:36" ht="0.75" customHeight="1">
      <c r="A1101" s="547"/>
      <c r="B1101" s="718"/>
      <c r="C1101" s="718"/>
      <c r="D1101" s="718"/>
      <c r="E1101" s="718"/>
      <c r="F1101" s="718"/>
      <c r="G1101" s="718"/>
      <c r="H1101" s="718"/>
      <c r="I1101" s="718"/>
      <c r="J1101" s="718"/>
      <c r="K1101" s="718"/>
      <c r="L1101" s="718"/>
      <c r="M1101" s="718"/>
      <c r="N1101" s="718"/>
      <c r="O1101" s="718"/>
      <c r="P1101" s="718"/>
      <c r="Q1101" s="553"/>
      <c r="R1101" s="719"/>
      <c r="S1101" s="719"/>
      <c r="T1101" s="719"/>
      <c r="U1101" s="719"/>
      <c r="V1101" s="719"/>
      <c r="W1101" s="719"/>
      <c r="X1101" s="719"/>
      <c r="Y1101" s="719"/>
      <c r="Z1101" s="719"/>
      <c r="AA1101" s="719"/>
      <c r="AB1101" s="719"/>
      <c r="AC1101" s="719"/>
      <c r="AD1101" s="719"/>
      <c r="AE1101" s="719"/>
      <c r="AF1101" s="719"/>
      <c r="AG1101" s="719"/>
      <c r="AH1101" s="719"/>
      <c r="AI1101" s="719"/>
      <c r="AJ1101" s="719"/>
    </row>
    <row r="1102" spans="1:36" ht="12.95" customHeight="1">
      <c r="A1102" s="547"/>
      <c r="B1102" s="720"/>
      <c r="C1102" s="720"/>
      <c r="D1102" s="720"/>
      <c r="E1102" s="720"/>
      <c r="F1102" s="720"/>
      <c r="G1102" s="720"/>
      <c r="H1102" s="720"/>
      <c r="I1102" s="720"/>
      <c r="J1102" s="720"/>
      <c r="K1102" s="720"/>
      <c r="L1102" s="720"/>
      <c r="M1102" s="720"/>
      <c r="N1102" s="720"/>
      <c r="O1102" s="720"/>
      <c r="P1102" s="720"/>
      <c r="Q1102" s="554"/>
      <c r="R1102" s="721"/>
      <c r="S1102" s="721"/>
      <c r="T1102" s="721"/>
      <c r="U1102" s="721"/>
      <c r="V1102" s="721"/>
      <c r="W1102" s="721"/>
      <c r="X1102" s="721"/>
      <c r="Y1102" s="721"/>
      <c r="Z1102" s="721"/>
      <c r="AA1102" s="721"/>
      <c r="AB1102" s="721"/>
      <c r="AC1102" s="721"/>
      <c r="AD1102" s="721"/>
      <c r="AE1102" s="721"/>
      <c r="AF1102" s="721"/>
      <c r="AG1102" s="721"/>
      <c r="AH1102" s="721"/>
      <c r="AI1102" s="721"/>
      <c r="AJ1102" s="721"/>
    </row>
    <row r="1103" spans="1:36" ht="0.75" customHeight="1">
      <c r="A1103" s="547"/>
      <c r="B1103" s="714"/>
      <c r="C1103" s="714"/>
      <c r="D1103" s="714"/>
      <c r="E1103" s="714"/>
      <c r="F1103" s="714"/>
      <c r="G1103" s="714"/>
      <c r="H1103" s="714"/>
      <c r="I1103" s="714"/>
      <c r="J1103" s="714"/>
      <c r="K1103" s="714"/>
      <c r="L1103" s="714"/>
      <c r="M1103" s="714"/>
      <c r="N1103" s="714"/>
      <c r="O1103" s="714"/>
      <c r="P1103" s="714"/>
      <c r="Q1103" s="555"/>
      <c r="R1103" s="715"/>
      <c r="S1103" s="715"/>
      <c r="T1103" s="715"/>
      <c r="U1103" s="715"/>
      <c r="V1103" s="715"/>
      <c r="W1103" s="715"/>
      <c r="X1103" s="715"/>
      <c r="Y1103" s="715"/>
      <c r="Z1103" s="715"/>
      <c r="AA1103" s="715"/>
      <c r="AB1103" s="715"/>
      <c r="AC1103" s="715"/>
      <c r="AD1103" s="715"/>
      <c r="AE1103" s="715"/>
      <c r="AF1103" s="715"/>
      <c r="AG1103" s="715"/>
      <c r="AH1103" s="715"/>
      <c r="AI1103" s="715"/>
      <c r="AJ1103" s="715"/>
    </row>
    <row r="1104" spans="1:36" ht="13.7" customHeight="1">
      <c r="A1104" s="717" t="s">
        <v>12546</v>
      </c>
      <c r="B1104" s="717"/>
      <c r="C1104" s="717"/>
      <c r="D1104" s="717"/>
      <c r="E1104" s="717"/>
      <c r="F1104" s="717"/>
      <c r="G1104" s="717"/>
      <c r="H1104" s="717"/>
      <c r="I1104" s="717"/>
      <c r="J1104" s="717"/>
      <c r="K1104" s="717"/>
      <c r="L1104" s="717"/>
      <c r="M1104" s="717"/>
      <c r="N1104" s="717"/>
      <c r="O1104" s="717"/>
      <c r="P1104" s="717"/>
      <c r="Q1104" s="717"/>
      <c r="R1104" s="717"/>
      <c r="S1104" s="717"/>
      <c r="T1104" s="717"/>
      <c r="U1104" s="717"/>
      <c r="V1104" s="717"/>
      <c r="W1104" s="717"/>
      <c r="X1104" s="717"/>
      <c r="Y1104" s="717"/>
      <c r="Z1104" s="717"/>
      <c r="AA1104" s="717"/>
      <c r="AB1104" s="717"/>
      <c r="AC1104" s="717"/>
      <c r="AD1104" s="717"/>
      <c r="AE1104" s="717"/>
      <c r="AF1104" s="717"/>
      <c r="AG1104" s="717"/>
      <c r="AH1104" s="717"/>
      <c r="AI1104" s="717"/>
      <c r="AJ1104" s="717"/>
    </row>
    <row r="1105" spans="1:36" ht="15.95" customHeight="1">
      <c r="A1105" s="547"/>
      <c r="B1105" s="548">
        <v>712</v>
      </c>
      <c r="C1105" s="549">
        <v>6595</v>
      </c>
      <c r="D1105" s="550" t="s">
        <v>12547</v>
      </c>
      <c r="E1105" s="550" t="s">
        <v>7541</v>
      </c>
      <c r="F1105" s="550" t="s">
        <v>7542</v>
      </c>
      <c r="G1105" s="550" t="s">
        <v>4958</v>
      </c>
      <c r="H1105" s="550" t="s">
        <v>1016</v>
      </c>
      <c r="I1105" s="550" t="s">
        <v>520</v>
      </c>
      <c r="J1105" s="550" t="s">
        <v>12548</v>
      </c>
      <c r="K1105" s="551">
        <v>45267</v>
      </c>
      <c r="L1105" s="552">
        <v>4410</v>
      </c>
      <c r="M1105" s="552">
        <v>4410</v>
      </c>
      <c r="N1105" s="552">
        <v>4410</v>
      </c>
      <c r="O1105" s="552"/>
      <c r="P1105" s="552"/>
      <c r="Q1105" s="548">
        <v>500</v>
      </c>
      <c r="R1105" s="552">
        <v>2205000</v>
      </c>
      <c r="S1105" s="548">
        <v>336</v>
      </c>
      <c r="T1105" s="552">
        <v>1481760</v>
      </c>
      <c r="U1105" s="548">
        <v>164</v>
      </c>
      <c r="V1105" s="552">
        <v>723240</v>
      </c>
      <c r="W1105" s="552">
        <v>0</v>
      </c>
      <c r="X1105" s="552">
        <v>0</v>
      </c>
      <c r="Y1105" s="552">
        <v>0</v>
      </c>
      <c r="Z1105" s="552">
        <v>0</v>
      </c>
      <c r="AA1105" s="552">
        <v>0</v>
      </c>
      <c r="AB1105" s="552">
        <v>0</v>
      </c>
      <c r="AC1105" s="552">
        <v>0</v>
      </c>
      <c r="AD1105" s="552">
        <v>0</v>
      </c>
      <c r="AE1105" s="552">
        <v>0</v>
      </c>
      <c r="AF1105" s="552">
        <v>0</v>
      </c>
      <c r="AG1105" s="552">
        <v>336</v>
      </c>
      <c r="AH1105" s="552">
        <v>1481760</v>
      </c>
      <c r="AI1105" s="552">
        <v>0</v>
      </c>
      <c r="AJ1105" s="552">
        <v>0</v>
      </c>
    </row>
    <row r="1106" spans="1:36" ht="15.95" customHeight="1">
      <c r="A1106" s="547"/>
      <c r="B1106" s="548">
        <v>780</v>
      </c>
      <c r="C1106" s="549">
        <v>5621</v>
      </c>
      <c r="D1106" s="550"/>
      <c r="E1106" s="550" t="s">
        <v>4957</v>
      </c>
      <c r="F1106" s="550" t="s">
        <v>738</v>
      </c>
      <c r="G1106" s="550" t="s">
        <v>4958</v>
      </c>
      <c r="H1106" s="550" t="s">
        <v>739</v>
      </c>
      <c r="I1106" s="550" t="s">
        <v>628</v>
      </c>
      <c r="J1106" s="550" t="s">
        <v>4959</v>
      </c>
      <c r="K1106" s="551">
        <v>44197</v>
      </c>
      <c r="L1106" s="552">
        <v>27930</v>
      </c>
      <c r="M1106" s="552">
        <v>27930</v>
      </c>
      <c r="N1106" s="552">
        <v>27930</v>
      </c>
      <c r="O1106" s="552">
        <v>15</v>
      </c>
      <c r="P1106" s="552">
        <v>418950</v>
      </c>
      <c r="Q1106" s="548">
        <v>0</v>
      </c>
      <c r="R1106" s="552">
        <v>0</v>
      </c>
      <c r="S1106" s="548">
        <v>14</v>
      </c>
      <c r="T1106" s="552">
        <v>391020</v>
      </c>
      <c r="U1106" s="548">
        <v>1</v>
      </c>
      <c r="V1106" s="552">
        <v>27930</v>
      </c>
      <c r="W1106" s="552">
        <v>0</v>
      </c>
      <c r="X1106" s="552">
        <v>0</v>
      </c>
      <c r="Y1106" s="552">
        <v>0</v>
      </c>
      <c r="Z1106" s="552">
        <v>0</v>
      </c>
      <c r="AA1106" s="552">
        <v>0</v>
      </c>
      <c r="AB1106" s="552">
        <v>0</v>
      </c>
      <c r="AC1106" s="552">
        <v>0</v>
      </c>
      <c r="AD1106" s="552">
        <v>0</v>
      </c>
      <c r="AE1106" s="552">
        <v>0</v>
      </c>
      <c r="AF1106" s="552">
        <v>0</v>
      </c>
      <c r="AG1106" s="552">
        <v>14</v>
      </c>
      <c r="AH1106" s="552">
        <v>391020</v>
      </c>
      <c r="AI1106" s="552">
        <v>0</v>
      </c>
      <c r="AJ1106" s="552">
        <v>0</v>
      </c>
    </row>
    <row r="1107" spans="1:36" ht="15.95" customHeight="1">
      <c r="A1107" s="547"/>
      <c r="B1107" s="548">
        <v>781</v>
      </c>
      <c r="C1107" s="549">
        <v>5621</v>
      </c>
      <c r="D1107" s="550"/>
      <c r="E1107" s="550" t="s">
        <v>4957</v>
      </c>
      <c r="F1107" s="550" t="s">
        <v>738</v>
      </c>
      <c r="G1107" s="550" t="s">
        <v>4958</v>
      </c>
      <c r="H1107" s="550" t="s">
        <v>739</v>
      </c>
      <c r="I1107" s="550" t="s">
        <v>628</v>
      </c>
      <c r="J1107" s="550" t="s">
        <v>4960</v>
      </c>
      <c r="K1107" s="551">
        <v>44378</v>
      </c>
      <c r="L1107" s="552">
        <v>27930</v>
      </c>
      <c r="M1107" s="552">
        <v>27930</v>
      </c>
      <c r="N1107" s="552">
        <v>27930</v>
      </c>
      <c r="O1107" s="552">
        <v>375</v>
      </c>
      <c r="P1107" s="552">
        <v>10473750</v>
      </c>
      <c r="Q1107" s="548">
        <v>3</v>
      </c>
      <c r="R1107" s="552">
        <v>83790</v>
      </c>
      <c r="S1107" s="548">
        <v>378</v>
      </c>
      <c r="T1107" s="552">
        <v>10557540</v>
      </c>
      <c r="U1107" s="548">
        <v>0</v>
      </c>
      <c r="V1107" s="552">
        <v>0</v>
      </c>
      <c r="W1107" s="552">
        <v>0</v>
      </c>
      <c r="X1107" s="552">
        <v>0</v>
      </c>
      <c r="Y1107" s="552">
        <v>17</v>
      </c>
      <c r="Z1107" s="552">
        <v>474810</v>
      </c>
      <c r="AA1107" s="552">
        <v>0</v>
      </c>
      <c r="AB1107" s="552">
        <v>0</v>
      </c>
      <c r="AC1107" s="552">
        <v>17</v>
      </c>
      <c r="AD1107" s="552">
        <v>474810</v>
      </c>
      <c r="AE1107" s="552">
        <v>0</v>
      </c>
      <c r="AF1107" s="552">
        <v>0</v>
      </c>
      <c r="AG1107" s="552">
        <v>361</v>
      </c>
      <c r="AH1107" s="552">
        <v>10082730</v>
      </c>
      <c r="AI1107" s="552">
        <v>0</v>
      </c>
      <c r="AJ1107" s="552">
        <v>0</v>
      </c>
    </row>
    <row r="1108" spans="1:36" ht="0.75" customHeight="1">
      <c r="A1108" s="547"/>
      <c r="B1108" s="718"/>
      <c r="C1108" s="718"/>
      <c r="D1108" s="718"/>
      <c r="E1108" s="718"/>
      <c r="F1108" s="718"/>
      <c r="G1108" s="718"/>
      <c r="H1108" s="718"/>
      <c r="I1108" s="718"/>
      <c r="J1108" s="718"/>
      <c r="K1108" s="718"/>
      <c r="L1108" s="718"/>
      <c r="M1108" s="718"/>
      <c r="N1108" s="718"/>
      <c r="O1108" s="718"/>
      <c r="P1108" s="718"/>
      <c r="Q1108" s="553"/>
      <c r="R1108" s="719"/>
      <c r="S1108" s="719"/>
      <c r="T1108" s="719"/>
      <c r="U1108" s="719"/>
      <c r="V1108" s="719"/>
      <c r="W1108" s="719"/>
      <c r="X1108" s="719"/>
      <c r="Y1108" s="719"/>
      <c r="Z1108" s="719"/>
      <c r="AA1108" s="719"/>
      <c r="AB1108" s="719"/>
      <c r="AC1108" s="719"/>
      <c r="AD1108" s="719"/>
      <c r="AE1108" s="719"/>
      <c r="AF1108" s="719"/>
      <c r="AG1108" s="719"/>
      <c r="AH1108" s="719"/>
      <c r="AI1108" s="719"/>
      <c r="AJ1108" s="719"/>
    </row>
    <row r="1109" spans="1:36" ht="12.95" customHeight="1">
      <c r="A1109" s="547"/>
      <c r="B1109" s="720"/>
      <c r="C1109" s="720"/>
      <c r="D1109" s="720"/>
      <c r="E1109" s="720"/>
      <c r="F1109" s="720"/>
      <c r="G1109" s="720"/>
      <c r="H1109" s="720"/>
      <c r="I1109" s="720"/>
      <c r="J1109" s="720"/>
      <c r="K1109" s="720"/>
      <c r="L1109" s="720"/>
      <c r="M1109" s="720"/>
      <c r="N1109" s="720"/>
      <c r="O1109" s="720"/>
      <c r="P1109" s="720"/>
      <c r="Q1109" s="554"/>
      <c r="R1109" s="721"/>
      <c r="S1109" s="721"/>
      <c r="T1109" s="721"/>
      <c r="U1109" s="721"/>
      <c r="V1109" s="721"/>
      <c r="W1109" s="721"/>
      <c r="X1109" s="721"/>
      <c r="Y1109" s="721"/>
      <c r="Z1109" s="721"/>
      <c r="AA1109" s="721"/>
      <c r="AB1109" s="721"/>
      <c r="AC1109" s="721"/>
      <c r="AD1109" s="721"/>
      <c r="AE1109" s="721"/>
      <c r="AF1109" s="721"/>
      <c r="AG1109" s="721"/>
      <c r="AH1109" s="721"/>
      <c r="AI1109" s="721"/>
      <c r="AJ1109" s="721"/>
    </row>
    <row r="1110" spans="1:36" ht="0.75" customHeight="1">
      <c r="A1110" s="547"/>
      <c r="B1110" s="714"/>
      <c r="C1110" s="714"/>
      <c r="D1110" s="714"/>
      <c r="E1110" s="714"/>
      <c r="F1110" s="714"/>
      <c r="G1110" s="714"/>
      <c r="H1110" s="714"/>
      <c r="I1110" s="714"/>
      <c r="J1110" s="714"/>
      <c r="K1110" s="714"/>
      <c r="L1110" s="714"/>
      <c r="M1110" s="714"/>
      <c r="N1110" s="714"/>
      <c r="O1110" s="714"/>
      <c r="P1110" s="714"/>
      <c r="Q1110" s="555"/>
      <c r="R1110" s="715"/>
      <c r="S1110" s="715"/>
      <c r="T1110" s="715"/>
      <c r="U1110" s="715"/>
      <c r="V1110" s="715"/>
      <c r="W1110" s="715"/>
      <c r="X1110" s="715"/>
      <c r="Y1110" s="715"/>
      <c r="Z1110" s="715"/>
      <c r="AA1110" s="715"/>
      <c r="AB1110" s="715"/>
      <c r="AC1110" s="715"/>
      <c r="AD1110" s="715"/>
      <c r="AE1110" s="715"/>
      <c r="AF1110" s="715"/>
      <c r="AG1110" s="715"/>
      <c r="AH1110" s="715"/>
      <c r="AI1110" s="715"/>
      <c r="AJ1110" s="715"/>
    </row>
    <row r="1111" spans="1:36" ht="13.7" customHeight="1">
      <c r="A1111" s="717" t="s">
        <v>12549</v>
      </c>
      <c r="B1111" s="717"/>
      <c r="C1111" s="717"/>
      <c r="D1111" s="717"/>
      <c r="E1111" s="717"/>
      <c r="F1111" s="717"/>
      <c r="G1111" s="717"/>
      <c r="H1111" s="717"/>
      <c r="I1111" s="717"/>
      <c r="J1111" s="717"/>
      <c r="K1111" s="717"/>
      <c r="L1111" s="717"/>
      <c r="M1111" s="717"/>
      <c r="N1111" s="717"/>
      <c r="O1111" s="717"/>
      <c r="P1111" s="717"/>
      <c r="Q1111" s="717"/>
      <c r="R1111" s="717"/>
      <c r="S1111" s="717"/>
      <c r="T1111" s="717"/>
      <c r="U1111" s="717"/>
      <c r="V1111" s="717"/>
      <c r="W1111" s="717"/>
      <c r="X1111" s="717"/>
      <c r="Y1111" s="717"/>
      <c r="Z1111" s="717"/>
      <c r="AA1111" s="717"/>
      <c r="AB1111" s="717"/>
      <c r="AC1111" s="717"/>
      <c r="AD1111" s="717"/>
      <c r="AE1111" s="717"/>
      <c r="AF1111" s="717"/>
      <c r="AG1111" s="717"/>
      <c r="AH1111" s="717"/>
      <c r="AI1111" s="717"/>
      <c r="AJ1111" s="717"/>
    </row>
    <row r="1112" spans="1:36" ht="15.95" customHeight="1">
      <c r="A1112" s="547"/>
      <c r="B1112" s="548">
        <v>289</v>
      </c>
      <c r="C1112" s="549">
        <v>7080</v>
      </c>
      <c r="D1112" s="550" t="s">
        <v>12550</v>
      </c>
      <c r="E1112" s="550" t="s">
        <v>4961</v>
      </c>
      <c r="F1112" s="550" t="s">
        <v>714</v>
      </c>
      <c r="G1112" s="550" t="s">
        <v>713</v>
      </c>
      <c r="H1112" s="550" t="s">
        <v>1767</v>
      </c>
      <c r="I1112" s="550" t="s">
        <v>520</v>
      </c>
      <c r="J1112" s="550" t="s">
        <v>4962</v>
      </c>
      <c r="K1112" s="551">
        <v>44377</v>
      </c>
      <c r="L1112" s="552">
        <v>7707</v>
      </c>
      <c r="M1112" s="552">
        <v>7707</v>
      </c>
      <c r="N1112" s="552">
        <v>7707</v>
      </c>
      <c r="O1112" s="552">
        <v>10</v>
      </c>
      <c r="P1112" s="552">
        <v>77070</v>
      </c>
      <c r="Q1112" s="548">
        <v>0</v>
      </c>
      <c r="R1112" s="552">
        <v>0</v>
      </c>
      <c r="S1112" s="548">
        <v>10</v>
      </c>
      <c r="T1112" s="552">
        <v>77070</v>
      </c>
      <c r="U1112" s="548">
        <v>0</v>
      </c>
      <c r="V1112" s="552">
        <v>0</v>
      </c>
      <c r="W1112" s="552">
        <v>0</v>
      </c>
      <c r="X1112" s="552">
        <v>0</v>
      </c>
      <c r="Y1112" s="552">
        <v>10</v>
      </c>
      <c r="Z1112" s="552">
        <v>77070</v>
      </c>
      <c r="AA1112" s="552">
        <v>0</v>
      </c>
      <c r="AB1112" s="552">
        <v>0</v>
      </c>
      <c r="AC1112" s="552">
        <v>10</v>
      </c>
      <c r="AD1112" s="552">
        <v>77070</v>
      </c>
      <c r="AE1112" s="552">
        <v>0</v>
      </c>
      <c r="AF1112" s="552">
        <v>0</v>
      </c>
      <c r="AG1112" s="552">
        <v>0</v>
      </c>
      <c r="AH1112" s="552">
        <v>0</v>
      </c>
      <c r="AI1112" s="552">
        <v>0</v>
      </c>
      <c r="AJ1112" s="552">
        <v>0</v>
      </c>
    </row>
    <row r="1113" spans="1:36" ht="15.95" customHeight="1">
      <c r="A1113" s="547"/>
      <c r="B1113" s="548">
        <v>290</v>
      </c>
      <c r="C1113" s="549">
        <v>7080</v>
      </c>
      <c r="D1113" s="550" t="s">
        <v>12550</v>
      </c>
      <c r="E1113" s="550" t="s">
        <v>4961</v>
      </c>
      <c r="F1113" s="550" t="s">
        <v>714</v>
      </c>
      <c r="G1113" s="550" t="s">
        <v>713</v>
      </c>
      <c r="H1113" s="550" t="s">
        <v>1767</v>
      </c>
      <c r="I1113" s="550" t="s">
        <v>520</v>
      </c>
      <c r="J1113" s="550" t="s">
        <v>12551</v>
      </c>
      <c r="K1113" s="551">
        <v>44506</v>
      </c>
      <c r="L1113" s="552">
        <v>7707</v>
      </c>
      <c r="M1113" s="552">
        <v>7707</v>
      </c>
      <c r="N1113" s="552">
        <v>7707</v>
      </c>
      <c r="O1113" s="552">
        <v>20</v>
      </c>
      <c r="P1113" s="552">
        <v>154140</v>
      </c>
      <c r="Q1113" s="548">
        <v>10</v>
      </c>
      <c r="R1113" s="552">
        <v>77070</v>
      </c>
      <c r="S1113" s="548">
        <v>30</v>
      </c>
      <c r="T1113" s="552">
        <v>231210</v>
      </c>
      <c r="U1113" s="548">
        <v>0</v>
      </c>
      <c r="V1113" s="552">
        <v>0</v>
      </c>
      <c r="W1113" s="552">
        <v>0</v>
      </c>
      <c r="X1113" s="552">
        <v>0</v>
      </c>
      <c r="Y1113" s="552">
        <v>4</v>
      </c>
      <c r="Z1113" s="552">
        <v>30828</v>
      </c>
      <c r="AA1113" s="552">
        <v>0</v>
      </c>
      <c r="AB1113" s="552">
        <v>0</v>
      </c>
      <c r="AC1113" s="552">
        <v>4</v>
      </c>
      <c r="AD1113" s="552">
        <v>30828</v>
      </c>
      <c r="AE1113" s="552">
        <v>0</v>
      </c>
      <c r="AF1113" s="552">
        <v>0</v>
      </c>
      <c r="AG1113" s="552">
        <v>26</v>
      </c>
      <c r="AH1113" s="552">
        <v>200382</v>
      </c>
      <c r="AI1113" s="552">
        <v>0</v>
      </c>
      <c r="AJ1113" s="552">
        <v>0</v>
      </c>
    </row>
    <row r="1114" spans="1:36" ht="15.95" customHeight="1">
      <c r="A1114" s="547"/>
      <c r="B1114" s="548">
        <v>928</v>
      </c>
      <c r="C1114" s="549">
        <v>7082</v>
      </c>
      <c r="D1114" s="550" t="s">
        <v>12552</v>
      </c>
      <c r="E1114" s="550" t="s">
        <v>4964</v>
      </c>
      <c r="F1114" s="550" t="s">
        <v>4965</v>
      </c>
      <c r="G1114" s="550" t="s">
        <v>713</v>
      </c>
      <c r="H1114" s="550" t="s">
        <v>327</v>
      </c>
      <c r="I1114" s="550" t="s">
        <v>11</v>
      </c>
      <c r="J1114" s="550" t="s">
        <v>4966</v>
      </c>
      <c r="K1114" s="551">
        <v>45258</v>
      </c>
      <c r="L1114" s="552">
        <v>630</v>
      </c>
      <c r="M1114" s="552">
        <v>630</v>
      </c>
      <c r="N1114" s="552">
        <v>630</v>
      </c>
      <c r="O1114" s="552">
        <v>2945</v>
      </c>
      <c r="P1114" s="552">
        <v>1855350</v>
      </c>
      <c r="Q1114" s="548">
        <v>1</v>
      </c>
      <c r="R1114" s="552">
        <v>630</v>
      </c>
      <c r="S1114" s="548">
        <v>459</v>
      </c>
      <c r="T1114" s="552">
        <v>289170</v>
      </c>
      <c r="U1114" s="548">
        <v>2487</v>
      </c>
      <c r="V1114" s="552">
        <v>1566810</v>
      </c>
      <c r="W1114" s="552">
        <v>0</v>
      </c>
      <c r="X1114" s="552">
        <v>0</v>
      </c>
      <c r="Y1114" s="552">
        <v>459</v>
      </c>
      <c r="Z1114" s="552">
        <v>289170</v>
      </c>
      <c r="AA1114" s="552">
        <v>224</v>
      </c>
      <c r="AB1114" s="552">
        <v>141120</v>
      </c>
      <c r="AC1114" s="552">
        <v>235</v>
      </c>
      <c r="AD1114" s="552">
        <v>148050</v>
      </c>
      <c r="AE1114" s="552">
        <v>0</v>
      </c>
      <c r="AF1114" s="552">
        <v>0</v>
      </c>
      <c r="AG1114" s="552">
        <v>0</v>
      </c>
      <c r="AH1114" s="552">
        <v>0</v>
      </c>
      <c r="AI1114" s="552">
        <v>0</v>
      </c>
      <c r="AJ1114" s="552">
        <v>0</v>
      </c>
    </row>
    <row r="1115" spans="1:36" ht="0.75" customHeight="1">
      <c r="A1115" s="547"/>
      <c r="B1115" s="718"/>
      <c r="C1115" s="718"/>
      <c r="D1115" s="718"/>
      <c r="E1115" s="718"/>
      <c r="F1115" s="718"/>
      <c r="G1115" s="718"/>
      <c r="H1115" s="718"/>
      <c r="I1115" s="718"/>
      <c r="J1115" s="718"/>
      <c r="K1115" s="718"/>
      <c r="L1115" s="718"/>
      <c r="M1115" s="718"/>
      <c r="N1115" s="718"/>
      <c r="O1115" s="718"/>
      <c r="P1115" s="718"/>
      <c r="Q1115" s="553"/>
      <c r="R1115" s="719"/>
      <c r="S1115" s="719"/>
      <c r="T1115" s="719"/>
      <c r="U1115" s="719"/>
      <c r="V1115" s="719"/>
      <c r="W1115" s="719"/>
      <c r="X1115" s="719"/>
      <c r="Y1115" s="719"/>
      <c r="Z1115" s="719"/>
      <c r="AA1115" s="719"/>
      <c r="AB1115" s="719"/>
      <c r="AC1115" s="719"/>
      <c r="AD1115" s="719"/>
      <c r="AE1115" s="719"/>
      <c r="AF1115" s="719"/>
      <c r="AG1115" s="719"/>
      <c r="AH1115" s="719"/>
      <c r="AI1115" s="719"/>
      <c r="AJ1115" s="719"/>
    </row>
    <row r="1116" spans="1:36" ht="12.95" customHeight="1">
      <c r="A1116" s="547"/>
      <c r="B1116" s="720"/>
      <c r="C1116" s="720"/>
      <c r="D1116" s="720"/>
      <c r="E1116" s="720"/>
      <c r="F1116" s="720"/>
      <c r="G1116" s="720"/>
      <c r="H1116" s="720"/>
      <c r="I1116" s="720"/>
      <c r="J1116" s="720"/>
      <c r="K1116" s="720"/>
      <c r="L1116" s="720"/>
      <c r="M1116" s="720"/>
      <c r="N1116" s="720"/>
      <c r="O1116" s="720"/>
      <c r="P1116" s="720"/>
      <c r="Q1116" s="554"/>
      <c r="R1116" s="721"/>
      <c r="S1116" s="721"/>
      <c r="T1116" s="721"/>
      <c r="U1116" s="721"/>
      <c r="V1116" s="721"/>
      <c r="W1116" s="721"/>
      <c r="X1116" s="721"/>
      <c r="Y1116" s="721"/>
      <c r="Z1116" s="721"/>
      <c r="AA1116" s="721"/>
      <c r="AB1116" s="721"/>
      <c r="AC1116" s="721"/>
      <c r="AD1116" s="721"/>
      <c r="AE1116" s="721"/>
      <c r="AF1116" s="721"/>
      <c r="AG1116" s="721"/>
      <c r="AH1116" s="721"/>
      <c r="AI1116" s="721"/>
      <c r="AJ1116" s="721"/>
    </row>
    <row r="1117" spans="1:36" ht="0.75" customHeight="1">
      <c r="A1117" s="547"/>
      <c r="B1117" s="714"/>
      <c r="C1117" s="714"/>
      <c r="D1117" s="714"/>
      <c r="E1117" s="714"/>
      <c r="F1117" s="714"/>
      <c r="G1117" s="714"/>
      <c r="H1117" s="714"/>
      <c r="I1117" s="714"/>
      <c r="J1117" s="714"/>
      <c r="K1117" s="714"/>
      <c r="L1117" s="714"/>
      <c r="M1117" s="714"/>
      <c r="N1117" s="714"/>
      <c r="O1117" s="714"/>
      <c r="P1117" s="714"/>
      <c r="Q1117" s="555"/>
      <c r="R1117" s="715"/>
      <c r="S1117" s="715"/>
      <c r="T1117" s="715"/>
      <c r="U1117" s="715"/>
      <c r="V1117" s="715"/>
      <c r="W1117" s="715"/>
      <c r="X1117" s="715"/>
      <c r="Y1117" s="715"/>
      <c r="Z1117" s="715"/>
      <c r="AA1117" s="715"/>
      <c r="AB1117" s="715"/>
      <c r="AC1117" s="715"/>
      <c r="AD1117" s="715"/>
      <c r="AE1117" s="715"/>
      <c r="AF1117" s="715"/>
      <c r="AG1117" s="715"/>
      <c r="AH1117" s="715"/>
      <c r="AI1117" s="715"/>
      <c r="AJ1117" s="715"/>
    </row>
    <row r="1118" spans="1:36" ht="13.7" customHeight="1">
      <c r="A1118" s="717" t="s">
        <v>12553</v>
      </c>
      <c r="B1118" s="717"/>
      <c r="C1118" s="717"/>
      <c r="D1118" s="717"/>
      <c r="E1118" s="717"/>
      <c r="F1118" s="717"/>
      <c r="G1118" s="717"/>
      <c r="H1118" s="717"/>
      <c r="I1118" s="717"/>
      <c r="J1118" s="717"/>
      <c r="K1118" s="717"/>
      <c r="L1118" s="717"/>
      <c r="M1118" s="717"/>
      <c r="N1118" s="717"/>
      <c r="O1118" s="717"/>
      <c r="P1118" s="717"/>
      <c r="Q1118" s="717"/>
      <c r="R1118" s="717"/>
      <c r="S1118" s="717"/>
      <c r="T1118" s="717"/>
      <c r="U1118" s="717"/>
      <c r="V1118" s="717"/>
      <c r="W1118" s="717"/>
      <c r="X1118" s="717"/>
      <c r="Y1118" s="717"/>
      <c r="Z1118" s="717"/>
      <c r="AA1118" s="717"/>
      <c r="AB1118" s="717"/>
      <c r="AC1118" s="717"/>
      <c r="AD1118" s="717"/>
      <c r="AE1118" s="717"/>
      <c r="AF1118" s="717"/>
      <c r="AG1118" s="717"/>
      <c r="AH1118" s="717"/>
      <c r="AI1118" s="717"/>
      <c r="AJ1118" s="717"/>
    </row>
    <row r="1119" spans="1:36" ht="15.95" customHeight="1">
      <c r="A1119" s="547"/>
      <c r="B1119" s="548">
        <v>1</v>
      </c>
      <c r="C1119" s="549">
        <v>6610</v>
      </c>
      <c r="D1119" s="550" t="s">
        <v>12554</v>
      </c>
      <c r="E1119" s="550" t="s">
        <v>4973</v>
      </c>
      <c r="F1119" s="550" t="s">
        <v>4974</v>
      </c>
      <c r="G1119" s="550" t="s">
        <v>702</v>
      </c>
      <c r="H1119" s="550" t="s">
        <v>262</v>
      </c>
      <c r="I1119" s="550" t="s">
        <v>11</v>
      </c>
      <c r="J1119" s="550" t="s">
        <v>12555</v>
      </c>
      <c r="K1119" s="551">
        <v>45022</v>
      </c>
      <c r="L1119" s="552">
        <v>1490</v>
      </c>
      <c r="M1119" s="552">
        <v>1490</v>
      </c>
      <c r="N1119" s="552">
        <v>1490</v>
      </c>
      <c r="O1119" s="552"/>
      <c r="P1119" s="552"/>
      <c r="Q1119" s="548">
        <v>5000</v>
      </c>
      <c r="R1119" s="552">
        <v>7450000</v>
      </c>
      <c r="S1119" s="548">
        <v>0</v>
      </c>
      <c r="T1119" s="552">
        <v>0</v>
      </c>
      <c r="U1119" s="548">
        <v>5000</v>
      </c>
      <c r="V1119" s="552">
        <v>7450000</v>
      </c>
      <c r="W1119" s="552">
        <v>0</v>
      </c>
      <c r="X1119" s="552">
        <v>0</v>
      </c>
      <c r="Y1119" s="552">
        <v>0</v>
      </c>
      <c r="Z1119" s="552">
        <v>0</v>
      </c>
      <c r="AA1119" s="552">
        <v>0</v>
      </c>
      <c r="AB1119" s="552">
        <v>0</v>
      </c>
      <c r="AC1119" s="552">
        <v>0</v>
      </c>
      <c r="AD1119" s="552">
        <v>0</v>
      </c>
      <c r="AE1119" s="552">
        <v>0</v>
      </c>
      <c r="AF1119" s="552">
        <v>0</v>
      </c>
      <c r="AG1119" s="552">
        <v>0</v>
      </c>
      <c r="AH1119" s="552">
        <v>0</v>
      </c>
      <c r="AI1119" s="552">
        <v>0</v>
      </c>
      <c r="AJ1119" s="552">
        <v>0</v>
      </c>
    </row>
    <row r="1120" spans="1:36" ht="15.95" customHeight="1">
      <c r="A1120" s="547"/>
      <c r="B1120" s="548">
        <v>2</v>
      </c>
      <c r="C1120" s="549">
        <v>6610</v>
      </c>
      <c r="D1120" s="550" t="s">
        <v>12554</v>
      </c>
      <c r="E1120" s="550" t="s">
        <v>4973</v>
      </c>
      <c r="F1120" s="550" t="s">
        <v>4974</v>
      </c>
      <c r="G1120" s="550" t="s">
        <v>702</v>
      </c>
      <c r="H1120" s="550" t="s">
        <v>262</v>
      </c>
      <c r="I1120" s="550" t="s">
        <v>11</v>
      </c>
      <c r="J1120" s="550" t="s">
        <v>12556</v>
      </c>
      <c r="K1120" s="551">
        <v>44857</v>
      </c>
      <c r="L1120" s="552">
        <v>1490</v>
      </c>
      <c r="M1120" s="552">
        <v>1490</v>
      </c>
      <c r="N1120" s="552">
        <v>1490</v>
      </c>
      <c r="O1120" s="552"/>
      <c r="P1120" s="552"/>
      <c r="Q1120" s="548">
        <v>2500</v>
      </c>
      <c r="R1120" s="552">
        <v>3725000</v>
      </c>
      <c r="S1120" s="548">
        <v>2500</v>
      </c>
      <c r="T1120" s="552">
        <v>3725000</v>
      </c>
      <c r="U1120" s="548">
        <v>0</v>
      </c>
      <c r="V1120" s="552">
        <v>0</v>
      </c>
      <c r="W1120" s="552">
        <v>1693</v>
      </c>
      <c r="X1120" s="552">
        <v>2522570</v>
      </c>
      <c r="Y1120" s="552">
        <v>2500</v>
      </c>
      <c r="Z1120" s="552">
        <v>3725000</v>
      </c>
      <c r="AA1120" s="552">
        <v>0</v>
      </c>
      <c r="AB1120" s="552">
        <v>0</v>
      </c>
      <c r="AC1120" s="552">
        <v>2500</v>
      </c>
      <c r="AD1120" s="552">
        <v>3725000</v>
      </c>
      <c r="AE1120" s="552">
        <v>0</v>
      </c>
      <c r="AF1120" s="552">
        <v>0</v>
      </c>
      <c r="AG1120" s="552">
        <v>0</v>
      </c>
      <c r="AH1120" s="552">
        <v>0</v>
      </c>
      <c r="AI1120" s="552">
        <v>0</v>
      </c>
      <c r="AJ1120" s="552">
        <v>0</v>
      </c>
    </row>
    <row r="1121" spans="1:36" ht="15.95" customHeight="1">
      <c r="A1121" s="547"/>
      <c r="B1121" s="548">
        <v>3</v>
      </c>
      <c r="C1121" s="549">
        <v>6608</v>
      </c>
      <c r="D1121" s="550" t="s">
        <v>12557</v>
      </c>
      <c r="E1121" s="550" t="s">
        <v>7116</v>
      </c>
      <c r="F1121" s="550" t="s">
        <v>7118</v>
      </c>
      <c r="G1121" s="550" t="s">
        <v>5013</v>
      </c>
      <c r="H1121" s="550" t="s">
        <v>7117</v>
      </c>
      <c r="I1121" s="550" t="s">
        <v>520</v>
      </c>
      <c r="J1121" s="550" t="s">
        <v>12558</v>
      </c>
      <c r="K1121" s="551">
        <v>44890</v>
      </c>
      <c r="L1121" s="552">
        <v>1407</v>
      </c>
      <c r="M1121" s="552">
        <v>1407</v>
      </c>
      <c r="N1121" s="552">
        <v>1407</v>
      </c>
      <c r="O1121" s="552"/>
      <c r="P1121" s="552"/>
      <c r="Q1121" s="548">
        <v>6300</v>
      </c>
      <c r="R1121" s="552">
        <v>8864100</v>
      </c>
      <c r="S1121" s="548">
        <v>6300</v>
      </c>
      <c r="T1121" s="552">
        <v>8864100</v>
      </c>
      <c r="U1121" s="548">
        <v>0</v>
      </c>
      <c r="V1121" s="552">
        <v>0</v>
      </c>
      <c r="W1121" s="552">
        <v>0</v>
      </c>
      <c r="X1121" s="552">
        <v>0</v>
      </c>
      <c r="Y1121" s="552">
        <v>6300</v>
      </c>
      <c r="Z1121" s="552">
        <v>8864100</v>
      </c>
      <c r="AA1121" s="552">
        <v>6300</v>
      </c>
      <c r="AB1121" s="552">
        <v>8864100</v>
      </c>
      <c r="AC1121" s="552">
        <v>0</v>
      </c>
      <c r="AD1121" s="552">
        <v>0</v>
      </c>
      <c r="AE1121" s="552">
        <v>0</v>
      </c>
      <c r="AF1121" s="552">
        <v>0</v>
      </c>
      <c r="AG1121" s="552">
        <v>0</v>
      </c>
      <c r="AH1121" s="552">
        <v>0</v>
      </c>
      <c r="AI1121" s="552">
        <v>0</v>
      </c>
      <c r="AJ1121" s="552">
        <v>0</v>
      </c>
    </row>
    <row r="1122" spans="1:36" ht="15.95" customHeight="1">
      <c r="A1122" s="547"/>
      <c r="B1122" s="548">
        <v>4</v>
      </c>
      <c r="C1122" s="549">
        <v>6608</v>
      </c>
      <c r="D1122" s="550" t="s">
        <v>12557</v>
      </c>
      <c r="E1122" s="550" t="s">
        <v>7116</v>
      </c>
      <c r="F1122" s="550" t="s">
        <v>7118</v>
      </c>
      <c r="G1122" s="550" t="s">
        <v>5013</v>
      </c>
      <c r="H1122" s="550" t="s">
        <v>7117</v>
      </c>
      <c r="I1122" s="550" t="s">
        <v>520</v>
      </c>
      <c r="J1122" s="550" t="s">
        <v>12559</v>
      </c>
      <c r="K1122" s="551">
        <v>45031</v>
      </c>
      <c r="L1122" s="552">
        <v>1407</v>
      </c>
      <c r="M1122" s="552">
        <v>1407</v>
      </c>
      <c r="N1122" s="552">
        <v>1407</v>
      </c>
      <c r="O1122" s="552"/>
      <c r="P1122" s="552"/>
      <c r="Q1122" s="548">
        <v>9990</v>
      </c>
      <c r="R1122" s="552">
        <v>14055930</v>
      </c>
      <c r="S1122" s="548">
        <v>2162</v>
      </c>
      <c r="T1122" s="552">
        <v>3041934</v>
      </c>
      <c r="U1122" s="548">
        <v>7828</v>
      </c>
      <c r="V1122" s="552">
        <v>11013996</v>
      </c>
      <c r="W1122" s="552">
        <v>0</v>
      </c>
      <c r="X1122" s="552">
        <v>0</v>
      </c>
      <c r="Y1122" s="552">
        <v>2162</v>
      </c>
      <c r="Z1122" s="552">
        <v>3041934</v>
      </c>
      <c r="AA1122" s="552">
        <v>2162</v>
      </c>
      <c r="AB1122" s="552">
        <v>3041934</v>
      </c>
      <c r="AC1122" s="552">
        <v>0</v>
      </c>
      <c r="AD1122" s="552">
        <v>0</v>
      </c>
      <c r="AE1122" s="552">
        <v>0</v>
      </c>
      <c r="AF1122" s="552">
        <v>0</v>
      </c>
      <c r="AG1122" s="552">
        <v>0</v>
      </c>
      <c r="AH1122" s="552">
        <v>0</v>
      </c>
      <c r="AI1122" s="552">
        <v>0</v>
      </c>
      <c r="AJ1122" s="552">
        <v>0</v>
      </c>
    </row>
    <row r="1123" spans="1:36" ht="15.95" customHeight="1">
      <c r="A1123" s="547"/>
      <c r="B1123" s="548">
        <v>9</v>
      </c>
      <c r="C1123" s="549">
        <v>6619</v>
      </c>
      <c r="D1123" s="550" t="s">
        <v>12560</v>
      </c>
      <c r="E1123" s="550" t="s">
        <v>4978</v>
      </c>
      <c r="F1123" s="550" t="s">
        <v>4979</v>
      </c>
      <c r="G1123" s="550" t="s">
        <v>3513</v>
      </c>
      <c r="H1123" s="550" t="s">
        <v>4980</v>
      </c>
      <c r="I1123" s="550" t="s">
        <v>15</v>
      </c>
      <c r="J1123" s="550" t="s">
        <v>4981</v>
      </c>
      <c r="K1123" s="551">
        <v>44618</v>
      </c>
      <c r="L1123" s="552">
        <v>16590</v>
      </c>
      <c r="M1123" s="552">
        <v>16590</v>
      </c>
      <c r="N1123" s="552">
        <v>16590</v>
      </c>
      <c r="O1123" s="552">
        <v>105</v>
      </c>
      <c r="P1123" s="552">
        <v>1741950</v>
      </c>
      <c r="Q1123" s="548">
        <v>0</v>
      </c>
      <c r="R1123" s="552">
        <v>0</v>
      </c>
      <c r="S1123" s="548">
        <v>97</v>
      </c>
      <c r="T1123" s="552">
        <v>1609230</v>
      </c>
      <c r="U1123" s="548">
        <v>8</v>
      </c>
      <c r="V1123" s="552">
        <v>132720</v>
      </c>
      <c r="W1123" s="552">
        <v>16</v>
      </c>
      <c r="X1123" s="552">
        <v>265440</v>
      </c>
      <c r="Y1123" s="552">
        <v>97</v>
      </c>
      <c r="Z1123" s="552">
        <v>1609230</v>
      </c>
      <c r="AA1123" s="552">
        <v>96</v>
      </c>
      <c r="AB1123" s="552">
        <v>1592640</v>
      </c>
      <c r="AC1123" s="552">
        <v>1</v>
      </c>
      <c r="AD1123" s="552">
        <v>16590</v>
      </c>
      <c r="AE1123" s="552">
        <v>0</v>
      </c>
      <c r="AF1123" s="552">
        <v>0</v>
      </c>
      <c r="AG1123" s="552">
        <v>0</v>
      </c>
      <c r="AH1123" s="552">
        <v>0</v>
      </c>
      <c r="AI1123" s="552">
        <v>0</v>
      </c>
      <c r="AJ1123" s="552">
        <v>0</v>
      </c>
    </row>
    <row r="1124" spans="1:36" ht="15.95" customHeight="1">
      <c r="A1124" s="547"/>
      <c r="B1124" s="548">
        <v>10</v>
      </c>
      <c r="C1124" s="549">
        <v>6619</v>
      </c>
      <c r="D1124" s="550" t="s">
        <v>12560</v>
      </c>
      <c r="E1124" s="550" t="s">
        <v>4978</v>
      </c>
      <c r="F1124" s="550" t="s">
        <v>4979</v>
      </c>
      <c r="G1124" s="550" t="s">
        <v>3513</v>
      </c>
      <c r="H1124" s="550" t="s">
        <v>4980</v>
      </c>
      <c r="I1124" s="550" t="s">
        <v>15</v>
      </c>
      <c r="J1124" s="550" t="s">
        <v>12561</v>
      </c>
      <c r="K1124" s="551">
        <v>45227</v>
      </c>
      <c r="L1124" s="552">
        <v>16590</v>
      </c>
      <c r="M1124" s="552">
        <v>16590</v>
      </c>
      <c r="N1124" s="552">
        <v>16590</v>
      </c>
      <c r="O1124" s="552">
        <v>220</v>
      </c>
      <c r="P1124" s="552">
        <v>3649800</v>
      </c>
      <c r="Q1124" s="548">
        <v>0</v>
      </c>
      <c r="R1124" s="552">
        <v>0</v>
      </c>
      <c r="S1124" s="548">
        <v>9</v>
      </c>
      <c r="T1124" s="552">
        <v>149310</v>
      </c>
      <c r="U1124" s="548">
        <v>211</v>
      </c>
      <c r="V1124" s="552">
        <v>3500490</v>
      </c>
      <c r="W1124" s="552">
        <v>0</v>
      </c>
      <c r="X1124" s="552">
        <v>0</v>
      </c>
      <c r="Y1124" s="552">
        <v>9</v>
      </c>
      <c r="Z1124" s="552">
        <v>149310</v>
      </c>
      <c r="AA1124" s="552">
        <v>9</v>
      </c>
      <c r="AB1124" s="552">
        <v>149310</v>
      </c>
      <c r="AC1124" s="552">
        <v>0</v>
      </c>
      <c r="AD1124" s="552">
        <v>0</v>
      </c>
      <c r="AE1124" s="552">
        <v>0</v>
      </c>
      <c r="AF1124" s="552">
        <v>0</v>
      </c>
      <c r="AG1124" s="552">
        <v>0</v>
      </c>
      <c r="AH1124" s="552">
        <v>0</v>
      </c>
      <c r="AI1124" s="552">
        <v>0</v>
      </c>
      <c r="AJ1124" s="552">
        <v>0</v>
      </c>
    </row>
    <row r="1125" spans="1:36" ht="15.95" customHeight="1">
      <c r="A1125" s="547"/>
      <c r="B1125" s="548">
        <v>25</v>
      </c>
      <c r="C1125" s="549">
        <v>5332</v>
      </c>
      <c r="D1125" s="550"/>
      <c r="E1125" s="550" t="s">
        <v>4982</v>
      </c>
      <c r="F1125" s="550" t="s">
        <v>1776</v>
      </c>
      <c r="G1125" s="550" t="s">
        <v>1550</v>
      </c>
      <c r="H1125" s="550" t="s">
        <v>1777</v>
      </c>
      <c r="I1125" s="550" t="s">
        <v>11</v>
      </c>
      <c r="J1125" s="550" t="s">
        <v>4714</v>
      </c>
      <c r="K1125" s="551">
        <v>44389</v>
      </c>
      <c r="L1125" s="552">
        <v>240</v>
      </c>
      <c r="M1125" s="552">
        <v>240</v>
      </c>
      <c r="N1125" s="552">
        <v>240</v>
      </c>
      <c r="O1125" s="552">
        <v>24</v>
      </c>
      <c r="P1125" s="552">
        <v>5760</v>
      </c>
      <c r="Q1125" s="548">
        <v>0</v>
      </c>
      <c r="R1125" s="552">
        <v>0</v>
      </c>
      <c r="S1125" s="548">
        <v>24</v>
      </c>
      <c r="T1125" s="552">
        <v>5760</v>
      </c>
      <c r="U1125" s="548">
        <v>0</v>
      </c>
      <c r="V1125" s="552">
        <v>0</v>
      </c>
      <c r="W1125" s="552">
        <v>272</v>
      </c>
      <c r="X1125" s="552">
        <v>65280</v>
      </c>
      <c r="Y1125" s="552">
        <v>24</v>
      </c>
      <c r="Z1125" s="552">
        <v>5760</v>
      </c>
      <c r="AA1125" s="552">
        <v>0</v>
      </c>
      <c r="AB1125" s="552">
        <v>0</v>
      </c>
      <c r="AC1125" s="552">
        <v>24</v>
      </c>
      <c r="AD1125" s="552">
        <v>5760</v>
      </c>
      <c r="AE1125" s="552">
        <v>0</v>
      </c>
      <c r="AF1125" s="552">
        <v>0</v>
      </c>
      <c r="AG1125" s="552">
        <v>0</v>
      </c>
      <c r="AH1125" s="552">
        <v>0</v>
      </c>
      <c r="AI1125" s="552">
        <v>0</v>
      </c>
      <c r="AJ1125" s="552">
        <v>0</v>
      </c>
    </row>
    <row r="1126" spans="1:36" ht="15.95" customHeight="1">
      <c r="A1126" s="547"/>
      <c r="B1126" s="548">
        <v>42</v>
      </c>
      <c r="C1126" s="549">
        <v>6629</v>
      </c>
      <c r="D1126" s="550" t="s">
        <v>12562</v>
      </c>
      <c r="E1126" s="550" t="s">
        <v>4983</v>
      </c>
      <c r="F1126" s="550" t="s">
        <v>580</v>
      </c>
      <c r="G1126" s="550" t="s">
        <v>579</v>
      </c>
      <c r="H1126" s="550" t="s">
        <v>581</v>
      </c>
      <c r="I1126" s="550" t="s">
        <v>11</v>
      </c>
      <c r="J1126" s="550" t="s">
        <v>11954</v>
      </c>
      <c r="K1126" s="551">
        <v>45233</v>
      </c>
      <c r="L1126" s="552">
        <v>245</v>
      </c>
      <c r="M1126" s="552">
        <v>245</v>
      </c>
      <c r="N1126" s="552">
        <v>245</v>
      </c>
      <c r="O1126" s="552"/>
      <c r="P1126" s="552"/>
      <c r="Q1126" s="548">
        <v>3000</v>
      </c>
      <c r="R1126" s="552">
        <v>735000</v>
      </c>
      <c r="S1126" s="548">
        <v>2347</v>
      </c>
      <c r="T1126" s="552">
        <v>575015</v>
      </c>
      <c r="U1126" s="548">
        <v>653</v>
      </c>
      <c r="V1126" s="552">
        <v>159985</v>
      </c>
      <c r="W1126" s="552">
        <v>0</v>
      </c>
      <c r="X1126" s="552">
        <v>0</v>
      </c>
      <c r="Y1126" s="552">
        <v>2347</v>
      </c>
      <c r="Z1126" s="552">
        <v>575015</v>
      </c>
      <c r="AA1126" s="552">
        <v>1347</v>
      </c>
      <c r="AB1126" s="552">
        <v>330015</v>
      </c>
      <c r="AC1126" s="552">
        <v>1000</v>
      </c>
      <c r="AD1126" s="552">
        <v>245000</v>
      </c>
      <c r="AE1126" s="552">
        <v>0</v>
      </c>
      <c r="AF1126" s="552">
        <v>0</v>
      </c>
      <c r="AG1126" s="552">
        <v>0</v>
      </c>
      <c r="AH1126" s="552">
        <v>0</v>
      </c>
      <c r="AI1126" s="552">
        <v>0</v>
      </c>
      <c r="AJ1126" s="552">
        <v>0</v>
      </c>
    </row>
    <row r="1127" spans="1:36" ht="15.95" customHeight="1">
      <c r="A1127" s="547"/>
      <c r="B1127" s="548">
        <v>43</v>
      </c>
      <c r="C1127" s="549">
        <v>6629</v>
      </c>
      <c r="D1127" s="550" t="s">
        <v>12562</v>
      </c>
      <c r="E1127" s="550" t="s">
        <v>4983</v>
      </c>
      <c r="F1127" s="550" t="s">
        <v>580</v>
      </c>
      <c r="G1127" s="550" t="s">
        <v>579</v>
      </c>
      <c r="H1127" s="550" t="s">
        <v>581</v>
      </c>
      <c r="I1127" s="550" t="s">
        <v>11</v>
      </c>
      <c r="J1127" s="550" t="s">
        <v>4984</v>
      </c>
      <c r="K1127" s="551">
        <v>44796</v>
      </c>
      <c r="L1127" s="552">
        <v>245</v>
      </c>
      <c r="M1127" s="552">
        <v>245</v>
      </c>
      <c r="N1127" s="552">
        <v>245</v>
      </c>
      <c r="O1127" s="552">
        <v>1664</v>
      </c>
      <c r="P1127" s="552">
        <v>407680</v>
      </c>
      <c r="Q1127" s="548">
        <v>0</v>
      </c>
      <c r="R1127" s="552">
        <v>0</v>
      </c>
      <c r="S1127" s="548">
        <v>1664</v>
      </c>
      <c r="T1127" s="552">
        <v>407680</v>
      </c>
      <c r="U1127" s="548">
        <v>0</v>
      </c>
      <c r="V1127" s="552">
        <v>0</v>
      </c>
      <c r="W1127" s="552">
        <v>186</v>
      </c>
      <c r="X1127" s="552">
        <v>45570</v>
      </c>
      <c r="Y1127" s="552">
        <v>1664</v>
      </c>
      <c r="Z1127" s="552">
        <v>407680</v>
      </c>
      <c r="AA1127" s="552">
        <v>1664</v>
      </c>
      <c r="AB1127" s="552">
        <v>407680</v>
      </c>
      <c r="AC1127" s="552">
        <v>0</v>
      </c>
      <c r="AD1127" s="552">
        <v>0</v>
      </c>
      <c r="AE1127" s="552">
        <v>0</v>
      </c>
      <c r="AF1127" s="552">
        <v>0</v>
      </c>
      <c r="AG1127" s="552">
        <v>0</v>
      </c>
      <c r="AH1127" s="552">
        <v>0</v>
      </c>
      <c r="AI1127" s="552">
        <v>0</v>
      </c>
      <c r="AJ1127" s="552">
        <v>0</v>
      </c>
    </row>
    <row r="1128" spans="1:36" ht="15.95" customHeight="1">
      <c r="A1128" s="547"/>
      <c r="B1128" s="548">
        <v>44</v>
      </c>
      <c r="C1128" s="549">
        <v>6629</v>
      </c>
      <c r="D1128" s="550" t="s">
        <v>12562</v>
      </c>
      <c r="E1128" s="550" t="s">
        <v>4983</v>
      </c>
      <c r="F1128" s="550" t="s">
        <v>580</v>
      </c>
      <c r="G1128" s="550" t="s">
        <v>579</v>
      </c>
      <c r="H1128" s="550" t="s">
        <v>581</v>
      </c>
      <c r="I1128" s="550" t="s">
        <v>11</v>
      </c>
      <c r="J1128" s="550" t="s">
        <v>12039</v>
      </c>
      <c r="K1128" s="551">
        <v>45281</v>
      </c>
      <c r="L1128" s="552">
        <v>245</v>
      </c>
      <c r="M1128" s="552">
        <v>245</v>
      </c>
      <c r="N1128" s="552">
        <v>245</v>
      </c>
      <c r="O1128" s="552"/>
      <c r="P1128" s="552"/>
      <c r="Q1128" s="548">
        <v>1000</v>
      </c>
      <c r="R1128" s="552">
        <v>245000</v>
      </c>
      <c r="S1128" s="548">
        <v>0</v>
      </c>
      <c r="T1128" s="552">
        <v>0</v>
      </c>
      <c r="U1128" s="548">
        <v>1000</v>
      </c>
      <c r="V1128" s="552">
        <v>245000</v>
      </c>
      <c r="W1128" s="552">
        <v>0</v>
      </c>
      <c r="X1128" s="552">
        <v>0</v>
      </c>
      <c r="Y1128" s="552">
        <v>0</v>
      </c>
      <c r="Z1128" s="552">
        <v>0</v>
      </c>
      <c r="AA1128" s="552">
        <v>0</v>
      </c>
      <c r="AB1128" s="552">
        <v>0</v>
      </c>
      <c r="AC1128" s="552">
        <v>0</v>
      </c>
      <c r="AD1128" s="552">
        <v>0</v>
      </c>
      <c r="AE1128" s="552">
        <v>0</v>
      </c>
      <c r="AF1128" s="552">
        <v>0</v>
      </c>
      <c r="AG1128" s="552">
        <v>0</v>
      </c>
      <c r="AH1128" s="552">
        <v>0</v>
      </c>
      <c r="AI1128" s="552">
        <v>0</v>
      </c>
      <c r="AJ1128" s="552">
        <v>0</v>
      </c>
    </row>
    <row r="1129" spans="1:36" ht="15.95" customHeight="1">
      <c r="A1129" s="547"/>
      <c r="B1129" s="548">
        <v>94</v>
      </c>
      <c r="C1129" s="549">
        <v>7507</v>
      </c>
      <c r="D1129" s="550" t="s">
        <v>12563</v>
      </c>
      <c r="E1129" s="550" t="s">
        <v>7187</v>
      </c>
      <c r="F1129" s="550" t="s">
        <v>7189</v>
      </c>
      <c r="G1129" s="550" t="s">
        <v>1785</v>
      </c>
      <c r="H1129" s="550" t="s">
        <v>12564</v>
      </c>
      <c r="I1129" s="550" t="s">
        <v>15</v>
      </c>
      <c r="J1129" s="550" t="s">
        <v>12302</v>
      </c>
      <c r="K1129" s="551">
        <v>45012</v>
      </c>
      <c r="L1129" s="552">
        <v>36000</v>
      </c>
      <c r="M1129" s="552">
        <v>36000</v>
      </c>
      <c r="N1129" s="552">
        <v>36000</v>
      </c>
      <c r="O1129" s="552"/>
      <c r="P1129" s="552"/>
      <c r="Q1129" s="548">
        <v>50</v>
      </c>
      <c r="R1129" s="552">
        <v>1800000</v>
      </c>
      <c r="S1129" s="548">
        <v>12</v>
      </c>
      <c r="T1129" s="552">
        <v>432000</v>
      </c>
      <c r="U1129" s="548">
        <v>38</v>
      </c>
      <c r="V1129" s="552">
        <v>1368000</v>
      </c>
      <c r="W1129" s="552">
        <v>0</v>
      </c>
      <c r="X1129" s="552">
        <v>0</v>
      </c>
      <c r="Y1129" s="552">
        <v>12</v>
      </c>
      <c r="Z1129" s="552">
        <v>432000</v>
      </c>
      <c r="AA1129" s="552">
        <v>12</v>
      </c>
      <c r="AB1129" s="552">
        <v>432000</v>
      </c>
      <c r="AC1129" s="552">
        <v>0</v>
      </c>
      <c r="AD1129" s="552">
        <v>0</v>
      </c>
      <c r="AE1129" s="552">
        <v>0</v>
      </c>
      <c r="AF1129" s="552">
        <v>0</v>
      </c>
      <c r="AG1129" s="552">
        <v>0</v>
      </c>
      <c r="AH1129" s="552">
        <v>0</v>
      </c>
      <c r="AI1129" s="552">
        <v>0</v>
      </c>
      <c r="AJ1129" s="552">
        <v>0</v>
      </c>
    </row>
    <row r="1130" spans="1:36" ht="15.95" customHeight="1">
      <c r="A1130" s="547"/>
      <c r="B1130" s="548">
        <v>134</v>
      </c>
      <c r="C1130" s="549">
        <v>6642</v>
      </c>
      <c r="D1130" s="550" t="s">
        <v>12565</v>
      </c>
      <c r="E1130" s="550" t="s">
        <v>6534</v>
      </c>
      <c r="F1130" s="550" t="s">
        <v>1231</v>
      </c>
      <c r="G1130" s="550" t="s">
        <v>843</v>
      </c>
      <c r="H1130" s="550" t="s">
        <v>1232</v>
      </c>
      <c r="I1130" s="550" t="s">
        <v>11</v>
      </c>
      <c r="J1130" s="550" t="s">
        <v>12566</v>
      </c>
      <c r="K1130" s="551">
        <v>44931</v>
      </c>
      <c r="L1130" s="552">
        <v>1150</v>
      </c>
      <c r="M1130" s="552">
        <v>1150</v>
      </c>
      <c r="N1130" s="552">
        <v>1150</v>
      </c>
      <c r="O1130" s="552"/>
      <c r="P1130" s="552"/>
      <c r="Q1130" s="548">
        <v>700</v>
      </c>
      <c r="R1130" s="552">
        <v>805000</v>
      </c>
      <c r="S1130" s="548">
        <v>700</v>
      </c>
      <c r="T1130" s="552">
        <v>805000</v>
      </c>
      <c r="U1130" s="548">
        <v>0</v>
      </c>
      <c r="V1130" s="552">
        <v>0</v>
      </c>
      <c r="W1130" s="552">
        <v>544</v>
      </c>
      <c r="X1130" s="552">
        <v>625600</v>
      </c>
      <c r="Y1130" s="552">
        <v>700</v>
      </c>
      <c r="Z1130" s="552">
        <v>805000</v>
      </c>
      <c r="AA1130" s="552">
        <v>0</v>
      </c>
      <c r="AB1130" s="552">
        <v>0</v>
      </c>
      <c r="AC1130" s="552">
        <v>700</v>
      </c>
      <c r="AD1130" s="552">
        <v>805000</v>
      </c>
      <c r="AE1130" s="552">
        <v>0</v>
      </c>
      <c r="AF1130" s="552">
        <v>0</v>
      </c>
      <c r="AG1130" s="552">
        <v>0</v>
      </c>
      <c r="AH1130" s="552">
        <v>0</v>
      </c>
      <c r="AI1130" s="552">
        <v>0</v>
      </c>
      <c r="AJ1130" s="552">
        <v>0</v>
      </c>
    </row>
    <row r="1131" spans="1:36" ht="15.95" customHeight="1">
      <c r="A1131" s="547"/>
      <c r="B1131" s="548">
        <v>135</v>
      </c>
      <c r="C1131" s="549">
        <v>6642</v>
      </c>
      <c r="D1131" s="550" t="s">
        <v>12565</v>
      </c>
      <c r="E1131" s="550" t="s">
        <v>6534</v>
      </c>
      <c r="F1131" s="550" t="s">
        <v>1231</v>
      </c>
      <c r="G1131" s="550" t="s">
        <v>843</v>
      </c>
      <c r="H1131" s="550" t="s">
        <v>1232</v>
      </c>
      <c r="I1131" s="550" t="s">
        <v>11</v>
      </c>
      <c r="J1131" s="550" t="s">
        <v>12567</v>
      </c>
      <c r="K1131" s="551">
        <v>44784</v>
      </c>
      <c r="L1131" s="552">
        <v>1150</v>
      </c>
      <c r="M1131" s="552">
        <v>1150</v>
      </c>
      <c r="N1131" s="552">
        <v>1150</v>
      </c>
      <c r="O1131" s="552">
        <v>700</v>
      </c>
      <c r="P1131" s="552">
        <v>805000</v>
      </c>
      <c r="Q1131" s="548">
        <v>0</v>
      </c>
      <c r="R1131" s="552">
        <v>0</v>
      </c>
      <c r="S1131" s="548">
        <v>700</v>
      </c>
      <c r="T1131" s="552">
        <v>805000</v>
      </c>
      <c r="U1131" s="548">
        <v>0</v>
      </c>
      <c r="V1131" s="552">
        <v>0</v>
      </c>
      <c r="W1131" s="552">
        <v>475</v>
      </c>
      <c r="X1131" s="552">
        <v>546250</v>
      </c>
      <c r="Y1131" s="552">
        <v>700</v>
      </c>
      <c r="Z1131" s="552">
        <v>805000</v>
      </c>
      <c r="AA1131" s="552">
        <v>0</v>
      </c>
      <c r="AB1131" s="552">
        <v>0</v>
      </c>
      <c r="AC1131" s="552">
        <v>700</v>
      </c>
      <c r="AD1131" s="552">
        <v>805000</v>
      </c>
      <c r="AE1131" s="552">
        <v>0</v>
      </c>
      <c r="AF1131" s="552">
        <v>0</v>
      </c>
      <c r="AG1131" s="552">
        <v>0</v>
      </c>
      <c r="AH1131" s="552">
        <v>0</v>
      </c>
      <c r="AI1131" s="552">
        <v>0</v>
      </c>
      <c r="AJ1131" s="552">
        <v>0</v>
      </c>
    </row>
    <row r="1132" spans="1:36" ht="15.95" customHeight="1">
      <c r="A1132" s="547"/>
      <c r="B1132" s="548">
        <v>136</v>
      </c>
      <c r="C1132" s="549">
        <v>6642</v>
      </c>
      <c r="D1132" s="550" t="s">
        <v>12565</v>
      </c>
      <c r="E1132" s="550" t="s">
        <v>6534</v>
      </c>
      <c r="F1132" s="550" t="s">
        <v>1231</v>
      </c>
      <c r="G1132" s="550" t="s">
        <v>843</v>
      </c>
      <c r="H1132" s="550" t="s">
        <v>1232</v>
      </c>
      <c r="I1132" s="550" t="s">
        <v>11</v>
      </c>
      <c r="J1132" s="550" t="s">
        <v>12568</v>
      </c>
      <c r="K1132" s="551">
        <v>44947</v>
      </c>
      <c r="L1132" s="552">
        <v>1150</v>
      </c>
      <c r="M1132" s="552">
        <v>1150</v>
      </c>
      <c r="N1132" s="552">
        <v>1150</v>
      </c>
      <c r="O1132" s="552"/>
      <c r="P1132" s="552"/>
      <c r="Q1132" s="548">
        <v>2620</v>
      </c>
      <c r="R1132" s="552">
        <v>3013000</v>
      </c>
      <c r="S1132" s="548">
        <v>2620</v>
      </c>
      <c r="T1132" s="552">
        <v>3013000</v>
      </c>
      <c r="U1132" s="548">
        <v>0</v>
      </c>
      <c r="V1132" s="552">
        <v>0</v>
      </c>
      <c r="W1132" s="552">
        <v>697</v>
      </c>
      <c r="X1132" s="552">
        <v>801550</v>
      </c>
      <c r="Y1132" s="552">
        <v>2520</v>
      </c>
      <c r="Z1132" s="552">
        <v>2898000</v>
      </c>
      <c r="AA1132" s="552">
        <v>1520</v>
      </c>
      <c r="AB1132" s="552">
        <v>1748000</v>
      </c>
      <c r="AC1132" s="552">
        <v>1000</v>
      </c>
      <c r="AD1132" s="552">
        <v>1150000</v>
      </c>
      <c r="AE1132" s="552">
        <v>0</v>
      </c>
      <c r="AF1132" s="552">
        <v>0</v>
      </c>
      <c r="AG1132" s="552">
        <v>100</v>
      </c>
      <c r="AH1132" s="552">
        <v>115000</v>
      </c>
      <c r="AI1132" s="552">
        <v>0</v>
      </c>
      <c r="AJ1132" s="552">
        <v>0</v>
      </c>
    </row>
    <row r="1133" spans="1:36" ht="15.95" customHeight="1">
      <c r="A1133" s="547"/>
      <c r="B1133" s="548">
        <v>137</v>
      </c>
      <c r="C1133" s="549">
        <v>6642</v>
      </c>
      <c r="D1133" s="550" t="s">
        <v>12565</v>
      </c>
      <c r="E1133" s="550" t="s">
        <v>6534</v>
      </c>
      <c r="F1133" s="550" t="s">
        <v>1231</v>
      </c>
      <c r="G1133" s="550" t="s">
        <v>843</v>
      </c>
      <c r="H1133" s="550" t="s">
        <v>1232</v>
      </c>
      <c r="I1133" s="550" t="s">
        <v>11</v>
      </c>
      <c r="J1133" s="550" t="s">
        <v>12569</v>
      </c>
      <c r="K1133" s="551">
        <v>44949</v>
      </c>
      <c r="L1133" s="552">
        <v>1150</v>
      </c>
      <c r="M1133" s="552">
        <v>1150</v>
      </c>
      <c r="N1133" s="552">
        <v>1150</v>
      </c>
      <c r="O1133" s="552"/>
      <c r="P1133" s="552"/>
      <c r="Q1133" s="548">
        <v>2380</v>
      </c>
      <c r="R1133" s="552">
        <v>2737000</v>
      </c>
      <c r="S1133" s="548">
        <v>1469</v>
      </c>
      <c r="T1133" s="552">
        <v>1689350</v>
      </c>
      <c r="U1133" s="548">
        <v>911</v>
      </c>
      <c r="V1133" s="552">
        <v>1047650</v>
      </c>
      <c r="W1133" s="552">
        <v>0</v>
      </c>
      <c r="X1133" s="552">
        <v>0</v>
      </c>
      <c r="Y1133" s="552">
        <v>1469</v>
      </c>
      <c r="Z1133" s="552">
        <v>1689350</v>
      </c>
      <c r="AA1133" s="552">
        <v>1469</v>
      </c>
      <c r="AB1133" s="552">
        <v>1689350</v>
      </c>
      <c r="AC1133" s="552">
        <v>0</v>
      </c>
      <c r="AD1133" s="552">
        <v>0</v>
      </c>
      <c r="AE1133" s="552">
        <v>0</v>
      </c>
      <c r="AF1133" s="552">
        <v>0</v>
      </c>
      <c r="AG1133" s="552">
        <v>0</v>
      </c>
      <c r="AH1133" s="552">
        <v>0</v>
      </c>
      <c r="AI1133" s="552">
        <v>0</v>
      </c>
      <c r="AJ1133" s="552">
        <v>0</v>
      </c>
    </row>
    <row r="1134" spans="1:36" ht="15.95" customHeight="1">
      <c r="A1134" s="547"/>
      <c r="B1134" s="548">
        <v>159</v>
      </c>
      <c r="C1134" s="549">
        <v>6603</v>
      </c>
      <c r="D1134" s="550" t="s">
        <v>12570</v>
      </c>
      <c r="E1134" s="550" t="s">
        <v>4986</v>
      </c>
      <c r="F1134" s="550" t="s">
        <v>1962</v>
      </c>
      <c r="G1134" s="550" t="s">
        <v>1961</v>
      </c>
      <c r="H1134" s="550" t="s">
        <v>1963</v>
      </c>
      <c r="I1134" s="550" t="s">
        <v>11</v>
      </c>
      <c r="J1134" s="550" t="s">
        <v>12571</v>
      </c>
      <c r="K1134" s="551">
        <v>44946</v>
      </c>
      <c r="L1134" s="552">
        <v>1197</v>
      </c>
      <c r="M1134" s="552">
        <v>1197</v>
      </c>
      <c r="N1134" s="552">
        <v>1197</v>
      </c>
      <c r="O1134" s="552"/>
      <c r="P1134" s="552"/>
      <c r="Q1134" s="548">
        <v>18000</v>
      </c>
      <c r="R1134" s="552">
        <v>21546000</v>
      </c>
      <c r="S1134" s="548">
        <v>18000</v>
      </c>
      <c r="T1134" s="552">
        <v>21546000</v>
      </c>
      <c r="U1134" s="548">
        <v>0</v>
      </c>
      <c r="V1134" s="552">
        <v>0</v>
      </c>
      <c r="W1134" s="552">
        <v>0</v>
      </c>
      <c r="X1134" s="552">
        <v>0</v>
      </c>
      <c r="Y1134" s="552">
        <v>18000</v>
      </c>
      <c r="Z1134" s="552">
        <v>21546000</v>
      </c>
      <c r="AA1134" s="552">
        <v>18000</v>
      </c>
      <c r="AB1134" s="552">
        <v>21546000</v>
      </c>
      <c r="AC1134" s="552">
        <v>0</v>
      </c>
      <c r="AD1134" s="552">
        <v>0</v>
      </c>
      <c r="AE1134" s="552">
        <v>0</v>
      </c>
      <c r="AF1134" s="552">
        <v>0</v>
      </c>
      <c r="AG1134" s="552">
        <v>0</v>
      </c>
      <c r="AH1134" s="552">
        <v>0</v>
      </c>
      <c r="AI1134" s="552">
        <v>0</v>
      </c>
      <c r="AJ1134" s="552">
        <v>0</v>
      </c>
    </row>
    <row r="1135" spans="1:36" ht="15.95" customHeight="1">
      <c r="A1135" s="547"/>
      <c r="B1135" s="548">
        <v>160</v>
      </c>
      <c r="C1135" s="549">
        <v>6603</v>
      </c>
      <c r="D1135" s="550" t="s">
        <v>12570</v>
      </c>
      <c r="E1135" s="550" t="s">
        <v>4986</v>
      </c>
      <c r="F1135" s="550" t="s">
        <v>1962</v>
      </c>
      <c r="G1135" s="550" t="s">
        <v>1961</v>
      </c>
      <c r="H1135" s="550" t="s">
        <v>1963</v>
      </c>
      <c r="I1135" s="550" t="s">
        <v>11</v>
      </c>
      <c r="J1135" s="550" t="s">
        <v>12572</v>
      </c>
      <c r="K1135" s="551">
        <v>44705</v>
      </c>
      <c r="L1135" s="552">
        <v>1197</v>
      </c>
      <c r="M1135" s="552">
        <v>1197</v>
      </c>
      <c r="N1135" s="552">
        <v>1197</v>
      </c>
      <c r="O1135" s="552">
        <v>8799</v>
      </c>
      <c r="P1135" s="552">
        <v>10532403</v>
      </c>
      <c r="Q1135" s="548">
        <v>0</v>
      </c>
      <c r="R1135" s="552">
        <v>0</v>
      </c>
      <c r="S1135" s="548">
        <v>8799</v>
      </c>
      <c r="T1135" s="552">
        <v>10532403</v>
      </c>
      <c r="U1135" s="548">
        <v>0</v>
      </c>
      <c r="V1135" s="552">
        <v>0</v>
      </c>
      <c r="W1135" s="552">
        <v>0</v>
      </c>
      <c r="X1135" s="552">
        <v>0</v>
      </c>
      <c r="Y1135" s="552">
        <v>8799</v>
      </c>
      <c r="Z1135" s="552">
        <v>10532403</v>
      </c>
      <c r="AA1135" s="552">
        <v>8799</v>
      </c>
      <c r="AB1135" s="552">
        <v>10532403</v>
      </c>
      <c r="AC1135" s="552">
        <v>0</v>
      </c>
      <c r="AD1135" s="552">
        <v>0</v>
      </c>
      <c r="AE1135" s="552">
        <v>0</v>
      </c>
      <c r="AF1135" s="552">
        <v>0</v>
      </c>
      <c r="AG1135" s="552">
        <v>0</v>
      </c>
      <c r="AH1135" s="552">
        <v>0</v>
      </c>
      <c r="AI1135" s="552">
        <v>0</v>
      </c>
      <c r="AJ1135" s="552">
        <v>0</v>
      </c>
    </row>
    <row r="1136" spans="1:36" ht="15.95" customHeight="1">
      <c r="A1136" s="547"/>
      <c r="B1136" s="548">
        <v>161</v>
      </c>
      <c r="C1136" s="549">
        <v>6603</v>
      </c>
      <c r="D1136" s="550" t="s">
        <v>12570</v>
      </c>
      <c r="E1136" s="550" t="s">
        <v>4986</v>
      </c>
      <c r="F1136" s="550" t="s">
        <v>1962</v>
      </c>
      <c r="G1136" s="550" t="s">
        <v>1961</v>
      </c>
      <c r="H1136" s="550" t="s">
        <v>1963</v>
      </c>
      <c r="I1136" s="550" t="s">
        <v>11</v>
      </c>
      <c r="J1136" s="550" t="s">
        <v>12573</v>
      </c>
      <c r="K1136" s="551">
        <v>45040</v>
      </c>
      <c r="L1136" s="552">
        <v>1197</v>
      </c>
      <c r="M1136" s="552">
        <v>1197</v>
      </c>
      <c r="N1136" s="552">
        <v>1197</v>
      </c>
      <c r="O1136" s="552"/>
      <c r="P1136" s="552"/>
      <c r="Q1136" s="548">
        <v>14994</v>
      </c>
      <c r="R1136" s="552">
        <v>17947818</v>
      </c>
      <c r="S1136" s="548">
        <v>8606</v>
      </c>
      <c r="T1136" s="552">
        <v>10301382</v>
      </c>
      <c r="U1136" s="548">
        <v>6388</v>
      </c>
      <c r="V1136" s="552">
        <v>7646436</v>
      </c>
      <c r="W1136" s="552">
        <v>0</v>
      </c>
      <c r="X1136" s="552">
        <v>0</v>
      </c>
      <c r="Y1136" s="552">
        <v>8606</v>
      </c>
      <c r="Z1136" s="552">
        <v>10301382</v>
      </c>
      <c r="AA1136" s="552">
        <v>8606</v>
      </c>
      <c r="AB1136" s="552">
        <v>10301382</v>
      </c>
      <c r="AC1136" s="552">
        <v>0</v>
      </c>
      <c r="AD1136" s="552">
        <v>0</v>
      </c>
      <c r="AE1136" s="552">
        <v>0</v>
      </c>
      <c r="AF1136" s="552">
        <v>0</v>
      </c>
      <c r="AG1136" s="552">
        <v>0</v>
      </c>
      <c r="AH1136" s="552">
        <v>0</v>
      </c>
      <c r="AI1136" s="552">
        <v>0</v>
      </c>
      <c r="AJ1136" s="552">
        <v>0</v>
      </c>
    </row>
    <row r="1137" spans="1:36" ht="15.95" customHeight="1">
      <c r="A1137" s="547"/>
      <c r="B1137" s="548">
        <v>162</v>
      </c>
      <c r="C1137" s="549">
        <v>5971</v>
      </c>
      <c r="D1137" s="550"/>
      <c r="E1137" s="550" t="s">
        <v>4991</v>
      </c>
      <c r="F1137" s="550" t="s">
        <v>4992</v>
      </c>
      <c r="G1137" s="550" t="s">
        <v>4993</v>
      </c>
      <c r="H1137" s="550" t="s">
        <v>4994</v>
      </c>
      <c r="I1137" s="550" t="s">
        <v>628</v>
      </c>
      <c r="J1137" s="550" t="s">
        <v>4995</v>
      </c>
      <c r="K1137" s="551">
        <v>44197</v>
      </c>
      <c r="L1137" s="552">
        <v>13860</v>
      </c>
      <c r="M1137" s="552">
        <v>13860</v>
      </c>
      <c r="N1137" s="552">
        <v>13860</v>
      </c>
      <c r="O1137" s="552">
        <v>76</v>
      </c>
      <c r="P1137" s="552">
        <v>1053360</v>
      </c>
      <c r="Q1137" s="548">
        <v>0</v>
      </c>
      <c r="R1137" s="552">
        <v>0</v>
      </c>
      <c r="S1137" s="548">
        <v>76</v>
      </c>
      <c r="T1137" s="552">
        <v>1053360</v>
      </c>
      <c r="U1137" s="548">
        <v>0</v>
      </c>
      <c r="V1137" s="552">
        <v>0</v>
      </c>
      <c r="W1137" s="552">
        <v>0</v>
      </c>
      <c r="X1137" s="552">
        <v>0</v>
      </c>
      <c r="Y1137" s="552">
        <v>6</v>
      </c>
      <c r="Z1137" s="552">
        <v>83160</v>
      </c>
      <c r="AA1137" s="552">
        <v>0</v>
      </c>
      <c r="AB1137" s="552">
        <v>0</v>
      </c>
      <c r="AC1137" s="552">
        <v>6</v>
      </c>
      <c r="AD1137" s="552">
        <v>83160</v>
      </c>
      <c r="AE1137" s="552">
        <v>0</v>
      </c>
      <c r="AF1137" s="552">
        <v>0</v>
      </c>
      <c r="AG1137" s="552">
        <v>70</v>
      </c>
      <c r="AH1137" s="552">
        <v>970200</v>
      </c>
      <c r="AI1137" s="552">
        <v>0</v>
      </c>
      <c r="AJ1137" s="552">
        <v>0</v>
      </c>
    </row>
    <row r="1138" spans="1:36" ht="15.95" customHeight="1">
      <c r="A1138" s="547"/>
      <c r="B1138" s="548">
        <v>163</v>
      </c>
      <c r="C1138" s="549">
        <v>6601</v>
      </c>
      <c r="D1138" s="550" t="s">
        <v>12574</v>
      </c>
      <c r="E1138" s="550" t="s">
        <v>4996</v>
      </c>
      <c r="F1138" s="550" t="s">
        <v>4997</v>
      </c>
      <c r="G1138" s="550" t="s">
        <v>4998</v>
      </c>
      <c r="H1138" s="550" t="s">
        <v>4999</v>
      </c>
      <c r="I1138" s="550" t="s">
        <v>11</v>
      </c>
      <c r="J1138" s="550" t="s">
        <v>11593</v>
      </c>
      <c r="K1138" s="551">
        <v>45319</v>
      </c>
      <c r="L1138" s="552">
        <v>1785</v>
      </c>
      <c r="M1138" s="552">
        <v>1785</v>
      </c>
      <c r="N1138" s="552">
        <v>1785</v>
      </c>
      <c r="O1138" s="552"/>
      <c r="P1138" s="552"/>
      <c r="Q1138" s="548">
        <v>3600</v>
      </c>
      <c r="R1138" s="552">
        <v>6426000</v>
      </c>
      <c r="S1138" s="548">
        <v>3600</v>
      </c>
      <c r="T1138" s="552">
        <v>6426000</v>
      </c>
      <c r="U1138" s="548">
        <v>0</v>
      </c>
      <c r="V1138" s="552">
        <v>0</v>
      </c>
      <c r="W1138" s="552">
        <v>2878</v>
      </c>
      <c r="X1138" s="552">
        <v>5137230</v>
      </c>
      <c r="Y1138" s="552">
        <v>3600</v>
      </c>
      <c r="Z1138" s="552">
        <v>6426000</v>
      </c>
      <c r="AA1138" s="552">
        <v>0</v>
      </c>
      <c r="AB1138" s="552">
        <v>0</v>
      </c>
      <c r="AC1138" s="552">
        <v>3600</v>
      </c>
      <c r="AD1138" s="552">
        <v>6426000</v>
      </c>
      <c r="AE1138" s="552">
        <v>0</v>
      </c>
      <c r="AF1138" s="552">
        <v>0</v>
      </c>
      <c r="AG1138" s="552">
        <v>0</v>
      </c>
      <c r="AH1138" s="552">
        <v>0</v>
      </c>
      <c r="AI1138" s="552">
        <v>0</v>
      </c>
      <c r="AJ1138" s="552">
        <v>0</v>
      </c>
    </row>
    <row r="1139" spans="1:36" ht="15.95" customHeight="1">
      <c r="A1139" s="547"/>
      <c r="B1139" s="548">
        <v>164</v>
      </c>
      <c r="C1139" s="549">
        <v>6601</v>
      </c>
      <c r="D1139" s="550" t="s">
        <v>12574</v>
      </c>
      <c r="E1139" s="550" t="s">
        <v>4996</v>
      </c>
      <c r="F1139" s="550" t="s">
        <v>4997</v>
      </c>
      <c r="G1139" s="550" t="s">
        <v>4998</v>
      </c>
      <c r="H1139" s="550" t="s">
        <v>4999</v>
      </c>
      <c r="I1139" s="550" t="s">
        <v>11</v>
      </c>
      <c r="J1139" s="550" t="s">
        <v>11766</v>
      </c>
      <c r="K1139" s="551">
        <v>45410</v>
      </c>
      <c r="L1139" s="552">
        <v>1785</v>
      </c>
      <c r="M1139" s="552">
        <v>1785</v>
      </c>
      <c r="N1139" s="552">
        <v>1785</v>
      </c>
      <c r="O1139" s="552"/>
      <c r="P1139" s="552"/>
      <c r="Q1139" s="548">
        <v>19992</v>
      </c>
      <c r="R1139" s="552">
        <v>35685720</v>
      </c>
      <c r="S1139" s="548">
        <v>6180</v>
      </c>
      <c r="T1139" s="552">
        <v>11031300</v>
      </c>
      <c r="U1139" s="548">
        <v>13812</v>
      </c>
      <c r="V1139" s="552">
        <v>24654420</v>
      </c>
      <c r="W1139" s="552">
        <v>2124</v>
      </c>
      <c r="X1139" s="552">
        <v>3791340</v>
      </c>
      <c r="Y1139" s="552">
        <v>6180</v>
      </c>
      <c r="Z1139" s="552">
        <v>11031300</v>
      </c>
      <c r="AA1139" s="552">
        <v>0</v>
      </c>
      <c r="AB1139" s="552">
        <v>0</v>
      </c>
      <c r="AC1139" s="552">
        <v>6180</v>
      </c>
      <c r="AD1139" s="552">
        <v>11031300</v>
      </c>
      <c r="AE1139" s="552">
        <v>0</v>
      </c>
      <c r="AF1139" s="552">
        <v>0</v>
      </c>
      <c r="AG1139" s="552">
        <v>0</v>
      </c>
      <c r="AH1139" s="552">
        <v>0</v>
      </c>
      <c r="AI1139" s="552">
        <v>0</v>
      </c>
      <c r="AJ1139" s="552">
        <v>0</v>
      </c>
    </row>
    <row r="1140" spans="1:36" ht="15.95" customHeight="1">
      <c r="A1140" s="547"/>
      <c r="B1140" s="548">
        <v>165</v>
      </c>
      <c r="C1140" s="549">
        <v>6601</v>
      </c>
      <c r="D1140" s="550" t="s">
        <v>12574</v>
      </c>
      <c r="E1140" s="550" t="s">
        <v>4996</v>
      </c>
      <c r="F1140" s="550" t="s">
        <v>4997</v>
      </c>
      <c r="G1140" s="550" t="s">
        <v>4998</v>
      </c>
      <c r="H1140" s="550" t="s">
        <v>4999</v>
      </c>
      <c r="I1140" s="550" t="s">
        <v>11</v>
      </c>
      <c r="J1140" s="550" t="s">
        <v>3966</v>
      </c>
      <c r="K1140" s="551">
        <v>45111</v>
      </c>
      <c r="L1140" s="552">
        <v>1785</v>
      </c>
      <c r="M1140" s="552">
        <v>1785</v>
      </c>
      <c r="N1140" s="552">
        <v>1785</v>
      </c>
      <c r="O1140" s="552">
        <v>12706</v>
      </c>
      <c r="P1140" s="552">
        <v>22680210</v>
      </c>
      <c r="Q1140" s="548">
        <v>0</v>
      </c>
      <c r="R1140" s="552">
        <v>0</v>
      </c>
      <c r="S1140" s="548">
        <v>12706</v>
      </c>
      <c r="T1140" s="552">
        <v>22680210</v>
      </c>
      <c r="U1140" s="548">
        <v>0</v>
      </c>
      <c r="V1140" s="552">
        <v>0</v>
      </c>
      <c r="W1140" s="552">
        <v>9348</v>
      </c>
      <c r="X1140" s="552">
        <v>16686180</v>
      </c>
      <c r="Y1140" s="552">
        <v>12706</v>
      </c>
      <c r="Z1140" s="552">
        <v>22680210</v>
      </c>
      <c r="AA1140" s="552">
        <v>10306</v>
      </c>
      <c r="AB1140" s="552">
        <v>18396210</v>
      </c>
      <c r="AC1140" s="552">
        <v>2400</v>
      </c>
      <c r="AD1140" s="552">
        <v>4284000</v>
      </c>
      <c r="AE1140" s="552">
        <v>0</v>
      </c>
      <c r="AF1140" s="552">
        <v>0</v>
      </c>
      <c r="AG1140" s="552">
        <v>0</v>
      </c>
      <c r="AH1140" s="552">
        <v>0</v>
      </c>
      <c r="AI1140" s="552">
        <v>0</v>
      </c>
      <c r="AJ1140" s="552">
        <v>0</v>
      </c>
    </row>
    <row r="1141" spans="1:36" ht="15.95" customHeight="1">
      <c r="A1141" s="547"/>
      <c r="B1141" s="548">
        <v>166</v>
      </c>
      <c r="C1141" s="549">
        <v>6601</v>
      </c>
      <c r="D1141" s="550" t="s">
        <v>12574</v>
      </c>
      <c r="E1141" s="550" t="s">
        <v>4996</v>
      </c>
      <c r="F1141" s="550" t="s">
        <v>4997</v>
      </c>
      <c r="G1141" s="550" t="s">
        <v>4998</v>
      </c>
      <c r="H1141" s="550" t="s">
        <v>4999</v>
      </c>
      <c r="I1141" s="550" t="s">
        <v>11</v>
      </c>
      <c r="J1141" s="550" t="s">
        <v>4417</v>
      </c>
      <c r="K1141" s="551">
        <v>45197</v>
      </c>
      <c r="L1141" s="552">
        <v>1785</v>
      </c>
      <c r="M1141" s="552">
        <v>1785</v>
      </c>
      <c r="N1141" s="552">
        <v>1785</v>
      </c>
      <c r="O1141" s="552">
        <v>3192</v>
      </c>
      <c r="P1141" s="552">
        <v>5697720</v>
      </c>
      <c r="Q1141" s="548">
        <v>0</v>
      </c>
      <c r="R1141" s="552">
        <v>0</v>
      </c>
      <c r="S1141" s="548">
        <v>3192</v>
      </c>
      <c r="T1141" s="552">
        <v>5697720</v>
      </c>
      <c r="U1141" s="548">
        <v>0</v>
      </c>
      <c r="V1141" s="552">
        <v>0</v>
      </c>
      <c r="W1141" s="552">
        <v>240</v>
      </c>
      <c r="X1141" s="552">
        <v>428400</v>
      </c>
      <c r="Y1141" s="552">
        <v>3192</v>
      </c>
      <c r="Z1141" s="552">
        <v>5697720</v>
      </c>
      <c r="AA1141" s="552">
        <v>2952</v>
      </c>
      <c r="AB1141" s="552">
        <v>5269320</v>
      </c>
      <c r="AC1141" s="552">
        <v>240</v>
      </c>
      <c r="AD1141" s="552">
        <v>428400</v>
      </c>
      <c r="AE1141" s="552">
        <v>0</v>
      </c>
      <c r="AF1141" s="552">
        <v>0</v>
      </c>
      <c r="AG1141" s="552">
        <v>0</v>
      </c>
      <c r="AH1141" s="552">
        <v>0</v>
      </c>
      <c r="AI1141" s="552">
        <v>0</v>
      </c>
      <c r="AJ1141" s="552">
        <v>0</v>
      </c>
    </row>
    <row r="1142" spans="1:36" ht="15.95" customHeight="1">
      <c r="A1142" s="547"/>
      <c r="B1142" s="548">
        <v>167</v>
      </c>
      <c r="C1142" s="549">
        <v>6612</v>
      </c>
      <c r="D1142" s="550" t="s">
        <v>12575</v>
      </c>
      <c r="E1142" s="550" t="s">
        <v>5816</v>
      </c>
      <c r="F1142" s="550" t="s">
        <v>5817</v>
      </c>
      <c r="G1142" s="550" t="s">
        <v>702</v>
      </c>
      <c r="H1142" s="550" t="s">
        <v>262</v>
      </c>
      <c r="I1142" s="550" t="s">
        <v>11</v>
      </c>
      <c r="J1142" s="550" t="s">
        <v>12576</v>
      </c>
      <c r="K1142" s="551">
        <v>44927</v>
      </c>
      <c r="L1142" s="552">
        <v>2000</v>
      </c>
      <c r="M1142" s="552">
        <v>2000</v>
      </c>
      <c r="N1142" s="552">
        <v>2000</v>
      </c>
      <c r="O1142" s="552"/>
      <c r="P1142" s="552"/>
      <c r="Q1142" s="548">
        <v>3000</v>
      </c>
      <c r="R1142" s="552">
        <v>6000000</v>
      </c>
      <c r="S1142" s="548">
        <v>215</v>
      </c>
      <c r="T1142" s="552">
        <v>430000</v>
      </c>
      <c r="U1142" s="548">
        <v>2785</v>
      </c>
      <c r="V1142" s="552">
        <v>5570000</v>
      </c>
      <c r="W1142" s="552">
        <v>0</v>
      </c>
      <c r="X1142" s="552">
        <v>0</v>
      </c>
      <c r="Y1142" s="552">
        <v>215</v>
      </c>
      <c r="Z1142" s="552">
        <v>430000</v>
      </c>
      <c r="AA1142" s="552">
        <v>215</v>
      </c>
      <c r="AB1142" s="552">
        <v>430000</v>
      </c>
      <c r="AC1142" s="552">
        <v>0</v>
      </c>
      <c r="AD1142" s="552">
        <v>0</v>
      </c>
      <c r="AE1142" s="552">
        <v>0</v>
      </c>
      <c r="AF1142" s="552">
        <v>0</v>
      </c>
      <c r="AG1142" s="552">
        <v>0</v>
      </c>
      <c r="AH1142" s="552">
        <v>0</v>
      </c>
      <c r="AI1142" s="552">
        <v>0</v>
      </c>
      <c r="AJ1142" s="552">
        <v>0</v>
      </c>
    </row>
    <row r="1143" spans="1:36" ht="15.95" customHeight="1">
      <c r="A1143" s="547"/>
      <c r="B1143" s="548">
        <v>168</v>
      </c>
      <c r="C1143" s="549">
        <v>6602</v>
      </c>
      <c r="D1143" s="550" t="s">
        <v>12577</v>
      </c>
      <c r="E1143" s="550" t="s">
        <v>5000</v>
      </c>
      <c r="F1143" s="550" t="s">
        <v>5001</v>
      </c>
      <c r="G1143" s="550" t="s">
        <v>4998</v>
      </c>
      <c r="H1143" s="550" t="s">
        <v>1959</v>
      </c>
      <c r="I1143" s="550" t="s">
        <v>11</v>
      </c>
      <c r="J1143" s="550" t="s">
        <v>5002</v>
      </c>
      <c r="K1143" s="551">
        <v>44484</v>
      </c>
      <c r="L1143" s="552">
        <v>3500</v>
      </c>
      <c r="M1143" s="552">
        <v>3500</v>
      </c>
      <c r="N1143" s="552">
        <v>3500</v>
      </c>
      <c r="O1143" s="552">
        <v>144</v>
      </c>
      <c r="P1143" s="552">
        <v>504000</v>
      </c>
      <c r="Q1143" s="548">
        <v>4</v>
      </c>
      <c r="R1143" s="552">
        <v>14000</v>
      </c>
      <c r="S1143" s="548">
        <v>148</v>
      </c>
      <c r="T1143" s="552">
        <v>518000</v>
      </c>
      <c r="U1143" s="548">
        <v>0</v>
      </c>
      <c r="V1143" s="552">
        <v>0</v>
      </c>
      <c r="W1143" s="552">
        <v>0</v>
      </c>
      <c r="X1143" s="552">
        <v>0</v>
      </c>
      <c r="Y1143" s="552">
        <v>148</v>
      </c>
      <c r="Z1143" s="552">
        <v>518000</v>
      </c>
      <c r="AA1143" s="552">
        <v>0</v>
      </c>
      <c r="AB1143" s="552">
        <v>0</v>
      </c>
      <c r="AC1143" s="552">
        <v>148</v>
      </c>
      <c r="AD1143" s="552">
        <v>518000</v>
      </c>
      <c r="AE1143" s="552">
        <v>0</v>
      </c>
      <c r="AF1143" s="552">
        <v>0</v>
      </c>
      <c r="AG1143" s="552">
        <v>0</v>
      </c>
      <c r="AH1143" s="552">
        <v>0</v>
      </c>
      <c r="AI1143" s="552">
        <v>0</v>
      </c>
      <c r="AJ1143" s="552">
        <v>0</v>
      </c>
    </row>
    <row r="1144" spans="1:36" ht="15.95" customHeight="1">
      <c r="A1144" s="547"/>
      <c r="B1144" s="548">
        <v>178</v>
      </c>
      <c r="C1144" s="549">
        <v>6613</v>
      </c>
      <c r="D1144" s="550" t="s">
        <v>12578</v>
      </c>
      <c r="E1144" s="550" t="s">
        <v>5003</v>
      </c>
      <c r="F1144" s="550" t="s">
        <v>5004</v>
      </c>
      <c r="G1144" s="550" t="s">
        <v>702</v>
      </c>
      <c r="H1144" s="550" t="s">
        <v>225</v>
      </c>
      <c r="I1144" s="550" t="s">
        <v>11</v>
      </c>
      <c r="J1144" s="550" t="s">
        <v>5005</v>
      </c>
      <c r="K1144" s="551">
        <v>44827</v>
      </c>
      <c r="L1144" s="552">
        <v>2150</v>
      </c>
      <c r="M1144" s="552">
        <v>2150</v>
      </c>
      <c r="N1144" s="552">
        <v>2150</v>
      </c>
      <c r="O1144" s="552">
        <v>1762</v>
      </c>
      <c r="P1144" s="552">
        <v>3788300</v>
      </c>
      <c r="Q1144" s="548">
        <v>0</v>
      </c>
      <c r="R1144" s="552">
        <v>0</v>
      </c>
      <c r="S1144" s="548">
        <v>1762</v>
      </c>
      <c r="T1144" s="552">
        <v>3788300</v>
      </c>
      <c r="U1144" s="548">
        <v>0</v>
      </c>
      <c r="V1144" s="552">
        <v>0</v>
      </c>
      <c r="W1144" s="552">
        <v>805</v>
      </c>
      <c r="X1144" s="552">
        <v>1730750</v>
      </c>
      <c r="Y1144" s="552">
        <v>1762</v>
      </c>
      <c r="Z1144" s="552">
        <v>3788300</v>
      </c>
      <c r="AA1144" s="552">
        <v>1762</v>
      </c>
      <c r="AB1144" s="552">
        <v>3788300</v>
      </c>
      <c r="AC1144" s="552">
        <v>0</v>
      </c>
      <c r="AD1144" s="552">
        <v>0</v>
      </c>
      <c r="AE1144" s="552">
        <v>0</v>
      </c>
      <c r="AF1144" s="552">
        <v>0</v>
      </c>
      <c r="AG1144" s="552">
        <v>0</v>
      </c>
      <c r="AH1144" s="552">
        <v>0</v>
      </c>
      <c r="AI1144" s="552">
        <v>0</v>
      </c>
      <c r="AJ1144" s="552">
        <v>0</v>
      </c>
    </row>
    <row r="1145" spans="1:36" ht="15.95" customHeight="1">
      <c r="A1145" s="547"/>
      <c r="B1145" s="548">
        <v>179</v>
      </c>
      <c r="C1145" s="549">
        <v>6613</v>
      </c>
      <c r="D1145" s="550" t="s">
        <v>12578</v>
      </c>
      <c r="E1145" s="550" t="s">
        <v>5003</v>
      </c>
      <c r="F1145" s="550" t="s">
        <v>5004</v>
      </c>
      <c r="G1145" s="550" t="s">
        <v>702</v>
      </c>
      <c r="H1145" s="550" t="s">
        <v>225</v>
      </c>
      <c r="I1145" s="550" t="s">
        <v>11</v>
      </c>
      <c r="J1145" s="550" t="s">
        <v>12579</v>
      </c>
      <c r="K1145" s="551">
        <v>45425</v>
      </c>
      <c r="L1145" s="552">
        <v>2150</v>
      </c>
      <c r="M1145" s="552">
        <v>2150</v>
      </c>
      <c r="N1145" s="552">
        <v>2150</v>
      </c>
      <c r="O1145" s="552"/>
      <c r="P1145" s="552"/>
      <c r="Q1145" s="548">
        <v>20000</v>
      </c>
      <c r="R1145" s="552">
        <v>43000000</v>
      </c>
      <c r="S1145" s="548">
        <v>3804</v>
      </c>
      <c r="T1145" s="552">
        <v>8178600</v>
      </c>
      <c r="U1145" s="548">
        <v>16196</v>
      </c>
      <c r="V1145" s="552">
        <v>34821400</v>
      </c>
      <c r="W1145" s="552">
        <v>0</v>
      </c>
      <c r="X1145" s="552">
        <v>0</v>
      </c>
      <c r="Y1145" s="552">
        <v>3804</v>
      </c>
      <c r="Z1145" s="552">
        <v>8178600</v>
      </c>
      <c r="AA1145" s="552">
        <v>3804</v>
      </c>
      <c r="AB1145" s="552">
        <v>8178600</v>
      </c>
      <c r="AC1145" s="552">
        <v>0</v>
      </c>
      <c r="AD1145" s="552">
        <v>0</v>
      </c>
      <c r="AE1145" s="552">
        <v>0</v>
      </c>
      <c r="AF1145" s="552">
        <v>0</v>
      </c>
      <c r="AG1145" s="552">
        <v>0</v>
      </c>
      <c r="AH1145" s="552">
        <v>0</v>
      </c>
      <c r="AI1145" s="552">
        <v>0</v>
      </c>
      <c r="AJ1145" s="552">
        <v>0</v>
      </c>
    </row>
    <row r="1146" spans="1:36" ht="15.95" customHeight="1">
      <c r="A1146" s="547"/>
      <c r="B1146" s="548">
        <v>269</v>
      </c>
      <c r="C1146" s="549">
        <v>6638</v>
      </c>
      <c r="D1146" s="550" t="s">
        <v>12580</v>
      </c>
      <c r="E1146" s="550" t="s">
        <v>5006</v>
      </c>
      <c r="F1146" s="550" t="s">
        <v>1895</v>
      </c>
      <c r="G1146" s="550" t="s">
        <v>1636</v>
      </c>
      <c r="H1146" s="550" t="s">
        <v>5007</v>
      </c>
      <c r="I1146" s="550" t="s">
        <v>11</v>
      </c>
      <c r="J1146" s="550" t="s">
        <v>12581</v>
      </c>
      <c r="K1146" s="551">
        <v>45455</v>
      </c>
      <c r="L1146" s="552">
        <v>2600</v>
      </c>
      <c r="M1146" s="552">
        <v>2600</v>
      </c>
      <c r="N1146" s="552">
        <v>2600</v>
      </c>
      <c r="O1146" s="552"/>
      <c r="P1146" s="552"/>
      <c r="Q1146" s="548">
        <v>6110</v>
      </c>
      <c r="R1146" s="552">
        <v>15886000</v>
      </c>
      <c r="S1146" s="548">
        <v>0</v>
      </c>
      <c r="T1146" s="552">
        <v>0</v>
      </c>
      <c r="U1146" s="548">
        <v>6110</v>
      </c>
      <c r="V1146" s="552">
        <v>15886000</v>
      </c>
      <c r="W1146" s="552">
        <v>0</v>
      </c>
      <c r="X1146" s="552">
        <v>0</v>
      </c>
      <c r="Y1146" s="552">
        <v>0</v>
      </c>
      <c r="Z1146" s="552">
        <v>0</v>
      </c>
      <c r="AA1146" s="552">
        <v>0</v>
      </c>
      <c r="AB1146" s="552">
        <v>0</v>
      </c>
      <c r="AC1146" s="552">
        <v>0</v>
      </c>
      <c r="AD1146" s="552">
        <v>0</v>
      </c>
      <c r="AE1146" s="552">
        <v>0</v>
      </c>
      <c r="AF1146" s="552">
        <v>0</v>
      </c>
      <c r="AG1146" s="552">
        <v>0</v>
      </c>
      <c r="AH1146" s="552">
        <v>0</v>
      </c>
      <c r="AI1146" s="552">
        <v>0</v>
      </c>
      <c r="AJ1146" s="552">
        <v>0</v>
      </c>
    </row>
    <row r="1147" spans="1:36" ht="15.95" customHeight="1">
      <c r="A1147" s="547"/>
      <c r="B1147" s="548">
        <v>270</v>
      </c>
      <c r="C1147" s="549">
        <v>6638</v>
      </c>
      <c r="D1147" s="550" t="s">
        <v>12580</v>
      </c>
      <c r="E1147" s="550" t="s">
        <v>5006</v>
      </c>
      <c r="F1147" s="550" t="s">
        <v>1895</v>
      </c>
      <c r="G1147" s="550" t="s">
        <v>1636</v>
      </c>
      <c r="H1147" s="550" t="s">
        <v>5007</v>
      </c>
      <c r="I1147" s="550" t="s">
        <v>11</v>
      </c>
      <c r="J1147" s="550" t="s">
        <v>12582</v>
      </c>
      <c r="K1147" s="551">
        <v>45457</v>
      </c>
      <c r="L1147" s="552">
        <v>2600</v>
      </c>
      <c r="M1147" s="552">
        <v>2600</v>
      </c>
      <c r="N1147" s="552">
        <v>2600</v>
      </c>
      <c r="O1147" s="552"/>
      <c r="P1147" s="552"/>
      <c r="Q1147" s="548">
        <v>4390</v>
      </c>
      <c r="R1147" s="552">
        <v>11414000</v>
      </c>
      <c r="S1147" s="548">
        <v>0</v>
      </c>
      <c r="T1147" s="552">
        <v>0</v>
      </c>
      <c r="U1147" s="548">
        <v>4390</v>
      </c>
      <c r="V1147" s="552">
        <v>11414000</v>
      </c>
      <c r="W1147" s="552">
        <v>0</v>
      </c>
      <c r="X1147" s="552">
        <v>0</v>
      </c>
      <c r="Y1147" s="552">
        <v>0</v>
      </c>
      <c r="Z1147" s="552">
        <v>0</v>
      </c>
      <c r="AA1147" s="552">
        <v>0</v>
      </c>
      <c r="AB1147" s="552">
        <v>0</v>
      </c>
      <c r="AC1147" s="552">
        <v>0</v>
      </c>
      <c r="AD1147" s="552">
        <v>0</v>
      </c>
      <c r="AE1147" s="552">
        <v>0</v>
      </c>
      <c r="AF1147" s="552">
        <v>0</v>
      </c>
      <c r="AG1147" s="552">
        <v>0</v>
      </c>
      <c r="AH1147" s="552">
        <v>0</v>
      </c>
      <c r="AI1147" s="552">
        <v>0</v>
      </c>
      <c r="AJ1147" s="552">
        <v>0</v>
      </c>
    </row>
    <row r="1148" spans="1:36" ht="15.95" customHeight="1">
      <c r="A1148" s="547"/>
      <c r="B1148" s="548">
        <v>388</v>
      </c>
      <c r="C1148" s="549">
        <v>6609</v>
      </c>
      <c r="D1148" s="550" t="s">
        <v>12583</v>
      </c>
      <c r="E1148" s="550" t="s">
        <v>5011</v>
      </c>
      <c r="F1148" s="550" t="s">
        <v>5012</v>
      </c>
      <c r="G1148" s="550" t="s">
        <v>5013</v>
      </c>
      <c r="H1148" s="550" t="s">
        <v>5014</v>
      </c>
      <c r="I1148" s="550" t="s">
        <v>520</v>
      </c>
      <c r="J1148" s="550" t="s">
        <v>5015</v>
      </c>
      <c r="K1148" s="551">
        <v>44795</v>
      </c>
      <c r="L1148" s="552">
        <v>5163</v>
      </c>
      <c r="M1148" s="552">
        <v>5163</v>
      </c>
      <c r="N1148" s="552">
        <v>5163</v>
      </c>
      <c r="O1148" s="552">
        <v>4278</v>
      </c>
      <c r="P1148" s="552">
        <v>22087314</v>
      </c>
      <c r="Q1148" s="548">
        <v>0</v>
      </c>
      <c r="R1148" s="552">
        <v>0</v>
      </c>
      <c r="S1148" s="548">
        <v>4278</v>
      </c>
      <c r="T1148" s="552">
        <v>22087314</v>
      </c>
      <c r="U1148" s="548">
        <v>0</v>
      </c>
      <c r="V1148" s="552">
        <v>0</v>
      </c>
      <c r="W1148" s="552">
        <v>0</v>
      </c>
      <c r="X1148" s="552">
        <v>0</v>
      </c>
      <c r="Y1148" s="552">
        <v>4278</v>
      </c>
      <c r="Z1148" s="552">
        <v>22087314</v>
      </c>
      <c r="AA1148" s="552">
        <v>4278</v>
      </c>
      <c r="AB1148" s="552">
        <v>22087314</v>
      </c>
      <c r="AC1148" s="552">
        <v>0</v>
      </c>
      <c r="AD1148" s="552">
        <v>0</v>
      </c>
      <c r="AE1148" s="552">
        <v>0</v>
      </c>
      <c r="AF1148" s="552">
        <v>0</v>
      </c>
      <c r="AG1148" s="552">
        <v>0</v>
      </c>
      <c r="AH1148" s="552">
        <v>0</v>
      </c>
      <c r="AI1148" s="552">
        <v>0</v>
      </c>
      <c r="AJ1148" s="552">
        <v>0</v>
      </c>
    </row>
    <row r="1149" spans="1:36" ht="15.95" customHeight="1">
      <c r="A1149" s="547"/>
      <c r="B1149" s="548">
        <v>389</v>
      </c>
      <c r="C1149" s="549">
        <v>6609</v>
      </c>
      <c r="D1149" s="550" t="s">
        <v>12583</v>
      </c>
      <c r="E1149" s="550" t="s">
        <v>5011</v>
      </c>
      <c r="F1149" s="550" t="s">
        <v>5012</v>
      </c>
      <c r="G1149" s="550" t="s">
        <v>5013</v>
      </c>
      <c r="H1149" s="550" t="s">
        <v>5014</v>
      </c>
      <c r="I1149" s="550" t="s">
        <v>520</v>
      </c>
      <c r="J1149" s="550" t="s">
        <v>6477</v>
      </c>
      <c r="K1149" s="551">
        <v>45085</v>
      </c>
      <c r="L1149" s="552">
        <v>5163</v>
      </c>
      <c r="M1149" s="552">
        <v>5163</v>
      </c>
      <c r="N1149" s="552">
        <v>5163</v>
      </c>
      <c r="O1149" s="552"/>
      <c r="P1149" s="552"/>
      <c r="Q1149" s="548">
        <v>10000</v>
      </c>
      <c r="R1149" s="552">
        <v>51630000</v>
      </c>
      <c r="S1149" s="548">
        <v>900</v>
      </c>
      <c r="T1149" s="552">
        <v>4646700</v>
      </c>
      <c r="U1149" s="548">
        <v>9100</v>
      </c>
      <c r="V1149" s="552">
        <v>46983300</v>
      </c>
      <c r="W1149" s="552">
        <v>0</v>
      </c>
      <c r="X1149" s="552">
        <v>0</v>
      </c>
      <c r="Y1149" s="552">
        <v>900</v>
      </c>
      <c r="Z1149" s="552">
        <v>4646700</v>
      </c>
      <c r="AA1149" s="552">
        <v>900</v>
      </c>
      <c r="AB1149" s="552">
        <v>4646700</v>
      </c>
      <c r="AC1149" s="552">
        <v>0</v>
      </c>
      <c r="AD1149" s="552">
        <v>0</v>
      </c>
      <c r="AE1149" s="552">
        <v>0</v>
      </c>
      <c r="AF1149" s="552">
        <v>0</v>
      </c>
      <c r="AG1149" s="552">
        <v>0</v>
      </c>
      <c r="AH1149" s="552">
        <v>0</v>
      </c>
      <c r="AI1149" s="552">
        <v>0</v>
      </c>
      <c r="AJ1149" s="552">
        <v>0</v>
      </c>
    </row>
    <row r="1150" spans="1:36" ht="15.95" customHeight="1">
      <c r="A1150" s="547"/>
      <c r="B1150" s="548">
        <v>465</v>
      </c>
      <c r="C1150" s="549">
        <v>6607</v>
      </c>
      <c r="D1150" s="550" t="s">
        <v>12584</v>
      </c>
      <c r="E1150" s="550" t="s">
        <v>8358</v>
      </c>
      <c r="F1150" s="550" t="s">
        <v>1471</v>
      </c>
      <c r="G1150" s="550" t="s">
        <v>4993</v>
      </c>
      <c r="H1150" s="550" t="s">
        <v>1472</v>
      </c>
      <c r="I1150" s="550" t="s">
        <v>520</v>
      </c>
      <c r="J1150" s="550" t="s">
        <v>12585</v>
      </c>
      <c r="K1150" s="551">
        <v>44535</v>
      </c>
      <c r="L1150" s="552">
        <v>13300</v>
      </c>
      <c r="M1150" s="552">
        <v>13300</v>
      </c>
      <c r="N1150" s="552">
        <v>13300</v>
      </c>
      <c r="O1150" s="552"/>
      <c r="P1150" s="552"/>
      <c r="Q1150" s="548">
        <v>100</v>
      </c>
      <c r="R1150" s="552">
        <v>1330000</v>
      </c>
      <c r="S1150" s="548">
        <v>100</v>
      </c>
      <c r="T1150" s="552">
        <v>1330000</v>
      </c>
      <c r="U1150" s="548">
        <v>0</v>
      </c>
      <c r="V1150" s="552">
        <v>0</v>
      </c>
      <c r="W1150" s="552">
        <v>0</v>
      </c>
      <c r="X1150" s="552">
        <v>0</v>
      </c>
      <c r="Y1150" s="552">
        <v>10</v>
      </c>
      <c r="Z1150" s="552">
        <v>133000</v>
      </c>
      <c r="AA1150" s="552">
        <v>0</v>
      </c>
      <c r="AB1150" s="552">
        <v>0</v>
      </c>
      <c r="AC1150" s="552">
        <v>10</v>
      </c>
      <c r="AD1150" s="552">
        <v>133000</v>
      </c>
      <c r="AE1150" s="552">
        <v>0</v>
      </c>
      <c r="AF1150" s="552">
        <v>0</v>
      </c>
      <c r="AG1150" s="552">
        <v>90</v>
      </c>
      <c r="AH1150" s="552">
        <v>1197000</v>
      </c>
      <c r="AI1150" s="552">
        <v>0</v>
      </c>
      <c r="AJ1150" s="552">
        <v>0</v>
      </c>
    </row>
    <row r="1151" spans="1:36" ht="15.95" customHeight="1">
      <c r="A1151" s="547"/>
      <c r="B1151" s="548">
        <v>523</v>
      </c>
      <c r="C1151" s="549">
        <v>6626</v>
      </c>
      <c r="D1151" s="550" t="s">
        <v>12586</v>
      </c>
      <c r="E1151" s="550" t="s">
        <v>5019</v>
      </c>
      <c r="F1151" s="550" t="s">
        <v>5020</v>
      </c>
      <c r="G1151" s="550" t="s">
        <v>1550</v>
      </c>
      <c r="H1151" s="550" t="s">
        <v>5021</v>
      </c>
      <c r="I1151" s="550" t="s">
        <v>11</v>
      </c>
      <c r="J1151" s="550" t="s">
        <v>12180</v>
      </c>
      <c r="K1151" s="551">
        <v>45250</v>
      </c>
      <c r="L1151" s="552">
        <v>470</v>
      </c>
      <c r="M1151" s="552">
        <v>470</v>
      </c>
      <c r="N1151" s="552">
        <v>470</v>
      </c>
      <c r="O1151" s="552"/>
      <c r="P1151" s="552"/>
      <c r="Q1151" s="548">
        <v>1200</v>
      </c>
      <c r="R1151" s="552">
        <v>564000</v>
      </c>
      <c r="S1151" s="548">
        <v>1200</v>
      </c>
      <c r="T1151" s="552">
        <v>564000</v>
      </c>
      <c r="U1151" s="548">
        <v>0</v>
      </c>
      <c r="V1151" s="552">
        <v>0</v>
      </c>
      <c r="W1151" s="552">
        <v>485</v>
      </c>
      <c r="X1151" s="552">
        <v>227950</v>
      </c>
      <c r="Y1151" s="552">
        <v>1200</v>
      </c>
      <c r="Z1151" s="552">
        <v>564000</v>
      </c>
      <c r="AA1151" s="552">
        <v>0</v>
      </c>
      <c r="AB1151" s="552">
        <v>0</v>
      </c>
      <c r="AC1151" s="552">
        <v>1200</v>
      </c>
      <c r="AD1151" s="552">
        <v>564000</v>
      </c>
      <c r="AE1151" s="552">
        <v>0</v>
      </c>
      <c r="AF1151" s="552">
        <v>0</v>
      </c>
      <c r="AG1151" s="552">
        <v>0</v>
      </c>
      <c r="AH1151" s="552">
        <v>0</v>
      </c>
      <c r="AI1151" s="552">
        <v>0</v>
      </c>
      <c r="AJ1151" s="552">
        <v>0</v>
      </c>
    </row>
    <row r="1152" spans="1:36" ht="15.95" customHeight="1">
      <c r="A1152" s="547"/>
      <c r="B1152" s="548">
        <v>543</v>
      </c>
      <c r="C1152" s="549">
        <v>6614</v>
      </c>
      <c r="D1152" s="550" t="s">
        <v>12587</v>
      </c>
      <c r="E1152" s="550" t="s">
        <v>5022</v>
      </c>
      <c r="F1152" s="550" t="s">
        <v>5023</v>
      </c>
      <c r="G1152" s="550" t="s">
        <v>702</v>
      </c>
      <c r="H1152" s="550" t="s">
        <v>232</v>
      </c>
      <c r="I1152" s="550" t="s">
        <v>11</v>
      </c>
      <c r="J1152" s="550" t="s">
        <v>4874</v>
      </c>
      <c r="K1152" s="551">
        <v>44822</v>
      </c>
      <c r="L1152" s="552">
        <v>650</v>
      </c>
      <c r="M1152" s="552">
        <v>650</v>
      </c>
      <c r="N1152" s="552">
        <v>650</v>
      </c>
      <c r="O1152" s="552"/>
      <c r="P1152" s="552"/>
      <c r="Q1152" s="548">
        <v>3000</v>
      </c>
      <c r="R1152" s="552">
        <v>1950000</v>
      </c>
      <c r="S1152" s="548">
        <v>3000</v>
      </c>
      <c r="T1152" s="552">
        <v>1950000</v>
      </c>
      <c r="U1152" s="548">
        <v>0</v>
      </c>
      <c r="V1152" s="552">
        <v>0</v>
      </c>
      <c r="W1152" s="552">
        <v>3703</v>
      </c>
      <c r="X1152" s="552">
        <v>2406950</v>
      </c>
      <c r="Y1152" s="552">
        <v>3000</v>
      </c>
      <c r="Z1152" s="552">
        <v>1950000</v>
      </c>
      <c r="AA1152" s="552">
        <v>0</v>
      </c>
      <c r="AB1152" s="552">
        <v>0</v>
      </c>
      <c r="AC1152" s="552">
        <v>3000</v>
      </c>
      <c r="AD1152" s="552">
        <v>1950000</v>
      </c>
      <c r="AE1152" s="552">
        <v>0</v>
      </c>
      <c r="AF1152" s="552">
        <v>0</v>
      </c>
      <c r="AG1152" s="552">
        <v>0</v>
      </c>
      <c r="AH1152" s="552">
        <v>0</v>
      </c>
      <c r="AI1152" s="552">
        <v>0</v>
      </c>
      <c r="AJ1152" s="552">
        <v>0</v>
      </c>
    </row>
    <row r="1153" spans="1:36" ht="15.95" customHeight="1">
      <c r="A1153" s="547"/>
      <c r="B1153" s="548">
        <v>605</v>
      </c>
      <c r="C1153" s="549">
        <v>6600</v>
      </c>
      <c r="D1153" s="550" t="s">
        <v>12588</v>
      </c>
      <c r="E1153" s="550" t="s">
        <v>8370</v>
      </c>
      <c r="F1153" s="550" t="s">
        <v>8371</v>
      </c>
      <c r="G1153" s="550" t="s">
        <v>2485</v>
      </c>
      <c r="H1153" s="550" t="s">
        <v>2486</v>
      </c>
      <c r="I1153" s="550" t="s">
        <v>11</v>
      </c>
      <c r="J1153" s="550" t="s">
        <v>12589</v>
      </c>
      <c r="K1153" s="551">
        <v>45340</v>
      </c>
      <c r="L1153" s="552">
        <v>1400</v>
      </c>
      <c r="M1153" s="552">
        <v>1400</v>
      </c>
      <c r="N1153" s="552">
        <v>1400</v>
      </c>
      <c r="O1153" s="552"/>
      <c r="P1153" s="552"/>
      <c r="Q1153" s="548">
        <v>2500</v>
      </c>
      <c r="R1153" s="552">
        <v>3500000</v>
      </c>
      <c r="S1153" s="548">
        <v>2500</v>
      </c>
      <c r="T1153" s="552">
        <v>3500000</v>
      </c>
      <c r="U1153" s="548">
        <v>0</v>
      </c>
      <c r="V1153" s="552">
        <v>0</v>
      </c>
      <c r="W1153" s="552">
        <v>1394</v>
      </c>
      <c r="X1153" s="552">
        <v>1951600</v>
      </c>
      <c r="Y1153" s="552">
        <v>2500</v>
      </c>
      <c r="Z1153" s="552">
        <v>3500000</v>
      </c>
      <c r="AA1153" s="552">
        <v>0</v>
      </c>
      <c r="AB1153" s="552">
        <v>0</v>
      </c>
      <c r="AC1153" s="552">
        <v>2500</v>
      </c>
      <c r="AD1153" s="552">
        <v>3500000</v>
      </c>
      <c r="AE1153" s="552">
        <v>0</v>
      </c>
      <c r="AF1153" s="552">
        <v>0</v>
      </c>
      <c r="AG1153" s="552">
        <v>0</v>
      </c>
      <c r="AH1153" s="552">
        <v>0</v>
      </c>
      <c r="AI1153" s="552">
        <v>0</v>
      </c>
      <c r="AJ1153" s="552">
        <v>0</v>
      </c>
    </row>
    <row r="1154" spans="1:36" ht="15.95" customHeight="1">
      <c r="A1154" s="547"/>
      <c r="B1154" s="548">
        <v>606</v>
      </c>
      <c r="C1154" s="549">
        <v>6600</v>
      </c>
      <c r="D1154" s="550" t="s">
        <v>12588</v>
      </c>
      <c r="E1154" s="550" t="s">
        <v>8370</v>
      </c>
      <c r="F1154" s="550" t="s">
        <v>8371</v>
      </c>
      <c r="G1154" s="550" t="s">
        <v>2485</v>
      </c>
      <c r="H1154" s="550" t="s">
        <v>2486</v>
      </c>
      <c r="I1154" s="550" t="s">
        <v>11</v>
      </c>
      <c r="J1154" s="550" t="s">
        <v>12590</v>
      </c>
      <c r="K1154" s="551">
        <v>45418</v>
      </c>
      <c r="L1154" s="552">
        <v>1400</v>
      </c>
      <c r="M1154" s="552">
        <v>1400</v>
      </c>
      <c r="N1154" s="552">
        <v>1400</v>
      </c>
      <c r="O1154" s="552"/>
      <c r="P1154" s="552"/>
      <c r="Q1154" s="548">
        <v>9500</v>
      </c>
      <c r="R1154" s="552">
        <v>13300000</v>
      </c>
      <c r="S1154" s="548">
        <v>7000</v>
      </c>
      <c r="T1154" s="552">
        <v>9800000</v>
      </c>
      <c r="U1154" s="548">
        <v>2500</v>
      </c>
      <c r="V1154" s="552">
        <v>3500000</v>
      </c>
      <c r="W1154" s="552">
        <v>2179</v>
      </c>
      <c r="X1154" s="552">
        <v>3050600</v>
      </c>
      <c r="Y1154" s="552">
        <v>7000</v>
      </c>
      <c r="Z1154" s="552">
        <v>9800000</v>
      </c>
      <c r="AA1154" s="552">
        <v>0</v>
      </c>
      <c r="AB1154" s="552">
        <v>0</v>
      </c>
      <c r="AC1154" s="552">
        <v>7000</v>
      </c>
      <c r="AD1154" s="552">
        <v>9800000</v>
      </c>
      <c r="AE1154" s="552">
        <v>0</v>
      </c>
      <c r="AF1154" s="552">
        <v>0</v>
      </c>
      <c r="AG1154" s="552">
        <v>0</v>
      </c>
      <c r="AH1154" s="552">
        <v>0</v>
      </c>
      <c r="AI1154" s="552">
        <v>0</v>
      </c>
      <c r="AJ1154" s="552">
        <v>0</v>
      </c>
    </row>
    <row r="1155" spans="1:36" ht="15.95" customHeight="1">
      <c r="A1155" s="547"/>
      <c r="B1155" s="548">
        <v>642</v>
      </c>
      <c r="C1155" s="549">
        <v>6616</v>
      </c>
      <c r="D1155" s="550"/>
      <c r="E1155" s="550" t="s">
        <v>7125</v>
      </c>
      <c r="F1155" s="550" t="s">
        <v>7127</v>
      </c>
      <c r="G1155" s="550" t="s">
        <v>1697</v>
      </c>
      <c r="H1155" s="550" t="s">
        <v>7126</v>
      </c>
      <c r="I1155" s="550" t="s">
        <v>11</v>
      </c>
      <c r="J1155" s="550" t="s">
        <v>12591</v>
      </c>
      <c r="K1155" s="551">
        <v>44764</v>
      </c>
      <c r="L1155" s="552">
        <v>2850</v>
      </c>
      <c r="M1155" s="552">
        <v>2850</v>
      </c>
      <c r="N1155" s="552">
        <v>2850</v>
      </c>
      <c r="O1155" s="552"/>
      <c r="P1155" s="552"/>
      <c r="Q1155" s="548">
        <v>5000</v>
      </c>
      <c r="R1155" s="552">
        <v>14250000</v>
      </c>
      <c r="S1155" s="548">
        <v>1282</v>
      </c>
      <c r="T1155" s="552">
        <v>3653700</v>
      </c>
      <c r="U1155" s="548">
        <v>3718</v>
      </c>
      <c r="V1155" s="552">
        <v>10596300</v>
      </c>
      <c r="W1155" s="552">
        <v>0</v>
      </c>
      <c r="X1155" s="552">
        <v>0</v>
      </c>
      <c r="Y1155" s="552">
        <v>1282</v>
      </c>
      <c r="Z1155" s="552">
        <v>3653700</v>
      </c>
      <c r="AA1155" s="552">
        <v>1282</v>
      </c>
      <c r="AB1155" s="552">
        <v>3653700</v>
      </c>
      <c r="AC1155" s="552">
        <v>0</v>
      </c>
      <c r="AD1155" s="552">
        <v>0</v>
      </c>
      <c r="AE1155" s="552">
        <v>0</v>
      </c>
      <c r="AF1155" s="552">
        <v>0</v>
      </c>
      <c r="AG1155" s="552">
        <v>0</v>
      </c>
      <c r="AH1155" s="552">
        <v>0</v>
      </c>
      <c r="AI1155" s="552">
        <v>0</v>
      </c>
      <c r="AJ1155" s="552">
        <v>0</v>
      </c>
    </row>
    <row r="1156" spans="1:36" ht="15.95" customHeight="1">
      <c r="A1156" s="547"/>
      <c r="B1156" s="548">
        <v>646</v>
      </c>
      <c r="C1156" s="549">
        <v>6639</v>
      </c>
      <c r="D1156" s="550" t="s">
        <v>12592</v>
      </c>
      <c r="E1156" s="550" t="s">
        <v>5024</v>
      </c>
      <c r="F1156" s="550" t="s">
        <v>5025</v>
      </c>
      <c r="G1156" s="550" t="s">
        <v>1636</v>
      </c>
      <c r="H1156" s="550" t="s">
        <v>5026</v>
      </c>
      <c r="I1156" s="550" t="s">
        <v>11</v>
      </c>
      <c r="J1156" s="550" t="s">
        <v>5027</v>
      </c>
      <c r="K1156" s="551">
        <v>45031</v>
      </c>
      <c r="L1156" s="552">
        <v>125</v>
      </c>
      <c r="M1156" s="552">
        <v>125</v>
      </c>
      <c r="N1156" s="552">
        <v>125</v>
      </c>
      <c r="O1156" s="552">
        <v>1100</v>
      </c>
      <c r="P1156" s="552">
        <v>137500</v>
      </c>
      <c r="Q1156" s="548">
        <v>18</v>
      </c>
      <c r="R1156" s="552">
        <v>2250</v>
      </c>
      <c r="S1156" s="548">
        <v>1118</v>
      </c>
      <c r="T1156" s="552">
        <v>139750</v>
      </c>
      <c r="U1156" s="548">
        <v>0</v>
      </c>
      <c r="V1156" s="552">
        <v>0</v>
      </c>
      <c r="W1156" s="552">
        <v>5754</v>
      </c>
      <c r="X1156" s="552">
        <v>719250</v>
      </c>
      <c r="Y1156" s="552">
        <v>1118</v>
      </c>
      <c r="Z1156" s="552">
        <v>139750</v>
      </c>
      <c r="AA1156" s="552">
        <v>100</v>
      </c>
      <c r="AB1156" s="552">
        <v>12500</v>
      </c>
      <c r="AC1156" s="552">
        <v>1018</v>
      </c>
      <c r="AD1156" s="552">
        <v>127250</v>
      </c>
      <c r="AE1156" s="552">
        <v>0</v>
      </c>
      <c r="AF1156" s="552">
        <v>0</v>
      </c>
      <c r="AG1156" s="552">
        <v>0</v>
      </c>
      <c r="AH1156" s="552">
        <v>0</v>
      </c>
      <c r="AI1156" s="552">
        <v>0</v>
      </c>
      <c r="AJ1156" s="552">
        <v>0</v>
      </c>
    </row>
    <row r="1157" spans="1:36" ht="15.95" customHeight="1">
      <c r="A1157" s="547"/>
      <c r="B1157" s="548">
        <v>647</v>
      </c>
      <c r="C1157" s="549">
        <v>6639</v>
      </c>
      <c r="D1157" s="550" t="s">
        <v>12592</v>
      </c>
      <c r="E1157" s="550" t="s">
        <v>5024</v>
      </c>
      <c r="F1157" s="550" t="s">
        <v>5025</v>
      </c>
      <c r="G1157" s="550" t="s">
        <v>1636</v>
      </c>
      <c r="H1157" s="550" t="s">
        <v>5026</v>
      </c>
      <c r="I1157" s="550" t="s">
        <v>11</v>
      </c>
      <c r="J1157" s="550" t="s">
        <v>12593</v>
      </c>
      <c r="K1157" s="551">
        <v>45109</v>
      </c>
      <c r="L1157" s="552">
        <v>125</v>
      </c>
      <c r="M1157" s="552">
        <v>125</v>
      </c>
      <c r="N1157" s="552">
        <v>125</v>
      </c>
      <c r="O1157" s="552"/>
      <c r="P1157" s="552"/>
      <c r="Q1157" s="548">
        <v>82921</v>
      </c>
      <c r="R1157" s="552">
        <v>10365125</v>
      </c>
      <c r="S1157" s="548">
        <v>57475</v>
      </c>
      <c r="T1157" s="552">
        <v>7184375</v>
      </c>
      <c r="U1157" s="548">
        <v>25446</v>
      </c>
      <c r="V1157" s="552">
        <v>3180750</v>
      </c>
      <c r="W1157" s="552">
        <v>22247</v>
      </c>
      <c r="X1157" s="552">
        <v>2780875</v>
      </c>
      <c r="Y1157" s="552">
        <v>57475</v>
      </c>
      <c r="Z1157" s="552">
        <v>7184375</v>
      </c>
      <c r="AA1157" s="552">
        <v>13209</v>
      </c>
      <c r="AB1157" s="552">
        <v>1651125</v>
      </c>
      <c r="AC1157" s="552">
        <v>44266</v>
      </c>
      <c r="AD1157" s="552">
        <v>5533250</v>
      </c>
      <c r="AE1157" s="552">
        <v>0</v>
      </c>
      <c r="AF1157" s="552">
        <v>0</v>
      </c>
      <c r="AG1157" s="552">
        <v>0</v>
      </c>
      <c r="AH1157" s="552">
        <v>0</v>
      </c>
      <c r="AI1157" s="552">
        <v>0</v>
      </c>
      <c r="AJ1157" s="552">
        <v>0</v>
      </c>
    </row>
    <row r="1158" spans="1:36" ht="15.95" customHeight="1">
      <c r="A1158" s="547"/>
      <c r="B1158" s="548">
        <v>648</v>
      </c>
      <c r="C1158" s="549">
        <v>6639</v>
      </c>
      <c r="D1158" s="550" t="s">
        <v>12592</v>
      </c>
      <c r="E1158" s="550" t="s">
        <v>5024</v>
      </c>
      <c r="F1158" s="550" t="s">
        <v>5025</v>
      </c>
      <c r="G1158" s="550" t="s">
        <v>1636</v>
      </c>
      <c r="H1158" s="550" t="s">
        <v>5026</v>
      </c>
      <c r="I1158" s="550" t="s">
        <v>11</v>
      </c>
      <c r="J1158" s="550" t="s">
        <v>5028</v>
      </c>
      <c r="K1158" s="551">
        <v>44900</v>
      </c>
      <c r="L1158" s="552">
        <v>125</v>
      </c>
      <c r="M1158" s="552">
        <v>125</v>
      </c>
      <c r="N1158" s="552">
        <v>125</v>
      </c>
      <c r="O1158" s="552">
        <v>3488</v>
      </c>
      <c r="P1158" s="552">
        <v>436000</v>
      </c>
      <c r="Q1158" s="548">
        <v>5</v>
      </c>
      <c r="R1158" s="552">
        <v>625</v>
      </c>
      <c r="S1158" s="548">
        <v>3493</v>
      </c>
      <c r="T1158" s="552">
        <v>436625</v>
      </c>
      <c r="U1158" s="548">
        <v>0</v>
      </c>
      <c r="V1158" s="552">
        <v>0</v>
      </c>
      <c r="W1158" s="552">
        <v>14527</v>
      </c>
      <c r="X1158" s="552">
        <v>1815875</v>
      </c>
      <c r="Y1158" s="552">
        <v>3493</v>
      </c>
      <c r="Z1158" s="552">
        <v>436625</v>
      </c>
      <c r="AA1158" s="552">
        <v>3033</v>
      </c>
      <c r="AB1158" s="552">
        <v>379125</v>
      </c>
      <c r="AC1158" s="552">
        <v>460</v>
      </c>
      <c r="AD1158" s="552">
        <v>57500</v>
      </c>
      <c r="AE1158" s="552">
        <v>0</v>
      </c>
      <c r="AF1158" s="552">
        <v>0</v>
      </c>
      <c r="AG1158" s="552">
        <v>0</v>
      </c>
      <c r="AH1158" s="552">
        <v>0</v>
      </c>
      <c r="AI1158" s="552">
        <v>0</v>
      </c>
      <c r="AJ1158" s="552">
        <v>0</v>
      </c>
    </row>
    <row r="1159" spans="1:36" ht="15.95" customHeight="1">
      <c r="A1159" s="547"/>
      <c r="B1159" s="548">
        <v>695</v>
      </c>
      <c r="C1159" s="549">
        <v>6627</v>
      </c>
      <c r="D1159" s="550" t="s">
        <v>12594</v>
      </c>
      <c r="E1159" s="550" t="s">
        <v>5029</v>
      </c>
      <c r="F1159" s="550" t="s">
        <v>5030</v>
      </c>
      <c r="G1159" s="550" t="s">
        <v>1550</v>
      </c>
      <c r="H1159" s="550" t="s">
        <v>5031</v>
      </c>
      <c r="I1159" s="550" t="s">
        <v>11</v>
      </c>
      <c r="J1159" s="550" t="s">
        <v>5032</v>
      </c>
      <c r="K1159" s="551">
        <v>44866</v>
      </c>
      <c r="L1159" s="552">
        <v>630</v>
      </c>
      <c r="M1159" s="552">
        <v>630</v>
      </c>
      <c r="N1159" s="552">
        <v>630</v>
      </c>
      <c r="O1159" s="552">
        <v>471</v>
      </c>
      <c r="P1159" s="552">
        <v>296730</v>
      </c>
      <c r="Q1159" s="548">
        <v>0</v>
      </c>
      <c r="R1159" s="552">
        <v>0</v>
      </c>
      <c r="S1159" s="548">
        <v>471</v>
      </c>
      <c r="T1159" s="552">
        <v>296730</v>
      </c>
      <c r="U1159" s="548">
        <v>0</v>
      </c>
      <c r="V1159" s="552">
        <v>0</v>
      </c>
      <c r="W1159" s="552">
        <v>0</v>
      </c>
      <c r="X1159" s="552">
        <v>0</v>
      </c>
      <c r="Y1159" s="552">
        <v>471</v>
      </c>
      <c r="Z1159" s="552">
        <v>296730</v>
      </c>
      <c r="AA1159" s="552">
        <v>471</v>
      </c>
      <c r="AB1159" s="552">
        <v>296730</v>
      </c>
      <c r="AC1159" s="552">
        <v>0</v>
      </c>
      <c r="AD1159" s="552">
        <v>0</v>
      </c>
      <c r="AE1159" s="552">
        <v>0</v>
      </c>
      <c r="AF1159" s="552">
        <v>0</v>
      </c>
      <c r="AG1159" s="552">
        <v>0</v>
      </c>
      <c r="AH1159" s="552">
        <v>0</v>
      </c>
      <c r="AI1159" s="552">
        <v>0</v>
      </c>
      <c r="AJ1159" s="552">
        <v>0</v>
      </c>
    </row>
    <row r="1160" spans="1:36" ht="15.95" customHeight="1">
      <c r="A1160" s="547"/>
      <c r="B1160" s="548">
        <v>696</v>
      </c>
      <c r="C1160" s="549">
        <v>6627</v>
      </c>
      <c r="D1160" s="550" t="s">
        <v>12594</v>
      </c>
      <c r="E1160" s="550" t="s">
        <v>5029</v>
      </c>
      <c r="F1160" s="550" t="s">
        <v>5030</v>
      </c>
      <c r="G1160" s="550" t="s">
        <v>1550</v>
      </c>
      <c r="H1160" s="550" t="s">
        <v>5031</v>
      </c>
      <c r="I1160" s="550" t="s">
        <v>11</v>
      </c>
      <c r="J1160" s="550" t="s">
        <v>12595</v>
      </c>
      <c r="K1160" s="551">
        <v>45271</v>
      </c>
      <c r="L1160" s="552">
        <v>630</v>
      </c>
      <c r="M1160" s="552">
        <v>630</v>
      </c>
      <c r="N1160" s="552">
        <v>630</v>
      </c>
      <c r="O1160" s="552"/>
      <c r="P1160" s="552"/>
      <c r="Q1160" s="548">
        <v>4200</v>
      </c>
      <c r="R1160" s="552">
        <v>2646000</v>
      </c>
      <c r="S1160" s="548">
        <v>4198</v>
      </c>
      <c r="T1160" s="552">
        <v>2644740</v>
      </c>
      <c r="U1160" s="548">
        <v>2</v>
      </c>
      <c r="V1160" s="552">
        <v>1260</v>
      </c>
      <c r="W1160" s="552">
        <v>0</v>
      </c>
      <c r="X1160" s="552">
        <v>0</v>
      </c>
      <c r="Y1160" s="552">
        <v>4198</v>
      </c>
      <c r="Z1160" s="552">
        <v>2644740</v>
      </c>
      <c r="AA1160" s="552">
        <v>4000</v>
      </c>
      <c r="AB1160" s="552">
        <v>2520000</v>
      </c>
      <c r="AC1160" s="552">
        <v>198</v>
      </c>
      <c r="AD1160" s="552">
        <v>124740</v>
      </c>
      <c r="AE1160" s="552">
        <v>0</v>
      </c>
      <c r="AF1160" s="552">
        <v>0</v>
      </c>
      <c r="AG1160" s="552">
        <v>0</v>
      </c>
      <c r="AH1160" s="552">
        <v>0</v>
      </c>
      <c r="AI1160" s="552">
        <v>0</v>
      </c>
      <c r="AJ1160" s="552">
        <v>0</v>
      </c>
    </row>
    <row r="1161" spans="1:36" ht="15.95" customHeight="1">
      <c r="A1161" s="547"/>
      <c r="B1161" s="548">
        <v>697</v>
      </c>
      <c r="C1161" s="549">
        <v>6627</v>
      </c>
      <c r="D1161" s="550" t="s">
        <v>12594</v>
      </c>
      <c r="E1161" s="550" t="s">
        <v>5029</v>
      </c>
      <c r="F1161" s="550" t="s">
        <v>5030</v>
      </c>
      <c r="G1161" s="550" t="s">
        <v>1550</v>
      </c>
      <c r="H1161" s="550" t="s">
        <v>5031</v>
      </c>
      <c r="I1161" s="550" t="s">
        <v>11</v>
      </c>
      <c r="J1161" s="550" t="s">
        <v>5033</v>
      </c>
      <c r="K1161" s="551">
        <v>44805</v>
      </c>
      <c r="L1161" s="552">
        <v>630</v>
      </c>
      <c r="M1161" s="552">
        <v>630</v>
      </c>
      <c r="N1161" s="552">
        <v>630</v>
      </c>
      <c r="O1161" s="552">
        <v>232</v>
      </c>
      <c r="P1161" s="552">
        <v>146160</v>
      </c>
      <c r="Q1161" s="548">
        <v>0</v>
      </c>
      <c r="R1161" s="552">
        <v>0</v>
      </c>
      <c r="S1161" s="548">
        <v>232</v>
      </c>
      <c r="T1161" s="552">
        <v>146160</v>
      </c>
      <c r="U1161" s="548">
        <v>0</v>
      </c>
      <c r="V1161" s="552">
        <v>0</v>
      </c>
      <c r="W1161" s="552">
        <v>364</v>
      </c>
      <c r="X1161" s="552">
        <v>229320</v>
      </c>
      <c r="Y1161" s="552">
        <v>232</v>
      </c>
      <c r="Z1161" s="552">
        <v>146160</v>
      </c>
      <c r="AA1161" s="552">
        <v>0</v>
      </c>
      <c r="AB1161" s="552">
        <v>0</v>
      </c>
      <c r="AC1161" s="552">
        <v>232</v>
      </c>
      <c r="AD1161" s="552">
        <v>146160</v>
      </c>
      <c r="AE1161" s="552">
        <v>0</v>
      </c>
      <c r="AF1161" s="552">
        <v>0</v>
      </c>
      <c r="AG1161" s="552">
        <v>0</v>
      </c>
      <c r="AH1161" s="552">
        <v>0</v>
      </c>
      <c r="AI1161" s="552">
        <v>0</v>
      </c>
      <c r="AJ1161" s="552">
        <v>0</v>
      </c>
    </row>
    <row r="1162" spans="1:36" ht="15.95" customHeight="1">
      <c r="A1162" s="547"/>
      <c r="B1162" s="548">
        <v>698</v>
      </c>
      <c r="C1162" s="549">
        <v>6627</v>
      </c>
      <c r="D1162" s="550" t="s">
        <v>12594</v>
      </c>
      <c r="E1162" s="550" t="s">
        <v>5029</v>
      </c>
      <c r="F1162" s="550" t="s">
        <v>5030</v>
      </c>
      <c r="G1162" s="550" t="s">
        <v>1550</v>
      </c>
      <c r="H1162" s="550" t="s">
        <v>5031</v>
      </c>
      <c r="I1162" s="550" t="s">
        <v>11</v>
      </c>
      <c r="J1162" s="550" t="s">
        <v>12596</v>
      </c>
      <c r="K1162" s="551">
        <v>45276</v>
      </c>
      <c r="L1162" s="552">
        <v>630</v>
      </c>
      <c r="M1162" s="552">
        <v>630</v>
      </c>
      <c r="N1162" s="552">
        <v>630</v>
      </c>
      <c r="O1162" s="552"/>
      <c r="P1162" s="552"/>
      <c r="Q1162" s="548">
        <v>16080</v>
      </c>
      <c r="R1162" s="552">
        <v>10130400</v>
      </c>
      <c r="S1162" s="548">
        <v>9128</v>
      </c>
      <c r="T1162" s="552">
        <v>5750640</v>
      </c>
      <c r="U1162" s="548">
        <v>6952</v>
      </c>
      <c r="V1162" s="552">
        <v>4379760</v>
      </c>
      <c r="W1162" s="552">
        <v>95</v>
      </c>
      <c r="X1162" s="552">
        <v>59850</v>
      </c>
      <c r="Y1162" s="552">
        <v>9128</v>
      </c>
      <c r="Z1162" s="552">
        <v>5750640</v>
      </c>
      <c r="AA1162" s="552">
        <v>8267</v>
      </c>
      <c r="AB1162" s="552">
        <v>5208210</v>
      </c>
      <c r="AC1162" s="552">
        <v>861</v>
      </c>
      <c r="AD1162" s="552">
        <v>542430</v>
      </c>
      <c r="AE1162" s="552">
        <v>0</v>
      </c>
      <c r="AF1162" s="552">
        <v>0</v>
      </c>
      <c r="AG1162" s="552">
        <v>0</v>
      </c>
      <c r="AH1162" s="552">
        <v>0</v>
      </c>
      <c r="AI1162" s="552">
        <v>0</v>
      </c>
      <c r="AJ1162" s="552">
        <v>0</v>
      </c>
    </row>
    <row r="1163" spans="1:36" ht="15.95" customHeight="1">
      <c r="A1163" s="547"/>
      <c r="B1163" s="548">
        <v>713</v>
      </c>
      <c r="C1163" s="549">
        <v>5617</v>
      </c>
      <c r="D1163" s="550"/>
      <c r="E1163" s="550" t="s">
        <v>5034</v>
      </c>
      <c r="F1163" s="550" t="s">
        <v>703</v>
      </c>
      <c r="G1163" s="550" t="s">
        <v>702</v>
      </c>
      <c r="H1163" s="550" t="s">
        <v>704</v>
      </c>
      <c r="I1163" s="550" t="s">
        <v>701</v>
      </c>
      <c r="J1163" s="550" t="s">
        <v>5035</v>
      </c>
      <c r="K1163" s="551">
        <v>44470</v>
      </c>
      <c r="L1163" s="552">
        <v>3500</v>
      </c>
      <c r="M1163" s="552">
        <v>3500</v>
      </c>
      <c r="N1163" s="552">
        <v>3500</v>
      </c>
      <c r="O1163" s="552">
        <v>43</v>
      </c>
      <c r="P1163" s="552">
        <v>150500</v>
      </c>
      <c r="Q1163" s="548">
        <v>0</v>
      </c>
      <c r="R1163" s="552">
        <v>0</v>
      </c>
      <c r="S1163" s="548">
        <v>43</v>
      </c>
      <c r="T1163" s="552">
        <v>150500</v>
      </c>
      <c r="U1163" s="548">
        <v>0</v>
      </c>
      <c r="V1163" s="552">
        <v>0</v>
      </c>
      <c r="W1163" s="552">
        <v>0</v>
      </c>
      <c r="X1163" s="552">
        <v>0</v>
      </c>
      <c r="Y1163" s="552">
        <v>43</v>
      </c>
      <c r="Z1163" s="552">
        <v>150500</v>
      </c>
      <c r="AA1163" s="552">
        <v>43</v>
      </c>
      <c r="AB1163" s="552">
        <v>150500</v>
      </c>
      <c r="AC1163" s="552">
        <v>0</v>
      </c>
      <c r="AD1163" s="552">
        <v>0</v>
      </c>
      <c r="AE1163" s="552">
        <v>0</v>
      </c>
      <c r="AF1163" s="552">
        <v>0</v>
      </c>
      <c r="AG1163" s="552">
        <v>0</v>
      </c>
      <c r="AH1163" s="552">
        <v>0</v>
      </c>
      <c r="AI1163" s="552">
        <v>0</v>
      </c>
      <c r="AJ1163" s="552">
        <v>0</v>
      </c>
    </row>
    <row r="1164" spans="1:36" ht="15.95" customHeight="1">
      <c r="A1164" s="547"/>
      <c r="B1164" s="548">
        <v>714</v>
      </c>
      <c r="C1164" s="549">
        <v>5617</v>
      </c>
      <c r="D1164" s="550"/>
      <c r="E1164" s="550" t="s">
        <v>5034</v>
      </c>
      <c r="F1164" s="550" t="s">
        <v>703</v>
      </c>
      <c r="G1164" s="550" t="s">
        <v>702</v>
      </c>
      <c r="H1164" s="550" t="s">
        <v>704</v>
      </c>
      <c r="I1164" s="550" t="s">
        <v>701</v>
      </c>
      <c r="J1164" s="550" t="s">
        <v>5036</v>
      </c>
      <c r="K1164" s="551">
        <v>44409</v>
      </c>
      <c r="L1164" s="552">
        <v>3500</v>
      </c>
      <c r="M1164" s="552">
        <v>3500</v>
      </c>
      <c r="N1164" s="552">
        <v>3500</v>
      </c>
      <c r="O1164" s="552">
        <v>28</v>
      </c>
      <c r="P1164" s="552">
        <v>98000</v>
      </c>
      <c r="Q1164" s="548">
        <v>0</v>
      </c>
      <c r="R1164" s="552">
        <v>0</v>
      </c>
      <c r="S1164" s="548">
        <v>28</v>
      </c>
      <c r="T1164" s="552">
        <v>98000</v>
      </c>
      <c r="U1164" s="548">
        <v>0</v>
      </c>
      <c r="V1164" s="552">
        <v>0</v>
      </c>
      <c r="W1164" s="552">
        <v>0</v>
      </c>
      <c r="X1164" s="552">
        <v>0</v>
      </c>
      <c r="Y1164" s="552">
        <v>28</v>
      </c>
      <c r="Z1164" s="552">
        <v>98000</v>
      </c>
      <c r="AA1164" s="552">
        <v>28</v>
      </c>
      <c r="AB1164" s="552">
        <v>98000</v>
      </c>
      <c r="AC1164" s="552">
        <v>0</v>
      </c>
      <c r="AD1164" s="552">
        <v>0</v>
      </c>
      <c r="AE1164" s="552">
        <v>0</v>
      </c>
      <c r="AF1164" s="552">
        <v>0</v>
      </c>
      <c r="AG1164" s="552">
        <v>0</v>
      </c>
      <c r="AH1164" s="552">
        <v>0</v>
      </c>
      <c r="AI1164" s="552">
        <v>0</v>
      </c>
      <c r="AJ1164" s="552">
        <v>0</v>
      </c>
    </row>
    <row r="1165" spans="1:36" ht="15.95" customHeight="1">
      <c r="A1165" s="547"/>
      <c r="B1165" s="548">
        <v>745</v>
      </c>
      <c r="C1165" s="549">
        <v>6640</v>
      </c>
      <c r="D1165" s="550" t="s">
        <v>12597</v>
      </c>
      <c r="E1165" s="550" t="s">
        <v>5038</v>
      </c>
      <c r="F1165" s="550" t="s">
        <v>5039</v>
      </c>
      <c r="G1165" s="550" t="s">
        <v>1636</v>
      </c>
      <c r="H1165" s="550" t="s">
        <v>5026</v>
      </c>
      <c r="I1165" s="550" t="s">
        <v>11</v>
      </c>
      <c r="J1165" s="550" t="s">
        <v>4104</v>
      </c>
      <c r="K1165" s="551">
        <v>44735</v>
      </c>
      <c r="L1165" s="552">
        <v>1848</v>
      </c>
      <c r="M1165" s="552">
        <v>1848</v>
      </c>
      <c r="N1165" s="552">
        <v>1848</v>
      </c>
      <c r="O1165" s="552">
        <v>13755</v>
      </c>
      <c r="P1165" s="552">
        <v>25419240</v>
      </c>
      <c r="Q1165" s="548">
        <v>0</v>
      </c>
      <c r="R1165" s="552">
        <v>0</v>
      </c>
      <c r="S1165" s="548">
        <v>13718</v>
      </c>
      <c r="T1165" s="552">
        <v>25350864</v>
      </c>
      <c r="U1165" s="548">
        <v>37</v>
      </c>
      <c r="V1165" s="552">
        <v>68376</v>
      </c>
      <c r="W1165" s="552">
        <v>1190</v>
      </c>
      <c r="X1165" s="552">
        <v>2199120</v>
      </c>
      <c r="Y1165" s="552">
        <v>13718</v>
      </c>
      <c r="Z1165" s="552">
        <v>25350864</v>
      </c>
      <c r="AA1165" s="552">
        <v>12218</v>
      </c>
      <c r="AB1165" s="552">
        <v>22578864</v>
      </c>
      <c r="AC1165" s="552">
        <v>1500</v>
      </c>
      <c r="AD1165" s="552">
        <v>2772000</v>
      </c>
      <c r="AE1165" s="552">
        <v>0</v>
      </c>
      <c r="AF1165" s="552">
        <v>0</v>
      </c>
      <c r="AG1165" s="552">
        <v>0</v>
      </c>
      <c r="AH1165" s="552">
        <v>0</v>
      </c>
      <c r="AI1165" s="552">
        <v>0</v>
      </c>
      <c r="AJ1165" s="552">
        <v>0</v>
      </c>
    </row>
    <row r="1166" spans="1:36" ht="15.95" customHeight="1">
      <c r="A1166" s="547"/>
      <c r="B1166" s="548">
        <v>746</v>
      </c>
      <c r="C1166" s="549">
        <v>6640</v>
      </c>
      <c r="D1166" s="550" t="s">
        <v>12597</v>
      </c>
      <c r="E1166" s="550" t="s">
        <v>5038</v>
      </c>
      <c r="F1166" s="550" t="s">
        <v>5039</v>
      </c>
      <c r="G1166" s="550" t="s">
        <v>1636</v>
      </c>
      <c r="H1166" s="550" t="s">
        <v>5026</v>
      </c>
      <c r="I1166" s="550" t="s">
        <v>11</v>
      </c>
      <c r="J1166" s="550" t="s">
        <v>11766</v>
      </c>
      <c r="K1166" s="551">
        <v>45020</v>
      </c>
      <c r="L1166" s="552">
        <v>1848</v>
      </c>
      <c r="M1166" s="552">
        <v>1848</v>
      </c>
      <c r="N1166" s="552">
        <v>1848</v>
      </c>
      <c r="O1166" s="552"/>
      <c r="P1166" s="552"/>
      <c r="Q1166" s="548">
        <v>20000</v>
      </c>
      <c r="R1166" s="552">
        <v>36960000</v>
      </c>
      <c r="S1166" s="548">
        <v>0</v>
      </c>
      <c r="T1166" s="552">
        <v>0</v>
      </c>
      <c r="U1166" s="548">
        <v>20000</v>
      </c>
      <c r="V1166" s="552">
        <v>36960000</v>
      </c>
      <c r="W1166" s="552">
        <v>0</v>
      </c>
      <c r="X1166" s="552">
        <v>0</v>
      </c>
      <c r="Y1166" s="552">
        <v>0</v>
      </c>
      <c r="Z1166" s="552">
        <v>0</v>
      </c>
      <c r="AA1166" s="552">
        <v>0</v>
      </c>
      <c r="AB1166" s="552">
        <v>0</v>
      </c>
      <c r="AC1166" s="552">
        <v>0</v>
      </c>
      <c r="AD1166" s="552">
        <v>0</v>
      </c>
      <c r="AE1166" s="552">
        <v>0</v>
      </c>
      <c r="AF1166" s="552">
        <v>0</v>
      </c>
      <c r="AG1166" s="552">
        <v>0</v>
      </c>
      <c r="AH1166" s="552">
        <v>0</v>
      </c>
      <c r="AI1166" s="552">
        <v>0</v>
      </c>
      <c r="AJ1166" s="552">
        <v>0</v>
      </c>
    </row>
    <row r="1167" spans="1:36" ht="15.95" customHeight="1">
      <c r="A1167" s="547"/>
      <c r="B1167" s="548">
        <v>774</v>
      </c>
      <c r="C1167" s="549">
        <v>6641</v>
      </c>
      <c r="D1167" s="550" t="s">
        <v>12598</v>
      </c>
      <c r="E1167" s="550" t="s">
        <v>7165</v>
      </c>
      <c r="F1167" s="550" t="s">
        <v>7167</v>
      </c>
      <c r="G1167" s="550" t="s">
        <v>1636</v>
      </c>
      <c r="H1167" s="550" t="s">
        <v>7166</v>
      </c>
      <c r="I1167" s="550" t="s">
        <v>520</v>
      </c>
      <c r="J1167" s="550" t="s">
        <v>12515</v>
      </c>
      <c r="K1167" s="551">
        <v>44808</v>
      </c>
      <c r="L1167" s="552">
        <v>4079</v>
      </c>
      <c r="M1167" s="552">
        <v>4079</v>
      </c>
      <c r="N1167" s="552">
        <v>4079</v>
      </c>
      <c r="O1167" s="552"/>
      <c r="P1167" s="552"/>
      <c r="Q1167" s="548">
        <v>5000</v>
      </c>
      <c r="R1167" s="552">
        <v>20395000</v>
      </c>
      <c r="S1167" s="548">
        <v>1938</v>
      </c>
      <c r="T1167" s="552">
        <v>7905102</v>
      </c>
      <c r="U1167" s="548">
        <v>3062</v>
      </c>
      <c r="V1167" s="552">
        <v>12489898</v>
      </c>
      <c r="W1167" s="552">
        <v>0</v>
      </c>
      <c r="X1167" s="552">
        <v>0</v>
      </c>
      <c r="Y1167" s="552">
        <v>1938</v>
      </c>
      <c r="Z1167" s="552">
        <v>7905102</v>
      </c>
      <c r="AA1167" s="552">
        <v>1938</v>
      </c>
      <c r="AB1167" s="552">
        <v>7905102</v>
      </c>
      <c r="AC1167" s="552">
        <v>0</v>
      </c>
      <c r="AD1167" s="552">
        <v>0</v>
      </c>
      <c r="AE1167" s="552">
        <v>0</v>
      </c>
      <c r="AF1167" s="552">
        <v>0</v>
      </c>
      <c r="AG1167" s="552">
        <v>0</v>
      </c>
      <c r="AH1167" s="552">
        <v>0</v>
      </c>
      <c r="AI1167" s="552">
        <v>0</v>
      </c>
      <c r="AJ1167" s="552">
        <v>0</v>
      </c>
    </row>
    <row r="1168" spans="1:36" ht="15.95" customHeight="1">
      <c r="A1168" s="547"/>
      <c r="B1168" s="548">
        <v>775</v>
      </c>
      <c r="C1168" s="549">
        <v>6641</v>
      </c>
      <c r="D1168" s="550" t="s">
        <v>12598</v>
      </c>
      <c r="E1168" s="550" t="s">
        <v>7165</v>
      </c>
      <c r="F1168" s="550" t="s">
        <v>7167</v>
      </c>
      <c r="G1168" s="550" t="s">
        <v>1636</v>
      </c>
      <c r="H1168" s="550" t="s">
        <v>7166</v>
      </c>
      <c r="I1168" s="550" t="s">
        <v>520</v>
      </c>
      <c r="J1168" s="550" t="s">
        <v>12599</v>
      </c>
      <c r="K1168" s="551">
        <v>45003</v>
      </c>
      <c r="L1168" s="552">
        <v>4079</v>
      </c>
      <c r="M1168" s="552">
        <v>4079</v>
      </c>
      <c r="N1168" s="552">
        <v>4079</v>
      </c>
      <c r="O1168" s="552"/>
      <c r="P1168" s="552"/>
      <c r="Q1168" s="548">
        <v>10000</v>
      </c>
      <c r="R1168" s="552">
        <v>40790000</v>
      </c>
      <c r="S1168" s="548">
        <v>0</v>
      </c>
      <c r="T1168" s="552">
        <v>0</v>
      </c>
      <c r="U1168" s="548">
        <v>10000</v>
      </c>
      <c r="V1168" s="552">
        <v>40790000</v>
      </c>
      <c r="W1168" s="552">
        <v>0</v>
      </c>
      <c r="X1168" s="552">
        <v>0</v>
      </c>
      <c r="Y1168" s="552">
        <v>0</v>
      </c>
      <c r="Z1168" s="552">
        <v>0</v>
      </c>
      <c r="AA1168" s="552">
        <v>0</v>
      </c>
      <c r="AB1168" s="552">
        <v>0</v>
      </c>
      <c r="AC1168" s="552">
        <v>0</v>
      </c>
      <c r="AD1168" s="552">
        <v>0</v>
      </c>
      <c r="AE1168" s="552">
        <v>0</v>
      </c>
      <c r="AF1168" s="552">
        <v>0</v>
      </c>
      <c r="AG1168" s="552">
        <v>0</v>
      </c>
      <c r="AH1168" s="552">
        <v>0</v>
      </c>
      <c r="AI1168" s="552">
        <v>0</v>
      </c>
      <c r="AJ1168" s="552">
        <v>0</v>
      </c>
    </row>
    <row r="1169" spans="1:36" ht="15.95" customHeight="1">
      <c r="A1169" s="547"/>
      <c r="B1169" s="548">
        <v>807</v>
      </c>
      <c r="C1169" s="549">
        <v>5462</v>
      </c>
      <c r="D1169" s="550"/>
      <c r="E1169" s="550" t="s">
        <v>5040</v>
      </c>
      <c r="F1169" s="550" t="s">
        <v>662</v>
      </c>
      <c r="G1169" s="550" t="s">
        <v>661</v>
      </c>
      <c r="H1169" s="550" t="s">
        <v>663</v>
      </c>
      <c r="I1169" s="550" t="s">
        <v>11</v>
      </c>
      <c r="J1169" s="550" t="s">
        <v>5041</v>
      </c>
      <c r="K1169" s="551">
        <v>45004</v>
      </c>
      <c r="L1169" s="552">
        <v>1554</v>
      </c>
      <c r="M1169" s="552">
        <v>1554</v>
      </c>
      <c r="N1169" s="552">
        <v>1554</v>
      </c>
      <c r="O1169" s="552">
        <v>122</v>
      </c>
      <c r="P1169" s="552">
        <v>189588</v>
      </c>
      <c r="Q1169" s="548">
        <v>0</v>
      </c>
      <c r="R1169" s="552">
        <v>0</v>
      </c>
      <c r="S1169" s="548">
        <v>0</v>
      </c>
      <c r="T1169" s="552">
        <v>0</v>
      </c>
      <c r="U1169" s="548">
        <v>122</v>
      </c>
      <c r="V1169" s="552">
        <v>189588</v>
      </c>
      <c r="W1169" s="552">
        <v>0</v>
      </c>
      <c r="X1169" s="552">
        <v>0</v>
      </c>
      <c r="Y1169" s="552">
        <v>0</v>
      </c>
      <c r="Z1169" s="552">
        <v>0</v>
      </c>
      <c r="AA1169" s="552">
        <v>0</v>
      </c>
      <c r="AB1169" s="552">
        <v>0</v>
      </c>
      <c r="AC1169" s="552">
        <v>0</v>
      </c>
      <c r="AD1169" s="552">
        <v>0</v>
      </c>
      <c r="AE1169" s="552">
        <v>0</v>
      </c>
      <c r="AF1169" s="552">
        <v>0</v>
      </c>
      <c r="AG1169" s="552">
        <v>0</v>
      </c>
      <c r="AH1169" s="552">
        <v>0</v>
      </c>
      <c r="AI1169" s="552">
        <v>0</v>
      </c>
      <c r="AJ1169" s="552">
        <v>0</v>
      </c>
    </row>
    <row r="1170" spans="1:36" ht="15.95" customHeight="1">
      <c r="A1170" s="547"/>
      <c r="B1170" s="548">
        <v>909</v>
      </c>
      <c r="C1170" s="549">
        <v>7508</v>
      </c>
      <c r="D1170" s="550" t="s">
        <v>12600</v>
      </c>
      <c r="E1170" s="550" t="s">
        <v>5043</v>
      </c>
      <c r="F1170" s="550" t="s">
        <v>1128</v>
      </c>
      <c r="G1170" s="550" t="s">
        <v>1127</v>
      </c>
      <c r="H1170" s="550" t="s">
        <v>6529</v>
      </c>
      <c r="I1170" s="550" t="s">
        <v>11</v>
      </c>
      <c r="J1170" s="550" t="s">
        <v>12601</v>
      </c>
      <c r="K1170" s="551">
        <v>44933</v>
      </c>
      <c r="L1170" s="552">
        <v>1490</v>
      </c>
      <c r="M1170" s="552">
        <v>1490</v>
      </c>
      <c r="N1170" s="552">
        <v>1490</v>
      </c>
      <c r="O1170" s="552"/>
      <c r="P1170" s="552"/>
      <c r="Q1170" s="548">
        <v>10000</v>
      </c>
      <c r="R1170" s="552">
        <v>14900000</v>
      </c>
      <c r="S1170" s="548">
        <v>10000</v>
      </c>
      <c r="T1170" s="552">
        <v>14900000</v>
      </c>
      <c r="U1170" s="548">
        <v>0</v>
      </c>
      <c r="V1170" s="552">
        <v>0</v>
      </c>
      <c r="W1170" s="552">
        <v>0</v>
      </c>
      <c r="X1170" s="552">
        <v>0</v>
      </c>
      <c r="Y1170" s="552">
        <v>10000</v>
      </c>
      <c r="Z1170" s="552">
        <v>14900000</v>
      </c>
      <c r="AA1170" s="552">
        <v>10000</v>
      </c>
      <c r="AB1170" s="552">
        <v>14900000</v>
      </c>
      <c r="AC1170" s="552">
        <v>0</v>
      </c>
      <c r="AD1170" s="552">
        <v>0</v>
      </c>
      <c r="AE1170" s="552">
        <v>0</v>
      </c>
      <c r="AF1170" s="552">
        <v>0</v>
      </c>
      <c r="AG1170" s="552">
        <v>0</v>
      </c>
      <c r="AH1170" s="552">
        <v>0</v>
      </c>
      <c r="AI1170" s="552">
        <v>0</v>
      </c>
      <c r="AJ1170" s="552">
        <v>0</v>
      </c>
    </row>
    <row r="1171" spans="1:36" ht="15.95" customHeight="1">
      <c r="A1171" s="547"/>
      <c r="B1171" s="548">
        <v>910</v>
      </c>
      <c r="C1171" s="549">
        <v>7508</v>
      </c>
      <c r="D1171" s="550" t="s">
        <v>12600</v>
      </c>
      <c r="E1171" s="550" t="s">
        <v>5043</v>
      </c>
      <c r="F1171" s="550" t="s">
        <v>1128</v>
      </c>
      <c r="G1171" s="550" t="s">
        <v>1127</v>
      </c>
      <c r="H1171" s="550" t="s">
        <v>6529</v>
      </c>
      <c r="I1171" s="550" t="s">
        <v>11</v>
      </c>
      <c r="J1171" s="550" t="s">
        <v>12602</v>
      </c>
      <c r="K1171" s="551">
        <v>44933</v>
      </c>
      <c r="L1171" s="552">
        <v>1490</v>
      </c>
      <c r="M1171" s="552">
        <v>1490</v>
      </c>
      <c r="N1171" s="552">
        <v>1490</v>
      </c>
      <c r="O1171" s="552"/>
      <c r="P1171" s="552"/>
      <c r="Q1171" s="548">
        <v>50000</v>
      </c>
      <c r="R1171" s="552">
        <v>74500000</v>
      </c>
      <c r="S1171" s="548">
        <v>22999</v>
      </c>
      <c r="T1171" s="552">
        <v>34268510</v>
      </c>
      <c r="U1171" s="548">
        <v>27001</v>
      </c>
      <c r="V1171" s="552">
        <v>40231490</v>
      </c>
      <c r="W1171" s="552">
        <v>4385</v>
      </c>
      <c r="X1171" s="552">
        <v>6533650</v>
      </c>
      <c r="Y1171" s="552">
        <v>22999</v>
      </c>
      <c r="Z1171" s="552">
        <v>34268510</v>
      </c>
      <c r="AA1171" s="552">
        <v>14750</v>
      </c>
      <c r="AB1171" s="552">
        <v>21977500</v>
      </c>
      <c r="AC1171" s="552">
        <v>8249</v>
      </c>
      <c r="AD1171" s="552">
        <v>12291010</v>
      </c>
      <c r="AE1171" s="552">
        <v>0</v>
      </c>
      <c r="AF1171" s="552">
        <v>0</v>
      </c>
      <c r="AG1171" s="552">
        <v>0</v>
      </c>
      <c r="AH1171" s="552">
        <v>0</v>
      </c>
      <c r="AI1171" s="552">
        <v>0</v>
      </c>
      <c r="AJ1171" s="552">
        <v>0</v>
      </c>
    </row>
    <row r="1172" spans="1:36" ht="15.95" customHeight="1">
      <c r="A1172" s="547"/>
      <c r="B1172" s="548">
        <v>1057</v>
      </c>
      <c r="C1172" s="549">
        <v>6635</v>
      </c>
      <c r="D1172" s="550" t="s">
        <v>12603</v>
      </c>
      <c r="E1172" s="550" t="s">
        <v>5044</v>
      </c>
      <c r="F1172" s="550" t="s">
        <v>5045</v>
      </c>
      <c r="G1172" s="550" t="s">
        <v>1127</v>
      </c>
      <c r="H1172" s="550" t="s">
        <v>5046</v>
      </c>
      <c r="I1172" s="550" t="s">
        <v>11</v>
      </c>
      <c r="J1172" s="550" t="s">
        <v>12604</v>
      </c>
      <c r="K1172" s="551">
        <v>44895</v>
      </c>
      <c r="L1172" s="552">
        <v>378</v>
      </c>
      <c r="M1172" s="552">
        <v>378</v>
      </c>
      <c r="N1172" s="552">
        <v>378</v>
      </c>
      <c r="O1172" s="552"/>
      <c r="P1172" s="552"/>
      <c r="Q1172" s="548">
        <v>19000</v>
      </c>
      <c r="R1172" s="552">
        <v>7182000</v>
      </c>
      <c r="S1172" s="548">
        <v>19000</v>
      </c>
      <c r="T1172" s="552">
        <v>7182000</v>
      </c>
      <c r="U1172" s="548">
        <v>0</v>
      </c>
      <c r="V1172" s="552">
        <v>0</v>
      </c>
      <c r="W1172" s="552">
        <v>15912</v>
      </c>
      <c r="X1172" s="552">
        <v>6014736</v>
      </c>
      <c r="Y1172" s="552">
        <v>19000</v>
      </c>
      <c r="Z1172" s="552">
        <v>7182000</v>
      </c>
      <c r="AA1172" s="552">
        <v>0</v>
      </c>
      <c r="AB1172" s="552">
        <v>0</v>
      </c>
      <c r="AC1172" s="552">
        <v>19000</v>
      </c>
      <c r="AD1172" s="552">
        <v>7182000</v>
      </c>
      <c r="AE1172" s="552">
        <v>0</v>
      </c>
      <c r="AF1172" s="552">
        <v>0</v>
      </c>
      <c r="AG1172" s="552">
        <v>0</v>
      </c>
      <c r="AH1172" s="552">
        <v>0</v>
      </c>
      <c r="AI1172" s="552">
        <v>0</v>
      </c>
      <c r="AJ1172" s="552">
        <v>0</v>
      </c>
    </row>
    <row r="1173" spans="1:36" ht="15.95" customHeight="1">
      <c r="A1173" s="547"/>
      <c r="B1173" s="548">
        <v>1073</v>
      </c>
      <c r="C1173" s="549">
        <v>5704</v>
      </c>
      <c r="D1173" s="550"/>
      <c r="E1173" s="550" t="s">
        <v>5047</v>
      </c>
      <c r="F1173" s="550" t="s">
        <v>1185</v>
      </c>
      <c r="G1173" s="550" t="s">
        <v>5042</v>
      </c>
      <c r="H1173" s="550" t="s">
        <v>1186</v>
      </c>
      <c r="I1173" s="550" t="s">
        <v>11</v>
      </c>
      <c r="J1173" s="550" t="s">
        <v>5048</v>
      </c>
      <c r="K1173" s="551">
        <v>44499</v>
      </c>
      <c r="L1173" s="552">
        <v>2650</v>
      </c>
      <c r="M1173" s="552">
        <v>2650</v>
      </c>
      <c r="N1173" s="552">
        <v>2650</v>
      </c>
      <c r="O1173" s="552">
        <v>2</v>
      </c>
      <c r="P1173" s="552">
        <v>5300</v>
      </c>
      <c r="Q1173" s="548">
        <v>0</v>
      </c>
      <c r="R1173" s="552">
        <v>0</v>
      </c>
      <c r="S1173" s="548">
        <v>2</v>
      </c>
      <c r="T1173" s="552">
        <v>5300</v>
      </c>
      <c r="U1173" s="548">
        <v>0</v>
      </c>
      <c r="V1173" s="552">
        <v>0</v>
      </c>
      <c r="W1173" s="552">
        <v>0</v>
      </c>
      <c r="X1173" s="552">
        <v>0</v>
      </c>
      <c r="Y1173" s="552">
        <v>1</v>
      </c>
      <c r="Z1173" s="552">
        <v>2650</v>
      </c>
      <c r="AA1173" s="552">
        <v>0</v>
      </c>
      <c r="AB1173" s="552">
        <v>0</v>
      </c>
      <c r="AC1173" s="552">
        <v>1</v>
      </c>
      <c r="AD1173" s="552">
        <v>2650</v>
      </c>
      <c r="AE1173" s="552">
        <v>0</v>
      </c>
      <c r="AF1173" s="552">
        <v>0</v>
      </c>
      <c r="AG1173" s="552">
        <v>1</v>
      </c>
      <c r="AH1173" s="552">
        <v>2650</v>
      </c>
      <c r="AI1173" s="552">
        <v>0</v>
      </c>
      <c r="AJ1173" s="552">
        <v>0</v>
      </c>
    </row>
    <row r="1174" spans="1:36" ht="15.95" customHeight="1">
      <c r="A1174" s="547"/>
      <c r="B1174" s="548">
        <v>1100</v>
      </c>
      <c r="C1174" s="549">
        <v>6646</v>
      </c>
      <c r="D1174" s="550" t="s">
        <v>12605</v>
      </c>
      <c r="E1174" s="550" t="s">
        <v>4985</v>
      </c>
      <c r="F1174" s="550" t="s">
        <v>5049</v>
      </c>
      <c r="G1174" s="550" t="s">
        <v>5050</v>
      </c>
      <c r="H1174" s="550" t="s">
        <v>1862</v>
      </c>
      <c r="I1174" s="550" t="s">
        <v>11</v>
      </c>
      <c r="J1174" s="550" t="s">
        <v>12606</v>
      </c>
      <c r="K1174" s="551">
        <v>45212</v>
      </c>
      <c r="L1174" s="552">
        <v>480</v>
      </c>
      <c r="M1174" s="552">
        <v>480</v>
      </c>
      <c r="N1174" s="552">
        <v>480</v>
      </c>
      <c r="O1174" s="552"/>
      <c r="P1174" s="552"/>
      <c r="Q1174" s="548">
        <v>300</v>
      </c>
      <c r="R1174" s="552">
        <v>144000</v>
      </c>
      <c r="S1174" s="548">
        <v>300</v>
      </c>
      <c r="T1174" s="552">
        <v>144000</v>
      </c>
      <c r="U1174" s="548">
        <v>0</v>
      </c>
      <c r="V1174" s="552">
        <v>0</v>
      </c>
      <c r="W1174" s="552">
        <v>0</v>
      </c>
      <c r="X1174" s="552">
        <v>0</v>
      </c>
      <c r="Y1174" s="552">
        <v>300</v>
      </c>
      <c r="Z1174" s="552">
        <v>144000</v>
      </c>
      <c r="AA1174" s="552">
        <v>0</v>
      </c>
      <c r="AB1174" s="552">
        <v>0</v>
      </c>
      <c r="AC1174" s="552">
        <v>300</v>
      </c>
      <c r="AD1174" s="552">
        <v>144000</v>
      </c>
      <c r="AE1174" s="552">
        <v>0</v>
      </c>
      <c r="AF1174" s="552">
        <v>0</v>
      </c>
      <c r="AG1174" s="552">
        <v>0</v>
      </c>
      <c r="AH1174" s="552">
        <v>0</v>
      </c>
      <c r="AI1174" s="552">
        <v>0</v>
      </c>
      <c r="AJ1174" s="552">
        <v>0</v>
      </c>
    </row>
    <row r="1175" spans="1:36" ht="15.95" customHeight="1">
      <c r="A1175" s="547"/>
      <c r="B1175" s="548">
        <v>1114</v>
      </c>
      <c r="C1175" s="549">
        <v>6636</v>
      </c>
      <c r="D1175" s="550" t="s">
        <v>12607</v>
      </c>
      <c r="E1175" s="550" t="s">
        <v>5051</v>
      </c>
      <c r="F1175" s="550" t="s">
        <v>5052</v>
      </c>
      <c r="G1175" s="550" t="s">
        <v>1127</v>
      </c>
      <c r="H1175" s="550" t="s">
        <v>5053</v>
      </c>
      <c r="I1175" s="550" t="s">
        <v>11</v>
      </c>
      <c r="J1175" s="550" t="s">
        <v>3984</v>
      </c>
      <c r="K1175" s="551">
        <v>44983</v>
      </c>
      <c r="L1175" s="552">
        <v>714</v>
      </c>
      <c r="M1175" s="552">
        <v>714</v>
      </c>
      <c r="N1175" s="552">
        <v>714</v>
      </c>
      <c r="O1175" s="552">
        <v>100</v>
      </c>
      <c r="P1175" s="552">
        <v>71400</v>
      </c>
      <c r="Q1175" s="548">
        <v>0</v>
      </c>
      <c r="R1175" s="552">
        <v>0</v>
      </c>
      <c r="S1175" s="548">
        <v>100</v>
      </c>
      <c r="T1175" s="552">
        <v>71400</v>
      </c>
      <c r="U1175" s="548">
        <v>0</v>
      </c>
      <c r="V1175" s="552">
        <v>0</v>
      </c>
      <c r="W1175" s="552">
        <v>100</v>
      </c>
      <c r="X1175" s="552">
        <v>71400</v>
      </c>
      <c r="Y1175" s="552">
        <v>100</v>
      </c>
      <c r="Z1175" s="552">
        <v>71400</v>
      </c>
      <c r="AA1175" s="552">
        <v>0</v>
      </c>
      <c r="AB1175" s="552">
        <v>0</v>
      </c>
      <c r="AC1175" s="552">
        <v>100</v>
      </c>
      <c r="AD1175" s="552">
        <v>71400</v>
      </c>
      <c r="AE1175" s="552">
        <v>0</v>
      </c>
      <c r="AF1175" s="552">
        <v>0</v>
      </c>
      <c r="AG1175" s="552">
        <v>0</v>
      </c>
      <c r="AH1175" s="552">
        <v>0</v>
      </c>
      <c r="AI1175" s="552">
        <v>0</v>
      </c>
      <c r="AJ1175" s="552">
        <v>0</v>
      </c>
    </row>
    <row r="1176" spans="1:36" ht="15.95" customHeight="1">
      <c r="A1176" s="547"/>
      <c r="B1176" s="548">
        <v>1115</v>
      </c>
      <c r="C1176" s="549">
        <v>6636</v>
      </c>
      <c r="D1176" s="550" t="s">
        <v>12607</v>
      </c>
      <c r="E1176" s="550" t="s">
        <v>5051</v>
      </c>
      <c r="F1176" s="550" t="s">
        <v>5052</v>
      </c>
      <c r="G1176" s="550" t="s">
        <v>1127</v>
      </c>
      <c r="H1176" s="550" t="s">
        <v>5053</v>
      </c>
      <c r="I1176" s="550" t="s">
        <v>11</v>
      </c>
      <c r="J1176" s="550" t="s">
        <v>11686</v>
      </c>
      <c r="K1176" s="551">
        <v>45389</v>
      </c>
      <c r="L1176" s="552">
        <v>714</v>
      </c>
      <c r="M1176" s="552">
        <v>714</v>
      </c>
      <c r="N1176" s="552">
        <v>714</v>
      </c>
      <c r="O1176" s="552"/>
      <c r="P1176" s="552"/>
      <c r="Q1176" s="548">
        <v>80000</v>
      </c>
      <c r="R1176" s="552">
        <v>57120000</v>
      </c>
      <c r="S1176" s="548">
        <v>19500</v>
      </c>
      <c r="T1176" s="552">
        <v>13923000</v>
      </c>
      <c r="U1176" s="548">
        <v>60500</v>
      </c>
      <c r="V1176" s="552">
        <v>43197000</v>
      </c>
      <c r="W1176" s="552">
        <v>8550</v>
      </c>
      <c r="X1176" s="552">
        <v>6104700</v>
      </c>
      <c r="Y1176" s="552">
        <v>19500</v>
      </c>
      <c r="Z1176" s="552">
        <v>13923000</v>
      </c>
      <c r="AA1176" s="552">
        <v>0</v>
      </c>
      <c r="AB1176" s="552">
        <v>0</v>
      </c>
      <c r="AC1176" s="552">
        <v>19500</v>
      </c>
      <c r="AD1176" s="552">
        <v>13923000</v>
      </c>
      <c r="AE1176" s="552">
        <v>0</v>
      </c>
      <c r="AF1176" s="552">
        <v>0</v>
      </c>
      <c r="AG1176" s="552">
        <v>0</v>
      </c>
      <c r="AH1176" s="552">
        <v>0</v>
      </c>
      <c r="AI1176" s="552">
        <v>0</v>
      </c>
      <c r="AJ1176" s="552">
        <v>0</v>
      </c>
    </row>
    <row r="1177" spans="1:36" ht="15.95" customHeight="1">
      <c r="A1177" s="547"/>
      <c r="B1177" s="548">
        <v>1116</v>
      </c>
      <c r="C1177" s="549">
        <v>6636</v>
      </c>
      <c r="D1177" s="550" t="s">
        <v>12607</v>
      </c>
      <c r="E1177" s="550" t="s">
        <v>5051</v>
      </c>
      <c r="F1177" s="550" t="s">
        <v>5052</v>
      </c>
      <c r="G1177" s="550" t="s">
        <v>1127</v>
      </c>
      <c r="H1177" s="550" t="s">
        <v>5053</v>
      </c>
      <c r="I1177" s="550" t="s">
        <v>11</v>
      </c>
      <c r="J1177" s="550" t="s">
        <v>5054</v>
      </c>
      <c r="K1177" s="551">
        <v>44918</v>
      </c>
      <c r="L1177" s="552">
        <v>714</v>
      </c>
      <c r="M1177" s="552">
        <v>714</v>
      </c>
      <c r="N1177" s="552">
        <v>714</v>
      </c>
      <c r="O1177" s="552">
        <v>418</v>
      </c>
      <c r="P1177" s="552">
        <v>298452</v>
      </c>
      <c r="Q1177" s="548">
        <v>6</v>
      </c>
      <c r="R1177" s="552">
        <v>4284</v>
      </c>
      <c r="S1177" s="548">
        <v>424</v>
      </c>
      <c r="T1177" s="552">
        <v>302736</v>
      </c>
      <c r="U1177" s="548">
        <v>0</v>
      </c>
      <c r="V1177" s="552">
        <v>0</v>
      </c>
      <c r="W1177" s="552">
        <v>0</v>
      </c>
      <c r="X1177" s="552">
        <v>0</v>
      </c>
      <c r="Y1177" s="552">
        <v>424</v>
      </c>
      <c r="Z1177" s="552">
        <v>302736</v>
      </c>
      <c r="AA1177" s="552">
        <v>0</v>
      </c>
      <c r="AB1177" s="552">
        <v>0</v>
      </c>
      <c r="AC1177" s="552">
        <v>424</v>
      </c>
      <c r="AD1177" s="552">
        <v>302736</v>
      </c>
      <c r="AE1177" s="552">
        <v>0</v>
      </c>
      <c r="AF1177" s="552">
        <v>0</v>
      </c>
      <c r="AG1177" s="552">
        <v>0</v>
      </c>
      <c r="AH1177" s="552">
        <v>0</v>
      </c>
      <c r="AI1177" s="552">
        <v>0</v>
      </c>
      <c r="AJ1177" s="552">
        <v>0</v>
      </c>
    </row>
    <row r="1178" spans="1:36" ht="15.95" customHeight="1">
      <c r="A1178" s="547"/>
      <c r="B1178" s="548">
        <v>1117</v>
      </c>
      <c r="C1178" s="549">
        <v>6636</v>
      </c>
      <c r="D1178" s="550" t="s">
        <v>12607</v>
      </c>
      <c r="E1178" s="550" t="s">
        <v>5051</v>
      </c>
      <c r="F1178" s="550" t="s">
        <v>5052</v>
      </c>
      <c r="G1178" s="550" t="s">
        <v>1127</v>
      </c>
      <c r="H1178" s="550" t="s">
        <v>5053</v>
      </c>
      <c r="I1178" s="550" t="s">
        <v>11</v>
      </c>
      <c r="J1178" s="550" t="s">
        <v>12608</v>
      </c>
      <c r="K1178" s="551">
        <v>45236</v>
      </c>
      <c r="L1178" s="552">
        <v>714</v>
      </c>
      <c r="M1178" s="552">
        <v>714</v>
      </c>
      <c r="N1178" s="552">
        <v>714</v>
      </c>
      <c r="O1178" s="552"/>
      <c r="P1178" s="552"/>
      <c r="Q1178" s="548">
        <v>20000</v>
      </c>
      <c r="R1178" s="552">
        <v>14280000</v>
      </c>
      <c r="S1178" s="548">
        <v>19832</v>
      </c>
      <c r="T1178" s="552">
        <v>14160048</v>
      </c>
      <c r="U1178" s="548">
        <v>168</v>
      </c>
      <c r="V1178" s="552">
        <v>119952</v>
      </c>
      <c r="W1178" s="552">
        <v>6155</v>
      </c>
      <c r="X1178" s="552">
        <v>4394670</v>
      </c>
      <c r="Y1178" s="552">
        <v>19832</v>
      </c>
      <c r="Z1178" s="552">
        <v>14160048</v>
      </c>
      <c r="AA1178" s="552">
        <v>13400</v>
      </c>
      <c r="AB1178" s="552">
        <v>9567600</v>
      </c>
      <c r="AC1178" s="552">
        <v>6432</v>
      </c>
      <c r="AD1178" s="552">
        <v>4592448</v>
      </c>
      <c r="AE1178" s="552">
        <v>0</v>
      </c>
      <c r="AF1178" s="552">
        <v>0</v>
      </c>
      <c r="AG1178" s="552">
        <v>0</v>
      </c>
      <c r="AH1178" s="552">
        <v>0</v>
      </c>
      <c r="AI1178" s="552">
        <v>0</v>
      </c>
      <c r="AJ1178" s="552">
        <v>0</v>
      </c>
    </row>
    <row r="1179" spans="1:36" ht="15.95" customHeight="1">
      <c r="A1179" s="547"/>
      <c r="B1179" s="548">
        <v>1118</v>
      </c>
      <c r="C1179" s="549">
        <v>6630</v>
      </c>
      <c r="D1179" s="550" t="s">
        <v>12609</v>
      </c>
      <c r="E1179" s="550" t="s">
        <v>5055</v>
      </c>
      <c r="F1179" s="550" t="s">
        <v>5056</v>
      </c>
      <c r="G1179" s="550" t="s">
        <v>5057</v>
      </c>
      <c r="H1179" s="550" t="s">
        <v>2949</v>
      </c>
      <c r="I1179" s="550" t="s">
        <v>11</v>
      </c>
      <c r="J1179" s="550" t="s">
        <v>3749</v>
      </c>
      <c r="K1179" s="551">
        <v>44837</v>
      </c>
      <c r="L1179" s="552">
        <v>180</v>
      </c>
      <c r="M1179" s="552">
        <v>180</v>
      </c>
      <c r="N1179" s="552">
        <v>180</v>
      </c>
      <c r="O1179" s="552">
        <v>641</v>
      </c>
      <c r="P1179" s="552">
        <v>115380</v>
      </c>
      <c r="Q1179" s="548">
        <v>0</v>
      </c>
      <c r="R1179" s="552">
        <v>0</v>
      </c>
      <c r="S1179" s="548">
        <v>641</v>
      </c>
      <c r="T1179" s="552">
        <v>115380</v>
      </c>
      <c r="U1179" s="548">
        <v>0</v>
      </c>
      <c r="V1179" s="552">
        <v>0</v>
      </c>
      <c r="W1179" s="552">
        <v>2250</v>
      </c>
      <c r="X1179" s="552">
        <v>405000</v>
      </c>
      <c r="Y1179" s="552">
        <v>641</v>
      </c>
      <c r="Z1179" s="552">
        <v>115380</v>
      </c>
      <c r="AA1179" s="552">
        <v>641</v>
      </c>
      <c r="AB1179" s="552">
        <v>115380</v>
      </c>
      <c r="AC1179" s="552">
        <v>0</v>
      </c>
      <c r="AD1179" s="552">
        <v>0</v>
      </c>
      <c r="AE1179" s="552">
        <v>0</v>
      </c>
      <c r="AF1179" s="552">
        <v>0</v>
      </c>
      <c r="AG1179" s="552">
        <v>0</v>
      </c>
      <c r="AH1179" s="552">
        <v>0</v>
      </c>
      <c r="AI1179" s="552">
        <v>0</v>
      </c>
      <c r="AJ1179" s="552">
        <v>0</v>
      </c>
    </row>
    <row r="1180" spans="1:36" ht="15.95" customHeight="1">
      <c r="A1180" s="547"/>
      <c r="B1180" s="548">
        <v>1119</v>
      </c>
      <c r="C1180" s="549">
        <v>6630</v>
      </c>
      <c r="D1180" s="550" t="s">
        <v>12609</v>
      </c>
      <c r="E1180" s="550" t="s">
        <v>5055</v>
      </c>
      <c r="F1180" s="550" t="s">
        <v>5056</v>
      </c>
      <c r="G1180" s="550" t="s">
        <v>5057</v>
      </c>
      <c r="H1180" s="550" t="s">
        <v>2949</v>
      </c>
      <c r="I1180" s="550" t="s">
        <v>11</v>
      </c>
      <c r="J1180" s="550" t="s">
        <v>12610</v>
      </c>
      <c r="K1180" s="551">
        <v>45304</v>
      </c>
      <c r="L1180" s="552">
        <v>180</v>
      </c>
      <c r="M1180" s="552">
        <v>180</v>
      </c>
      <c r="N1180" s="552">
        <v>180</v>
      </c>
      <c r="O1180" s="552"/>
      <c r="P1180" s="552"/>
      <c r="Q1180" s="548">
        <v>990</v>
      </c>
      <c r="R1180" s="552">
        <v>178200</v>
      </c>
      <c r="S1180" s="548">
        <v>0</v>
      </c>
      <c r="T1180" s="552">
        <v>0</v>
      </c>
      <c r="U1180" s="548">
        <v>990</v>
      </c>
      <c r="V1180" s="552">
        <v>178200</v>
      </c>
      <c r="W1180" s="552">
        <v>0</v>
      </c>
      <c r="X1180" s="552">
        <v>0</v>
      </c>
      <c r="Y1180" s="552">
        <v>0</v>
      </c>
      <c r="Z1180" s="552">
        <v>0</v>
      </c>
      <c r="AA1180" s="552">
        <v>0</v>
      </c>
      <c r="AB1180" s="552">
        <v>0</v>
      </c>
      <c r="AC1180" s="552">
        <v>0</v>
      </c>
      <c r="AD1180" s="552">
        <v>0</v>
      </c>
      <c r="AE1180" s="552">
        <v>0</v>
      </c>
      <c r="AF1180" s="552">
        <v>0</v>
      </c>
      <c r="AG1180" s="552">
        <v>0</v>
      </c>
      <c r="AH1180" s="552">
        <v>0</v>
      </c>
      <c r="AI1180" s="552">
        <v>0</v>
      </c>
      <c r="AJ1180" s="552">
        <v>0</v>
      </c>
    </row>
    <row r="1181" spans="1:36" ht="15.95" customHeight="1">
      <c r="A1181" s="547"/>
      <c r="B1181" s="548">
        <v>1120</v>
      </c>
      <c r="C1181" s="549">
        <v>6630</v>
      </c>
      <c r="D1181" s="550" t="s">
        <v>12609</v>
      </c>
      <c r="E1181" s="550" t="s">
        <v>5055</v>
      </c>
      <c r="F1181" s="550" t="s">
        <v>5056</v>
      </c>
      <c r="G1181" s="550" t="s">
        <v>5057</v>
      </c>
      <c r="H1181" s="550" t="s">
        <v>2949</v>
      </c>
      <c r="I1181" s="550" t="s">
        <v>11</v>
      </c>
      <c r="J1181" s="550" t="s">
        <v>12611</v>
      </c>
      <c r="K1181" s="551">
        <v>45250</v>
      </c>
      <c r="L1181" s="552">
        <v>180</v>
      </c>
      <c r="M1181" s="552">
        <v>180</v>
      </c>
      <c r="N1181" s="552">
        <v>180</v>
      </c>
      <c r="O1181" s="552"/>
      <c r="P1181" s="552"/>
      <c r="Q1181" s="548">
        <v>450</v>
      </c>
      <c r="R1181" s="552">
        <v>81000</v>
      </c>
      <c r="S1181" s="548">
        <v>450</v>
      </c>
      <c r="T1181" s="552">
        <v>81000</v>
      </c>
      <c r="U1181" s="548">
        <v>0</v>
      </c>
      <c r="V1181" s="552">
        <v>0</v>
      </c>
      <c r="W1181" s="552">
        <v>327</v>
      </c>
      <c r="X1181" s="552">
        <v>58860</v>
      </c>
      <c r="Y1181" s="552">
        <v>450</v>
      </c>
      <c r="Z1181" s="552">
        <v>81000</v>
      </c>
      <c r="AA1181" s="552">
        <v>0</v>
      </c>
      <c r="AB1181" s="552">
        <v>0</v>
      </c>
      <c r="AC1181" s="552">
        <v>450</v>
      </c>
      <c r="AD1181" s="552">
        <v>81000</v>
      </c>
      <c r="AE1181" s="552">
        <v>0</v>
      </c>
      <c r="AF1181" s="552">
        <v>0</v>
      </c>
      <c r="AG1181" s="552">
        <v>0</v>
      </c>
      <c r="AH1181" s="552">
        <v>0</v>
      </c>
      <c r="AI1181" s="552">
        <v>0</v>
      </c>
      <c r="AJ1181" s="552">
        <v>0</v>
      </c>
    </row>
    <row r="1182" spans="1:36" ht="15.95" customHeight="1">
      <c r="A1182" s="547"/>
      <c r="B1182" s="548">
        <v>1121</v>
      </c>
      <c r="C1182" s="549">
        <v>6631</v>
      </c>
      <c r="D1182" s="550" t="s">
        <v>12612</v>
      </c>
      <c r="E1182" s="550" t="s">
        <v>5058</v>
      </c>
      <c r="F1182" s="550" t="s">
        <v>5059</v>
      </c>
      <c r="G1182" s="550" t="s">
        <v>5059</v>
      </c>
      <c r="H1182" s="550" t="s">
        <v>272</v>
      </c>
      <c r="I1182" s="550" t="s">
        <v>11</v>
      </c>
      <c r="J1182" s="550" t="s">
        <v>5060</v>
      </c>
      <c r="K1182" s="551">
        <v>44969</v>
      </c>
      <c r="L1182" s="552">
        <v>340</v>
      </c>
      <c r="M1182" s="552">
        <v>340</v>
      </c>
      <c r="N1182" s="552">
        <v>340</v>
      </c>
      <c r="O1182" s="552">
        <v>824</v>
      </c>
      <c r="P1182" s="552">
        <v>280160</v>
      </c>
      <c r="Q1182" s="548">
        <v>0</v>
      </c>
      <c r="R1182" s="552">
        <v>0</v>
      </c>
      <c r="S1182" s="548">
        <v>824</v>
      </c>
      <c r="T1182" s="552">
        <v>280160</v>
      </c>
      <c r="U1182" s="548">
        <v>0</v>
      </c>
      <c r="V1182" s="552">
        <v>0</v>
      </c>
      <c r="W1182" s="552">
        <v>717</v>
      </c>
      <c r="X1182" s="552">
        <v>243780</v>
      </c>
      <c r="Y1182" s="552">
        <v>824</v>
      </c>
      <c r="Z1182" s="552">
        <v>280160</v>
      </c>
      <c r="AA1182" s="552">
        <v>824</v>
      </c>
      <c r="AB1182" s="552">
        <v>280160</v>
      </c>
      <c r="AC1182" s="552">
        <v>0</v>
      </c>
      <c r="AD1182" s="552">
        <v>0</v>
      </c>
      <c r="AE1182" s="552">
        <v>0</v>
      </c>
      <c r="AF1182" s="552">
        <v>0</v>
      </c>
      <c r="AG1182" s="552">
        <v>0</v>
      </c>
      <c r="AH1182" s="552">
        <v>0</v>
      </c>
      <c r="AI1182" s="552">
        <v>0</v>
      </c>
      <c r="AJ1182" s="552">
        <v>0</v>
      </c>
    </row>
    <row r="1183" spans="1:36" ht="15.95" customHeight="1">
      <c r="A1183" s="547"/>
      <c r="B1183" s="548">
        <v>1122</v>
      </c>
      <c r="C1183" s="549">
        <v>6631</v>
      </c>
      <c r="D1183" s="550" t="s">
        <v>12612</v>
      </c>
      <c r="E1183" s="550" t="s">
        <v>5058</v>
      </c>
      <c r="F1183" s="550" t="s">
        <v>5059</v>
      </c>
      <c r="G1183" s="550" t="s">
        <v>5059</v>
      </c>
      <c r="H1183" s="550" t="s">
        <v>272</v>
      </c>
      <c r="I1183" s="550" t="s">
        <v>11</v>
      </c>
      <c r="J1183" s="550" t="s">
        <v>12613</v>
      </c>
      <c r="K1183" s="551">
        <v>45214</v>
      </c>
      <c r="L1183" s="552">
        <v>340</v>
      </c>
      <c r="M1183" s="552">
        <v>340</v>
      </c>
      <c r="N1183" s="552">
        <v>340</v>
      </c>
      <c r="O1183" s="552">
        <v>3000</v>
      </c>
      <c r="P1183" s="552">
        <v>1020000</v>
      </c>
      <c r="Q1183" s="548">
        <v>0</v>
      </c>
      <c r="R1183" s="552">
        <v>0</v>
      </c>
      <c r="S1183" s="548">
        <v>2600</v>
      </c>
      <c r="T1183" s="552">
        <v>884000</v>
      </c>
      <c r="U1183" s="548">
        <v>400</v>
      </c>
      <c r="V1183" s="552">
        <v>136000</v>
      </c>
      <c r="W1183" s="552">
        <v>260</v>
      </c>
      <c r="X1183" s="552">
        <v>88400</v>
      </c>
      <c r="Y1183" s="552">
        <v>2600</v>
      </c>
      <c r="Z1183" s="552">
        <v>884000</v>
      </c>
      <c r="AA1183" s="552">
        <v>0</v>
      </c>
      <c r="AB1183" s="552">
        <v>0</v>
      </c>
      <c r="AC1183" s="552">
        <v>2600</v>
      </c>
      <c r="AD1183" s="552">
        <v>884000</v>
      </c>
      <c r="AE1183" s="552">
        <v>0</v>
      </c>
      <c r="AF1183" s="552">
        <v>0</v>
      </c>
      <c r="AG1183" s="552">
        <v>0</v>
      </c>
      <c r="AH1183" s="552">
        <v>0</v>
      </c>
      <c r="AI1183" s="552">
        <v>0</v>
      </c>
      <c r="AJ1183" s="552">
        <v>0</v>
      </c>
    </row>
    <row r="1184" spans="1:36" ht="15.95" customHeight="1">
      <c r="A1184" s="547"/>
      <c r="B1184" s="548">
        <v>1123</v>
      </c>
      <c r="C1184" s="549">
        <v>6631</v>
      </c>
      <c r="D1184" s="550" t="s">
        <v>12612</v>
      </c>
      <c r="E1184" s="550" t="s">
        <v>5058</v>
      </c>
      <c r="F1184" s="550" t="s">
        <v>5059</v>
      </c>
      <c r="G1184" s="550" t="s">
        <v>5059</v>
      </c>
      <c r="H1184" s="550" t="s">
        <v>272</v>
      </c>
      <c r="I1184" s="550" t="s">
        <v>11</v>
      </c>
      <c r="J1184" s="550" t="s">
        <v>5061</v>
      </c>
      <c r="K1184" s="551">
        <v>45008</v>
      </c>
      <c r="L1184" s="552">
        <v>340</v>
      </c>
      <c r="M1184" s="552">
        <v>340</v>
      </c>
      <c r="N1184" s="552">
        <v>340</v>
      </c>
      <c r="O1184" s="552">
        <v>2000</v>
      </c>
      <c r="P1184" s="552">
        <v>680000</v>
      </c>
      <c r="Q1184" s="548">
        <v>0</v>
      </c>
      <c r="R1184" s="552">
        <v>0</v>
      </c>
      <c r="S1184" s="548">
        <v>1172</v>
      </c>
      <c r="T1184" s="552">
        <v>398480</v>
      </c>
      <c r="U1184" s="548">
        <v>828</v>
      </c>
      <c r="V1184" s="552">
        <v>281520</v>
      </c>
      <c r="W1184" s="552">
        <v>2550</v>
      </c>
      <c r="X1184" s="552">
        <v>867000</v>
      </c>
      <c r="Y1184" s="552">
        <v>1172</v>
      </c>
      <c r="Z1184" s="552">
        <v>398480</v>
      </c>
      <c r="AA1184" s="552">
        <v>1172</v>
      </c>
      <c r="AB1184" s="552">
        <v>398480</v>
      </c>
      <c r="AC1184" s="552">
        <v>0</v>
      </c>
      <c r="AD1184" s="552">
        <v>0</v>
      </c>
      <c r="AE1184" s="552">
        <v>0</v>
      </c>
      <c r="AF1184" s="552">
        <v>0</v>
      </c>
      <c r="AG1184" s="552">
        <v>0</v>
      </c>
      <c r="AH1184" s="552">
        <v>0</v>
      </c>
      <c r="AI1184" s="552">
        <v>0</v>
      </c>
      <c r="AJ1184" s="552">
        <v>0</v>
      </c>
    </row>
    <row r="1185" spans="1:36" ht="15.95" customHeight="1">
      <c r="A1185" s="547"/>
      <c r="B1185" s="548">
        <v>1124</v>
      </c>
      <c r="C1185" s="549">
        <v>6631</v>
      </c>
      <c r="D1185" s="550" t="s">
        <v>12612</v>
      </c>
      <c r="E1185" s="550" t="s">
        <v>5058</v>
      </c>
      <c r="F1185" s="550" t="s">
        <v>5059</v>
      </c>
      <c r="G1185" s="550" t="s">
        <v>5059</v>
      </c>
      <c r="H1185" s="550" t="s">
        <v>272</v>
      </c>
      <c r="I1185" s="550" t="s">
        <v>11</v>
      </c>
      <c r="J1185" s="550" t="s">
        <v>12614</v>
      </c>
      <c r="K1185" s="551">
        <v>45444</v>
      </c>
      <c r="L1185" s="552">
        <v>340</v>
      </c>
      <c r="M1185" s="552">
        <v>340</v>
      </c>
      <c r="N1185" s="552">
        <v>340</v>
      </c>
      <c r="O1185" s="552"/>
      <c r="P1185" s="552"/>
      <c r="Q1185" s="548">
        <v>2400</v>
      </c>
      <c r="R1185" s="552">
        <v>816000</v>
      </c>
      <c r="S1185" s="548">
        <v>0</v>
      </c>
      <c r="T1185" s="552">
        <v>0</v>
      </c>
      <c r="U1185" s="548">
        <v>2400</v>
      </c>
      <c r="V1185" s="552">
        <v>816000</v>
      </c>
      <c r="W1185" s="552">
        <v>0</v>
      </c>
      <c r="X1185" s="552">
        <v>0</v>
      </c>
      <c r="Y1185" s="552">
        <v>0</v>
      </c>
      <c r="Z1185" s="552">
        <v>0</v>
      </c>
      <c r="AA1185" s="552">
        <v>0</v>
      </c>
      <c r="AB1185" s="552">
        <v>0</v>
      </c>
      <c r="AC1185" s="552">
        <v>0</v>
      </c>
      <c r="AD1185" s="552">
        <v>0</v>
      </c>
      <c r="AE1185" s="552">
        <v>0</v>
      </c>
      <c r="AF1185" s="552">
        <v>0</v>
      </c>
      <c r="AG1185" s="552">
        <v>0</v>
      </c>
      <c r="AH1185" s="552">
        <v>0</v>
      </c>
      <c r="AI1185" s="552">
        <v>0</v>
      </c>
      <c r="AJ1185" s="552">
        <v>0</v>
      </c>
    </row>
    <row r="1186" spans="1:36" ht="15.95" customHeight="1">
      <c r="A1186" s="547"/>
      <c r="B1186" s="548">
        <v>1125</v>
      </c>
      <c r="C1186" s="549">
        <v>6637</v>
      </c>
      <c r="D1186" s="550" t="s">
        <v>12615</v>
      </c>
      <c r="E1186" s="550" t="s">
        <v>5062</v>
      </c>
      <c r="F1186" s="550" t="s">
        <v>5063</v>
      </c>
      <c r="G1186" s="550" t="s">
        <v>1443</v>
      </c>
      <c r="H1186" s="550" t="s">
        <v>272</v>
      </c>
      <c r="I1186" s="550" t="s">
        <v>11</v>
      </c>
      <c r="J1186" s="550" t="s">
        <v>5064</v>
      </c>
      <c r="K1186" s="551">
        <v>44944</v>
      </c>
      <c r="L1186" s="552">
        <v>343</v>
      </c>
      <c r="M1186" s="552">
        <v>343</v>
      </c>
      <c r="N1186" s="552">
        <v>343</v>
      </c>
      <c r="O1186" s="552">
        <v>640</v>
      </c>
      <c r="P1186" s="552">
        <v>219520</v>
      </c>
      <c r="Q1186" s="548">
        <v>3</v>
      </c>
      <c r="R1186" s="552">
        <v>1029</v>
      </c>
      <c r="S1186" s="548">
        <v>448</v>
      </c>
      <c r="T1186" s="552">
        <v>153664</v>
      </c>
      <c r="U1186" s="548">
        <v>195</v>
      </c>
      <c r="V1186" s="552">
        <v>66885</v>
      </c>
      <c r="W1186" s="552">
        <v>555</v>
      </c>
      <c r="X1186" s="552">
        <v>190365</v>
      </c>
      <c r="Y1186" s="552">
        <v>448</v>
      </c>
      <c r="Z1186" s="552">
        <v>153664</v>
      </c>
      <c r="AA1186" s="552">
        <v>445</v>
      </c>
      <c r="AB1186" s="552">
        <v>152635</v>
      </c>
      <c r="AC1186" s="552">
        <v>3</v>
      </c>
      <c r="AD1186" s="552">
        <v>1029</v>
      </c>
      <c r="AE1186" s="552">
        <v>0</v>
      </c>
      <c r="AF1186" s="552">
        <v>0</v>
      </c>
      <c r="AG1186" s="552">
        <v>0</v>
      </c>
      <c r="AH1186" s="552">
        <v>0</v>
      </c>
      <c r="AI1186" s="552">
        <v>0</v>
      </c>
      <c r="AJ1186" s="552">
        <v>0</v>
      </c>
    </row>
    <row r="1187" spans="1:36" ht="15.95" customHeight="1">
      <c r="A1187" s="547"/>
      <c r="B1187" s="548">
        <v>1126</v>
      </c>
      <c r="C1187" s="549">
        <v>6637</v>
      </c>
      <c r="D1187" s="550" t="s">
        <v>12615</v>
      </c>
      <c r="E1187" s="550" t="s">
        <v>5062</v>
      </c>
      <c r="F1187" s="550" t="s">
        <v>5063</v>
      </c>
      <c r="G1187" s="550" t="s">
        <v>1443</v>
      </c>
      <c r="H1187" s="550" t="s">
        <v>272</v>
      </c>
      <c r="I1187" s="550" t="s">
        <v>11</v>
      </c>
      <c r="J1187" s="550" t="s">
        <v>12616</v>
      </c>
      <c r="K1187" s="551">
        <v>45278</v>
      </c>
      <c r="L1187" s="552">
        <v>343</v>
      </c>
      <c r="M1187" s="552">
        <v>343</v>
      </c>
      <c r="N1187" s="552">
        <v>343</v>
      </c>
      <c r="O1187" s="552"/>
      <c r="P1187" s="552"/>
      <c r="Q1187" s="548">
        <v>7000</v>
      </c>
      <c r="R1187" s="552">
        <v>2401000</v>
      </c>
      <c r="S1187" s="548">
        <v>4115</v>
      </c>
      <c r="T1187" s="552">
        <v>1411445</v>
      </c>
      <c r="U1187" s="548">
        <v>2885</v>
      </c>
      <c r="V1187" s="552">
        <v>989555</v>
      </c>
      <c r="W1187" s="552">
        <v>2000</v>
      </c>
      <c r="X1187" s="552">
        <v>686000</v>
      </c>
      <c r="Y1187" s="552">
        <v>4115</v>
      </c>
      <c r="Z1187" s="552">
        <v>1411445</v>
      </c>
      <c r="AA1187" s="552">
        <v>115</v>
      </c>
      <c r="AB1187" s="552">
        <v>39445</v>
      </c>
      <c r="AC1187" s="552">
        <v>4000</v>
      </c>
      <c r="AD1187" s="552">
        <v>1372000</v>
      </c>
      <c r="AE1187" s="552">
        <v>0</v>
      </c>
      <c r="AF1187" s="552">
        <v>0</v>
      </c>
      <c r="AG1187" s="552">
        <v>0</v>
      </c>
      <c r="AH1187" s="552">
        <v>0</v>
      </c>
      <c r="AI1187" s="552">
        <v>0</v>
      </c>
      <c r="AJ1187" s="552">
        <v>0</v>
      </c>
    </row>
    <row r="1188" spans="1:36" ht="15.95" customHeight="1">
      <c r="A1188" s="547"/>
      <c r="B1188" s="548">
        <v>1127</v>
      </c>
      <c r="C1188" s="549">
        <v>6637</v>
      </c>
      <c r="D1188" s="550" t="s">
        <v>12615</v>
      </c>
      <c r="E1188" s="550" t="s">
        <v>5062</v>
      </c>
      <c r="F1188" s="550" t="s">
        <v>5063</v>
      </c>
      <c r="G1188" s="550" t="s">
        <v>1443</v>
      </c>
      <c r="H1188" s="550" t="s">
        <v>272</v>
      </c>
      <c r="I1188" s="550" t="s">
        <v>11</v>
      </c>
      <c r="J1188" s="550" t="s">
        <v>12617</v>
      </c>
      <c r="K1188" s="551">
        <v>45454</v>
      </c>
      <c r="L1188" s="552">
        <v>343</v>
      </c>
      <c r="M1188" s="552">
        <v>343</v>
      </c>
      <c r="N1188" s="552">
        <v>343</v>
      </c>
      <c r="O1188" s="552"/>
      <c r="P1188" s="552"/>
      <c r="Q1188" s="548">
        <v>10000</v>
      </c>
      <c r="R1188" s="552">
        <v>3430000</v>
      </c>
      <c r="S1188" s="548">
        <v>8000</v>
      </c>
      <c r="T1188" s="552">
        <v>2744000</v>
      </c>
      <c r="U1188" s="548">
        <v>2000</v>
      </c>
      <c r="V1188" s="552">
        <v>686000</v>
      </c>
      <c r="W1188" s="552">
        <v>1010</v>
      </c>
      <c r="X1188" s="552">
        <v>346430</v>
      </c>
      <c r="Y1188" s="552">
        <v>8000</v>
      </c>
      <c r="Z1188" s="552">
        <v>2744000</v>
      </c>
      <c r="AA1188" s="552">
        <v>0</v>
      </c>
      <c r="AB1188" s="552">
        <v>0</v>
      </c>
      <c r="AC1188" s="552">
        <v>8000</v>
      </c>
      <c r="AD1188" s="552">
        <v>2744000</v>
      </c>
      <c r="AE1188" s="552">
        <v>0</v>
      </c>
      <c r="AF1188" s="552">
        <v>0</v>
      </c>
      <c r="AG1188" s="552">
        <v>0</v>
      </c>
      <c r="AH1188" s="552">
        <v>0</v>
      </c>
      <c r="AI1188" s="552">
        <v>0</v>
      </c>
      <c r="AJ1188" s="552">
        <v>0</v>
      </c>
    </row>
    <row r="1189" spans="1:36" ht="15.95" customHeight="1">
      <c r="A1189" s="547"/>
      <c r="B1189" s="548">
        <v>1128</v>
      </c>
      <c r="C1189" s="549">
        <v>6637</v>
      </c>
      <c r="D1189" s="550" t="s">
        <v>12615</v>
      </c>
      <c r="E1189" s="550" t="s">
        <v>5062</v>
      </c>
      <c r="F1189" s="550" t="s">
        <v>5063</v>
      </c>
      <c r="G1189" s="550" t="s">
        <v>1443</v>
      </c>
      <c r="H1189" s="550" t="s">
        <v>272</v>
      </c>
      <c r="I1189" s="550" t="s">
        <v>11</v>
      </c>
      <c r="J1189" s="550" t="s">
        <v>5065</v>
      </c>
      <c r="K1189" s="551">
        <v>45072</v>
      </c>
      <c r="L1189" s="552">
        <v>343</v>
      </c>
      <c r="M1189" s="552">
        <v>343</v>
      </c>
      <c r="N1189" s="552">
        <v>343</v>
      </c>
      <c r="O1189" s="552">
        <v>1550</v>
      </c>
      <c r="P1189" s="552">
        <v>531650</v>
      </c>
      <c r="Q1189" s="548">
        <v>0</v>
      </c>
      <c r="R1189" s="552">
        <v>0</v>
      </c>
      <c r="S1189" s="548">
        <v>1550</v>
      </c>
      <c r="T1189" s="552">
        <v>531650</v>
      </c>
      <c r="U1189" s="548">
        <v>0</v>
      </c>
      <c r="V1189" s="552">
        <v>0</v>
      </c>
      <c r="W1189" s="552">
        <v>450</v>
      </c>
      <c r="X1189" s="552">
        <v>154350</v>
      </c>
      <c r="Y1189" s="552">
        <v>1550</v>
      </c>
      <c r="Z1189" s="552">
        <v>531650</v>
      </c>
      <c r="AA1189" s="552">
        <v>1550</v>
      </c>
      <c r="AB1189" s="552">
        <v>531650</v>
      </c>
      <c r="AC1189" s="552">
        <v>0</v>
      </c>
      <c r="AD1189" s="552">
        <v>0</v>
      </c>
      <c r="AE1189" s="552">
        <v>0</v>
      </c>
      <c r="AF1189" s="552">
        <v>0</v>
      </c>
      <c r="AG1189" s="552">
        <v>0</v>
      </c>
      <c r="AH1189" s="552">
        <v>0</v>
      </c>
      <c r="AI1189" s="552">
        <v>0</v>
      </c>
      <c r="AJ1189" s="552">
        <v>0</v>
      </c>
    </row>
    <row r="1190" spans="1:36" ht="15.95" customHeight="1">
      <c r="A1190" s="547"/>
      <c r="B1190" s="548">
        <v>1129</v>
      </c>
      <c r="C1190" s="549">
        <v>6643</v>
      </c>
      <c r="D1190" s="550" t="s">
        <v>12618</v>
      </c>
      <c r="E1190" s="550" t="s">
        <v>5066</v>
      </c>
      <c r="F1190" s="550" t="s">
        <v>843</v>
      </c>
      <c r="G1190" s="550" t="s">
        <v>843</v>
      </c>
      <c r="H1190" s="550" t="s">
        <v>225</v>
      </c>
      <c r="I1190" s="550" t="s">
        <v>11</v>
      </c>
      <c r="J1190" s="550" t="s">
        <v>5067</v>
      </c>
      <c r="K1190" s="551">
        <v>44666</v>
      </c>
      <c r="L1190" s="552">
        <v>154</v>
      </c>
      <c r="M1190" s="552">
        <v>154</v>
      </c>
      <c r="N1190" s="552">
        <v>154</v>
      </c>
      <c r="O1190" s="552">
        <v>53</v>
      </c>
      <c r="P1190" s="552">
        <v>8162</v>
      </c>
      <c r="Q1190" s="548">
        <v>4</v>
      </c>
      <c r="R1190" s="552">
        <v>616</v>
      </c>
      <c r="S1190" s="548">
        <v>57</v>
      </c>
      <c r="T1190" s="552">
        <v>8778</v>
      </c>
      <c r="U1190" s="548">
        <v>0</v>
      </c>
      <c r="V1190" s="552">
        <v>0</v>
      </c>
      <c r="W1190" s="552">
        <v>117</v>
      </c>
      <c r="X1190" s="552">
        <v>18018</v>
      </c>
      <c r="Y1190" s="552">
        <v>57</v>
      </c>
      <c r="Z1190" s="552">
        <v>8778</v>
      </c>
      <c r="AA1190" s="552">
        <v>0</v>
      </c>
      <c r="AB1190" s="552">
        <v>0</v>
      </c>
      <c r="AC1190" s="552">
        <v>57</v>
      </c>
      <c r="AD1190" s="552">
        <v>8778</v>
      </c>
      <c r="AE1190" s="552">
        <v>0</v>
      </c>
      <c r="AF1190" s="552">
        <v>0</v>
      </c>
      <c r="AG1190" s="552">
        <v>0</v>
      </c>
      <c r="AH1190" s="552">
        <v>0</v>
      </c>
      <c r="AI1190" s="552">
        <v>0</v>
      </c>
      <c r="AJ1190" s="552">
        <v>0</v>
      </c>
    </row>
    <row r="1191" spans="1:36" ht="15.95" customHeight="1">
      <c r="A1191" s="547"/>
      <c r="B1191" s="548">
        <v>1130</v>
      </c>
      <c r="C1191" s="549">
        <v>6643</v>
      </c>
      <c r="D1191" s="550" t="s">
        <v>12618</v>
      </c>
      <c r="E1191" s="550" t="s">
        <v>5066</v>
      </c>
      <c r="F1191" s="550" t="s">
        <v>843</v>
      </c>
      <c r="G1191" s="550" t="s">
        <v>843</v>
      </c>
      <c r="H1191" s="550" t="s">
        <v>225</v>
      </c>
      <c r="I1191" s="550" t="s">
        <v>11</v>
      </c>
      <c r="J1191" s="550" t="s">
        <v>12619</v>
      </c>
      <c r="K1191" s="551">
        <v>44939</v>
      </c>
      <c r="L1191" s="552">
        <v>154</v>
      </c>
      <c r="M1191" s="552">
        <v>154</v>
      </c>
      <c r="N1191" s="552">
        <v>154</v>
      </c>
      <c r="O1191" s="552"/>
      <c r="P1191" s="552"/>
      <c r="Q1191" s="548">
        <v>20000</v>
      </c>
      <c r="R1191" s="552">
        <v>3080000</v>
      </c>
      <c r="S1191" s="548">
        <v>20000</v>
      </c>
      <c r="T1191" s="552">
        <v>3080000</v>
      </c>
      <c r="U1191" s="548">
        <v>0</v>
      </c>
      <c r="V1191" s="552">
        <v>0</v>
      </c>
      <c r="W1191" s="552">
        <v>7146</v>
      </c>
      <c r="X1191" s="552">
        <v>1100484</v>
      </c>
      <c r="Y1191" s="552">
        <v>20000</v>
      </c>
      <c r="Z1191" s="552">
        <v>3080000</v>
      </c>
      <c r="AA1191" s="552">
        <v>11000</v>
      </c>
      <c r="AB1191" s="552">
        <v>1694000</v>
      </c>
      <c r="AC1191" s="552">
        <v>9000</v>
      </c>
      <c r="AD1191" s="552">
        <v>1386000</v>
      </c>
      <c r="AE1191" s="552">
        <v>0</v>
      </c>
      <c r="AF1191" s="552">
        <v>0</v>
      </c>
      <c r="AG1191" s="552">
        <v>0</v>
      </c>
      <c r="AH1191" s="552">
        <v>0</v>
      </c>
      <c r="AI1191" s="552">
        <v>0</v>
      </c>
      <c r="AJ1191" s="552">
        <v>0</v>
      </c>
    </row>
    <row r="1192" spans="1:36" ht="15.95" customHeight="1">
      <c r="A1192" s="547"/>
      <c r="B1192" s="548">
        <v>1131</v>
      </c>
      <c r="C1192" s="549">
        <v>6643</v>
      </c>
      <c r="D1192" s="550" t="s">
        <v>12618</v>
      </c>
      <c r="E1192" s="550" t="s">
        <v>5066</v>
      </c>
      <c r="F1192" s="550" t="s">
        <v>843</v>
      </c>
      <c r="G1192" s="550" t="s">
        <v>843</v>
      </c>
      <c r="H1192" s="550" t="s">
        <v>225</v>
      </c>
      <c r="I1192" s="550" t="s">
        <v>11</v>
      </c>
      <c r="J1192" s="550" t="s">
        <v>12620</v>
      </c>
      <c r="K1192" s="551">
        <v>44975</v>
      </c>
      <c r="L1192" s="552">
        <v>154</v>
      </c>
      <c r="M1192" s="552">
        <v>154</v>
      </c>
      <c r="N1192" s="552">
        <v>154</v>
      </c>
      <c r="O1192" s="552"/>
      <c r="P1192" s="552"/>
      <c r="Q1192" s="548">
        <v>9000</v>
      </c>
      <c r="R1192" s="552">
        <v>1386000</v>
      </c>
      <c r="S1192" s="548">
        <v>9000</v>
      </c>
      <c r="T1192" s="552">
        <v>1386000</v>
      </c>
      <c r="U1192" s="548">
        <v>0</v>
      </c>
      <c r="V1192" s="552">
        <v>0</v>
      </c>
      <c r="W1192" s="552">
        <v>4587</v>
      </c>
      <c r="X1192" s="552">
        <v>706398</v>
      </c>
      <c r="Y1192" s="552">
        <v>9000</v>
      </c>
      <c r="Z1192" s="552">
        <v>1386000</v>
      </c>
      <c r="AA1192" s="552">
        <v>800</v>
      </c>
      <c r="AB1192" s="552">
        <v>123200</v>
      </c>
      <c r="AC1192" s="552">
        <v>8200</v>
      </c>
      <c r="AD1192" s="552">
        <v>1262800</v>
      </c>
      <c r="AE1192" s="552">
        <v>0</v>
      </c>
      <c r="AF1192" s="552">
        <v>0</v>
      </c>
      <c r="AG1192" s="552">
        <v>0</v>
      </c>
      <c r="AH1192" s="552">
        <v>0</v>
      </c>
      <c r="AI1192" s="552">
        <v>0</v>
      </c>
      <c r="AJ1192" s="552">
        <v>0</v>
      </c>
    </row>
    <row r="1193" spans="1:36" ht="15.95" customHeight="1">
      <c r="A1193" s="547"/>
      <c r="B1193" s="548">
        <v>1132</v>
      </c>
      <c r="C1193" s="549">
        <v>6643</v>
      </c>
      <c r="D1193" s="550" t="s">
        <v>12618</v>
      </c>
      <c r="E1193" s="550" t="s">
        <v>5066</v>
      </c>
      <c r="F1193" s="550" t="s">
        <v>843</v>
      </c>
      <c r="G1193" s="550" t="s">
        <v>843</v>
      </c>
      <c r="H1193" s="550" t="s">
        <v>225</v>
      </c>
      <c r="I1193" s="550" t="s">
        <v>11</v>
      </c>
      <c r="J1193" s="550" t="s">
        <v>12621</v>
      </c>
      <c r="K1193" s="551">
        <v>45061</v>
      </c>
      <c r="L1193" s="552">
        <v>154</v>
      </c>
      <c r="M1193" s="552">
        <v>154</v>
      </c>
      <c r="N1193" s="552">
        <v>154</v>
      </c>
      <c r="O1193" s="552"/>
      <c r="P1193" s="552"/>
      <c r="Q1193" s="548">
        <v>60017</v>
      </c>
      <c r="R1193" s="552">
        <v>9242618</v>
      </c>
      <c r="S1193" s="548">
        <v>55648</v>
      </c>
      <c r="T1193" s="552">
        <v>8569792</v>
      </c>
      <c r="U1193" s="548">
        <v>4369</v>
      </c>
      <c r="V1193" s="552">
        <v>672826</v>
      </c>
      <c r="W1193" s="552">
        <v>8133</v>
      </c>
      <c r="X1193" s="552">
        <v>1252482</v>
      </c>
      <c r="Y1193" s="552">
        <v>10541</v>
      </c>
      <c r="Z1193" s="552">
        <v>1623314</v>
      </c>
      <c r="AA1193" s="552">
        <v>0</v>
      </c>
      <c r="AB1193" s="552">
        <v>0</v>
      </c>
      <c r="AC1193" s="552">
        <v>10541</v>
      </c>
      <c r="AD1193" s="552">
        <v>1623314</v>
      </c>
      <c r="AE1193" s="552">
        <v>0</v>
      </c>
      <c r="AF1193" s="552">
        <v>0</v>
      </c>
      <c r="AG1193" s="552">
        <v>45107</v>
      </c>
      <c r="AH1193" s="552">
        <v>6946478</v>
      </c>
      <c r="AI1193" s="552">
        <v>0</v>
      </c>
      <c r="AJ1193" s="552">
        <v>0</v>
      </c>
    </row>
    <row r="1194" spans="1:36" ht="15.95" customHeight="1">
      <c r="A1194" s="547"/>
      <c r="B1194" s="548">
        <v>1133</v>
      </c>
      <c r="C1194" s="549">
        <v>6643</v>
      </c>
      <c r="D1194" s="550" t="s">
        <v>12618</v>
      </c>
      <c r="E1194" s="550" t="s">
        <v>5066</v>
      </c>
      <c r="F1194" s="550" t="s">
        <v>843</v>
      </c>
      <c r="G1194" s="550" t="s">
        <v>843</v>
      </c>
      <c r="H1194" s="550" t="s">
        <v>225</v>
      </c>
      <c r="I1194" s="550" t="s">
        <v>11</v>
      </c>
      <c r="J1194" s="550" t="s">
        <v>12622</v>
      </c>
      <c r="K1194" s="551">
        <v>44863</v>
      </c>
      <c r="L1194" s="552">
        <v>154</v>
      </c>
      <c r="M1194" s="552">
        <v>154</v>
      </c>
      <c r="N1194" s="552">
        <v>154</v>
      </c>
      <c r="O1194" s="552">
        <v>7460</v>
      </c>
      <c r="P1194" s="552">
        <v>1148840</v>
      </c>
      <c r="Q1194" s="548">
        <v>0</v>
      </c>
      <c r="R1194" s="552">
        <v>0</v>
      </c>
      <c r="S1194" s="548">
        <v>7460</v>
      </c>
      <c r="T1194" s="552">
        <v>1148840</v>
      </c>
      <c r="U1194" s="548">
        <v>0</v>
      </c>
      <c r="V1194" s="552">
        <v>0</v>
      </c>
      <c r="W1194" s="552">
        <v>7109</v>
      </c>
      <c r="X1194" s="552">
        <v>1094786</v>
      </c>
      <c r="Y1194" s="552">
        <v>7460</v>
      </c>
      <c r="Z1194" s="552">
        <v>1148840</v>
      </c>
      <c r="AA1194" s="552">
        <v>6260</v>
      </c>
      <c r="AB1194" s="552">
        <v>964040</v>
      </c>
      <c r="AC1194" s="552">
        <v>1200</v>
      </c>
      <c r="AD1194" s="552">
        <v>184800</v>
      </c>
      <c r="AE1194" s="552">
        <v>0</v>
      </c>
      <c r="AF1194" s="552">
        <v>0</v>
      </c>
      <c r="AG1194" s="552">
        <v>0</v>
      </c>
      <c r="AH1194" s="552">
        <v>0</v>
      </c>
      <c r="AI1194" s="552">
        <v>0</v>
      </c>
      <c r="AJ1194" s="552">
        <v>0</v>
      </c>
    </row>
    <row r="1195" spans="1:36" ht="15.95" customHeight="1">
      <c r="A1195" s="547"/>
      <c r="B1195" s="548">
        <v>1134</v>
      </c>
      <c r="C1195" s="549">
        <v>6644</v>
      </c>
      <c r="D1195" s="550" t="s">
        <v>12623</v>
      </c>
      <c r="E1195" s="550" t="s">
        <v>5068</v>
      </c>
      <c r="F1195" s="550" t="s">
        <v>844</v>
      </c>
      <c r="G1195" s="550" t="s">
        <v>843</v>
      </c>
      <c r="H1195" s="550" t="s">
        <v>272</v>
      </c>
      <c r="I1195" s="550" t="s">
        <v>11</v>
      </c>
      <c r="J1195" s="550" t="s">
        <v>12624</v>
      </c>
      <c r="K1195" s="551">
        <v>45029</v>
      </c>
      <c r="L1195" s="552">
        <v>113</v>
      </c>
      <c r="M1195" s="552">
        <v>113</v>
      </c>
      <c r="N1195" s="552">
        <v>113</v>
      </c>
      <c r="O1195" s="552"/>
      <c r="P1195" s="552"/>
      <c r="Q1195" s="548">
        <v>10000</v>
      </c>
      <c r="R1195" s="552">
        <v>1130000</v>
      </c>
      <c r="S1195" s="548">
        <v>10000</v>
      </c>
      <c r="T1195" s="552">
        <v>1130000</v>
      </c>
      <c r="U1195" s="548">
        <v>0</v>
      </c>
      <c r="V1195" s="552">
        <v>0</v>
      </c>
      <c r="W1195" s="552">
        <v>0</v>
      </c>
      <c r="X1195" s="552">
        <v>0</v>
      </c>
      <c r="Y1195" s="552">
        <v>0</v>
      </c>
      <c r="Z1195" s="552">
        <v>0</v>
      </c>
      <c r="AA1195" s="552">
        <v>0</v>
      </c>
      <c r="AB1195" s="552">
        <v>0</v>
      </c>
      <c r="AC1195" s="552">
        <v>0</v>
      </c>
      <c r="AD1195" s="552">
        <v>0</v>
      </c>
      <c r="AE1195" s="552">
        <v>0</v>
      </c>
      <c r="AF1195" s="552">
        <v>0</v>
      </c>
      <c r="AG1195" s="552">
        <v>10000</v>
      </c>
      <c r="AH1195" s="552">
        <v>1130000</v>
      </c>
      <c r="AI1195" s="552">
        <v>0</v>
      </c>
      <c r="AJ1195" s="552">
        <v>0</v>
      </c>
    </row>
    <row r="1196" spans="1:36" ht="15.95" customHeight="1">
      <c r="A1196" s="547"/>
      <c r="B1196" s="548">
        <v>1135</v>
      </c>
      <c r="C1196" s="549">
        <v>6644</v>
      </c>
      <c r="D1196" s="550" t="s">
        <v>12623</v>
      </c>
      <c r="E1196" s="550" t="s">
        <v>5068</v>
      </c>
      <c r="F1196" s="550" t="s">
        <v>844</v>
      </c>
      <c r="G1196" s="550" t="s">
        <v>843</v>
      </c>
      <c r="H1196" s="550" t="s">
        <v>272</v>
      </c>
      <c r="I1196" s="550" t="s">
        <v>11</v>
      </c>
      <c r="J1196" s="550" t="s">
        <v>12625</v>
      </c>
      <c r="K1196" s="551">
        <v>44723</v>
      </c>
      <c r="L1196" s="552">
        <v>113</v>
      </c>
      <c r="M1196" s="552">
        <v>113</v>
      </c>
      <c r="N1196" s="552">
        <v>113</v>
      </c>
      <c r="O1196" s="552">
        <v>4579</v>
      </c>
      <c r="P1196" s="552">
        <v>517427</v>
      </c>
      <c r="Q1196" s="548">
        <v>0</v>
      </c>
      <c r="R1196" s="552">
        <v>0</v>
      </c>
      <c r="S1196" s="548">
        <v>3803</v>
      </c>
      <c r="T1196" s="552">
        <v>429739</v>
      </c>
      <c r="U1196" s="548">
        <v>776</v>
      </c>
      <c r="V1196" s="552">
        <v>87688</v>
      </c>
      <c r="W1196" s="552">
        <v>6573</v>
      </c>
      <c r="X1196" s="552">
        <v>742749</v>
      </c>
      <c r="Y1196" s="552">
        <v>3803</v>
      </c>
      <c r="Z1196" s="552">
        <v>429739</v>
      </c>
      <c r="AA1196" s="552">
        <v>2803</v>
      </c>
      <c r="AB1196" s="552">
        <v>316739</v>
      </c>
      <c r="AC1196" s="552">
        <v>1000</v>
      </c>
      <c r="AD1196" s="552">
        <v>113000</v>
      </c>
      <c r="AE1196" s="552">
        <v>0</v>
      </c>
      <c r="AF1196" s="552">
        <v>0</v>
      </c>
      <c r="AG1196" s="552">
        <v>0</v>
      </c>
      <c r="AH1196" s="552">
        <v>0</v>
      </c>
      <c r="AI1196" s="552">
        <v>0</v>
      </c>
      <c r="AJ1196" s="552">
        <v>0</v>
      </c>
    </row>
    <row r="1197" spans="1:36" ht="15.95" customHeight="1">
      <c r="A1197" s="547"/>
      <c r="B1197" s="548">
        <v>1136</v>
      </c>
      <c r="C1197" s="549">
        <v>6644</v>
      </c>
      <c r="D1197" s="550" t="s">
        <v>12623</v>
      </c>
      <c r="E1197" s="550" t="s">
        <v>5068</v>
      </c>
      <c r="F1197" s="550" t="s">
        <v>844</v>
      </c>
      <c r="G1197" s="550" t="s">
        <v>843</v>
      </c>
      <c r="H1197" s="550" t="s">
        <v>272</v>
      </c>
      <c r="I1197" s="550" t="s">
        <v>11</v>
      </c>
      <c r="J1197" s="550" t="s">
        <v>12626</v>
      </c>
      <c r="K1197" s="551">
        <v>44717</v>
      </c>
      <c r="L1197" s="552">
        <v>113</v>
      </c>
      <c r="M1197" s="552">
        <v>113</v>
      </c>
      <c r="N1197" s="552">
        <v>113</v>
      </c>
      <c r="O1197" s="552"/>
      <c r="P1197" s="552"/>
      <c r="Q1197" s="548">
        <v>20290</v>
      </c>
      <c r="R1197" s="552">
        <v>2292770</v>
      </c>
      <c r="S1197" s="548">
        <v>19524</v>
      </c>
      <c r="T1197" s="552">
        <v>2206212</v>
      </c>
      <c r="U1197" s="548">
        <v>766</v>
      </c>
      <c r="V1197" s="552">
        <v>86558</v>
      </c>
      <c r="W1197" s="552">
        <v>2734</v>
      </c>
      <c r="X1197" s="552">
        <v>308942</v>
      </c>
      <c r="Y1197" s="552">
        <v>10834</v>
      </c>
      <c r="Z1197" s="552">
        <v>1224242</v>
      </c>
      <c r="AA1197" s="552">
        <v>1220</v>
      </c>
      <c r="AB1197" s="552">
        <v>137860</v>
      </c>
      <c r="AC1197" s="552">
        <v>9614</v>
      </c>
      <c r="AD1197" s="552">
        <v>1086382</v>
      </c>
      <c r="AE1197" s="552">
        <v>0</v>
      </c>
      <c r="AF1197" s="552">
        <v>0</v>
      </c>
      <c r="AG1197" s="552">
        <v>8690</v>
      </c>
      <c r="AH1197" s="552">
        <v>981970</v>
      </c>
      <c r="AI1197" s="552">
        <v>0</v>
      </c>
      <c r="AJ1197" s="552">
        <v>0</v>
      </c>
    </row>
    <row r="1198" spans="1:36" ht="15.95" customHeight="1">
      <c r="A1198" s="547"/>
      <c r="B1198" s="548">
        <v>1137</v>
      </c>
      <c r="C1198" s="549">
        <v>6644</v>
      </c>
      <c r="D1198" s="550" t="s">
        <v>12623</v>
      </c>
      <c r="E1198" s="550" t="s">
        <v>5068</v>
      </c>
      <c r="F1198" s="550" t="s">
        <v>844</v>
      </c>
      <c r="G1198" s="550" t="s">
        <v>843</v>
      </c>
      <c r="H1198" s="550" t="s">
        <v>272</v>
      </c>
      <c r="I1198" s="550" t="s">
        <v>11</v>
      </c>
      <c r="J1198" s="550" t="s">
        <v>12627</v>
      </c>
      <c r="K1198" s="551">
        <v>44715</v>
      </c>
      <c r="L1198" s="552">
        <v>113</v>
      </c>
      <c r="M1198" s="552">
        <v>113</v>
      </c>
      <c r="N1198" s="552">
        <v>113</v>
      </c>
      <c r="O1198" s="552"/>
      <c r="P1198" s="552"/>
      <c r="Q1198" s="548">
        <v>10600</v>
      </c>
      <c r="R1198" s="552">
        <v>1197800</v>
      </c>
      <c r="S1198" s="548">
        <v>10600</v>
      </c>
      <c r="T1198" s="552">
        <v>1197800</v>
      </c>
      <c r="U1198" s="548">
        <v>0</v>
      </c>
      <c r="V1198" s="552">
        <v>0</v>
      </c>
      <c r="W1198" s="552">
        <v>8126</v>
      </c>
      <c r="X1198" s="552">
        <v>918238</v>
      </c>
      <c r="Y1198" s="552">
        <v>10600</v>
      </c>
      <c r="Z1198" s="552">
        <v>1197800</v>
      </c>
      <c r="AA1198" s="552">
        <v>0</v>
      </c>
      <c r="AB1198" s="552">
        <v>0</v>
      </c>
      <c r="AC1198" s="552">
        <v>10600</v>
      </c>
      <c r="AD1198" s="552">
        <v>1197800</v>
      </c>
      <c r="AE1198" s="552">
        <v>0</v>
      </c>
      <c r="AF1198" s="552">
        <v>0</v>
      </c>
      <c r="AG1198" s="552">
        <v>0</v>
      </c>
      <c r="AH1198" s="552">
        <v>0</v>
      </c>
      <c r="AI1198" s="552">
        <v>0</v>
      </c>
      <c r="AJ1198" s="552">
        <v>0</v>
      </c>
    </row>
    <row r="1199" spans="1:36" ht="15.95" customHeight="1">
      <c r="A1199" s="547"/>
      <c r="B1199" s="548">
        <v>1138</v>
      </c>
      <c r="C1199" s="549">
        <v>6647</v>
      </c>
      <c r="D1199" s="550" t="s">
        <v>12628</v>
      </c>
      <c r="E1199" s="550" t="s">
        <v>5069</v>
      </c>
      <c r="F1199" s="550" t="s">
        <v>1402</v>
      </c>
      <c r="G1199" s="550" t="s">
        <v>1402</v>
      </c>
      <c r="H1199" s="550" t="s">
        <v>225</v>
      </c>
      <c r="I1199" s="550" t="s">
        <v>11</v>
      </c>
      <c r="J1199" s="550" t="s">
        <v>12629</v>
      </c>
      <c r="K1199" s="551">
        <v>45255</v>
      </c>
      <c r="L1199" s="552">
        <v>162</v>
      </c>
      <c r="M1199" s="552">
        <v>162</v>
      </c>
      <c r="N1199" s="552">
        <v>162</v>
      </c>
      <c r="O1199" s="552"/>
      <c r="P1199" s="552"/>
      <c r="Q1199" s="548">
        <v>5000</v>
      </c>
      <c r="R1199" s="552">
        <v>810000</v>
      </c>
      <c r="S1199" s="548">
        <v>400</v>
      </c>
      <c r="T1199" s="552">
        <v>64800</v>
      </c>
      <c r="U1199" s="548">
        <v>4600</v>
      </c>
      <c r="V1199" s="552">
        <v>745200</v>
      </c>
      <c r="W1199" s="552">
        <v>0</v>
      </c>
      <c r="X1199" s="552">
        <v>0</v>
      </c>
      <c r="Y1199" s="552">
        <v>400</v>
      </c>
      <c r="Z1199" s="552">
        <v>64800</v>
      </c>
      <c r="AA1199" s="552">
        <v>0</v>
      </c>
      <c r="AB1199" s="552">
        <v>0</v>
      </c>
      <c r="AC1199" s="552">
        <v>400</v>
      </c>
      <c r="AD1199" s="552">
        <v>64800</v>
      </c>
      <c r="AE1199" s="552">
        <v>0</v>
      </c>
      <c r="AF1199" s="552">
        <v>0</v>
      </c>
      <c r="AG1199" s="552">
        <v>0</v>
      </c>
      <c r="AH1199" s="552">
        <v>0</v>
      </c>
      <c r="AI1199" s="552">
        <v>0</v>
      </c>
      <c r="AJ1199" s="552">
        <v>0</v>
      </c>
    </row>
    <row r="1200" spans="1:36" ht="15.95" customHeight="1">
      <c r="A1200" s="547"/>
      <c r="B1200" s="548">
        <v>1139</v>
      </c>
      <c r="C1200" s="549">
        <v>6647</v>
      </c>
      <c r="D1200" s="550" t="s">
        <v>12628</v>
      </c>
      <c r="E1200" s="550" t="s">
        <v>5069</v>
      </c>
      <c r="F1200" s="550" t="s">
        <v>1402</v>
      </c>
      <c r="G1200" s="550" t="s">
        <v>1402</v>
      </c>
      <c r="H1200" s="550" t="s">
        <v>225</v>
      </c>
      <c r="I1200" s="550" t="s">
        <v>11</v>
      </c>
      <c r="J1200" s="550" t="s">
        <v>12630</v>
      </c>
      <c r="K1200" s="551">
        <v>45248</v>
      </c>
      <c r="L1200" s="552">
        <v>162</v>
      </c>
      <c r="M1200" s="552">
        <v>162</v>
      </c>
      <c r="N1200" s="552">
        <v>162</v>
      </c>
      <c r="O1200" s="552"/>
      <c r="P1200" s="552"/>
      <c r="Q1200" s="548">
        <v>1600</v>
      </c>
      <c r="R1200" s="552">
        <v>259200</v>
      </c>
      <c r="S1200" s="548">
        <v>1000</v>
      </c>
      <c r="T1200" s="552">
        <v>162000</v>
      </c>
      <c r="U1200" s="548">
        <v>600</v>
      </c>
      <c r="V1200" s="552">
        <v>97200</v>
      </c>
      <c r="W1200" s="552">
        <v>22</v>
      </c>
      <c r="X1200" s="552">
        <v>3564</v>
      </c>
      <c r="Y1200" s="552">
        <v>1000</v>
      </c>
      <c r="Z1200" s="552">
        <v>162000</v>
      </c>
      <c r="AA1200" s="552">
        <v>0</v>
      </c>
      <c r="AB1200" s="552">
        <v>0</v>
      </c>
      <c r="AC1200" s="552">
        <v>1000</v>
      </c>
      <c r="AD1200" s="552">
        <v>162000</v>
      </c>
      <c r="AE1200" s="552">
        <v>0</v>
      </c>
      <c r="AF1200" s="552">
        <v>0</v>
      </c>
      <c r="AG1200" s="552">
        <v>0</v>
      </c>
      <c r="AH1200" s="552">
        <v>0</v>
      </c>
      <c r="AI1200" s="552">
        <v>0</v>
      </c>
      <c r="AJ1200" s="552">
        <v>0</v>
      </c>
    </row>
    <row r="1201" spans="1:36" ht="15.95" customHeight="1">
      <c r="A1201" s="547"/>
      <c r="B1201" s="548">
        <v>1140</v>
      </c>
      <c r="C1201" s="549">
        <v>6647</v>
      </c>
      <c r="D1201" s="550" t="s">
        <v>12628</v>
      </c>
      <c r="E1201" s="550" t="s">
        <v>5069</v>
      </c>
      <c r="F1201" s="550" t="s">
        <v>1402</v>
      </c>
      <c r="G1201" s="550" t="s">
        <v>1402</v>
      </c>
      <c r="H1201" s="550" t="s">
        <v>225</v>
      </c>
      <c r="I1201" s="550" t="s">
        <v>11</v>
      </c>
      <c r="J1201" s="550" t="s">
        <v>12631</v>
      </c>
      <c r="K1201" s="551">
        <v>45193</v>
      </c>
      <c r="L1201" s="552">
        <v>162</v>
      </c>
      <c r="M1201" s="552">
        <v>162</v>
      </c>
      <c r="N1201" s="552">
        <v>162</v>
      </c>
      <c r="O1201" s="552">
        <v>4000</v>
      </c>
      <c r="P1201" s="552">
        <v>648000</v>
      </c>
      <c r="Q1201" s="548">
        <v>0</v>
      </c>
      <c r="R1201" s="552">
        <v>0</v>
      </c>
      <c r="S1201" s="548">
        <v>2634</v>
      </c>
      <c r="T1201" s="552">
        <v>426708</v>
      </c>
      <c r="U1201" s="548">
        <v>1366</v>
      </c>
      <c r="V1201" s="552">
        <v>221292</v>
      </c>
      <c r="W1201" s="552">
        <v>600</v>
      </c>
      <c r="X1201" s="552">
        <v>97200</v>
      </c>
      <c r="Y1201" s="552">
        <v>2634</v>
      </c>
      <c r="Z1201" s="552">
        <v>426708</v>
      </c>
      <c r="AA1201" s="552">
        <v>634</v>
      </c>
      <c r="AB1201" s="552">
        <v>102708</v>
      </c>
      <c r="AC1201" s="552">
        <v>2000</v>
      </c>
      <c r="AD1201" s="552">
        <v>324000</v>
      </c>
      <c r="AE1201" s="552">
        <v>0</v>
      </c>
      <c r="AF1201" s="552">
        <v>0</v>
      </c>
      <c r="AG1201" s="552">
        <v>0</v>
      </c>
      <c r="AH1201" s="552">
        <v>0</v>
      </c>
      <c r="AI1201" s="552">
        <v>0</v>
      </c>
      <c r="AJ1201" s="552">
        <v>0</v>
      </c>
    </row>
    <row r="1202" spans="1:36" ht="15.95" customHeight="1">
      <c r="A1202" s="547"/>
      <c r="B1202" s="548">
        <v>1141</v>
      </c>
      <c r="C1202" s="549">
        <v>6647</v>
      </c>
      <c r="D1202" s="550" t="s">
        <v>12628</v>
      </c>
      <c r="E1202" s="550" t="s">
        <v>5069</v>
      </c>
      <c r="F1202" s="550" t="s">
        <v>1402</v>
      </c>
      <c r="G1202" s="550" t="s">
        <v>1402</v>
      </c>
      <c r="H1202" s="550" t="s">
        <v>225</v>
      </c>
      <c r="I1202" s="550" t="s">
        <v>11</v>
      </c>
      <c r="J1202" s="550" t="s">
        <v>5071</v>
      </c>
      <c r="K1202" s="551">
        <v>44985</v>
      </c>
      <c r="L1202" s="552">
        <v>162</v>
      </c>
      <c r="M1202" s="552">
        <v>162</v>
      </c>
      <c r="N1202" s="552">
        <v>162</v>
      </c>
      <c r="O1202" s="552">
        <v>1124</v>
      </c>
      <c r="P1202" s="552">
        <v>182088</v>
      </c>
      <c r="Q1202" s="548">
        <v>0</v>
      </c>
      <c r="R1202" s="552">
        <v>0</v>
      </c>
      <c r="S1202" s="548">
        <v>1124</v>
      </c>
      <c r="T1202" s="552">
        <v>182088</v>
      </c>
      <c r="U1202" s="548">
        <v>0</v>
      </c>
      <c r="V1202" s="552">
        <v>0</v>
      </c>
      <c r="W1202" s="552">
        <v>775</v>
      </c>
      <c r="X1202" s="552">
        <v>125550</v>
      </c>
      <c r="Y1202" s="552">
        <v>1124</v>
      </c>
      <c r="Z1202" s="552">
        <v>182088</v>
      </c>
      <c r="AA1202" s="552">
        <v>1124</v>
      </c>
      <c r="AB1202" s="552">
        <v>182088</v>
      </c>
      <c r="AC1202" s="552">
        <v>0</v>
      </c>
      <c r="AD1202" s="552">
        <v>0</v>
      </c>
      <c r="AE1202" s="552">
        <v>0</v>
      </c>
      <c r="AF1202" s="552">
        <v>0</v>
      </c>
      <c r="AG1202" s="552">
        <v>0</v>
      </c>
      <c r="AH1202" s="552">
        <v>0</v>
      </c>
      <c r="AI1202" s="552">
        <v>0</v>
      </c>
      <c r="AJ1202" s="552">
        <v>0</v>
      </c>
    </row>
    <row r="1203" spans="1:36" ht="15.95" customHeight="1">
      <c r="A1203" s="547"/>
      <c r="B1203" s="548">
        <v>1142</v>
      </c>
      <c r="C1203" s="549">
        <v>6647</v>
      </c>
      <c r="D1203" s="550" t="s">
        <v>12628</v>
      </c>
      <c r="E1203" s="550" t="s">
        <v>5069</v>
      </c>
      <c r="F1203" s="550" t="s">
        <v>1402</v>
      </c>
      <c r="G1203" s="550" t="s">
        <v>1402</v>
      </c>
      <c r="H1203" s="550" t="s">
        <v>225</v>
      </c>
      <c r="I1203" s="550" t="s">
        <v>11</v>
      </c>
      <c r="J1203" s="550" t="s">
        <v>5072</v>
      </c>
      <c r="K1203" s="551">
        <v>45074</v>
      </c>
      <c r="L1203" s="552">
        <v>162</v>
      </c>
      <c r="M1203" s="552">
        <v>162</v>
      </c>
      <c r="N1203" s="552">
        <v>162</v>
      </c>
      <c r="O1203" s="552">
        <v>600</v>
      </c>
      <c r="P1203" s="552">
        <v>97200</v>
      </c>
      <c r="Q1203" s="548">
        <v>0</v>
      </c>
      <c r="R1203" s="552">
        <v>0</v>
      </c>
      <c r="S1203" s="548">
        <v>600</v>
      </c>
      <c r="T1203" s="552">
        <v>97200</v>
      </c>
      <c r="U1203" s="548">
        <v>0</v>
      </c>
      <c r="V1203" s="552">
        <v>0</v>
      </c>
      <c r="W1203" s="552">
        <v>569</v>
      </c>
      <c r="X1203" s="552">
        <v>92178</v>
      </c>
      <c r="Y1203" s="552">
        <v>600</v>
      </c>
      <c r="Z1203" s="552">
        <v>97200</v>
      </c>
      <c r="AA1203" s="552">
        <v>0</v>
      </c>
      <c r="AB1203" s="552">
        <v>0</v>
      </c>
      <c r="AC1203" s="552">
        <v>600</v>
      </c>
      <c r="AD1203" s="552">
        <v>97200</v>
      </c>
      <c r="AE1203" s="552">
        <v>0</v>
      </c>
      <c r="AF1203" s="552">
        <v>0</v>
      </c>
      <c r="AG1203" s="552">
        <v>0</v>
      </c>
      <c r="AH1203" s="552">
        <v>0</v>
      </c>
      <c r="AI1203" s="552">
        <v>0</v>
      </c>
      <c r="AJ1203" s="552">
        <v>0</v>
      </c>
    </row>
    <row r="1204" spans="1:36" ht="15.95" customHeight="1">
      <c r="A1204" s="547"/>
      <c r="B1204" s="548">
        <v>1143</v>
      </c>
      <c r="C1204" s="549">
        <v>5537</v>
      </c>
      <c r="D1204" s="550"/>
      <c r="E1204" s="550" t="s">
        <v>5069</v>
      </c>
      <c r="F1204" s="550" t="s">
        <v>1402</v>
      </c>
      <c r="G1204" s="550" t="s">
        <v>1402</v>
      </c>
      <c r="H1204" s="550" t="s">
        <v>225</v>
      </c>
      <c r="I1204" s="550" t="s">
        <v>11</v>
      </c>
      <c r="J1204" s="550" t="s">
        <v>5070</v>
      </c>
      <c r="K1204" s="551">
        <v>44409</v>
      </c>
      <c r="L1204" s="552">
        <v>165</v>
      </c>
      <c r="M1204" s="552">
        <v>165</v>
      </c>
      <c r="N1204" s="552">
        <v>165</v>
      </c>
      <c r="O1204" s="552">
        <v>245</v>
      </c>
      <c r="P1204" s="552">
        <v>40425</v>
      </c>
      <c r="Q1204" s="548">
        <v>0</v>
      </c>
      <c r="R1204" s="552">
        <v>0</v>
      </c>
      <c r="S1204" s="548">
        <v>245</v>
      </c>
      <c r="T1204" s="552">
        <v>40425</v>
      </c>
      <c r="U1204" s="548">
        <v>0</v>
      </c>
      <c r="V1204" s="552">
        <v>0</v>
      </c>
      <c r="W1204" s="552">
        <v>0</v>
      </c>
      <c r="X1204" s="552">
        <v>0</v>
      </c>
      <c r="Y1204" s="552">
        <v>245</v>
      </c>
      <c r="Z1204" s="552">
        <v>40425</v>
      </c>
      <c r="AA1204" s="552">
        <v>245</v>
      </c>
      <c r="AB1204" s="552">
        <v>40425</v>
      </c>
      <c r="AC1204" s="552">
        <v>0</v>
      </c>
      <c r="AD1204" s="552">
        <v>0</v>
      </c>
      <c r="AE1204" s="552">
        <v>0</v>
      </c>
      <c r="AF1204" s="552">
        <v>0</v>
      </c>
      <c r="AG1204" s="552">
        <v>0</v>
      </c>
      <c r="AH1204" s="552">
        <v>0</v>
      </c>
      <c r="AI1204" s="552">
        <v>0</v>
      </c>
      <c r="AJ1204" s="552">
        <v>0</v>
      </c>
    </row>
    <row r="1205" spans="1:36" ht="0.75" customHeight="1">
      <c r="A1205" s="547"/>
      <c r="B1205" s="718"/>
      <c r="C1205" s="718"/>
      <c r="D1205" s="718"/>
      <c r="E1205" s="718"/>
      <c r="F1205" s="718"/>
      <c r="G1205" s="718"/>
      <c r="H1205" s="718"/>
      <c r="I1205" s="718"/>
      <c r="J1205" s="718"/>
      <c r="K1205" s="718"/>
      <c r="L1205" s="718"/>
      <c r="M1205" s="718"/>
      <c r="N1205" s="718"/>
      <c r="O1205" s="718"/>
      <c r="P1205" s="718"/>
      <c r="Q1205" s="553"/>
      <c r="R1205" s="719"/>
      <c r="S1205" s="719"/>
      <c r="T1205" s="719"/>
      <c r="U1205" s="719"/>
      <c r="V1205" s="719"/>
      <c r="W1205" s="719"/>
      <c r="X1205" s="719"/>
      <c r="Y1205" s="719"/>
      <c r="Z1205" s="719"/>
      <c r="AA1205" s="719"/>
      <c r="AB1205" s="719"/>
      <c r="AC1205" s="719"/>
      <c r="AD1205" s="719"/>
      <c r="AE1205" s="719"/>
      <c r="AF1205" s="719"/>
      <c r="AG1205" s="719"/>
      <c r="AH1205" s="719"/>
      <c r="AI1205" s="719"/>
      <c r="AJ1205" s="719"/>
    </row>
    <row r="1206" spans="1:36" ht="12.95" customHeight="1">
      <c r="A1206" s="547"/>
      <c r="B1206" s="720"/>
      <c r="C1206" s="720"/>
      <c r="D1206" s="720"/>
      <c r="E1206" s="720"/>
      <c r="F1206" s="720"/>
      <c r="G1206" s="720"/>
      <c r="H1206" s="720"/>
      <c r="I1206" s="720"/>
      <c r="J1206" s="720"/>
      <c r="K1206" s="720"/>
      <c r="L1206" s="720"/>
      <c r="M1206" s="720"/>
      <c r="N1206" s="720"/>
      <c r="O1206" s="720"/>
      <c r="P1206" s="720"/>
      <c r="Q1206" s="554"/>
      <c r="R1206" s="721"/>
      <c r="S1206" s="721"/>
      <c r="T1206" s="721"/>
      <c r="U1206" s="721"/>
      <c r="V1206" s="721"/>
      <c r="W1206" s="721"/>
      <c r="X1206" s="721"/>
      <c r="Y1206" s="721"/>
      <c r="Z1206" s="721"/>
      <c r="AA1206" s="721"/>
      <c r="AB1206" s="721"/>
      <c r="AC1206" s="721"/>
      <c r="AD1206" s="721"/>
      <c r="AE1206" s="721"/>
      <c r="AF1206" s="721"/>
      <c r="AG1206" s="721"/>
      <c r="AH1206" s="721"/>
      <c r="AI1206" s="721"/>
      <c r="AJ1206" s="721"/>
    </row>
    <row r="1207" spans="1:36" ht="0.75" customHeight="1">
      <c r="A1207" s="547"/>
      <c r="B1207" s="714"/>
      <c r="C1207" s="714"/>
      <c r="D1207" s="714"/>
      <c r="E1207" s="714"/>
      <c r="F1207" s="714"/>
      <c r="G1207" s="714"/>
      <c r="H1207" s="714"/>
      <c r="I1207" s="714"/>
      <c r="J1207" s="714"/>
      <c r="K1207" s="714"/>
      <c r="L1207" s="714"/>
      <c r="M1207" s="714"/>
      <c r="N1207" s="714"/>
      <c r="O1207" s="714"/>
      <c r="P1207" s="714"/>
      <c r="Q1207" s="555"/>
      <c r="R1207" s="715"/>
      <c r="S1207" s="715"/>
      <c r="T1207" s="715"/>
      <c r="U1207" s="715"/>
      <c r="V1207" s="715"/>
      <c r="W1207" s="715"/>
      <c r="X1207" s="715"/>
      <c r="Y1207" s="715"/>
      <c r="Z1207" s="715"/>
      <c r="AA1207" s="715"/>
      <c r="AB1207" s="715"/>
      <c r="AC1207" s="715"/>
      <c r="AD1207" s="715"/>
      <c r="AE1207" s="715"/>
      <c r="AF1207" s="715"/>
      <c r="AG1207" s="715"/>
      <c r="AH1207" s="715"/>
      <c r="AI1207" s="715"/>
      <c r="AJ1207" s="715"/>
    </row>
    <row r="1208" spans="1:36" ht="12.95" customHeight="1">
      <c r="A1208" s="716"/>
      <c r="B1208" s="716"/>
      <c r="C1208" s="716"/>
      <c r="D1208" s="716"/>
      <c r="E1208" s="716"/>
      <c r="F1208" s="716"/>
      <c r="G1208" s="716"/>
      <c r="H1208" s="716"/>
      <c r="I1208" s="716"/>
      <c r="J1208" s="716"/>
      <c r="K1208" s="716"/>
      <c r="L1208" s="716"/>
      <c r="M1208" s="716"/>
      <c r="N1208" s="716"/>
      <c r="O1208" s="556">
        <v>3223694.25</v>
      </c>
      <c r="P1208" s="556">
        <v>3903394324</v>
      </c>
      <c r="Q1208" s="556">
        <v>4391170</v>
      </c>
      <c r="R1208" s="556">
        <v>8722783322</v>
      </c>
      <c r="S1208" s="556">
        <v>4883721</v>
      </c>
      <c r="T1208" s="556">
        <v>7403087685</v>
      </c>
      <c r="U1208" s="556">
        <v>2731143.25</v>
      </c>
      <c r="V1208" s="556">
        <v>5223089961</v>
      </c>
      <c r="W1208" s="556">
        <v>1187884</v>
      </c>
      <c r="X1208" s="556">
        <v>787658246</v>
      </c>
      <c r="Y1208" s="556">
        <v>4508727</v>
      </c>
      <c r="Z1208" s="556">
        <v>7157174944</v>
      </c>
      <c r="AA1208" s="556">
        <v>2833412</v>
      </c>
      <c r="AB1208" s="556">
        <v>5989648643</v>
      </c>
      <c r="AC1208" s="556">
        <v>1675315</v>
      </c>
      <c r="AD1208" s="556">
        <v>1167526301</v>
      </c>
      <c r="AE1208" s="556">
        <v>0</v>
      </c>
      <c r="AF1208" s="556">
        <v>0</v>
      </c>
      <c r="AG1208" s="556">
        <v>375244</v>
      </c>
      <c r="AH1208" s="556">
        <v>246320882</v>
      </c>
      <c r="AI1208" s="556">
        <v>9011</v>
      </c>
      <c r="AJ1208" s="556">
        <v>19926700</v>
      </c>
    </row>
  </sheetData>
  <mergeCells count="86">
    <mergeCell ref="A1:B1"/>
    <mergeCell ref="A2:AJ2"/>
    <mergeCell ref="B598:P598"/>
    <mergeCell ref="R598:AJ598"/>
    <mergeCell ref="B599:P599"/>
    <mergeCell ref="R599:AJ599"/>
    <mergeCell ref="B733:P733"/>
    <mergeCell ref="R733:AJ733"/>
    <mergeCell ref="B600:P600"/>
    <mergeCell ref="R600:AJ600"/>
    <mergeCell ref="A601:AJ601"/>
    <mergeCell ref="B620:P620"/>
    <mergeCell ref="R620:AJ620"/>
    <mergeCell ref="B621:P621"/>
    <mergeCell ref="R621:AJ621"/>
    <mergeCell ref="B622:P622"/>
    <mergeCell ref="R622:AJ622"/>
    <mergeCell ref="A623:AJ623"/>
    <mergeCell ref="B732:P732"/>
    <mergeCell ref="R732:AJ732"/>
    <mergeCell ref="B755:P755"/>
    <mergeCell ref="R755:AJ755"/>
    <mergeCell ref="B734:P734"/>
    <mergeCell ref="R734:AJ734"/>
    <mergeCell ref="A735:AJ735"/>
    <mergeCell ref="B746:P746"/>
    <mergeCell ref="R746:AJ746"/>
    <mergeCell ref="B747:P747"/>
    <mergeCell ref="R747:AJ747"/>
    <mergeCell ref="B748:P748"/>
    <mergeCell ref="R748:AJ748"/>
    <mergeCell ref="A749:AJ749"/>
    <mergeCell ref="B754:P754"/>
    <mergeCell ref="R754:AJ754"/>
    <mergeCell ref="B955:P955"/>
    <mergeCell ref="R955:AJ955"/>
    <mergeCell ref="B756:P756"/>
    <mergeCell ref="R756:AJ756"/>
    <mergeCell ref="A757:AJ757"/>
    <mergeCell ref="B938:P938"/>
    <mergeCell ref="R938:AJ938"/>
    <mergeCell ref="B939:P939"/>
    <mergeCell ref="R939:AJ939"/>
    <mergeCell ref="B940:P940"/>
    <mergeCell ref="R940:AJ940"/>
    <mergeCell ref="A941:AJ941"/>
    <mergeCell ref="B954:P954"/>
    <mergeCell ref="R954:AJ954"/>
    <mergeCell ref="B1102:P1102"/>
    <mergeCell ref="R1102:AJ1102"/>
    <mergeCell ref="B956:P956"/>
    <mergeCell ref="R956:AJ956"/>
    <mergeCell ref="A957:AJ957"/>
    <mergeCell ref="B1096:P1096"/>
    <mergeCell ref="R1096:AJ1096"/>
    <mergeCell ref="B1097:P1097"/>
    <mergeCell ref="R1097:AJ1097"/>
    <mergeCell ref="B1098:P1098"/>
    <mergeCell ref="R1098:AJ1098"/>
    <mergeCell ref="A1099:AJ1099"/>
    <mergeCell ref="B1101:P1101"/>
    <mergeCell ref="R1101:AJ1101"/>
    <mergeCell ref="B1116:P1116"/>
    <mergeCell ref="R1116:AJ1116"/>
    <mergeCell ref="B1103:P1103"/>
    <mergeCell ref="R1103:AJ1103"/>
    <mergeCell ref="A1104:AJ1104"/>
    <mergeCell ref="B1108:P1108"/>
    <mergeCell ref="R1108:AJ1108"/>
    <mergeCell ref="B1109:P1109"/>
    <mergeCell ref="R1109:AJ1109"/>
    <mergeCell ref="B1110:P1110"/>
    <mergeCell ref="R1110:AJ1110"/>
    <mergeCell ref="A1111:AJ1111"/>
    <mergeCell ref="B1115:P1115"/>
    <mergeCell ref="R1115:AJ1115"/>
    <mergeCell ref="B1207:P1207"/>
    <mergeCell ref="R1207:AJ1207"/>
    <mergeCell ref="A1208:N1208"/>
    <mergeCell ref="B1117:P1117"/>
    <mergeCell ref="R1117:AJ1117"/>
    <mergeCell ref="A1118:AJ1118"/>
    <mergeCell ref="B1205:P1205"/>
    <mergeCell ref="R1205:AJ1205"/>
    <mergeCell ref="B1206:P1206"/>
    <mergeCell ref="R1206:AJ120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Tồn kho thuốc đến 31-12-2021</vt:lpstr>
      <vt:lpstr>BC tổng hợp 2021</vt:lpstr>
      <vt:lpstr>nhập liệu 2020</vt:lpstr>
      <vt:lpstr>Thầu 2020</vt:lpstr>
      <vt:lpstr>thầu 2019</vt:lpstr>
      <vt:lpstr>thầu 2018</vt:lpstr>
      <vt:lpstr>Thầu 2017</vt:lpstr>
      <vt:lpstr>XNT PM 2021 (2)</vt:lpstr>
      <vt:lpstr>XNT PM 2021</vt:lpstr>
      <vt:lpstr>Bc nhập liệu 2019</vt:lpstr>
      <vt:lpstr>'Tồn kho thuốc đến 31-12-2021'!Print_Titles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VAN_HUNG</dc:creator>
  <cp:lastModifiedBy>User</cp:lastModifiedBy>
  <cp:lastPrinted>2022-03-24T07:30:40Z</cp:lastPrinted>
  <dcterms:created xsi:type="dcterms:W3CDTF">2017-01-10T00:59:32Z</dcterms:created>
  <dcterms:modified xsi:type="dcterms:W3CDTF">2022-03-24T07:44:11Z</dcterms:modified>
</cp:coreProperties>
</file>